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ran Panchal\Downloads\"/>
    </mc:Choice>
  </mc:AlternateContent>
  <xr:revisionPtr revIDLastSave="0" documentId="8_{6EB81D68-1F01-49D7-8D41-8153D352381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5th" sheetId="4" r:id="rId1"/>
    <sheet name="5th Evaluation" sheetId="7" r:id="rId2"/>
    <sheet name="marks_log" sheetId="15" state="hidden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V625" i="7" l="1"/>
  <c r="CP625" i="7"/>
  <c r="CC625" i="7"/>
  <c r="BP625" i="7"/>
  <c r="BJ625" i="7"/>
  <c r="AW625" i="7"/>
  <c r="AQ625" i="7"/>
  <c r="W625" i="7"/>
  <c r="Q625" i="7"/>
  <c r="CV624" i="7"/>
  <c r="CP624" i="7"/>
  <c r="CC624" i="7"/>
  <c r="BP624" i="7"/>
  <c r="BJ624" i="7"/>
  <c r="AW624" i="7"/>
  <c r="AQ624" i="7"/>
  <c r="W624" i="7"/>
  <c r="Q624" i="7"/>
  <c r="CV623" i="7"/>
  <c r="CP623" i="7"/>
  <c r="CC623" i="7"/>
  <c r="BP623" i="7"/>
  <c r="BJ623" i="7"/>
  <c r="AW623" i="7"/>
  <c r="AQ623" i="7"/>
  <c r="W623" i="7"/>
  <c r="Q623" i="7"/>
  <c r="CV622" i="7"/>
  <c r="CP622" i="7"/>
  <c r="CC622" i="7"/>
  <c r="BP622" i="7"/>
  <c r="BJ622" i="7"/>
  <c r="AW622" i="7"/>
  <c r="AQ622" i="7"/>
  <c r="W622" i="7"/>
  <c r="Q622" i="7"/>
  <c r="CV621" i="7"/>
  <c r="CP621" i="7"/>
  <c r="CC621" i="7"/>
  <c r="BP621" i="7"/>
  <c r="BJ621" i="7"/>
  <c r="AW621" i="7"/>
  <c r="AQ621" i="7"/>
  <c r="W621" i="7"/>
  <c r="Q621" i="7"/>
  <c r="CV620" i="7"/>
  <c r="CP620" i="7"/>
  <c r="CC620" i="7"/>
  <c r="BP620" i="7"/>
  <c r="BJ620" i="7"/>
  <c r="AW620" i="7"/>
  <c r="AQ620" i="7"/>
  <c r="W620" i="7"/>
  <c r="Q620" i="7"/>
  <c r="CV619" i="7"/>
  <c r="CP619" i="7"/>
  <c r="CC619" i="7"/>
  <c r="BP619" i="7"/>
  <c r="BJ619" i="7"/>
  <c r="AW619" i="7"/>
  <c r="AQ619" i="7"/>
  <c r="W619" i="7"/>
  <c r="Q619" i="7"/>
  <c r="CV618" i="7"/>
  <c r="CP618" i="7"/>
  <c r="CC618" i="7"/>
  <c r="BP618" i="7"/>
  <c r="BJ618" i="7"/>
  <c r="AW618" i="7"/>
  <c r="AQ618" i="7"/>
  <c r="W618" i="7"/>
  <c r="Q618" i="7"/>
  <c r="CV617" i="7"/>
  <c r="CP617" i="7"/>
  <c r="CC617" i="7"/>
  <c r="BP617" i="7"/>
  <c r="BJ617" i="7"/>
  <c r="AW617" i="7"/>
  <c r="AQ617" i="7"/>
  <c r="W617" i="7"/>
  <c r="Q617" i="7"/>
  <c r="CV616" i="7"/>
  <c r="CP616" i="7"/>
  <c r="CC616" i="7"/>
  <c r="BP616" i="7"/>
  <c r="BJ616" i="7"/>
  <c r="AW616" i="7"/>
  <c r="AQ616" i="7"/>
  <c r="W616" i="7"/>
  <c r="Q616" i="7"/>
  <c r="CV615" i="7"/>
  <c r="CP615" i="7"/>
  <c r="CC615" i="7"/>
  <c r="BP615" i="7"/>
  <c r="BJ615" i="7"/>
  <c r="AW615" i="7"/>
  <c r="AQ615" i="7"/>
  <c r="W615" i="7"/>
  <c r="Q615" i="7"/>
  <c r="CV614" i="7"/>
  <c r="CP614" i="7"/>
  <c r="CC614" i="7"/>
  <c r="BP614" i="7"/>
  <c r="BJ614" i="7"/>
  <c r="AW614" i="7"/>
  <c r="AQ614" i="7"/>
  <c r="W614" i="7"/>
  <c r="Q614" i="7"/>
  <c r="CV613" i="7"/>
  <c r="CP613" i="7"/>
  <c r="CC613" i="7"/>
  <c r="BP613" i="7"/>
  <c r="BJ613" i="7"/>
  <c r="AW613" i="7"/>
  <c r="AQ613" i="7"/>
  <c r="W613" i="7"/>
  <c r="Q613" i="7"/>
  <c r="CV612" i="7"/>
  <c r="CP612" i="7"/>
  <c r="CC612" i="7"/>
  <c r="BP612" i="7"/>
  <c r="BJ612" i="7"/>
  <c r="AW612" i="7"/>
  <c r="AQ612" i="7"/>
  <c r="W612" i="7"/>
  <c r="Q612" i="7"/>
  <c r="CV611" i="7"/>
  <c r="CP611" i="7"/>
  <c r="CC611" i="7"/>
  <c r="BP611" i="7"/>
  <c r="BJ611" i="7"/>
  <c r="AW611" i="7"/>
  <c r="AQ611" i="7"/>
  <c r="W611" i="7"/>
  <c r="Q611" i="7"/>
  <c r="CV610" i="7"/>
  <c r="CP610" i="7"/>
  <c r="CC610" i="7"/>
  <c r="BP610" i="7"/>
  <c r="BJ610" i="7"/>
  <c r="AW610" i="7"/>
  <c r="AQ610" i="7"/>
  <c r="W610" i="7"/>
  <c r="Q610" i="7"/>
  <c r="CV609" i="7"/>
  <c r="CP609" i="7"/>
  <c r="CC609" i="7"/>
  <c r="BP609" i="7"/>
  <c r="BJ609" i="7"/>
  <c r="AW609" i="7"/>
  <c r="AQ609" i="7"/>
  <c r="W609" i="7"/>
  <c r="Q609" i="7"/>
  <c r="CV608" i="7"/>
  <c r="CP608" i="7"/>
  <c r="CC608" i="7"/>
  <c r="BP608" i="7"/>
  <c r="BJ608" i="7"/>
  <c r="AW608" i="7"/>
  <c r="AQ608" i="7"/>
  <c r="W608" i="7"/>
  <c r="Q608" i="7"/>
  <c r="CV607" i="7"/>
  <c r="CP607" i="7"/>
  <c r="CC607" i="7"/>
  <c r="BP607" i="7"/>
  <c r="BJ607" i="7"/>
  <c r="AW607" i="7"/>
  <c r="AQ607" i="7"/>
  <c r="W607" i="7"/>
  <c r="Q607" i="7"/>
  <c r="CV606" i="7"/>
  <c r="CP606" i="7"/>
  <c r="CC606" i="7"/>
  <c r="BP606" i="7"/>
  <c r="BJ606" i="7"/>
  <c r="AW606" i="7"/>
  <c r="AQ606" i="7"/>
  <c r="W606" i="7"/>
  <c r="Q606" i="7"/>
  <c r="CV605" i="7"/>
  <c r="CP605" i="7"/>
  <c r="CC605" i="7"/>
  <c r="BP605" i="7"/>
  <c r="BJ605" i="7"/>
  <c r="AW605" i="7"/>
  <c r="AQ605" i="7"/>
  <c r="W605" i="7"/>
  <c r="Q605" i="7"/>
  <c r="CV604" i="7"/>
  <c r="CP604" i="7"/>
  <c r="CC604" i="7"/>
  <c r="BP604" i="7"/>
  <c r="BJ604" i="7"/>
  <c r="AW604" i="7"/>
  <c r="AQ604" i="7"/>
  <c r="W604" i="7"/>
  <c r="Q604" i="7"/>
  <c r="CV603" i="7"/>
  <c r="CP603" i="7"/>
  <c r="CC603" i="7"/>
  <c r="BP603" i="7"/>
  <c r="BJ603" i="7"/>
  <c r="AW603" i="7"/>
  <c r="AQ603" i="7"/>
  <c r="W603" i="7"/>
  <c r="Q603" i="7"/>
  <c r="CV602" i="7"/>
  <c r="CP602" i="7"/>
  <c r="CC602" i="7"/>
  <c r="BP602" i="7"/>
  <c r="BJ602" i="7"/>
  <c r="AW602" i="7"/>
  <c r="AQ602" i="7"/>
  <c r="W602" i="7"/>
  <c r="Q602" i="7"/>
  <c r="CV601" i="7"/>
  <c r="CP601" i="7"/>
  <c r="CC601" i="7"/>
  <c r="BP601" i="7"/>
  <c r="BJ601" i="7"/>
  <c r="AW601" i="7"/>
  <c r="AQ601" i="7"/>
  <c r="W601" i="7"/>
  <c r="Q601" i="7"/>
  <c r="CV600" i="7"/>
  <c r="CP600" i="7"/>
  <c r="CC600" i="7"/>
  <c r="BP600" i="7"/>
  <c r="BJ600" i="7"/>
  <c r="AW600" i="7"/>
  <c r="AQ600" i="7"/>
  <c r="W600" i="7"/>
  <c r="Q600" i="7"/>
  <c r="CV599" i="7"/>
  <c r="CP599" i="7"/>
  <c r="CC599" i="7"/>
  <c r="BP599" i="7"/>
  <c r="BJ599" i="7"/>
  <c r="AW599" i="7"/>
  <c r="AQ599" i="7"/>
  <c r="W599" i="7"/>
  <c r="Q599" i="7"/>
  <c r="CV598" i="7"/>
  <c r="CP598" i="7"/>
  <c r="CC598" i="7"/>
  <c r="BP598" i="7"/>
  <c r="BJ598" i="7"/>
  <c r="AW598" i="7"/>
  <c r="AQ598" i="7"/>
  <c r="W598" i="7"/>
  <c r="Q598" i="7"/>
  <c r="CV597" i="7"/>
  <c r="CP597" i="7"/>
  <c r="CC597" i="7"/>
  <c r="BP597" i="7"/>
  <c r="BJ597" i="7"/>
  <c r="AW597" i="7"/>
  <c r="AQ597" i="7"/>
  <c r="W597" i="7"/>
  <c r="Q597" i="7"/>
  <c r="CV596" i="7"/>
  <c r="CP596" i="7"/>
  <c r="CC596" i="7"/>
  <c r="BP596" i="7"/>
  <c r="BJ596" i="7"/>
  <c r="AW596" i="7"/>
  <c r="AQ596" i="7"/>
  <c r="W596" i="7"/>
  <c r="Q596" i="7"/>
  <c r="CV595" i="7"/>
  <c r="CP595" i="7"/>
  <c r="CC595" i="7"/>
  <c r="BP595" i="7"/>
  <c r="BJ595" i="7"/>
  <c r="AW595" i="7"/>
  <c r="AQ595" i="7"/>
  <c r="W595" i="7"/>
  <c r="Q595" i="7"/>
  <c r="CV594" i="7"/>
  <c r="CP594" i="7"/>
  <c r="CC594" i="7"/>
  <c r="BP594" i="7"/>
  <c r="BJ594" i="7"/>
  <c r="AW594" i="7"/>
  <c r="AQ594" i="7"/>
  <c r="W594" i="7"/>
  <c r="Q594" i="7"/>
  <c r="CV593" i="7"/>
  <c r="CP593" i="7"/>
  <c r="CC593" i="7"/>
  <c r="BP593" i="7"/>
  <c r="BJ593" i="7"/>
  <c r="AW593" i="7"/>
  <c r="AQ593" i="7"/>
  <c r="W593" i="7"/>
  <c r="Q593" i="7"/>
  <c r="CV592" i="7"/>
  <c r="CP592" i="7"/>
  <c r="CC592" i="7"/>
  <c r="BP592" i="7"/>
  <c r="BJ592" i="7"/>
  <c r="AW592" i="7"/>
  <c r="AQ592" i="7"/>
  <c r="W592" i="7"/>
  <c r="Q592" i="7"/>
  <c r="CV591" i="7"/>
  <c r="CP591" i="7"/>
  <c r="CC591" i="7"/>
  <c r="BP591" i="7"/>
  <c r="BJ591" i="7"/>
  <c r="AW591" i="7"/>
  <c r="AQ591" i="7"/>
  <c r="W591" i="7"/>
  <c r="Q591" i="7"/>
  <c r="CV590" i="7"/>
  <c r="CP590" i="7"/>
  <c r="CC590" i="7"/>
  <c r="BP590" i="7"/>
  <c r="BJ590" i="7"/>
  <c r="AW590" i="7"/>
  <c r="AQ590" i="7"/>
  <c r="W590" i="7"/>
  <c r="Q590" i="7"/>
  <c r="CV589" i="7"/>
  <c r="CP589" i="7"/>
  <c r="CC589" i="7"/>
  <c r="BP589" i="7"/>
  <c r="BJ589" i="7"/>
  <c r="AW589" i="7"/>
  <c r="AQ589" i="7"/>
  <c r="W589" i="7"/>
  <c r="Q589" i="7"/>
  <c r="CV588" i="7"/>
  <c r="CP588" i="7"/>
  <c r="CC588" i="7"/>
  <c r="BP588" i="7"/>
  <c r="BJ588" i="7"/>
  <c r="AW588" i="7"/>
  <c r="AQ588" i="7"/>
  <c r="W588" i="7"/>
  <c r="Q588" i="7"/>
  <c r="CV587" i="7"/>
  <c r="CP587" i="7"/>
  <c r="CC587" i="7"/>
  <c r="BP587" i="7"/>
  <c r="BJ587" i="7"/>
  <c r="AW587" i="7"/>
  <c r="AQ587" i="7"/>
  <c r="W587" i="7"/>
  <c r="Q587" i="7"/>
  <c r="CV586" i="7"/>
  <c r="CP586" i="7"/>
  <c r="CC586" i="7"/>
  <c r="BP586" i="7"/>
  <c r="BJ586" i="7"/>
  <c r="AW586" i="7"/>
  <c r="AQ586" i="7"/>
  <c r="W586" i="7"/>
  <c r="Q586" i="7"/>
  <c r="CV585" i="7"/>
  <c r="CP585" i="7"/>
  <c r="CC585" i="7"/>
  <c r="BP585" i="7"/>
  <c r="BJ585" i="7"/>
  <c r="AW585" i="7"/>
  <c r="AQ585" i="7"/>
  <c r="W585" i="7"/>
  <c r="Q585" i="7"/>
  <c r="CV584" i="7"/>
  <c r="CP584" i="7"/>
  <c r="CC584" i="7"/>
  <c r="BP584" i="7"/>
  <c r="BJ584" i="7"/>
  <c r="AW584" i="7"/>
  <c r="AQ584" i="7"/>
  <c r="W584" i="7"/>
  <c r="Q584" i="7"/>
  <c r="CV583" i="7"/>
  <c r="CP583" i="7"/>
  <c r="CC583" i="7"/>
  <c r="BP583" i="7"/>
  <c r="BJ583" i="7"/>
  <c r="AW583" i="7"/>
  <c r="AQ583" i="7"/>
  <c r="W583" i="7"/>
  <c r="Q583" i="7"/>
  <c r="CV582" i="7"/>
  <c r="CP582" i="7"/>
  <c r="CC582" i="7"/>
  <c r="BP582" i="7"/>
  <c r="BJ582" i="7"/>
  <c r="AW582" i="7"/>
  <c r="AQ582" i="7"/>
  <c r="W582" i="7"/>
  <c r="Q582" i="7"/>
  <c r="CV581" i="7"/>
  <c r="CP581" i="7"/>
  <c r="CC581" i="7"/>
  <c r="BP581" i="7"/>
  <c r="BJ581" i="7"/>
  <c r="AW581" i="7"/>
  <c r="AQ581" i="7"/>
  <c r="W581" i="7"/>
  <c r="Q581" i="7"/>
  <c r="CV580" i="7"/>
  <c r="CP580" i="7"/>
  <c r="CC580" i="7"/>
  <c r="BP580" i="7"/>
  <c r="BJ580" i="7"/>
  <c r="AW580" i="7"/>
  <c r="AQ580" i="7"/>
  <c r="W580" i="7"/>
  <c r="Q580" i="7"/>
  <c r="CV579" i="7"/>
  <c r="CP579" i="7"/>
  <c r="CC579" i="7"/>
  <c r="BP579" i="7"/>
  <c r="BJ579" i="7"/>
  <c r="AW579" i="7"/>
  <c r="AQ579" i="7"/>
  <c r="W579" i="7"/>
  <c r="Q579" i="7"/>
  <c r="CV578" i="7"/>
  <c r="CP578" i="7"/>
  <c r="CC578" i="7"/>
  <c r="BP578" i="7"/>
  <c r="BJ578" i="7"/>
  <c r="AW578" i="7"/>
  <c r="AQ578" i="7"/>
  <c r="W578" i="7"/>
  <c r="Q578" i="7"/>
  <c r="CV577" i="7"/>
  <c r="CP577" i="7"/>
  <c r="CC577" i="7"/>
  <c r="BP577" i="7"/>
  <c r="BJ577" i="7"/>
  <c r="AW577" i="7"/>
  <c r="AQ577" i="7"/>
  <c r="W577" i="7"/>
  <c r="Q577" i="7"/>
  <c r="CV576" i="7"/>
  <c r="CP576" i="7"/>
  <c r="CC576" i="7"/>
  <c r="BP576" i="7"/>
  <c r="BJ576" i="7"/>
  <c r="AW576" i="7"/>
  <c r="AQ576" i="7"/>
  <c r="W576" i="7"/>
  <c r="Q576" i="7"/>
  <c r="CV575" i="7"/>
  <c r="CP575" i="7"/>
  <c r="CC575" i="7"/>
  <c r="BP575" i="7"/>
  <c r="BJ575" i="7"/>
  <c r="AW575" i="7"/>
  <c r="AQ575" i="7"/>
  <c r="W575" i="7"/>
  <c r="Q575" i="7"/>
  <c r="CV574" i="7"/>
  <c r="CP574" i="7"/>
  <c r="CC574" i="7"/>
  <c r="BP574" i="7"/>
  <c r="BJ574" i="7"/>
  <c r="AW574" i="7"/>
  <c r="AQ574" i="7"/>
  <c r="W574" i="7"/>
  <c r="Q574" i="7"/>
  <c r="CV573" i="7"/>
  <c r="CP573" i="7"/>
  <c r="CC573" i="7"/>
  <c r="BP573" i="7"/>
  <c r="BJ573" i="7"/>
  <c r="AW573" i="7"/>
  <c r="AQ573" i="7"/>
  <c r="W573" i="7"/>
  <c r="Q573" i="7"/>
  <c r="CV572" i="7"/>
  <c r="CP572" i="7"/>
  <c r="CC572" i="7"/>
  <c r="BP572" i="7"/>
  <c r="BJ572" i="7"/>
  <c r="AW572" i="7"/>
  <c r="AQ572" i="7"/>
  <c r="W572" i="7"/>
  <c r="Q572" i="7"/>
  <c r="CV571" i="7"/>
  <c r="CP571" i="7"/>
  <c r="CC571" i="7"/>
  <c r="BP571" i="7"/>
  <c r="BJ571" i="7"/>
  <c r="AW571" i="7"/>
  <c r="AQ571" i="7"/>
  <c r="W571" i="7"/>
  <c r="Q571" i="7"/>
  <c r="CV570" i="7"/>
  <c r="CP570" i="7"/>
  <c r="CC570" i="7"/>
  <c r="BP570" i="7"/>
  <c r="BJ570" i="7"/>
  <c r="AW570" i="7"/>
  <c r="AQ570" i="7"/>
  <c r="W570" i="7"/>
  <c r="Q570" i="7"/>
  <c r="CV569" i="7"/>
  <c r="CP569" i="7"/>
  <c r="CC569" i="7"/>
  <c r="BP569" i="7"/>
  <c r="BJ569" i="7"/>
  <c r="AW569" i="7"/>
  <c r="AQ569" i="7"/>
  <c r="W569" i="7"/>
  <c r="Q569" i="7"/>
  <c r="CV568" i="7"/>
  <c r="CP568" i="7"/>
  <c r="CC568" i="7"/>
  <c r="BP568" i="7"/>
  <c r="BJ568" i="7"/>
  <c r="AW568" i="7"/>
  <c r="AQ568" i="7"/>
  <c r="W568" i="7"/>
  <c r="Q568" i="7"/>
  <c r="CV567" i="7"/>
  <c r="CP567" i="7"/>
  <c r="CC567" i="7"/>
  <c r="BP567" i="7"/>
  <c r="BJ567" i="7"/>
  <c r="AW567" i="7"/>
  <c r="AQ567" i="7"/>
  <c r="W567" i="7"/>
  <c r="Q567" i="7"/>
  <c r="CV566" i="7"/>
  <c r="CP566" i="7"/>
  <c r="CC566" i="7"/>
  <c r="BP566" i="7"/>
  <c r="BJ566" i="7"/>
  <c r="AW566" i="7"/>
  <c r="AQ566" i="7"/>
  <c r="W566" i="7"/>
  <c r="Q566" i="7"/>
  <c r="CV565" i="7"/>
  <c r="CP565" i="7"/>
  <c r="CC565" i="7"/>
  <c r="BP565" i="7"/>
  <c r="BJ565" i="7"/>
  <c r="AW565" i="7"/>
  <c r="AQ565" i="7"/>
  <c r="W565" i="7"/>
  <c r="Q565" i="7"/>
  <c r="CV564" i="7"/>
  <c r="CP564" i="7"/>
  <c r="CC564" i="7"/>
  <c r="BP564" i="7"/>
  <c r="BJ564" i="7"/>
  <c r="AW564" i="7"/>
  <c r="AQ564" i="7"/>
  <c r="W564" i="7"/>
  <c r="Q564" i="7"/>
  <c r="CV563" i="7"/>
  <c r="CP563" i="7"/>
  <c r="CC563" i="7"/>
  <c r="BP563" i="7"/>
  <c r="BJ563" i="7"/>
  <c r="AW563" i="7"/>
  <c r="AQ563" i="7"/>
  <c r="W563" i="7"/>
  <c r="Q563" i="7"/>
  <c r="CV562" i="7"/>
  <c r="CP562" i="7"/>
  <c r="CC562" i="7"/>
  <c r="BP562" i="7"/>
  <c r="BJ562" i="7"/>
  <c r="AW562" i="7"/>
  <c r="AQ562" i="7"/>
  <c r="W562" i="7"/>
  <c r="Q562" i="7"/>
  <c r="CV561" i="7"/>
  <c r="CP561" i="7"/>
  <c r="CC561" i="7"/>
  <c r="BP561" i="7"/>
  <c r="BJ561" i="7"/>
  <c r="AW561" i="7"/>
  <c r="AQ561" i="7"/>
  <c r="W561" i="7"/>
  <c r="Q561" i="7"/>
  <c r="CV560" i="7"/>
  <c r="CP560" i="7"/>
  <c r="CC560" i="7"/>
  <c r="BP560" i="7"/>
  <c r="BJ560" i="7"/>
  <c r="AW560" i="7"/>
  <c r="AQ560" i="7"/>
  <c r="W560" i="7"/>
  <c r="Q560" i="7"/>
  <c r="CV559" i="7"/>
  <c r="CP559" i="7"/>
  <c r="CC559" i="7"/>
  <c r="BP559" i="7"/>
  <c r="BJ559" i="7"/>
  <c r="AW559" i="7"/>
  <c r="AQ559" i="7"/>
  <c r="W559" i="7"/>
  <c r="Q559" i="7"/>
  <c r="CV558" i="7"/>
  <c r="CP558" i="7"/>
  <c r="CC558" i="7"/>
  <c r="BP558" i="7"/>
  <c r="BJ558" i="7"/>
  <c r="AW558" i="7"/>
  <c r="AQ558" i="7"/>
  <c r="W558" i="7"/>
  <c r="Q558" i="7"/>
  <c r="CV557" i="7"/>
  <c r="CP557" i="7"/>
  <c r="CC557" i="7"/>
  <c r="BP557" i="7"/>
  <c r="BJ557" i="7"/>
  <c r="AW557" i="7"/>
  <c r="AQ557" i="7"/>
  <c r="W557" i="7"/>
  <c r="Q557" i="7"/>
  <c r="CV556" i="7"/>
  <c r="CP556" i="7"/>
  <c r="CC556" i="7"/>
  <c r="BP556" i="7"/>
  <c r="BJ556" i="7"/>
  <c r="AW556" i="7"/>
  <c r="AQ556" i="7"/>
  <c r="W556" i="7"/>
  <c r="Q556" i="7"/>
  <c r="CV555" i="7"/>
  <c r="CP555" i="7"/>
  <c r="CC555" i="7"/>
  <c r="BP555" i="7"/>
  <c r="BJ555" i="7"/>
  <c r="AW555" i="7"/>
  <c r="AQ555" i="7"/>
  <c r="W555" i="7"/>
  <c r="Q555" i="7"/>
  <c r="CV554" i="7"/>
  <c r="CP554" i="7"/>
  <c r="CC554" i="7"/>
  <c r="BP554" i="7"/>
  <c r="BJ554" i="7"/>
  <c r="AW554" i="7"/>
  <c r="AQ554" i="7"/>
  <c r="W554" i="7"/>
  <c r="Q554" i="7"/>
  <c r="CV553" i="7"/>
  <c r="CP553" i="7"/>
  <c r="CC553" i="7"/>
  <c r="BP553" i="7"/>
  <c r="BJ553" i="7"/>
  <c r="AW553" i="7"/>
  <c r="AQ553" i="7"/>
  <c r="W553" i="7"/>
  <c r="Q553" i="7"/>
  <c r="CV552" i="7"/>
  <c r="CP552" i="7"/>
  <c r="CC552" i="7"/>
  <c r="BP552" i="7"/>
  <c r="BJ552" i="7"/>
  <c r="AW552" i="7"/>
  <c r="AQ552" i="7"/>
  <c r="W552" i="7"/>
  <c r="Q552" i="7"/>
  <c r="CV551" i="7"/>
  <c r="CP551" i="7"/>
  <c r="CC551" i="7"/>
  <c r="BP551" i="7"/>
  <c r="BJ551" i="7"/>
  <c r="AW551" i="7"/>
  <c r="AQ551" i="7"/>
  <c r="W551" i="7"/>
  <c r="Q551" i="7"/>
  <c r="CV550" i="7"/>
  <c r="CP550" i="7"/>
  <c r="CC550" i="7"/>
  <c r="BP550" i="7"/>
  <c r="BJ550" i="7"/>
  <c r="AW550" i="7"/>
  <c r="AQ550" i="7"/>
  <c r="W550" i="7"/>
  <c r="Q550" i="7"/>
  <c r="CV549" i="7"/>
  <c r="CP549" i="7"/>
  <c r="CC549" i="7"/>
  <c r="BP549" i="7"/>
  <c r="BJ549" i="7"/>
  <c r="AW549" i="7"/>
  <c r="AQ549" i="7"/>
  <c r="W549" i="7"/>
  <c r="Q549" i="7"/>
  <c r="CV548" i="7"/>
  <c r="CP548" i="7"/>
  <c r="CC548" i="7"/>
  <c r="BP548" i="7"/>
  <c r="BJ548" i="7"/>
  <c r="AW548" i="7"/>
  <c r="AQ548" i="7"/>
  <c r="W548" i="7"/>
  <c r="Q548" i="7"/>
  <c r="CV547" i="7"/>
  <c r="CP547" i="7"/>
  <c r="CC547" i="7"/>
  <c r="BP547" i="7"/>
  <c r="BJ547" i="7"/>
  <c r="AW547" i="7"/>
  <c r="AQ547" i="7"/>
  <c r="W547" i="7"/>
  <c r="Q547" i="7"/>
  <c r="CV546" i="7"/>
  <c r="CP546" i="7"/>
  <c r="CC546" i="7"/>
  <c r="BP546" i="7"/>
  <c r="BJ546" i="7"/>
  <c r="AW546" i="7"/>
  <c r="AQ546" i="7"/>
  <c r="W546" i="7"/>
  <c r="Q546" i="7"/>
  <c r="CV545" i="7"/>
  <c r="CP545" i="7"/>
  <c r="CC545" i="7"/>
  <c r="BP545" i="7"/>
  <c r="BJ545" i="7"/>
  <c r="AW545" i="7"/>
  <c r="AQ545" i="7"/>
  <c r="W545" i="7"/>
  <c r="Q545" i="7"/>
  <c r="CV544" i="7"/>
  <c r="CP544" i="7"/>
  <c r="CC544" i="7"/>
  <c r="BP544" i="7"/>
  <c r="BJ544" i="7"/>
  <c r="AW544" i="7"/>
  <c r="AQ544" i="7"/>
  <c r="W544" i="7"/>
  <c r="Q544" i="7"/>
  <c r="CV543" i="7"/>
  <c r="CP543" i="7"/>
  <c r="CC543" i="7"/>
  <c r="BP543" i="7"/>
  <c r="BJ543" i="7"/>
  <c r="AW543" i="7"/>
  <c r="AQ543" i="7"/>
  <c r="W543" i="7"/>
  <c r="Q543" i="7"/>
  <c r="CV542" i="7"/>
  <c r="CP542" i="7"/>
  <c r="CC542" i="7"/>
  <c r="BP542" i="7"/>
  <c r="BJ542" i="7"/>
  <c r="AW542" i="7"/>
  <c r="AQ542" i="7"/>
  <c r="W542" i="7"/>
  <c r="Q542" i="7"/>
  <c r="CV541" i="7"/>
  <c r="CP541" i="7"/>
  <c r="CC541" i="7"/>
  <c r="BP541" i="7"/>
  <c r="BJ541" i="7"/>
  <c r="AW541" i="7"/>
  <c r="AQ541" i="7"/>
  <c r="W541" i="7"/>
  <c r="Q541" i="7"/>
  <c r="CV540" i="7"/>
  <c r="CP540" i="7"/>
  <c r="CC540" i="7"/>
  <c r="BP540" i="7"/>
  <c r="BJ540" i="7"/>
  <c r="AW540" i="7"/>
  <c r="AQ540" i="7"/>
  <c r="W540" i="7"/>
  <c r="Q540" i="7"/>
  <c r="CV539" i="7"/>
  <c r="CP539" i="7"/>
  <c r="CC539" i="7"/>
  <c r="BP539" i="7"/>
  <c r="BJ539" i="7"/>
  <c r="AW539" i="7"/>
  <c r="AQ539" i="7"/>
  <c r="W539" i="7"/>
  <c r="Q539" i="7"/>
  <c r="CV538" i="7"/>
  <c r="CP538" i="7"/>
  <c r="CC538" i="7"/>
  <c r="BP538" i="7"/>
  <c r="BJ538" i="7"/>
  <c r="AW538" i="7"/>
  <c r="AQ538" i="7"/>
  <c r="W538" i="7"/>
  <c r="Q538" i="7"/>
  <c r="CV537" i="7"/>
  <c r="CP537" i="7"/>
  <c r="CC537" i="7"/>
  <c r="BP537" i="7"/>
  <c r="BJ537" i="7"/>
  <c r="AW537" i="7"/>
  <c r="AQ537" i="7"/>
  <c r="W537" i="7"/>
  <c r="Q537" i="7"/>
  <c r="CV536" i="7"/>
  <c r="CP536" i="7"/>
  <c r="CC536" i="7"/>
  <c r="BP536" i="7"/>
  <c r="BJ536" i="7"/>
  <c r="AW536" i="7"/>
  <c r="AQ536" i="7"/>
  <c r="W536" i="7"/>
  <c r="Q536" i="7"/>
  <c r="CV535" i="7"/>
  <c r="CP535" i="7"/>
  <c r="CC535" i="7"/>
  <c r="BP535" i="7"/>
  <c r="BJ535" i="7"/>
  <c r="AW535" i="7"/>
  <c r="AQ535" i="7"/>
  <c r="W535" i="7"/>
  <c r="Q535" i="7"/>
  <c r="CV534" i="7"/>
  <c r="CP534" i="7"/>
  <c r="CC534" i="7"/>
  <c r="BP534" i="7"/>
  <c r="BJ534" i="7"/>
  <c r="AW534" i="7"/>
  <c r="AQ534" i="7"/>
  <c r="W534" i="7"/>
  <c r="Q534" i="7"/>
  <c r="CV533" i="7"/>
  <c r="CP533" i="7"/>
  <c r="CC533" i="7"/>
  <c r="BP533" i="7"/>
  <c r="BJ533" i="7"/>
  <c r="AW533" i="7"/>
  <c r="AQ533" i="7"/>
  <c r="W533" i="7"/>
  <c r="Q533" i="7"/>
  <c r="CV532" i="7"/>
  <c r="CP532" i="7"/>
  <c r="CC532" i="7"/>
  <c r="BP532" i="7"/>
  <c r="BJ532" i="7"/>
  <c r="AW532" i="7"/>
  <c r="AQ532" i="7"/>
  <c r="W532" i="7"/>
  <c r="Q532" i="7"/>
  <c r="CV531" i="7"/>
  <c r="CP531" i="7"/>
  <c r="CC531" i="7"/>
  <c r="BP531" i="7"/>
  <c r="BJ531" i="7"/>
  <c r="AW531" i="7"/>
  <c r="AQ531" i="7"/>
  <c r="W531" i="7"/>
  <c r="Q531" i="7"/>
  <c r="CV530" i="7"/>
  <c r="CP530" i="7"/>
  <c r="CC530" i="7"/>
  <c r="BP530" i="7"/>
  <c r="BJ530" i="7"/>
  <c r="AW530" i="7"/>
  <c r="AQ530" i="7"/>
  <c r="W530" i="7"/>
  <c r="Q530" i="7"/>
  <c r="CV529" i="7"/>
  <c r="CP529" i="7"/>
  <c r="CC529" i="7"/>
  <c r="BP529" i="7"/>
  <c r="BJ529" i="7"/>
  <c r="AW529" i="7"/>
  <c r="AQ529" i="7"/>
  <c r="W529" i="7"/>
  <c r="Q529" i="7"/>
  <c r="CV528" i="7"/>
  <c r="CP528" i="7"/>
  <c r="CC528" i="7"/>
  <c r="BP528" i="7"/>
  <c r="BJ528" i="7"/>
  <c r="AW528" i="7"/>
  <c r="AQ528" i="7"/>
  <c r="W528" i="7"/>
  <c r="Q528" i="7"/>
  <c r="CV527" i="7"/>
  <c r="CP527" i="7"/>
  <c r="CC527" i="7"/>
  <c r="BP527" i="7"/>
  <c r="BJ527" i="7"/>
  <c r="AW527" i="7"/>
  <c r="AQ527" i="7"/>
  <c r="W527" i="7"/>
  <c r="Q527" i="7"/>
  <c r="CV526" i="7"/>
  <c r="CP526" i="7"/>
  <c r="CC526" i="7"/>
  <c r="BP526" i="7"/>
  <c r="BJ526" i="7"/>
  <c r="AW526" i="7"/>
  <c r="AQ526" i="7"/>
  <c r="W526" i="7"/>
  <c r="Q526" i="7"/>
  <c r="CV525" i="7"/>
  <c r="CP525" i="7"/>
  <c r="CC525" i="7"/>
  <c r="BP525" i="7"/>
  <c r="BJ525" i="7"/>
  <c r="AW525" i="7"/>
  <c r="AQ525" i="7"/>
  <c r="W525" i="7"/>
  <c r="Q525" i="7"/>
  <c r="CV524" i="7"/>
  <c r="CP524" i="7"/>
  <c r="CC524" i="7"/>
  <c r="BP524" i="7"/>
  <c r="BJ524" i="7"/>
  <c r="AW524" i="7"/>
  <c r="AQ524" i="7"/>
  <c r="W524" i="7"/>
  <c r="Q524" i="7"/>
  <c r="CV523" i="7"/>
  <c r="CP523" i="7"/>
  <c r="CC523" i="7"/>
  <c r="BP523" i="7"/>
  <c r="BJ523" i="7"/>
  <c r="AW523" i="7"/>
  <c r="AQ523" i="7"/>
  <c r="W523" i="7"/>
  <c r="Q523" i="7"/>
  <c r="CV522" i="7"/>
  <c r="CP522" i="7"/>
  <c r="CC522" i="7"/>
  <c r="BP522" i="7"/>
  <c r="BJ522" i="7"/>
  <c r="AW522" i="7"/>
  <c r="AQ522" i="7"/>
  <c r="W522" i="7"/>
  <c r="Q522" i="7"/>
  <c r="CV521" i="7"/>
  <c r="CP521" i="7"/>
  <c r="CC521" i="7"/>
  <c r="BP521" i="7"/>
  <c r="BJ521" i="7"/>
  <c r="AW521" i="7"/>
  <c r="AQ521" i="7"/>
  <c r="W521" i="7"/>
  <c r="Q521" i="7"/>
  <c r="CV520" i="7"/>
  <c r="CP520" i="7"/>
  <c r="CC520" i="7"/>
  <c r="BP520" i="7"/>
  <c r="BJ520" i="7"/>
  <c r="AW520" i="7"/>
  <c r="AQ520" i="7"/>
  <c r="W520" i="7"/>
  <c r="Q520" i="7"/>
  <c r="CV519" i="7"/>
  <c r="CP519" i="7"/>
  <c r="CC519" i="7"/>
  <c r="BP519" i="7"/>
  <c r="BJ519" i="7"/>
  <c r="AW519" i="7"/>
  <c r="AQ519" i="7"/>
  <c r="W519" i="7"/>
  <c r="Q519" i="7"/>
  <c r="CV518" i="7"/>
  <c r="CP518" i="7"/>
  <c r="CC518" i="7"/>
  <c r="BP518" i="7"/>
  <c r="BJ518" i="7"/>
  <c r="AW518" i="7"/>
  <c r="AQ518" i="7"/>
  <c r="W518" i="7"/>
  <c r="Q518" i="7"/>
  <c r="CV517" i="7"/>
  <c r="CP517" i="7"/>
  <c r="CC517" i="7"/>
  <c r="BP517" i="7"/>
  <c r="BJ517" i="7"/>
  <c r="AW517" i="7"/>
  <c r="AQ517" i="7"/>
  <c r="W517" i="7"/>
  <c r="Q517" i="7"/>
  <c r="CV516" i="7"/>
  <c r="CP516" i="7"/>
  <c r="CC516" i="7"/>
  <c r="BP516" i="7"/>
  <c r="BJ516" i="7"/>
  <c r="AW516" i="7"/>
  <c r="AQ516" i="7"/>
  <c r="W516" i="7"/>
  <c r="Q516" i="7"/>
  <c r="CV515" i="7"/>
  <c r="CP515" i="7"/>
  <c r="CC515" i="7"/>
  <c r="BP515" i="7"/>
  <c r="BJ515" i="7"/>
  <c r="AW515" i="7"/>
  <c r="AQ515" i="7"/>
  <c r="W515" i="7"/>
  <c r="Q515" i="7"/>
  <c r="CV514" i="7"/>
  <c r="CP514" i="7"/>
  <c r="CC514" i="7"/>
  <c r="BP514" i="7"/>
  <c r="BJ514" i="7"/>
  <c r="AW514" i="7"/>
  <c r="AQ514" i="7"/>
  <c r="W514" i="7"/>
  <c r="Q514" i="7"/>
  <c r="CV513" i="7"/>
  <c r="CP513" i="7"/>
  <c r="CC513" i="7"/>
  <c r="BP513" i="7"/>
  <c r="BJ513" i="7"/>
  <c r="AW513" i="7"/>
  <c r="AQ513" i="7"/>
  <c r="W513" i="7"/>
  <c r="Q513" i="7"/>
  <c r="CV512" i="7"/>
  <c r="CP512" i="7"/>
  <c r="CC512" i="7"/>
  <c r="BP512" i="7"/>
  <c r="BJ512" i="7"/>
  <c r="AW512" i="7"/>
  <c r="AQ512" i="7"/>
  <c r="W512" i="7"/>
  <c r="Q512" i="7"/>
  <c r="CV511" i="7"/>
  <c r="CP511" i="7"/>
  <c r="CC511" i="7"/>
  <c r="BP511" i="7"/>
  <c r="BJ511" i="7"/>
  <c r="AW511" i="7"/>
  <c r="AQ511" i="7"/>
  <c r="W511" i="7"/>
  <c r="Q511" i="7"/>
  <c r="CV510" i="7"/>
  <c r="CP510" i="7"/>
  <c r="CC510" i="7"/>
  <c r="BP510" i="7"/>
  <c r="BJ510" i="7"/>
  <c r="AW510" i="7"/>
  <c r="AQ510" i="7"/>
  <c r="W510" i="7"/>
  <c r="Q510" i="7"/>
  <c r="CV509" i="7"/>
  <c r="CP509" i="7"/>
  <c r="CC509" i="7"/>
  <c r="BP509" i="7"/>
  <c r="BJ509" i="7"/>
  <c r="AW509" i="7"/>
  <c r="AQ509" i="7"/>
  <c r="W509" i="7"/>
  <c r="Q509" i="7"/>
  <c r="CV508" i="7"/>
  <c r="CP508" i="7"/>
  <c r="CC508" i="7"/>
  <c r="BP508" i="7"/>
  <c r="BJ508" i="7"/>
  <c r="AW508" i="7"/>
  <c r="AQ508" i="7"/>
  <c r="W508" i="7"/>
  <c r="Q508" i="7"/>
  <c r="CV507" i="7"/>
  <c r="CP507" i="7"/>
  <c r="CC507" i="7"/>
  <c r="BP507" i="7"/>
  <c r="BJ507" i="7"/>
  <c r="AW507" i="7"/>
  <c r="AQ507" i="7"/>
  <c r="W507" i="7"/>
  <c r="Q507" i="7"/>
  <c r="CV506" i="7"/>
  <c r="CP506" i="7"/>
  <c r="CC506" i="7"/>
  <c r="BP506" i="7"/>
  <c r="BJ506" i="7"/>
  <c r="AW506" i="7"/>
  <c r="AQ506" i="7"/>
  <c r="W506" i="7"/>
  <c r="Q506" i="7"/>
  <c r="CV505" i="7"/>
  <c r="CP505" i="7"/>
  <c r="CC505" i="7"/>
  <c r="BP505" i="7"/>
  <c r="BJ505" i="7"/>
  <c r="AW505" i="7"/>
  <c r="AQ505" i="7"/>
  <c r="W505" i="7"/>
  <c r="Q505" i="7"/>
  <c r="CV504" i="7"/>
  <c r="CP504" i="7"/>
  <c r="CC504" i="7"/>
  <c r="BP504" i="7"/>
  <c r="BJ504" i="7"/>
  <c r="AW504" i="7"/>
  <c r="AQ504" i="7"/>
  <c r="W504" i="7"/>
  <c r="Q504" i="7"/>
  <c r="CV503" i="7"/>
  <c r="CP503" i="7"/>
  <c r="CC503" i="7"/>
  <c r="BP503" i="7"/>
  <c r="BJ503" i="7"/>
  <c r="AW503" i="7"/>
  <c r="AQ503" i="7"/>
  <c r="W503" i="7"/>
  <c r="Q503" i="7"/>
  <c r="CV502" i="7"/>
  <c r="CP502" i="7"/>
  <c r="CC502" i="7"/>
  <c r="BP502" i="7"/>
  <c r="BJ502" i="7"/>
  <c r="AW502" i="7"/>
  <c r="AQ502" i="7"/>
  <c r="W502" i="7"/>
  <c r="Q502" i="7"/>
  <c r="CV501" i="7"/>
  <c r="CP501" i="7"/>
  <c r="CC501" i="7"/>
  <c r="BP501" i="7"/>
  <c r="BJ501" i="7"/>
  <c r="AW501" i="7"/>
  <c r="AQ501" i="7"/>
  <c r="W501" i="7"/>
  <c r="Q501" i="7"/>
  <c r="CV500" i="7"/>
  <c r="CP500" i="7"/>
  <c r="CC500" i="7"/>
  <c r="BP500" i="7"/>
  <c r="BJ500" i="7"/>
  <c r="AW500" i="7"/>
  <c r="AQ500" i="7"/>
  <c r="W500" i="7"/>
  <c r="Q500" i="7"/>
  <c r="CV499" i="7"/>
  <c r="CP499" i="7"/>
  <c r="CC499" i="7"/>
  <c r="BP499" i="7"/>
  <c r="BJ499" i="7"/>
  <c r="AW499" i="7"/>
  <c r="AQ499" i="7"/>
  <c r="W499" i="7"/>
  <c r="Q499" i="7"/>
  <c r="CV498" i="7"/>
  <c r="CP498" i="7"/>
  <c r="CC498" i="7"/>
  <c r="BP498" i="7"/>
  <c r="BJ498" i="7"/>
  <c r="AW498" i="7"/>
  <c r="AQ498" i="7"/>
  <c r="W498" i="7"/>
  <c r="Q498" i="7"/>
  <c r="CV497" i="7"/>
  <c r="CP497" i="7"/>
  <c r="CC497" i="7"/>
  <c r="BP497" i="7"/>
  <c r="BJ497" i="7"/>
  <c r="AW497" i="7"/>
  <c r="AQ497" i="7"/>
  <c r="W497" i="7"/>
  <c r="Q497" i="7"/>
  <c r="CV496" i="7"/>
  <c r="CP496" i="7"/>
  <c r="CC496" i="7"/>
  <c r="BP496" i="7"/>
  <c r="BJ496" i="7"/>
  <c r="AW496" i="7"/>
  <c r="AQ496" i="7"/>
  <c r="W496" i="7"/>
  <c r="Q496" i="7"/>
  <c r="CV495" i="7"/>
  <c r="CP495" i="7"/>
  <c r="CC495" i="7"/>
  <c r="BP495" i="7"/>
  <c r="BJ495" i="7"/>
  <c r="AW495" i="7"/>
  <c r="AQ495" i="7"/>
  <c r="W495" i="7"/>
  <c r="Q495" i="7"/>
  <c r="CV494" i="7"/>
  <c r="CP494" i="7"/>
  <c r="CC494" i="7"/>
  <c r="BP494" i="7"/>
  <c r="BJ494" i="7"/>
  <c r="AW494" i="7"/>
  <c r="AQ494" i="7"/>
  <c r="W494" i="7"/>
  <c r="Q494" i="7"/>
  <c r="CV493" i="7"/>
  <c r="CP493" i="7"/>
  <c r="CC493" i="7"/>
  <c r="BP493" i="7"/>
  <c r="BJ493" i="7"/>
  <c r="AW493" i="7"/>
  <c r="AQ493" i="7"/>
  <c r="W493" i="7"/>
  <c r="Q493" i="7"/>
  <c r="CV492" i="7"/>
  <c r="CP492" i="7"/>
  <c r="CC492" i="7"/>
  <c r="BP492" i="7"/>
  <c r="BJ492" i="7"/>
  <c r="AW492" i="7"/>
  <c r="AQ492" i="7"/>
  <c r="W492" i="7"/>
  <c r="Q492" i="7"/>
  <c r="CV491" i="7"/>
  <c r="CP491" i="7"/>
  <c r="CC491" i="7"/>
  <c r="BP491" i="7"/>
  <c r="BJ491" i="7"/>
  <c r="AW491" i="7"/>
  <c r="AQ491" i="7"/>
  <c r="W491" i="7"/>
  <c r="Q491" i="7"/>
  <c r="CV490" i="7"/>
  <c r="CP490" i="7"/>
  <c r="CC490" i="7"/>
  <c r="BP490" i="7"/>
  <c r="BJ490" i="7"/>
  <c r="AW490" i="7"/>
  <c r="AQ490" i="7"/>
  <c r="W490" i="7"/>
  <c r="Q490" i="7"/>
  <c r="CV489" i="7"/>
  <c r="CP489" i="7"/>
  <c r="CC489" i="7"/>
  <c r="BP489" i="7"/>
  <c r="BJ489" i="7"/>
  <c r="AW489" i="7"/>
  <c r="AQ489" i="7"/>
  <c r="W489" i="7"/>
  <c r="Q489" i="7"/>
  <c r="CV488" i="7"/>
  <c r="CP488" i="7"/>
  <c r="CC488" i="7"/>
  <c r="BP488" i="7"/>
  <c r="BJ488" i="7"/>
  <c r="AW488" i="7"/>
  <c r="AQ488" i="7"/>
  <c r="W488" i="7"/>
  <c r="Q488" i="7"/>
  <c r="CV487" i="7"/>
  <c r="CP487" i="7"/>
  <c r="CC487" i="7"/>
  <c r="BP487" i="7"/>
  <c r="BJ487" i="7"/>
  <c r="AW487" i="7"/>
  <c r="AQ487" i="7"/>
  <c r="W487" i="7"/>
  <c r="Q487" i="7"/>
  <c r="CV486" i="7"/>
  <c r="CP486" i="7"/>
  <c r="CC486" i="7"/>
  <c r="BP486" i="7"/>
  <c r="BJ486" i="7"/>
  <c r="AW486" i="7"/>
  <c r="AQ486" i="7"/>
  <c r="W486" i="7"/>
  <c r="Q486" i="7"/>
  <c r="CV485" i="7"/>
  <c r="CP485" i="7"/>
  <c r="CC485" i="7"/>
  <c r="BP485" i="7"/>
  <c r="BJ485" i="7"/>
  <c r="AW485" i="7"/>
  <c r="AQ485" i="7"/>
  <c r="W485" i="7"/>
  <c r="Q485" i="7"/>
  <c r="CV484" i="7"/>
  <c r="CP484" i="7"/>
  <c r="CC484" i="7"/>
  <c r="BP484" i="7"/>
  <c r="BJ484" i="7"/>
  <c r="AW484" i="7"/>
  <c r="AQ484" i="7"/>
  <c r="W484" i="7"/>
  <c r="Q484" i="7"/>
  <c r="CV483" i="7"/>
  <c r="CP483" i="7"/>
  <c r="CC483" i="7"/>
  <c r="BP483" i="7"/>
  <c r="BJ483" i="7"/>
  <c r="AW483" i="7"/>
  <c r="AQ483" i="7"/>
  <c r="W483" i="7"/>
  <c r="Q483" i="7"/>
  <c r="CV482" i="7"/>
  <c r="CP482" i="7"/>
  <c r="CC482" i="7"/>
  <c r="BP482" i="7"/>
  <c r="BJ482" i="7"/>
  <c r="AW482" i="7"/>
  <c r="AQ482" i="7"/>
  <c r="W482" i="7"/>
  <c r="Q482" i="7"/>
  <c r="CV481" i="7"/>
  <c r="CP481" i="7"/>
  <c r="CC481" i="7"/>
  <c r="BP481" i="7"/>
  <c r="BJ481" i="7"/>
  <c r="AW481" i="7"/>
  <c r="AQ481" i="7"/>
  <c r="W481" i="7"/>
  <c r="Q481" i="7"/>
  <c r="CV480" i="7"/>
  <c r="CP480" i="7"/>
  <c r="CC480" i="7"/>
  <c r="BP480" i="7"/>
  <c r="BJ480" i="7"/>
  <c r="AW480" i="7"/>
  <c r="AQ480" i="7"/>
  <c r="W480" i="7"/>
  <c r="Q480" i="7"/>
  <c r="CV479" i="7"/>
  <c r="CP479" i="7"/>
  <c r="CC479" i="7"/>
  <c r="BP479" i="7"/>
  <c r="BJ479" i="7"/>
  <c r="AW479" i="7"/>
  <c r="AQ479" i="7"/>
  <c r="W479" i="7"/>
  <c r="Q479" i="7"/>
  <c r="CV478" i="7"/>
  <c r="CP478" i="7"/>
  <c r="CC478" i="7"/>
  <c r="BP478" i="7"/>
  <c r="BJ478" i="7"/>
  <c r="AW478" i="7"/>
  <c r="AQ478" i="7"/>
  <c r="W478" i="7"/>
  <c r="Q478" i="7"/>
  <c r="CV477" i="7"/>
  <c r="CP477" i="7"/>
  <c r="CC477" i="7"/>
  <c r="BP477" i="7"/>
  <c r="BJ477" i="7"/>
  <c r="AW477" i="7"/>
  <c r="AQ477" i="7"/>
  <c r="W477" i="7"/>
  <c r="Q477" i="7"/>
  <c r="CV476" i="7"/>
  <c r="CP476" i="7"/>
  <c r="CC476" i="7"/>
  <c r="BP476" i="7"/>
  <c r="BJ476" i="7"/>
  <c r="AW476" i="7"/>
  <c r="AQ476" i="7"/>
  <c r="W476" i="7"/>
  <c r="Q476" i="7"/>
  <c r="CV475" i="7"/>
  <c r="CP475" i="7"/>
  <c r="CC475" i="7"/>
  <c r="BP475" i="7"/>
  <c r="BJ475" i="7"/>
  <c r="AW475" i="7"/>
  <c r="AQ475" i="7"/>
  <c r="W475" i="7"/>
  <c r="Q475" i="7"/>
  <c r="CV474" i="7"/>
  <c r="CP474" i="7"/>
  <c r="CC474" i="7"/>
  <c r="BP474" i="7"/>
  <c r="BJ474" i="7"/>
  <c r="AW474" i="7"/>
  <c r="AQ474" i="7"/>
  <c r="W474" i="7"/>
  <c r="Q474" i="7"/>
  <c r="CV473" i="7"/>
  <c r="CP473" i="7"/>
  <c r="CC473" i="7"/>
  <c r="BP473" i="7"/>
  <c r="BJ473" i="7"/>
  <c r="AW473" i="7"/>
  <c r="AQ473" i="7"/>
  <c r="W473" i="7"/>
  <c r="Q473" i="7"/>
  <c r="CV472" i="7"/>
  <c r="CP472" i="7"/>
  <c r="CC472" i="7"/>
  <c r="BP472" i="7"/>
  <c r="BJ472" i="7"/>
  <c r="AW472" i="7"/>
  <c r="AQ472" i="7"/>
  <c r="W472" i="7"/>
  <c r="Q472" i="7"/>
  <c r="CV471" i="7"/>
  <c r="CP471" i="7"/>
  <c r="CC471" i="7"/>
  <c r="BP471" i="7"/>
  <c r="BJ471" i="7"/>
  <c r="AW471" i="7"/>
  <c r="AQ471" i="7"/>
  <c r="W471" i="7"/>
  <c r="Q471" i="7"/>
  <c r="CV470" i="7"/>
  <c r="CP470" i="7"/>
  <c r="CC470" i="7"/>
  <c r="BP470" i="7"/>
  <c r="BJ470" i="7"/>
  <c r="AW470" i="7"/>
  <c r="AQ470" i="7"/>
  <c r="W470" i="7"/>
  <c r="Q470" i="7"/>
  <c r="CV469" i="7"/>
  <c r="CP469" i="7"/>
  <c r="CC469" i="7"/>
  <c r="BP469" i="7"/>
  <c r="BJ469" i="7"/>
  <c r="AW469" i="7"/>
  <c r="AQ469" i="7"/>
  <c r="W469" i="7"/>
  <c r="Q469" i="7"/>
  <c r="CV468" i="7"/>
  <c r="CP468" i="7"/>
  <c r="CC468" i="7"/>
  <c r="BP468" i="7"/>
  <c r="BJ468" i="7"/>
  <c r="AW468" i="7"/>
  <c r="AQ468" i="7"/>
  <c r="W468" i="7"/>
  <c r="Q468" i="7"/>
  <c r="CV467" i="7"/>
  <c r="CP467" i="7"/>
  <c r="CC467" i="7"/>
  <c r="BP467" i="7"/>
  <c r="BJ467" i="7"/>
  <c r="AW467" i="7"/>
  <c r="AQ467" i="7"/>
  <c r="W467" i="7"/>
  <c r="Q467" i="7"/>
  <c r="CV466" i="7"/>
  <c r="CP466" i="7"/>
  <c r="CC466" i="7"/>
  <c r="BP466" i="7"/>
  <c r="BJ466" i="7"/>
  <c r="AW466" i="7"/>
  <c r="AQ466" i="7"/>
  <c r="W466" i="7"/>
  <c r="Q466" i="7"/>
  <c r="CV465" i="7"/>
  <c r="CP465" i="7"/>
  <c r="CC465" i="7"/>
  <c r="BP465" i="7"/>
  <c r="BJ465" i="7"/>
  <c r="AW465" i="7"/>
  <c r="AQ465" i="7"/>
  <c r="W465" i="7"/>
  <c r="Q465" i="7"/>
  <c r="CV464" i="7"/>
  <c r="CP464" i="7"/>
  <c r="CC464" i="7"/>
  <c r="BP464" i="7"/>
  <c r="BJ464" i="7"/>
  <c r="AW464" i="7"/>
  <c r="AQ464" i="7"/>
  <c r="W464" i="7"/>
  <c r="Q464" i="7"/>
  <c r="CV463" i="7"/>
  <c r="CP463" i="7"/>
  <c r="CC463" i="7"/>
  <c r="BP463" i="7"/>
  <c r="BJ463" i="7"/>
  <c r="AW463" i="7"/>
  <c r="AQ463" i="7"/>
  <c r="W463" i="7"/>
  <c r="Q463" i="7"/>
  <c r="CV462" i="7"/>
  <c r="CP462" i="7"/>
  <c r="CC462" i="7"/>
  <c r="BP462" i="7"/>
  <c r="BJ462" i="7"/>
  <c r="AW462" i="7"/>
  <c r="AQ462" i="7"/>
  <c r="W462" i="7"/>
  <c r="Q462" i="7"/>
  <c r="CV461" i="7"/>
  <c r="CP461" i="7"/>
  <c r="CC461" i="7"/>
  <c r="BP461" i="7"/>
  <c r="BJ461" i="7"/>
  <c r="AW461" i="7"/>
  <c r="AQ461" i="7"/>
  <c r="W461" i="7"/>
  <c r="Q461" i="7"/>
  <c r="CV460" i="7"/>
  <c r="CP460" i="7"/>
  <c r="CC460" i="7"/>
  <c r="BP460" i="7"/>
  <c r="BJ460" i="7"/>
  <c r="AW460" i="7"/>
  <c r="AQ460" i="7"/>
  <c r="W460" i="7"/>
  <c r="Q460" i="7"/>
  <c r="CV459" i="7"/>
  <c r="CP459" i="7"/>
  <c r="CC459" i="7"/>
  <c r="BP459" i="7"/>
  <c r="BJ459" i="7"/>
  <c r="AW459" i="7"/>
  <c r="AQ459" i="7"/>
  <c r="W459" i="7"/>
  <c r="Q459" i="7"/>
  <c r="CV458" i="7"/>
  <c r="CP458" i="7"/>
  <c r="CC458" i="7"/>
  <c r="BP458" i="7"/>
  <c r="BJ458" i="7"/>
  <c r="AW458" i="7"/>
  <c r="AQ458" i="7"/>
  <c r="W458" i="7"/>
  <c r="Q458" i="7"/>
  <c r="CV457" i="7"/>
  <c r="CP457" i="7"/>
  <c r="CC457" i="7"/>
  <c r="BP457" i="7"/>
  <c r="BJ457" i="7"/>
  <c r="AW457" i="7"/>
  <c r="AQ457" i="7"/>
  <c r="W457" i="7"/>
  <c r="Q457" i="7"/>
  <c r="CV456" i="7"/>
  <c r="CP456" i="7"/>
  <c r="CC456" i="7"/>
  <c r="BP456" i="7"/>
  <c r="BJ456" i="7"/>
  <c r="AW456" i="7"/>
  <c r="AQ456" i="7"/>
  <c r="W456" i="7"/>
  <c r="Q456" i="7"/>
  <c r="CV455" i="7"/>
  <c r="CP455" i="7"/>
  <c r="CC455" i="7"/>
  <c r="BP455" i="7"/>
  <c r="BJ455" i="7"/>
  <c r="AW455" i="7"/>
  <c r="AQ455" i="7"/>
  <c r="W455" i="7"/>
  <c r="Q455" i="7"/>
  <c r="CV454" i="7"/>
  <c r="CP454" i="7"/>
  <c r="CC454" i="7"/>
  <c r="BP454" i="7"/>
  <c r="BJ454" i="7"/>
  <c r="AW454" i="7"/>
  <c r="AQ454" i="7"/>
  <c r="W454" i="7"/>
  <c r="Q454" i="7"/>
  <c r="CV453" i="7"/>
  <c r="CP453" i="7"/>
  <c r="CC453" i="7"/>
  <c r="BP453" i="7"/>
  <c r="BJ453" i="7"/>
  <c r="AW453" i="7"/>
  <c r="AQ453" i="7"/>
  <c r="W453" i="7"/>
  <c r="Q453" i="7"/>
  <c r="CV452" i="7"/>
  <c r="CP452" i="7"/>
  <c r="CC452" i="7"/>
  <c r="BP452" i="7"/>
  <c r="BJ452" i="7"/>
  <c r="AW452" i="7"/>
  <c r="AQ452" i="7"/>
  <c r="W452" i="7"/>
  <c r="Q452" i="7"/>
  <c r="CV451" i="7"/>
  <c r="CP451" i="7"/>
  <c r="CC451" i="7"/>
  <c r="BP451" i="7"/>
  <c r="BJ451" i="7"/>
  <c r="AW451" i="7"/>
  <c r="AQ451" i="7"/>
  <c r="W451" i="7"/>
  <c r="Q451" i="7"/>
  <c r="CV450" i="7"/>
  <c r="CP450" i="7"/>
  <c r="CC450" i="7"/>
  <c r="BP450" i="7"/>
  <c r="BJ450" i="7"/>
  <c r="AW450" i="7"/>
  <c r="AQ450" i="7"/>
  <c r="W450" i="7"/>
  <c r="Q450" i="7"/>
  <c r="CV449" i="7"/>
  <c r="CP449" i="7"/>
  <c r="CC449" i="7"/>
  <c r="BP449" i="7"/>
  <c r="BJ449" i="7"/>
  <c r="AW449" i="7"/>
  <c r="AQ449" i="7"/>
  <c r="W449" i="7"/>
  <c r="Q449" i="7"/>
  <c r="CV448" i="7"/>
  <c r="CP448" i="7"/>
  <c r="CC448" i="7"/>
  <c r="BP448" i="7"/>
  <c r="BJ448" i="7"/>
  <c r="AW448" i="7"/>
  <c r="AQ448" i="7"/>
  <c r="W448" i="7"/>
  <c r="Q448" i="7"/>
  <c r="CV447" i="7"/>
  <c r="CP447" i="7"/>
  <c r="CC447" i="7"/>
  <c r="BP447" i="7"/>
  <c r="BJ447" i="7"/>
  <c r="AW447" i="7"/>
  <c r="AQ447" i="7"/>
  <c r="W447" i="7"/>
  <c r="Q447" i="7"/>
  <c r="CV446" i="7"/>
  <c r="CP446" i="7"/>
  <c r="CC446" i="7"/>
  <c r="BP446" i="7"/>
  <c r="BJ446" i="7"/>
  <c r="AW446" i="7"/>
  <c r="AQ446" i="7"/>
  <c r="W446" i="7"/>
  <c r="Q446" i="7"/>
  <c r="CV445" i="7"/>
  <c r="CP445" i="7"/>
  <c r="CC445" i="7"/>
  <c r="BP445" i="7"/>
  <c r="BJ445" i="7"/>
  <c r="AW445" i="7"/>
  <c r="AQ445" i="7"/>
  <c r="W445" i="7"/>
  <c r="Q445" i="7"/>
  <c r="CV444" i="7"/>
  <c r="CP444" i="7"/>
  <c r="CC444" i="7"/>
  <c r="BP444" i="7"/>
  <c r="BJ444" i="7"/>
  <c r="AW444" i="7"/>
  <c r="AQ444" i="7"/>
  <c r="W444" i="7"/>
  <c r="Q444" i="7"/>
  <c r="CV443" i="7"/>
  <c r="CP443" i="7"/>
  <c r="CC443" i="7"/>
  <c r="BP443" i="7"/>
  <c r="BJ443" i="7"/>
  <c r="AW443" i="7"/>
  <c r="AQ443" i="7"/>
  <c r="W443" i="7"/>
  <c r="Q443" i="7"/>
  <c r="CV442" i="7"/>
  <c r="CP442" i="7"/>
  <c r="CC442" i="7"/>
  <c r="BP442" i="7"/>
  <c r="BJ442" i="7"/>
  <c r="AW442" i="7"/>
  <c r="AQ442" i="7"/>
  <c r="W442" i="7"/>
  <c r="Q442" i="7"/>
  <c r="CV441" i="7"/>
  <c r="CP441" i="7"/>
  <c r="CC441" i="7"/>
  <c r="BP441" i="7"/>
  <c r="BJ441" i="7"/>
  <c r="AW441" i="7"/>
  <c r="AQ441" i="7"/>
  <c r="W441" i="7"/>
  <c r="Q441" i="7"/>
  <c r="CV440" i="7"/>
  <c r="CP440" i="7"/>
  <c r="CC440" i="7"/>
  <c r="BP440" i="7"/>
  <c r="BJ440" i="7"/>
  <c r="AW440" i="7"/>
  <c r="AQ440" i="7"/>
  <c r="W440" i="7"/>
  <c r="Q440" i="7"/>
  <c r="CV439" i="7"/>
  <c r="CP439" i="7"/>
  <c r="CC439" i="7"/>
  <c r="BP439" i="7"/>
  <c r="BJ439" i="7"/>
  <c r="AW439" i="7"/>
  <c r="AQ439" i="7"/>
  <c r="W439" i="7"/>
  <c r="Q439" i="7"/>
  <c r="CV438" i="7"/>
  <c r="CP438" i="7"/>
  <c r="CC438" i="7"/>
  <c r="BP438" i="7"/>
  <c r="BJ438" i="7"/>
  <c r="AW438" i="7"/>
  <c r="AQ438" i="7"/>
  <c r="W438" i="7"/>
  <c r="Q438" i="7"/>
  <c r="CV437" i="7"/>
  <c r="CP437" i="7"/>
  <c r="CC437" i="7"/>
  <c r="BP437" i="7"/>
  <c r="BJ437" i="7"/>
  <c r="AW437" i="7"/>
  <c r="AQ437" i="7"/>
  <c r="W437" i="7"/>
  <c r="Q437" i="7"/>
  <c r="CV436" i="7"/>
  <c r="CP436" i="7"/>
  <c r="CC436" i="7"/>
  <c r="BP436" i="7"/>
  <c r="BJ436" i="7"/>
  <c r="AW436" i="7"/>
  <c r="AQ436" i="7"/>
  <c r="W436" i="7"/>
  <c r="Q436" i="7"/>
  <c r="CV435" i="7"/>
  <c r="CP435" i="7"/>
  <c r="CC435" i="7"/>
  <c r="BP435" i="7"/>
  <c r="BJ435" i="7"/>
  <c r="AW435" i="7"/>
  <c r="AQ435" i="7"/>
  <c r="W435" i="7"/>
  <c r="Q435" i="7"/>
  <c r="CV434" i="7"/>
  <c r="CP434" i="7"/>
  <c r="CC434" i="7"/>
  <c r="BP434" i="7"/>
  <c r="BJ434" i="7"/>
  <c r="AW434" i="7"/>
  <c r="AQ434" i="7"/>
  <c r="W434" i="7"/>
  <c r="Q434" i="7"/>
  <c r="CV433" i="7"/>
  <c r="CP433" i="7"/>
  <c r="CC433" i="7"/>
  <c r="BP433" i="7"/>
  <c r="BJ433" i="7"/>
  <c r="AW433" i="7"/>
  <c r="AQ433" i="7"/>
  <c r="W433" i="7"/>
  <c r="Q433" i="7"/>
  <c r="CV432" i="7"/>
  <c r="CP432" i="7"/>
  <c r="CC432" i="7"/>
  <c r="BP432" i="7"/>
  <c r="BJ432" i="7"/>
  <c r="AW432" i="7"/>
  <c r="AQ432" i="7"/>
  <c r="W432" i="7"/>
  <c r="Q432" i="7"/>
  <c r="CV431" i="7"/>
  <c r="CP431" i="7"/>
  <c r="CC431" i="7"/>
  <c r="BP431" i="7"/>
  <c r="BJ431" i="7"/>
  <c r="AW431" i="7"/>
  <c r="AQ431" i="7"/>
  <c r="W431" i="7"/>
  <c r="Q431" i="7"/>
  <c r="CV430" i="7"/>
  <c r="CP430" i="7"/>
  <c r="CC430" i="7"/>
  <c r="BP430" i="7"/>
  <c r="BJ430" i="7"/>
  <c r="AW430" i="7"/>
  <c r="AQ430" i="7"/>
  <c r="W430" i="7"/>
  <c r="Q430" i="7"/>
  <c r="CV429" i="7"/>
  <c r="CP429" i="7"/>
  <c r="CC429" i="7"/>
  <c r="BP429" i="7"/>
  <c r="BJ429" i="7"/>
  <c r="AW429" i="7"/>
  <c r="AQ429" i="7"/>
  <c r="W429" i="7"/>
  <c r="Q429" i="7"/>
  <c r="CV428" i="7"/>
  <c r="CP428" i="7"/>
  <c r="CC428" i="7"/>
  <c r="BP428" i="7"/>
  <c r="BJ428" i="7"/>
  <c r="AW428" i="7"/>
  <c r="AQ428" i="7"/>
  <c r="W428" i="7"/>
  <c r="Q428" i="7"/>
  <c r="CV427" i="7"/>
  <c r="CP427" i="7"/>
  <c r="CC427" i="7"/>
  <c r="BP427" i="7"/>
  <c r="BJ427" i="7"/>
  <c r="AW427" i="7"/>
  <c r="AQ427" i="7"/>
  <c r="W427" i="7"/>
  <c r="Q427" i="7"/>
  <c r="CV426" i="7"/>
  <c r="CP426" i="7"/>
  <c r="CC426" i="7"/>
  <c r="BP426" i="7"/>
  <c r="BJ426" i="7"/>
  <c r="AW426" i="7"/>
  <c r="AQ426" i="7"/>
  <c r="W426" i="7"/>
  <c r="Q426" i="7"/>
  <c r="CV425" i="7"/>
  <c r="CP425" i="7"/>
  <c r="CC425" i="7"/>
  <c r="BP425" i="7"/>
  <c r="BJ425" i="7"/>
  <c r="AW425" i="7"/>
  <c r="AQ425" i="7"/>
  <c r="W425" i="7"/>
  <c r="Q425" i="7"/>
  <c r="CV424" i="7"/>
  <c r="CP424" i="7"/>
  <c r="CC424" i="7"/>
  <c r="BP424" i="7"/>
  <c r="BJ424" i="7"/>
  <c r="AW424" i="7"/>
  <c r="AQ424" i="7"/>
  <c r="W424" i="7"/>
  <c r="Q424" i="7"/>
  <c r="CV423" i="7"/>
  <c r="CP423" i="7"/>
  <c r="CC423" i="7"/>
  <c r="BP423" i="7"/>
  <c r="BJ423" i="7"/>
  <c r="AW423" i="7"/>
  <c r="AQ423" i="7"/>
  <c r="W423" i="7"/>
  <c r="Q423" i="7"/>
  <c r="CV422" i="7"/>
  <c r="CP422" i="7"/>
  <c r="CC422" i="7"/>
  <c r="BP422" i="7"/>
  <c r="BJ422" i="7"/>
  <c r="AW422" i="7"/>
  <c r="AQ422" i="7"/>
  <c r="W422" i="7"/>
  <c r="Q422" i="7"/>
  <c r="CV421" i="7"/>
  <c r="CP421" i="7"/>
  <c r="CC421" i="7"/>
  <c r="BP421" i="7"/>
  <c r="BJ421" i="7"/>
  <c r="AW421" i="7"/>
  <c r="AQ421" i="7"/>
  <c r="W421" i="7"/>
  <c r="Q421" i="7"/>
  <c r="CV420" i="7"/>
  <c r="CP420" i="7"/>
  <c r="CC420" i="7"/>
  <c r="BP420" i="7"/>
  <c r="BJ420" i="7"/>
  <c r="AW420" i="7"/>
  <c r="AQ420" i="7"/>
  <c r="W420" i="7"/>
  <c r="Q420" i="7"/>
  <c r="CV419" i="7"/>
  <c r="CP419" i="7"/>
  <c r="CC419" i="7"/>
  <c r="BP419" i="7"/>
  <c r="BJ419" i="7"/>
  <c r="AW419" i="7"/>
  <c r="AQ419" i="7"/>
  <c r="W419" i="7"/>
  <c r="Q419" i="7"/>
  <c r="CV418" i="7"/>
  <c r="CP418" i="7"/>
  <c r="CC418" i="7"/>
  <c r="BP418" i="7"/>
  <c r="BJ418" i="7"/>
  <c r="AW418" i="7"/>
  <c r="AQ418" i="7"/>
  <c r="W418" i="7"/>
  <c r="Q418" i="7"/>
  <c r="CV417" i="7"/>
  <c r="CP417" i="7"/>
  <c r="CC417" i="7"/>
  <c r="BP417" i="7"/>
  <c r="BJ417" i="7"/>
  <c r="AW417" i="7"/>
  <c r="AQ417" i="7"/>
  <c r="W417" i="7"/>
  <c r="Q417" i="7"/>
  <c r="CV416" i="7"/>
  <c r="CP416" i="7"/>
  <c r="CC416" i="7"/>
  <c r="BP416" i="7"/>
  <c r="BJ416" i="7"/>
  <c r="AW416" i="7"/>
  <c r="AQ416" i="7"/>
  <c r="W416" i="7"/>
  <c r="Q416" i="7"/>
  <c r="CV415" i="7"/>
  <c r="CP415" i="7"/>
  <c r="CC415" i="7"/>
  <c r="BP415" i="7"/>
  <c r="BJ415" i="7"/>
  <c r="AW415" i="7"/>
  <c r="AQ415" i="7"/>
  <c r="W415" i="7"/>
  <c r="Q415" i="7"/>
  <c r="CV414" i="7"/>
  <c r="CP414" i="7"/>
  <c r="CC414" i="7"/>
  <c r="BP414" i="7"/>
  <c r="BJ414" i="7"/>
  <c r="AW414" i="7"/>
  <c r="AQ414" i="7"/>
  <c r="W414" i="7"/>
  <c r="Q414" i="7"/>
  <c r="CV413" i="7"/>
  <c r="CP413" i="7"/>
  <c r="CC413" i="7"/>
  <c r="BP413" i="7"/>
  <c r="BJ413" i="7"/>
  <c r="AW413" i="7"/>
  <c r="AQ413" i="7"/>
  <c r="W413" i="7"/>
  <c r="Q413" i="7"/>
  <c r="CV412" i="7"/>
  <c r="CP412" i="7"/>
  <c r="CC412" i="7"/>
  <c r="BP412" i="7"/>
  <c r="BJ412" i="7"/>
  <c r="AW412" i="7"/>
  <c r="AQ412" i="7"/>
  <c r="W412" i="7"/>
  <c r="Q412" i="7"/>
  <c r="CV411" i="7"/>
  <c r="CP411" i="7"/>
  <c r="CC411" i="7"/>
  <c r="BP411" i="7"/>
  <c r="BJ411" i="7"/>
  <c r="AW411" i="7"/>
  <c r="AQ411" i="7"/>
  <c r="W411" i="7"/>
  <c r="Q411" i="7"/>
  <c r="CV410" i="7"/>
  <c r="CP410" i="7"/>
  <c r="CC410" i="7"/>
  <c r="BP410" i="7"/>
  <c r="BJ410" i="7"/>
  <c r="AW410" i="7"/>
  <c r="AQ410" i="7"/>
  <c r="W410" i="7"/>
  <c r="Q410" i="7"/>
  <c r="CV409" i="7"/>
  <c r="CP409" i="7"/>
  <c r="CC409" i="7"/>
  <c r="BP409" i="7"/>
  <c r="BJ409" i="7"/>
  <c r="AW409" i="7"/>
  <c r="AQ409" i="7"/>
  <c r="W409" i="7"/>
  <c r="Q409" i="7"/>
  <c r="CV408" i="7"/>
  <c r="CP408" i="7"/>
  <c r="CC408" i="7"/>
  <c r="BP408" i="7"/>
  <c r="BJ408" i="7"/>
  <c r="AW408" i="7"/>
  <c r="AQ408" i="7"/>
  <c r="W408" i="7"/>
  <c r="Q408" i="7"/>
  <c r="CV407" i="7"/>
  <c r="CP407" i="7"/>
  <c r="CC407" i="7"/>
  <c r="BP407" i="7"/>
  <c r="BJ407" i="7"/>
  <c r="AW407" i="7"/>
  <c r="AQ407" i="7"/>
  <c r="W407" i="7"/>
  <c r="Q407" i="7"/>
  <c r="CV406" i="7"/>
  <c r="CP406" i="7"/>
  <c r="CC406" i="7"/>
  <c r="BP406" i="7"/>
  <c r="BJ406" i="7"/>
  <c r="AW406" i="7"/>
  <c r="AQ406" i="7"/>
  <c r="W406" i="7"/>
  <c r="Q406" i="7"/>
  <c r="CV405" i="7"/>
  <c r="CP405" i="7"/>
  <c r="CC405" i="7"/>
  <c r="BP405" i="7"/>
  <c r="BJ405" i="7"/>
  <c r="AW405" i="7"/>
  <c r="AQ405" i="7"/>
  <c r="W405" i="7"/>
  <c r="Q405" i="7"/>
  <c r="CV404" i="7"/>
  <c r="CP404" i="7"/>
  <c r="CC404" i="7"/>
  <c r="BP404" i="7"/>
  <c r="BJ404" i="7"/>
  <c r="AW404" i="7"/>
  <c r="AQ404" i="7"/>
  <c r="W404" i="7"/>
  <c r="Q404" i="7"/>
  <c r="CV403" i="7"/>
  <c r="CP403" i="7"/>
  <c r="CC403" i="7"/>
  <c r="BP403" i="7"/>
  <c r="BJ403" i="7"/>
  <c r="AW403" i="7"/>
  <c r="AQ403" i="7"/>
  <c r="W403" i="7"/>
  <c r="Q403" i="7"/>
  <c r="CV402" i="7"/>
  <c r="CP402" i="7"/>
  <c r="CC402" i="7"/>
  <c r="BP402" i="7"/>
  <c r="BJ402" i="7"/>
  <c r="AW402" i="7"/>
  <c r="AQ402" i="7"/>
  <c r="W402" i="7"/>
  <c r="Q402" i="7"/>
  <c r="CV401" i="7"/>
  <c r="CP401" i="7"/>
  <c r="CC401" i="7"/>
  <c r="BP401" i="7"/>
  <c r="BJ401" i="7"/>
  <c r="AW401" i="7"/>
  <c r="AQ401" i="7"/>
  <c r="W401" i="7"/>
  <c r="Q401" i="7"/>
  <c r="CV400" i="7"/>
  <c r="CP400" i="7"/>
  <c r="CC400" i="7"/>
  <c r="BP400" i="7"/>
  <c r="BJ400" i="7"/>
  <c r="AW400" i="7"/>
  <c r="AQ400" i="7"/>
  <c r="W400" i="7"/>
  <c r="Q400" i="7"/>
  <c r="CV399" i="7"/>
  <c r="CP399" i="7"/>
  <c r="CC399" i="7"/>
  <c r="BP399" i="7"/>
  <c r="BJ399" i="7"/>
  <c r="AW399" i="7"/>
  <c r="AQ399" i="7"/>
  <c r="W399" i="7"/>
  <c r="Q399" i="7"/>
  <c r="CV398" i="7"/>
  <c r="CP398" i="7"/>
  <c r="CC398" i="7"/>
  <c r="BP398" i="7"/>
  <c r="BJ398" i="7"/>
  <c r="AW398" i="7"/>
  <c r="AQ398" i="7"/>
  <c r="W398" i="7"/>
  <c r="Q398" i="7"/>
  <c r="CV397" i="7"/>
  <c r="CP397" i="7"/>
  <c r="CC397" i="7"/>
  <c r="BP397" i="7"/>
  <c r="BJ397" i="7"/>
  <c r="AW397" i="7"/>
  <c r="AQ397" i="7"/>
  <c r="W397" i="7"/>
  <c r="Q397" i="7"/>
  <c r="CV396" i="7"/>
  <c r="CP396" i="7"/>
  <c r="CC396" i="7"/>
  <c r="BP396" i="7"/>
  <c r="BJ396" i="7"/>
  <c r="AW396" i="7"/>
  <c r="AQ396" i="7"/>
  <c r="W396" i="7"/>
  <c r="Q396" i="7"/>
  <c r="CV395" i="7"/>
  <c r="CP395" i="7"/>
  <c r="CC395" i="7"/>
  <c r="BP395" i="7"/>
  <c r="BJ395" i="7"/>
  <c r="AW395" i="7"/>
  <c r="AQ395" i="7"/>
  <c r="W395" i="7"/>
  <c r="Q395" i="7"/>
  <c r="CV394" i="7"/>
  <c r="CP394" i="7"/>
  <c r="CC394" i="7"/>
  <c r="BP394" i="7"/>
  <c r="BJ394" i="7"/>
  <c r="AW394" i="7"/>
  <c r="AQ394" i="7"/>
  <c r="W394" i="7"/>
  <c r="Q394" i="7"/>
  <c r="CV393" i="7"/>
  <c r="CP393" i="7"/>
  <c r="CC393" i="7"/>
  <c r="BP393" i="7"/>
  <c r="BJ393" i="7"/>
  <c r="AW393" i="7"/>
  <c r="AQ393" i="7"/>
  <c r="W393" i="7"/>
  <c r="Q393" i="7"/>
  <c r="CV392" i="7"/>
  <c r="CP392" i="7"/>
  <c r="CC392" i="7"/>
  <c r="BP392" i="7"/>
  <c r="BJ392" i="7"/>
  <c r="AW392" i="7"/>
  <c r="AQ392" i="7"/>
  <c r="W392" i="7"/>
  <c r="Q392" i="7"/>
  <c r="CV391" i="7"/>
  <c r="CP391" i="7"/>
  <c r="CC391" i="7"/>
  <c r="BP391" i="7"/>
  <c r="BJ391" i="7"/>
  <c r="AW391" i="7"/>
  <c r="AQ391" i="7"/>
  <c r="W391" i="7"/>
  <c r="Q391" i="7"/>
  <c r="CV390" i="7"/>
  <c r="CP390" i="7"/>
  <c r="CC390" i="7"/>
  <c r="BP390" i="7"/>
  <c r="BJ390" i="7"/>
  <c r="AW390" i="7"/>
  <c r="AQ390" i="7"/>
  <c r="W390" i="7"/>
  <c r="Q390" i="7"/>
  <c r="CV389" i="7"/>
  <c r="CP389" i="7"/>
  <c r="CC389" i="7"/>
  <c r="BP389" i="7"/>
  <c r="BJ389" i="7"/>
  <c r="AW389" i="7"/>
  <c r="AQ389" i="7"/>
  <c r="W389" i="7"/>
  <c r="Q389" i="7"/>
  <c r="CV388" i="7"/>
  <c r="CP388" i="7"/>
  <c r="CC388" i="7"/>
  <c r="BP388" i="7"/>
  <c r="BJ388" i="7"/>
  <c r="AW388" i="7"/>
  <c r="AQ388" i="7"/>
  <c r="W388" i="7"/>
  <c r="Q388" i="7"/>
  <c r="CV387" i="7"/>
  <c r="CP387" i="7"/>
  <c r="CC387" i="7"/>
  <c r="BP387" i="7"/>
  <c r="BJ387" i="7"/>
  <c r="AW387" i="7"/>
  <c r="AQ387" i="7"/>
  <c r="W387" i="7"/>
  <c r="Q387" i="7"/>
  <c r="CV386" i="7"/>
  <c r="CP386" i="7"/>
  <c r="CC386" i="7"/>
  <c r="BP386" i="7"/>
  <c r="BJ386" i="7"/>
  <c r="AW386" i="7"/>
  <c r="AQ386" i="7"/>
  <c r="W386" i="7"/>
  <c r="Q386" i="7"/>
  <c r="CV385" i="7"/>
  <c r="CP385" i="7"/>
  <c r="CC385" i="7"/>
  <c r="BP385" i="7"/>
  <c r="BJ385" i="7"/>
  <c r="AW385" i="7"/>
  <c r="AQ385" i="7"/>
  <c r="W385" i="7"/>
  <c r="Q385" i="7"/>
  <c r="CV384" i="7"/>
  <c r="CP384" i="7"/>
  <c r="CC384" i="7"/>
  <c r="BP384" i="7"/>
  <c r="BJ384" i="7"/>
  <c r="AW384" i="7"/>
  <c r="AQ384" i="7"/>
  <c r="W384" i="7"/>
  <c r="Q384" i="7"/>
  <c r="CV383" i="7"/>
  <c r="CP383" i="7"/>
  <c r="CC383" i="7"/>
  <c r="BP383" i="7"/>
  <c r="BJ383" i="7"/>
  <c r="AW383" i="7"/>
  <c r="AQ383" i="7"/>
  <c r="W383" i="7"/>
  <c r="Q383" i="7"/>
  <c r="CV382" i="7"/>
  <c r="CP382" i="7"/>
  <c r="CC382" i="7"/>
  <c r="BP382" i="7"/>
  <c r="BJ382" i="7"/>
  <c r="AW382" i="7"/>
  <c r="AQ382" i="7"/>
  <c r="W382" i="7"/>
  <c r="Q382" i="7"/>
  <c r="CV381" i="7"/>
  <c r="CP381" i="7"/>
  <c r="CC381" i="7"/>
  <c r="BP381" i="7"/>
  <c r="BJ381" i="7"/>
  <c r="AW381" i="7"/>
  <c r="AQ381" i="7"/>
  <c r="W381" i="7"/>
  <c r="Q381" i="7"/>
  <c r="CV380" i="7"/>
  <c r="CP380" i="7"/>
  <c r="CC380" i="7"/>
  <c r="BP380" i="7"/>
  <c r="BJ380" i="7"/>
  <c r="AW380" i="7"/>
  <c r="AQ380" i="7"/>
  <c r="W380" i="7"/>
  <c r="Q380" i="7"/>
  <c r="CV379" i="7"/>
  <c r="CP379" i="7"/>
  <c r="CC379" i="7"/>
  <c r="BP379" i="7"/>
  <c r="BJ379" i="7"/>
  <c r="AW379" i="7"/>
  <c r="AQ379" i="7"/>
  <c r="W379" i="7"/>
  <c r="Q379" i="7"/>
  <c r="CV378" i="7"/>
  <c r="CP378" i="7"/>
  <c r="CC378" i="7"/>
  <c r="BP378" i="7"/>
  <c r="BJ378" i="7"/>
  <c r="AW378" i="7"/>
  <c r="AQ378" i="7"/>
  <c r="W378" i="7"/>
  <c r="Q378" i="7"/>
  <c r="CV377" i="7"/>
  <c r="CP377" i="7"/>
  <c r="CC377" i="7"/>
  <c r="BP377" i="7"/>
  <c r="BJ377" i="7"/>
  <c r="AW377" i="7"/>
  <c r="AQ377" i="7"/>
  <c r="W377" i="7"/>
  <c r="Q377" i="7"/>
  <c r="CV376" i="7"/>
  <c r="CP376" i="7"/>
  <c r="CC376" i="7"/>
  <c r="BP376" i="7"/>
  <c r="BJ376" i="7"/>
  <c r="AW376" i="7"/>
  <c r="AQ376" i="7"/>
  <c r="W376" i="7"/>
  <c r="Q376" i="7"/>
  <c r="CV375" i="7"/>
  <c r="CP375" i="7"/>
  <c r="CC375" i="7"/>
  <c r="BP375" i="7"/>
  <c r="BJ375" i="7"/>
  <c r="AW375" i="7"/>
  <c r="AQ375" i="7"/>
  <c r="W375" i="7"/>
  <c r="Q375" i="7"/>
  <c r="CV374" i="7"/>
  <c r="CP374" i="7"/>
  <c r="CC374" i="7"/>
  <c r="BP374" i="7"/>
  <c r="BJ374" i="7"/>
  <c r="AW374" i="7"/>
  <c r="AQ374" i="7"/>
  <c r="W374" i="7"/>
  <c r="Q374" i="7"/>
  <c r="CV373" i="7"/>
  <c r="CP373" i="7"/>
  <c r="CC373" i="7"/>
  <c r="BP373" i="7"/>
  <c r="BJ373" i="7"/>
  <c r="AW373" i="7"/>
  <c r="AQ373" i="7"/>
  <c r="W373" i="7"/>
  <c r="Q373" i="7"/>
  <c r="CV372" i="7"/>
  <c r="CP372" i="7"/>
  <c r="CC372" i="7"/>
  <c r="BP372" i="7"/>
  <c r="BJ372" i="7"/>
  <c r="AW372" i="7"/>
  <c r="AQ372" i="7"/>
  <c r="W372" i="7"/>
  <c r="Q372" i="7"/>
  <c r="CV371" i="7"/>
  <c r="CP371" i="7"/>
  <c r="CC371" i="7"/>
  <c r="BP371" i="7"/>
  <c r="BJ371" i="7"/>
  <c r="AW371" i="7"/>
  <c r="AQ371" i="7"/>
  <c r="W371" i="7"/>
  <c r="Q371" i="7"/>
  <c r="CV370" i="7"/>
  <c r="CP370" i="7"/>
  <c r="CC370" i="7"/>
  <c r="BP370" i="7"/>
  <c r="BJ370" i="7"/>
  <c r="AW370" i="7"/>
  <c r="AQ370" i="7"/>
  <c r="W370" i="7"/>
  <c r="Q370" i="7"/>
  <c r="CV369" i="7"/>
  <c r="CP369" i="7"/>
  <c r="CC369" i="7"/>
  <c r="BP369" i="7"/>
  <c r="BJ369" i="7"/>
  <c r="AW369" i="7"/>
  <c r="AQ369" i="7"/>
  <c r="W369" i="7"/>
  <c r="Q369" i="7"/>
  <c r="CV368" i="7"/>
  <c r="CP368" i="7"/>
  <c r="CC368" i="7"/>
  <c r="BP368" i="7"/>
  <c r="BJ368" i="7"/>
  <c r="AW368" i="7"/>
  <c r="AQ368" i="7"/>
  <c r="W368" i="7"/>
  <c r="Q368" i="7"/>
  <c r="CV367" i="7"/>
  <c r="CP367" i="7"/>
  <c r="CC367" i="7"/>
  <c r="BP367" i="7"/>
  <c r="BJ367" i="7"/>
  <c r="AW367" i="7"/>
  <c r="AQ367" i="7"/>
  <c r="W367" i="7"/>
  <c r="Q367" i="7"/>
  <c r="CV366" i="7"/>
  <c r="CP366" i="7"/>
  <c r="CC366" i="7"/>
  <c r="BP366" i="7"/>
  <c r="BJ366" i="7"/>
  <c r="AW366" i="7"/>
  <c r="AQ366" i="7"/>
  <c r="W366" i="7"/>
  <c r="Q366" i="7"/>
  <c r="CV365" i="7"/>
  <c r="CP365" i="7"/>
  <c r="CC365" i="7"/>
  <c r="BP365" i="7"/>
  <c r="BJ365" i="7"/>
  <c r="AW365" i="7"/>
  <c r="AQ365" i="7"/>
  <c r="W365" i="7"/>
  <c r="Q365" i="7"/>
  <c r="CV364" i="7"/>
  <c r="CP364" i="7"/>
  <c r="CC364" i="7"/>
  <c r="BP364" i="7"/>
  <c r="BJ364" i="7"/>
  <c r="AW364" i="7"/>
  <c r="AQ364" i="7"/>
  <c r="W364" i="7"/>
  <c r="Q364" i="7"/>
  <c r="CV363" i="7"/>
  <c r="CP363" i="7"/>
  <c r="CC363" i="7"/>
  <c r="BP363" i="7"/>
  <c r="BJ363" i="7"/>
  <c r="AW363" i="7"/>
  <c r="AQ363" i="7"/>
  <c r="W363" i="7"/>
  <c r="Q363" i="7"/>
  <c r="CV362" i="7"/>
  <c r="CP362" i="7"/>
  <c r="CC362" i="7"/>
  <c r="BP362" i="7"/>
  <c r="BJ362" i="7"/>
  <c r="AW362" i="7"/>
  <c r="AQ362" i="7"/>
  <c r="W362" i="7"/>
  <c r="Q362" i="7"/>
  <c r="CV361" i="7"/>
  <c r="CP361" i="7"/>
  <c r="CC361" i="7"/>
  <c r="BP361" i="7"/>
  <c r="BJ361" i="7"/>
  <c r="AW361" i="7"/>
  <c r="AQ361" i="7"/>
  <c r="W361" i="7"/>
  <c r="Q361" i="7"/>
  <c r="CV360" i="7"/>
  <c r="CP360" i="7"/>
  <c r="CC360" i="7"/>
  <c r="BP360" i="7"/>
  <c r="BJ360" i="7"/>
  <c r="AW360" i="7"/>
  <c r="AQ360" i="7"/>
  <c r="W360" i="7"/>
  <c r="Q360" i="7"/>
  <c r="CV359" i="7"/>
  <c r="CP359" i="7"/>
  <c r="CC359" i="7"/>
  <c r="BP359" i="7"/>
  <c r="BJ359" i="7"/>
  <c r="AW359" i="7"/>
  <c r="AQ359" i="7"/>
  <c r="W359" i="7"/>
  <c r="Q359" i="7"/>
  <c r="CV358" i="7"/>
  <c r="CP358" i="7"/>
  <c r="CC358" i="7"/>
  <c r="BP358" i="7"/>
  <c r="BJ358" i="7"/>
  <c r="AW358" i="7"/>
  <c r="AQ358" i="7"/>
  <c r="W358" i="7"/>
  <c r="Q358" i="7"/>
  <c r="CV357" i="7"/>
  <c r="CP357" i="7"/>
  <c r="CC357" i="7"/>
  <c r="BP357" i="7"/>
  <c r="BJ357" i="7"/>
  <c r="AW357" i="7"/>
  <c r="AQ357" i="7"/>
  <c r="W357" i="7"/>
  <c r="Q357" i="7"/>
  <c r="CV356" i="7"/>
  <c r="CP356" i="7"/>
  <c r="CC356" i="7"/>
  <c r="BP356" i="7"/>
  <c r="BJ356" i="7"/>
  <c r="AW356" i="7"/>
  <c r="AQ356" i="7"/>
  <c r="W356" i="7"/>
  <c r="Q356" i="7"/>
  <c r="CV355" i="7"/>
  <c r="CP355" i="7"/>
  <c r="CC355" i="7"/>
  <c r="BP355" i="7"/>
  <c r="BJ355" i="7"/>
  <c r="AW355" i="7"/>
  <c r="AQ355" i="7"/>
  <c r="W355" i="7"/>
  <c r="Q355" i="7"/>
  <c r="CV354" i="7"/>
  <c r="CP354" i="7"/>
  <c r="CC354" i="7"/>
  <c r="BP354" i="7"/>
  <c r="BJ354" i="7"/>
  <c r="AW354" i="7"/>
  <c r="AQ354" i="7"/>
  <c r="W354" i="7"/>
  <c r="Q354" i="7"/>
  <c r="CV353" i="7"/>
  <c r="CP353" i="7"/>
  <c r="CC353" i="7"/>
  <c r="BP353" i="7"/>
  <c r="BJ353" i="7"/>
  <c r="AW353" i="7"/>
  <c r="AQ353" i="7"/>
  <c r="W353" i="7"/>
  <c r="Q353" i="7"/>
  <c r="CV352" i="7"/>
  <c r="CP352" i="7"/>
  <c r="CC352" i="7"/>
  <c r="BP352" i="7"/>
  <c r="BJ352" i="7"/>
  <c r="AW352" i="7"/>
  <c r="AQ352" i="7"/>
  <c r="W352" i="7"/>
  <c r="Q352" i="7"/>
  <c r="CV351" i="7"/>
  <c r="CP351" i="7"/>
  <c r="CC351" i="7"/>
  <c r="BP351" i="7"/>
  <c r="BJ351" i="7"/>
  <c r="AW351" i="7"/>
  <c r="AQ351" i="7"/>
  <c r="W351" i="7"/>
  <c r="Q351" i="7"/>
  <c r="CV350" i="7"/>
  <c r="CP350" i="7"/>
  <c r="CC350" i="7"/>
  <c r="BP350" i="7"/>
  <c r="BJ350" i="7"/>
  <c r="AW350" i="7"/>
  <c r="AQ350" i="7"/>
  <c r="W350" i="7"/>
  <c r="Q350" i="7"/>
  <c r="CV349" i="7"/>
  <c r="CP349" i="7"/>
  <c r="CC349" i="7"/>
  <c r="BP349" i="7"/>
  <c r="BJ349" i="7"/>
  <c r="AW349" i="7"/>
  <c r="AQ349" i="7"/>
  <c r="W349" i="7"/>
  <c r="Q349" i="7"/>
  <c r="CV348" i="7"/>
  <c r="CP348" i="7"/>
  <c r="CC348" i="7"/>
  <c r="BP348" i="7"/>
  <c r="BJ348" i="7"/>
  <c r="AW348" i="7"/>
  <c r="AQ348" i="7"/>
  <c r="W348" i="7"/>
  <c r="Q348" i="7"/>
  <c r="CV347" i="7"/>
  <c r="CP347" i="7"/>
  <c r="CC347" i="7"/>
  <c r="BP347" i="7"/>
  <c r="BJ347" i="7"/>
  <c r="AW347" i="7"/>
  <c r="AQ347" i="7"/>
  <c r="W347" i="7"/>
  <c r="Q347" i="7"/>
  <c r="CV346" i="7"/>
  <c r="CP346" i="7"/>
  <c r="CC346" i="7"/>
  <c r="BP346" i="7"/>
  <c r="BJ346" i="7"/>
  <c r="AW346" i="7"/>
  <c r="AQ346" i="7"/>
  <c r="W346" i="7"/>
  <c r="Q346" i="7"/>
  <c r="CV345" i="7"/>
  <c r="CP345" i="7"/>
  <c r="CC345" i="7"/>
  <c r="BP345" i="7"/>
  <c r="BJ345" i="7"/>
  <c r="AW345" i="7"/>
  <c r="AQ345" i="7"/>
  <c r="W345" i="7"/>
  <c r="Q345" i="7"/>
  <c r="CV344" i="7"/>
  <c r="CP344" i="7"/>
  <c r="CC344" i="7"/>
  <c r="BP344" i="7"/>
  <c r="BJ344" i="7"/>
  <c r="AW344" i="7"/>
  <c r="AQ344" i="7"/>
  <c r="W344" i="7"/>
  <c r="Q344" i="7"/>
  <c r="CV343" i="7"/>
  <c r="CP343" i="7"/>
  <c r="CC343" i="7"/>
  <c r="BP343" i="7"/>
  <c r="BJ343" i="7"/>
  <c r="AW343" i="7"/>
  <c r="AQ343" i="7"/>
  <c r="W343" i="7"/>
  <c r="Q343" i="7"/>
  <c r="CV342" i="7"/>
  <c r="CP342" i="7"/>
  <c r="CC342" i="7"/>
  <c r="BP342" i="7"/>
  <c r="BJ342" i="7"/>
  <c r="AW342" i="7"/>
  <c r="AQ342" i="7"/>
  <c r="W342" i="7"/>
  <c r="Q342" i="7"/>
  <c r="CV341" i="7"/>
  <c r="CP341" i="7"/>
  <c r="CC341" i="7"/>
  <c r="BP341" i="7"/>
  <c r="BJ341" i="7"/>
  <c r="AW341" i="7"/>
  <c r="AQ341" i="7"/>
  <c r="W341" i="7"/>
  <c r="Q341" i="7"/>
  <c r="CV340" i="7"/>
  <c r="CP340" i="7"/>
  <c r="CC340" i="7"/>
  <c r="BP340" i="7"/>
  <c r="BJ340" i="7"/>
  <c r="AW340" i="7"/>
  <c r="AQ340" i="7"/>
  <c r="W340" i="7"/>
  <c r="Q340" i="7"/>
  <c r="CV339" i="7"/>
  <c r="CP339" i="7"/>
  <c r="CC339" i="7"/>
  <c r="BP339" i="7"/>
  <c r="BJ339" i="7"/>
  <c r="AW339" i="7"/>
  <c r="AQ339" i="7"/>
  <c r="W339" i="7"/>
  <c r="Q339" i="7"/>
  <c r="CV338" i="7"/>
  <c r="CP338" i="7"/>
  <c r="CC338" i="7"/>
  <c r="BP338" i="7"/>
  <c r="BJ338" i="7"/>
  <c r="AW338" i="7"/>
  <c r="AQ338" i="7"/>
  <c r="W338" i="7"/>
  <c r="Q338" i="7"/>
  <c r="CV337" i="7"/>
  <c r="CP337" i="7"/>
  <c r="CC337" i="7"/>
  <c r="BP337" i="7"/>
  <c r="BJ337" i="7"/>
  <c r="AW337" i="7"/>
  <c r="AQ337" i="7"/>
  <c r="W337" i="7"/>
  <c r="Q337" i="7"/>
  <c r="CV336" i="7"/>
  <c r="CP336" i="7"/>
  <c r="CC336" i="7"/>
  <c r="BP336" i="7"/>
  <c r="BJ336" i="7"/>
  <c r="AW336" i="7"/>
  <c r="AQ336" i="7"/>
  <c r="W336" i="7"/>
  <c r="Q336" i="7"/>
  <c r="CV335" i="7"/>
  <c r="CP335" i="7"/>
  <c r="CC335" i="7"/>
  <c r="BP335" i="7"/>
  <c r="BJ335" i="7"/>
  <c r="AW335" i="7"/>
  <c r="AQ335" i="7"/>
  <c r="W335" i="7"/>
  <c r="Q335" i="7"/>
  <c r="CV334" i="7"/>
  <c r="CP334" i="7"/>
  <c r="CC334" i="7"/>
  <c r="BP334" i="7"/>
  <c r="BJ334" i="7"/>
  <c r="AW334" i="7"/>
  <c r="AQ334" i="7"/>
  <c r="W334" i="7"/>
  <c r="Q334" i="7"/>
  <c r="CV333" i="7"/>
  <c r="CP333" i="7"/>
  <c r="CC333" i="7"/>
  <c r="BP333" i="7"/>
  <c r="BJ333" i="7"/>
  <c r="AW333" i="7"/>
  <c r="AQ333" i="7"/>
  <c r="W333" i="7"/>
  <c r="Q333" i="7"/>
  <c r="CV332" i="7"/>
  <c r="CP332" i="7"/>
  <c r="CC332" i="7"/>
  <c r="BP332" i="7"/>
  <c r="BJ332" i="7"/>
  <c r="AW332" i="7"/>
  <c r="AQ332" i="7"/>
  <c r="W332" i="7"/>
  <c r="Q332" i="7"/>
  <c r="CV331" i="7"/>
  <c r="CP331" i="7"/>
  <c r="CC331" i="7"/>
  <c r="BP331" i="7"/>
  <c r="BJ331" i="7"/>
  <c r="AW331" i="7"/>
  <c r="AQ331" i="7"/>
  <c r="W331" i="7"/>
  <c r="Q331" i="7"/>
  <c r="CV330" i="7"/>
  <c r="CP330" i="7"/>
  <c r="CC330" i="7"/>
  <c r="BP330" i="7"/>
  <c r="BJ330" i="7"/>
  <c r="AW330" i="7"/>
  <c r="AQ330" i="7"/>
  <c r="W330" i="7"/>
  <c r="Q330" i="7"/>
  <c r="CV329" i="7"/>
  <c r="CP329" i="7"/>
  <c r="CC329" i="7"/>
  <c r="BP329" i="7"/>
  <c r="BJ329" i="7"/>
  <c r="AW329" i="7"/>
  <c r="AQ329" i="7"/>
  <c r="W329" i="7"/>
  <c r="Q329" i="7"/>
  <c r="CV328" i="7"/>
  <c r="CP328" i="7"/>
  <c r="CC328" i="7"/>
  <c r="BP328" i="7"/>
  <c r="BJ328" i="7"/>
  <c r="AW328" i="7"/>
  <c r="AQ328" i="7"/>
  <c r="W328" i="7"/>
  <c r="Q328" i="7"/>
  <c r="CV327" i="7"/>
  <c r="CP327" i="7"/>
  <c r="CC327" i="7"/>
  <c r="BP327" i="7"/>
  <c r="BJ327" i="7"/>
  <c r="AW327" i="7"/>
  <c r="AQ327" i="7"/>
  <c r="W327" i="7"/>
  <c r="Q327" i="7"/>
  <c r="CV326" i="7"/>
  <c r="CP326" i="7"/>
  <c r="CC326" i="7"/>
  <c r="BP326" i="7"/>
  <c r="BJ326" i="7"/>
  <c r="AW326" i="7"/>
  <c r="AQ326" i="7"/>
  <c r="W326" i="7"/>
  <c r="Q326" i="7"/>
  <c r="CV325" i="7"/>
  <c r="CP325" i="7"/>
  <c r="CC325" i="7"/>
  <c r="BP325" i="7"/>
  <c r="BJ325" i="7"/>
  <c r="AW325" i="7"/>
  <c r="AQ325" i="7"/>
  <c r="W325" i="7"/>
  <c r="Q325" i="7"/>
  <c r="CV324" i="7"/>
  <c r="CP324" i="7"/>
  <c r="CC324" i="7"/>
  <c r="BP324" i="7"/>
  <c r="BJ324" i="7"/>
  <c r="AW324" i="7"/>
  <c r="AQ324" i="7"/>
  <c r="W324" i="7"/>
  <c r="Q324" i="7"/>
  <c r="CV323" i="7"/>
  <c r="CP323" i="7"/>
  <c r="CC323" i="7"/>
  <c r="BP323" i="7"/>
  <c r="BJ323" i="7"/>
  <c r="AW323" i="7"/>
  <c r="AQ323" i="7"/>
  <c r="W323" i="7"/>
  <c r="Q323" i="7"/>
  <c r="CV322" i="7"/>
  <c r="CP322" i="7"/>
  <c r="CC322" i="7"/>
  <c r="BP322" i="7"/>
  <c r="BJ322" i="7"/>
  <c r="AW322" i="7"/>
  <c r="AQ322" i="7"/>
  <c r="W322" i="7"/>
  <c r="Q322" i="7"/>
  <c r="CV321" i="7"/>
  <c r="CP321" i="7"/>
  <c r="CC321" i="7"/>
  <c r="BP321" i="7"/>
  <c r="BJ321" i="7"/>
  <c r="AW321" i="7"/>
  <c r="AQ321" i="7"/>
  <c r="W321" i="7"/>
  <c r="Q321" i="7"/>
  <c r="CV320" i="7"/>
  <c r="CP320" i="7"/>
  <c r="CC320" i="7"/>
  <c r="BP320" i="7"/>
  <c r="BJ320" i="7"/>
  <c r="AW320" i="7"/>
  <c r="AQ320" i="7"/>
  <c r="W320" i="7"/>
  <c r="Q320" i="7"/>
  <c r="CV319" i="7"/>
  <c r="CP319" i="7"/>
  <c r="CC319" i="7"/>
  <c r="BP319" i="7"/>
  <c r="BJ319" i="7"/>
  <c r="AW319" i="7"/>
  <c r="AQ319" i="7"/>
  <c r="W319" i="7"/>
  <c r="Q319" i="7"/>
  <c r="CV318" i="7"/>
  <c r="CP318" i="7"/>
  <c r="CC318" i="7"/>
  <c r="BP318" i="7"/>
  <c r="BJ318" i="7"/>
  <c r="AW318" i="7"/>
  <c r="AQ318" i="7"/>
  <c r="W318" i="7"/>
  <c r="Q318" i="7"/>
  <c r="CV317" i="7"/>
  <c r="CP317" i="7"/>
  <c r="CC317" i="7"/>
  <c r="BP317" i="7"/>
  <c r="BJ317" i="7"/>
  <c r="AW317" i="7"/>
  <c r="AQ317" i="7"/>
  <c r="W317" i="7"/>
  <c r="Q317" i="7"/>
  <c r="CV316" i="7"/>
  <c r="CP316" i="7"/>
  <c r="CC316" i="7"/>
  <c r="BP316" i="7"/>
  <c r="BJ316" i="7"/>
  <c r="AW316" i="7"/>
  <c r="AQ316" i="7"/>
  <c r="W316" i="7"/>
  <c r="Q316" i="7"/>
  <c r="CV315" i="7"/>
  <c r="CP315" i="7"/>
  <c r="CC315" i="7"/>
  <c r="BP315" i="7"/>
  <c r="BJ315" i="7"/>
  <c r="AW315" i="7"/>
  <c r="AQ315" i="7"/>
  <c r="W315" i="7"/>
  <c r="Q315" i="7"/>
  <c r="CV314" i="7"/>
  <c r="CP314" i="7"/>
  <c r="CC314" i="7"/>
  <c r="BP314" i="7"/>
  <c r="BJ314" i="7"/>
  <c r="AW314" i="7"/>
  <c r="AQ314" i="7"/>
  <c r="W314" i="7"/>
  <c r="Q314" i="7"/>
  <c r="CV313" i="7"/>
  <c r="CP313" i="7"/>
  <c r="CC313" i="7"/>
  <c r="BP313" i="7"/>
  <c r="BJ313" i="7"/>
  <c r="AW313" i="7"/>
  <c r="AQ313" i="7"/>
  <c r="W313" i="7"/>
  <c r="Q313" i="7"/>
  <c r="CV312" i="7"/>
  <c r="CP312" i="7"/>
  <c r="CC312" i="7"/>
  <c r="BP312" i="7"/>
  <c r="BJ312" i="7"/>
  <c r="AW312" i="7"/>
  <c r="AQ312" i="7"/>
  <c r="W312" i="7"/>
  <c r="Q312" i="7"/>
  <c r="CV311" i="7"/>
  <c r="CP311" i="7"/>
  <c r="CC311" i="7"/>
  <c r="BP311" i="7"/>
  <c r="BJ311" i="7"/>
  <c r="AW311" i="7"/>
  <c r="AQ311" i="7"/>
  <c r="W311" i="7"/>
  <c r="Q311" i="7"/>
  <c r="CV310" i="7"/>
  <c r="CP310" i="7"/>
  <c r="CC310" i="7"/>
  <c r="BP310" i="7"/>
  <c r="BJ310" i="7"/>
  <c r="AW310" i="7"/>
  <c r="AQ310" i="7"/>
  <c r="W310" i="7"/>
  <c r="Q310" i="7"/>
  <c r="CV309" i="7"/>
  <c r="CP309" i="7"/>
  <c r="CC309" i="7"/>
  <c r="BP309" i="7"/>
  <c r="BJ309" i="7"/>
  <c r="AW309" i="7"/>
  <c r="AQ309" i="7"/>
  <c r="W309" i="7"/>
  <c r="Q309" i="7"/>
  <c r="CV308" i="7"/>
  <c r="CP308" i="7"/>
  <c r="CC308" i="7"/>
  <c r="BP308" i="7"/>
  <c r="BJ308" i="7"/>
  <c r="AW308" i="7"/>
  <c r="AQ308" i="7"/>
  <c r="W308" i="7"/>
  <c r="Q308" i="7"/>
  <c r="CV307" i="7"/>
  <c r="CP307" i="7"/>
  <c r="CC307" i="7"/>
  <c r="BP307" i="7"/>
  <c r="BJ307" i="7"/>
  <c r="AW307" i="7"/>
  <c r="AQ307" i="7"/>
  <c r="W307" i="7"/>
  <c r="Q307" i="7"/>
  <c r="CV306" i="7"/>
  <c r="CP306" i="7"/>
  <c r="CC306" i="7"/>
  <c r="BP306" i="7"/>
  <c r="BJ306" i="7"/>
  <c r="AW306" i="7"/>
  <c r="AQ306" i="7"/>
  <c r="W306" i="7"/>
  <c r="Q306" i="7"/>
  <c r="CV305" i="7"/>
  <c r="CP305" i="7"/>
  <c r="CC305" i="7"/>
  <c r="BP305" i="7"/>
  <c r="BJ305" i="7"/>
  <c r="AW305" i="7"/>
  <c r="AQ305" i="7"/>
  <c r="W305" i="7"/>
  <c r="Q305" i="7"/>
  <c r="CV304" i="7"/>
  <c r="CP304" i="7"/>
  <c r="CC304" i="7"/>
  <c r="BP304" i="7"/>
  <c r="BJ304" i="7"/>
  <c r="AW304" i="7"/>
  <c r="AQ304" i="7"/>
  <c r="W304" i="7"/>
  <c r="Q304" i="7"/>
  <c r="CV303" i="7"/>
  <c r="CP303" i="7"/>
  <c r="CC303" i="7"/>
  <c r="BP303" i="7"/>
  <c r="BJ303" i="7"/>
  <c r="AW303" i="7"/>
  <c r="AQ303" i="7"/>
  <c r="W303" i="7"/>
  <c r="Q303" i="7"/>
  <c r="CV302" i="7"/>
  <c r="CP302" i="7"/>
  <c r="CC302" i="7"/>
  <c r="BP302" i="7"/>
  <c r="BJ302" i="7"/>
  <c r="AW302" i="7"/>
  <c r="AQ302" i="7"/>
  <c r="W302" i="7"/>
  <c r="Q302" i="7"/>
  <c r="CV301" i="7"/>
  <c r="CP301" i="7"/>
  <c r="CC301" i="7"/>
  <c r="BP301" i="7"/>
  <c r="BJ301" i="7"/>
  <c r="AW301" i="7"/>
  <c r="AQ301" i="7"/>
  <c r="W301" i="7"/>
  <c r="Q301" i="7"/>
  <c r="CV300" i="7"/>
  <c r="CP300" i="7"/>
  <c r="CC300" i="7"/>
  <c r="BP300" i="7"/>
  <c r="BJ300" i="7"/>
  <c r="AW300" i="7"/>
  <c r="AQ300" i="7"/>
  <c r="W300" i="7"/>
  <c r="Q300" i="7"/>
  <c r="CV299" i="7"/>
  <c r="CP299" i="7"/>
  <c r="CC299" i="7"/>
  <c r="BP299" i="7"/>
  <c r="BJ299" i="7"/>
  <c r="AW299" i="7"/>
  <c r="AQ299" i="7"/>
  <c r="W299" i="7"/>
  <c r="Q299" i="7"/>
  <c r="CV298" i="7"/>
  <c r="CP298" i="7"/>
  <c r="CC298" i="7"/>
  <c r="BP298" i="7"/>
  <c r="BJ298" i="7"/>
  <c r="AW298" i="7"/>
  <c r="AQ298" i="7"/>
  <c r="W298" i="7"/>
  <c r="Q298" i="7"/>
  <c r="CV297" i="7"/>
  <c r="CP297" i="7"/>
  <c r="CC297" i="7"/>
  <c r="BP297" i="7"/>
  <c r="BJ297" i="7"/>
  <c r="AW297" i="7"/>
  <c r="AQ297" i="7"/>
  <c r="W297" i="7"/>
  <c r="Q297" i="7"/>
  <c r="CV296" i="7"/>
  <c r="CP296" i="7"/>
  <c r="CC296" i="7"/>
  <c r="BP296" i="7"/>
  <c r="BJ296" i="7"/>
  <c r="AW296" i="7"/>
  <c r="AQ296" i="7"/>
  <c r="W296" i="7"/>
  <c r="Q296" i="7"/>
  <c r="CV295" i="7"/>
  <c r="CP295" i="7"/>
  <c r="CC295" i="7"/>
  <c r="BP295" i="7"/>
  <c r="BJ295" i="7"/>
  <c r="AW295" i="7"/>
  <c r="AQ295" i="7"/>
  <c r="W295" i="7"/>
  <c r="Q295" i="7"/>
  <c r="CV294" i="7"/>
  <c r="CP294" i="7"/>
  <c r="CC294" i="7"/>
  <c r="BP294" i="7"/>
  <c r="BJ294" i="7"/>
  <c r="AW294" i="7"/>
  <c r="AQ294" i="7"/>
  <c r="W294" i="7"/>
  <c r="Q294" i="7"/>
  <c r="CV293" i="7"/>
  <c r="CP293" i="7"/>
  <c r="CC293" i="7"/>
  <c r="BP293" i="7"/>
  <c r="BJ293" i="7"/>
  <c r="AW293" i="7"/>
  <c r="AQ293" i="7"/>
  <c r="W293" i="7"/>
  <c r="Q293" i="7"/>
  <c r="CV292" i="7"/>
  <c r="CP292" i="7"/>
  <c r="CC292" i="7"/>
  <c r="BP292" i="7"/>
  <c r="BJ292" i="7"/>
  <c r="AW292" i="7"/>
  <c r="AQ292" i="7"/>
  <c r="W292" i="7"/>
  <c r="Q292" i="7"/>
  <c r="CV291" i="7"/>
  <c r="CP291" i="7"/>
  <c r="CC291" i="7"/>
  <c r="BP291" i="7"/>
  <c r="BJ291" i="7"/>
  <c r="AW291" i="7"/>
  <c r="AQ291" i="7"/>
  <c r="W291" i="7"/>
  <c r="Q291" i="7"/>
  <c r="CV290" i="7"/>
  <c r="CP290" i="7"/>
  <c r="CC290" i="7"/>
  <c r="BP290" i="7"/>
  <c r="BJ290" i="7"/>
  <c r="AW290" i="7"/>
  <c r="AQ290" i="7"/>
  <c r="W290" i="7"/>
  <c r="Q290" i="7"/>
  <c r="CV289" i="7"/>
  <c r="CP289" i="7"/>
  <c r="CC289" i="7"/>
  <c r="BP289" i="7"/>
  <c r="BJ289" i="7"/>
  <c r="AW289" i="7"/>
  <c r="AQ289" i="7"/>
  <c r="W289" i="7"/>
  <c r="Q289" i="7"/>
  <c r="CV288" i="7"/>
  <c r="CP288" i="7"/>
  <c r="CC288" i="7"/>
  <c r="BP288" i="7"/>
  <c r="BJ288" i="7"/>
  <c r="AW288" i="7"/>
  <c r="AQ288" i="7"/>
  <c r="W288" i="7"/>
  <c r="Q288" i="7"/>
  <c r="CV287" i="7"/>
  <c r="CP287" i="7"/>
  <c r="CC287" i="7"/>
  <c r="BP287" i="7"/>
  <c r="BJ287" i="7"/>
  <c r="AW287" i="7"/>
  <c r="AQ287" i="7"/>
  <c r="W287" i="7"/>
  <c r="Q287" i="7"/>
  <c r="CV286" i="7"/>
  <c r="CP286" i="7"/>
  <c r="CC286" i="7"/>
  <c r="BP286" i="7"/>
  <c r="BJ286" i="7"/>
  <c r="AW286" i="7"/>
  <c r="AQ286" i="7"/>
  <c r="W286" i="7"/>
  <c r="Q286" i="7"/>
  <c r="CV285" i="7"/>
  <c r="CP285" i="7"/>
  <c r="CC285" i="7"/>
  <c r="BP285" i="7"/>
  <c r="BJ285" i="7"/>
  <c r="AW285" i="7"/>
  <c r="AQ285" i="7"/>
  <c r="W285" i="7"/>
  <c r="Q285" i="7"/>
  <c r="CV284" i="7"/>
  <c r="CP284" i="7"/>
  <c r="CC284" i="7"/>
  <c r="BP284" i="7"/>
  <c r="BJ284" i="7"/>
  <c r="AW284" i="7"/>
  <c r="AQ284" i="7"/>
  <c r="W284" i="7"/>
  <c r="Q284" i="7"/>
  <c r="CV283" i="7"/>
  <c r="CP283" i="7"/>
  <c r="CC283" i="7"/>
  <c r="BP283" i="7"/>
  <c r="BJ283" i="7"/>
  <c r="AW283" i="7"/>
  <c r="AQ283" i="7"/>
  <c r="W283" i="7"/>
  <c r="Q283" i="7"/>
  <c r="CV282" i="7"/>
  <c r="CP282" i="7"/>
  <c r="CC282" i="7"/>
  <c r="BP282" i="7"/>
  <c r="BJ282" i="7"/>
  <c r="AW282" i="7"/>
  <c r="AQ282" i="7"/>
  <c r="W282" i="7"/>
  <c r="Q282" i="7"/>
  <c r="CV281" i="7"/>
  <c r="CP281" i="7"/>
  <c r="CC281" i="7"/>
  <c r="BP281" i="7"/>
  <c r="BJ281" i="7"/>
  <c r="AW281" i="7"/>
  <c r="AQ281" i="7"/>
  <c r="W281" i="7"/>
  <c r="Q281" i="7"/>
  <c r="CV280" i="7"/>
  <c r="CP280" i="7"/>
  <c r="CC280" i="7"/>
  <c r="BP280" i="7"/>
  <c r="BJ280" i="7"/>
  <c r="AW280" i="7"/>
  <c r="AQ280" i="7"/>
  <c r="W280" i="7"/>
  <c r="Q280" i="7"/>
  <c r="CV279" i="7"/>
  <c r="CP279" i="7"/>
  <c r="CC279" i="7"/>
  <c r="BP279" i="7"/>
  <c r="BJ279" i="7"/>
  <c r="AW279" i="7"/>
  <c r="AQ279" i="7"/>
  <c r="W279" i="7"/>
  <c r="Q279" i="7"/>
  <c r="CV278" i="7"/>
  <c r="CP278" i="7"/>
  <c r="CC278" i="7"/>
  <c r="BP278" i="7"/>
  <c r="BJ278" i="7"/>
  <c r="AW278" i="7"/>
  <c r="AQ278" i="7"/>
  <c r="W278" i="7"/>
  <c r="Q278" i="7"/>
  <c r="CV277" i="7"/>
  <c r="CP277" i="7"/>
  <c r="CC277" i="7"/>
  <c r="BP277" i="7"/>
  <c r="BJ277" i="7"/>
  <c r="AW277" i="7"/>
  <c r="AQ277" i="7"/>
  <c r="W277" i="7"/>
  <c r="Q277" i="7"/>
  <c r="CV276" i="7"/>
  <c r="CP276" i="7"/>
  <c r="CC276" i="7"/>
  <c r="BP276" i="7"/>
  <c r="BJ276" i="7"/>
  <c r="AW276" i="7"/>
  <c r="AQ276" i="7"/>
  <c r="W276" i="7"/>
  <c r="Q276" i="7"/>
  <c r="CV275" i="7"/>
  <c r="CP275" i="7"/>
  <c r="CC275" i="7"/>
  <c r="BP275" i="7"/>
  <c r="BJ275" i="7"/>
  <c r="AW275" i="7"/>
  <c r="AQ275" i="7"/>
  <c r="W275" i="7"/>
  <c r="Q275" i="7"/>
  <c r="CV274" i="7"/>
  <c r="CP274" i="7"/>
  <c r="CC274" i="7"/>
  <c r="BP274" i="7"/>
  <c r="BJ274" i="7"/>
  <c r="AW274" i="7"/>
  <c r="AQ274" i="7"/>
  <c r="W274" i="7"/>
  <c r="Q274" i="7"/>
  <c r="CV273" i="7"/>
  <c r="CP273" i="7"/>
  <c r="CC273" i="7"/>
  <c r="BP273" i="7"/>
  <c r="BJ273" i="7"/>
  <c r="AW273" i="7"/>
  <c r="AQ273" i="7"/>
  <c r="W273" i="7"/>
  <c r="Q273" i="7"/>
  <c r="CV272" i="7"/>
  <c r="CP272" i="7"/>
  <c r="CC272" i="7"/>
  <c r="BP272" i="7"/>
  <c r="BJ272" i="7"/>
  <c r="AW272" i="7"/>
  <c r="AQ272" i="7"/>
  <c r="W272" i="7"/>
  <c r="Q272" i="7"/>
  <c r="CV271" i="7"/>
  <c r="CP271" i="7"/>
  <c r="CC271" i="7"/>
  <c r="BP271" i="7"/>
  <c r="BJ271" i="7"/>
  <c r="AW271" i="7"/>
  <c r="AQ271" i="7"/>
  <c r="W271" i="7"/>
  <c r="Q271" i="7"/>
  <c r="CV270" i="7"/>
  <c r="CP270" i="7"/>
  <c r="CC270" i="7"/>
  <c r="BP270" i="7"/>
  <c r="BJ270" i="7"/>
  <c r="AW270" i="7"/>
  <c r="AQ270" i="7"/>
  <c r="W270" i="7"/>
  <c r="Q270" i="7"/>
  <c r="CV269" i="7"/>
  <c r="CP269" i="7"/>
  <c r="CC269" i="7"/>
  <c r="BP269" i="7"/>
  <c r="BJ269" i="7"/>
  <c r="AW269" i="7"/>
  <c r="AQ269" i="7"/>
  <c r="W269" i="7"/>
  <c r="Q269" i="7"/>
  <c r="CV268" i="7"/>
  <c r="CP268" i="7"/>
  <c r="CC268" i="7"/>
  <c r="BP268" i="7"/>
  <c r="BJ268" i="7"/>
  <c r="AW268" i="7"/>
  <c r="AQ268" i="7"/>
  <c r="W268" i="7"/>
  <c r="Q268" i="7"/>
  <c r="CV267" i="7"/>
  <c r="CP267" i="7"/>
  <c r="CC267" i="7"/>
  <c r="BP267" i="7"/>
  <c r="BJ267" i="7"/>
  <c r="AW267" i="7"/>
  <c r="AQ267" i="7"/>
  <c r="W267" i="7"/>
  <c r="Q267" i="7"/>
  <c r="CV266" i="7"/>
  <c r="CP266" i="7"/>
  <c r="CC266" i="7"/>
  <c r="BP266" i="7"/>
  <c r="BJ266" i="7"/>
  <c r="AW266" i="7"/>
  <c r="AQ266" i="7"/>
  <c r="W266" i="7"/>
  <c r="Q266" i="7"/>
  <c r="CV265" i="7"/>
  <c r="CP265" i="7"/>
  <c r="CC265" i="7"/>
  <c r="BP265" i="7"/>
  <c r="BJ265" i="7"/>
  <c r="AW265" i="7"/>
  <c r="AQ265" i="7"/>
  <c r="W265" i="7"/>
  <c r="Q265" i="7"/>
  <c r="CV264" i="7"/>
  <c r="CP264" i="7"/>
  <c r="CC264" i="7"/>
  <c r="BP264" i="7"/>
  <c r="BJ264" i="7"/>
  <c r="AW264" i="7"/>
  <c r="AQ264" i="7"/>
  <c r="W264" i="7"/>
  <c r="P264" i="7"/>
  <c r="O264" i="7"/>
  <c r="N264" i="7"/>
  <c r="M264" i="7"/>
  <c r="L264" i="7"/>
  <c r="Q264" i="7" s="1"/>
  <c r="CV263" i="7"/>
  <c r="CP263" i="7"/>
  <c r="CC263" i="7"/>
  <c r="BP263" i="7"/>
  <c r="BJ263" i="7"/>
  <c r="AW263" i="7"/>
  <c r="AQ263" i="7"/>
  <c r="W263" i="7"/>
  <c r="P263" i="7"/>
  <c r="O263" i="7"/>
  <c r="N263" i="7"/>
  <c r="M263" i="7"/>
  <c r="Q263" i="7" s="1"/>
  <c r="L263" i="7"/>
  <c r="CV262" i="7"/>
  <c r="CP262" i="7"/>
  <c r="CC262" i="7"/>
  <c r="BP262" i="7"/>
  <c r="BJ262" i="7"/>
  <c r="AW262" i="7"/>
  <c r="AQ262" i="7"/>
  <c r="W262" i="7"/>
  <c r="P262" i="7"/>
  <c r="O262" i="7"/>
  <c r="N262" i="7"/>
  <c r="M262" i="7"/>
  <c r="Q262" i="7" s="1"/>
  <c r="L262" i="7"/>
  <c r="CV261" i="7"/>
  <c r="CP261" i="7"/>
  <c r="CC261" i="7"/>
  <c r="BP261" i="7"/>
  <c r="BJ261" i="7"/>
  <c r="AW261" i="7"/>
  <c r="AQ261" i="7"/>
  <c r="W261" i="7"/>
  <c r="Q261" i="7"/>
  <c r="P261" i="7"/>
  <c r="O261" i="7"/>
  <c r="N261" i="7"/>
  <c r="M261" i="7"/>
  <c r="L261" i="7"/>
  <c r="CV260" i="7"/>
  <c r="CP260" i="7"/>
  <c r="CC260" i="7"/>
  <c r="BP260" i="7"/>
  <c r="BJ260" i="7"/>
  <c r="AW260" i="7"/>
  <c r="AQ260" i="7"/>
  <c r="W260" i="7"/>
  <c r="P260" i="7"/>
  <c r="O260" i="7"/>
  <c r="N260" i="7"/>
  <c r="M260" i="7"/>
  <c r="L260" i="7"/>
  <c r="Q260" i="7" s="1"/>
  <c r="CV259" i="7"/>
  <c r="CP259" i="7"/>
  <c r="CC259" i="7"/>
  <c r="BP259" i="7"/>
  <c r="BJ259" i="7"/>
  <c r="AW259" i="7"/>
  <c r="AQ259" i="7"/>
  <c r="W259" i="7"/>
  <c r="P259" i="7"/>
  <c r="O259" i="7"/>
  <c r="N259" i="7"/>
  <c r="M259" i="7"/>
  <c r="Q259" i="7" s="1"/>
  <c r="L259" i="7"/>
  <c r="CV258" i="7"/>
  <c r="CP258" i="7"/>
  <c r="CC258" i="7"/>
  <c r="BP258" i="7"/>
  <c r="BJ258" i="7"/>
  <c r="AW258" i="7"/>
  <c r="AQ258" i="7"/>
  <c r="W258" i="7"/>
  <c r="P258" i="7"/>
  <c r="O258" i="7"/>
  <c r="N258" i="7"/>
  <c r="M258" i="7"/>
  <c r="Q258" i="7" s="1"/>
  <c r="L258" i="7"/>
  <c r="CV257" i="7"/>
  <c r="CP257" i="7"/>
  <c r="CC257" i="7"/>
  <c r="BP257" i="7"/>
  <c r="BJ257" i="7"/>
  <c r="AW257" i="7"/>
  <c r="AQ257" i="7"/>
  <c r="W257" i="7"/>
  <c r="Q257" i="7"/>
  <c r="P257" i="7"/>
  <c r="O257" i="7"/>
  <c r="N257" i="7"/>
  <c r="M257" i="7"/>
  <c r="L257" i="7"/>
  <c r="CV256" i="7"/>
  <c r="CP256" i="7"/>
  <c r="CC256" i="7"/>
  <c r="BP256" i="7"/>
  <c r="BJ256" i="7"/>
  <c r="AW256" i="7"/>
  <c r="AQ256" i="7"/>
  <c r="W256" i="7"/>
  <c r="P256" i="7"/>
  <c r="O256" i="7"/>
  <c r="N256" i="7"/>
  <c r="M256" i="7"/>
  <c r="L256" i="7"/>
  <c r="Q256" i="7" s="1"/>
  <c r="CV255" i="7"/>
  <c r="CP255" i="7"/>
  <c r="CC255" i="7"/>
  <c r="BP255" i="7"/>
  <c r="BJ255" i="7"/>
  <c r="AW255" i="7"/>
  <c r="AQ255" i="7"/>
  <c r="W255" i="7"/>
  <c r="P255" i="7"/>
  <c r="O255" i="7"/>
  <c r="N255" i="7"/>
  <c r="M255" i="7"/>
  <c r="Q255" i="7" s="1"/>
  <c r="L255" i="7"/>
  <c r="CV254" i="7"/>
  <c r="CP254" i="7"/>
  <c r="CC254" i="7"/>
  <c r="BP254" i="7"/>
  <c r="BJ254" i="7"/>
  <c r="AW254" i="7"/>
  <c r="AQ254" i="7"/>
  <c r="W254" i="7"/>
  <c r="P254" i="7"/>
  <c r="O254" i="7"/>
  <c r="N254" i="7"/>
  <c r="M254" i="7"/>
  <c r="Q254" i="7" s="1"/>
  <c r="L254" i="7"/>
  <c r="CV253" i="7"/>
  <c r="CP253" i="7"/>
  <c r="CC253" i="7"/>
  <c r="BP253" i="7"/>
  <c r="BJ253" i="7"/>
  <c r="AW253" i="7"/>
  <c r="AQ253" i="7"/>
  <c r="W253" i="7"/>
  <c r="Q253" i="7"/>
  <c r="P253" i="7"/>
  <c r="O253" i="7"/>
  <c r="N253" i="7"/>
  <c r="M253" i="7"/>
  <c r="L253" i="7"/>
  <c r="CV252" i="7"/>
  <c r="CP252" i="7"/>
  <c r="CC252" i="7"/>
  <c r="BP252" i="7"/>
  <c r="BJ252" i="7"/>
  <c r="AW252" i="7"/>
  <c r="AQ252" i="7"/>
  <c r="W252" i="7"/>
  <c r="Q252" i="7"/>
  <c r="CV251" i="7"/>
  <c r="CP251" i="7"/>
  <c r="CC251" i="7"/>
  <c r="BP251" i="7"/>
  <c r="BJ251" i="7"/>
  <c r="AW251" i="7"/>
  <c r="AQ251" i="7"/>
  <c r="W251" i="7"/>
  <c r="P251" i="7"/>
  <c r="O251" i="7"/>
  <c r="N251" i="7"/>
  <c r="M251" i="7"/>
  <c r="L251" i="7"/>
  <c r="Q251" i="7" s="1"/>
  <c r="CV250" i="7"/>
  <c r="CP250" i="7"/>
  <c r="CC250" i="7"/>
  <c r="BP250" i="7"/>
  <c r="BJ250" i="7"/>
  <c r="AW250" i="7"/>
  <c r="AQ250" i="7"/>
  <c r="W250" i="7"/>
  <c r="P250" i="7"/>
  <c r="O250" i="7"/>
  <c r="N250" i="7"/>
  <c r="Q250" i="7" s="1"/>
  <c r="M250" i="7"/>
  <c r="L250" i="7"/>
  <c r="CV249" i="7"/>
  <c r="CP249" i="7"/>
  <c r="CC249" i="7"/>
  <c r="BP249" i="7"/>
  <c r="BJ249" i="7"/>
  <c r="AW249" i="7"/>
  <c r="AQ249" i="7"/>
  <c r="W249" i="7"/>
  <c r="P249" i="7"/>
  <c r="O249" i="7"/>
  <c r="N249" i="7"/>
  <c r="M249" i="7"/>
  <c r="L249" i="7"/>
  <c r="Q249" i="7" s="1"/>
  <c r="CV248" i="7"/>
  <c r="CP248" i="7"/>
  <c r="CC248" i="7"/>
  <c r="BP248" i="7"/>
  <c r="BJ248" i="7"/>
  <c r="AW248" i="7"/>
  <c r="AQ248" i="7"/>
  <c r="W248" i="7"/>
  <c r="P248" i="7"/>
  <c r="O248" i="7"/>
  <c r="N248" i="7"/>
  <c r="M248" i="7"/>
  <c r="L248" i="7"/>
  <c r="Q248" i="7" s="1"/>
  <c r="CV247" i="7"/>
  <c r="CP247" i="7"/>
  <c r="CC247" i="7"/>
  <c r="BP247" i="7"/>
  <c r="BJ247" i="7"/>
  <c r="AW247" i="7"/>
  <c r="AQ247" i="7"/>
  <c r="W247" i="7"/>
  <c r="P247" i="7"/>
  <c r="O247" i="7"/>
  <c r="N247" i="7"/>
  <c r="M247" i="7"/>
  <c r="L247" i="7"/>
  <c r="Q247" i="7" s="1"/>
  <c r="CV246" i="7"/>
  <c r="CP246" i="7"/>
  <c r="CC246" i="7"/>
  <c r="BP246" i="7"/>
  <c r="BJ246" i="7"/>
  <c r="AW246" i="7"/>
  <c r="AQ246" i="7"/>
  <c r="W246" i="7"/>
  <c r="P246" i="7"/>
  <c r="O246" i="7"/>
  <c r="N246" i="7"/>
  <c r="Q246" i="7" s="1"/>
  <c r="M246" i="7"/>
  <c r="L246" i="7"/>
  <c r="CV245" i="7"/>
  <c r="CP245" i="7"/>
  <c r="CC245" i="7"/>
  <c r="BP245" i="7"/>
  <c r="BJ245" i="7"/>
  <c r="AW245" i="7"/>
  <c r="AQ245" i="7"/>
  <c r="W245" i="7"/>
  <c r="P245" i="7"/>
  <c r="O245" i="7"/>
  <c r="N245" i="7"/>
  <c r="M245" i="7"/>
  <c r="L245" i="7"/>
  <c r="Q245" i="7" s="1"/>
  <c r="CV244" i="7"/>
  <c r="CP244" i="7"/>
  <c r="CC244" i="7"/>
  <c r="BP244" i="7"/>
  <c r="BJ244" i="7"/>
  <c r="AW244" i="7"/>
  <c r="AQ244" i="7"/>
  <c r="W244" i="7"/>
  <c r="P244" i="7"/>
  <c r="O244" i="7"/>
  <c r="N244" i="7"/>
  <c r="M244" i="7"/>
  <c r="L244" i="7"/>
  <c r="Q244" i="7" s="1"/>
  <c r="CV243" i="7"/>
  <c r="CP243" i="7"/>
  <c r="CC243" i="7"/>
  <c r="BP243" i="7"/>
  <c r="BJ243" i="7"/>
  <c r="AW243" i="7"/>
  <c r="AQ243" i="7"/>
  <c r="W243" i="7"/>
  <c r="P243" i="7"/>
  <c r="O243" i="7"/>
  <c r="N243" i="7"/>
  <c r="M243" i="7"/>
  <c r="L243" i="7"/>
  <c r="Q243" i="7" s="1"/>
  <c r="CV242" i="7"/>
  <c r="CP242" i="7"/>
  <c r="CC242" i="7"/>
  <c r="BP242" i="7"/>
  <c r="BJ242" i="7"/>
  <c r="AW242" i="7"/>
  <c r="AQ242" i="7"/>
  <c r="W242" i="7"/>
  <c r="P242" i="7"/>
  <c r="O242" i="7"/>
  <c r="N242" i="7"/>
  <c r="Q242" i="7" s="1"/>
  <c r="M242" i="7"/>
  <c r="L242" i="7"/>
  <c r="CV241" i="7"/>
  <c r="CP241" i="7"/>
  <c r="CC241" i="7"/>
  <c r="BP241" i="7"/>
  <c r="BJ241" i="7"/>
  <c r="AW241" i="7"/>
  <c r="AQ241" i="7"/>
  <c r="W241" i="7"/>
  <c r="P241" i="7"/>
  <c r="O241" i="7"/>
  <c r="N241" i="7"/>
  <c r="M241" i="7"/>
  <c r="L241" i="7"/>
  <c r="Q241" i="7" s="1"/>
  <c r="CV240" i="7"/>
  <c r="CP240" i="7"/>
  <c r="CC240" i="7"/>
  <c r="BP240" i="7"/>
  <c r="BJ240" i="7"/>
  <c r="AW240" i="7"/>
  <c r="AQ240" i="7"/>
  <c r="W240" i="7"/>
  <c r="P240" i="7"/>
  <c r="O240" i="7"/>
  <c r="N240" i="7"/>
  <c r="M240" i="7"/>
  <c r="L240" i="7"/>
  <c r="Q240" i="7" s="1"/>
  <c r="CV239" i="7"/>
  <c r="CP239" i="7"/>
  <c r="CC239" i="7"/>
  <c r="BP239" i="7"/>
  <c r="BJ239" i="7"/>
  <c r="AW239" i="7"/>
  <c r="AQ239" i="7"/>
  <c r="W239" i="7"/>
  <c r="P239" i="7"/>
  <c r="O239" i="7"/>
  <c r="N239" i="7"/>
  <c r="M239" i="7"/>
  <c r="L239" i="7"/>
  <c r="Q239" i="7" s="1"/>
  <c r="CV238" i="7"/>
  <c r="CP238" i="7"/>
  <c r="CC238" i="7"/>
  <c r="BP238" i="7"/>
  <c r="BJ238" i="7"/>
  <c r="AW238" i="7"/>
  <c r="AQ238" i="7"/>
  <c r="W238" i="7"/>
  <c r="P238" i="7"/>
  <c r="O238" i="7"/>
  <c r="N238" i="7"/>
  <c r="Q238" i="7" s="1"/>
  <c r="M238" i="7"/>
  <c r="L238" i="7"/>
  <c r="CV237" i="7"/>
  <c r="CP237" i="7"/>
  <c r="CC237" i="7"/>
  <c r="BP237" i="7"/>
  <c r="BJ237" i="7"/>
  <c r="AW237" i="7"/>
  <c r="AQ237" i="7"/>
  <c r="W237" i="7"/>
  <c r="Q237" i="7"/>
  <c r="CV236" i="7"/>
  <c r="CP236" i="7"/>
  <c r="CC236" i="7"/>
  <c r="BP236" i="7"/>
  <c r="BJ236" i="7"/>
  <c r="AW236" i="7"/>
  <c r="AQ236" i="7"/>
  <c r="W236" i="7"/>
  <c r="P236" i="7"/>
  <c r="O236" i="7"/>
  <c r="N236" i="7"/>
  <c r="L236" i="7"/>
  <c r="Q236" i="7" s="1"/>
  <c r="CV235" i="7"/>
  <c r="CP235" i="7"/>
  <c r="CC235" i="7"/>
  <c r="BP235" i="7"/>
  <c r="BJ235" i="7"/>
  <c r="AW235" i="7"/>
  <c r="AQ235" i="7"/>
  <c r="W235" i="7"/>
  <c r="P235" i="7"/>
  <c r="O235" i="7"/>
  <c r="N235" i="7"/>
  <c r="M235" i="7"/>
  <c r="L235" i="7"/>
  <c r="Q235" i="7" s="1"/>
  <c r="CV234" i="7"/>
  <c r="CP234" i="7"/>
  <c r="CC234" i="7"/>
  <c r="BP234" i="7"/>
  <c r="BJ234" i="7"/>
  <c r="AW234" i="7"/>
  <c r="AQ234" i="7"/>
  <c r="W234" i="7"/>
  <c r="P234" i="7"/>
  <c r="O234" i="7"/>
  <c r="N234" i="7"/>
  <c r="M234" i="7"/>
  <c r="Q234" i="7" s="1"/>
  <c r="CV233" i="7"/>
  <c r="CP233" i="7"/>
  <c r="CC233" i="7"/>
  <c r="BP233" i="7"/>
  <c r="BJ233" i="7"/>
  <c r="AW233" i="7"/>
  <c r="AQ233" i="7"/>
  <c r="W233" i="7"/>
  <c r="P233" i="7"/>
  <c r="O233" i="7"/>
  <c r="N233" i="7"/>
  <c r="M233" i="7"/>
  <c r="Q233" i="7" s="1"/>
  <c r="L233" i="7"/>
  <c r="CV232" i="7"/>
  <c r="CP232" i="7"/>
  <c r="CC232" i="7"/>
  <c r="BP232" i="7"/>
  <c r="BJ232" i="7"/>
  <c r="AW232" i="7"/>
  <c r="AQ232" i="7"/>
  <c r="W232" i="7"/>
  <c r="P232" i="7"/>
  <c r="O232" i="7"/>
  <c r="N232" i="7"/>
  <c r="M232" i="7"/>
  <c r="L232" i="7"/>
  <c r="Q232" i="7" s="1"/>
  <c r="CV231" i="7"/>
  <c r="CP231" i="7"/>
  <c r="CC231" i="7"/>
  <c r="BP231" i="7"/>
  <c r="BJ231" i="7"/>
  <c r="AW231" i="7"/>
  <c r="AQ231" i="7"/>
  <c r="W231" i="7"/>
  <c r="Q231" i="7"/>
  <c r="P231" i="7"/>
  <c r="O231" i="7"/>
  <c r="N231" i="7"/>
  <c r="M231" i="7"/>
  <c r="L231" i="7"/>
  <c r="CV230" i="7"/>
  <c r="CP230" i="7"/>
  <c r="CC230" i="7"/>
  <c r="BP230" i="7"/>
  <c r="BJ230" i="7"/>
  <c r="AW230" i="7"/>
  <c r="AQ230" i="7"/>
  <c r="W230" i="7"/>
  <c r="P230" i="7"/>
  <c r="O230" i="7"/>
  <c r="N230" i="7"/>
  <c r="M230" i="7"/>
  <c r="L230" i="7"/>
  <c r="Q230" i="7" s="1"/>
  <c r="CV229" i="7"/>
  <c r="CP229" i="7"/>
  <c r="CC229" i="7"/>
  <c r="BP229" i="7"/>
  <c r="BJ229" i="7"/>
  <c r="AW229" i="7"/>
  <c r="AQ229" i="7"/>
  <c r="W229" i="7"/>
  <c r="P229" i="7"/>
  <c r="O229" i="7"/>
  <c r="N229" i="7"/>
  <c r="M229" i="7"/>
  <c r="Q229" i="7" s="1"/>
  <c r="L229" i="7"/>
  <c r="CV228" i="7"/>
  <c r="CP228" i="7"/>
  <c r="CC228" i="7"/>
  <c r="BP228" i="7"/>
  <c r="BJ228" i="7"/>
  <c r="AW228" i="7"/>
  <c r="AQ228" i="7"/>
  <c r="W228" i="7"/>
  <c r="P228" i="7"/>
  <c r="O228" i="7"/>
  <c r="N228" i="7"/>
  <c r="M228" i="7"/>
  <c r="Q228" i="7" s="1"/>
  <c r="L228" i="7"/>
  <c r="CV227" i="7"/>
  <c r="CP227" i="7"/>
  <c r="CC227" i="7"/>
  <c r="BP227" i="7"/>
  <c r="BJ227" i="7"/>
  <c r="AW227" i="7"/>
  <c r="AQ227" i="7"/>
  <c r="W227" i="7"/>
  <c r="Q227" i="7"/>
  <c r="CV226" i="7"/>
  <c r="CP226" i="7"/>
  <c r="CC226" i="7"/>
  <c r="BP226" i="7"/>
  <c r="BJ226" i="7"/>
  <c r="AW226" i="7"/>
  <c r="AQ226" i="7"/>
  <c r="W226" i="7"/>
  <c r="Q226" i="7"/>
  <c r="CV225" i="7"/>
  <c r="CP225" i="7"/>
  <c r="CC225" i="7"/>
  <c r="BP225" i="7"/>
  <c r="BJ225" i="7"/>
  <c r="AW225" i="7"/>
  <c r="AQ225" i="7"/>
  <c r="W225" i="7"/>
  <c r="P225" i="7"/>
  <c r="O225" i="7"/>
  <c r="N225" i="7"/>
  <c r="M225" i="7"/>
  <c r="Q225" i="7" s="1"/>
  <c r="L225" i="7"/>
  <c r="CV224" i="7"/>
  <c r="CP224" i="7"/>
  <c r="CC224" i="7"/>
  <c r="BP224" i="7"/>
  <c r="BJ224" i="7"/>
  <c r="AW224" i="7"/>
  <c r="AQ224" i="7"/>
  <c r="W224" i="7"/>
  <c r="Q224" i="7"/>
  <c r="P224" i="7"/>
  <c r="O224" i="7"/>
  <c r="N224" i="7"/>
  <c r="M224" i="7"/>
  <c r="L224" i="7"/>
  <c r="CV223" i="7"/>
  <c r="CP223" i="7"/>
  <c r="CC223" i="7"/>
  <c r="BP223" i="7"/>
  <c r="BJ223" i="7"/>
  <c r="AW223" i="7"/>
  <c r="AQ223" i="7"/>
  <c r="W223" i="7"/>
  <c r="P223" i="7"/>
  <c r="O223" i="7"/>
  <c r="N223" i="7"/>
  <c r="M223" i="7"/>
  <c r="L223" i="7"/>
  <c r="Q223" i="7" s="1"/>
  <c r="CV222" i="7"/>
  <c r="CP222" i="7"/>
  <c r="CC222" i="7"/>
  <c r="BP222" i="7"/>
  <c r="BJ222" i="7"/>
  <c r="AW222" i="7"/>
  <c r="AQ222" i="7"/>
  <c r="W222" i="7"/>
  <c r="P222" i="7"/>
  <c r="O222" i="7"/>
  <c r="N222" i="7"/>
  <c r="M222" i="7"/>
  <c r="Q222" i="7" s="1"/>
  <c r="L222" i="7"/>
  <c r="CV221" i="7"/>
  <c r="CP221" i="7"/>
  <c r="CC221" i="7"/>
  <c r="BP221" i="7"/>
  <c r="BJ221" i="7"/>
  <c r="AW221" i="7"/>
  <c r="AQ221" i="7"/>
  <c r="W221" i="7"/>
  <c r="Q221" i="7"/>
  <c r="CV220" i="7"/>
  <c r="CP220" i="7"/>
  <c r="CC220" i="7"/>
  <c r="BP220" i="7"/>
  <c r="BJ220" i="7"/>
  <c r="AW220" i="7"/>
  <c r="AQ220" i="7"/>
  <c r="W220" i="7"/>
  <c r="P220" i="7"/>
  <c r="O220" i="7"/>
  <c r="N220" i="7"/>
  <c r="M220" i="7"/>
  <c r="L220" i="7"/>
  <c r="Q220" i="7" s="1"/>
  <c r="CV219" i="7"/>
  <c r="CP219" i="7"/>
  <c r="CC219" i="7"/>
  <c r="BP219" i="7"/>
  <c r="BJ219" i="7"/>
  <c r="AW219" i="7"/>
  <c r="AQ219" i="7"/>
  <c r="W219" i="7"/>
  <c r="P219" i="7"/>
  <c r="O219" i="7"/>
  <c r="N219" i="7"/>
  <c r="M219" i="7"/>
  <c r="L219" i="7"/>
  <c r="Q219" i="7" s="1"/>
  <c r="CV218" i="7"/>
  <c r="CP218" i="7"/>
  <c r="CC218" i="7"/>
  <c r="BP218" i="7"/>
  <c r="BJ218" i="7"/>
  <c r="AW218" i="7"/>
  <c r="AQ218" i="7"/>
  <c r="W218" i="7"/>
  <c r="P218" i="7"/>
  <c r="O218" i="7"/>
  <c r="N218" i="7"/>
  <c r="M218" i="7"/>
  <c r="L218" i="7"/>
  <c r="Q218" i="7" s="1"/>
  <c r="CV217" i="7"/>
  <c r="CP217" i="7"/>
  <c r="CC217" i="7"/>
  <c r="BP217" i="7"/>
  <c r="BJ217" i="7"/>
  <c r="AW217" i="7"/>
  <c r="AQ217" i="7"/>
  <c r="W217" i="7"/>
  <c r="P217" i="7"/>
  <c r="O217" i="7"/>
  <c r="N217" i="7"/>
  <c r="Q217" i="7" s="1"/>
  <c r="M217" i="7"/>
  <c r="L217" i="7"/>
  <c r="CV216" i="7"/>
  <c r="CP216" i="7"/>
  <c r="CC216" i="7"/>
  <c r="BP216" i="7"/>
  <c r="BJ216" i="7"/>
  <c r="AW216" i="7"/>
  <c r="AQ216" i="7"/>
  <c r="W216" i="7"/>
  <c r="P216" i="7"/>
  <c r="O216" i="7"/>
  <c r="N216" i="7"/>
  <c r="M216" i="7"/>
  <c r="L216" i="7"/>
  <c r="Q216" i="7" s="1"/>
  <c r="CV215" i="7"/>
  <c r="CP215" i="7"/>
  <c r="CC215" i="7"/>
  <c r="BP215" i="7"/>
  <c r="BJ215" i="7"/>
  <c r="AW215" i="7"/>
  <c r="AQ215" i="7"/>
  <c r="W215" i="7"/>
  <c r="P215" i="7"/>
  <c r="O215" i="7"/>
  <c r="N215" i="7"/>
  <c r="M215" i="7"/>
  <c r="L215" i="7"/>
  <c r="Q215" i="7" s="1"/>
  <c r="CV214" i="7"/>
  <c r="CP214" i="7"/>
  <c r="CC214" i="7"/>
  <c r="BP214" i="7"/>
  <c r="BJ214" i="7"/>
  <c r="AW214" i="7"/>
  <c r="AQ214" i="7"/>
  <c r="W214" i="7"/>
  <c r="P214" i="7"/>
  <c r="O214" i="7"/>
  <c r="N214" i="7"/>
  <c r="M214" i="7"/>
  <c r="L214" i="7"/>
  <c r="Q214" i="7" s="1"/>
  <c r="CV213" i="7"/>
  <c r="CP213" i="7"/>
  <c r="CC213" i="7"/>
  <c r="BP213" i="7"/>
  <c r="BJ213" i="7"/>
  <c r="AW213" i="7"/>
  <c r="AQ213" i="7"/>
  <c r="W213" i="7"/>
  <c r="P213" i="7"/>
  <c r="O213" i="7"/>
  <c r="N213" i="7"/>
  <c r="Q213" i="7" s="1"/>
  <c r="M213" i="7"/>
  <c r="L213" i="7"/>
  <c r="CV212" i="7"/>
  <c r="CP212" i="7"/>
  <c r="CC212" i="7"/>
  <c r="BP212" i="7"/>
  <c r="BJ212" i="7"/>
  <c r="AW212" i="7"/>
  <c r="AQ212" i="7"/>
  <c r="W212" i="7"/>
  <c r="P212" i="7"/>
  <c r="O212" i="7"/>
  <c r="N212" i="7"/>
  <c r="M212" i="7"/>
  <c r="L212" i="7"/>
  <c r="Q212" i="7" s="1"/>
  <c r="CV211" i="7"/>
  <c r="CP211" i="7"/>
  <c r="CC211" i="7"/>
  <c r="BP211" i="7"/>
  <c r="BJ211" i="7"/>
  <c r="AW211" i="7"/>
  <c r="AQ211" i="7"/>
  <c r="W211" i="7"/>
  <c r="P211" i="7"/>
  <c r="O211" i="7"/>
  <c r="N211" i="7"/>
  <c r="M211" i="7"/>
  <c r="L211" i="7"/>
  <c r="Q211" i="7" s="1"/>
  <c r="CV210" i="7"/>
  <c r="CP210" i="7"/>
  <c r="CC210" i="7"/>
  <c r="BP210" i="7"/>
  <c r="BJ210" i="7"/>
  <c r="AW210" i="7"/>
  <c r="AQ210" i="7"/>
  <c r="W210" i="7"/>
  <c r="P210" i="7"/>
  <c r="O210" i="7"/>
  <c r="N210" i="7"/>
  <c r="M210" i="7"/>
  <c r="L210" i="7"/>
  <c r="Q210" i="7" s="1"/>
  <c r="CV209" i="7"/>
  <c r="CP209" i="7"/>
  <c r="CC209" i="7"/>
  <c r="BP209" i="7"/>
  <c r="BJ209" i="7"/>
  <c r="AW209" i="7"/>
  <c r="AQ209" i="7"/>
  <c r="W209" i="7"/>
  <c r="P209" i="7"/>
  <c r="O209" i="7"/>
  <c r="N209" i="7"/>
  <c r="Q209" i="7" s="1"/>
  <c r="M209" i="7"/>
  <c r="L209" i="7"/>
  <c r="CV208" i="7"/>
  <c r="CP208" i="7"/>
  <c r="CC208" i="7"/>
  <c r="BP208" i="7"/>
  <c r="BJ208" i="7"/>
  <c r="AW208" i="7"/>
  <c r="AQ208" i="7"/>
  <c r="W208" i="7"/>
  <c r="P208" i="7"/>
  <c r="O208" i="7"/>
  <c r="N208" i="7"/>
  <c r="M208" i="7"/>
  <c r="L208" i="7"/>
  <c r="Q208" i="7" s="1"/>
  <c r="CV207" i="7"/>
  <c r="CP207" i="7"/>
  <c r="CC207" i="7"/>
  <c r="BP207" i="7"/>
  <c r="BJ207" i="7"/>
  <c r="AW207" i="7"/>
  <c r="AQ207" i="7"/>
  <c r="W207" i="7"/>
  <c r="P207" i="7"/>
  <c r="O207" i="7"/>
  <c r="N207" i="7"/>
  <c r="M207" i="7"/>
  <c r="L207" i="7"/>
  <c r="Q207" i="7" s="1"/>
  <c r="CV206" i="7"/>
  <c r="CP206" i="7"/>
  <c r="CC206" i="7"/>
  <c r="BP206" i="7"/>
  <c r="BJ206" i="7"/>
  <c r="AW206" i="7"/>
  <c r="AQ206" i="7"/>
  <c r="W206" i="7"/>
  <c r="P206" i="7"/>
  <c r="O206" i="7"/>
  <c r="N206" i="7"/>
  <c r="M206" i="7"/>
  <c r="L206" i="7"/>
  <c r="Q206" i="7" s="1"/>
  <c r="CV205" i="7"/>
  <c r="CP205" i="7"/>
  <c r="CC205" i="7"/>
  <c r="BP205" i="7"/>
  <c r="BJ205" i="7"/>
  <c r="AW205" i="7"/>
  <c r="AQ205" i="7"/>
  <c r="W205" i="7"/>
  <c r="P205" i="7"/>
  <c r="O205" i="7"/>
  <c r="N205" i="7"/>
  <c r="Q205" i="7" s="1"/>
  <c r="M205" i="7"/>
  <c r="L205" i="7"/>
  <c r="CV204" i="7"/>
  <c r="CP204" i="7"/>
  <c r="CC204" i="7"/>
  <c r="BP204" i="7"/>
  <c r="BJ204" i="7"/>
  <c r="AW204" i="7"/>
  <c r="AQ204" i="7"/>
  <c r="W204" i="7"/>
  <c r="P204" i="7"/>
  <c r="O204" i="7"/>
  <c r="N204" i="7"/>
  <c r="M204" i="7"/>
  <c r="L204" i="7"/>
  <c r="Q204" i="7" s="1"/>
  <c r="CV203" i="7"/>
  <c r="CP203" i="7"/>
  <c r="CC203" i="7"/>
  <c r="BP203" i="7"/>
  <c r="BJ203" i="7"/>
  <c r="AW203" i="7"/>
  <c r="AQ203" i="7"/>
  <c r="W203" i="7"/>
  <c r="P203" i="7"/>
  <c r="O203" i="7"/>
  <c r="N203" i="7"/>
  <c r="M203" i="7"/>
  <c r="L203" i="7"/>
  <c r="Q203" i="7" s="1"/>
  <c r="CV202" i="7"/>
  <c r="CP202" i="7"/>
  <c r="CC202" i="7"/>
  <c r="BP202" i="7"/>
  <c r="BJ202" i="7"/>
  <c r="AW202" i="7"/>
  <c r="AQ202" i="7"/>
  <c r="W202" i="7"/>
  <c r="P202" i="7"/>
  <c r="O202" i="7"/>
  <c r="N202" i="7"/>
  <c r="M202" i="7"/>
  <c r="L202" i="7"/>
  <c r="Q202" i="7" s="1"/>
  <c r="CV201" i="7"/>
  <c r="CP201" i="7"/>
  <c r="CC201" i="7"/>
  <c r="BP201" i="7"/>
  <c r="BJ201" i="7"/>
  <c r="AW201" i="7"/>
  <c r="AQ201" i="7"/>
  <c r="W201" i="7"/>
  <c r="P201" i="7"/>
  <c r="O201" i="7"/>
  <c r="N201" i="7"/>
  <c r="Q201" i="7" s="1"/>
  <c r="M201" i="7"/>
  <c r="L201" i="7"/>
  <c r="CV200" i="7"/>
  <c r="CP200" i="7"/>
  <c r="CC200" i="7"/>
  <c r="BP200" i="7"/>
  <c r="BJ200" i="7"/>
  <c r="AW200" i="7"/>
  <c r="AQ200" i="7"/>
  <c r="W200" i="7"/>
  <c r="P200" i="7"/>
  <c r="O200" i="7"/>
  <c r="N200" i="7"/>
  <c r="M200" i="7"/>
  <c r="L200" i="7"/>
  <c r="Q200" i="7" s="1"/>
  <c r="CV199" i="7"/>
  <c r="CP199" i="7"/>
  <c r="CC199" i="7"/>
  <c r="BP199" i="7"/>
  <c r="BJ199" i="7"/>
  <c r="AW199" i="7"/>
  <c r="AQ199" i="7"/>
  <c r="W199" i="7"/>
  <c r="P199" i="7"/>
  <c r="O199" i="7"/>
  <c r="N199" i="7"/>
  <c r="M199" i="7"/>
  <c r="L199" i="7"/>
  <c r="Q199" i="7" s="1"/>
  <c r="CV198" i="7"/>
  <c r="CP198" i="7"/>
  <c r="CC198" i="7"/>
  <c r="BP198" i="7"/>
  <c r="BJ198" i="7"/>
  <c r="AW198" i="7"/>
  <c r="AQ198" i="7"/>
  <c r="W198" i="7"/>
  <c r="P198" i="7"/>
  <c r="O198" i="7"/>
  <c r="N198" i="7"/>
  <c r="M198" i="7"/>
  <c r="L198" i="7"/>
  <c r="Q198" i="7" s="1"/>
  <c r="CV197" i="7"/>
  <c r="CP197" i="7"/>
  <c r="CC197" i="7"/>
  <c r="BP197" i="7"/>
  <c r="BJ197" i="7"/>
  <c r="AW197" i="7"/>
  <c r="AQ197" i="7"/>
  <c r="W197" i="7"/>
  <c r="P197" i="7"/>
  <c r="O197" i="7"/>
  <c r="N197" i="7"/>
  <c r="Q197" i="7" s="1"/>
  <c r="M197" i="7"/>
  <c r="L197" i="7"/>
  <c r="CV196" i="7"/>
  <c r="CP196" i="7"/>
  <c r="CC196" i="7"/>
  <c r="BP196" i="7"/>
  <c r="BJ196" i="7"/>
  <c r="AW196" i="7"/>
  <c r="AQ196" i="7"/>
  <c r="W196" i="7"/>
  <c r="P196" i="7"/>
  <c r="O196" i="7"/>
  <c r="N196" i="7"/>
  <c r="M196" i="7"/>
  <c r="L196" i="7"/>
  <c r="Q196" i="7" s="1"/>
  <c r="CV195" i="7"/>
  <c r="CP195" i="7"/>
  <c r="CC195" i="7"/>
  <c r="BP195" i="7"/>
  <c r="BJ195" i="7"/>
  <c r="AW195" i="7"/>
  <c r="AQ195" i="7"/>
  <c r="W195" i="7"/>
  <c r="P195" i="7"/>
  <c r="O195" i="7"/>
  <c r="N195" i="7"/>
  <c r="M195" i="7"/>
  <c r="L195" i="7"/>
  <c r="Q195" i="7" s="1"/>
  <c r="CV194" i="7"/>
  <c r="CP194" i="7"/>
  <c r="CC194" i="7"/>
  <c r="BP194" i="7"/>
  <c r="BJ194" i="7"/>
  <c r="AW194" i="7"/>
  <c r="AQ194" i="7"/>
  <c r="W194" i="7"/>
  <c r="P194" i="7"/>
  <c r="O194" i="7"/>
  <c r="N194" i="7"/>
  <c r="M194" i="7"/>
  <c r="L194" i="7"/>
  <c r="Q194" i="7" s="1"/>
  <c r="CV193" i="7"/>
  <c r="CP193" i="7"/>
  <c r="CC193" i="7"/>
  <c r="BP193" i="7"/>
  <c r="BJ193" i="7"/>
  <c r="AW193" i="7"/>
  <c r="AQ193" i="7"/>
  <c r="W193" i="7"/>
  <c r="P193" i="7"/>
  <c r="O193" i="7"/>
  <c r="N193" i="7"/>
  <c r="Q193" i="7" s="1"/>
  <c r="M193" i="7"/>
  <c r="L193" i="7"/>
  <c r="CV192" i="7"/>
  <c r="CP192" i="7"/>
  <c r="CC192" i="7"/>
  <c r="BP192" i="7"/>
  <c r="BJ192" i="7"/>
  <c r="AW192" i="7"/>
  <c r="AQ192" i="7"/>
  <c r="W192" i="7"/>
  <c r="P192" i="7"/>
  <c r="O192" i="7"/>
  <c r="N192" i="7"/>
  <c r="M192" i="7"/>
  <c r="L192" i="7"/>
  <c r="Q192" i="7" s="1"/>
  <c r="CV191" i="7"/>
  <c r="CP191" i="7"/>
  <c r="CC191" i="7"/>
  <c r="BP191" i="7"/>
  <c r="BJ191" i="7"/>
  <c r="AW191" i="7"/>
  <c r="AQ191" i="7"/>
  <c r="W191" i="7"/>
  <c r="P191" i="7"/>
  <c r="O191" i="7"/>
  <c r="N191" i="7"/>
  <c r="M191" i="7"/>
  <c r="L191" i="7"/>
  <c r="Q191" i="7" s="1"/>
  <c r="CV190" i="7"/>
  <c r="CP190" i="7"/>
  <c r="CC190" i="7"/>
  <c r="BP190" i="7"/>
  <c r="BJ190" i="7"/>
  <c r="AW190" i="7"/>
  <c r="AQ190" i="7"/>
  <c r="W190" i="7"/>
  <c r="P190" i="7"/>
  <c r="O190" i="7"/>
  <c r="N190" i="7"/>
  <c r="M190" i="7"/>
  <c r="L190" i="7"/>
  <c r="Q190" i="7" s="1"/>
  <c r="CV189" i="7"/>
  <c r="CP189" i="7"/>
  <c r="CC189" i="7"/>
  <c r="BP189" i="7"/>
  <c r="BJ189" i="7"/>
  <c r="AW189" i="7"/>
  <c r="AQ189" i="7"/>
  <c r="W189" i="7"/>
  <c r="P189" i="7"/>
  <c r="O189" i="7"/>
  <c r="N189" i="7"/>
  <c r="Q189" i="7" s="1"/>
  <c r="M189" i="7"/>
  <c r="L189" i="7"/>
  <c r="CV188" i="7"/>
  <c r="CP188" i="7"/>
  <c r="CC188" i="7"/>
  <c r="BP188" i="7"/>
  <c r="BJ188" i="7"/>
  <c r="AW188" i="7"/>
  <c r="AQ188" i="7"/>
  <c r="W188" i="7"/>
  <c r="P188" i="7"/>
  <c r="O188" i="7"/>
  <c r="N188" i="7"/>
  <c r="M188" i="7"/>
  <c r="L188" i="7"/>
  <c r="Q188" i="7" s="1"/>
  <c r="CV187" i="7"/>
  <c r="CP187" i="7"/>
  <c r="CC187" i="7"/>
  <c r="BP187" i="7"/>
  <c r="BJ187" i="7"/>
  <c r="AW187" i="7"/>
  <c r="AQ187" i="7"/>
  <c r="W187" i="7"/>
  <c r="P187" i="7"/>
  <c r="O187" i="7"/>
  <c r="N187" i="7"/>
  <c r="M187" i="7"/>
  <c r="L187" i="7"/>
  <c r="Q187" i="7" s="1"/>
  <c r="CV186" i="7"/>
  <c r="CP186" i="7"/>
  <c r="CC186" i="7"/>
  <c r="BP186" i="7"/>
  <c r="BJ186" i="7"/>
  <c r="AW186" i="7"/>
  <c r="AQ186" i="7"/>
  <c r="W186" i="7"/>
  <c r="P186" i="7"/>
  <c r="O186" i="7"/>
  <c r="N186" i="7"/>
  <c r="M186" i="7"/>
  <c r="L186" i="7"/>
  <c r="Q186" i="7" s="1"/>
  <c r="CV185" i="7"/>
  <c r="CP185" i="7"/>
  <c r="CC185" i="7"/>
  <c r="BP185" i="7"/>
  <c r="BJ185" i="7"/>
  <c r="AW185" i="7"/>
  <c r="AQ185" i="7"/>
  <c r="W185" i="7"/>
  <c r="P185" i="7"/>
  <c r="O185" i="7"/>
  <c r="N185" i="7"/>
  <c r="Q185" i="7" s="1"/>
  <c r="M185" i="7"/>
  <c r="L185" i="7"/>
  <c r="CV184" i="7"/>
  <c r="CP184" i="7"/>
  <c r="CC184" i="7"/>
  <c r="BP184" i="7"/>
  <c r="BJ184" i="7"/>
  <c r="AW184" i="7"/>
  <c r="AQ184" i="7"/>
  <c r="W184" i="7"/>
  <c r="P184" i="7"/>
  <c r="O184" i="7"/>
  <c r="N184" i="7"/>
  <c r="M184" i="7"/>
  <c r="L184" i="7"/>
  <c r="Q184" i="7" s="1"/>
  <c r="CV183" i="7"/>
  <c r="CP183" i="7"/>
  <c r="CC183" i="7"/>
  <c r="BP183" i="7"/>
  <c r="BJ183" i="7"/>
  <c r="AW183" i="7"/>
  <c r="AQ183" i="7"/>
  <c r="W183" i="7"/>
  <c r="P183" i="7"/>
  <c r="O183" i="7"/>
  <c r="N183" i="7"/>
  <c r="Q183" i="7" s="1"/>
  <c r="CV182" i="7"/>
  <c r="CP182" i="7"/>
  <c r="CC182" i="7"/>
  <c r="BP182" i="7"/>
  <c r="BJ182" i="7"/>
  <c r="AW182" i="7"/>
  <c r="AQ182" i="7"/>
  <c r="W182" i="7"/>
  <c r="P182" i="7"/>
  <c r="O182" i="7"/>
  <c r="N182" i="7"/>
  <c r="Q182" i="7" s="1"/>
  <c r="M182" i="7"/>
  <c r="L182" i="7"/>
  <c r="CV181" i="7"/>
  <c r="CP181" i="7"/>
  <c r="CC181" i="7"/>
  <c r="BP181" i="7"/>
  <c r="BJ181" i="7"/>
  <c r="AW181" i="7"/>
  <c r="AQ181" i="7"/>
  <c r="W181" i="7"/>
  <c r="P181" i="7"/>
  <c r="O181" i="7"/>
  <c r="N181" i="7"/>
  <c r="M181" i="7"/>
  <c r="L181" i="7"/>
  <c r="Q181" i="7" s="1"/>
  <c r="CV180" i="7"/>
  <c r="CP180" i="7"/>
  <c r="CC180" i="7"/>
  <c r="BP180" i="7"/>
  <c r="BJ180" i="7"/>
  <c r="AW180" i="7"/>
  <c r="AQ180" i="7"/>
  <c r="W180" i="7"/>
  <c r="P180" i="7"/>
  <c r="O180" i="7"/>
  <c r="N180" i="7"/>
  <c r="M180" i="7"/>
  <c r="L180" i="7"/>
  <c r="Q180" i="7" s="1"/>
  <c r="CV179" i="7"/>
  <c r="CP179" i="7"/>
  <c r="CC179" i="7"/>
  <c r="BP179" i="7"/>
  <c r="BJ179" i="7"/>
  <c r="AW179" i="7"/>
  <c r="AQ179" i="7"/>
  <c r="W179" i="7"/>
  <c r="P179" i="7"/>
  <c r="O179" i="7"/>
  <c r="N179" i="7"/>
  <c r="M179" i="7"/>
  <c r="L179" i="7"/>
  <c r="Q179" i="7" s="1"/>
  <c r="CV178" i="7"/>
  <c r="CP178" i="7"/>
  <c r="CC178" i="7"/>
  <c r="BP178" i="7"/>
  <c r="BJ178" i="7"/>
  <c r="AW178" i="7"/>
  <c r="AQ178" i="7"/>
  <c r="W178" i="7"/>
  <c r="P178" i="7"/>
  <c r="O178" i="7"/>
  <c r="N178" i="7"/>
  <c r="Q178" i="7" s="1"/>
  <c r="M178" i="7"/>
  <c r="L178" i="7"/>
  <c r="CV177" i="7"/>
  <c r="CP177" i="7"/>
  <c r="CC177" i="7"/>
  <c r="BP177" i="7"/>
  <c r="BJ177" i="7"/>
  <c r="AW177" i="7"/>
  <c r="AQ177" i="7"/>
  <c r="W177" i="7"/>
  <c r="P177" i="7"/>
  <c r="O177" i="7"/>
  <c r="N177" i="7"/>
  <c r="M177" i="7"/>
  <c r="L177" i="7"/>
  <c r="Q177" i="7" s="1"/>
  <c r="CV176" i="7"/>
  <c r="CP176" i="7"/>
  <c r="CC176" i="7"/>
  <c r="BP176" i="7"/>
  <c r="BJ176" i="7"/>
  <c r="AW176" i="7"/>
  <c r="AQ176" i="7"/>
  <c r="W176" i="7"/>
  <c r="P176" i="7"/>
  <c r="O176" i="7"/>
  <c r="N176" i="7"/>
  <c r="M176" i="7"/>
  <c r="L176" i="7"/>
  <c r="Q176" i="7" s="1"/>
  <c r="CV175" i="7"/>
  <c r="CP175" i="7"/>
  <c r="CC175" i="7"/>
  <c r="BP175" i="7"/>
  <c r="BJ175" i="7"/>
  <c r="AW175" i="7"/>
  <c r="AQ175" i="7"/>
  <c r="W175" i="7"/>
  <c r="P175" i="7"/>
  <c r="O175" i="7"/>
  <c r="N175" i="7"/>
  <c r="M175" i="7"/>
  <c r="L175" i="7"/>
  <c r="Q175" i="7" s="1"/>
  <c r="CV174" i="7"/>
  <c r="CP174" i="7"/>
  <c r="CC174" i="7"/>
  <c r="BP174" i="7"/>
  <c r="BJ174" i="7"/>
  <c r="AW174" i="7"/>
  <c r="AQ174" i="7"/>
  <c r="W174" i="7"/>
  <c r="P174" i="7"/>
  <c r="O174" i="7"/>
  <c r="N174" i="7"/>
  <c r="Q174" i="7" s="1"/>
  <c r="M174" i="7"/>
  <c r="L174" i="7"/>
  <c r="CV173" i="7"/>
  <c r="CP173" i="7"/>
  <c r="CC173" i="7"/>
  <c r="BP173" i="7"/>
  <c r="BJ173" i="7"/>
  <c r="AW173" i="7"/>
  <c r="AQ173" i="7"/>
  <c r="W173" i="7"/>
  <c r="P173" i="7"/>
  <c r="O173" i="7"/>
  <c r="N173" i="7"/>
  <c r="M173" i="7"/>
  <c r="L173" i="7"/>
  <c r="Q173" i="7" s="1"/>
  <c r="CV172" i="7"/>
  <c r="CP172" i="7"/>
  <c r="CC172" i="7"/>
  <c r="BP172" i="7"/>
  <c r="BJ172" i="7"/>
  <c r="AW172" i="7"/>
  <c r="AQ172" i="7"/>
  <c r="W172" i="7"/>
  <c r="P172" i="7"/>
  <c r="O172" i="7"/>
  <c r="N172" i="7"/>
  <c r="M172" i="7"/>
  <c r="L172" i="7"/>
  <c r="Q172" i="7" s="1"/>
  <c r="CV171" i="7"/>
  <c r="CP171" i="7"/>
  <c r="CC171" i="7"/>
  <c r="BP171" i="7"/>
  <c r="BJ171" i="7"/>
  <c r="AW171" i="7"/>
  <c r="AQ171" i="7"/>
  <c r="W171" i="7"/>
  <c r="P171" i="7"/>
  <c r="O171" i="7"/>
  <c r="N171" i="7"/>
  <c r="M171" i="7"/>
  <c r="L171" i="7"/>
  <c r="Q171" i="7" s="1"/>
  <c r="CV170" i="7"/>
  <c r="CP170" i="7"/>
  <c r="CC170" i="7"/>
  <c r="BP170" i="7"/>
  <c r="BJ170" i="7"/>
  <c r="AW170" i="7"/>
  <c r="AQ170" i="7"/>
  <c r="W170" i="7"/>
  <c r="P170" i="7"/>
  <c r="O170" i="7"/>
  <c r="N170" i="7"/>
  <c r="Q170" i="7" s="1"/>
  <c r="M170" i="7"/>
  <c r="L170" i="7"/>
  <c r="CV169" i="7"/>
  <c r="CP169" i="7"/>
  <c r="CC169" i="7"/>
  <c r="BP169" i="7"/>
  <c r="BJ169" i="7"/>
  <c r="AW169" i="7"/>
  <c r="AQ169" i="7"/>
  <c r="W169" i="7"/>
  <c r="P169" i="7"/>
  <c r="O169" i="7"/>
  <c r="N169" i="7"/>
  <c r="M169" i="7"/>
  <c r="L169" i="7"/>
  <c r="Q169" i="7" s="1"/>
  <c r="CV168" i="7"/>
  <c r="CP168" i="7"/>
  <c r="CC168" i="7"/>
  <c r="BP168" i="7"/>
  <c r="BJ168" i="7"/>
  <c r="AW168" i="7"/>
  <c r="AQ168" i="7"/>
  <c r="W168" i="7"/>
  <c r="P168" i="7"/>
  <c r="O168" i="7"/>
  <c r="N168" i="7"/>
  <c r="M168" i="7"/>
  <c r="L168" i="7"/>
  <c r="Q168" i="7" s="1"/>
  <c r="CV167" i="7"/>
  <c r="CP167" i="7"/>
  <c r="CC167" i="7"/>
  <c r="BP167" i="7"/>
  <c r="BJ167" i="7"/>
  <c r="AW167" i="7"/>
  <c r="AQ167" i="7"/>
  <c r="W167" i="7"/>
  <c r="P167" i="7"/>
  <c r="O167" i="7"/>
  <c r="N167" i="7"/>
  <c r="M167" i="7"/>
  <c r="L167" i="7"/>
  <c r="Q167" i="7" s="1"/>
  <c r="CV166" i="7"/>
  <c r="CP166" i="7"/>
  <c r="CC166" i="7"/>
  <c r="BP166" i="7"/>
  <c r="BJ166" i="7"/>
  <c r="AW166" i="7"/>
  <c r="AQ166" i="7"/>
  <c r="W166" i="7"/>
  <c r="P166" i="7"/>
  <c r="O166" i="7"/>
  <c r="N166" i="7"/>
  <c r="Q166" i="7" s="1"/>
  <c r="M166" i="7"/>
  <c r="L166" i="7"/>
  <c r="CV165" i="7"/>
  <c r="CP165" i="7"/>
  <c r="CD165" i="7"/>
  <c r="CC165" i="7"/>
  <c r="BP165" i="7"/>
  <c r="BJ165" i="7"/>
  <c r="AW165" i="7"/>
  <c r="AQ165" i="7"/>
  <c r="W165" i="7"/>
  <c r="Q165" i="7"/>
  <c r="CV164" i="7"/>
  <c r="CP164" i="7"/>
  <c r="CC164" i="7"/>
  <c r="BP164" i="7"/>
  <c r="BJ164" i="7"/>
  <c r="AW164" i="7"/>
  <c r="AQ164" i="7"/>
  <c r="W164" i="7"/>
  <c r="Q164" i="7"/>
  <c r="CV163" i="7"/>
  <c r="CP163" i="7"/>
  <c r="CC163" i="7"/>
  <c r="BP163" i="7"/>
  <c r="BJ163" i="7"/>
  <c r="AW163" i="7"/>
  <c r="AQ163" i="7"/>
  <c r="W163" i="7"/>
  <c r="Q163" i="7"/>
  <c r="CV162" i="7"/>
  <c r="CP162" i="7"/>
  <c r="CC162" i="7"/>
  <c r="BP162" i="7"/>
  <c r="BJ162" i="7"/>
  <c r="AW162" i="7"/>
  <c r="AQ162" i="7"/>
  <c r="W162" i="7"/>
  <c r="Q162" i="7"/>
  <c r="CV161" i="7"/>
  <c r="CP161" i="7"/>
  <c r="CC161" i="7"/>
  <c r="BP161" i="7"/>
  <c r="BJ161" i="7"/>
  <c r="AW161" i="7"/>
  <c r="AQ161" i="7"/>
  <c r="W161" i="7"/>
  <c r="Q161" i="7"/>
  <c r="CV160" i="7"/>
  <c r="CP160" i="7"/>
  <c r="CC160" i="7"/>
  <c r="BP160" i="7"/>
  <c r="BJ160" i="7"/>
  <c r="AW160" i="7"/>
  <c r="AQ160" i="7"/>
  <c r="W160" i="7"/>
  <c r="Q160" i="7"/>
  <c r="CV159" i="7"/>
  <c r="CP159" i="7"/>
  <c r="CC159" i="7"/>
  <c r="BP159" i="7"/>
  <c r="BJ159" i="7"/>
  <c r="AW159" i="7"/>
  <c r="AQ159" i="7"/>
  <c r="W159" i="7"/>
  <c r="Q159" i="7"/>
  <c r="CV158" i="7"/>
  <c r="CP158" i="7"/>
  <c r="CC158" i="7"/>
  <c r="BP158" i="7"/>
  <c r="BJ158" i="7"/>
  <c r="AW158" i="7"/>
  <c r="AQ158" i="7"/>
  <c r="W158" i="7"/>
  <c r="Q158" i="7"/>
  <c r="CV157" i="7"/>
  <c r="CP157" i="7"/>
  <c r="CC157" i="7"/>
  <c r="BP157" i="7"/>
  <c r="BJ157" i="7"/>
  <c r="AW157" i="7"/>
  <c r="AQ157" i="7"/>
  <c r="W157" i="7"/>
  <c r="Q157" i="7"/>
  <c r="CV156" i="7"/>
  <c r="CP156" i="7"/>
  <c r="CC156" i="7"/>
  <c r="BP156" i="7"/>
  <c r="BJ156" i="7"/>
  <c r="AW156" i="7"/>
  <c r="AQ156" i="7"/>
  <c r="W156" i="7"/>
  <c r="Q156" i="7"/>
  <c r="CV155" i="7"/>
  <c r="CP155" i="7"/>
  <c r="CC155" i="7"/>
  <c r="BP155" i="7"/>
  <c r="BJ155" i="7"/>
  <c r="AW155" i="7"/>
  <c r="AQ155" i="7"/>
  <c r="W155" i="7"/>
  <c r="Q155" i="7"/>
  <c r="CV154" i="7"/>
  <c r="CP154" i="7"/>
  <c r="CC154" i="7"/>
  <c r="BP154" i="7"/>
  <c r="BJ154" i="7"/>
  <c r="AW154" i="7"/>
  <c r="AQ154" i="7"/>
  <c r="W154" i="7"/>
  <c r="Q154" i="7"/>
  <c r="CV153" i="7"/>
  <c r="CP153" i="7"/>
  <c r="CC153" i="7"/>
  <c r="BP153" i="7"/>
  <c r="BJ153" i="7"/>
  <c r="AW153" i="7"/>
  <c r="AQ153" i="7"/>
  <c r="W153" i="7"/>
  <c r="Q153" i="7"/>
  <c r="CV152" i="7"/>
  <c r="CP152" i="7"/>
  <c r="CC152" i="7"/>
  <c r="BP152" i="7"/>
  <c r="BJ152" i="7"/>
  <c r="AW152" i="7"/>
  <c r="AQ152" i="7"/>
  <c r="W152" i="7"/>
  <c r="Q152" i="7"/>
  <c r="CV151" i="7"/>
  <c r="CP151" i="7"/>
  <c r="CC151" i="7"/>
  <c r="BP151" i="7"/>
  <c r="BJ151" i="7"/>
  <c r="AW151" i="7"/>
  <c r="AQ151" i="7"/>
  <c r="W151" i="7"/>
  <c r="Q151" i="7"/>
  <c r="CV150" i="7"/>
  <c r="CP150" i="7"/>
  <c r="CC150" i="7"/>
  <c r="BP150" i="7"/>
  <c r="BJ150" i="7"/>
  <c r="AW150" i="7"/>
  <c r="AQ150" i="7"/>
  <c r="W150" i="7"/>
  <c r="Q150" i="7"/>
  <c r="CV149" i="7"/>
  <c r="CP149" i="7"/>
  <c r="CC149" i="7"/>
  <c r="BP149" i="7"/>
  <c r="BJ149" i="7"/>
  <c r="AW149" i="7"/>
  <c r="AQ149" i="7"/>
  <c r="W149" i="7"/>
  <c r="Q149" i="7"/>
  <c r="CV148" i="7"/>
  <c r="CP148" i="7"/>
  <c r="CC148" i="7"/>
  <c r="BP148" i="7"/>
  <c r="BJ148" i="7"/>
  <c r="AW148" i="7"/>
  <c r="AQ148" i="7"/>
  <c r="W148" i="7"/>
  <c r="Q148" i="7"/>
  <c r="CV147" i="7"/>
  <c r="CP147" i="7"/>
  <c r="CC147" i="7"/>
  <c r="BP147" i="7"/>
  <c r="BJ147" i="7"/>
  <c r="AW147" i="7"/>
  <c r="AQ147" i="7"/>
  <c r="W147" i="7"/>
  <c r="Q147" i="7"/>
  <c r="CV146" i="7"/>
  <c r="CP146" i="7"/>
  <c r="CC146" i="7"/>
  <c r="BP146" i="7"/>
  <c r="BJ146" i="7"/>
  <c r="AW146" i="7"/>
  <c r="AQ146" i="7"/>
  <c r="W146" i="7"/>
  <c r="Q146" i="7"/>
  <c r="CV145" i="7"/>
  <c r="CP145" i="7"/>
  <c r="CC145" i="7"/>
  <c r="BP145" i="7"/>
  <c r="BJ145" i="7"/>
  <c r="AW145" i="7"/>
  <c r="AQ145" i="7"/>
  <c r="W145" i="7"/>
  <c r="Q145" i="7"/>
  <c r="CV144" i="7"/>
  <c r="CP144" i="7"/>
  <c r="CC144" i="7"/>
  <c r="BP144" i="7"/>
  <c r="BJ144" i="7"/>
  <c r="AW144" i="7"/>
  <c r="AQ144" i="7"/>
  <c r="W144" i="7"/>
  <c r="Q144" i="7"/>
  <c r="CV143" i="7"/>
  <c r="CP143" i="7"/>
  <c r="CC143" i="7"/>
  <c r="BP143" i="7"/>
  <c r="BJ143" i="7"/>
  <c r="AW143" i="7"/>
  <c r="AQ143" i="7"/>
  <c r="W143" i="7"/>
  <c r="Q143" i="7"/>
  <c r="CV142" i="7"/>
  <c r="CP142" i="7"/>
  <c r="CC142" i="7"/>
  <c r="BP142" i="7"/>
  <c r="BJ142" i="7"/>
  <c r="AW142" i="7"/>
  <c r="AQ142" i="7"/>
  <c r="W142" i="7"/>
  <c r="Q142" i="7"/>
  <c r="CV141" i="7"/>
  <c r="CP141" i="7"/>
  <c r="CC141" i="7"/>
  <c r="BP141" i="7"/>
  <c r="BJ141" i="7"/>
  <c r="AW141" i="7"/>
  <c r="AQ141" i="7"/>
  <c r="W141" i="7"/>
  <c r="Q141" i="7"/>
  <c r="CV140" i="7"/>
  <c r="CP140" i="7"/>
  <c r="CC140" i="7"/>
  <c r="BP140" i="7"/>
  <c r="BJ140" i="7"/>
  <c r="AW140" i="7"/>
  <c r="AQ140" i="7"/>
  <c r="W140" i="7"/>
  <c r="Q140" i="7"/>
  <c r="CV139" i="7"/>
  <c r="CP139" i="7"/>
  <c r="CC139" i="7"/>
  <c r="BP139" i="7"/>
  <c r="BJ139" i="7"/>
  <c r="AW139" i="7"/>
  <c r="AQ139" i="7"/>
  <c r="W139" i="7"/>
  <c r="Q139" i="7"/>
  <c r="CV138" i="7"/>
  <c r="CP138" i="7"/>
  <c r="CC138" i="7"/>
  <c r="BP138" i="7"/>
  <c r="BJ138" i="7"/>
  <c r="AW138" i="7"/>
  <c r="AQ138" i="7"/>
  <c r="W138" i="7"/>
  <c r="Q138" i="7"/>
  <c r="CV137" i="7"/>
  <c r="CP137" i="7"/>
  <c r="CC137" i="7"/>
  <c r="BP137" i="7"/>
  <c r="BJ137" i="7"/>
  <c r="AW137" i="7"/>
  <c r="AQ137" i="7"/>
  <c r="W137" i="7"/>
  <c r="Q137" i="7"/>
  <c r="CV136" i="7"/>
  <c r="CP136" i="7"/>
  <c r="CC136" i="7"/>
  <c r="BP136" i="7"/>
  <c r="BJ136" i="7"/>
  <c r="AW136" i="7"/>
  <c r="AQ136" i="7"/>
  <c r="W136" i="7"/>
  <c r="Q136" i="7"/>
  <c r="CV135" i="7"/>
  <c r="CP135" i="7"/>
  <c r="CC135" i="7"/>
  <c r="BP135" i="7"/>
  <c r="BJ135" i="7"/>
  <c r="AW135" i="7"/>
  <c r="AQ135" i="7"/>
  <c r="W135" i="7"/>
  <c r="Q135" i="7"/>
  <c r="CV134" i="7"/>
  <c r="CP134" i="7"/>
  <c r="CC134" i="7"/>
  <c r="BP134" i="7"/>
  <c r="BJ134" i="7"/>
  <c r="AW134" i="7"/>
  <c r="AQ134" i="7"/>
  <c r="W134" i="7"/>
  <c r="Q134" i="7"/>
  <c r="CV133" i="7"/>
  <c r="CP133" i="7"/>
  <c r="CC133" i="7"/>
  <c r="BP133" i="7"/>
  <c r="BJ133" i="7"/>
  <c r="AW133" i="7"/>
  <c r="AQ133" i="7"/>
  <c r="W133" i="7"/>
  <c r="Q133" i="7"/>
  <c r="CV132" i="7"/>
  <c r="CP132" i="7"/>
  <c r="CC132" i="7"/>
  <c r="BP132" i="7"/>
  <c r="BJ132" i="7"/>
  <c r="AW132" i="7"/>
  <c r="AQ132" i="7"/>
  <c r="W132" i="7"/>
  <c r="Q132" i="7"/>
  <c r="CV131" i="7"/>
  <c r="CP131" i="7"/>
  <c r="CC131" i="7"/>
  <c r="BP131" i="7"/>
  <c r="BJ131" i="7"/>
  <c r="AW131" i="7"/>
  <c r="AQ131" i="7"/>
  <c r="W131" i="7"/>
  <c r="Q131" i="7"/>
  <c r="CV130" i="7"/>
  <c r="CP130" i="7"/>
  <c r="CC130" i="7"/>
  <c r="BP130" i="7"/>
  <c r="BJ130" i="7"/>
  <c r="AW130" i="7"/>
  <c r="AQ130" i="7"/>
  <c r="W130" i="7"/>
  <c r="Q130" i="7"/>
  <c r="CV129" i="7"/>
  <c r="CP129" i="7"/>
  <c r="CC129" i="7"/>
  <c r="BP129" i="7"/>
  <c r="BJ129" i="7"/>
  <c r="AW129" i="7"/>
  <c r="AQ129" i="7"/>
  <c r="W129" i="7"/>
  <c r="Q129" i="7"/>
  <c r="CV128" i="7"/>
  <c r="CP128" i="7"/>
  <c r="CC128" i="7"/>
  <c r="BP128" i="7"/>
  <c r="BJ128" i="7"/>
  <c r="AW128" i="7"/>
  <c r="AQ128" i="7"/>
  <c r="W128" i="7"/>
  <c r="Q128" i="7"/>
  <c r="CV127" i="7"/>
  <c r="CP127" i="7"/>
  <c r="CC127" i="7"/>
  <c r="BP127" i="7"/>
  <c r="BJ127" i="7"/>
  <c r="AW127" i="7"/>
  <c r="AQ127" i="7"/>
  <c r="W127" i="7"/>
  <c r="Q127" i="7"/>
  <c r="CV126" i="7"/>
  <c r="CP126" i="7"/>
  <c r="CC126" i="7"/>
  <c r="BP126" i="7"/>
  <c r="BJ126" i="7"/>
  <c r="AW126" i="7"/>
  <c r="AQ126" i="7"/>
  <c r="W126" i="7"/>
  <c r="Q126" i="7"/>
  <c r="CV125" i="7"/>
  <c r="CP125" i="7"/>
  <c r="CC125" i="7"/>
  <c r="BP125" i="7"/>
  <c r="BJ125" i="7"/>
  <c r="AW125" i="7"/>
  <c r="AQ125" i="7"/>
  <c r="W125" i="7"/>
  <c r="Q125" i="7"/>
  <c r="CV124" i="7"/>
  <c r="CP124" i="7"/>
  <c r="CC124" i="7"/>
  <c r="BP124" i="7"/>
  <c r="BJ124" i="7"/>
  <c r="AW124" i="7"/>
  <c r="AQ124" i="7"/>
  <c r="W124" i="7"/>
  <c r="Q124" i="7"/>
  <c r="CV123" i="7"/>
  <c r="CP123" i="7"/>
  <c r="CC123" i="7"/>
  <c r="BP123" i="7"/>
  <c r="BJ123" i="7"/>
  <c r="AW123" i="7"/>
  <c r="AQ123" i="7"/>
  <c r="W123" i="7"/>
  <c r="Q123" i="7"/>
  <c r="CV122" i="7"/>
  <c r="CP122" i="7"/>
  <c r="CC122" i="7"/>
  <c r="BP122" i="7"/>
  <c r="BJ122" i="7"/>
  <c r="AW122" i="7"/>
  <c r="AQ122" i="7"/>
  <c r="W122" i="7"/>
  <c r="Q122" i="7"/>
  <c r="CV121" i="7"/>
  <c r="CP121" i="7"/>
  <c r="CC121" i="7"/>
  <c r="BP121" i="7"/>
  <c r="BJ121" i="7"/>
  <c r="AW121" i="7"/>
  <c r="AQ121" i="7"/>
  <c r="W121" i="7"/>
  <c r="Q121" i="7"/>
  <c r="CV120" i="7"/>
  <c r="CP120" i="7"/>
  <c r="CC120" i="7"/>
  <c r="BP120" i="7"/>
  <c r="BJ120" i="7"/>
  <c r="AW120" i="7"/>
  <c r="AQ120" i="7"/>
  <c r="W120" i="7"/>
  <c r="Q120" i="7"/>
  <c r="CV119" i="7"/>
  <c r="CP119" i="7"/>
  <c r="CC119" i="7"/>
  <c r="BP119" i="7"/>
  <c r="BJ119" i="7"/>
  <c r="AW119" i="7"/>
  <c r="AQ119" i="7"/>
  <c r="W119" i="7"/>
  <c r="Q119" i="7"/>
  <c r="CV118" i="7"/>
  <c r="CP118" i="7"/>
  <c r="CC118" i="7"/>
  <c r="BP118" i="7"/>
  <c r="BJ118" i="7"/>
  <c r="AW118" i="7"/>
  <c r="AQ118" i="7"/>
  <c r="W118" i="7"/>
  <c r="Q118" i="7"/>
  <c r="CV117" i="7"/>
  <c r="CP117" i="7"/>
  <c r="CC117" i="7"/>
  <c r="BP117" i="7"/>
  <c r="BJ117" i="7"/>
  <c r="AW117" i="7"/>
  <c r="AQ117" i="7"/>
  <c r="W117" i="7"/>
  <c r="Q117" i="7"/>
  <c r="CV116" i="7"/>
  <c r="CP116" i="7"/>
  <c r="CC116" i="7"/>
  <c r="BP116" i="7"/>
  <c r="BJ116" i="7"/>
  <c r="AW116" i="7"/>
  <c r="AQ116" i="7"/>
  <c r="W116" i="7"/>
  <c r="Q116" i="7"/>
  <c r="CV115" i="7"/>
  <c r="CP115" i="7"/>
  <c r="CC115" i="7"/>
  <c r="BP115" i="7"/>
  <c r="BJ115" i="7"/>
  <c r="AW115" i="7"/>
  <c r="AQ115" i="7"/>
  <c r="W115" i="7"/>
  <c r="Q115" i="7"/>
  <c r="CV114" i="7"/>
  <c r="CP114" i="7"/>
  <c r="CC114" i="7"/>
  <c r="BP114" i="7"/>
  <c r="BJ114" i="7"/>
  <c r="AW114" i="7"/>
  <c r="AQ114" i="7"/>
  <c r="W114" i="7"/>
  <c r="Q114" i="7"/>
  <c r="CV113" i="7"/>
  <c r="CP113" i="7"/>
  <c r="CC113" i="7"/>
  <c r="BP113" i="7"/>
  <c r="BJ113" i="7"/>
  <c r="AW113" i="7"/>
  <c r="AQ113" i="7"/>
  <c r="W113" i="7"/>
  <c r="Q113" i="7"/>
  <c r="CV112" i="7"/>
  <c r="CP112" i="7"/>
  <c r="CC112" i="7"/>
  <c r="BP112" i="7"/>
  <c r="BJ112" i="7"/>
  <c r="AW112" i="7"/>
  <c r="AQ112" i="7"/>
  <c r="W112" i="7"/>
  <c r="Q112" i="7"/>
  <c r="CV111" i="7"/>
  <c r="CP111" i="7"/>
  <c r="CC111" i="7"/>
  <c r="BP111" i="7"/>
  <c r="BJ111" i="7"/>
  <c r="AW111" i="7"/>
  <c r="AQ111" i="7"/>
  <c r="W111" i="7"/>
  <c r="Q111" i="7"/>
  <c r="CV110" i="7"/>
  <c r="CP110" i="7"/>
  <c r="CC110" i="7"/>
  <c r="BP110" i="7"/>
  <c r="BJ110" i="7"/>
  <c r="AW110" i="7"/>
  <c r="AQ110" i="7"/>
  <c r="W110" i="7"/>
  <c r="Q110" i="7"/>
  <c r="CV109" i="7"/>
  <c r="CP109" i="7"/>
  <c r="CC109" i="7"/>
  <c r="BP109" i="7"/>
  <c r="BJ109" i="7"/>
  <c r="AW109" i="7"/>
  <c r="AQ109" i="7"/>
  <c r="W109" i="7"/>
  <c r="Q109" i="7"/>
  <c r="CV108" i="7"/>
  <c r="CP108" i="7"/>
  <c r="CC108" i="7"/>
  <c r="BP108" i="7"/>
  <c r="BJ108" i="7"/>
  <c r="AW108" i="7"/>
  <c r="AQ108" i="7"/>
  <c r="W108" i="7"/>
  <c r="Q108" i="7"/>
  <c r="CV107" i="7"/>
  <c r="CP107" i="7"/>
  <c r="CC107" i="7"/>
  <c r="BP107" i="7"/>
  <c r="BJ107" i="7"/>
  <c r="AW107" i="7"/>
  <c r="AQ107" i="7"/>
  <c r="W107" i="7"/>
  <c r="Q107" i="7"/>
  <c r="CV106" i="7"/>
  <c r="CP106" i="7"/>
  <c r="CC106" i="7"/>
  <c r="BP106" i="7"/>
  <c r="BJ106" i="7"/>
  <c r="AW106" i="7"/>
  <c r="AQ106" i="7"/>
  <c r="W106" i="7"/>
  <c r="Q106" i="7"/>
  <c r="CV105" i="7"/>
  <c r="CP105" i="7"/>
  <c r="CC105" i="7"/>
  <c r="BP105" i="7"/>
  <c r="BJ105" i="7"/>
  <c r="AW105" i="7"/>
  <c r="AQ105" i="7"/>
  <c r="W105" i="7"/>
  <c r="Q105" i="7"/>
  <c r="CV104" i="7"/>
  <c r="CP104" i="7"/>
  <c r="CC104" i="7"/>
  <c r="BP104" i="7"/>
  <c r="BJ104" i="7"/>
  <c r="AW104" i="7"/>
  <c r="AQ104" i="7"/>
  <c r="W104" i="7"/>
  <c r="Q104" i="7"/>
  <c r="CV103" i="7"/>
  <c r="CP103" i="7"/>
  <c r="CC103" i="7"/>
  <c r="BP103" i="7"/>
  <c r="BJ103" i="7"/>
  <c r="AW103" i="7"/>
  <c r="AQ103" i="7"/>
  <c r="W103" i="7"/>
  <c r="Q103" i="7"/>
  <c r="CV102" i="7"/>
  <c r="CP102" i="7"/>
  <c r="CC102" i="7"/>
  <c r="BP102" i="7"/>
  <c r="BJ102" i="7"/>
  <c r="AW102" i="7"/>
  <c r="AQ102" i="7"/>
  <c r="W102" i="7"/>
  <c r="Q102" i="7"/>
  <c r="CV101" i="7"/>
  <c r="CP101" i="7"/>
  <c r="CC101" i="7"/>
  <c r="BP101" i="7"/>
  <c r="BJ101" i="7"/>
  <c r="AW101" i="7"/>
  <c r="AQ101" i="7"/>
  <c r="W101" i="7"/>
  <c r="Q101" i="7"/>
  <c r="CV100" i="7"/>
  <c r="CP100" i="7"/>
  <c r="CC100" i="7"/>
  <c r="BP100" i="7"/>
  <c r="BJ100" i="7"/>
  <c r="AW100" i="7"/>
  <c r="AQ100" i="7"/>
  <c r="W100" i="7"/>
  <c r="Q100" i="7"/>
  <c r="CV99" i="7"/>
  <c r="CP99" i="7"/>
  <c r="CC99" i="7"/>
  <c r="BP99" i="7"/>
  <c r="BJ99" i="7"/>
  <c r="AW99" i="7"/>
  <c r="AQ99" i="7"/>
  <c r="W99" i="7"/>
  <c r="Q99" i="7"/>
  <c r="CV98" i="7"/>
  <c r="CP98" i="7"/>
  <c r="CC98" i="7"/>
  <c r="BP98" i="7"/>
  <c r="BJ98" i="7"/>
  <c r="AW98" i="7"/>
  <c r="AQ98" i="7"/>
  <c r="W98" i="7"/>
  <c r="Q98" i="7"/>
  <c r="CV97" i="7"/>
  <c r="CP97" i="7"/>
  <c r="CC97" i="7"/>
  <c r="BP97" i="7"/>
  <c r="BJ97" i="7"/>
  <c r="AW97" i="7"/>
  <c r="AQ97" i="7"/>
  <c r="W97" i="7"/>
  <c r="Q97" i="7"/>
  <c r="CV96" i="7"/>
  <c r="CP96" i="7"/>
  <c r="CC96" i="7"/>
  <c r="BP96" i="7"/>
  <c r="BJ96" i="7"/>
  <c r="AW96" i="7"/>
  <c r="AQ96" i="7"/>
  <c r="W96" i="7"/>
  <c r="Q96" i="7"/>
  <c r="CV95" i="7"/>
  <c r="CP95" i="7"/>
  <c r="CC95" i="7"/>
  <c r="BP95" i="7"/>
  <c r="BJ95" i="7"/>
  <c r="AW95" i="7"/>
  <c r="AQ95" i="7"/>
  <c r="W95" i="7"/>
  <c r="Q95" i="7"/>
  <c r="CV94" i="7"/>
  <c r="CP94" i="7"/>
  <c r="CC94" i="7"/>
  <c r="BP94" i="7"/>
  <c r="BJ94" i="7"/>
  <c r="AW94" i="7"/>
  <c r="AQ94" i="7"/>
  <c r="W94" i="7"/>
  <c r="Q94" i="7"/>
  <c r="CV93" i="7"/>
  <c r="CP93" i="7"/>
  <c r="CC93" i="7"/>
  <c r="BP93" i="7"/>
  <c r="BJ93" i="7"/>
  <c r="AW93" i="7"/>
  <c r="AQ93" i="7"/>
  <c r="W93" i="7"/>
  <c r="Q93" i="7"/>
  <c r="CV92" i="7"/>
  <c r="CP92" i="7"/>
  <c r="CC92" i="7"/>
  <c r="BP92" i="7"/>
  <c r="BJ92" i="7"/>
  <c r="AW92" i="7"/>
  <c r="AQ92" i="7"/>
  <c r="W92" i="7"/>
  <c r="Q92" i="7"/>
  <c r="CV91" i="7"/>
  <c r="CP91" i="7"/>
  <c r="CC91" i="7"/>
  <c r="BP91" i="7"/>
  <c r="BJ91" i="7"/>
  <c r="AW91" i="7"/>
  <c r="AQ91" i="7"/>
  <c r="W91" i="7"/>
  <c r="Q91" i="7"/>
  <c r="CV90" i="7"/>
  <c r="CP90" i="7"/>
  <c r="CC90" i="7"/>
  <c r="BP90" i="7"/>
  <c r="BJ90" i="7"/>
  <c r="AW90" i="7"/>
  <c r="AQ90" i="7"/>
  <c r="W90" i="7"/>
  <c r="Q90" i="7"/>
  <c r="CV89" i="7"/>
  <c r="CP89" i="7"/>
  <c r="CC89" i="7"/>
  <c r="BP89" i="7"/>
  <c r="BJ89" i="7"/>
  <c r="AW89" i="7"/>
  <c r="AQ89" i="7"/>
  <c r="W89" i="7"/>
  <c r="Q89" i="7"/>
  <c r="CV88" i="7"/>
  <c r="CP88" i="7"/>
  <c r="CC88" i="7"/>
  <c r="BP88" i="7"/>
  <c r="BJ88" i="7"/>
  <c r="AW88" i="7"/>
  <c r="AQ88" i="7"/>
  <c r="W88" i="7"/>
  <c r="Q88" i="7"/>
  <c r="CV87" i="7"/>
  <c r="CP87" i="7"/>
  <c r="CC87" i="7"/>
  <c r="BP87" i="7"/>
  <c r="BJ87" i="7"/>
  <c r="AW87" i="7"/>
  <c r="AQ87" i="7"/>
  <c r="W87" i="7"/>
  <c r="Q87" i="7"/>
  <c r="CV86" i="7"/>
  <c r="CP86" i="7"/>
  <c r="CC86" i="7"/>
  <c r="BP86" i="7"/>
  <c r="BJ86" i="7"/>
  <c r="AW86" i="7"/>
  <c r="AQ86" i="7"/>
  <c r="W86" i="7"/>
  <c r="Q86" i="7"/>
  <c r="CV85" i="7"/>
  <c r="CP85" i="7"/>
  <c r="CC85" i="7"/>
  <c r="BP85" i="7"/>
  <c r="BJ85" i="7"/>
  <c r="AW85" i="7"/>
  <c r="AQ85" i="7"/>
  <c r="W85" i="7"/>
  <c r="Q85" i="7"/>
  <c r="CV84" i="7"/>
  <c r="CP84" i="7"/>
  <c r="CC84" i="7"/>
  <c r="BP84" i="7"/>
  <c r="BJ84" i="7"/>
  <c r="AW84" i="7"/>
  <c r="AQ84" i="7"/>
  <c r="W84" i="7"/>
  <c r="Q84" i="7"/>
  <c r="CV83" i="7"/>
  <c r="CP83" i="7"/>
  <c r="CC83" i="7"/>
  <c r="BP83" i="7"/>
  <c r="BJ83" i="7"/>
  <c r="AW83" i="7"/>
  <c r="AQ83" i="7"/>
  <c r="W83" i="7"/>
  <c r="Q83" i="7"/>
  <c r="CV82" i="7"/>
  <c r="CP82" i="7"/>
  <c r="CC82" i="7"/>
  <c r="BP82" i="7"/>
  <c r="BJ82" i="7"/>
  <c r="AW82" i="7"/>
  <c r="AQ82" i="7"/>
  <c r="W82" i="7"/>
  <c r="Q82" i="7"/>
  <c r="CV81" i="7"/>
  <c r="CP81" i="7"/>
  <c r="CC81" i="7"/>
  <c r="BP81" i="7"/>
  <c r="BJ81" i="7"/>
  <c r="AW81" i="7"/>
  <c r="AQ81" i="7"/>
  <c r="W81" i="7"/>
  <c r="Q81" i="7"/>
  <c r="CV80" i="7"/>
  <c r="CP80" i="7"/>
  <c r="CC80" i="7"/>
  <c r="BP80" i="7"/>
  <c r="BJ80" i="7"/>
  <c r="AW80" i="7"/>
  <c r="AQ80" i="7"/>
  <c r="W80" i="7"/>
  <c r="Q80" i="7"/>
  <c r="CV79" i="7"/>
  <c r="CP79" i="7"/>
  <c r="CC79" i="7"/>
  <c r="BP79" i="7"/>
  <c r="BJ79" i="7"/>
  <c r="AW79" i="7"/>
  <c r="AQ79" i="7"/>
  <c r="W79" i="7"/>
  <c r="Q79" i="7"/>
  <c r="CV78" i="7"/>
  <c r="CP78" i="7"/>
  <c r="CC78" i="7"/>
  <c r="BP78" i="7"/>
  <c r="BJ78" i="7"/>
  <c r="AW78" i="7"/>
  <c r="AQ78" i="7"/>
  <c r="W78" i="7"/>
  <c r="Q78" i="7"/>
  <c r="CV77" i="7"/>
  <c r="CP77" i="7"/>
  <c r="CC77" i="7"/>
  <c r="BP77" i="7"/>
  <c r="BJ77" i="7"/>
  <c r="AW77" i="7"/>
  <c r="AQ77" i="7"/>
  <c r="W77" i="7"/>
  <c r="Q77" i="7"/>
  <c r="CV76" i="7"/>
  <c r="CP76" i="7"/>
  <c r="CC76" i="7"/>
  <c r="BP76" i="7"/>
  <c r="BJ76" i="7"/>
  <c r="AW76" i="7"/>
  <c r="AQ76" i="7"/>
  <c r="W76" i="7"/>
  <c r="Q76" i="7"/>
  <c r="CV75" i="7"/>
  <c r="CP75" i="7"/>
  <c r="CC75" i="7"/>
  <c r="BP75" i="7"/>
  <c r="BJ75" i="7"/>
  <c r="AW75" i="7"/>
  <c r="AQ75" i="7"/>
  <c r="W75" i="7"/>
  <c r="Q75" i="7"/>
  <c r="CV74" i="7"/>
  <c r="CP74" i="7"/>
  <c r="CC74" i="7"/>
  <c r="BP74" i="7"/>
  <c r="BJ74" i="7"/>
  <c r="AW74" i="7"/>
  <c r="AQ74" i="7"/>
  <c r="W74" i="7"/>
  <c r="Q74" i="7"/>
  <c r="CV73" i="7"/>
  <c r="CP73" i="7"/>
  <c r="CC73" i="7"/>
  <c r="BP73" i="7"/>
  <c r="BJ73" i="7"/>
  <c r="AW73" i="7"/>
  <c r="AQ73" i="7"/>
  <c r="W73" i="7"/>
  <c r="Q73" i="7"/>
  <c r="CV72" i="7"/>
  <c r="CP72" i="7"/>
  <c r="CC72" i="7"/>
  <c r="BP72" i="7"/>
  <c r="BJ72" i="7"/>
  <c r="AW72" i="7"/>
  <c r="AQ72" i="7"/>
  <c r="W72" i="7"/>
  <c r="Q72" i="7"/>
  <c r="CV71" i="7"/>
  <c r="CP71" i="7"/>
  <c r="CC71" i="7"/>
  <c r="BP71" i="7"/>
  <c r="BJ71" i="7"/>
  <c r="AW71" i="7"/>
  <c r="AQ71" i="7"/>
  <c r="W71" i="7"/>
  <c r="Q71" i="7"/>
  <c r="CV70" i="7"/>
  <c r="CP70" i="7"/>
  <c r="CC70" i="7"/>
  <c r="BP70" i="7"/>
  <c r="BJ70" i="7"/>
  <c r="AW70" i="7"/>
  <c r="AQ70" i="7"/>
  <c r="W70" i="7"/>
  <c r="Q70" i="7"/>
  <c r="CV69" i="7"/>
  <c r="CP69" i="7"/>
  <c r="CC69" i="7"/>
  <c r="BP69" i="7"/>
  <c r="BJ69" i="7"/>
  <c r="AW69" i="7"/>
  <c r="AQ69" i="7"/>
  <c r="W69" i="7"/>
  <c r="Q69" i="7"/>
  <c r="CV68" i="7"/>
  <c r="CP68" i="7"/>
  <c r="CC68" i="7"/>
  <c r="BP68" i="7"/>
  <c r="BJ68" i="7"/>
  <c r="AW68" i="7"/>
  <c r="AQ68" i="7"/>
  <c r="W68" i="7"/>
  <c r="Q68" i="7"/>
  <c r="CV67" i="7"/>
  <c r="CP67" i="7"/>
  <c r="CC67" i="7"/>
  <c r="BP67" i="7"/>
  <c r="BJ67" i="7"/>
  <c r="AW67" i="7"/>
  <c r="AQ67" i="7"/>
  <c r="W67" i="7"/>
  <c r="Q67" i="7"/>
  <c r="CV66" i="7"/>
  <c r="CP66" i="7"/>
  <c r="CC66" i="7"/>
  <c r="BP66" i="7"/>
  <c r="BJ66" i="7"/>
  <c r="AW66" i="7"/>
  <c r="AQ66" i="7"/>
  <c r="W66" i="7"/>
  <c r="Q66" i="7"/>
  <c r="CV65" i="7"/>
  <c r="CP65" i="7"/>
  <c r="CC65" i="7"/>
  <c r="BP65" i="7"/>
  <c r="BJ65" i="7"/>
  <c r="AW65" i="7"/>
  <c r="AQ65" i="7"/>
  <c r="W65" i="7"/>
  <c r="Q65" i="7"/>
  <c r="CV64" i="7"/>
  <c r="CP64" i="7"/>
  <c r="CC64" i="7"/>
  <c r="BP64" i="7"/>
  <c r="BJ64" i="7"/>
  <c r="AW64" i="7"/>
  <c r="AQ64" i="7"/>
  <c r="W64" i="7"/>
  <c r="Q64" i="7"/>
  <c r="CV63" i="7"/>
  <c r="CP63" i="7"/>
  <c r="CC63" i="7"/>
  <c r="BP63" i="7"/>
  <c r="BJ63" i="7"/>
  <c r="AW63" i="7"/>
  <c r="AQ63" i="7"/>
  <c r="W63" i="7"/>
  <c r="Q63" i="7"/>
  <c r="CV62" i="7"/>
  <c r="CP62" i="7"/>
  <c r="CC62" i="7"/>
  <c r="BP62" i="7"/>
  <c r="BJ62" i="7"/>
  <c r="AW62" i="7"/>
  <c r="AQ62" i="7"/>
  <c r="W62" i="7"/>
  <c r="Q62" i="7"/>
  <c r="CV61" i="7"/>
  <c r="CP61" i="7"/>
  <c r="CC61" i="7"/>
  <c r="BP61" i="7"/>
  <c r="BJ61" i="7"/>
  <c r="AW61" i="7"/>
  <c r="AQ61" i="7"/>
  <c r="W61" i="7"/>
  <c r="Q61" i="7"/>
  <c r="CV60" i="7"/>
  <c r="CP60" i="7"/>
  <c r="CC60" i="7"/>
  <c r="BP60" i="7"/>
  <c r="BJ60" i="7"/>
  <c r="AW60" i="7"/>
  <c r="AQ60" i="7"/>
  <c r="W60" i="7"/>
  <c r="Q60" i="7"/>
  <c r="CV59" i="7"/>
  <c r="CP59" i="7"/>
  <c r="CC59" i="7"/>
  <c r="BP59" i="7"/>
  <c r="BJ59" i="7"/>
  <c r="AW59" i="7"/>
  <c r="AQ59" i="7"/>
  <c r="W59" i="7"/>
  <c r="Q59" i="7"/>
  <c r="CV58" i="7"/>
  <c r="CP58" i="7"/>
  <c r="CC58" i="7"/>
  <c r="BP58" i="7"/>
  <c r="BJ58" i="7"/>
  <c r="AW58" i="7"/>
  <c r="AQ58" i="7"/>
  <c r="W58" i="7"/>
  <c r="Q58" i="7"/>
  <c r="CV57" i="7"/>
  <c r="CP57" i="7"/>
  <c r="CC57" i="7"/>
  <c r="BP57" i="7"/>
  <c r="BJ57" i="7"/>
  <c r="AW57" i="7"/>
  <c r="AQ57" i="7"/>
  <c r="W57" i="7"/>
  <c r="Q57" i="7"/>
  <c r="CV56" i="7"/>
  <c r="CP56" i="7"/>
  <c r="CC56" i="7"/>
  <c r="BP56" i="7"/>
  <c r="BJ56" i="7"/>
  <c r="AW56" i="7"/>
  <c r="AQ56" i="7"/>
  <c r="W56" i="7"/>
  <c r="Q56" i="7"/>
  <c r="CV55" i="7"/>
  <c r="CP55" i="7"/>
  <c r="CC55" i="7"/>
  <c r="BP55" i="7"/>
  <c r="BJ55" i="7"/>
  <c r="AW55" i="7"/>
  <c r="AQ55" i="7"/>
  <c r="W55" i="7"/>
  <c r="Q55" i="7"/>
  <c r="CV54" i="7"/>
  <c r="CP54" i="7"/>
  <c r="CC54" i="7"/>
  <c r="BP54" i="7"/>
  <c r="BJ54" i="7"/>
  <c r="AW54" i="7"/>
  <c r="AQ54" i="7"/>
  <c r="W54" i="7"/>
  <c r="Q54" i="7"/>
  <c r="CV53" i="7"/>
  <c r="CP53" i="7"/>
  <c r="CC53" i="7"/>
  <c r="BP53" i="7"/>
  <c r="BJ53" i="7"/>
  <c r="AW53" i="7"/>
  <c r="AQ53" i="7"/>
  <c r="W53" i="7"/>
  <c r="Q53" i="7"/>
  <c r="CV52" i="7"/>
  <c r="CP52" i="7"/>
  <c r="CC52" i="7"/>
  <c r="BP52" i="7"/>
  <c r="BJ52" i="7"/>
  <c r="AW52" i="7"/>
  <c r="AQ52" i="7"/>
  <c r="W52" i="7"/>
  <c r="Q52" i="7"/>
  <c r="CV51" i="7"/>
  <c r="CP51" i="7"/>
  <c r="CC51" i="7"/>
  <c r="BP51" i="7"/>
  <c r="BJ51" i="7"/>
  <c r="AW51" i="7"/>
  <c r="AQ51" i="7"/>
  <c r="W51" i="7"/>
  <c r="Q51" i="7"/>
  <c r="CV50" i="7"/>
  <c r="CP50" i="7"/>
  <c r="CC50" i="7"/>
  <c r="BP50" i="7"/>
  <c r="BJ50" i="7"/>
  <c r="AW50" i="7"/>
  <c r="AQ50" i="7"/>
  <c r="W50" i="7"/>
  <c r="Q50" i="7"/>
  <c r="CV49" i="7"/>
  <c r="CP49" i="7"/>
  <c r="CC49" i="7"/>
  <c r="BP49" i="7"/>
  <c r="BJ49" i="7"/>
  <c r="AW49" i="7"/>
  <c r="AQ49" i="7"/>
  <c r="W49" i="7"/>
  <c r="Q49" i="7"/>
  <c r="CV48" i="7"/>
  <c r="CP48" i="7"/>
  <c r="CC48" i="7"/>
  <c r="BP48" i="7"/>
  <c r="BJ48" i="7"/>
  <c r="AW48" i="7"/>
  <c r="AQ48" i="7"/>
  <c r="W48" i="7"/>
  <c r="Q48" i="7"/>
  <c r="CV47" i="7"/>
  <c r="CP47" i="7"/>
  <c r="CC47" i="7"/>
  <c r="BP47" i="7"/>
  <c r="BJ47" i="7"/>
  <c r="AW47" i="7"/>
  <c r="AQ47" i="7"/>
  <c r="W47" i="7"/>
  <c r="Q47" i="7"/>
  <c r="CV46" i="7"/>
  <c r="CP46" i="7"/>
  <c r="CC46" i="7"/>
  <c r="BP46" i="7"/>
  <c r="BJ46" i="7"/>
  <c r="AW46" i="7"/>
  <c r="AQ46" i="7"/>
  <c r="W46" i="7"/>
  <c r="Q46" i="7"/>
  <c r="CV45" i="7"/>
  <c r="CP45" i="7"/>
  <c r="CC45" i="7"/>
  <c r="BP45" i="7"/>
  <c r="BJ45" i="7"/>
  <c r="AW45" i="7"/>
  <c r="AQ45" i="7"/>
  <c r="W45" i="7"/>
  <c r="Q45" i="7"/>
  <c r="CV44" i="7"/>
  <c r="CP44" i="7"/>
  <c r="CC44" i="7"/>
  <c r="BP44" i="7"/>
  <c r="BJ44" i="7"/>
  <c r="AW44" i="7"/>
  <c r="AQ44" i="7"/>
  <c r="W44" i="7"/>
  <c r="Q44" i="7"/>
  <c r="CV43" i="7"/>
  <c r="CP43" i="7"/>
  <c r="CC43" i="7"/>
  <c r="BP43" i="7"/>
  <c r="BJ43" i="7"/>
  <c r="AW43" i="7"/>
  <c r="AQ43" i="7"/>
  <c r="W43" i="7"/>
  <c r="Q43" i="7"/>
  <c r="CV42" i="7"/>
  <c r="CP42" i="7"/>
  <c r="CC42" i="7"/>
  <c r="BP42" i="7"/>
  <c r="BJ42" i="7"/>
  <c r="AW42" i="7"/>
  <c r="AQ42" i="7"/>
  <c r="W42" i="7"/>
  <c r="Q42" i="7"/>
  <c r="CV41" i="7"/>
  <c r="CP41" i="7"/>
  <c r="CC41" i="7"/>
  <c r="BP41" i="7"/>
  <c r="BJ41" i="7"/>
  <c r="AW41" i="7"/>
  <c r="AQ41" i="7"/>
  <c r="W41" i="7"/>
  <c r="Q41" i="7"/>
  <c r="CV40" i="7"/>
  <c r="CP40" i="7"/>
  <c r="CC40" i="7"/>
  <c r="BP40" i="7"/>
  <c r="BJ40" i="7"/>
  <c r="AW40" i="7"/>
  <c r="AQ40" i="7"/>
  <c r="W40" i="7"/>
  <c r="Q40" i="7"/>
  <c r="CV39" i="7"/>
  <c r="CP39" i="7"/>
  <c r="CC39" i="7"/>
  <c r="BP39" i="7"/>
  <c r="BJ39" i="7"/>
  <c r="AW39" i="7"/>
  <c r="AQ39" i="7"/>
  <c r="W39" i="7"/>
  <c r="Q39" i="7"/>
  <c r="CV38" i="7"/>
  <c r="CP38" i="7"/>
  <c r="CC38" i="7"/>
  <c r="BP38" i="7"/>
  <c r="BJ38" i="7"/>
  <c r="AW38" i="7"/>
  <c r="AQ38" i="7"/>
  <c r="W38" i="7"/>
  <c r="Q38" i="7"/>
  <c r="CV37" i="7"/>
  <c r="CP37" i="7"/>
  <c r="CC37" i="7"/>
  <c r="BP37" i="7"/>
  <c r="BJ37" i="7"/>
  <c r="AW37" i="7"/>
  <c r="AQ37" i="7"/>
  <c r="W37" i="7"/>
  <c r="Q37" i="7"/>
  <c r="CV36" i="7"/>
  <c r="CP36" i="7"/>
  <c r="CC36" i="7"/>
  <c r="BP36" i="7"/>
  <c r="BJ36" i="7"/>
  <c r="AW36" i="7"/>
  <c r="AQ36" i="7"/>
  <c r="W36" i="7"/>
  <c r="Q36" i="7"/>
  <c r="CV35" i="7"/>
  <c r="CP35" i="7"/>
  <c r="CC35" i="7"/>
  <c r="BP35" i="7"/>
  <c r="BJ35" i="7"/>
  <c r="AW35" i="7"/>
  <c r="AQ35" i="7"/>
  <c r="W35" i="7"/>
  <c r="Q35" i="7"/>
  <c r="CV34" i="7"/>
  <c r="CP34" i="7"/>
  <c r="CC34" i="7"/>
  <c r="BP34" i="7"/>
  <c r="BJ34" i="7"/>
  <c r="AW34" i="7"/>
  <c r="AQ34" i="7"/>
  <c r="W34" i="7"/>
  <c r="Q34" i="7"/>
  <c r="CV33" i="7"/>
  <c r="CP33" i="7"/>
  <c r="CC33" i="7"/>
  <c r="BP33" i="7"/>
  <c r="BJ33" i="7"/>
  <c r="AW33" i="7"/>
  <c r="AQ33" i="7"/>
  <c r="W33" i="7"/>
  <c r="Q33" i="7"/>
  <c r="CV32" i="7"/>
  <c r="CP32" i="7"/>
  <c r="CC32" i="7"/>
  <c r="BP32" i="7"/>
  <c r="BJ32" i="7"/>
  <c r="AW32" i="7"/>
  <c r="AQ32" i="7"/>
  <c r="W32" i="7"/>
  <c r="Q32" i="7"/>
  <c r="CV31" i="7"/>
  <c r="CP31" i="7"/>
  <c r="CC31" i="7"/>
  <c r="BP31" i="7"/>
  <c r="BJ31" i="7"/>
  <c r="AW31" i="7"/>
  <c r="AQ31" i="7"/>
  <c r="W31" i="7"/>
  <c r="Q31" i="7"/>
  <c r="CV30" i="7"/>
  <c r="CP30" i="7"/>
  <c r="CC30" i="7"/>
  <c r="BP30" i="7"/>
  <c r="BJ30" i="7"/>
  <c r="AW30" i="7"/>
  <c r="AQ30" i="7"/>
  <c r="W30" i="7"/>
  <c r="Q30" i="7"/>
  <c r="CV29" i="7"/>
  <c r="CP29" i="7"/>
  <c r="CC29" i="7"/>
  <c r="BP29" i="7"/>
  <c r="BJ29" i="7"/>
  <c r="AW29" i="7"/>
  <c r="AQ29" i="7"/>
  <c r="W29" i="7"/>
  <c r="Q29" i="7"/>
  <c r="CV28" i="7"/>
  <c r="CP28" i="7"/>
  <c r="CC28" i="7"/>
  <c r="BP28" i="7"/>
  <c r="BJ28" i="7"/>
  <c r="AW28" i="7"/>
  <c r="AQ28" i="7"/>
  <c r="W28" i="7"/>
  <c r="Q28" i="7"/>
  <c r="CV27" i="7"/>
  <c r="CP27" i="7"/>
  <c r="CC27" i="7"/>
  <c r="BP27" i="7"/>
  <c r="BJ27" i="7"/>
  <c r="AW27" i="7"/>
  <c r="AQ27" i="7"/>
  <c r="W27" i="7"/>
  <c r="Q27" i="7"/>
  <c r="CV26" i="7"/>
  <c r="CP26" i="7"/>
  <c r="CC26" i="7"/>
  <c r="BP26" i="7"/>
  <c r="BJ26" i="7"/>
  <c r="AW26" i="7"/>
  <c r="AQ26" i="7"/>
  <c r="W26" i="7"/>
  <c r="Q26" i="7"/>
  <c r="CV25" i="7"/>
  <c r="CP25" i="7"/>
  <c r="CC25" i="7"/>
  <c r="BP25" i="7"/>
  <c r="BJ25" i="7"/>
  <c r="AW25" i="7"/>
  <c r="AQ25" i="7"/>
  <c r="W25" i="7"/>
  <c r="Q25" i="7"/>
  <c r="CV24" i="7"/>
  <c r="CP24" i="7"/>
  <c r="CC24" i="7"/>
  <c r="BP24" i="7"/>
  <c r="BJ24" i="7"/>
  <c r="AW24" i="7"/>
  <c r="AQ24" i="7"/>
  <c r="W24" i="7"/>
  <c r="Q24" i="7"/>
  <c r="CV23" i="7"/>
  <c r="CP23" i="7"/>
  <c r="CC23" i="7"/>
  <c r="BP23" i="7"/>
  <c r="BJ23" i="7"/>
  <c r="AW23" i="7"/>
  <c r="AQ23" i="7"/>
  <c r="W23" i="7"/>
  <c r="Q23" i="7"/>
  <c r="CV22" i="7"/>
  <c r="CP22" i="7"/>
  <c r="CC22" i="7"/>
  <c r="BP22" i="7"/>
  <c r="BJ22" i="7"/>
  <c r="AW22" i="7"/>
  <c r="AQ22" i="7"/>
  <c r="W22" i="7"/>
  <c r="Q22" i="7"/>
  <c r="CV21" i="7"/>
  <c r="CP21" i="7"/>
  <c r="CC21" i="7"/>
  <c r="BP21" i="7"/>
  <c r="BJ21" i="7"/>
  <c r="AW21" i="7"/>
  <c r="AQ21" i="7"/>
  <c r="W21" i="7"/>
  <c r="Q21" i="7"/>
  <c r="CV20" i="7"/>
  <c r="CP20" i="7"/>
  <c r="CC20" i="7"/>
  <c r="BP20" i="7"/>
  <c r="BJ20" i="7"/>
  <c r="AW20" i="7"/>
  <c r="AQ20" i="7"/>
  <c r="W20" i="7"/>
  <c r="Q20" i="7"/>
  <c r="CV19" i="7"/>
  <c r="CP19" i="7"/>
  <c r="CC19" i="7"/>
  <c r="BP19" i="7"/>
  <c r="BJ19" i="7"/>
  <c r="AW19" i="7"/>
  <c r="AQ19" i="7"/>
  <c r="W19" i="7"/>
  <c r="Q19" i="7"/>
  <c r="CV18" i="7"/>
  <c r="CP18" i="7"/>
  <c r="CC18" i="7"/>
  <c r="BP18" i="7"/>
  <c r="BJ18" i="7"/>
  <c r="AW18" i="7"/>
  <c r="AQ18" i="7"/>
  <c r="W18" i="7"/>
  <c r="Q18" i="7"/>
  <c r="CV17" i="7"/>
  <c r="CP17" i="7"/>
  <c r="CC17" i="7"/>
  <c r="BP17" i="7"/>
  <c r="BJ17" i="7"/>
  <c r="AW17" i="7"/>
  <c r="AQ17" i="7"/>
  <c r="W17" i="7"/>
  <c r="Q17" i="7"/>
  <c r="CV16" i="7"/>
  <c r="CP16" i="7"/>
  <c r="CC16" i="7"/>
  <c r="BP16" i="7"/>
  <c r="BJ16" i="7"/>
  <c r="AW16" i="7"/>
  <c r="AQ16" i="7"/>
  <c r="W16" i="7"/>
  <c r="Q16" i="7"/>
  <c r="CV15" i="7"/>
  <c r="CP15" i="7"/>
  <c r="CC15" i="7"/>
  <c r="BP15" i="7"/>
  <c r="BJ15" i="7"/>
  <c r="AW15" i="7"/>
  <c r="AQ15" i="7"/>
  <c r="W15" i="7"/>
  <c r="Q15" i="7"/>
  <c r="CV14" i="7"/>
  <c r="CP14" i="7"/>
  <c r="CC14" i="7"/>
  <c r="BP14" i="7"/>
  <c r="BJ14" i="7"/>
  <c r="AW14" i="7"/>
  <c r="AQ14" i="7"/>
  <c r="W14" i="7"/>
  <c r="Q14" i="7"/>
  <c r="CV13" i="7"/>
  <c r="CP13" i="7"/>
  <c r="CC13" i="7"/>
  <c r="BP13" i="7"/>
  <c r="BJ13" i="7"/>
  <c r="AW13" i="7"/>
  <c r="AQ13" i="7"/>
  <c r="W13" i="7"/>
  <c r="Q13" i="7"/>
  <c r="CV12" i="7"/>
  <c r="CP12" i="7"/>
  <c r="CC12" i="7"/>
  <c r="BP12" i="7"/>
  <c r="BJ12" i="7"/>
  <c r="AW12" i="7"/>
  <c r="AQ12" i="7"/>
  <c r="W12" i="7"/>
  <c r="Q12" i="7"/>
  <c r="CV11" i="7"/>
  <c r="CP11" i="7"/>
  <c r="CC11" i="7"/>
  <c r="BP11" i="7"/>
  <c r="BJ11" i="7"/>
  <c r="AW11" i="7"/>
  <c r="AQ11" i="7"/>
  <c r="W11" i="7"/>
  <c r="Q11" i="7"/>
  <c r="CV10" i="7"/>
  <c r="CP10" i="7"/>
  <c r="CC10" i="7"/>
  <c r="BP10" i="7"/>
  <c r="BJ10" i="7"/>
  <c r="AW10" i="7"/>
  <c r="AQ10" i="7"/>
  <c r="W10" i="7"/>
  <c r="Q10" i="7"/>
  <c r="CV9" i="7"/>
  <c r="CP9" i="7"/>
  <c r="CC9" i="7"/>
  <c r="BP9" i="7"/>
  <c r="BJ9" i="7"/>
  <c r="AW9" i="7"/>
  <c r="AQ9" i="7"/>
  <c r="W9" i="7"/>
  <c r="Q9" i="7"/>
  <c r="CV8" i="7"/>
  <c r="CP8" i="7"/>
  <c r="CC8" i="7"/>
  <c r="BP8" i="7"/>
  <c r="BJ8" i="7"/>
  <c r="AW8" i="7"/>
  <c r="AQ8" i="7"/>
  <c r="W8" i="7"/>
  <c r="Q8" i="7"/>
  <c r="CV7" i="7"/>
  <c r="CP7" i="7"/>
  <c r="CC7" i="7"/>
  <c r="BP7" i="7"/>
  <c r="BJ7" i="7"/>
  <c r="AW7" i="7"/>
  <c r="AQ7" i="7"/>
  <c r="W7" i="7"/>
  <c r="Q7" i="7"/>
  <c r="CV6" i="7"/>
  <c r="CP6" i="7"/>
  <c r="CC6" i="7"/>
  <c r="BP6" i="7"/>
  <c r="BJ6" i="7"/>
  <c r="AW6" i="7"/>
  <c r="AQ6" i="7"/>
  <c r="W6" i="7"/>
  <c r="Q6" i="7"/>
  <c r="CV5" i="7"/>
  <c r="CP5" i="7"/>
  <c r="CC5" i="7"/>
  <c r="BP5" i="7"/>
  <c r="BJ5" i="7"/>
  <c r="AW5" i="7"/>
  <c r="AQ5" i="7"/>
  <c r="W5" i="7"/>
  <c r="Q5" i="7"/>
  <c r="CV4" i="7"/>
  <c r="CP4" i="7"/>
  <c r="CC4" i="7"/>
  <c r="BP4" i="7"/>
  <c r="BJ4" i="7"/>
  <c r="AW4" i="7"/>
  <c r="AQ4" i="7"/>
  <c r="W4" i="7"/>
  <c r="Q4" i="7"/>
  <c r="CV1" i="7"/>
  <c r="CN1" i="7"/>
  <c r="CF1" i="7"/>
  <c r="BX1" i="7"/>
  <c r="BP1" i="7"/>
  <c r="BH1" i="7"/>
  <c r="AZ1" i="7"/>
  <c r="AR1" i="7"/>
  <c r="AJ1" i="7"/>
  <c r="AB1" i="7"/>
  <c r="T1" i="7"/>
  <c r="L1" i="7"/>
  <c r="D1" i="7"/>
  <c r="A1" i="7" a="1"/>
  <c r="CW1" i="7" s="1"/>
  <c r="CJ626" i="4"/>
  <c r="CI626" i="4"/>
  <c r="CH626" i="4"/>
  <c r="CG626" i="4"/>
  <c r="CF626" i="4"/>
  <c r="CE626" i="4"/>
  <c r="CD626" i="4"/>
  <c r="CC626" i="4"/>
  <c r="CB626" i="4"/>
  <c r="CA626" i="4"/>
  <c r="BZ626" i="4"/>
  <c r="BY626" i="4"/>
  <c r="BX626" i="4"/>
  <c r="BV626" i="4"/>
  <c r="BS626" i="4"/>
  <c r="BQ626" i="4"/>
  <c r="BP626" i="4"/>
  <c r="BO626" i="4"/>
  <c r="BN626" i="4"/>
  <c r="BM626" i="4"/>
  <c r="BL626" i="4"/>
  <c r="BK626" i="4"/>
  <c r="BJ626" i="4"/>
  <c r="BI626" i="4"/>
  <c r="BH626" i="4"/>
  <c r="BG626" i="4"/>
  <c r="BF626" i="4"/>
  <c r="BE626" i="4"/>
  <c r="BD626" i="4"/>
  <c r="BC626" i="4"/>
  <c r="BB626" i="4"/>
  <c r="BA626" i="4"/>
  <c r="AZ626" i="4"/>
  <c r="AY626" i="4"/>
  <c r="AX626" i="4"/>
  <c r="AW626" i="4"/>
  <c r="AV626" i="4"/>
  <c r="AU626" i="4"/>
  <c r="AT626" i="4"/>
  <c r="AS626" i="4"/>
  <c r="AR626" i="4"/>
  <c r="AQ626" i="4"/>
  <c r="AP626" i="4"/>
  <c r="AO626" i="4"/>
  <c r="AN626" i="4"/>
  <c r="AM626" i="4"/>
  <c r="AL626" i="4"/>
  <c r="AK626" i="4"/>
  <c r="AJ626" i="4"/>
  <c r="AI626" i="4"/>
  <c r="AH626" i="4"/>
  <c r="AG626" i="4"/>
  <c r="AF626" i="4"/>
  <c r="AE626" i="4"/>
  <c r="AD626" i="4"/>
  <c r="AC626" i="4"/>
  <c r="AB626" i="4"/>
  <c r="AA626" i="4"/>
  <c r="Z626" i="4"/>
  <c r="Y626" i="4"/>
  <c r="X626" i="4"/>
  <c r="V626" i="4"/>
  <c r="U626" i="4"/>
  <c r="T626" i="4"/>
  <c r="S626" i="4"/>
  <c r="R626" i="4"/>
  <c r="Q626" i="4"/>
  <c r="P626" i="4"/>
  <c r="O626" i="4"/>
  <c r="N626" i="4"/>
  <c r="M626" i="4"/>
  <c r="L626" i="4"/>
  <c r="K626" i="4"/>
  <c r="J626" i="4"/>
  <c r="I626" i="4"/>
  <c r="H626" i="4"/>
  <c r="G626" i="4"/>
  <c r="F626" i="4"/>
  <c r="E626" i="4"/>
  <c r="D626" i="4"/>
  <c r="C626" i="4"/>
  <c r="B626" i="4"/>
  <c r="A626" i="4"/>
  <c r="CJ625" i="4"/>
  <c r="CI625" i="4"/>
  <c r="CH625" i="4"/>
  <c r="CG625" i="4"/>
  <c r="CF625" i="4"/>
  <c r="CE625" i="4"/>
  <c r="CD625" i="4"/>
  <c r="CC625" i="4"/>
  <c r="CB625" i="4"/>
  <c r="CA625" i="4"/>
  <c r="BZ625" i="4"/>
  <c r="BY625" i="4"/>
  <c r="BX625" i="4"/>
  <c r="BV625" i="4"/>
  <c r="BS625" i="4"/>
  <c r="BQ625" i="4"/>
  <c r="BP625" i="4"/>
  <c r="BO625" i="4"/>
  <c r="BN625" i="4"/>
  <c r="BM625" i="4"/>
  <c r="BL625" i="4"/>
  <c r="BK625" i="4"/>
  <c r="BJ625" i="4"/>
  <c r="BI625" i="4"/>
  <c r="BH625" i="4"/>
  <c r="BG625" i="4"/>
  <c r="BF625" i="4"/>
  <c r="BE625" i="4"/>
  <c r="BD625" i="4"/>
  <c r="BC625" i="4"/>
  <c r="BB625" i="4"/>
  <c r="BA625" i="4"/>
  <c r="AZ625" i="4"/>
  <c r="AY625" i="4"/>
  <c r="AX625" i="4"/>
  <c r="AW625" i="4"/>
  <c r="AV625" i="4"/>
  <c r="AU625" i="4"/>
  <c r="AT625" i="4"/>
  <c r="AS625" i="4"/>
  <c r="AR625" i="4"/>
  <c r="AQ625" i="4"/>
  <c r="AP625" i="4"/>
  <c r="AO625" i="4"/>
  <c r="AN625" i="4"/>
  <c r="AM625" i="4"/>
  <c r="AL625" i="4"/>
  <c r="AK625" i="4"/>
  <c r="AJ625" i="4"/>
  <c r="AI625" i="4"/>
  <c r="AH625" i="4"/>
  <c r="AG625" i="4"/>
  <c r="AF625" i="4"/>
  <c r="AE625" i="4"/>
  <c r="AD625" i="4"/>
  <c r="AC625" i="4"/>
  <c r="AB625" i="4"/>
  <c r="AA625" i="4"/>
  <c r="Z625" i="4"/>
  <c r="Y625" i="4"/>
  <c r="X625" i="4"/>
  <c r="V625" i="4"/>
  <c r="U625" i="4"/>
  <c r="T625" i="4"/>
  <c r="S625" i="4"/>
  <c r="R625" i="4"/>
  <c r="Q625" i="4"/>
  <c r="P625" i="4"/>
  <c r="O625" i="4"/>
  <c r="N625" i="4"/>
  <c r="M625" i="4"/>
  <c r="L625" i="4"/>
  <c r="K625" i="4"/>
  <c r="J625" i="4"/>
  <c r="I625" i="4"/>
  <c r="H625" i="4"/>
  <c r="G625" i="4"/>
  <c r="F625" i="4"/>
  <c r="E625" i="4"/>
  <c r="D625" i="4"/>
  <c r="C625" i="4"/>
  <c r="B625" i="4"/>
  <c r="A625" i="4"/>
  <c r="CJ624" i="4"/>
  <c r="CI624" i="4"/>
  <c r="CH624" i="4"/>
  <c r="CG624" i="4"/>
  <c r="CF624" i="4"/>
  <c r="CE624" i="4"/>
  <c r="CD624" i="4"/>
  <c r="CC624" i="4"/>
  <c r="CB624" i="4"/>
  <c r="CA624" i="4"/>
  <c r="BZ624" i="4"/>
  <c r="BY624" i="4"/>
  <c r="BX624" i="4"/>
  <c r="BV624" i="4"/>
  <c r="BS624" i="4"/>
  <c r="BQ624" i="4"/>
  <c r="BP624" i="4"/>
  <c r="BO624" i="4"/>
  <c r="BN624" i="4"/>
  <c r="BM624" i="4"/>
  <c r="BL624" i="4"/>
  <c r="BK624" i="4"/>
  <c r="BJ624" i="4"/>
  <c r="BI624" i="4"/>
  <c r="BH624" i="4"/>
  <c r="BG624" i="4"/>
  <c r="BF624" i="4"/>
  <c r="BE624" i="4"/>
  <c r="BD624" i="4"/>
  <c r="BC624" i="4"/>
  <c r="BB624" i="4"/>
  <c r="BA624" i="4"/>
  <c r="AZ624" i="4"/>
  <c r="AY624" i="4"/>
  <c r="AX624" i="4"/>
  <c r="AW624" i="4"/>
  <c r="AV624" i="4"/>
  <c r="AU624" i="4"/>
  <c r="AT624" i="4"/>
  <c r="AS624" i="4"/>
  <c r="AR624" i="4"/>
  <c r="AQ624" i="4"/>
  <c r="AP624" i="4"/>
  <c r="AO624" i="4"/>
  <c r="AN624" i="4"/>
  <c r="AM624" i="4"/>
  <c r="AL624" i="4"/>
  <c r="AK624" i="4"/>
  <c r="AJ624" i="4"/>
  <c r="AI624" i="4"/>
  <c r="AH624" i="4"/>
  <c r="AG624" i="4"/>
  <c r="AF624" i="4"/>
  <c r="AE624" i="4"/>
  <c r="AD624" i="4"/>
  <c r="AC624" i="4"/>
  <c r="AB624" i="4"/>
  <c r="AA624" i="4"/>
  <c r="Z624" i="4"/>
  <c r="Y624" i="4"/>
  <c r="X624" i="4"/>
  <c r="V624" i="4"/>
  <c r="U624" i="4"/>
  <c r="T624" i="4"/>
  <c r="S624" i="4"/>
  <c r="R624" i="4"/>
  <c r="Q624" i="4"/>
  <c r="P624" i="4"/>
  <c r="O624" i="4"/>
  <c r="N624" i="4"/>
  <c r="M624" i="4"/>
  <c r="L624" i="4"/>
  <c r="K624" i="4"/>
  <c r="J624" i="4"/>
  <c r="I624" i="4"/>
  <c r="H624" i="4"/>
  <c r="G624" i="4"/>
  <c r="F624" i="4"/>
  <c r="E624" i="4"/>
  <c r="D624" i="4"/>
  <c r="C624" i="4"/>
  <c r="B624" i="4"/>
  <c r="A624" i="4"/>
  <c r="CJ623" i="4"/>
  <c r="CI623" i="4"/>
  <c r="CH623" i="4"/>
  <c r="CG623" i="4"/>
  <c r="CF623" i="4"/>
  <c r="CE623" i="4"/>
  <c r="CD623" i="4"/>
  <c r="CC623" i="4"/>
  <c r="CB623" i="4"/>
  <c r="CA623" i="4"/>
  <c r="BZ623" i="4"/>
  <c r="BY623" i="4"/>
  <c r="BX623" i="4"/>
  <c r="BV623" i="4"/>
  <c r="BS623" i="4"/>
  <c r="BQ623" i="4"/>
  <c r="BP623" i="4"/>
  <c r="BO623" i="4"/>
  <c r="BN623" i="4"/>
  <c r="BM623" i="4"/>
  <c r="BL623" i="4"/>
  <c r="BK623" i="4"/>
  <c r="BJ623" i="4"/>
  <c r="BI623" i="4"/>
  <c r="BH623" i="4"/>
  <c r="BG623" i="4"/>
  <c r="BF623" i="4"/>
  <c r="BE623" i="4"/>
  <c r="BD623" i="4"/>
  <c r="BC623" i="4"/>
  <c r="BB623" i="4"/>
  <c r="BA623" i="4"/>
  <c r="AZ623" i="4"/>
  <c r="AY623" i="4"/>
  <c r="AX623" i="4"/>
  <c r="AW623" i="4"/>
  <c r="AV623" i="4"/>
  <c r="AU623" i="4"/>
  <c r="AT623" i="4"/>
  <c r="AS623" i="4"/>
  <c r="AR623" i="4"/>
  <c r="AQ623" i="4"/>
  <c r="AP623" i="4"/>
  <c r="AO623" i="4"/>
  <c r="AN623" i="4"/>
  <c r="AM623" i="4"/>
  <c r="AL623" i="4"/>
  <c r="AK623" i="4"/>
  <c r="AJ623" i="4"/>
  <c r="AI623" i="4"/>
  <c r="AH623" i="4"/>
  <c r="AG623" i="4"/>
  <c r="AF623" i="4"/>
  <c r="AE623" i="4"/>
  <c r="AD623" i="4"/>
  <c r="AC623" i="4"/>
  <c r="AB623" i="4"/>
  <c r="AA623" i="4"/>
  <c r="Z623" i="4"/>
  <c r="Y623" i="4"/>
  <c r="X623" i="4"/>
  <c r="V623" i="4"/>
  <c r="U623" i="4"/>
  <c r="T623" i="4"/>
  <c r="S623" i="4"/>
  <c r="R623" i="4"/>
  <c r="Q623" i="4"/>
  <c r="P623" i="4"/>
  <c r="O623" i="4"/>
  <c r="N623" i="4"/>
  <c r="M623" i="4"/>
  <c r="L623" i="4"/>
  <c r="K623" i="4"/>
  <c r="J623" i="4"/>
  <c r="I623" i="4"/>
  <c r="H623" i="4"/>
  <c r="G623" i="4"/>
  <c r="F623" i="4"/>
  <c r="E623" i="4"/>
  <c r="D623" i="4"/>
  <c r="C623" i="4"/>
  <c r="B623" i="4"/>
  <c r="A623" i="4"/>
  <c r="CJ622" i="4"/>
  <c r="CI622" i="4"/>
  <c r="CH622" i="4"/>
  <c r="CG622" i="4"/>
  <c r="CF622" i="4"/>
  <c r="CE622" i="4"/>
  <c r="CD622" i="4"/>
  <c r="CC622" i="4"/>
  <c r="CB622" i="4"/>
  <c r="CA622" i="4"/>
  <c r="BZ622" i="4"/>
  <c r="BY622" i="4"/>
  <c r="BX622" i="4"/>
  <c r="BV622" i="4"/>
  <c r="BS622" i="4"/>
  <c r="BQ622" i="4"/>
  <c r="BP622" i="4"/>
  <c r="BO622" i="4"/>
  <c r="BN622" i="4"/>
  <c r="BM622" i="4"/>
  <c r="BL622" i="4"/>
  <c r="BK622" i="4"/>
  <c r="BJ622" i="4"/>
  <c r="BI622" i="4"/>
  <c r="BH622" i="4"/>
  <c r="BG622" i="4"/>
  <c r="BF622" i="4"/>
  <c r="BE622" i="4"/>
  <c r="BD622" i="4"/>
  <c r="BC622" i="4"/>
  <c r="BB622" i="4"/>
  <c r="BA622" i="4"/>
  <c r="AZ622" i="4"/>
  <c r="AY622" i="4"/>
  <c r="AX622" i="4"/>
  <c r="AW622" i="4"/>
  <c r="AV622" i="4"/>
  <c r="AU622" i="4"/>
  <c r="AT622" i="4"/>
  <c r="AS622" i="4"/>
  <c r="AR622" i="4"/>
  <c r="AQ622" i="4"/>
  <c r="AP622" i="4"/>
  <c r="AO622" i="4"/>
  <c r="AN622" i="4"/>
  <c r="AM622" i="4"/>
  <c r="AL622" i="4"/>
  <c r="AK622" i="4"/>
  <c r="AJ622" i="4"/>
  <c r="AI622" i="4"/>
  <c r="AH622" i="4"/>
  <c r="AG622" i="4"/>
  <c r="AF622" i="4"/>
  <c r="AE622" i="4"/>
  <c r="AD622" i="4"/>
  <c r="AC622" i="4"/>
  <c r="AB622" i="4"/>
  <c r="AA622" i="4"/>
  <c r="Z622" i="4"/>
  <c r="Y622" i="4"/>
  <c r="X622" i="4"/>
  <c r="V622" i="4"/>
  <c r="U622" i="4"/>
  <c r="T622" i="4"/>
  <c r="S622" i="4"/>
  <c r="R622" i="4"/>
  <c r="Q622" i="4"/>
  <c r="P622" i="4"/>
  <c r="O622" i="4"/>
  <c r="N622" i="4"/>
  <c r="M622" i="4"/>
  <c r="L622" i="4"/>
  <c r="K622" i="4"/>
  <c r="J622" i="4"/>
  <c r="I622" i="4"/>
  <c r="H622" i="4"/>
  <c r="G622" i="4"/>
  <c r="F622" i="4"/>
  <c r="E622" i="4"/>
  <c r="D622" i="4"/>
  <c r="C622" i="4"/>
  <c r="B622" i="4"/>
  <c r="A622" i="4"/>
  <c r="CJ621" i="4"/>
  <c r="CI621" i="4"/>
  <c r="CH621" i="4"/>
  <c r="CG621" i="4"/>
  <c r="CF621" i="4"/>
  <c r="CE621" i="4"/>
  <c r="CD621" i="4"/>
  <c r="CC621" i="4"/>
  <c r="CB621" i="4"/>
  <c r="CA621" i="4"/>
  <c r="BZ621" i="4"/>
  <c r="BY621" i="4"/>
  <c r="BX621" i="4"/>
  <c r="BV621" i="4"/>
  <c r="BS621" i="4"/>
  <c r="BQ621" i="4"/>
  <c r="BP621" i="4"/>
  <c r="BO621" i="4"/>
  <c r="BN621" i="4"/>
  <c r="BM621" i="4"/>
  <c r="BL621" i="4"/>
  <c r="BK621" i="4"/>
  <c r="BJ621" i="4"/>
  <c r="BI621" i="4"/>
  <c r="BH621" i="4"/>
  <c r="BG621" i="4"/>
  <c r="BF621" i="4"/>
  <c r="BE621" i="4"/>
  <c r="BD621" i="4"/>
  <c r="BC621" i="4"/>
  <c r="BB621" i="4"/>
  <c r="BA621" i="4"/>
  <c r="AZ621" i="4"/>
  <c r="AY621" i="4"/>
  <c r="AX621" i="4"/>
  <c r="AW621" i="4"/>
  <c r="AV621" i="4"/>
  <c r="AU621" i="4"/>
  <c r="AT621" i="4"/>
  <c r="AS621" i="4"/>
  <c r="AR621" i="4"/>
  <c r="AQ621" i="4"/>
  <c r="AP621" i="4"/>
  <c r="AO621" i="4"/>
  <c r="AN621" i="4"/>
  <c r="AM621" i="4"/>
  <c r="AL621" i="4"/>
  <c r="AK621" i="4"/>
  <c r="AJ621" i="4"/>
  <c r="AI621" i="4"/>
  <c r="AH621" i="4"/>
  <c r="AG621" i="4"/>
  <c r="AF621" i="4"/>
  <c r="AE621" i="4"/>
  <c r="AD621" i="4"/>
  <c r="AC621" i="4"/>
  <c r="AB621" i="4"/>
  <c r="AA621" i="4"/>
  <c r="Z621" i="4"/>
  <c r="Y621" i="4"/>
  <c r="X621" i="4"/>
  <c r="V621" i="4"/>
  <c r="U621" i="4"/>
  <c r="T621" i="4"/>
  <c r="S621" i="4"/>
  <c r="R621" i="4"/>
  <c r="Q621" i="4"/>
  <c r="P621" i="4"/>
  <c r="O621" i="4"/>
  <c r="N621" i="4"/>
  <c r="M621" i="4"/>
  <c r="L621" i="4"/>
  <c r="K621" i="4"/>
  <c r="J621" i="4"/>
  <c r="I621" i="4"/>
  <c r="H621" i="4"/>
  <c r="G621" i="4"/>
  <c r="F621" i="4"/>
  <c r="E621" i="4"/>
  <c r="D621" i="4"/>
  <c r="C621" i="4"/>
  <c r="B621" i="4"/>
  <c r="A621" i="4"/>
  <c r="CJ620" i="4"/>
  <c r="CI620" i="4"/>
  <c r="CH620" i="4"/>
  <c r="CG620" i="4"/>
  <c r="CF620" i="4"/>
  <c r="CE620" i="4"/>
  <c r="CD620" i="4"/>
  <c r="CC620" i="4"/>
  <c r="CB620" i="4"/>
  <c r="CA620" i="4"/>
  <c r="BZ620" i="4"/>
  <c r="BY620" i="4"/>
  <c r="BX620" i="4"/>
  <c r="BV620" i="4"/>
  <c r="BS620" i="4"/>
  <c r="BQ620" i="4"/>
  <c r="BP620" i="4"/>
  <c r="BO620" i="4"/>
  <c r="BN620" i="4"/>
  <c r="BM620" i="4"/>
  <c r="BL620" i="4"/>
  <c r="BK620" i="4"/>
  <c r="BJ620" i="4"/>
  <c r="BI620" i="4"/>
  <c r="BH620" i="4"/>
  <c r="BG620" i="4"/>
  <c r="BF620" i="4"/>
  <c r="BE620" i="4"/>
  <c r="BD620" i="4"/>
  <c r="BC620" i="4"/>
  <c r="BB620" i="4"/>
  <c r="BA620" i="4"/>
  <c r="AZ620" i="4"/>
  <c r="AY620" i="4"/>
  <c r="AX620" i="4"/>
  <c r="AW620" i="4"/>
  <c r="AV620" i="4"/>
  <c r="AU620" i="4"/>
  <c r="AT620" i="4"/>
  <c r="AS620" i="4"/>
  <c r="AR620" i="4"/>
  <c r="AQ620" i="4"/>
  <c r="AP620" i="4"/>
  <c r="AO620" i="4"/>
  <c r="AN620" i="4"/>
  <c r="AM620" i="4"/>
  <c r="AL620" i="4"/>
  <c r="AK620" i="4"/>
  <c r="AJ620" i="4"/>
  <c r="AI620" i="4"/>
  <c r="AH620" i="4"/>
  <c r="AG620" i="4"/>
  <c r="AF620" i="4"/>
  <c r="AE620" i="4"/>
  <c r="AD620" i="4"/>
  <c r="AC620" i="4"/>
  <c r="AB620" i="4"/>
  <c r="AA620" i="4"/>
  <c r="Z620" i="4"/>
  <c r="Y620" i="4"/>
  <c r="X620" i="4"/>
  <c r="V620" i="4"/>
  <c r="U620" i="4"/>
  <c r="T620" i="4"/>
  <c r="S620" i="4"/>
  <c r="R620" i="4"/>
  <c r="Q620" i="4"/>
  <c r="P620" i="4"/>
  <c r="O620" i="4"/>
  <c r="N620" i="4"/>
  <c r="M620" i="4"/>
  <c r="L620" i="4"/>
  <c r="K620" i="4"/>
  <c r="J620" i="4"/>
  <c r="I620" i="4"/>
  <c r="H620" i="4"/>
  <c r="G620" i="4"/>
  <c r="F620" i="4"/>
  <c r="E620" i="4"/>
  <c r="D620" i="4"/>
  <c r="C620" i="4"/>
  <c r="B620" i="4"/>
  <c r="A620" i="4"/>
  <c r="CJ619" i="4"/>
  <c r="CI619" i="4"/>
  <c r="CH619" i="4"/>
  <c r="CG619" i="4"/>
  <c r="CF619" i="4"/>
  <c r="CE619" i="4"/>
  <c r="CD619" i="4"/>
  <c r="CC619" i="4"/>
  <c r="CB619" i="4"/>
  <c r="CA619" i="4"/>
  <c r="BZ619" i="4"/>
  <c r="BY619" i="4"/>
  <c r="BX619" i="4"/>
  <c r="BV619" i="4"/>
  <c r="BS619" i="4"/>
  <c r="BQ619" i="4"/>
  <c r="BP619" i="4"/>
  <c r="BO619" i="4"/>
  <c r="BN619" i="4"/>
  <c r="BM619" i="4"/>
  <c r="BL619" i="4"/>
  <c r="BK619" i="4"/>
  <c r="BJ619" i="4"/>
  <c r="BI619" i="4"/>
  <c r="BH619" i="4"/>
  <c r="BG619" i="4"/>
  <c r="BF619" i="4"/>
  <c r="BE619" i="4"/>
  <c r="BD619" i="4"/>
  <c r="BC619" i="4"/>
  <c r="BB619" i="4"/>
  <c r="BA619" i="4"/>
  <c r="AZ619" i="4"/>
  <c r="AY619" i="4"/>
  <c r="AX619" i="4"/>
  <c r="AW619" i="4"/>
  <c r="AV619" i="4"/>
  <c r="AU619" i="4"/>
  <c r="AT619" i="4"/>
  <c r="AS619" i="4"/>
  <c r="AR619" i="4"/>
  <c r="AQ619" i="4"/>
  <c r="AP619" i="4"/>
  <c r="AO619" i="4"/>
  <c r="AN619" i="4"/>
  <c r="AM619" i="4"/>
  <c r="AL619" i="4"/>
  <c r="AK619" i="4"/>
  <c r="AJ619" i="4"/>
  <c r="AI619" i="4"/>
  <c r="AH619" i="4"/>
  <c r="AG619" i="4"/>
  <c r="AF619" i="4"/>
  <c r="AE619" i="4"/>
  <c r="AD619" i="4"/>
  <c r="AC619" i="4"/>
  <c r="AB619" i="4"/>
  <c r="AA619" i="4"/>
  <c r="Z619" i="4"/>
  <c r="Y619" i="4"/>
  <c r="X619" i="4"/>
  <c r="V619" i="4"/>
  <c r="U619" i="4"/>
  <c r="T619" i="4"/>
  <c r="S619" i="4"/>
  <c r="R619" i="4"/>
  <c r="Q619" i="4"/>
  <c r="P619" i="4"/>
  <c r="O619" i="4"/>
  <c r="N619" i="4"/>
  <c r="M619" i="4"/>
  <c r="L619" i="4"/>
  <c r="K619" i="4"/>
  <c r="J619" i="4"/>
  <c r="I619" i="4"/>
  <c r="H619" i="4"/>
  <c r="G619" i="4"/>
  <c r="F619" i="4"/>
  <c r="E619" i="4"/>
  <c r="D619" i="4"/>
  <c r="C619" i="4"/>
  <c r="B619" i="4"/>
  <c r="A619" i="4"/>
  <c r="CJ618" i="4"/>
  <c r="CI618" i="4"/>
  <c r="CH618" i="4"/>
  <c r="CG618" i="4"/>
  <c r="CF618" i="4"/>
  <c r="CE618" i="4"/>
  <c r="CD618" i="4"/>
  <c r="CC618" i="4"/>
  <c r="CB618" i="4"/>
  <c r="CA618" i="4"/>
  <c r="BZ618" i="4"/>
  <c r="BY618" i="4"/>
  <c r="BX618" i="4"/>
  <c r="BV618" i="4"/>
  <c r="BS618" i="4"/>
  <c r="BQ618" i="4"/>
  <c r="BP618" i="4"/>
  <c r="BO618" i="4"/>
  <c r="BN618" i="4"/>
  <c r="BM618" i="4"/>
  <c r="BL618" i="4"/>
  <c r="BK618" i="4"/>
  <c r="BJ618" i="4"/>
  <c r="BI618" i="4"/>
  <c r="BH618" i="4"/>
  <c r="BG618" i="4"/>
  <c r="BF618" i="4"/>
  <c r="BE618" i="4"/>
  <c r="BD618" i="4"/>
  <c r="BC618" i="4"/>
  <c r="BB618" i="4"/>
  <c r="BA618" i="4"/>
  <c r="AZ618" i="4"/>
  <c r="AY618" i="4"/>
  <c r="AX618" i="4"/>
  <c r="AW618" i="4"/>
  <c r="AV618" i="4"/>
  <c r="AU618" i="4"/>
  <c r="AT618" i="4"/>
  <c r="AS618" i="4"/>
  <c r="AR618" i="4"/>
  <c r="AQ618" i="4"/>
  <c r="AP618" i="4"/>
  <c r="AO618" i="4"/>
  <c r="AN618" i="4"/>
  <c r="AM618" i="4"/>
  <c r="AL618" i="4"/>
  <c r="AK618" i="4"/>
  <c r="AJ618" i="4"/>
  <c r="AI618" i="4"/>
  <c r="AH618" i="4"/>
  <c r="AG618" i="4"/>
  <c r="AF618" i="4"/>
  <c r="AE618" i="4"/>
  <c r="AD618" i="4"/>
  <c r="AC618" i="4"/>
  <c r="AB618" i="4"/>
  <c r="AA618" i="4"/>
  <c r="Z618" i="4"/>
  <c r="Y618" i="4"/>
  <c r="X618" i="4"/>
  <c r="V618" i="4"/>
  <c r="U618" i="4"/>
  <c r="T618" i="4"/>
  <c r="S618" i="4"/>
  <c r="R618" i="4"/>
  <c r="Q618" i="4"/>
  <c r="P618" i="4"/>
  <c r="O618" i="4"/>
  <c r="N618" i="4"/>
  <c r="M618" i="4"/>
  <c r="L618" i="4"/>
  <c r="K618" i="4"/>
  <c r="J618" i="4"/>
  <c r="I618" i="4"/>
  <c r="H618" i="4"/>
  <c r="G618" i="4"/>
  <c r="F618" i="4"/>
  <c r="E618" i="4"/>
  <c r="D618" i="4"/>
  <c r="C618" i="4"/>
  <c r="B618" i="4"/>
  <c r="A618" i="4"/>
  <c r="CJ617" i="4"/>
  <c r="CI617" i="4"/>
  <c r="CH617" i="4"/>
  <c r="CG617" i="4"/>
  <c r="CF617" i="4"/>
  <c r="CE617" i="4"/>
  <c r="CD617" i="4"/>
  <c r="CC617" i="4"/>
  <c r="CB617" i="4"/>
  <c r="CA617" i="4"/>
  <c r="BZ617" i="4"/>
  <c r="BY617" i="4"/>
  <c r="BX617" i="4"/>
  <c r="BV617" i="4"/>
  <c r="BS617" i="4"/>
  <c r="BQ617" i="4"/>
  <c r="BP617" i="4"/>
  <c r="BO617" i="4"/>
  <c r="BN617" i="4"/>
  <c r="BM617" i="4"/>
  <c r="BL617" i="4"/>
  <c r="BK617" i="4"/>
  <c r="BJ617" i="4"/>
  <c r="BI617" i="4"/>
  <c r="BH617" i="4"/>
  <c r="BG617" i="4"/>
  <c r="BF617" i="4"/>
  <c r="BE617" i="4"/>
  <c r="BD617" i="4"/>
  <c r="BC617" i="4"/>
  <c r="BB617" i="4"/>
  <c r="BA617" i="4"/>
  <c r="AZ617" i="4"/>
  <c r="AY617" i="4"/>
  <c r="AX617" i="4"/>
  <c r="AW617" i="4"/>
  <c r="AV617" i="4"/>
  <c r="AU617" i="4"/>
  <c r="AT617" i="4"/>
  <c r="AS617" i="4"/>
  <c r="AR617" i="4"/>
  <c r="AQ617" i="4"/>
  <c r="AP617" i="4"/>
  <c r="AO617" i="4"/>
  <c r="AN617" i="4"/>
  <c r="AM617" i="4"/>
  <c r="AL617" i="4"/>
  <c r="AK617" i="4"/>
  <c r="AJ617" i="4"/>
  <c r="AI617" i="4"/>
  <c r="AH617" i="4"/>
  <c r="AG617" i="4"/>
  <c r="AF617" i="4"/>
  <c r="AE617" i="4"/>
  <c r="AD617" i="4"/>
  <c r="AC617" i="4"/>
  <c r="AB617" i="4"/>
  <c r="AA617" i="4"/>
  <c r="Z617" i="4"/>
  <c r="Y617" i="4"/>
  <c r="X617" i="4"/>
  <c r="V617" i="4"/>
  <c r="U617" i="4"/>
  <c r="T617" i="4"/>
  <c r="S617" i="4"/>
  <c r="R617" i="4"/>
  <c r="Q617" i="4"/>
  <c r="P617" i="4"/>
  <c r="O617" i="4"/>
  <c r="N617" i="4"/>
  <c r="M617" i="4"/>
  <c r="L617" i="4"/>
  <c r="K617" i="4"/>
  <c r="J617" i="4"/>
  <c r="I617" i="4"/>
  <c r="H617" i="4"/>
  <c r="G617" i="4"/>
  <c r="F617" i="4"/>
  <c r="E617" i="4"/>
  <c r="D617" i="4"/>
  <c r="C617" i="4"/>
  <c r="B617" i="4"/>
  <c r="A617" i="4"/>
  <c r="CJ616" i="4"/>
  <c r="CI616" i="4"/>
  <c r="CH616" i="4"/>
  <c r="CG616" i="4"/>
  <c r="CF616" i="4"/>
  <c r="CE616" i="4"/>
  <c r="CD616" i="4"/>
  <c r="CC616" i="4"/>
  <c r="CB616" i="4"/>
  <c r="CA616" i="4"/>
  <c r="BZ616" i="4"/>
  <c r="BY616" i="4"/>
  <c r="BX616" i="4"/>
  <c r="BV616" i="4"/>
  <c r="BS616" i="4"/>
  <c r="BQ616" i="4"/>
  <c r="BP616" i="4"/>
  <c r="BO616" i="4"/>
  <c r="BN616" i="4"/>
  <c r="BM616" i="4"/>
  <c r="BL616" i="4"/>
  <c r="BK616" i="4"/>
  <c r="BJ616" i="4"/>
  <c r="BI616" i="4"/>
  <c r="BH616" i="4"/>
  <c r="BG616" i="4"/>
  <c r="BF616" i="4"/>
  <c r="BE616" i="4"/>
  <c r="BD616" i="4"/>
  <c r="BC616" i="4"/>
  <c r="BB616" i="4"/>
  <c r="BA616" i="4"/>
  <c r="AZ616" i="4"/>
  <c r="AY616" i="4"/>
  <c r="AX616" i="4"/>
  <c r="AW616" i="4"/>
  <c r="AV616" i="4"/>
  <c r="AU616" i="4"/>
  <c r="AT616" i="4"/>
  <c r="AS616" i="4"/>
  <c r="AR616" i="4"/>
  <c r="AQ616" i="4"/>
  <c r="AP616" i="4"/>
  <c r="AO616" i="4"/>
  <c r="AN616" i="4"/>
  <c r="AM616" i="4"/>
  <c r="AL616" i="4"/>
  <c r="AK616" i="4"/>
  <c r="AJ616" i="4"/>
  <c r="AI616" i="4"/>
  <c r="AH616" i="4"/>
  <c r="AG616" i="4"/>
  <c r="AF616" i="4"/>
  <c r="AE616" i="4"/>
  <c r="AD616" i="4"/>
  <c r="AC616" i="4"/>
  <c r="AB616" i="4"/>
  <c r="AA616" i="4"/>
  <c r="Z616" i="4"/>
  <c r="Y616" i="4"/>
  <c r="X616" i="4"/>
  <c r="V616" i="4"/>
  <c r="U616" i="4"/>
  <c r="T616" i="4"/>
  <c r="S616" i="4"/>
  <c r="R616" i="4"/>
  <c r="Q616" i="4"/>
  <c r="P616" i="4"/>
  <c r="O616" i="4"/>
  <c r="N616" i="4"/>
  <c r="M616" i="4"/>
  <c r="L616" i="4"/>
  <c r="K616" i="4"/>
  <c r="J616" i="4"/>
  <c r="I616" i="4"/>
  <c r="H616" i="4"/>
  <c r="G616" i="4"/>
  <c r="F616" i="4"/>
  <c r="E616" i="4"/>
  <c r="D616" i="4"/>
  <c r="C616" i="4"/>
  <c r="B616" i="4"/>
  <c r="A616" i="4"/>
  <c r="CJ615" i="4"/>
  <c r="CI615" i="4"/>
  <c r="CH615" i="4"/>
  <c r="CG615" i="4"/>
  <c r="CF615" i="4"/>
  <c r="CE615" i="4"/>
  <c r="CD615" i="4"/>
  <c r="CC615" i="4"/>
  <c r="CB615" i="4"/>
  <c r="CA615" i="4"/>
  <c r="BZ615" i="4"/>
  <c r="BY615" i="4"/>
  <c r="BX615" i="4"/>
  <c r="BV615" i="4"/>
  <c r="BS615" i="4"/>
  <c r="BQ615" i="4"/>
  <c r="BP615" i="4"/>
  <c r="BO615" i="4"/>
  <c r="BN615" i="4"/>
  <c r="BM615" i="4"/>
  <c r="BL615" i="4"/>
  <c r="BK615" i="4"/>
  <c r="BJ615" i="4"/>
  <c r="BI615" i="4"/>
  <c r="BH615" i="4"/>
  <c r="BG615" i="4"/>
  <c r="BF615" i="4"/>
  <c r="BE615" i="4"/>
  <c r="BD615" i="4"/>
  <c r="BC615" i="4"/>
  <c r="BB615" i="4"/>
  <c r="BA615" i="4"/>
  <c r="AZ615" i="4"/>
  <c r="AY615" i="4"/>
  <c r="AX615" i="4"/>
  <c r="AW615" i="4"/>
  <c r="AV615" i="4"/>
  <c r="AU615" i="4"/>
  <c r="AT615" i="4"/>
  <c r="AS615" i="4"/>
  <c r="AR615" i="4"/>
  <c r="AQ615" i="4"/>
  <c r="AP615" i="4"/>
  <c r="AO615" i="4"/>
  <c r="AN615" i="4"/>
  <c r="AM615" i="4"/>
  <c r="AL615" i="4"/>
  <c r="AK615" i="4"/>
  <c r="AJ615" i="4"/>
  <c r="AI615" i="4"/>
  <c r="AH615" i="4"/>
  <c r="AG615" i="4"/>
  <c r="AF615" i="4"/>
  <c r="AE615" i="4"/>
  <c r="AD615" i="4"/>
  <c r="AC615" i="4"/>
  <c r="AB615" i="4"/>
  <c r="AA615" i="4"/>
  <c r="Z615" i="4"/>
  <c r="Y615" i="4"/>
  <c r="X615" i="4"/>
  <c r="V615" i="4"/>
  <c r="U615" i="4"/>
  <c r="T615" i="4"/>
  <c r="S615" i="4"/>
  <c r="R615" i="4"/>
  <c r="Q615" i="4"/>
  <c r="P615" i="4"/>
  <c r="O615" i="4"/>
  <c r="N615" i="4"/>
  <c r="M615" i="4"/>
  <c r="L615" i="4"/>
  <c r="K615" i="4"/>
  <c r="J615" i="4"/>
  <c r="I615" i="4"/>
  <c r="H615" i="4"/>
  <c r="G615" i="4"/>
  <c r="F615" i="4"/>
  <c r="E615" i="4"/>
  <c r="D615" i="4"/>
  <c r="C615" i="4"/>
  <c r="B615" i="4"/>
  <c r="A615" i="4"/>
  <c r="CJ614" i="4"/>
  <c r="CI614" i="4"/>
  <c r="CH614" i="4"/>
  <c r="CG614" i="4"/>
  <c r="CF614" i="4"/>
  <c r="CE614" i="4"/>
  <c r="CD614" i="4"/>
  <c r="CC614" i="4"/>
  <c r="CB614" i="4"/>
  <c r="CA614" i="4"/>
  <c r="BZ614" i="4"/>
  <c r="BY614" i="4"/>
  <c r="BX614" i="4"/>
  <c r="BV614" i="4"/>
  <c r="BS614" i="4"/>
  <c r="BQ614" i="4"/>
  <c r="BP614" i="4"/>
  <c r="BO614" i="4"/>
  <c r="BN614" i="4"/>
  <c r="BM614" i="4"/>
  <c r="BL614" i="4"/>
  <c r="BK614" i="4"/>
  <c r="BJ614" i="4"/>
  <c r="BI614" i="4"/>
  <c r="BH614" i="4"/>
  <c r="BG614" i="4"/>
  <c r="BF614" i="4"/>
  <c r="BE614" i="4"/>
  <c r="BD614" i="4"/>
  <c r="BC614" i="4"/>
  <c r="BB614" i="4"/>
  <c r="BA614" i="4"/>
  <c r="AZ614" i="4"/>
  <c r="AY614" i="4"/>
  <c r="AX614" i="4"/>
  <c r="AW614" i="4"/>
  <c r="AV614" i="4"/>
  <c r="AU614" i="4"/>
  <c r="AT614" i="4"/>
  <c r="AS614" i="4"/>
  <c r="AR614" i="4"/>
  <c r="AQ614" i="4"/>
  <c r="AP614" i="4"/>
  <c r="AO614" i="4"/>
  <c r="AN614" i="4"/>
  <c r="AM614" i="4"/>
  <c r="AL614" i="4"/>
  <c r="AK614" i="4"/>
  <c r="AJ614" i="4"/>
  <c r="AI614" i="4"/>
  <c r="AH614" i="4"/>
  <c r="AG614" i="4"/>
  <c r="AF614" i="4"/>
  <c r="AE614" i="4"/>
  <c r="AD614" i="4"/>
  <c r="AC614" i="4"/>
  <c r="AB614" i="4"/>
  <c r="AA614" i="4"/>
  <c r="Z614" i="4"/>
  <c r="Y614" i="4"/>
  <c r="X614" i="4"/>
  <c r="V614" i="4"/>
  <c r="U614" i="4"/>
  <c r="T614" i="4"/>
  <c r="S614" i="4"/>
  <c r="R614" i="4"/>
  <c r="Q614" i="4"/>
  <c r="P614" i="4"/>
  <c r="O614" i="4"/>
  <c r="N614" i="4"/>
  <c r="M614" i="4"/>
  <c r="L614" i="4"/>
  <c r="K614" i="4"/>
  <c r="J614" i="4"/>
  <c r="I614" i="4"/>
  <c r="H614" i="4"/>
  <c r="G614" i="4"/>
  <c r="F614" i="4"/>
  <c r="E614" i="4"/>
  <c r="D614" i="4"/>
  <c r="C614" i="4"/>
  <c r="B614" i="4"/>
  <c r="A614" i="4"/>
  <c r="CJ613" i="4"/>
  <c r="CI613" i="4"/>
  <c r="CH613" i="4"/>
  <c r="CG613" i="4"/>
  <c r="CF613" i="4"/>
  <c r="CE613" i="4"/>
  <c r="CD613" i="4"/>
  <c r="CC613" i="4"/>
  <c r="CB613" i="4"/>
  <c r="CA613" i="4"/>
  <c r="BZ613" i="4"/>
  <c r="BY613" i="4"/>
  <c r="BX613" i="4"/>
  <c r="BV613" i="4"/>
  <c r="BS613" i="4"/>
  <c r="BQ613" i="4"/>
  <c r="BP613" i="4"/>
  <c r="BO613" i="4"/>
  <c r="BN613" i="4"/>
  <c r="BM613" i="4"/>
  <c r="BL613" i="4"/>
  <c r="BK613" i="4"/>
  <c r="BJ613" i="4"/>
  <c r="BI613" i="4"/>
  <c r="BH613" i="4"/>
  <c r="BG613" i="4"/>
  <c r="BF613" i="4"/>
  <c r="BE613" i="4"/>
  <c r="BD613" i="4"/>
  <c r="BC613" i="4"/>
  <c r="BB613" i="4"/>
  <c r="BA613" i="4"/>
  <c r="AZ613" i="4"/>
  <c r="AY613" i="4"/>
  <c r="AX613" i="4"/>
  <c r="AW613" i="4"/>
  <c r="AV613" i="4"/>
  <c r="AU613" i="4"/>
  <c r="AT613" i="4"/>
  <c r="AS613" i="4"/>
  <c r="AR613" i="4"/>
  <c r="AQ613" i="4"/>
  <c r="AP613" i="4"/>
  <c r="AO613" i="4"/>
  <c r="AN613" i="4"/>
  <c r="AM613" i="4"/>
  <c r="AL613" i="4"/>
  <c r="AK613" i="4"/>
  <c r="AJ613" i="4"/>
  <c r="AI613" i="4"/>
  <c r="AH613" i="4"/>
  <c r="AG613" i="4"/>
  <c r="AF613" i="4"/>
  <c r="AE613" i="4"/>
  <c r="AD613" i="4"/>
  <c r="AC613" i="4"/>
  <c r="AB613" i="4"/>
  <c r="AA613" i="4"/>
  <c r="Z613" i="4"/>
  <c r="Y613" i="4"/>
  <c r="X613" i="4"/>
  <c r="V613" i="4"/>
  <c r="U613" i="4"/>
  <c r="T613" i="4"/>
  <c r="S613" i="4"/>
  <c r="R613" i="4"/>
  <c r="Q613" i="4"/>
  <c r="P613" i="4"/>
  <c r="O613" i="4"/>
  <c r="N613" i="4"/>
  <c r="M613" i="4"/>
  <c r="L613" i="4"/>
  <c r="K613" i="4"/>
  <c r="J613" i="4"/>
  <c r="I613" i="4"/>
  <c r="H613" i="4"/>
  <c r="G613" i="4"/>
  <c r="F613" i="4"/>
  <c r="E613" i="4"/>
  <c r="D613" i="4"/>
  <c r="C613" i="4"/>
  <c r="B613" i="4"/>
  <c r="A613" i="4"/>
  <c r="CJ612" i="4"/>
  <c r="CI612" i="4"/>
  <c r="CH612" i="4"/>
  <c r="CG612" i="4"/>
  <c r="CF612" i="4"/>
  <c r="CE612" i="4"/>
  <c r="CD612" i="4"/>
  <c r="CC612" i="4"/>
  <c r="CB612" i="4"/>
  <c r="CA612" i="4"/>
  <c r="BZ612" i="4"/>
  <c r="BY612" i="4"/>
  <c r="BX612" i="4"/>
  <c r="BV612" i="4"/>
  <c r="BS612" i="4"/>
  <c r="BQ612" i="4"/>
  <c r="BP612" i="4"/>
  <c r="BO612" i="4"/>
  <c r="BN612" i="4"/>
  <c r="BM612" i="4"/>
  <c r="BL612" i="4"/>
  <c r="BK612" i="4"/>
  <c r="BJ612" i="4"/>
  <c r="BI612" i="4"/>
  <c r="BH612" i="4"/>
  <c r="BG612" i="4"/>
  <c r="BF612" i="4"/>
  <c r="BE612" i="4"/>
  <c r="BD612" i="4"/>
  <c r="BC612" i="4"/>
  <c r="BB612" i="4"/>
  <c r="BA612" i="4"/>
  <c r="AZ612" i="4"/>
  <c r="AY612" i="4"/>
  <c r="AX612" i="4"/>
  <c r="AW612" i="4"/>
  <c r="AV612" i="4"/>
  <c r="AU612" i="4"/>
  <c r="AT612" i="4"/>
  <c r="AS612" i="4"/>
  <c r="AR612" i="4"/>
  <c r="AQ612" i="4"/>
  <c r="AP612" i="4"/>
  <c r="AO612" i="4"/>
  <c r="AN612" i="4"/>
  <c r="AM612" i="4"/>
  <c r="AL612" i="4"/>
  <c r="AK612" i="4"/>
  <c r="AJ612" i="4"/>
  <c r="AI612" i="4"/>
  <c r="AH612" i="4"/>
  <c r="AG612" i="4"/>
  <c r="AF612" i="4"/>
  <c r="AE612" i="4"/>
  <c r="AD612" i="4"/>
  <c r="AC612" i="4"/>
  <c r="AB612" i="4"/>
  <c r="AA612" i="4"/>
  <c r="Z612" i="4"/>
  <c r="Y612" i="4"/>
  <c r="X612" i="4"/>
  <c r="V612" i="4"/>
  <c r="U612" i="4"/>
  <c r="T612" i="4"/>
  <c r="S612" i="4"/>
  <c r="R612" i="4"/>
  <c r="Q612" i="4"/>
  <c r="P612" i="4"/>
  <c r="O612" i="4"/>
  <c r="N612" i="4"/>
  <c r="M612" i="4"/>
  <c r="L612" i="4"/>
  <c r="K612" i="4"/>
  <c r="J612" i="4"/>
  <c r="I612" i="4"/>
  <c r="H612" i="4"/>
  <c r="G612" i="4"/>
  <c r="F612" i="4"/>
  <c r="E612" i="4"/>
  <c r="D612" i="4"/>
  <c r="C612" i="4"/>
  <c r="B612" i="4"/>
  <c r="A612" i="4"/>
  <c r="CJ611" i="4"/>
  <c r="CI611" i="4"/>
  <c r="CH611" i="4"/>
  <c r="CG611" i="4"/>
  <c r="CF611" i="4"/>
  <c r="CE611" i="4"/>
  <c r="CD611" i="4"/>
  <c r="CC611" i="4"/>
  <c r="CB611" i="4"/>
  <c r="CA611" i="4"/>
  <c r="BZ611" i="4"/>
  <c r="BY611" i="4"/>
  <c r="BX611" i="4"/>
  <c r="BV611" i="4"/>
  <c r="BS611" i="4"/>
  <c r="BQ611" i="4"/>
  <c r="BP611" i="4"/>
  <c r="BO611" i="4"/>
  <c r="BN611" i="4"/>
  <c r="BM611" i="4"/>
  <c r="BL611" i="4"/>
  <c r="BK611" i="4"/>
  <c r="BJ611" i="4"/>
  <c r="BI611" i="4"/>
  <c r="BH611" i="4"/>
  <c r="BG611" i="4"/>
  <c r="BF611" i="4"/>
  <c r="BE611" i="4"/>
  <c r="BD611" i="4"/>
  <c r="BC611" i="4"/>
  <c r="BB611" i="4"/>
  <c r="BA611" i="4"/>
  <c r="AZ611" i="4"/>
  <c r="AY611" i="4"/>
  <c r="AX611" i="4"/>
  <c r="AW611" i="4"/>
  <c r="AV611" i="4"/>
  <c r="AU611" i="4"/>
  <c r="AT611" i="4"/>
  <c r="AS611" i="4"/>
  <c r="AR611" i="4"/>
  <c r="AQ611" i="4"/>
  <c r="AP611" i="4"/>
  <c r="AO611" i="4"/>
  <c r="AN611" i="4"/>
  <c r="AM611" i="4"/>
  <c r="AL611" i="4"/>
  <c r="AK611" i="4"/>
  <c r="AJ611" i="4"/>
  <c r="AI611" i="4"/>
  <c r="AH611" i="4"/>
  <c r="AG611" i="4"/>
  <c r="AF611" i="4"/>
  <c r="AE611" i="4"/>
  <c r="AD611" i="4"/>
  <c r="AC611" i="4"/>
  <c r="AB611" i="4"/>
  <c r="AA611" i="4"/>
  <c r="Z611" i="4"/>
  <c r="Y611" i="4"/>
  <c r="X611" i="4"/>
  <c r="V611" i="4"/>
  <c r="U611" i="4"/>
  <c r="T611" i="4"/>
  <c r="S611" i="4"/>
  <c r="R611" i="4"/>
  <c r="Q611" i="4"/>
  <c r="P611" i="4"/>
  <c r="O611" i="4"/>
  <c r="N611" i="4"/>
  <c r="M611" i="4"/>
  <c r="L611" i="4"/>
  <c r="K611" i="4"/>
  <c r="J611" i="4"/>
  <c r="I611" i="4"/>
  <c r="H611" i="4"/>
  <c r="G611" i="4"/>
  <c r="F611" i="4"/>
  <c r="E611" i="4"/>
  <c r="D611" i="4"/>
  <c r="C611" i="4"/>
  <c r="B611" i="4"/>
  <c r="A611" i="4"/>
  <c r="CJ610" i="4"/>
  <c r="CI610" i="4"/>
  <c r="CH610" i="4"/>
  <c r="CG610" i="4"/>
  <c r="CF610" i="4"/>
  <c r="CE610" i="4"/>
  <c r="CD610" i="4"/>
  <c r="CC610" i="4"/>
  <c r="CB610" i="4"/>
  <c r="CA610" i="4"/>
  <c r="BZ610" i="4"/>
  <c r="BY610" i="4"/>
  <c r="BX610" i="4"/>
  <c r="BV610" i="4"/>
  <c r="BS610" i="4"/>
  <c r="BQ610" i="4"/>
  <c r="BP610" i="4"/>
  <c r="BO610" i="4"/>
  <c r="BN610" i="4"/>
  <c r="BM610" i="4"/>
  <c r="BL610" i="4"/>
  <c r="BK610" i="4"/>
  <c r="BJ610" i="4"/>
  <c r="BI610" i="4"/>
  <c r="BH610" i="4"/>
  <c r="BG610" i="4"/>
  <c r="BF610" i="4"/>
  <c r="BE610" i="4"/>
  <c r="BD610" i="4"/>
  <c r="BC610" i="4"/>
  <c r="BB610" i="4"/>
  <c r="BA610" i="4"/>
  <c r="AZ610" i="4"/>
  <c r="AY610" i="4"/>
  <c r="AX610" i="4"/>
  <c r="AW610" i="4"/>
  <c r="AV610" i="4"/>
  <c r="AU610" i="4"/>
  <c r="AT610" i="4"/>
  <c r="AS610" i="4"/>
  <c r="AR610" i="4"/>
  <c r="AQ610" i="4"/>
  <c r="AP610" i="4"/>
  <c r="AO610" i="4"/>
  <c r="AN610" i="4"/>
  <c r="AM610" i="4"/>
  <c r="AL610" i="4"/>
  <c r="AK610" i="4"/>
  <c r="AJ610" i="4"/>
  <c r="AI610" i="4"/>
  <c r="AH610" i="4"/>
  <c r="AG610" i="4"/>
  <c r="AF610" i="4"/>
  <c r="AE610" i="4"/>
  <c r="AD610" i="4"/>
  <c r="AC610" i="4"/>
  <c r="AB610" i="4"/>
  <c r="AA610" i="4"/>
  <c r="Z610" i="4"/>
  <c r="Y610" i="4"/>
  <c r="X610" i="4"/>
  <c r="V610" i="4"/>
  <c r="U610" i="4"/>
  <c r="T610" i="4"/>
  <c r="S610" i="4"/>
  <c r="R610" i="4"/>
  <c r="Q610" i="4"/>
  <c r="P610" i="4"/>
  <c r="O610" i="4"/>
  <c r="N610" i="4"/>
  <c r="M610" i="4"/>
  <c r="L610" i="4"/>
  <c r="K610" i="4"/>
  <c r="J610" i="4"/>
  <c r="I610" i="4"/>
  <c r="H610" i="4"/>
  <c r="G610" i="4"/>
  <c r="F610" i="4"/>
  <c r="E610" i="4"/>
  <c r="D610" i="4"/>
  <c r="C610" i="4"/>
  <c r="B610" i="4"/>
  <c r="A610" i="4"/>
  <c r="CJ609" i="4"/>
  <c r="CI609" i="4"/>
  <c r="CH609" i="4"/>
  <c r="CG609" i="4"/>
  <c r="CF609" i="4"/>
  <c r="CE609" i="4"/>
  <c r="CD609" i="4"/>
  <c r="CC609" i="4"/>
  <c r="CB609" i="4"/>
  <c r="CA609" i="4"/>
  <c r="BZ609" i="4"/>
  <c r="BY609" i="4"/>
  <c r="BX609" i="4"/>
  <c r="BV609" i="4"/>
  <c r="BS609" i="4"/>
  <c r="BQ609" i="4"/>
  <c r="BP609" i="4"/>
  <c r="BO609" i="4"/>
  <c r="BN609" i="4"/>
  <c r="BM609" i="4"/>
  <c r="BL609" i="4"/>
  <c r="BK609" i="4"/>
  <c r="BJ609" i="4"/>
  <c r="BI609" i="4"/>
  <c r="BH609" i="4"/>
  <c r="BG609" i="4"/>
  <c r="BF609" i="4"/>
  <c r="BE609" i="4"/>
  <c r="BD609" i="4"/>
  <c r="BC609" i="4"/>
  <c r="BB609" i="4"/>
  <c r="BA609" i="4"/>
  <c r="AZ609" i="4"/>
  <c r="AY609" i="4"/>
  <c r="AX609" i="4"/>
  <c r="AW609" i="4"/>
  <c r="AV609" i="4"/>
  <c r="AU609" i="4"/>
  <c r="AT609" i="4"/>
  <c r="AS609" i="4"/>
  <c r="AR609" i="4"/>
  <c r="AQ609" i="4"/>
  <c r="AP609" i="4"/>
  <c r="AO609" i="4"/>
  <c r="AN609" i="4"/>
  <c r="AM609" i="4"/>
  <c r="AL609" i="4"/>
  <c r="AK609" i="4"/>
  <c r="AJ609" i="4"/>
  <c r="AI609" i="4"/>
  <c r="AH609" i="4"/>
  <c r="AG609" i="4"/>
  <c r="AF609" i="4"/>
  <c r="AE609" i="4"/>
  <c r="AD609" i="4"/>
  <c r="AC609" i="4"/>
  <c r="AB609" i="4"/>
  <c r="AA609" i="4"/>
  <c r="Z609" i="4"/>
  <c r="Y609" i="4"/>
  <c r="X609" i="4"/>
  <c r="V609" i="4"/>
  <c r="U609" i="4"/>
  <c r="T609" i="4"/>
  <c r="S609" i="4"/>
  <c r="R609" i="4"/>
  <c r="Q609" i="4"/>
  <c r="P609" i="4"/>
  <c r="O609" i="4"/>
  <c r="N609" i="4"/>
  <c r="M609" i="4"/>
  <c r="L609" i="4"/>
  <c r="K609" i="4"/>
  <c r="J609" i="4"/>
  <c r="I609" i="4"/>
  <c r="H609" i="4"/>
  <c r="G609" i="4"/>
  <c r="F609" i="4"/>
  <c r="E609" i="4"/>
  <c r="D609" i="4"/>
  <c r="C609" i="4"/>
  <c r="B609" i="4"/>
  <c r="A609" i="4"/>
  <c r="CJ608" i="4"/>
  <c r="CI608" i="4"/>
  <c r="CH608" i="4"/>
  <c r="CG608" i="4"/>
  <c r="CF608" i="4"/>
  <c r="CE608" i="4"/>
  <c r="CD608" i="4"/>
  <c r="CC608" i="4"/>
  <c r="CB608" i="4"/>
  <c r="CA608" i="4"/>
  <c r="BZ608" i="4"/>
  <c r="BY608" i="4"/>
  <c r="BX608" i="4"/>
  <c r="BV608" i="4"/>
  <c r="BS608" i="4"/>
  <c r="BQ608" i="4"/>
  <c r="BP608" i="4"/>
  <c r="BO608" i="4"/>
  <c r="BN608" i="4"/>
  <c r="BM608" i="4"/>
  <c r="BL608" i="4"/>
  <c r="BK608" i="4"/>
  <c r="BJ608" i="4"/>
  <c r="BI608" i="4"/>
  <c r="BH608" i="4"/>
  <c r="BG608" i="4"/>
  <c r="BF608" i="4"/>
  <c r="BE608" i="4"/>
  <c r="BD608" i="4"/>
  <c r="BC608" i="4"/>
  <c r="BB608" i="4"/>
  <c r="BA608" i="4"/>
  <c r="AZ608" i="4"/>
  <c r="AY608" i="4"/>
  <c r="AX608" i="4"/>
  <c r="AW608" i="4"/>
  <c r="AV608" i="4"/>
  <c r="AU608" i="4"/>
  <c r="AT608" i="4"/>
  <c r="AS608" i="4"/>
  <c r="AR608" i="4"/>
  <c r="AQ608" i="4"/>
  <c r="AP608" i="4"/>
  <c r="AO608" i="4"/>
  <c r="AN608" i="4"/>
  <c r="AM608" i="4"/>
  <c r="AL608" i="4"/>
  <c r="AK608" i="4"/>
  <c r="AJ608" i="4"/>
  <c r="AI608" i="4"/>
  <c r="AH608" i="4"/>
  <c r="AG608" i="4"/>
  <c r="AF608" i="4"/>
  <c r="AE608" i="4"/>
  <c r="AD608" i="4"/>
  <c r="AC608" i="4"/>
  <c r="AB608" i="4"/>
  <c r="AA608" i="4"/>
  <c r="Z608" i="4"/>
  <c r="Y608" i="4"/>
  <c r="X608" i="4"/>
  <c r="V608" i="4"/>
  <c r="U608" i="4"/>
  <c r="T608" i="4"/>
  <c r="S608" i="4"/>
  <c r="R608" i="4"/>
  <c r="Q608" i="4"/>
  <c r="P608" i="4"/>
  <c r="O608" i="4"/>
  <c r="N608" i="4"/>
  <c r="M608" i="4"/>
  <c r="L608" i="4"/>
  <c r="K608" i="4"/>
  <c r="J608" i="4"/>
  <c r="I608" i="4"/>
  <c r="H608" i="4"/>
  <c r="G608" i="4"/>
  <c r="F608" i="4"/>
  <c r="E608" i="4"/>
  <c r="D608" i="4"/>
  <c r="C608" i="4"/>
  <c r="B608" i="4"/>
  <c r="A608" i="4"/>
  <c r="CJ607" i="4"/>
  <c r="CI607" i="4"/>
  <c r="CH607" i="4"/>
  <c r="CG607" i="4"/>
  <c r="CF607" i="4"/>
  <c r="CE607" i="4"/>
  <c r="CD607" i="4"/>
  <c r="CC607" i="4"/>
  <c r="CB607" i="4"/>
  <c r="CA607" i="4"/>
  <c r="BZ607" i="4"/>
  <c r="BY607" i="4"/>
  <c r="BX607" i="4"/>
  <c r="BV607" i="4"/>
  <c r="BS607" i="4"/>
  <c r="BQ607" i="4"/>
  <c r="BP607" i="4"/>
  <c r="BO607" i="4"/>
  <c r="BN607" i="4"/>
  <c r="BM607" i="4"/>
  <c r="BL607" i="4"/>
  <c r="BK607" i="4"/>
  <c r="BJ607" i="4"/>
  <c r="BI607" i="4"/>
  <c r="BH607" i="4"/>
  <c r="BG607" i="4"/>
  <c r="BF607" i="4"/>
  <c r="BE607" i="4"/>
  <c r="BD607" i="4"/>
  <c r="BC607" i="4"/>
  <c r="BB607" i="4"/>
  <c r="BA607" i="4"/>
  <c r="AZ607" i="4"/>
  <c r="AY607" i="4"/>
  <c r="AX607" i="4"/>
  <c r="AW607" i="4"/>
  <c r="AV607" i="4"/>
  <c r="AU607" i="4"/>
  <c r="AT607" i="4"/>
  <c r="AS607" i="4"/>
  <c r="AR607" i="4"/>
  <c r="AQ607" i="4"/>
  <c r="AP607" i="4"/>
  <c r="AO607" i="4"/>
  <c r="AN607" i="4"/>
  <c r="AM607" i="4"/>
  <c r="AL607" i="4"/>
  <c r="AK607" i="4"/>
  <c r="AJ607" i="4"/>
  <c r="AI607" i="4"/>
  <c r="AH607" i="4"/>
  <c r="AG607" i="4"/>
  <c r="AF607" i="4"/>
  <c r="AE607" i="4"/>
  <c r="AD607" i="4"/>
  <c r="AC607" i="4"/>
  <c r="AB607" i="4"/>
  <c r="AA607" i="4"/>
  <c r="Z607" i="4"/>
  <c r="Y607" i="4"/>
  <c r="X607" i="4"/>
  <c r="V607" i="4"/>
  <c r="U607" i="4"/>
  <c r="T607" i="4"/>
  <c r="S607" i="4"/>
  <c r="R607" i="4"/>
  <c r="Q607" i="4"/>
  <c r="P607" i="4"/>
  <c r="O607" i="4"/>
  <c r="N607" i="4"/>
  <c r="M607" i="4"/>
  <c r="L607" i="4"/>
  <c r="K607" i="4"/>
  <c r="J607" i="4"/>
  <c r="I607" i="4"/>
  <c r="H607" i="4"/>
  <c r="G607" i="4"/>
  <c r="F607" i="4"/>
  <c r="E607" i="4"/>
  <c r="D607" i="4"/>
  <c r="C607" i="4"/>
  <c r="B607" i="4"/>
  <c r="A607" i="4"/>
  <c r="CJ606" i="4"/>
  <c r="CI606" i="4"/>
  <c r="CH606" i="4"/>
  <c r="CG606" i="4"/>
  <c r="CF606" i="4"/>
  <c r="CE606" i="4"/>
  <c r="CD606" i="4"/>
  <c r="CC606" i="4"/>
  <c r="CB606" i="4"/>
  <c r="CA606" i="4"/>
  <c r="BZ606" i="4"/>
  <c r="BY606" i="4"/>
  <c r="BX606" i="4"/>
  <c r="BV606" i="4"/>
  <c r="BS606" i="4"/>
  <c r="BQ606" i="4"/>
  <c r="BP606" i="4"/>
  <c r="BO606" i="4"/>
  <c r="BN606" i="4"/>
  <c r="BM606" i="4"/>
  <c r="BL606" i="4"/>
  <c r="BK606" i="4"/>
  <c r="BJ606" i="4"/>
  <c r="BI606" i="4"/>
  <c r="BH606" i="4"/>
  <c r="BG606" i="4"/>
  <c r="BF606" i="4"/>
  <c r="BE606" i="4"/>
  <c r="BD606" i="4"/>
  <c r="BC606" i="4"/>
  <c r="BB606" i="4"/>
  <c r="BA606" i="4"/>
  <c r="AZ606" i="4"/>
  <c r="AY606" i="4"/>
  <c r="AX606" i="4"/>
  <c r="AW606" i="4"/>
  <c r="AV606" i="4"/>
  <c r="AU606" i="4"/>
  <c r="AT606" i="4"/>
  <c r="AS606" i="4"/>
  <c r="AR606" i="4"/>
  <c r="AQ606" i="4"/>
  <c r="AP606" i="4"/>
  <c r="AO606" i="4"/>
  <c r="AN606" i="4"/>
  <c r="AM606" i="4"/>
  <c r="AL606" i="4"/>
  <c r="AK606" i="4"/>
  <c r="AJ606" i="4"/>
  <c r="AI606" i="4"/>
  <c r="AH606" i="4"/>
  <c r="AG606" i="4"/>
  <c r="AF606" i="4"/>
  <c r="AE606" i="4"/>
  <c r="AD606" i="4"/>
  <c r="AC606" i="4"/>
  <c r="AB606" i="4"/>
  <c r="AA606" i="4"/>
  <c r="Z606" i="4"/>
  <c r="Y606" i="4"/>
  <c r="X606" i="4"/>
  <c r="V606" i="4"/>
  <c r="U606" i="4"/>
  <c r="T606" i="4"/>
  <c r="S606" i="4"/>
  <c r="R606" i="4"/>
  <c r="Q606" i="4"/>
  <c r="P606" i="4"/>
  <c r="O606" i="4"/>
  <c r="N606" i="4"/>
  <c r="M606" i="4"/>
  <c r="L606" i="4"/>
  <c r="K606" i="4"/>
  <c r="J606" i="4"/>
  <c r="I606" i="4"/>
  <c r="H606" i="4"/>
  <c r="G606" i="4"/>
  <c r="F606" i="4"/>
  <c r="E606" i="4"/>
  <c r="D606" i="4"/>
  <c r="C606" i="4"/>
  <c r="B606" i="4"/>
  <c r="A606" i="4"/>
  <c r="CJ605" i="4"/>
  <c r="CI605" i="4"/>
  <c r="CH605" i="4"/>
  <c r="CG605" i="4"/>
  <c r="CF605" i="4"/>
  <c r="CE605" i="4"/>
  <c r="CD605" i="4"/>
  <c r="CC605" i="4"/>
  <c r="CB605" i="4"/>
  <c r="CA605" i="4"/>
  <c r="BZ605" i="4"/>
  <c r="BY605" i="4"/>
  <c r="BX605" i="4"/>
  <c r="BV605" i="4"/>
  <c r="BS605" i="4"/>
  <c r="BQ605" i="4"/>
  <c r="BP605" i="4"/>
  <c r="BO605" i="4"/>
  <c r="BN605" i="4"/>
  <c r="BM605" i="4"/>
  <c r="BL605" i="4"/>
  <c r="BK605" i="4"/>
  <c r="BJ605" i="4"/>
  <c r="BI605" i="4"/>
  <c r="BH605" i="4"/>
  <c r="BG605" i="4"/>
  <c r="BF605" i="4"/>
  <c r="BE605" i="4"/>
  <c r="BD605" i="4"/>
  <c r="BC605" i="4"/>
  <c r="BB605" i="4"/>
  <c r="BA605" i="4"/>
  <c r="AZ605" i="4"/>
  <c r="AY605" i="4"/>
  <c r="AX605" i="4"/>
  <c r="AW605" i="4"/>
  <c r="AV605" i="4"/>
  <c r="AU605" i="4"/>
  <c r="AT605" i="4"/>
  <c r="AS605" i="4"/>
  <c r="AR605" i="4"/>
  <c r="AQ605" i="4"/>
  <c r="AP605" i="4"/>
  <c r="AO605" i="4"/>
  <c r="AN605" i="4"/>
  <c r="AM605" i="4"/>
  <c r="AL605" i="4"/>
  <c r="AK605" i="4"/>
  <c r="AJ605" i="4"/>
  <c r="AI605" i="4"/>
  <c r="AH605" i="4"/>
  <c r="AG605" i="4"/>
  <c r="AF605" i="4"/>
  <c r="AE605" i="4"/>
  <c r="AD605" i="4"/>
  <c r="AC605" i="4"/>
  <c r="AB605" i="4"/>
  <c r="AA605" i="4"/>
  <c r="Z605" i="4"/>
  <c r="Y605" i="4"/>
  <c r="X605" i="4"/>
  <c r="V605" i="4"/>
  <c r="U605" i="4"/>
  <c r="T605" i="4"/>
  <c r="S605" i="4"/>
  <c r="R605" i="4"/>
  <c r="Q605" i="4"/>
  <c r="P605" i="4"/>
  <c r="O605" i="4"/>
  <c r="N605" i="4"/>
  <c r="M605" i="4"/>
  <c r="L605" i="4"/>
  <c r="K605" i="4"/>
  <c r="J605" i="4"/>
  <c r="I605" i="4"/>
  <c r="H605" i="4"/>
  <c r="G605" i="4"/>
  <c r="F605" i="4"/>
  <c r="E605" i="4"/>
  <c r="D605" i="4"/>
  <c r="C605" i="4"/>
  <c r="B605" i="4"/>
  <c r="A605" i="4"/>
  <c r="CJ604" i="4"/>
  <c r="CI604" i="4"/>
  <c r="CH604" i="4"/>
  <c r="CG604" i="4"/>
  <c r="CF604" i="4"/>
  <c r="CE604" i="4"/>
  <c r="CD604" i="4"/>
  <c r="CC604" i="4"/>
  <c r="CB604" i="4"/>
  <c r="CA604" i="4"/>
  <c r="BZ604" i="4"/>
  <c r="BY604" i="4"/>
  <c r="BX604" i="4"/>
  <c r="BV604" i="4"/>
  <c r="BS604" i="4"/>
  <c r="BQ604" i="4"/>
  <c r="BP604" i="4"/>
  <c r="BO604" i="4"/>
  <c r="BN604" i="4"/>
  <c r="BM604" i="4"/>
  <c r="BL604" i="4"/>
  <c r="BK604" i="4"/>
  <c r="BJ604" i="4"/>
  <c r="BI604" i="4"/>
  <c r="BH604" i="4"/>
  <c r="BG604" i="4"/>
  <c r="BF604" i="4"/>
  <c r="BE604" i="4"/>
  <c r="BD604" i="4"/>
  <c r="BC604" i="4"/>
  <c r="BB604" i="4"/>
  <c r="BA604" i="4"/>
  <c r="AZ604" i="4"/>
  <c r="AY604" i="4"/>
  <c r="AX604" i="4"/>
  <c r="AW604" i="4"/>
  <c r="AV604" i="4"/>
  <c r="AU604" i="4"/>
  <c r="AT604" i="4"/>
  <c r="AS604" i="4"/>
  <c r="AR604" i="4"/>
  <c r="AQ604" i="4"/>
  <c r="AP604" i="4"/>
  <c r="AO604" i="4"/>
  <c r="AN604" i="4"/>
  <c r="AM604" i="4"/>
  <c r="AL604" i="4"/>
  <c r="AK604" i="4"/>
  <c r="AJ604" i="4"/>
  <c r="AI604" i="4"/>
  <c r="AH604" i="4"/>
  <c r="AG604" i="4"/>
  <c r="AF604" i="4"/>
  <c r="AE604" i="4"/>
  <c r="AD604" i="4"/>
  <c r="AC604" i="4"/>
  <c r="AB604" i="4"/>
  <c r="AA604" i="4"/>
  <c r="Z604" i="4"/>
  <c r="Y604" i="4"/>
  <c r="X604" i="4"/>
  <c r="V604" i="4"/>
  <c r="U604" i="4"/>
  <c r="T604" i="4"/>
  <c r="S604" i="4"/>
  <c r="R604" i="4"/>
  <c r="Q604" i="4"/>
  <c r="P604" i="4"/>
  <c r="O604" i="4"/>
  <c r="N604" i="4"/>
  <c r="M604" i="4"/>
  <c r="L604" i="4"/>
  <c r="K604" i="4"/>
  <c r="J604" i="4"/>
  <c r="I604" i="4"/>
  <c r="H604" i="4"/>
  <c r="G604" i="4"/>
  <c r="F604" i="4"/>
  <c r="E604" i="4"/>
  <c r="D604" i="4"/>
  <c r="C604" i="4"/>
  <c r="B604" i="4"/>
  <c r="A604" i="4"/>
  <c r="CJ603" i="4"/>
  <c r="CI603" i="4"/>
  <c r="CH603" i="4"/>
  <c r="CG603" i="4"/>
  <c r="CF603" i="4"/>
  <c r="CE603" i="4"/>
  <c r="CD603" i="4"/>
  <c r="CC603" i="4"/>
  <c r="CB603" i="4"/>
  <c r="CA603" i="4"/>
  <c r="BZ603" i="4"/>
  <c r="BY603" i="4"/>
  <c r="BX603" i="4"/>
  <c r="BV603" i="4"/>
  <c r="BS603" i="4"/>
  <c r="BQ603" i="4"/>
  <c r="BP603" i="4"/>
  <c r="BO603" i="4"/>
  <c r="BN603" i="4"/>
  <c r="BM603" i="4"/>
  <c r="BL603" i="4"/>
  <c r="BK603" i="4"/>
  <c r="BJ603" i="4"/>
  <c r="BI603" i="4"/>
  <c r="BH603" i="4"/>
  <c r="BG603" i="4"/>
  <c r="BF603" i="4"/>
  <c r="BE603" i="4"/>
  <c r="BD603" i="4"/>
  <c r="BC603" i="4"/>
  <c r="BB603" i="4"/>
  <c r="BA603" i="4"/>
  <c r="AZ603" i="4"/>
  <c r="AY603" i="4"/>
  <c r="AX603" i="4"/>
  <c r="AW603" i="4"/>
  <c r="AV603" i="4"/>
  <c r="AU603" i="4"/>
  <c r="AT603" i="4"/>
  <c r="AS603" i="4"/>
  <c r="AR603" i="4"/>
  <c r="AQ603" i="4"/>
  <c r="AP603" i="4"/>
  <c r="AO603" i="4"/>
  <c r="AN603" i="4"/>
  <c r="AM603" i="4"/>
  <c r="AL603" i="4"/>
  <c r="AK603" i="4"/>
  <c r="AJ603" i="4"/>
  <c r="AI603" i="4"/>
  <c r="AH603" i="4"/>
  <c r="AG603" i="4"/>
  <c r="AF603" i="4"/>
  <c r="AE603" i="4"/>
  <c r="AD603" i="4"/>
  <c r="AC603" i="4"/>
  <c r="AB603" i="4"/>
  <c r="AA603" i="4"/>
  <c r="Z603" i="4"/>
  <c r="Y603" i="4"/>
  <c r="X603" i="4"/>
  <c r="V603" i="4"/>
  <c r="U603" i="4"/>
  <c r="T603" i="4"/>
  <c r="S603" i="4"/>
  <c r="R603" i="4"/>
  <c r="Q603" i="4"/>
  <c r="P603" i="4"/>
  <c r="O603" i="4"/>
  <c r="N603" i="4"/>
  <c r="M603" i="4"/>
  <c r="L603" i="4"/>
  <c r="K603" i="4"/>
  <c r="J603" i="4"/>
  <c r="I603" i="4"/>
  <c r="H603" i="4"/>
  <c r="G603" i="4"/>
  <c r="F603" i="4"/>
  <c r="E603" i="4"/>
  <c r="D603" i="4"/>
  <c r="C603" i="4"/>
  <c r="B603" i="4"/>
  <c r="A603" i="4"/>
  <c r="CJ602" i="4"/>
  <c r="CI602" i="4"/>
  <c r="CH602" i="4"/>
  <c r="CG602" i="4"/>
  <c r="CF602" i="4"/>
  <c r="CE602" i="4"/>
  <c r="CD602" i="4"/>
  <c r="CC602" i="4"/>
  <c r="CB602" i="4"/>
  <c r="CA602" i="4"/>
  <c r="BZ602" i="4"/>
  <c r="BY602" i="4"/>
  <c r="BX602" i="4"/>
  <c r="BV602" i="4"/>
  <c r="BS602" i="4"/>
  <c r="BQ602" i="4"/>
  <c r="BP602" i="4"/>
  <c r="BO602" i="4"/>
  <c r="BN602" i="4"/>
  <c r="BM602" i="4"/>
  <c r="BL602" i="4"/>
  <c r="BK602" i="4"/>
  <c r="BJ602" i="4"/>
  <c r="BI602" i="4"/>
  <c r="BH602" i="4"/>
  <c r="BG602" i="4"/>
  <c r="BF602" i="4"/>
  <c r="BE602" i="4"/>
  <c r="BD602" i="4"/>
  <c r="BC602" i="4"/>
  <c r="BB602" i="4"/>
  <c r="BA602" i="4"/>
  <c r="AZ602" i="4"/>
  <c r="AY602" i="4"/>
  <c r="AX602" i="4"/>
  <c r="AW602" i="4"/>
  <c r="AV602" i="4"/>
  <c r="AU602" i="4"/>
  <c r="AT602" i="4"/>
  <c r="AS602" i="4"/>
  <c r="AR602" i="4"/>
  <c r="AQ602" i="4"/>
  <c r="AP602" i="4"/>
  <c r="AO602" i="4"/>
  <c r="AN602" i="4"/>
  <c r="AM602" i="4"/>
  <c r="AL602" i="4"/>
  <c r="AK602" i="4"/>
  <c r="AJ602" i="4"/>
  <c r="AI602" i="4"/>
  <c r="AH602" i="4"/>
  <c r="AG602" i="4"/>
  <c r="AF602" i="4"/>
  <c r="AE602" i="4"/>
  <c r="AD602" i="4"/>
  <c r="AC602" i="4"/>
  <c r="AB602" i="4"/>
  <c r="AA602" i="4"/>
  <c r="Z602" i="4"/>
  <c r="Y602" i="4"/>
  <c r="X602" i="4"/>
  <c r="V602" i="4"/>
  <c r="U602" i="4"/>
  <c r="T602" i="4"/>
  <c r="S602" i="4"/>
  <c r="R602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A602" i="4"/>
  <c r="CJ601" i="4"/>
  <c r="CI601" i="4"/>
  <c r="CH601" i="4"/>
  <c r="CG601" i="4"/>
  <c r="CF601" i="4"/>
  <c r="CE601" i="4"/>
  <c r="CD601" i="4"/>
  <c r="CC601" i="4"/>
  <c r="CB601" i="4"/>
  <c r="CA601" i="4"/>
  <c r="BZ601" i="4"/>
  <c r="BY601" i="4"/>
  <c r="BX601" i="4"/>
  <c r="BV601" i="4"/>
  <c r="BS601" i="4"/>
  <c r="BQ601" i="4"/>
  <c r="BP601" i="4"/>
  <c r="BO601" i="4"/>
  <c r="BN601" i="4"/>
  <c r="BM601" i="4"/>
  <c r="BL601" i="4"/>
  <c r="BK601" i="4"/>
  <c r="BJ601" i="4"/>
  <c r="BI601" i="4"/>
  <c r="BH601" i="4"/>
  <c r="BG601" i="4"/>
  <c r="BF601" i="4"/>
  <c r="BE601" i="4"/>
  <c r="BD601" i="4"/>
  <c r="BC601" i="4"/>
  <c r="BB601" i="4"/>
  <c r="BA601" i="4"/>
  <c r="AZ601" i="4"/>
  <c r="AY601" i="4"/>
  <c r="AX601" i="4"/>
  <c r="AW601" i="4"/>
  <c r="AV601" i="4"/>
  <c r="AU601" i="4"/>
  <c r="AT601" i="4"/>
  <c r="AS601" i="4"/>
  <c r="AR601" i="4"/>
  <c r="AQ601" i="4"/>
  <c r="AP601" i="4"/>
  <c r="AO601" i="4"/>
  <c r="AN601" i="4"/>
  <c r="AM601" i="4"/>
  <c r="AL601" i="4"/>
  <c r="AK601" i="4"/>
  <c r="AJ601" i="4"/>
  <c r="AI601" i="4"/>
  <c r="AH601" i="4"/>
  <c r="AG601" i="4"/>
  <c r="AF601" i="4"/>
  <c r="AE601" i="4"/>
  <c r="AD601" i="4"/>
  <c r="AC601" i="4"/>
  <c r="AB601" i="4"/>
  <c r="AA601" i="4"/>
  <c r="Z601" i="4"/>
  <c r="Y601" i="4"/>
  <c r="X601" i="4"/>
  <c r="V601" i="4"/>
  <c r="U601" i="4"/>
  <c r="T601" i="4"/>
  <c r="S601" i="4"/>
  <c r="R601" i="4"/>
  <c r="Q601" i="4"/>
  <c r="P601" i="4"/>
  <c r="O601" i="4"/>
  <c r="N601" i="4"/>
  <c r="M601" i="4"/>
  <c r="L601" i="4"/>
  <c r="K601" i="4"/>
  <c r="J601" i="4"/>
  <c r="I601" i="4"/>
  <c r="H601" i="4"/>
  <c r="G601" i="4"/>
  <c r="F601" i="4"/>
  <c r="E601" i="4"/>
  <c r="D601" i="4"/>
  <c r="C601" i="4"/>
  <c r="B601" i="4"/>
  <c r="A601" i="4"/>
  <c r="CJ600" i="4"/>
  <c r="CI600" i="4"/>
  <c r="CH600" i="4"/>
  <c r="CG600" i="4"/>
  <c r="CF600" i="4"/>
  <c r="CE600" i="4"/>
  <c r="CD600" i="4"/>
  <c r="CC600" i="4"/>
  <c r="CB600" i="4"/>
  <c r="CA600" i="4"/>
  <c r="BZ600" i="4"/>
  <c r="BY600" i="4"/>
  <c r="BX600" i="4"/>
  <c r="BV600" i="4"/>
  <c r="BS600" i="4"/>
  <c r="BQ600" i="4"/>
  <c r="BP600" i="4"/>
  <c r="BO600" i="4"/>
  <c r="BN600" i="4"/>
  <c r="BM600" i="4"/>
  <c r="BL600" i="4"/>
  <c r="BK600" i="4"/>
  <c r="BJ600" i="4"/>
  <c r="BI600" i="4"/>
  <c r="BH600" i="4"/>
  <c r="BG600" i="4"/>
  <c r="BF600" i="4"/>
  <c r="BE600" i="4"/>
  <c r="BD600" i="4"/>
  <c r="BC600" i="4"/>
  <c r="BB600" i="4"/>
  <c r="BA600" i="4"/>
  <c r="AZ600" i="4"/>
  <c r="AY600" i="4"/>
  <c r="AX600" i="4"/>
  <c r="AW600" i="4"/>
  <c r="AV600" i="4"/>
  <c r="AU600" i="4"/>
  <c r="AT600" i="4"/>
  <c r="AS600" i="4"/>
  <c r="AR600" i="4"/>
  <c r="AQ600" i="4"/>
  <c r="AP600" i="4"/>
  <c r="AO600" i="4"/>
  <c r="AN600" i="4"/>
  <c r="AM600" i="4"/>
  <c r="AL600" i="4"/>
  <c r="AK600" i="4"/>
  <c r="AJ600" i="4"/>
  <c r="AI600" i="4"/>
  <c r="AH600" i="4"/>
  <c r="AG600" i="4"/>
  <c r="AF600" i="4"/>
  <c r="AE600" i="4"/>
  <c r="AD600" i="4"/>
  <c r="AC600" i="4"/>
  <c r="AB600" i="4"/>
  <c r="AA600" i="4"/>
  <c r="Z600" i="4"/>
  <c r="Y600" i="4"/>
  <c r="X600" i="4"/>
  <c r="V600" i="4"/>
  <c r="U600" i="4"/>
  <c r="T600" i="4"/>
  <c r="S600" i="4"/>
  <c r="R600" i="4"/>
  <c r="Q600" i="4"/>
  <c r="P600" i="4"/>
  <c r="O600" i="4"/>
  <c r="N600" i="4"/>
  <c r="M600" i="4"/>
  <c r="L600" i="4"/>
  <c r="K600" i="4"/>
  <c r="J600" i="4"/>
  <c r="I600" i="4"/>
  <c r="H600" i="4"/>
  <c r="G600" i="4"/>
  <c r="F600" i="4"/>
  <c r="E600" i="4"/>
  <c r="D600" i="4"/>
  <c r="C600" i="4"/>
  <c r="B600" i="4"/>
  <c r="A600" i="4"/>
  <c r="CJ599" i="4"/>
  <c r="CI599" i="4"/>
  <c r="CH599" i="4"/>
  <c r="CG599" i="4"/>
  <c r="CF599" i="4"/>
  <c r="CE599" i="4"/>
  <c r="CD599" i="4"/>
  <c r="CC599" i="4"/>
  <c r="CB599" i="4"/>
  <c r="CA599" i="4"/>
  <c r="BZ599" i="4"/>
  <c r="BY599" i="4"/>
  <c r="BX599" i="4"/>
  <c r="BV599" i="4"/>
  <c r="BS599" i="4"/>
  <c r="BQ599" i="4"/>
  <c r="BP599" i="4"/>
  <c r="BO599" i="4"/>
  <c r="BN599" i="4"/>
  <c r="BM599" i="4"/>
  <c r="BL599" i="4"/>
  <c r="BK599" i="4"/>
  <c r="BJ599" i="4"/>
  <c r="BI599" i="4"/>
  <c r="BH599" i="4"/>
  <c r="BG599" i="4"/>
  <c r="BF599" i="4"/>
  <c r="BE599" i="4"/>
  <c r="BD599" i="4"/>
  <c r="BC599" i="4"/>
  <c r="BB599" i="4"/>
  <c r="BA599" i="4"/>
  <c r="AZ599" i="4"/>
  <c r="AY599" i="4"/>
  <c r="AX599" i="4"/>
  <c r="AW599" i="4"/>
  <c r="AV599" i="4"/>
  <c r="AU599" i="4"/>
  <c r="AT599" i="4"/>
  <c r="AS599" i="4"/>
  <c r="AR599" i="4"/>
  <c r="AQ599" i="4"/>
  <c r="AP599" i="4"/>
  <c r="AO599" i="4"/>
  <c r="AN599" i="4"/>
  <c r="AM599" i="4"/>
  <c r="AL599" i="4"/>
  <c r="AK599" i="4"/>
  <c r="AJ599" i="4"/>
  <c r="AI599" i="4"/>
  <c r="AH599" i="4"/>
  <c r="AG599" i="4"/>
  <c r="AF599" i="4"/>
  <c r="AE599" i="4"/>
  <c r="AD599" i="4"/>
  <c r="AC599" i="4"/>
  <c r="AB599" i="4"/>
  <c r="AA599" i="4"/>
  <c r="Z599" i="4"/>
  <c r="Y599" i="4"/>
  <c r="X599" i="4"/>
  <c r="V599" i="4"/>
  <c r="U599" i="4"/>
  <c r="T599" i="4"/>
  <c r="S599" i="4"/>
  <c r="R599" i="4"/>
  <c r="Q599" i="4"/>
  <c r="P599" i="4"/>
  <c r="O599" i="4"/>
  <c r="N599" i="4"/>
  <c r="M599" i="4"/>
  <c r="L599" i="4"/>
  <c r="K599" i="4"/>
  <c r="J599" i="4"/>
  <c r="I599" i="4"/>
  <c r="H599" i="4"/>
  <c r="G599" i="4"/>
  <c r="F599" i="4"/>
  <c r="E599" i="4"/>
  <c r="D599" i="4"/>
  <c r="C599" i="4"/>
  <c r="B599" i="4"/>
  <c r="A599" i="4"/>
  <c r="CJ598" i="4"/>
  <c r="CI598" i="4"/>
  <c r="CH598" i="4"/>
  <c r="CG598" i="4"/>
  <c r="CF598" i="4"/>
  <c r="CE598" i="4"/>
  <c r="CD598" i="4"/>
  <c r="CC598" i="4"/>
  <c r="CB598" i="4"/>
  <c r="CA598" i="4"/>
  <c r="BZ598" i="4"/>
  <c r="BY598" i="4"/>
  <c r="BX598" i="4"/>
  <c r="BV598" i="4"/>
  <c r="BS598" i="4"/>
  <c r="BQ598" i="4"/>
  <c r="BP598" i="4"/>
  <c r="BO598" i="4"/>
  <c r="BN598" i="4"/>
  <c r="BM598" i="4"/>
  <c r="BL598" i="4"/>
  <c r="BK598" i="4"/>
  <c r="BJ598" i="4"/>
  <c r="BI598" i="4"/>
  <c r="BH598" i="4"/>
  <c r="BG598" i="4"/>
  <c r="BF598" i="4"/>
  <c r="BE598" i="4"/>
  <c r="BD598" i="4"/>
  <c r="BC598" i="4"/>
  <c r="BB598" i="4"/>
  <c r="BA598" i="4"/>
  <c r="AZ598" i="4"/>
  <c r="AY598" i="4"/>
  <c r="AX598" i="4"/>
  <c r="AW598" i="4"/>
  <c r="AV598" i="4"/>
  <c r="AU598" i="4"/>
  <c r="AT598" i="4"/>
  <c r="AS598" i="4"/>
  <c r="AR598" i="4"/>
  <c r="AQ598" i="4"/>
  <c r="AP598" i="4"/>
  <c r="AO598" i="4"/>
  <c r="AN598" i="4"/>
  <c r="AM598" i="4"/>
  <c r="AL598" i="4"/>
  <c r="AK598" i="4"/>
  <c r="AJ598" i="4"/>
  <c r="AI598" i="4"/>
  <c r="AH598" i="4"/>
  <c r="AG598" i="4"/>
  <c r="AF598" i="4"/>
  <c r="AE598" i="4"/>
  <c r="AD598" i="4"/>
  <c r="AC598" i="4"/>
  <c r="AB598" i="4"/>
  <c r="AA598" i="4"/>
  <c r="Z598" i="4"/>
  <c r="Y598" i="4"/>
  <c r="X598" i="4"/>
  <c r="V598" i="4"/>
  <c r="U598" i="4"/>
  <c r="T598" i="4"/>
  <c r="S598" i="4"/>
  <c r="R598" i="4"/>
  <c r="Q598" i="4"/>
  <c r="P598" i="4"/>
  <c r="O598" i="4"/>
  <c r="N598" i="4"/>
  <c r="M598" i="4"/>
  <c r="L598" i="4"/>
  <c r="K598" i="4"/>
  <c r="J598" i="4"/>
  <c r="I598" i="4"/>
  <c r="H598" i="4"/>
  <c r="G598" i="4"/>
  <c r="F598" i="4"/>
  <c r="E598" i="4"/>
  <c r="D598" i="4"/>
  <c r="C598" i="4"/>
  <c r="B598" i="4"/>
  <c r="A598" i="4"/>
  <c r="CJ597" i="4"/>
  <c r="CI597" i="4"/>
  <c r="CH597" i="4"/>
  <c r="CG597" i="4"/>
  <c r="CF597" i="4"/>
  <c r="CE597" i="4"/>
  <c r="CD597" i="4"/>
  <c r="CC597" i="4"/>
  <c r="CB597" i="4"/>
  <c r="CA597" i="4"/>
  <c r="BZ597" i="4"/>
  <c r="BY597" i="4"/>
  <c r="BX597" i="4"/>
  <c r="BV597" i="4"/>
  <c r="BS597" i="4"/>
  <c r="BQ597" i="4"/>
  <c r="BP597" i="4"/>
  <c r="BO597" i="4"/>
  <c r="BN597" i="4"/>
  <c r="BM597" i="4"/>
  <c r="BL597" i="4"/>
  <c r="BK597" i="4"/>
  <c r="BJ597" i="4"/>
  <c r="BI597" i="4"/>
  <c r="BH597" i="4"/>
  <c r="BG597" i="4"/>
  <c r="BF597" i="4"/>
  <c r="BE597" i="4"/>
  <c r="BD597" i="4"/>
  <c r="BC597" i="4"/>
  <c r="BB597" i="4"/>
  <c r="BA597" i="4"/>
  <c r="AZ597" i="4"/>
  <c r="AY597" i="4"/>
  <c r="AX597" i="4"/>
  <c r="AW597" i="4"/>
  <c r="AV597" i="4"/>
  <c r="AU597" i="4"/>
  <c r="AT597" i="4"/>
  <c r="AS597" i="4"/>
  <c r="AR597" i="4"/>
  <c r="AQ597" i="4"/>
  <c r="AP597" i="4"/>
  <c r="AO597" i="4"/>
  <c r="AN597" i="4"/>
  <c r="AM597" i="4"/>
  <c r="AL597" i="4"/>
  <c r="AK597" i="4"/>
  <c r="AJ597" i="4"/>
  <c r="AI597" i="4"/>
  <c r="AH597" i="4"/>
  <c r="AG597" i="4"/>
  <c r="AF597" i="4"/>
  <c r="AE597" i="4"/>
  <c r="AD597" i="4"/>
  <c r="AC597" i="4"/>
  <c r="AB597" i="4"/>
  <c r="AA597" i="4"/>
  <c r="Z597" i="4"/>
  <c r="Y597" i="4"/>
  <c r="X597" i="4"/>
  <c r="V597" i="4"/>
  <c r="U597" i="4"/>
  <c r="T597" i="4"/>
  <c r="S597" i="4"/>
  <c r="R597" i="4"/>
  <c r="Q597" i="4"/>
  <c r="P597" i="4"/>
  <c r="O597" i="4"/>
  <c r="N597" i="4"/>
  <c r="M597" i="4"/>
  <c r="L597" i="4"/>
  <c r="K597" i="4"/>
  <c r="J597" i="4"/>
  <c r="I597" i="4"/>
  <c r="H597" i="4"/>
  <c r="G597" i="4"/>
  <c r="F597" i="4"/>
  <c r="E597" i="4"/>
  <c r="D597" i="4"/>
  <c r="C597" i="4"/>
  <c r="B597" i="4"/>
  <c r="A597" i="4"/>
  <c r="CJ596" i="4"/>
  <c r="CI596" i="4"/>
  <c r="CH596" i="4"/>
  <c r="CG596" i="4"/>
  <c r="CF596" i="4"/>
  <c r="CE596" i="4"/>
  <c r="CD596" i="4"/>
  <c r="CC596" i="4"/>
  <c r="CB596" i="4"/>
  <c r="CA596" i="4"/>
  <c r="BZ596" i="4"/>
  <c r="BY596" i="4"/>
  <c r="BX596" i="4"/>
  <c r="BV596" i="4"/>
  <c r="BS596" i="4"/>
  <c r="BQ596" i="4"/>
  <c r="BP596" i="4"/>
  <c r="BO596" i="4"/>
  <c r="BN596" i="4"/>
  <c r="BM596" i="4"/>
  <c r="BL596" i="4"/>
  <c r="BK596" i="4"/>
  <c r="BJ596" i="4"/>
  <c r="BI596" i="4"/>
  <c r="BH596" i="4"/>
  <c r="BG596" i="4"/>
  <c r="BF596" i="4"/>
  <c r="BE596" i="4"/>
  <c r="BD596" i="4"/>
  <c r="BC596" i="4"/>
  <c r="BB596" i="4"/>
  <c r="BA596" i="4"/>
  <c r="AZ596" i="4"/>
  <c r="AY596" i="4"/>
  <c r="AX596" i="4"/>
  <c r="AW596" i="4"/>
  <c r="AV596" i="4"/>
  <c r="AU596" i="4"/>
  <c r="AT596" i="4"/>
  <c r="AS596" i="4"/>
  <c r="AR596" i="4"/>
  <c r="AQ596" i="4"/>
  <c r="AP596" i="4"/>
  <c r="AO596" i="4"/>
  <c r="AN596" i="4"/>
  <c r="AM596" i="4"/>
  <c r="AL596" i="4"/>
  <c r="AK596" i="4"/>
  <c r="AJ596" i="4"/>
  <c r="AI596" i="4"/>
  <c r="AH596" i="4"/>
  <c r="AG596" i="4"/>
  <c r="AF596" i="4"/>
  <c r="AE596" i="4"/>
  <c r="AD596" i="4"/>
  <c r="AC596" i="4"/>
  <c r="AB596" i="4"/>
  <c r="AA596" i="4"/>
  <c r="Z596" i="4"/>
  <c r="Y596" i="4"/>
  <c r="X596" i="4"/>
  <c r="V596" i="4"/>
  <c r="U596" i="4"/>
  <c r="T596" i="4"/>
  <c r="S596" i="4"/>
  <c r="R596" i="4"/>
  <c r="Q596" i="4"/>
  <c r="P596" i="4"/>
  <c r="O596" i="4"/>
  <c r="N596" i="4"/>
  <c r="M596" i="4"/>
  <c r="L596" i="4"/>
  <c r="K596" i="4"/>
  <c r="J596" i="4"/>
  <c r="I596" i="4"/>
  <c r="H596" i="4"/>
  <c r="G596" i="4"/>
  <c r="F596" i="4"/>
  <c r="E596" i="4"/>
  <c r="D596" i="4"/>
  <c r="C596" i="4"/>
  <c r="B596" i="4"/>
  <c r="A596" i="4"/>
  <c r="CJ595" i="4"/>
  <c r="CI595" i="4"/>
  <c r="CH595" i="4"/>
  <c r="CG595" i="4"/>
  <c r="CF595" i="4"/>
  <c r="CE595" i="4"/>
  <c r="CD595" i="4"/>
  <c r="CC595" i="4"/>
  <c r="CB595" i="4"/>
  <c r="CA595" i="4"/>
  <c r="BZ595" i="4"/>
  <c r="BY595" i="4"/>
  <c r="BX595" i="4"/>
  <c r="BV595" i="4"/>
  <c r="BS595" i="4"/>
  <c r="BQ595" i="4"/>
  <c r="BP595" i="4"/>
  <c r="BO595" i="4"/>
  <c r="BN595" i="4"/>
  <c r="BM595" i="4"/>
  <c r="BL595" i="4"/>
  <c r="BK595" i="4"/>
  <c r="BJ595" i="4"/>
  <c r="BI595" i="4"/>
  <c r="BH595" i="4"/>
  <c r="BG595" i="4"/>
  <c r="BF595" i="4"/>
  <c r="BE595" i="4"/>
  <c r="BD595" i="4"/>
  <c r="BC595" i="4"/>
  <c r="BB595" i="4"/>
  <c r="BA595" i="4"/>
  <c r="AZ595" i="4"/>
  <c r="AY595" i="4"/>
  <c r="AX595" i="4"/>
  <c r="AW595" i="4"/>
  <c r="AV595" i="4"/>
  <c r="AU595" i="4"/>
  <c r="AT595" i="4"/>
  <c r="AS595" i="4"/>
  <c r="AR595" i="4"/>
  <c r="AQ595" i="4"/>
  <c r="AP595" i="4"/>
  <c r="AO595" i="4"/>
  <c r="AN595" i="4"/>
  <c r="AM595" i="4"/>
  <c r="AL595" i="4"/>
  <c r="AK595" i="4"/>
  <c r="AJ595" i="4"/>
  <c r="AI595" i="4"/>
  <c r="AH595" i="4"/>
  <c r="AG595" i="4"/>
  <c r="AF595" i="4"/>
  <c r="AE595" i="4"/>
  <c r="AD595" i="4"/>
  <c r="AC595" i="4"/>
  <c r="AB595" i="4"/>
  <c r="AA595" i="4"/>
  <c r="Z595" i="4"/>
  <c r="Y595" i="4"/>
  <c r="X595" i="4"/>
  <c r="V595" i="4"/>
  <c r="U595" i="4"/>
  <c r="T595" i="4"/>
  <c r="S595" i="4"/>
  <c r="R595" i="4"/>
  <c r="Q595" i="4"/>
  <c r="P595" i="4"/>
  <c r="O595" i="4"/>
  <c r="N595" i="4"/>
  <c r="M595" i="4"/>
  <c r="L595" i="4"/>
  <c r="K595" i="4"/>
  <c r="J595" i="4"/>
  <c r="I595" i="4"/>
  <c r="H595" i="4"/>
  <c r="G595" i="4"/>
  <c r="F595" i="4"/>
  <c r="E595" i="4"/>
  <c r="D595" i="4"/>
  <c r="C595" i="4"/>
  <c r="B595" i="4"/>
  <c r="A595" i="4"/>
  <c r="CJ594" i="4"/>
  <c r="CI594" i="4"/>
  <c r="CH594" i="4"/>
  <c r="CG594" i="4"/>
  <c r="CF594" i="4"/>
  <c r="CE594" i="4"/>
  <c r="CD594" i="4"/>
  <c r="CC594" i="4"/>
  <c r="CB594" i="4"/>
  <c r="CA594" i="4"/>
  <c r="BZ594" i="4"/>
  <c r="BY594" i="4"/>
  <c r="BX594" i="4"/>
  <c r="BV594" i="4"/>
  <c r="BS594" i="4"/>
  <c r="BQ594" i="4"/>
  <c r="BP594" i="4"/>
  <c r="BO594" i="4"/>
  <c r="BN594" i="4"/>
  <c r="BM594" i="4"/>
  <c r="BL594" i="4"/>
  <c r="BK594" i="4"/>
  <c r="BJ594" i="4"/>
  <c r="BI594" i="4"/>
  <c r="BH594" i="4"/>
  <c r="BG594" i="4"/>
  <c r="BF594" i="4"/>
  <c r="BE594" i="4"/>
  <c r="BD594" i="4"/>
  <c r="BC594" i="4"/>
  <c r="BB594" i="4"/>
  <c r="BA594" i="4"/>
  <c r="AZ594" i="4"/>
  <c r="AY594" i="4"/>
  <c r="AX594" i="4"/>
  <c r="AW594" i="4"/>
  <c r="AV594" i="4"/>
  <c r="AU594" i="4"/>
  <c r="AT594" i="4"/>
  <c r="AS594" i="4"/>
  <c r="AR594" i="4"/>
  <c r="AQ594" i="4"/>
  <c r="AP594" i="4"/>
  <c r="AO594" i="4"/>
  <c r="AN594" i="4"/>
  <c r="AM594" i="4"/>
  <c r="AL594" i="4"/>
  <c r="AK594" i="4"/>
  <c r="AJ594" i="4"/>
  <c r="AI594" i="4"/>
  <c r="AH594" i="4"/>
  <c r="AG594" i="4"/>
  <c r="AF594" i="4"/>
  <c r="AE594" i="4"/>
  <c r="AD594" i="4"/>
  <c r="AC594" i="4"/>
  <c r="AB594" i="4"/>
  <c r="AA594" i="4"/>
  <c r="Z594" i="4"/>
  <c r="Y594" i="4"/>
  <c r="X594" i="4"/>
  <c r="V594" i="4"/>
  <c r="U594" i="4"/>
  <c r="T594" i="4"/>
  <c r="S594" i="4"/>
  <c r="R594" i="4"/>
  <c r="Q594" i="4"/>
  <c r="P594" i="4"/>
  <c r="O594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B594" i="4"/>
  <c r="A594" i="4"/>
  <c r="CJ593" i="4"/>
  <c r="CI593" i="4"/>
  <c r="CH593" i="4"/>
  <c r="CG593" i="4"/>
  <c r="CF593" i="4"/>
  <c r="CE593" i="4"/>
  <c r="CD593" i="4"/>
  <c r="CC593" i="4"/>
  <c r="CB593" i="4"/>
  <c r="CA593" i="4"/>
  <c r="BZ593" i="4"/>
  <c r="BY593" i="4"/>
  <c r="BX593" i="4"/>
  <c r="BV593" i="4"/>
  <c r="BS593" i="4"/>
  <c r="BQ593" i="4"/>
  <c r="BP593" i="4"/>
  <c r="BO593" i="4"/>
  <c r="BN593" i="4"/>
  <c r="BM593" i="4"/>
  <c r="BL593" i="4"/>
  <c r="BK593" i="4"/>
  <c r="BJ593" i="4"/>
  <c r="BI593" i="4"/>
  <c r="BH593" i="4"/>
  <c r="BG593" i="4"/>
  <c r="BF593" i="4"/>
  <c r="BE593" i="4"/>
  <c r="BD593" i="4"/>
  <c r="BC593" i="4"/>
  <c r="BB593" i="4"/>
  <c r="BA593" i="4"/>
  <c r="AZ593" i="4"/>
  <c r="AY593" i="4"/>
  <c r="AX593" i="4"/>
  <c r="AW593" i="4"/>
  <c r="AV593" i="4"/>
  <c r="AU593" i="4"/>
  <c r="AT593" i="4"/>
  <c r="AS593" i="4"/>
  <c r="AR593" i="4"/>
  <c r="AQ593" i="4"/>
  <c r="AP593" i="4"/>
  <c r="AO593" i="4"/>
  <c r="AN593" i="4"/>
  <c r="AM593" i="4"/>
  <c r="AL593" i="4"/>
  <c r="AK593" i="4"/>
  <c r="AJ593" i="4"/>
  <c r="AI593" i="4"/>
  <c r="AH593" i="4"/>
  <c r="AG593" i="4"/>
  <c r="AF593" i="4"/>
  <c r="AE593" i="4"/>
  <c r="AD593" i="4"/>
  <c r="AC593" i="4"/>
  <c r="AB593" i="4"/>
  <c r="AA593" i="4"/>
  <c r="Z593" i="4"/>
  <c r="Y593" i="4"/>
  <c r="X593" i="4"/>
  <c r="V593" i="4"/>
  <c r="U593" i="4"/>
  <c r="T593" i="4"/>
  <c r="S593" i="4"/>
  <c r="R593" i="4"/>
  <c r="Q593" i="4"/>
  <c r="P593" i="4"/>
  <c r="O593" i="4"/>
  <c r="N593" i="4"/>
  <c r="M593" i="4"/>
  <c r="L593" i="4"/>
  <c r="K593" i="4"/>
  <c r="J593" i="4"/>
  <c r="I593" i="4"/>
  <c r="H593" i="4"/>
  <c r="G593" i="4"/>
  <c r="F593" i="4"/>
  <c r="E593" i="4"/>
  <c r="D593" i="4"/>
  <c r="C593" i="4"/>
  <c r="B593" i="4"/>
  <c r="A593" i="4"/>
  <c r="CJ592" i="4"/>
  <c r="CI592" i="4"/>
  <c r="CH592" i="4"/>
  <c r="CG592" i="4"/>
  <c r="CF592" i="4"/>
  <c r="CE592" i="4"/>
  <c r="CD592" i="4"/>
  <c r="CC592" i="4"/>
  <c r="CB592" i="4"/>
  <c r="CA592" i="4"/>
  <c r="BZ592" i="4"/>
  <c r="BY592" i="4"/>
  <c r="BX592" i="4"/>
  <c r="BV592" i="4"/>
  <c r="BS592" i="4"/>
  <c r="BQ592" i="4"/>
  <c r="BP592" i="4"/>
  <c r="BO592" i="4"/>
  <c r="BN592" i="4"/>
  <c r="BM592" i="4"/>
  <c r="BL592" i="4"/>
  <c r="BK592" i="4"/>
  <c r="BJ592" i="4"/>
  <c r="BI592" i="4"/>
  <c r="BH592" i="4"/>
  <c r="BG592" i="4"/>
  <c r="BF592" i="4"/>
  <c r="BE592" i="4"/>
  <c r="BD592" i="4"/>
  <c r="BC592" i="4"/>
  <c r="BB592" i="4"/>
  <c r="BA592" i="4"/>
  <c r="AZ592" i="4"/>
  <c r="AY592" i="4"/>
  <c r="AX592" i="4"/>
  <c r="AW592" i="4"/>
  <c r="AV592" i="4"/>
  <c r="AU592" i="4"/>
  <c r="AT592" i="4"/>
  <c r="AS592" i="4"/>
  <c r="AR592" i="4"/>
  <c r="AQ592" i="4"/>
  <c r="AP592" i="4"/>
  <c r="AO592" i="4"/>
  <c r="AN592" i="4"/>
  <c r="AM592" i="4"/>
  <c r="AL592" i="4"/>
  <c r="AK592" i="4"/>
  <c r="AJ592" i="4"/>
  <c r="AI592" i="4"/>
  <c r="AH592" i="4"/>
  <c r="AG592" i="4"/>
  <c r="AF592" i="4"/>
  <c r="AE592" i="4"/>
  <c r="AD592" i="4"/>
  <c r="AC592" i="4"/>
  <c r="AB592" i="4"/>
  <c r="AA592" i="4"/>
  <c r="Z592" i="4"/>
  <c r="Y592" i="4"/>
  <c r="X592" i="4"/>
  <c r="V592" i="4"/>
  <c r="U592" i="4"/>
  <c r="T592" i="4"/>
  <c r="S592" i="4"/>
  <c r="R592" i="4"/>
  <c r="Q592" i="4"/>
  <c r="P592" i="4"/>
  <c r="O592" i="4"/>
  <c r="N592" i="4"/>
  <c r="M592" i="4"/>
  <c r="L592" i="4"/>
  <c r="K592" i="4"/>
  <c r="J592" i="4"/>
  <c r="I592" i="4"/>
  <c r="H592" i="4"/>
  <c r="G592" i="4"/>
  <c r="F592" i="4"/>
  <c r="E592" i="4"/>
  <c r="D592" i="4"/>
  <c r="C592" i="4"/>
  <c r="B592" i="4"/>
  <c r="A592" i="4"/>
  <c r="CJ591" i="4"/>
  <c r="CI591" i="4"/>
  <c r="CH591" i="4"/>
  <c r="CG591" i="4"/>
  <c r="CF591" i="4"/>
  <c r="CE591" i="4"/>
  <c r="CD591" i="4"/>
  <c r="CC591" i="4"/>
  <c r="CB591" i="4"/>
  <c r="CA591" i="4"/>
  <c r="BZ591" i="4"/>
  <c r="BY591" i="4"/>
  <c r="BX591" i="4"/>
  <c r="BV591" i="4"/>
  <c r="BU591" i="4"/>
  <c r="BT591" i="4"/>
  <c r="BS591" i="4"/>
  <c r="BQ591" i="4"/>
  <c r="BP591" i="4"/>
  <c r="BO591" i="4"/>
  <c r="BN591" i="4"/>
  <c r="BM591" i="4"/>
  <c r="BL591" i="4"/>
  <c r="BK591" i="4"/>
  <c r="BJ591" i="4"/>
  <c r="BI591" i="4"/>
  <c r="BH591" i="4"/>
  <c r="BG591" i="4"/>
  <c r="BF591" i="4"/>
  <c r="BE591" i="4"/>
  <c r="BD591" i="4"/>
  <c r="BC591" i="4"/>
  <c r="BB591" i="4"/>
  <c r="BA591" i="4"/>
  <c r="AZ591" i="4"/>
  <c r="AY591" i="4"/>
  <c r="AX591" i="4"/>
  <c r="AW591" i="4"/>
  <c r="AV591" i="4"/>
  <c r="AU591" i="4"/>
  <c r="AT591" i="4"/>
  <c r="AS591" i="4"/>
  <c r="AR591" i="4"/>
  <c r="AQ591" i="4"/>
  <c r="AP591" i="4"/>
  <c r="AO591" i="4"/>
  <c r="AN591" i="4"/>
  <c r="AM591" i="4"/>
  <c r="AL591" i="4"/>
  <c r="AK591" i="4"/>
  <c r="AJ591" i="4"/>
  <c r="AI591" i="4"/>
  <c r="AH591" i="4"/>
  <c r="AG591" i="4"/>
  <c r="AF591" i="4"/>
  <c r="AE591" i="4"/>
  <c r="AD591" i="4"/>
  <c r="AC591" i="4"/>
  <c r="AB591" i="4"/>
  <c r="AA591" i="4"/>
  <c r="Z591" i="4"/>
  <c r="Y591" i="4"/>
  <c r="X591" i="4"/>
  <c r="V591" i="4"/>
  <c r="U591" i="4"/>
  <c r="T591" i="4"/>
  <c r="S591" i="4"/>
  <c r="R591" i="4"/>
  <c r="Q591" i="4"/>
  <c r="P591" i="4"/>
  <c r="O591" i="4"/>
  <c r="N591" i="4"/>
  <c r="M591" i="4"/>
  <c r="L591" i="4"/>
  <c r="K591" i="4"/>
  <c r="J591" i="4"/>
  <c r="I591" i="4"/>
  <c r="H591" i="4"/>
  <c r="G591" i="4"/>
  <c r="F591" i="4"/>
  <c r="E591" i="4"/>
  <c r="D591" i="4"/>
  <c r="C591" i="4"/>
  <c r="B591" i="4"/>
  <c r="A591" i="4"/>
  <c r="CJ590" i="4"/>
  <c r="CI590" i="4"/>
  <c r="CH590" i="4"/>
  <c r="CG590" i="4"/>
  <c r="CF590" i="4"/>
  <c r="CE590" i="4"/>
  <c r="CD590" i="4"/>
  <c r="CC590" i="4"/>
  <c r="CB590" i="4"/>
  <c r="CA590" i="4"/>
  <c r="BZ590" i="4"/>
  <c r="BY590" i="4"/>
  <c r="BX590" i="4"/>
  <c r="BV590" i="4"/>
  <c r="BU590" i="4"/>
  <c r="BT590" i="4"/>
  <c r="BS590" i="4"/>
  <c r="BQ590" i="4"/>
  <c r="BP590" i="4"/>
  <c r="BO590" i="4"/>
  <c r="BN590" i="4"/>
  <c r="BM590" i="4"/>
  <c r="BL590" i="4"/>
  <c r="BK590" i="4"/>
  <c r="BJ590" i="4"/>
  <c r="BI590" i="4"/>
  <c r="BH590" i="4"/>
  <c r="BG590" i="4"/>
  <c r="BF590" i="4"/>
  <c r="BE590" i="4"/>
  <c r="BD590" i="4"/>
  <c r="BC590" i="4"/>
  <c r="BB590" i="4"/>
  <c r="BA590" i="4"/>
  <c r="AZ590" i="4"/>
  <c r="AY590" i="4"/>
  <c r="AX590" i="4"/>
  <c r="AW590" i="4"/>
  <c r="AV590" i="4"/>
  <c r="AU590" i="4"/>
  <c r="AT590" i="4"/>
  <c r="AS590" i="4"/>
  <c r="AR590" i="4"/>
  <c r="AQ590" i="4"/>
  <c r="AP590" i="4"/>
  <c r="AO590" i="4"/>
  <c r="AN590" i="4"/>
  <c r="AM590" i="4"/>
  <c r="AL590" i="4"/>
  <c r="AK590" i="4"/>
  <c r="AJ590" i="4"/>
  <c r="AI590" i="4"/>
  <c r="AH590" i="4"/>
  <c r="AG590" i="4"/>
  <c r="AF590" i="4"/>
  <c r="AE590" i="4"/>
  <c r="AD590" i="4"/>
  <c r="AC590" i="4"/>
  <c r="AB590" i="4"/>
  <c r="AA590" i="4"/>
  <c r="Z590" i="4"/>
  <c r="Y590" i="4"/>
  <c r="X590" i="4"/>
  <c r="V590" i="4"/>
  <c r="U590" i="4"/>
  <c r="T590" i="4"/>
  <c r="S590" i="4"/>
  <c r="R590" i="4"/>
  <c r="Q590" i="4"/>
  <c r="P590" i="4"/>
  <c r="O590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B590" i="4"/>
  <c r="A590" i="4"/>
  <c r="CJ589" i="4"/>
  <c r="CI589" i="4"/>
  <c r="CH589" i="4"/>
  <c r="CG589" i="4"/>
  <c r="CF589" i="4"/>
  <c r="CE589" i="4"/>
  <c r="CD589" i="4"/>
  <c r="CC589" i="4"/>
  <c r="CB589" i="4"/>
  <c r="CA589" i="4"/>
  <c r="BZ589" i="4"/>
  <c r="BY589" i="4"/>
  <c r="BX589" i="4"/>
  <c r="BV589" i="4"/>
  <c r="BU589" i="4"/>
  <c r="BT589" i="4"/>
  <c r="BS589" i="4"/>
  <c r="BQ589" i="4"/>
  <c r="BP589" i="4"/>
  <c r="BO589" i="4"/>
  <c r="BN589" i="4"/>
  <c r="BM589" i="4"/>
  <c r="BL589" i="4"/>
  <c r="BK589" i="4"/>
  <c r="BJ589" i="4"/>
  <c r="BI589" i="4"/>
  <c r="BH589" i="4"/>
  <c r="BG589" i="4"/>
  <c r="BF589" i="4"/>
  <c r="BE589" i="4"/>
  <c r="BD589" i="4"/>
  <c r="BC589" i="4"/>
  <c r="BB589" i="4"/>
  <c r="BA589" i="4"/>
  <c r="AZ589" i="4"/>
  <c r="AY589" i="4"/>
  <c r="AX589" i="4"/>
  <c r="AW589" i="4"/>
  <c r="AV589" i="4"/>
  <c r="AU589" i="4"/>
  <c r="AT589" i="4"/>
  <c r="AS589" i="4"/>
  <c r="AR589" i="4"/>
  <c r="AQ589" i="4"/>
  <c r="AP589" i="4"/>
  <c r="AO589" i="4"/>
  <c r="AN589" i="4"/>
  <c r="AM589" i="4"/>
  <c r="AL589" i="4"/>
  <c r="AK589" i="4"/>
  <c r="AJ589" i="4"/>
  <c r="AI589" i="4"/>
  <c r="AH589" i="4"/>
  <c r="AG589" i="4"/>
  <c r="AF589" i="4"/>
  <c r="AE589" i="4"/>
  <c r="AD589" i="4"/>
  <c r="AC589" i="4"/>
  <c r="AB589" i="4"/>
  <c r="AA589" i="4"/>
  <c r="Z589" i="4"/>
  <c r="Y589" i="4"/>
  <c r="X589" i="4"/>
  <c r="V589" i="4"/>
  <c r="U589" i="4"/>
  <c r="T589" i="4"/>
  <c r="S589" i="4"/>
  <c r="R589" i="4"/>
  <c r="Q589" i="4"/>
  <c r="P589" i="4"/>
  <c r="O589" i="4"/>
  <c r="N589" i="4"/>
  <c r="M589" i="4"/>
  <c r="L589" i="4"/>
  <c r="K589" i="4"/>
  <c r="J589" i="4"/>
  <c r="I589" i="4"/>
  <c r="H589" i="4"/>
  <c r="G589" i="4"/>
  <c r="F589" i="4"/>
  <c r="E589" i="4"/>
  <c r="D589" i="4"/>
  <c r="C589" i="4"/>
  <c r="B589" i="4"/>
  <c r="A589" i="4"/>
  <c r="CJ588" i="4"/>
  <c r="CI588" i="4"/>
  <c r="CH588" i="4"/>
  <c r="CG588" i="4"/>
  <c r="CF588" i="4"/>
  <c r="CE588" i="4"/>
  <c r="CD588" i="4"/>
  <c r="CC588" i="4"/>
  <c r="CB588" i="4"/>
  <c r="CA588" i="4"/>
  <c r="BZ588" i="4"/>
  <c r="BY588" i="4"/>
  <c r="BX588" i="4"/>
  <c r="BV588" i="4"/>
  <c r="BU588" i="4"/>
  <c r="BT588" i="4"/>
  <c r="BS588" i="4"/>
  <c r="BQ588" i="4"/>
  <c r="BP588" i="4"/>
  <c r="BO588" i="4"/>
  <c r="BN588" i="4"/>
  <c r="BM588" i="4"/>
  <c r="BL588" i="4"/>
  <c r="BK588" i="4"/>
  <c r="BJ588" i="4"/>
  <c r="BI588" i="4"/>
  <c r="BH588" i="4"/>
  <c r="BG588" i="4"/>
  <c r="BF588" i="4"/>
  <c r="BE588" i="4"/>
  <c r="BD588" i="4"/>
  <c r="BC588" i="4"/>
  <c r="BB588" i="4"/>
  <c r="BA588" i="4"/>
  <c r="AZ588" i="4"/>
  <c r="AY588" i="4"/>
  <c r="AX588" i="4"/>
  <c r="AW588" i="4"/>
  <c r="AV588" i="4"/>
  <c r="AU588" i="4"/>
  <c r="AT588" i="4"/>
  <c r="AS588" i="4"/>
  <c r="AR588" i="4"/>
  <c r="AQ588" i="4"/>
  <c r="AP588" i="4"/>
  <c r="AO588" i="4"/>
  <c r="AN588" i="4"/>
  <c r="AM588" i="4"/>
  <c r="AL588" i="4"/>
  <c r="AK588" i="4"/>
  <c r="AJ588" i="4"/>
  <c r="AI588" i="4"/>
  <c r="AH588" i="4"/>
  <c r="AG588" i="4"/>
  <c r="AF588" i="4"/>
  <c r="AE588" i="4"/>
  <c r="AD588" i="4"/>
  <c r="AC588" i="4"/>
  <c r="AB588" i="4"/>
  <c r="AA588" i="4"/>
  <c r="Z588" i="4"/>
  <c r="Y588" i="4"/>
  <c r="X588" i="4"/>
  <c r="V588" i="4"/>
  <c r="U588" i="4"/>
  <c r="T588" i="4"/>
  <c r="S588" i="4"/>
  <c r="R588" i="4"/>
  <c r="Q588" i="4"/>
  <c r="P588" i="4"/>
  <c r="O588" i="4"/>
  <c r="N588" i="4"/>
  <c r="M588" i="4"/>
  <c r="L588" i="4"/>
  <c r="K588" i="4"/>
  <c r="J588" i="4"/>
  <c r="I588" i="4"/>
  <c r="H588" i="4"/>
  <c r="G588" i="4"/>
  <c r="F588" i="4"/>
  <c r="E588" i="4"/>
  <c r="D588" i="4"/>
  <c r="C588" i="4"/>
  <c r="B588" i="4"/>
  <c r="A588" i="4"/>
  <c r="CJ587" i="4"/>
  <c r="CI587" i="4"/>
  <c r="CH587" i="4"/>
  <c r="CG587" i="4"/>
  <c r="CF587" i="4"/>
  <c r="CE587" i="4"/>
  <c r="CD587" i="4"/>
  <c r="CC587" i="4"/>
  <c r="CB587" i="4"/>
  <c r="CA587" i="4"/>
  <c r="BZ587" i="4"/>
  <c r="BY587" i="4"/>
  <c r="BX587" i="4"/>
  <c r="BV587" i="4"/>
  <c r="BU587" i="4"/>
  <c r="BT587" i="4"/>
  <c r="BS587" i="4"/>
  <c r="BQ587" i="4"/>
  <c r="BP587" i="4"/>
  <c r="BO587" i="4"/>
  <c r="BN587" i="4"/>
  <c r="BM587" i="4"/>
  <c r="BL587" i="4"/>
  <c r="BK587" i="4"/>
  <c r="BJ587" i="4"/>
  <c r="BI587" i="4"/>
  <c r="BH587" i="4"/>
  <c r="BG587" i="4"/>
  <c r="BF587" i="4"/>
  <c r="BE587" i="4"/>
  <c r="BD587" i="4"/>
  <c r="BC587" i="4"/>
  <c r="BB587" i="4"/>
  <c r="BA587" i="4"/>
  <c r="AZ587" i="4"/>
  <c r="AY587" i="4"/>
  <c r="AX587" i="4"/>
  <c r="AW587" i="4"/>
  <c r="AV587" i="4"/>
  <c r="AU587" i="4"/>
  <c r="AT587" i="4"/>
  <c r="AS587" i="4"/>
  <c r="AR587" i="4"/>
  <c r="AQ587" i="4"/>
  <c r="AP587" i="4"/>
  <c r="AO587" i="4"/>
  <c r="AN587" i="4"/>
  <c r="AM587" i="4"/>
  <c r="AL587" i="4"/>
  <c r="AK587" i="4"/>
  <c r="AJ587" i="4"/>
  <c r="AI587" i="4"/>
  <c r="AH587" i="4"/>
  <c r="AG587" i="4"/>
  <c r="AF587" i="4"/>
  <c r="AE587" i="4"/>
  <c r="AD587" i="4"/>
  <c r="AC587" i="4"/>
  <c r="AB587" i="4"/>
  <c r="AA587" i="4"/>
  <c r="Z587" i="4"/>
  <c r="Y587" i="4"/>
  <c r="X587" i="4"/>
  <c r="V587" i="4"/>
  <c r="U587" i="4"/>
  <c r="T587" i="4"/>
  <c r="S587" i="4"/>
  <c r="R587" i="4"/>
  <c r="Q587" i="4"/>
  <c r="P587" i="4"/>
  <c r="O587" i="4"/>
  <c r="N587" i="4"/>
  <c r="M587" i="4"/>
  <c r="L587" i="4"/>
  <c r="K587" i="4"/>
  <c r="J587" i="4"/>
  <c r="I587" i="4"/>
  <c r="H587" i="4"/>
  <c r="G587" i="4"/>
  <c r="F587" i="4"/>
  <c r="E587" i="4"/>
  <c r="D587" i="4"/>
  <c r="C587" i="4"/>
  <c r="B587" i="4"/>
  <c r="A587" i="4"/>
  <c r="CJ586" i="4"/>
  <c r="CI586" i="4"/>
  <c r="CH586" i="4"/>
  <c r="CG586" i="4"/>
  <c r="CF586" i="4"/>
  <c r="CE586" i="4"/>
  <c r="CD586" i="4"/>
  <c r="CC586" i="4"/>
  <c r="CB586" i="4"/>
  <c r="CA586" i="4"/>
  <c r="BZ586" i="4"/>
  <c r="BY586" i="4"/>
  <c r="BX586" i="4"/>
  <c r="BV586" i="4"/>
  <c r="BU586" i="4"/>
  <c r="BT586" i="4"/>
  <c r="BS586" i="4"/>
  <c r="BQ586" i="4"/>
  <c r="BP586" i="4"/>
  <c r="BO586" i="4"/>
  <c r="BN586" i="4"/>
  <c r="BM586" i="4"/>
  <c r="BL586" i="4"/>
  <c r="BK586" i="4"/>
  <c r="BJ586" i="4"/>
  <c r="BI586" i="4"/>
  <c r="BH586" i="4"/>
  <c r="BG586" i="4"/>
  <c r="BF586" i="4"/>
  <c r="BE586" i="4"/>
  <c r="BD586" i="4"/>
  <c r="BC586" i="4"/>
  <c r="BB586" i="4"/>
  <c r="BA586" i="4"/>
  <c r="AZ586" i="4"/>
  <c r="AY586" i="4"/>
  <c r="AX586" i="4"/>
  <c r="AW586" i="4"/>
  <c r="AV586" i="4"/>
  <c r="AU586" i="4"/>
  <c r="AT586" i="4"/>
  <c r="AS586" i="4"/>
  <c r="AR586" i="4"/>
  <c r="AQ586" i="4"/>
  <c r="AP586" i="4"/>
  <c r="AO586" i="4"/>
  <c r="AN586" i="4"/>
  <c r="AM586" i="4"/>
  <c r="AL586" i="4"/>
  <c r="AK586" i="4"/>
  <c r="AJ586" i="4"/>
  <c r="AI586" i="4"/>
  <c r="AH586" i="4"/>
  <c r="AG586" i="4"/>
  <c r="AF586" i="4"/>
  <c r="AE586" i="4"/>
  <c r="AD586" i="4"/>
  <c r="AC586" i="4"/>
  <c r="AB586" i="4"/>
  <c r="AA586" i="4"/>
  <c r="Z586" i="4"/>
  <c r="Y586" i="4"/>
  <c r="X586" i="4"/>
  <c r="V586" i="4"/>
  <c r="U586" i="4"/>
  <c r="T586" i="4"/>
  <c r="S586" i="4"/>
  <c r="R586" i="4"/>
  <c r="Q586" i="4"/>
  <c r="P586" i="4"/>
  <c r="O586" i="4"/>
  <c r="N586" i="4"/>
  <c r="M586" i="4"/>
  <c r="L586" i="4"/>
  <c r="K586" i="4"/>
  <c r="J586" i="4"/>
  <c r="I586" i="4"/>
  <c r="H586" i="4"/>
  <c r="G586" i="4"/>
  <c r="F586" i="4"/>
  <c r="E586" i="4"/>
  <c r="D586" i="4"/>
  <c r="C586" i="4"/>
  <c r="B586" i="4"/>
  <c r="A586" i="4"/>
  <c r="CJ585" i="4"/>
  <c r="CI585" i="4"/>
  <c r="CH585" i="4"/>
  <c r="CG585" i="4"/>
  <c r="CF585" i="4"/>
  <c r="CE585" i="4"/>
  <c r="CD585" i="4"/>
  <c r="CC585" i="4"/>
  <c r="CB585" i="4"/>
  <c r="CA585" i="4"/>
  <c r="BZ585" i="4"/>
  <c r="BY585" i="4"/>
  <c r="BX585" i="4"/>
  <c r="BV585" i="4"/>
  <c r="BU585" i="4"/>
  <c r="BT585" i="4"/>
  <c r="BS585" i="4"/>
  <c r="BQ585" i="4"/>
  <c r="BP585" i="4"/>
  <c r="BO585" i="4"/>
  <c r="BN585" i="4"/>
  <c r="BM585" i="4"/>
  <c r="BL585" i="4"/>
  <c r="BK585" i="4"/>
  <c r="BJ585" i="4"/>
  <c r="BI585" i="4"/>
  <c r="BH585" i="4"/>
  <c r="BG585" i="4"/>
  <c r="BF585" i="4"/>
  <c r="BE585" i="4"/>
  <c r="BD585" i="4"/>
  <c r="BC585" i="4"/>
  <c r="BB585" i="4"/>
  <c r="BA585" i="4"/>
  <c r="AZ585" i="4"/>
  <c r="AY585" i="4"/>
  <c r="AX585" i="4"/>
  <c r="AW585" i="4"/>
  <c r="AV585" i="4"/>
  <c r="AU585" i="4"/>
  <c r="AT585" i="4"/>
  <c r="AS585" i="4"/>
  <c r="AR585" i="4"/>
  <c r="AQ585" i="4"/>
  <c r="AP585" i="4"/>
  <c r="AO585" i="4"/>
  <c r="AN585" i="4"/>
  <c r="AM585" i="4"/>
  <c r="AL585" i="4"/>
  <c r="AK585" i="4"/>
  <c r="AJ585" i="4"/>
  <c r="AI585" i="4"/>
  <c r="AH585" i="4"/>
  <c r="AG585" i="4"/>
  <c r="AF585" i="4"/>
  <c r="AE585" i="4"/>
  <c r="AD585" i="4"/>
  <c r="AC585" i="4"/>
  <c r="AB585" i="4"/>
  <c r="AA585" i="4"/>
  <c r="Z585" i="4"/>
  <c r="Y585" i="4"/>
  <c r="X585" i="4"/>
  <c r="V585" i="4"/>
  <c r="U585" i="4"/>
  <c r="T585" i="4"/>
  <c r="S585" i="4"/>
  <c r="R585" i="4"/>
  <c r="Q585" i="4"/>
  <c r="P585" i="4"/>
  <c r="O585" i="4"/>
  <c r="N585" i="4"/>
  <c r="M585" i="4"/>
  <c r="L585" i="4"/>
  <c r="K585" i="4"/>
  <c r="J585" i="4"/>
  <c r="I585" i="4"/>
  <c r="H585" i="4"/>
  <c r="G585" i="4"/>
  <c r="F585" i="4"/>
  <c r="E585" i="4"/>
  <c r="D585" i="4"/>
  <c r="C585" i="4"/>
  <c r="B585" i="4"/>
  <c r="A585" i="4"/>
  <c r="CJ584" i="4"/>
  <c r="CI584" i="4"/>
  <c r="CH584" i="4"/>
  <c r="CG584" i="4"/>
  <c r="CF584" i="4"/>
  <c r="CE584" i="4"/>
  <c r="CD584" i="4"/>
  <c r="CC584" i="4"/>
  <c r="CB584" i="4"/>
  <c r="CA584" i="4"/>
  <c r="BZ584" i="4"/>
  <c r="BY584" i="4"/>
  <c r="BX584" i="4"/>
  <c r="BV584" i="4"/>
  <c r="BU584" i="4"/>
  <c r="BT584" i="4"/>
  <c r="BS584" i="4"/>
  <c r="BQ584" i="4"/>
  <c r="BP584" i="4"/>
  <c r="BO584" i="4"/>
  <c r="BN584" i="4"/>
  <c r="BM584" i="4"/>
  <c r="BL584" i="4"/>
  <c r="BK584" i="4"/>
  <c r="BJ584" i="4"/>
  <c r="BI584" i="4"/>
  <c r="BH584" i="4"/>
  <c r="BG584" i="4"/>
  <c r="BF584" i="4"/>
  <c r="BE584" i="4"/>
  <c r="BD584" i="4"/>
  <c r="BC584" i="4"/>
  <c r="BB584" i="4"/>
  <c r="BA584" i="4"/>
  <c r="AZ584" i="4"/>
  <c r="AY584" i="4"/>
  <c r="AX584" i="4"/>
  <c r="AW584" i="4"/>
  <c r="AV584" i="4"/>
  <c r="AU584" i="4"/>
  <c r="AT584" i="4"/>
  <c r="AS584" i="4"/>
  <c r="AR584" i="4"/>
  <c r="AQ584" i="4"/>
  <c r="AP584" i="4"/>
  <c r="AO584" i="4"/>
  <c r="AN584" i="4"/>
  <c r="AM584" i="4"/>
  <c r="AL584" i="4"/>
  <c r="AK584" i="4"/>
  <c r="AJ584" i="4"/>
  <c r="AI584" i="4"/>
  <c r="AH584" i="4"/>
  <c r="AG584" i="4"/>
  <c r="AF584" i="4"/>
  <c r="AE584" i="4"/>
  <c r="AD584" i="4"/>
  <c r="AC584" i="4"/>
  <c r="AB584" i="4"/>
  <c r="AA584" i="4"/>
  <c r="Z584" i="4"/>
  <c r="Y584" i="4"/>
  <c r="X584" i="4"/>
  <c r="V584" i="4"/>
  <c r="U584" i="4"/>
  <c r="T584" i="4"/>
  <c r="S584" i="4"/>
  <c r="R584" i="4"/>
  <c r="Q584" i="4"/>
  <c r="P584" i="4"/>
  <c r="O584" i="4"/>
  <c r="N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A584" i="4"/>
  <c r="CJ583" i="4"/>
  <c r="CI583" i="4"/>
  <c r="CH583" i="4"/>
  <c r="CG583" i="4"/>
  <c r="CF583" i="4"/>
  <c r="CE583" i="4"/>
  <c r="CD583" i="4"/>
  <c r="CC583" i="4"/>
  <c r="CB583" i="4"/>
  <c r="CA583" i="4"/>
  <c r="BZ583" i="4"/>
  <c r="BY583" i="4"/>
  <c r="BX583" i="4"/>
  <c r="BV583" i="4"/>
  <c r="BU583" i="4"/>
  <c r="BT583" i="4"/>
  <c r="BS583" i="4"/>
  <c r="BQ583" i="4"/>
  <c r="BP583" i="4"/>
  <c r="BO583" i="4"/>
  <c r="BN583" i="4"/>
  <c r="BM583" i="4"/>
  <c r="BL583" i="4"/>
  <c r="BK583" i="4"/>
  <c r="BJ583" i="4"/>
  <c r="BI583" i="4"/>
  <c r="BH583" i="4"/>
  <c r="BG583" i="4"/>
  <c r="BF583" i="4"/>
  <c r="BE583" i="4"/>
  <c r="BD583" i="4"/>
  <c r="BC583" i="4"/>
  <c r="BB583" i="4"/>
  <c r="BA583" i="4"/>
  <c r="AZ583" i="4"/>
  <c r="AY583" i="4"/>
  <c r="AX583" i="4"/>
  <c r="AW583" i="4"/>
  <c r="AV583" i="4"/>
  <c r="AU583" i="4"/>
  <c r="AT583" i="4"/>
  <c r="AS583" i="4"/>
  <c r="AR583" i="4"/>
  <c r="AQ583" i="4"/>
  <c r="AP583" i="4"/>
  <c r="AO583" i="4"/>
  <c r="AN583" i="4"/>
  <c r="AM583" i="4"/>
  <c r="AL583" i="4"/>
  <c r="AK583" i="4"/>
  <c r="AJ583" i="4"/>
  <c r="AI583" i="4"/>
  <c r="AH583" i="4"/>
  <c r="AG583" i="4"/>
  <c r="AF583" i="4"/>
  <c r="AE583" i="4"/>
  <c r="AD583" i="4"/>
  <c r="AC583" i="4"/>
  <c r="AB583" i="4"/>
  <c r="AA583" i="4"/>
  <c r="Z583" i="4"/>
  <c r="Y583" i="4"/>
  <c r="X583" i="4"/>
  <c r="V583" i="4"/>
  <c r="U583" i="4"/>
  <c r="T583" i="4"/>
  <c r="S583" i="4"/>
  <c r="R583" i="4"/>
  <c r="Q583" i="4"/>
  <c r="P583" i="4"/>
  <c r="O583" i="4"/>
  <c r="N583" i="4"/>
  <c r="M583" i="4"/>
  <c r="L583" i="4"/>
  <c r="K583" i="4"/>
  <c r="J583" i="4"/>
  <c r="I583" i="4"/>
  <c r="H583" i="4"/>
  <c r="G583" i="4"/>
  <c r="F583" i="4"/>
  <c r="E583" i="4"/>
  <c r="D583" i="4"/>
  <c r="C583" i="4"/>
  <c r="B583" i="4"/>
  <c r="A583" i="4"/>
  <c r="CJ582" i="4"/>
  <c r="CI582" i="4"/>
  <c r="CH582" i="4"/>
  <c r="CG582" i="4"/>
  <c r="CF582" i="4"/>
  <c r="CE582" i="4"/>
  <c r="CD582" i="4"/>
  <c r="CC582" i="4"/>
  <c r="CB582" i="4"/>
  <c r="CA582" i="4"/>
  <c r="BZ582" i="4"/>
  <c r="BY582" i="4"/>
  <c r="BX582" i="4"/>
  <c r="BV582" i="4"/>
  <c r="BU582" i="4"/>
  <c r="BT582" i="4"/>
  <c r="BS582" i="4"/>
  <c r="BQ582" i="4"/>
  <c r="BP582" i="4"/>
  <c r="BO582" i="4"/>
  <c r="BN582" i="4"/>
  <c r="BM582" i="4"/>
  <c r="BL582" i="4"/>
  <c r="BK582" i="4"/>
  <c r="BJ582" i="4"/>
  <c r="BI582" i="4"/>
  <c r="BH582" i="4"/>
  <c r="BG582" i="4"/>
  <c r="BF582" i="4"/>
  <c r="BE582" i="4"/>
  <c r="BD582" i="4"/>
  <c r="BC582" i="4"/>
  <c r="BB582" i="4"/>
  <c r="BA582" i="4"/>
  <c r="AZ582" i="4"/>
  <c r="AY582" i="4"/>
  <c r="AX582" i="4"/>
  <c r="AW582" i="4"/>
  <c r="AV582" i="4"/>
  <c r="AU582" i="4"/>
  <c r="AT582" i="4"/>
  <c r="AS582" i="4"/>
  <c r="AR582" i="4"/>
  <c r="AQ582" i="4"/>
  <c r="AP582" i="4"/>
  <c r="AO582" i="4"/>
  <c r="AN582" i="4"/>
  <c r="AM582" i="4"/>
  <c r="AL582" i="4"/>
  <c r="AK582" i="4"/>
  <c r="AJ582" i="4"/>
  <c r="AI582" i="4"/>
  <c r="AH582" i="4"/>
  <c r="AG582" i="4"/>
  <c r="AF582" i="4"/>
  <c r="AE582" i="4"/>
  <c r="AD582" i="4"/>
  <c r="AC582" i="4"/>
  <c r="AB582" i="4"/>
  <c r="AA582" i="4"/>
  <c r="Z582" i="4"/>
  <c r="Y582" i="4"/>
  <c r="X582" i="4"/>
  <c r="V582" i="4"/>
  <c r="U582" i="4"/>
  <c r="T582" i="4"/>
  <c r="S582" i="4"/>
  <c r="R582" i="4"/>
  <c r="Q582" i="4"/>
  <c r="P582" i="4"/>
  <c r="O582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B582" i="4"/>
  <c r="A582" i="4"/>
  <c r="CJ581" i="4"/>
  <c r="CI581" i="4"/>
  <c r="CH581" i="4"/>
  <c r="CG581" i="4"/>
  <c r="CF581" i="4"/>
  <c r="CE581" i="4"/>
  <c r="CD581" i="4"/>
  <c r="CC581" i="4"/>
  <c r="CB581" i="4"/>
  <c r="CA581" i="4"/>
  <c r="BZ581" i="4"/>
  <c r="BY581" i="4"/>
  <c r="BX581" i="4"/>
  <c r="BV581" i="4"/>
  <c r="BU581" i="4"/>
  <c r="BT581" i="4"/>
  <c r="BS581" i="4"/>
  <c r="BQ581" i="4"/>
  <c r="BP581" i="4"/>
  <c r="BO581" i="4"/>
  <c r="BN581" i="4"/>
  <c r="BM581" i="4"/>
  <c r="BL581" i="4"/>
  <c r="BK581" i="4"/>
  <c r="BJ581" i="4"/>
  <c r="BI581" i="4"/>
  <c r="BH581" i="4"/>
  <c r="BG581" i="4"/>
  <c r="BF581" i="4"/>
  <c r="BE581" i="4"/>
  <c r="BD581" i="4"/>
  <c r="BC581" i="4"/>
  <c r="BB581" i="4"/>
  <c r="BA581" i="4"/>
  <c r="AZ581" i="4"/>
  <c r="AY581" i="4"/>
  <c r="AX581" i="4"/>
  <c r="AW581" i="4"/>
  <c r="AV581" i="4"/>
  <c r="AU581" i="4"/>
  <c r="AT581" i="4"/>
  <c r="AS581" i="4"/>
  <c r="AR581" i="4"/>
  <c r="AQ581" i="4"/>
  <c r="AP581" i="4"/>
  <c r="AO581" i="4"/>
  <c r="AN581" i="4"/>
  <c r="AM581" i="4"/>
  <c r="AL581" i="4"/>
  <c r="AK581" i="4"/>
  <c r="AJ581" i="4"/>
  <c r="AI581" i="4"/>
  <c r="AH581" i="4"/>
  <c r="AG581" i="4"/>
  <c r="AF581" i="4"/>
  <c r="AE581" i="4"/>
  <c r="AD581" i="4"/>
  <c r="AC581" i="4"/>
  <c r="AB581" i="4"/>
  <c r="AA581" i="4"/>
  <c r="Z581" i="4"/>
  <c r="Y581" i="4"/>
  <c r="X581" i="4"/>
  <c r="V581" i="4"/>
  <c r="U581" i="4"/>
  <c r="T581" i="4"/>
  <c r="S581" i="4"/>
  <c r="R581" i="4"/>
  <c r="Q581" i="4"/>
  <c r="P581" i="4"/>
  <c r="O581" i="4"/>
  <c r="N581" i="4"/>
  <c r="M581" i="4"/>
  <c r="L581" i="4"/>
  <c r="K581" i="4"/>
  <c r="J581" i="4"/>
  <c r="I581" i="4"/>
  <c r="H581" i="4"/>
  <c r="G581" i="4"/>
  <c r="F581" i="4"/>
  <c r="E581" i="4"/>
  <c r="D581" i="4"/>
  <c r="C581" i="4"/>
  <c r="B581" i="4"/>
  <c r="A581" i="4"/>
  <c r="CJ580" i="4"/>
  <c r="CI580" i="4"/>
  <c r="CH580" i="4"/>
  <c r="CG580" i="4"/>
  <c r="CF580" i="4"/>
  <c r="CE580" i="4"/>
  <c r="CD580" i="4"/>
  <c r="CC580" i="4"/>
  <c r="CB580" i="4"/>
  <c r="CA580" i="4"/>
  <c r="BZ580" i="4"/>
  <c r="BY580" i="4"/>
  <c r="BX580" i="4"/>
  <c r="BV580" i="4"/>
  <c r="BU580" i="4"/>
  <c r="BT580" i="4"/>
  <c r="BS580" i="4"/>
  <c r="BQ580" i="4"/>
  <c r="BP580" i="4"/>
  <c r="BO580" i="4"/>
  <c r="BN580" i="4"/>
  <c r="BM580" i="4"/>
  <c r="BL580" i="4"/>
  <c r="BK580" i="4"/>
  <c r="BJ580" i="4"/>
  <c r="BI580" i="4"/>
  <c r="BH580" i="4"/>
  <c r="BG580" i="4"/>
  <c r="BF580" i="4"/>
  <c r="BE580" i="4"/>
  <c r="BD580" i="4"/>
  <c r="BC580" i="4"/>
  <c r="BB580" i="4"/>
  <c r="BA580" i="4"/>
  <c r="AZ580" i="4"/>
  <c r="AY580" i="4"/>
  <c r="AX580" i="4"/>
  <c r="AW580" i="4"/>
  <c r="AV580" i="4"/>
  <c r="AU580" i="4"/>
  <c r="AT580" i="4"/>
  <c r="AS580" i="4"/>
  <c r="AR580" i="4"/>
  <c r="AQ580" i="4"/>
  <c r="AP580" i="4"/>
  <c r="AO580" i="4"/>
  <c r="AN580" i="4"/>
  <c r="AM580" i="4"/>
  <c r="AL580" i="4"/>
  <c r="AK580" i="4"/>
  <c r="AJ580" i="4"/>
  <c r="AI580" i="4"/>
  <c r="AH580" i="4"/>
  <c r="AG580" i="4"/>
  <c r="AF580" i="4"/>
  <c r="AE580" i="4"/>
  <c r="AD580" i="4"/>
  <c r="AC580" i="4"/>
  <c r="AB580" i="4"/>
  <c r="AA580" i="4"/>
  <c r="Z580" i="4"/>
  <c r="Y580" i="4"/>
  <c r="X580" i="4"/>
  <c r="V580" i="4"/>
  <c r="U580" i="4"/>
  <c r="T580" i="4"/>
  <c r="S580" i="4"/>
  <c r="R580" i="4"/>
  <c r="Q580" i="4"/>
  <c r="P580" i="4"/>
  <c r="O580" i="4"/>
  <c r="N580" i="4"/>
  <c r="M580" i="4"/>
  <c r="L580" i="4"/>
  <c r="K580" i="4"/>
  <c r="J580" i="4"/>
  <c r="I580" i="4"/>
  <c r="H580" i="4"/>
  <c r="G580" i="4"/>
  <c r="F580" i="4"/>
  <c r="E580" i="4"/>
  <c r="D580" i="4"/>
  <c r="C580" i="4"/>
  <c r="B580" i="4"/>
  <c r="A580" i="4"/>
  <c r="CJ579" i="4"/>
  <c r="CI579" i="4"/>
  <c r="CH579" i="4"/>
  <c r="CG579" i="4"/>
  <c r="CF579" i="4"/>
  <c r="CE579" i="4"/>
  <c r="CD579" i="4"/>
  <c r="CC579" i="4"/>
  <c r="CB579" i="4"/>
  <c r="CA579" i="4"/>
  <c r="BZ579" i="4"/>
  <c r="BY579" i="4"/>
  <c r="BX579" i="4"/>
  <c r="BV579" i="4"/>
  <c r="BU579" i="4"/>
  <c r="BT579" i="4"/>
  <c r="BS579" i="4"/>
  <c r="BQ579" i="4"/>
  <c r="BP579" i="4"/>
  <c r="BO579" i="4"/>
  <c r="BN579" i="4"/>
  <c r="BM579" i="4"/>
  <c r="BL579" i="4"/>
  <c r="BK579" i="4"/>
  <c r="BJ579" i="4"/>
  <c r="BI579" i="4"/>
  <c r="BH579" i="4"/>
  <c r="BG579" i="4"/>
  <c r="BF579" i="4"/>
  <c r="BE579" i="4"/>
  <c r="BD579" i="4"/>
  <c r="BC579" i="4"/>
  <c r="BB579" i="4"/>
  <c r="BA579" i="4"/>
  <c r="AZ579" i="4"/>
  <c r="AY579" i="4"/>
  <c r="AX579" i="4"/>
  <c r="AW579" i="4"/>
  <c r="AV579" i="4"/>
  <c r="AU579" i="4"/>
  <c r="AT579" i="4"/>
  <c r="AS579" i="4"/>
  <c r="AR579" i="4"/>
  <c r="AQ579" i="4"/>
  <c r="AP579" i="4"/>
  <c r="AO579" i="4"/>
  <c r="AN579" i="4"/>
  <c r="AM579" i="4"/>
  <c r="AL579" i="4"/>
  <c r="AK579" i="4"/>
  <c r="AJ579" i="4"/>
  <c r="AI579" i="4"/>
  <c r="AH579" i="4"/>
  <c r="AG579" i="4"/>
  <c r="AF579" i="4"/>
  <c r="AE579" i="4"/>
  <c r="AD579" i="4"/>
  <c r="AC579" i="4"/>
  <c r="AB579" i="4"/>
  <c r="AA579" i="4"/>
  <c r="Z579" i="4"/>
  <c r="Y579" i="4"/>
  <c r="X579" i="4"/>
  <c r="V579" i="4"/>
  <c r="U579" i="4"/>
  <c r="T579" i="4"/>
  <c r="S579" i="4"/>
  <c r="R579" i="4"/>
  <c r="Q579" i="4"/>
  <c r="P579" i="4"/>
  <c r="O579" i="4"/>
  <c r="N579" i="4"/>
  <c r="M579" i="4"/>
  <c r="L579" i="4"/>
  <c r="K579" i="4"/>
  <c r="J579" i="4"/>
  <c r="I579" i="4"/>
  <c r="H579" i="4"/>
  <c r="G579" i="4"/>
  <c r="F579" i="4"/>
  <c r="E579" i="4"/>
  <c r="D579" i="4"/>
  <c r="C579" i="4"/>
  <c r="B579" i="4"/>
  <c r="A579" i="4"/>
  <c r="CJ578" i="4"/>
  <c r="CI578" i="4"/>
  <c r="CH578" i="4"/>
  <c r="CG578" i="4"/>
  <c r="CF578" i="4"/>
  <c r="CE578" i="4"/>
  <c r="CD578" i="4"/>
  <c r="CC578" i="4"/>
  <c r="CB578" i="4"/>
  <c r="CA578" i="4"/>
  <c r="BZ578" i="4"/>
  <c r="BY578" i="4"/>
  <c r="BX578" i="4"/>
  <c r="BV578" i="4"/>
  <c r="BU578" i="4"/>
  <c r="BT578" i="4"/>
  <c r="BS578" i="4"/>
  <c r="BQ578" i="4"/>
  <c r="BP578" i="4"/>
  <c r="BO578" i="4"/>
  <c r="BN578" i="4"/>
  <c r="BM578" i="4"/>
  <c r="BL578" i="4"/>
  <c r="BK578" i="4"/>
  <c r="BJ578" i="4"/>
  <c r="BI578" i="4"/>
  <c r="BH578" i="4"/>
  <c r="BG578" i="4"/>
  <c r="BF578" i="4"/>
  <c r="BE578" i="4"/>
  <c r="BD578" i="4"/>
  <c r="BC578" i="4"/>
  <c r="BB578" i="4"/>
  <c r="BA578" i="4"/>
  <c r="AZ578" i="4"/>
  <c r="AY578" i="4"/>
  <c r="AX578" i="4"/>
  <c r="AW578" i="4"/>
  <c r="AV578" i="4"/>
  <c r="AU578" i="4"/>
  <c r="AT578" i="4"/>
  <c r="AS578" i="4"/>
  <c r="AR578" i="4"/>
  <c r="AQ578" i="4"/>
  <c r="AP578" i="4"/>
  <c r="AO578" i="4"/>
  <c r="AN578" i="4"/>
  <c r="AM578" i="4"/>
  <c r="AL578" i="4"/>
  <c r="AK578" i="4"/>
  <c r="AJ578" i="4"/>
  <c r="AI578" i="4"/>
  <c r="AH578" i="4"/>
  <c r="AG578" i="4"/>
  <c r="AF578" i="4"/>
  <c r="AE578" i="4"/>
  <c r="AD578" i="4"/>
  <c r="AC578" i="4"/>
  <c r="AB578" i="4"/>
  <c r="AA578" i="4"/>
  <c r="Z578" i="4"/>
  <c r="Y578" i="4"/>
  <c r="X578" i="4"/>
  <c r="V578" i="4"/>
  <c r="U578" i="4"/>
  <c r="T578" i="4"/>
  <c r="S578" i="4"/>
  <c r="R578" i="4"/>
  <c r="Q578" i="4"/>
  <c r="P578" i="4"/>
  <c r="O578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B578" i="4"/>
  <c r="A578" i="4"/>
  <c r="CJ577" i="4"/>
  <c r="CI577" i="4"/>
  <c r="CH577" i="4"/>
  <c r="CG577" i="4"/>
  <c r="CF577" i="4"/>
  <c r="CE577" i="4"/>
  <c r="CD577" i="4"/>
  <c r="CC577" i="4"/>
  <c r="CB577" i="4"/>
  <c r="CA577" i="4"/>
  <c r="BZ577" i="4"/>
  <c r="BY577" i="4"/>
  <c r="BX577" i="4"/>
  <c r="BV577" i="4"/>
  <c r="BU577" i="4"/>
  <c r="BT577" i="4"/>
  <c r="BS577" i="4"/>
  <c r="BQ577" i="4"/>
  <c r="BP577" i="4"/>
  <c r="BO577" i="4"/>
  <c r="BN577" i="4"/>
  <c r="BM577" i="4"/>
  <c r="BL577" i="4"/>
  <c r="BK577" i="4"/>
  <c r="BJ577" i="4"/>
  <c r="BI577" i="4"/>
  <c r="BH577" i="4"/>
  <c r="BG577" i="4"/>
  <c r="BF577" i="4"/>
  <c r="BE577" i="4"/>
  <c r="BD577" i="4"/>
  <c r="BC577" i="4"/>
  <c r="BB577" i="4"/>
  <c r="BA577" i="4"/>
  <c r="AZ577" i="4"/>
  <c r="AY577" i="4"/>
  <c r="AX577" i="4"/>
  <c r="AW577" i="4"/>
  <c r="AV577" i="4"/>
  <c r="AU577" i="4"/>
  <c r="AT577" i="4"/>
  <c r="AS577" i="4"/>
  <c r="AR577" i="4"/>
  <c r="AQ577" i="4"/>
  <c r="AP577" i="4"/>
  <c r="AO577" i="4"/>
  <c r="AN577" i="4"/>
  <c r="AM577" i="4"/>
  <c r="AL577" i="4"/>
  <c r="AK577" i="4"/>
  <c r="AJ577" i="4"/>
  <c r="AI577" i="4"/>
  <c r="AH577" i="4"/>
  <c r="AG577" i="4"/>
  <c r="AF577" i="4"/>
  <c r="AE577" i="4"/>
  <c r="AD577" i="4"/>
  <c r="AC577" i="4"/>
  <c r="AB577" i="4"/>
  <c r="AA577" i="4"/>
  <c r="Z577" i="4"/>
  <c r="Y577" i="4"/>
  <c r="X577" i="4"/>
  <c r="V577" i="4"/>
  <c r="U577" i="4"/>
  <c r="T577" i="4"/>
  <c r="S577" i="4"/>
  <c r="R577" i="4"/>
  <c r="Q577" i="4"/>
  <c r="P577" i="4"/>
  <c r="O577" i="4"/>
  <c r="N577" i="4"/>
  <c r="M577" i="4"/>
  <c r="L577" i="4"/>
  <c r="K577" i="4"/>
  <c r="J577" i="4"/>
  <c r="I577" i="4"/>
  <c r="H577" i="4"/>
  <c r="G577" i="4"/>
  <c r="F577" i="4"/>
  <c r="E577" i="4"/>
  <c r="D577" i="4"/>
  <c r="C577" i="4"/>
  <c r="B577" i="4"/>
  <c r="A577" i="4"/>
  <c r="CJ576" i="4"/>
  <c r="CI576" i="4"/>
  <c r="CH576" i="4"/>
  <c r="CG576" i="4"/>
  <c r="CF576" i="4"/>
  <c r="CE576" i="4"/>
  <c r="CD576" i="4"/>
  <c r="CC576" i="4"/>
  <c r="CB576" i="4"/>
  <c r="CA576" i="4"/>
  <c r="BZ576" i="4"/>
  <c r="BY576" i="4"/>
  <c r="BX576" i="4"/>
  <c r="BV576" i="4"/>
  <c r="BU576" i="4"/>
  <c r="BT576" i="4"/>
  <c r="BS576" i="4"/>
  <c r="BQ576" i="4"/>
  <c r="BP576" i="4"/>
  <c r="BO576" i="4"/>
  <c r="BN576" i="4"/>
  <c r="BM576" i="4"/>
  <c r="BL576" i="4"/>
  <c r="BK576" i="4"/>
  <c r="BJ576" i="4"/>
  <c r="BI576" i="4"/>
  <c r="BH576" i="4"/>
  <c r="BG576" i="4"/>
  <c r="BF576" i="4"/>
  <c r="BE576" i="4"/>
  <c r="BD576" i="4"/>
  <c r="BC576" i="4"/>
  <c r="BB576" i="4"/>
  <c r="BA576" i="4"/>
  <c r="AZ576" i="4"/>
  <c r="AY576" i="4"/>
  <c r="AX576" i="4"/>
  <c r="AW576" i="4"/>
  <c r="AV576" i="4"/>
  <c r="AU576" i="4"/>
  <c r="AT576" i="4"/>
  <c r="AS576" i="4"/>
  <c r="AR576" i="4"/>
  <c r="AQ576" i="4"/>
  <c r="AP576" i="4"/>
  <c r="AO576" i="4"/>
  <c r="AN576" i="4"/>
  <c r="AM576" i="4"/>
  <c r="AL576" i="4"/>
  <c r="AK576" i="4"/>
  <c r="AJ576" i="4"/>
  <c r="AI576" i="4"/>
  <c r="AH576" i="4"/>
  <c r="AG576" i="4"/>
  <c r="AF576" i="4"/>
  <c r="AE576" i="4"/>
  <c r="AD576" i="4"/>
  <c r="AC576" i="4"/>
  <c r="AB576" i="4"/>
  <c r="AA576" i="4"/>
  <c r="Z576" i="4"/>
  <c r="Y576" i="4"/>
  <c r="X576" i="4"/>
  <c r="V576" i="4"/>
  <c r="U576" i="4"/>
  <c r="T576" i="4"/>
  <c r="S576" i="4"/>
  <c r="R576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576" i="4"/>
  <c r="B576" i="4"/>
  <c r="A576" i="4"/>
  <c r="CJ575" i="4"/>
  <c r="CI575" i="4"/>
  <c r="CH575" i="4"/>
  <c r="CG575" i="4"/>
  <c r="CF575" i="4"/>
  <c r="CE575" i="4"/>
  <c r="CD575" i="4"/>
  <c r="CC575" i="4"/>
  <c r="CB575" i="4"/>
  <c r="CA575" i="4"/>
  <c r="BZ575" i="4"/>
  <c r="BY575" i="4"/>
  <c r="BX575" i="4"/>
  <c r="BV575" i="4"/>
  <c r="BU575" i="4"/>
  <c r="BT575" i="4"/>
  <c r="BS575" i="4"/>
  <c r="BQ575" i="4"/>
  <c r="BP575" i="4"/>
  <c r="BO575" i="4"/>
  <c r="BN575" i="4"/>
  <c r="BM575" i="4"/>
  <c r="BL575" i="4"/>
  <c r="BK575" i="4"/>
  <c r="BJ575" i="4"/>
  <c r="BI575" i="4"/>
  <c r="BH575" i="4"/>
  <c r="BG575" i="4"/>
  <c r="BF575" i="4"/>
  <c r="BE575" i="4"/>
  <c r="BD575" i="4"/>
  <c r="BC575" i="4"/>
  <c r="BB575" i="4"/>
  <c r="BA575" i="4"/>
  <c r="AZ575" i="4"/>
  <c r="AY575" i="4"/>
  <c r="AX575" i="4"/>
  <c r="AW575" i="4"/>
  <c r="AV575" i="4"/>
  <c r="AU575" i="4"/>
  <c r="AT575" i="4"/>
  <c r="AS575" i="4"/>
  <c r="AR575" i="4"/>
  <c r="AQ575" i="4"/>
  <c r="AP575" i="4"/>
  <c r="AO575" i="4"/>
  <c r="AN575" i="4"/>
  <c r="AM575" i="4"/>
  <c r="AL575" i="4"/>
  <c r="AK575" i="4"/>
  <c r="AJ575" i="4"/>
  <c r="AI575" i="4"/>
  <c r="AH575" i="4"/>
  <c r="AG575" i="4"/>
  <c r="AF575" i="4"/>
  <c r="AE575" i="4"/>
  <c r="AD575" i="4"/>
  <c r="AC575" i="4"/>
  <c r="AB575" i="4"/>
  <c r="AA575" i="4"/>
  <c r="Z575" i="4"/>
  <c r="Y575" i="4"/>
  <c r="X575" i="4"/>
  <c r="V575" i="4"/>
  <c r="U575" i="4"/>
  <c r="T575" i="4"/>
  <c r="S575" i="4"/>
  <c r="R575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575" i="4"/>
  <c r="B575" i="4"/>
  <c r="A575" i="4"/>
  <c r="CJ574" i="4"/>
  <c r="CH574" i="4"/>
  <c r="CG574" i="4"/>
  <c r="CF574" i="4"/>
  <c r="CE574" i="4"/>
  <c r="CD574" i="4"/>
  <c r="CC574" i="4"/>
  <c r="CB574" i="4"/>
  <c r="CA574" i="4"/>
  <c r="BZ574" i="4"/>
  <c r="BY574" i="4"/>
  <c r="BX574" i="4"/>
  <c r="BW574" i="4"/>
  <c r="BV574" i="4"/>
  <c r="BU574" i="4"/>
  <c r="BT574" i="4"/>
  <c r="BQ574" i="4"/>
  <c r="BP574" i="4"/>
  <c r="BO574" i="4"/>
  <c r="BN574" i="4"/>
  <c r="BM574" i="4"/>
  <c r="BL574" i="4"/>
  <c r="BK574" i="4"/>
  <c r="BJ574" i="4"/>
  <c r="BI574" i="4"/>
  <c r="BH574" i="4"/>
  <c r="BG574" i="4"/>
  <c r="BF574" i="4"/>
  <c r="BE574" i="4"/>
  <c r="BD574" i="4"/>
  <c r="BC574" i="4"/>
  <c r="BB574" i="4"/>
  <c r="BA574" i="4"/>
  <c r="AZ574" i="4"/>
  <c r="AY574" i="4"/>
  <c r="AX574" i="4"/>
  <c r="AW574" i="4"/>
  <c r="AV574" i="4"/>
  <c r="AU574" i="4"/>
  <c r="AT574" i="4"/>
  <c r="AS574" i="4"/>
  <c r="AR574" i="4"/>
  <c r="AQ574" i="4"/>
  <c r="AP574" i="4"/>
  <c r="AO574" i="4"/>
  <c r="AN574" i="4"/>
  <c r="AM574" i="4"/>
  <c r="AL574" i="4"/>
  <c r="AK574" i="4"/>
  <c r="AJ574" i="4"/>
  <c r="AI574" i="4"/>
  <c r="AH574" i="4"/>
  <c r="AG574" i="4"/>
  <c r="AF574" i="4"/>
  <c r="AE574" i="4"/>
  <c r="AD574" i="4"/>
  <c r="AC574" i="4"/>
  <c r="AB574" i="4"/>
  <c r="AA574" i="4"/>
  <c r="Z574" i="4"/>
  <c r="Y574" i="4"/>
  <c r="X574" i="4"/>
  <c r="V574" i="4"/>
  <c r="U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574" i="4"/>
  <c r="B574" i="4"/>
  <c r="A574" i="4"/>
  <c r="CJ573" i="4"/>
  <c r="CH573" i="4"/>
  <c r="CG573" i="4"/>
  <c r="CF573" i="4"/>
  <c r="CE573" i="4"/>
  <c r="CD573" i="4"/>
  <c r="CC573" i="4"/>
  <c r="CB573" i="4"/>
  <c r="CA573" i="4"/>
  <c r="BZ573" i="4"/>
  <c r="BY573" i="4"/>
  <c r="BX573" i="4"/>
  <c r="BW573" i="4"/>
  <c r="BV573" i="4"/>
  <c r="BU573" i="4"/>
  <c r="BT573" i="4"/>
  <c r="BQ573" i="4"/>
  <c r="BP573" i="4"/>
  <c r="BO573" i="4"/>
  <c r="BN573" i="4"/>
  <c r="BM573" i="4"/>
  <c r="BL573" i="4"/>
  <c r="BK573" i="4"/>
  <c r="BJ573" i="4"/>
  <c r="BI573" i="4"/>
  <c r="BH573" i="4"/>
  <c r="BG573" i="4"/>
  <c r="BF573" i="4"/>
  <c r="BE573" i="4"/>
  <c r="BD573" i="4"/>
  <c r="BC573" i="4"/>
  <c r="BB573" i="4"/>
  <c r="BA573" i="4"/>
  <c r="AZ573" i="4"/>
  <c r="AY573" i="4"/>
  <c r="AX573" i="4"/>
  <c r="AW573" i="4"/>
  <c r="AV573" i="4"/>
  <c r="AU573" i="4"/>
  <c r="AT573" i="4"/>
  <c r="AS573" i="4"/>
  <c r="AR573" i="4"/>
  <c r="AQ573" i="4"/>
  <c r="AP573" i="4"/>
  <c r="AO573" i="4"/>
  <c r="AN573" i="4"/>
  <c r="AM573" i="4"/>
  <c r="AL573" i="4"/>
  <c r="AK573" i="4"/>
  <c r="AJ573" i="4"/>
  <c r="AI573" i="4"/>
  <c r="AH573" i="4"/>
  <c r="AG573" i="4"/>
  <c r="AF573" i="4"/>
  <c r="AE573" i="4"/>
  <c r="AD573" i="4"/>
  <c r="AC573" i="4"/>
  <c r="AB573" i="4"/>
  <c r="AA573" i="4"/>
  <c r="Z573" i="4"/>
  <c r="Y573" i="4"/>
  <c r="X573" i="4"/>
  <c r="V573" i="4"/>
  <c r="U573" i="4"/>
  <c r="T573" i="4"/>
  <c r="S573" i="4"/>
  <c r="R573" i="4"/>
  <c r="Q573" i="4"/>
  <c r="P573" i="4"/>
  <c r="O573" i="4"/>
  <c r="N573" i="4"/>
  <c r="M573" i="4"/>
  <c r="L573" i="4"/>
  <c r="K573" i="4"/>
  <c r="J573" i="4"/>
  <c r="I573" i="4"/>
  <c r="H573" i="4"/>
  <c r="F573" i="4"/>
  <c r="E573" i="4"/>
  <c r="D573" i="4"/>
  <c r="C573" i="4"/>
  <c r="B573" i="4"/>
  <c r="A573" i="4"/>
  <c r="CJ572" i="4"/>
  <c r="CH572" i="4"/>
  <c r="CG572" i="4"/>
  <c r="CF572" i="4"/>
  <c r="CE572" i="4"/>
  <c r="CD572" i="4"/>
  <c r="CC572" i="4"/>
  <c r="CB572" i="4"/>
  <c r="CA572" i="4"/>
  <c r="BZ572" i="4"/>
  <c r="BY572" i="4"/>
  <c r="BX572" i="4"/>
  <c r="BW572" i="4"/>
  <c r="BV572" i="4"/>
  <c r="BU572" i="4"/>
  <c r="BT572" i="4"/>
  <c r="BQ572" i="4"/>
  <c r="BP572" i="4"/>
  <c r="BO572" i="4"/>
  <c r="BN572" i="4"/>
  <c r="BM572" i="4"/>
  <c r="BL572" i="4"/>
  <c r="BK572" i="4"/>
  <c r="BJ572" i="4"/>
  <c r="BI572" i="4"/>
  <c r="BH572" i="4"/>
  <c r="BG572" i="4"/>
  <c r="BF572" i="4"/>
  <c r="BE572" i="4"/>
  <c r="BD572" i="4"/>
  <c r="BC572" i="4"/>
  <c r="BB572" i="4"/>
  <c r="BA572" i="4"/>
  <c r="AZ572" i="4"/>
  <c r="AY572" i="4"/>
  <c r="AX572" i="4"/>
  <c r="AW572" i="4"/>
  <c r="AV572" i="4"/>
  <c r="AU572" i="4"/>
  <c r="AT572" i="4"/>
  <c r="AS572" i="4"/>
  <c r="AR572" i="4"/>
  <c r="AQ572" i="4"/>
  <c r="AP572" i="4"/>
  <c r="AO572" i="4"/>
  <c r="AN572" i="4"/>
  <c r="AM572" i="4"/>
  <c r="AL572" i="4"/>
  <c r="AK572" i="4"/>
  <c r="AJ572" i="4"/>
  <c r="AI572" i="4"/>
  <c r="AH572" i="4"/>
  <c r="AG572" i="4"/>
  <c r="AF572" i="4"/>
  <c r="AE572" i="4"/>
  <c r="AD572" i="4"/>
  <c r="AC572" i="4"/>
  <c r="AB572" i="4"/>
  <c r="AA572" i="4"/>
  <c r="Z572" i="4"/>
  <c r="Y572" i="4"/>
  <c r="X572" i="4"/>
  <c r="V572" i="4"/>
  <c r="U572" i="4"/>
  <c r="T572" i="4"/>
  <c r="S572" i="4"/>
  <c r="R572" i="4"/>
  <c r="Q572" i="4"/>
  <c r="P572" i="4"/>
  <c r="O572" i="4"/>
  <c r="N572" i="4"/>
  <c r="M572" i="4"/>
  <c r="L572" i="4"/>
  <c r="K572" i="4"/>
  <c r="J572" i="4"/>
  <c r="I572" i="4"/>
  <c r="H572" i="4"/>
  <c r="G572" i="4"/>
  <c r="F572" i="4"/>
  <c r="E572" i="4"/>
  <c r="D572" i="4"/>
  <c r="C572" i="4"/>
  <c r="B572" i="4"/>
  <c r="A572" i="4"/>
  <c r="CJ571" i="4"/>
  <c r="CH571" i="4"/>
  <c r="CG571" i="4"/>
  <c r="CF571" i="4"/>
  <c r="CE571" i="4"/>
  <c r="CD571" i="4"/>
  <c r="CC571" i="4"/>
  <c r="CB571" i="4"/>
  <c r="CA571" i="4"/>
  <c r="BZ571" i="4"/>
  <c r="BY571" i="4"/>
  <c r="BX571" i="4"/>
  <c r="BW571" i="4"/>
  <c r="BV571" i="4"/>
  <c r="BU571" i="4"/>
  <c r="BT571" i="4"/>
  <c r="BQ571" i="4"/>
  <c r="BP571" i="4"/>
  <c r="BO571" i="4"/>
  <c r="BN571" i="4"/>
  <c r="BM571" i="4"/>
  <c r="BL571" i="4"/>
  <c r="BK571" i="4"/>
  <c r="BJ571" i="4"/>
  <c r="BI571" i="4"/>
  <c r="BH571" i="4"/>
  <c r="BG571" i="4"/>
  <c r="BF571" i="4"/>
  <c r="BE571" i="4"/>
  <c r="BD571" i="4"/>
  <c r="BC571" i="4"/>
  <c r="BB571" i="4"/>
  <c r="BA571" i="4"/>
  <c r="AZ571" i="4"/>
  <c r="AY571" i="4"/>
  <c r="AX571" i="4"/>
  <c r="AW571" i="4"/>
  <c r="AV571" i="4"/>
  <c r="AU571" i="4"/>
  <c r="AT571" i="4"/>
  <c r="AS571" i="4"/>
  <c r="AR571" i="4"/>
  <c r="AQ571" i="4"/>
  <c r="AP571" i="4"/>
  <c r="AO571" i="4"/>
  <c r="AN571" i="4"/>
  <c r="AM571" i="4"/>
  <c r="AL571" i="4"/>
  <c r="AK571" i="4"/>
  <c r="AJ571" i="4"/>
  <c r="AI571" i="4"/>
  <c r="AH571" i="4"/>
  <c r="AG571" i="4"/>
  <c r="AF571" i="4"/>
  <c r="AE571" i="4"/>
  <c r="AD571" i="4"/>
  <c r="AC571" i="4"/>
  <c r="AB571" i="4"/>
  <c r="AA571" i="4"/>
  <c r="Z571" i="4"/>
  <c r="Y571" i="4"/>
  <c r="X571" i="4"/>
  <c r="V571" i="4"/>
  <c r="U571" i="4"/>
  <c r="T571" i="4"/>
  <c r="S571" i="4"/>
  <c r="R571" i="4"/>
  <c r="Q571" i="4"/>
  <c r="P571" i="4"/>
  <c r="O571" i="4"/>
  <c r="N571" i="4"/>
  <c r="M571" i="4"/>
  <c r="L571" i="4"/>
  <c r="K571" i="4"/>
  <c r="J571" i="4"/>
  <c r="I571" i="4"/>
  <c r="H571" i="4"/>
  <c r="G571" i="4"/>
  <c r="F571" i="4"/>
  <c r="E571" i="4"/>
  <c r="D571" i="4"/>
  <c r="C571" i="4"/>
  <c r="B571" i="4"/>
  <c r="A571" i="4"/>
  <c r="CJ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B570" i="4"/>
  <c r="A570" i="4"/>
  <c r="CJ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569" i="4"/>
  <c r="B569" i="4"/>
  <c r="A569" i="4"/>
  <c r="CJ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A568" i="4"/>
  <c r="CJ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567" i="4"/>
  <c r="B567" i="4"/>
  <c r="A567" i="4"/>
  <c r="CJ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B566" i="4"/>
  <c r="A566" i="4"/>
  <c r="CJ565" i="4"/>
  <c r="CH565" i="4"/>
  <c r="CG565" i="4"/>
  <c r="CF565" i="4"/>
  <c r="CE565" i="4"/>
  <c r="CD565" i="4"/>
  <c r="CC565" i="4"/>
  <c r="CB565" i="4"/>
  <c r="CA565" i="4"/>
  <c r="BZ565" i="4"/>
  <c r="BY565" i="4"/>
  <c r="BX565" i="4"/>
  <c r="BW565" i="4"/>
  <c r="BV565" i="4"/>
  <c r="BU565" i="4"/>
  <c r="BT565" i="4"/>
  <c r="BQ565" i="4"/>
  <c r="BP565" i="4"/>
  <c r="BO565" i="4"/>
  <c r="BN565" i="4"/>
  <c r="BM565" i="4"/>
  <c r="BL565" i="4"/>
  <c r="BK565" i="4"/>
  <c r="BJ565" i="4"/>
  <c r="BI565" i="4"/>
  <c r="BH565" i="4"/>
  <c r="BG565" i="4"/>
  <c r="BF565" i="4"/>
  <c r="BE565" i="4"/>
  <c r="BD565" i="4"/>
  <c r="BC565" i="4"/>
  <c r="BB565" i="4"/>
  <c r="BA565" i="4"/>
  <c r="AZ565" i="4"/>
  <c r="AY565" i="4"/>
  <c r="AX565" i="4"/>
  <c r="AW565" i="4"/>
  <c r="AV565" i="4"/>
  <c r="AU565" i="4"/>
  <c r="AT565" i="4"/>
  <c r="AS565" i="4"/>
  <c r="AR565" i="4"/>
  <c r="AQ565" i="4"/>
  <c r="AP565" i="4"/>
  <c r="AO565" i="4"/>
  <c r="AN565" i="4"/>
  <c r="AM565" i="4"/>
  <c r="AL565" i="4"/>
  <c r="AK565" i="4"/>
  <c r="AJ565" i="4"/>
  <c r="AI565" i="4"/>
  <c r="AH565" i="4"/>
  <c r="AG565" i="4"/>
  <c r="AF565" i="4"/>
  <c r="AE565" i="4"/>
  <c r="AD565" i="4"/>
  <c r="AC565" i="4"/>
  <c r="AB565" i="4"/>
  <c r="AA565" i="4"/>
  <c r="Z565" i="4"/>
  <c r="Y565" i="4"/>
  <c r="X565" i="4"/>
  <c r="V565" i="4"/>
  <c r="U565" i="4"/>
  <c r="T565" i="4"/>
  <c r="S565" i="4"/>
  <c r="R565" i="4"/>
  <c r="Q565" i="4"/>
  <c r="P565" i="4"/>
  <c r="O565" i="4"/>
  <c r="N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A565" i="4"/>
  <c r="CJ564" i="4"/>
  <c r="CH564" i="4"/>
  <c r="CG564" i="4"/>
  <c r="CF564" i="4"/>
  <c r="CE564" i="4"/>
  <c r="CD564" i="4"/>
  <c r="CC564" i="4"/>
  <c r="CB564" i="4"/>
  <c r="CA564" i="4"/>
  <c r="BZ564" i="4"/>
  <c r="BY564" i="4"/>
  <c r="BX564" i="4"/>
  <c r="BW564" i="4"/>
  <c r="BV564" i="4"/>
  <c r="BU564" i="4"/>
  <c r="BT564" i="4"/>
  <c r="BQ564" i="4"/>
  <c r="BP564" i="4"/>
  <c r="BO564" i="4"/>
  <c r="BN564" i="4"/>
  <c r="BM564" i="4"/>
  <c r="BL564" i="4"/>
  <c r="BK564" i="4"/>
  <c r="BJ564" i="4"/>
  <c r="BI564" i="4"/>
  <c r="BH564" i="4"/>
  <c r="BG564" i="4"/>
  <c r="BF564" i="4"/>
  <c r="BE564" i="4"/>
  <c r="BD564" i="4"/>
  <c r="BC564" i="4"/>
  <c r="BB564" i="4"/>
  <c r="BA564" i="4"/>
  <c r="AZ564" i="4"/>
  <c r="AY564" i="4"/>
  <c r="AX564" i="4"/>
  <c r="AW564" i="4"/>
  <c r="AV564" i="4"/>
  <c r="AU564" i="4"/>
  <c r="AT564" i="4"/>
  <c r="AS564" i="4"/>
  <c r="AR564" i="4"/>
  <c r="AQ564" i="4"/>
  <c r="AP564" i="4"/>
  <c r="AO564" i="4"/>
  <c r="AN564" i="4"/>
  <c r="AM564" i="4"/>
  <c r="AL564" i="4"/>
  <c r="AK564" i="4"/>
  <c r="AJ564" i="4"/>
  <c r="AI564" i="4"/>
  <c r="AH564" i="4"/>
  <c r="AG564" i="4"/>
  <c r="AF564" i="4"/>
  <c r="AE564" i="4"/>
  <c r="AD564" i="4"/>
  <c r="AC564" i="4"/>
  <c r="AB564" i="4"/>
  <c r="AA564" i="4"/>
  <c r="Z564" i="4"/>
  <c r="Y564" i="4"/>
  <c r="X564" i="4"/>
  <c r="V564" i="4"/>
  <c r="U564" i="4"/>
  <c r="T564" i="4"/>
  <c r="S564" i="4"/>
  <c r="R564" i="4"/>
  <c r="Q564" i="4"/>
  <c r="P564" i="4"/>
  <c r="O564" i="4"/>
  <c r="N564" i="4"/>
  <c r="M564" i="4"/>
  <c r="L564" i="4"/>
  <c r="K564" i="4"/>
  <c r="J564" i="4"/>
  <c r="I564" i="4"/>
  <c r="H564" i="4"/>
  <c r="G564" i="4"/>
  <c r="F564" i="4"/>
  <c r="E564" i="4"/>
  <c r="D564" i="4"/>
  <c r="C564" i="4"/>
  <c r="B564" i="4"/>
  <c r="A564" i="4"/>
  <c r="CJ563" i="4"/>
  <c r="CH563" i="4"/>
  <c r="CG563" i="4"/>
  <c r="CF563" i="4"/>
  <c r="CE563" i="4"/>
  <c r="CD563" i="4"/>
  <c r="CC563" i="4"/>
  <c r="CB563" i="4"/>
  <c r="CA563" i="4"/>
  <c r="BZ563" i="4"/>
  <c r="BY563" i="4"/>
  <c r="BX563" i="4"/>
  <c r="BW563" i="4"/>
  <c r="BV563" i="4"/>
  <c r="BU563" i="4"/>
  <c r="BT563" i="4"/>
  <c r="BQ563" i="4"/>
  <c r="BP563" i="4"/>
  <c r="BO563" i="4"/>
  <c r="BN563" i="4"/>
  <c r="BM563" i="4"/>
  <c r="BL563" i="4"/>
  <c r="BK563" i="4"/>
  <c r="BJ563" i="4"/>
  <c r="BI563" i="4"/>
  <c r="BH563" i="4"/>
  <c r="BG563" i="4"/>
  <c r="BF563" i="4"/>
  <c r="BE563" i="4"/>
  <c r="BD563" i="4"/>
  <c r="BC563" i="4"/>
  <c r="BB563" i="4"/>
  <c r="BA563" i="4"/>
  <c r="AZ563" i="4"/>
  <c r="AY563" i="4"/>
  <c r="AX563" i="4"/>
  <c r="AW563" i="4"/>
  <c r="AV563" i="4"/>
  <c r="AU563" i="4"/>
  <c r="AT563" i="4"/>
  <c r="AS563" i="4"/>
  <c r="AR563" i="4"/>
  <c r="AQ563" i="4"/>
  <c r="AP563" i="4"/>
  <c r="AO563" i="4"/>
  <c r="AN563" i="4"/>
  <c r="AM563" i="4"/>
  <c r="AL563" i="4"/>
  <c r="AK563" i="4"/>
  <c r="AJ563" i="4"/>
  <c r="AI563" i="4"/>
  <c r="AH563" i="4"/>
  <c r="AG563" i="4"/>
  <c r="AF563" i="4"/>
  <c r="AE563" i="4"/>
  <c r="AD563" i="4"/>
  <c r="AC563" i="4"/>
  <c r="AB563" i="4"/>
  <c r="AA563" i="4"/>
  <c r="Z563" i="4"/>
  <c r="Y563" i="4"/>
  <c r="X563" i="4"/>
  <c r="V563" i="4"/>
  <c r="U563" i="4"/>
  <c r="T563" i="4"/>
  <c r="S563" i="4"/>
  <c r="R563" i="4"/>
  <c r="Q563" i="4"/>
  <c r="P563" i="4"/>
  <c r="O563" i="4"/>
  <c r="N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A563" i="4"/>
  <c r="CJ562" i="4"/>
  <c r="CH562" i="4"/>
  <c r="CG562" i="4"/>
  <c r="CF562" i="4"/>
  <c r="CE562" i="4"/>
  <c r="CD562" i="4"/>
  <c r="CC562" i="4"/>
  <c r="CB562" i="4"/>
  <c r="CA562" i="4"/>
  <c r="BZ562" i="4"/>
  <c r="BY562" i="4"/>
  <c r="BX562" i="4"/>
  <c r="BW562" i="4"/>
  <c r="BV562" i="4"/>
  <c r="BU562" i="4"/>
  <c r="BT562" i="4"/>
  <c r="BQ562" i="4"/>
  <c r="BP562" i="4"/>
  <c r="BO562" i="4"/>
  <c r="BN562" i="4"/>
  <c r="BM562" i="4"/>
  <c r="BL562" i="4"/>
  <c r="BK562" i="4"/>
  <c r="BJ562" i="4"/>
  <c r="BI562" i="4"/>
  <c r="BH562" i="4"/>
  <c r="BG562" i="4"/>
  <c r="BF562" i="4"/>
  <c r="BE562" i="4"/>
  <c r="BD562" i="4"/>
  <c r="BC562" i="4"/>
  <c r="BB562" i="4"/>
  <c r="BA562" i="4"/>
  <c r="AZ562" i="4"/>
  <c r="AY562" i="4"/>
  <c r="AX562" i="4"/>
  <c r="AW562" i="4"/>
  <c r="AV562" i="4"/>
  <c r="AU562" i="4"/>
  <c r="AT562" i="4"/>
  <c r="AS562" i="4"/>
  <c r="AR562" i="4"/>
  <c r="AQ562" i="4"/>
  <c r="AP562" i="4"/>
  <c r="AO562" i="4"/>
  <c r="AN562" i="4"/>
  <c r="AM562" i="4"/>
  <c r="AL562" i="4"/>
  <c r="AK562" i="4"/>
  <c r="AJ562" i="4"/>
  <c r="AI562" i="4"/>
  <c r="AH562" i="4"/>
  <c r="AG562" i="4"/>
  <c r="AF562" i="4"/>
  <c r="AE562" i="4"/>
  <c r="AD562" i="4"/>
  <c r="AC562" i="4"/>
  <c r="AB562" i="4"/>
  <c r="AA562" i="4"/>
  <c r="Z562" i="4"/>
  <c r="Y562" i="4"/>
  <c r="X562" i="4"/>
  <c r="V562" i="4"/>
  <c r="U562" i="4"/>
  <c r="T562" i="4"/>
  <c r="S562" i="4"/>
  <c r="R562" i="4"/>
  <c r="Q562" i="4"/>
  <c r="P562" i="4"/>
  <c r="O562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B562" i="4"/>
  <c r="A562" i="4"/>
  <c r="CJ561" i="4"/>
  <c r="CH561" i="4"/>
  <c r="CG561" i="4"/>
  <c r="CF561" i="4"/>
  <c r="CE561" i="4"/>
  <c r="CD561" i="4"/>
  <c r="CC561" i="4"/>
  <c r="CB561" i="4"/>
  <c r="CA561" i="4"/>
  <c r="BZ561" i="4"/>
  <c r="BY561" i="4"/>
  <c r="BX561" i="4"/>
  <c r="BW561" i="4"/>
  <c r="BV561" i="4"/>
  <c r="BU561" i="4"/>
  <c r="BT561" i="4"/>
  <c r="BQ561" i="4"/>
  <c r="BP561" i="4"/>
  <c r="BO561" i="4"/>
  <c r="BN561" i="4"/>
  <c r="BM561" i="4"/>
  <c r="BL561" i="4"/>
  <c r="BK561" i="4"/>
  <c r="BJ561" i="4"/>
  <c r="BI561" i="4"/>
  <c r="BH561" i="4"/>
  <c r="BG561" i="4"/>
  <c r="BF561" i="4"/>
  <c r="BE561" i="4"/>
  <c r="BD561" i="4"/>
  <c r="BC561" i="4"/>
  <c r="BB561" i="4"/>
  <c r="BA561" i="4"/>
  <c r="AZ561" i="4"/>
  <c r="AY561" i="4"/>
  <c r="AX561" i="4"/>
  <c r="AW561" i="4"/>
  <c r="AV561" i="4"/>
  <c r="AU561" i="4"/>
  <c r="AT561" i="4"/>
  <c r="AS561" i="4"/>
  <c r="AR561" i="4"/>
  <c r="AQ561" i="4"/>
  <c r="AP561" i="4"/>
  <c r="AO561" i="4"/>
  <c r="AN561" i="4"/>
  <c r="AM561" i="4"/>
  <c r="AL561" i="4"/>
  <c r="AK561" i="4"/>
  <c r="AJ561" i="4"/>
  <c r="AI561" i="4"/>
  <c r="AH561" i="4"/>
  <c r="AG561" i="4"/>
  <c r="AF561" i="4"/>
  <c r="AE561" i="4"/>
  <c r="AD561" i="4"/>
  <c r="AC561" i="4"/>
  <c r="AB561" i="4"/>
  <c r="AA561" i="4"/>
  <c r="Z561" i="4"/>
  <c r="Y561" i="4"/>
  <c r="X561" i="4"/>
  <c r="V561" i="4"/>
  <c r="U561" i="4"/>
  <c r="T561" i="4"/>
  <c r="S561" i="4"/>
  <c r="R561" i="4"/>
  <c r="Q561" i="4"/>
  <c r="P561" i="4"/>
  <c r="O561" i="4"/>
  <c r="N561" i="4"/>
  <c r="M561" i="4"/>
  <c r="L561" i="4"/>
  <c r="K561" i="4"/>
  <c r="J561" i="4"/>
  <c r="I561" i="4"/>
  <c r="H561" i="4"/>
  <c r="G561" i="4"/>
  <c r="F561" i="4"/>
  <c r="E561" i="4"/>
  <c r="D561" i="4"/>
  <c r="C561" i="4"/>
  <c r="B561" i="4"/>
  <c r="A561" i="4"/>
  <c r="CJ560" i="4"/>
  <c r="CH560" i="4"/>
  <c r="CG560" i="4"/>
  <c r="CF560" i="4"/>
  <c r="CE560" i="4"/>
  <c r="CD560" i="4"/>
  <c r="CC560" i="4"/>
  <c r="CB560" i="4"/>
  <c r="CA560" i="4"/>
  <c r="BZ560" i="4"/>
  <c r="BY560" i="4"/>
  <c r="BX560" i="4"/>
  <c r="BW560" i="4"/>
  <c r="BV560" i="4"/>
  <c r="BU560" i="4"/>
  <c r="BT560" i="4"/>
  <c r="BQ560" i="4"/>
  <c r="BP560" i="4"/>
  <c r="BO560" i="4"/>
  <c r="BN560" i="4"/>
  <c r="BM560" i="4"/>
  <c r="BL560" i="4"/>
  <c r="BK560" i="4"/>
  <c r="BJ560" i="4"/>
  <c r="BI560" i="4"/>
  <c r="BH560" i="4"/>
  <c r="BG560" i="4"/>
  <c r="BF560" i="4"/>
  <c r="BE560" i="4"/>
  <c r="BD560" i="4"/>
  <c r="BC560" i="4"/>
  <c r="BB560" i="4"/>
  <c r="BA560" i="4"/>
  <c r="AZ560" i="4"/>
  <c r="AY560" i="4"/>
  <c r="AX560" i="4"/>
  <c r="AW560" i="4"/>
  <c r="AV560" i="4"/>
  <c r="AU560" i="4"/>
  <c r="AT560" i="4"/>
  <c r="AS560" i="4"/>
  <c r="AR560" i="4"/>
  <c r="AQ560" i="4"/>
  <c r="AP560" i="4"/>
  <c r="AO560" i="4"/>
  <c r="AN560" i="4"/>
  <c r="AM560" i="4"/>
  <c r="AL560" i="4"/>
  <c r="AK560" i="4"/>
  <c r="AJ560" i="4"/>
  <c r="AI560" i="4"/>
  <c r="AH560" i="4"/>
  <c r="AG560" i="4"/>
  <c r="AF560" i="4"/>
  <c r="AE560" i="4"/>
  <c r="AD560" i="4"/>
  <c r="AC560" i="4"/>
  <c r="AB560" i="4"/>
  <c r="AA560" i="4"/>
  <c r="Z560" i="4"/>
  <c r="Y560" i="4"/>
  <c r="X560" i="4"/>
  <c r="V560" i="4"/>
  <c r="U560" i="4"/>
  <c r="T560" i="4"/>
  <c r="S560" i="4"/>
  <c r="R560" i="4"/>
  <c r="Q560" i="4"/>
  <c r="P560" i="4"/>
  <c r="O560" i="4"/>
  <c r="N560" i="4"/>
  <c r="M560" i="4"/>
  <c r="L560" i="4"/>
  <c r="K560" i="4"/>
  <c r="J560" i="4"/>
  <c r="I560" i="4"/>
  <c r="H560" i="4"/>
  <c r="G560" i="4"/>
  <c r="F560" i="4"/>
  <c r="E560" i="4"/>
  <c r="D560" i="4"/>
  <c r="C560" i="4"/>
  <c r="B560" i="4"/>
  <c r="A560" i="4"/>
  <c r="CJ559" i="4"/>
  <c r="CH559" i="4"/>
  <c r="CG559" i="4"/>
  <c r="CF559" i="4"/>
  <c r="CE559" i="4"/>
  <c r="CD559" i="4"/>
  <c r="CC559" i="4"/>
  <c r="CB559" i="4"/>
  <c r="CA559" i="4"/>
  <c r="BZ559" i="4"/>
  <c r="BY559" i="4"/>
  <c r="BX559" i="4"/>
  <c r="BW559" i="4"/>
  <c r="BV559" i="4"/>
  <c r="BU559" i="4"/>
  <c r="BT559" i="4"/>
  <c r="BQ559" i="4"/>
  <c r="BP559" i="4"/>
  <c r="BO559" i="4"/>
  <c r="BN559" i="4"/>
  <c r="BM559" i="4"/>
  <c r="BL559" i="4"/>
  <c r="BK559" i="4"/>
  <c r="BJ559" i="4"/>
  <c r="BI559" i="4"/>
  <c r="BH559" i="4"/>
  <c r="BG559" i="4"/>
  <c r="BF559" i="4"/>
  <c r="BE559" i="4"/>
  <c r="BD559" i="4"/>
  <c r="BC559" i="4"/>
  <c r="BB559" i="4"/>
  <c r="BA559" i="4"/>
  <c r="AZ559" i="4"/>
  <c r="AY559" i="4"/>
  <c r="AX559" i="4"/>
  <c r="AW559" i="4"/>
  <c r="AV559" i="4"/>
  <c r="AU559" i="4"/>
  <c r="AT559" i="4"/>
  <c r="AS559" i="4"/>
  <c r="AR559" i="4"/>
  <c r="AQ559" i="4"/>
  <c r="AP559" i="4"/>
  <c r="AO559" i="4"/>
  <c r="AN559" i="4"/>
  <c r="AM559" i="4"/>
  <c r="AL559" i="4"/>
  <c r="AK559" i="4"/>
  <c r="AJ559" i="4"/>
  <c r="AI559" i="4"/>
  <c r="AH559" i="4"/>
  <c r="AG559" i="4"/>
  <c r="AF559" i="4"/>
  <c r="AE559" i="4"/>
  <c r="AD559" i="4"/>
  <c r="AC559" i="4"/>
  <c r="AB559" i="4"/>
  <c r="AA559" i="4"/>
  <c r="Z559" i="4"/>
  <c r="Y559" i="4"/>
  <c r="X559" i="4"/>
  <c r="V559" i="4"/>
  <c r="U559" i="4"/>
  <c r="T559" i="4"/>
  <c r="S559" i="4"/>
  <c r="R559" i="4"/>
  <c r="Q559" i="4"/>
  <c r="P559" i="4"/>
  <c r="O559" i="4"/>
  <c r="N559" i="4"/>
  <c r="M559" i="4"/>
  <c r="L559" i="4"/>
  <c r="K559" i="4"/>
  <c r="J559" i="4"/>
  <c r="I559" i="4"/>
  <c r="H559" i="4"/>
  <c r="G559" i="4"/>
  <c r="F559" i="4"/>
  <c r="E559" i="4"/>
  <c r="D559" i="4"/>
  <c r="C559" i="4"/>
  <c r="B559" i="4"/>
  <c r="A559" i="4"/>
  <c r="CJ558" i="4"/>
  <c r="CH558" i="4"/>
  <c r="CG558" i="4"/>
  <c r="CF558" i="4"/>
  <c r="CE558" i="4"/>
  <c r="CD558" i="4"/>
  <c r="CC558" i="4"/>
  <c r="CB558" i="4"/>
  <c r="CA558" i="4"/>
  <c r="BZ558" i="4"/>
  <c r="BY558" i="4"/>
  <c r="BX558" i="4"/>
  <c r="BW558" i="4"/>
  <c r="BV558" i="4"/>
  <c r="BU558" i="4"/>
  <c r="BT558" i="4"/>
  <c r="BQ558" i="4"/>
  <c r="BP558" i="4"/>
  <c r="BO558" i="4"/>
  <c r="BN558" i="4"/>
  <c r="BM558" i="4"/>
  <c r="BL558" i="4"/>
  <c r="BK558" i="4"/>
  <c r="BJ558" i="4"/>
  <c r="BI558" i="4"/>
  <c r="BH558" i="4"/>
  <c r="BG558" i="4"/>
  <c r="BF558" i="4"/>
  <c r="BE558" i="4"/>
  <c r="BD558" i="4"/>
  <c r="BC558" i="4"/>
  <c r="BB558" i="4"/>
  <c r="BA558" i="4"/>
  <c r="AZ558" i="4"/>
  <c r="AY558" i="4"/>
  <c r="AX558" i="4"/>
  <c r="AW558" i="4"/>
  <c r="AV558" i="4"/>
  <c r="AU558" i="4"/>
  <c r="AT558" i="4"/>
  <c r="AS558" i="4"/>
  <c r="AR558" i="4"/>
  <c r="AQ558" i="4"/>
  <c r="AP558" i="4"/>
  <c r="AO558" i="4"/>
  <c r="AN558" i="4"/>
  <c r="AM558" i="4"/>
  <c r="AL558" i="4"/>
  <c r="AK558" i="4"/>
  <c r="AJ558" i="4"/>
  <c r="AI558" i="4"/>
  <c r="AH558" i="4"/>
  <c r="AG558" i="4"/>
  <c r="AF558" i="4"/>
  <c r="AE558" i="4"/>
  <c r="AD558" i="4"/>
  <c r="AC558" i="4"/>
  <c r="AB558" i="4"/>
  <c r="AA558" i="4"/>
  <c r="Z558" i="4"/>
  <c r="Y558" i="4"/>
  <c r="X558" i="4"/>
  <c r="V558" i="4"/>
  <c r="U558" i="4"/>
  <c r="T558" i="4"/>
  <c r="S558" i="4"/>
  <c r="R558" i="4"/>
  <c r="Q558" i="4"/>
  <c r="P558" i="4"/>
  <c r="O558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A558" i="4"/>
  <c r="CJ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A557" i="4"/>
  <c r="CJ556" i="4"/>
  <c r="CH556" i="4"/>
  <c r="CG556" i="4"/>
  <c r="CF556" i="4"/>
  <c r="CE556" i="4"/>
  <c r="CD556" i="4"/>
  <c r="CC556" i="4"/>
  <c r="CB556" i="4"/>
  <c r="CA556" i="4"/>
  <c r="BZ556" i="4"/>
  <c r="BY556" i="4"/>
  <c r="BX556" i="4"/>
  <c r="BW556" i="4"/>
  <c r="BV556" i="4"/>
  <c r="BU556" i="4"/>
  <c r="BT556" i="4"/>
  <c r="BQ556" i="4"/>
  <c r="BP556" i="4"/>
  <c r="BO556" i="4"/>
  <c r="BN556" i="4"/>
  <c r="BM556" i="4"/>
  <c r="BL556" i="4"/>
  <c r="BK556" i="4"/>
  <c r="BJ556" i="4"/>
  <c r="BI556" i="4"/>
  <c r="BH556" i="4"/>
  <c r="BG556" i="4"/>
  <c r="BF556" i="4"/>
  <c r="BE556" i="4"/>
  <c r="BD556" i="4"/>
  <c r="BC556" i="4"/>
  <c r="BB556" i="4"/>
  <c r="BA556" i="4"/>
  <c r="AZ556" i="4"/>
  <c r="AY556" i="4"/>
  <c r="AX556" i="4"/>
  <c r="AW556" i="4"/>
  <c r="AV556" i="4"/>
  <c r="AU556" i="4"/>
  <c r="AT556" i="4"/>
  <c r="AS556" i="4"/>
  <c r="AR556" i="4"/>
  <c r="AQ556" i="4"/>
  <c r="AP556" i="4"/>
  <c r="AO556" i="4"/>
  <c r="AN556" i="4"/>
  <c r="AM556" i="4"/>
  <c r="AL556" i="4"/>
  <c r="AK556" i="4"/>
  <c r="AJ556" i="4"/>
  <c r="AI556" i="4"/>
  <c r="AH556" i="4"/>
  <c r="AG556" i="4"/>
  <c r="AF556" i="4"/>
  <c r="AE556" i="4"/>
  <c r="AD556" i="4"/>
  <c r="AC556" i="4"/>
  <c r="AB556" i="4"/>
  <c r="AA556" i="4"/>
  <c r="Z556" i="4"/>
  <c r="Y556" i="4"/>
  <c r="X556" i="4"/>
  <c r="V556" i="4"/>
  <c r="U556" i="4"/>
  <c r="T556" i="4"/>
  <c r="S556" i="4"/>
  <c r="R556" i="4"/>
  <c r="Q556" i="4"/>
  <c r="P556" i="4"/>
  <c r="O556" i="4"/>
  <c r="N556" i="4"/>
  <c r="M556" i="4"/>
  <c r="L556" i="4"/>
  <c r="K556" i="4"/>
  <c r="J556" i="4"/>
  <c r="I556" i="4"/>
  <c r="H556" i="4"/>
  <c r="G556" i="4"/>
  <c r="F556" i="4"/>
  <c r="E556" i="4"/>
  <c r="D556" i="4"/>
  <c r="C556" i="4"/>
  <c r="B556" i="4"/>
  <c r="A556" i="4"/>
  <c r="CJ555" i="4"/>
  <c r="CH555" i="4"/>
  <c r="CG555" i="4"/>
  <c r="CF555" i="4"/>
  <c r="CE555" i="4"/>
  <c r="CD555" i="4"/>
  <c r="CC555" i="4"/>
  <c r="CB555" i="4"/>
  <c r="CA555" i="4"/>
  <c r="BZ555" i="4"/>
  <c r="BY555" i="4"/>
  <c r="BX555" i="4"/>
  <c r="BW555" i="4"/>
  <c r="BV555" i="4"/>
  <c r="BU555" i="4"/>
  <c r="BT555" i="4"/>
  <c r="BQ555" i="4"/>
  <c r="BP555" i="4"/>
  <c r="BO555" i="4"/>
  <c r="BN555" i="4"/>
  <c r="BM555" i="4"/>
  <c r="BL555" i="4"/>
  <c r="BK555" i="4"/>
  <c r="BJ555" i="4"/>
  <c r="BI555" i="4"/>
  <c r="BH555" i="4"/>
  <c r="BG555" i="4"/>
  <c r="BF555" i="4"/>
  <c r="BE555" i="4"/>
  <c r="BD555" i="4"/>
  <c r="BC555" i="4"/>
  <c r="BB555" i="4"/>
  <c r="BA555" i="4"/>
  <c r="AZ555" i="4"/>
  <c r="AY555" i="4"/>
  <c r="AX555" i="4"/>
  <c r="AW555" i="4"/>
  <c r="AV555" i="4"/>
  <c r="AU555" i="4"/>
  <c r="AT555" i="4"/>
  <c r="AS555" i="4"/>
  <c r="AR555" i="4"/>
  <c r="AQ555" i="4"/>
  <c r="AP555" i="4"/>
  <c r="AO555" i="4"/>
  <c r="AN555" i="4"/>
  <c r="AM555" i="4"/>
  <c r="AL555" i="4"/>
  <c r="AK555" i="4"/>
  <c r="AJ555" i="4"/>
  <c r="AI555" i="4"/>
  <c r="AH555" i="4"/>
  <c r="AG555" i="4"/>
  <c r="AF555" i="4"/>
  <c r="AE555" i="4"/>
  <c r="AD555" i="4"/>
  <c r="AC555" i="4"/>
  <c r="AB555" i="4"/>
  <c r="AA555" i="4"/>
  <c r="Z555" i="4"/>
  <c r="Y555" i="4"/>
  <c r="X555" i="4"/>
  <c r="V555" i="4"/>
  <c r="U555" i="4"/>
  <c r="T555" i="4"/>
  <c r="S555" i="4"/>
  <c r="R555" i="4"/>
  <c r="Q555" i="4"/>
  <c r="P555" i="4"/>
  <c r="O555" i="4"/>
  <c r="N555" i="4"/>
  <c r="M555" i="4"/>
  <c r="L555" i="4"/>
  <c r="K555" i="4"/>
  <c r="J555" i="4"/>
  <c r="I555" i="4"/>
  <c r="H555" i="4"/>
  <c r="G555" i="4"/>
  <c r="F555" i="4"/>
  <c r="E555" i="4"/>
  <c r="D555" i="4"/>
  <c r="C555" i="4"/>
  <c r="B555" i="4"/>
  <c r="A555" i="4"/>
  <c r="CJ554" i="4"/>
  <c r="CH554" i="4"/>
  <c r="CG554" i="4"/>
  <c r="CF554" i="4"/>
  <c r="CE554" i="4"/>
  <c r="CD554" i="4"/>
  <c r="CC554" i="4"/>
  <c r="CB554" i="4"/>
  <c r="CA554" i="4"/>
  <c r="BZ554" i="4"/>
  <c r="BY554" i="4"/>
  <c r="BX554" i="4"/>
  <c r="BW554" i="4"/>
  <c r="BV554" i="4"/>
  <c r="BU554" i="4"/>
  <c r="BT554" i="4"/>
  <c r="BQ554" i="4"/>
  <c r="BP554" i="4"/>
  <c r="BO554" i="4"/>
  <c r="BN554" i="4"/>
  <c r="BM554" i="4"/>
  <c r="BL554" i="4"/>
  <c r="BK554" i="4"/>
  <c r="BJ554" i="4"/>
  <c r="BI554" i="4"/>
  <c r="BH554" i="4"/>
  <c r="BG554" i="4"/>
  <c r="BF554" i="4"/>
  <c r="BE554" i="4"/>
  <c r="BD554" i="4"/>
  <c r="BC554" i="4"/>
  <c r="BB554" i="4"/>
  <c r="BA554" i="4"/>
  <c r="AZ554" i="4"/>
  <c r="AY554" i="4"/>
  <c r="AX554" i="4"/>
  <c r="AW554" i="4"/>
  <c r="AV554" i="4"/>
  <c r="AU554" i="4"/>
  <c r="AT554" i="4"/>
  <c r="AS554" i="4"/>
  <c r="AR554" i="4"/>
  <c r="AQ554" i="4"/>
  <c r="AP554" i="4"/>
  <c r="AO554" i="4"/>
  <c r="AN554" i="4"/>
  <c r="AM554" i="4"/>
  <c r="AL554" i="4"/>
  <c r="AK554" i="4"/>
  <c r="AJ554" i="4"/>
  <c r="AI554" i="4"/>
  <c r="AH554" i="4"/>
  <c r="AG554" i="4"/>
  <c r="AF554" i="4"/>
  <c r="AE554" i="4"/>
  <c r="AD554" i="4"/>
  <c r="AC554" i="4"/>
  <c r="AB554" i="4"/>
  <c r="AA554" i="4"/>
  <c r="Z554" i="4"/>
  <c r="Y554" i="4"/>
  <c r="X554" i="4"/>
  <c r="V554" i="4"/>
  <c r="U554" i="4"/>
  <c r="T554" i="4"/>
  <c r="S554" i="4"/>
  <c r="R554" i="4"/>
  <c r="Q554" i="4"/>
  <c r="P554" i="4"/>
  <c r="O554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A554" i="4"/>
  <c r="CJ553" i="4"/>
  <c r="CH553" i="4"/>
  <c r="CG553" i="4"/>
  <c r="CF553" i="4"/>
  <c r="CE553" i="4"/>
  <c r="CD553" i="4"/>
  <c r="CC553" i="4"/>
  <c r="CB553" i="4"/>
  <c r="CA553" i="4"/>
  <c r="BZ553" i="4"/>
  <c r="BY553" i="4"/>
  <c r="BX553" i="4"/>
  <c r="BW553" i="4"/>
  <c r="BV553" i="4"/>
  <c r="BU553" i="4"/>
  <c r="BT553" i="4"/>
  <c r="BQ553" i="4"/>
  <c r="BP553" i="4"/>
  <c r="BO553" i="4"/>
  <c r="BN553" i="4"/>
  <c r="BM553" i="4"/>
  <c r="BL553" i="4"/>
  <c r="BK553" i="4"/>
  <c r="BJ553" i="4"/>
  <c r="BI553" i="4"/>
  <c r="BH553" i="4"/>
  <c r="BG553" i="4"/>
  <c r="BF553" i="4"/>
  <c r="BE553" i="4"/>
  <c r="BD553" i="4"/>
  <c r="BC553" i="4"/>
  <c r="BB553" i="4"/>
  <c r="BA553" i="4"/>
  <c r="AZ553" i="4"/>
  <c r="AY553" i="4"/>
  <c r="AX553" i="4"/>
  <c r="AW553" i="4"/>
  <c r="AV553" i="4"/>
  <c r="AU553" i="4"/>
  <c r="AT553" i="4"/>
  <c r="AS553" i="4"/>
  <c r="AR553" i="4"/>
  <c r="AQ553" i="4"/>
  <c r="AP553" i="4"/>
  <c r="AO553" i="4"/>
  <c r="AN553" i="4"/>
  <c r="AM553" i="4"/>
  <c r="AL553" i="4"/>
  <c r="AK553" i="4"/>
  <c r="AJ553" i="4"/>
  <c r="AI553" i="4"/>
  <c r="AH553" i="4"/>
  <c r="AG553" i="4"/>
  <c r="AF553" i="4"/>
  <c r="AE553" i="4"/>
  <c r="AD553" i="4"/>
  <c r="AC553" i="4"/>
  <c r="AB553" i="4"/>
  <c r="AA553" i="4"/>
  <c r="Z553" i="4"/>
  <c r="Y553" i="4"/>
  <c r="X553" i="4"/>
  <c r="V553" i="4"/>
  <c r="U553" i="4"/>
  <c r="T553" i="4"/>
  <c r="S553" i="4"/>
  <c r="R553" i="4"/>
  <c r="Q553" i="4"/>
  <c r="P553" i="4"/>
  <c r="O553" i="4"/>
  <c r="N553" i="4"/>
  <c r="M553" i="4"/>
  <c r="L553" i="4"/>
  <c r="K553" i="4"/>
  <c r="J553" i="4"/>
  <c r="I553" i="4"/>
  <c r="H553" i="4"/>
  <c r="G553" i="4"/>
  <c r="F553" i="4"/>
  <c r="E553" i="4"/>
  <c r="D553" i="4"/>
  <c r="C553" i="4"/>
  <c r="B553" i="4"/>
  <c r="A553" i="4"/>
  <c r="CJ552" i="4"/>
  <c r="CH552" i="4"/>
  <c r="CG552" i="4"/>
  <c r="CF552" i="4"/>
  <c r="CE552" i="4"/>
  <c r="CD552" i="4"/>
  <c r="CC552" i="4"/>
  <c r="CB552" i="4"/>
  <c r="CA552" i="4"/>
  <c r="BZ552" i="4"/>
  <c r="BY552" i="4"/>
  <c r="BX552" i="4"/>
  <c r="BW552" i="4"/>
  <c r="BV552" i="4"/>
  <c r="BU552" i="4"/>
  <c r="BT552" i="4"/>
  <c r="BQ552" i="4"/>
  <c r="BP552" i="4"/>
  <c r="BO552" i="4"/>
  <c r="BN552" i="4"/>
  <c r="BM552" i="4"/>
  <c r="BL552" i="4"/>
  <c r="BK552" i="4"/>
  <c r="BJ552" i="4"/>
  <c r="BI552" i="4"/>
  <c r="BH552" i="4"/>
  <c r="BG552" i="4"/>
  <c r="BF552" i="4"/>
  <c r="BE552" i="4"/>
  <c r="BD552" i="4"/>
  <c r="BC552" i="4"/>
  <c r="BB552" i="4"/>
  <c r="BA552" i="4"/>
  <c r="AZ552" i="4"/>
  <c r="AY552" i="4"/>
  <c r="AX552" i="4"/>
  <c r="AW552" i="4"/>
  <c r="AV552" i="4"/>
  <c r="AU552" i="4"/>
  <c r="AT552" i="4"/>
  <c r="AS552" i="4"/>
  <c r="AR552" i="4"/>
  <c r="AQ552" i="4"/>
  <c r="AP552" i="4"/>
  <c r="AO552" i="4"/>
  <c r="AN552" i="4"/>
  <c r="AM552" i="4"/>
  <c r="AL552" i="4"/>
  <c r="AK552" i="4"/>
  <c r="AJ552" i="4"/>
  <c r="AI552" i="4"/>
  <c r="AH552" i="4"/>
  <c r="AG552" i="4"/>
  <c r="AF552" i="4"/>
  <c r="AE552" i="4"/>
  <c r="AD552" i="4"/>
  <c r="AC552" i="4"/>
  <c r="AB552" i="4"/>
  <c r="AA552" i="4"/>
  <c r="Z552" i="4"/>
  <c r="Y552" i="4"/>
  <c r="X552" i="4"/>
  <c r="V552" i="4"/>
  <c r="U552" i="4"/>
  <c r="T552" i="4"/>
  <c r="S552" i="4"/>
  <c r="R552" i="4"/>
  <c r="Q552" i="4"/>
  <c r="P552" i="4"/>
  <c r="O552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A552" i="4"/>
  <c r="CJ551" i="4"/>
  <c r="CH551" i="4"/>
  <c r="CG551" i="4"/>
  <c r="CF551" i="4"/>
  <c r="CE551" i="4"/>
  <c r="CD551" i="4"/>
  <c r="CC551" i="4"/>
  <c r="CB551" i="4"/>
  <c r="CA551" i="4"/>
  <c r="BZ551" i="4"/>
  <c r="BY551" i="4"/>
  <c r="BX551" i="4"/>
  <c r="BW551" i="4"/>
  <c r="BV551" i="4"/>
  <c r="BU551" i="4"/>
  <c r="BT551" i="4"/>
  <c r="BQ551" i="4"/>
  <c r="BP551" i="4"/>
  <c r="BO551" i="4"/>
  <c r="BN551" i="4"/>
  <c r="BM551" i="4"/>
  <c r="BL551" i="4"/>
  <c r="BK551" i="4"/>
  <c r="BJ551" i="4"/>
  <c r="BI551" i="4"/>
  <c r="BH551" i="4"/>
  <c r="BG551" i="4"/>
  <c r="BF551" i="4"/>
  <c r="BE551" i="4"/>
  <c r="BD551" i="4"/>
  <c r="BC551" i="4"/>
  <c r="BB551" i="4"/>
  <c r="BA551" i="4"/>
  <c r="AZ551" i="4"/>
  <c r="AY551" i="4"/>
  <c r="AX551" i="4"/>
  <c r="AW551" i="4"/>
  <c r="AV551" i="4"/>
  <c r="AU551" i="4"/>
  <c r="AT551" i="4"/>
  <c r="AS551" i="4"/>
  <c r="AR551" i="4"/>
  <c r="AQ551" i="4"/>
  <c r="AP551" i="4"/>
  <c r="AO551" i="4"/>
  <c r="AN551" i="4"/>
  <c r="AM551" i="4"/>
  <c r="AL551" i="4"/>
  <c r="AK551" i="4"/>
  <c r="AJ551" i="4"/>
  <c r="AI551" i="4"/>
  <c r="AH551" i="4"/>
  <c r="AG551" i="4"/>
  <c r="AF551" i="4"/>
  <c r="AE551" i="4"/>
  <c r="AD551" i="4"/>
  <c r="AC551" i="4"/>
  <c r="AB551" i="4"/>
  <c r="AA551" i="4"/>
  <c r="Z551" i="4"/>
  <c r="Y551" i="4"/>
  <c r="X551" i="4"/>
  <c r="V551" i="4"/>
  <c r="U551" i="4"/>
  <c r="T551" i="4"/>
  <c r="S551" i="4"/>
  <c r="R551" i="4"/>
  <c r="Q551" i="4"/>
  <c r="P551" i="4"/>
  <c r="O551" i="4"/>
  <c r="N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A551" i="4"/>
  <c r="CJ550" i="4"/>
  <c r="CH550" i="4"/>
  <c r="CG550" i="4"/>
  <c r="CF550" i="4"/>
  <c r="CE550" i="4"/>
  <c r="CD550" i="4"/>
  <c r="CC550" i="4"/>
  <c r="CB550" i="4"/>
  <c r="CA550" i="4"/>
  <c r="BZ550" i="4"/>
  <c r="BY550" i="4"/>
  <c r="BX550" i="4"/>
  <c r="BW550" i="4"/>
  <c r="BV550" i="4"/>
  <c r="BU550" i="4"/>
  <c r="BT550" i="4"/>
  <c r="BQ550" i="4"/>
  <c r="BP550" i="4"/>
  <c r="BO550" i="4"/>
  <c r="BN550" i="4"/>
  <c r="BM550" i="4"/>
  <c r="BL550" i="4"/>
  <c r="BK550" i="4"/>
  <c r="BJ550" i="4"/>
  <c r="BI550" i="4"/>
  <c r="BH550" i="4"/>
  <c r="BG550" i="4"/>
  <c r="BF550" i="4"/>
  <c r="BE550" i="4"/>
  <c r="BD550" i="4"/>
  <c r="BC550" i="4"/>
  <c r="BB550" i="4"/>
  <c r="BA550" i="4"/>
  <c r="AZ550" i="4"/>
  <c r="AY550" i="4"/>
  <c r="AX550" i="4"/>
  <c r="AW550" i="4"/>
  <c r="AV550" i="4"/>
  <c r="AU550" i="4"/>
  <c r="AT550" i="4"/>
  <c r="AS550" i="4"/>
  <c r="AR550" i="4"/>
  <c r="AQ550" i="4"/>
  <c r="AP550" i="4"/>
  <c r="AO550" i="4"/>
  <c r="AN550" i="4"/>
  <c r="AM550" i="4"/>
  <c r="AL550" i="4"/>
  <c r="AK550" i="4"/>
  <c r="AJ550" i="4"/>
  <c r="AI550" i="4"/>
  <c r="AH550" i="4"/>
  <c r="AG550" i="4"/>
  <c r="AF550" i="4"/>
  <c r="AE550" i="4"/>
  <c r="AD550" i="4"/>
  <c r="AC550" i="4"/>
  <c r="AB550" i="4"/>
  <c r="AA550" i="4"/>
  <c r="Z550" i="4"/>
  <c r="Y550" i="4"/>
  <c r="X550" i="4"/>
  <c r="V550" i="4"/>
  <c r="U550" i="4"/>
  <c r="T550" i="4"/>
  <c r="S550" i="4"/>
  <c r="R550" i="4"/>
  <c r="Q550" i="4"/>
  <c r="P550" i="4"/>
  <c r="O550" i="4"/>
  <c r="N550" i="4"/>
  <c r="M550" i="4"/>
  <c r="L550" i="4"/>
  <c r="K550" i="4"/>
  <c r="J550" i="4"/>
  <c r="I550" i="4"/>
  <c r="H550" i="4"/>
  <c r="G550" i="4"/>
  <c r="F550" i="4"/>
  <c r="E550" i="4"/>
  <c r="D550" i="4"/>
  <c r="C550" i="4"/>
  <c r="B550" i="4"/>
  <c r="A550" i="4"/>
  <c r="CJ549" i="4"/>
  <c r="CH549" i="4"/>
  <c r="CG549" i="4"/>
  <c r="CF549" i="4"/>
  <c r="CE549" i="4"/>
  <c r="CD549" i="4"/>
  <c r="CC549" i="4"/>
  <c r="CB549" i="4"/>
  <c r="CA549" i="4"/>
  <c r="BZ549" i="4"/>
  <c r="BY549" i="4"/>
  <c r="BX549" i="4"/>
  <c r="BW549" i="4"/>
  <c r="BV549" i="4"/>
  <c r="BU549" i="4"/>
  <c r="BT549" i="4"/>
  <c r="BQ549" i="4"/>
  <c r="BP549" i="4"/>
  <c r="BO549" i="4"/>
  <c r="BN549" i="4"/>
  <c r="BM549" i="4"/>
  <c r="BL549" i="4"/>
  <c r="BK549" i="4"/>
  <c r="BJ549" i="4"/>
  <c r="BI549" i="4"/>
  <c r="BH549" i="4"/>
  <c r="BG549" i="4"/>
  <c r="BF549" i="4"/>
  <c r="BE549" i="4"/>
  <c r="BD549" i="4"/>
  <c r="BC549" i="4"/>
  <c r="BB549" i="4"/>
  <c r="BA549" i="4"/>
  <c r="AZ549" i="4"/>
  <c r="AY549" i="4"/>
  <c r="AX549" i="4"/>
  <c r="AW549" i="4"/>
  <c r="AV549" i="4"/>
  <c r="AU549" i="4"/>
  <c r="AT549" i="4"/>
  <c r="AS549" i="4"/>
  <c r="AR549" i="4"/>
  <c r="AQ549" i="4"/>
  <c r="AP549" i="4"/>
  <c r="AO549" i="4"/>
  <c r="AN549" i="4"/>
  <c r="AM549" i="4"/>
  <c r="AL549" i="4"/>
  <c r="AK549" i="4"/>
  <c r="AJ549" i="4"/>
  <c r="AI549" i="4"/>
  <c r="AH549" i="4"/>
  <c r="AG549" i="4"/>
  <c r="AF549" i="4"/>
  <c r="AE549" i="4"/>
  <c r="AD549" i="4"/>
  <c r="AC549" i="4"/>
  <c r="AB549" i="4"/>
  <c r="AA549" i="4"/>
  <c r="Z549" i="4"/>
  <c r="Y549" i="4"/>
  <c r="X549" i="4"/>
  <c r="V549" i="4"/>
  <c r="U549" i="4"/>
  <c r="T549" i="4"/>
  <c r="S549" i="4"/>
  <c r="R549" i="4"/>
  <c r="Q549" i="4"/>
  <c r="P549" i="4"/>
  <c r="O549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A549" i="4"/>
  <c r="CJ548" i="4"/>
  <c r="CH548" i="4"/>
  <c r="CG548" i="4"/>
  <c r="CF548" i="4"/>
  <c r="CE548" i="4"/>
  <c r="CD548" i="4"/>
  <c r="CC548" i="4"/>
  <c r="CB548" i="4"/>
  <c r="CA548" i="4"/>
  <c r="BZ548" i="4"/>
  <c r="BY548" i="4"/>
  <c r="BX548" i="4"/>
  <c r="BW548" i="4"/>
  <c r="BV548" i="4"/>
  <c r="BU548" i="4"/>
  <c r="BT548" i="4"/>
  <c r="BQ548" i="4"/>
  <c r="BP548" i="4"/>
  <c r="BO548" i="4"/>
  <c r="BN548" i="4"/>
  <c r="BM548" i="4"/>
  <c r="BL548" i="4"/>
  <c r="BK548" i="4"/>
  <c r="BJ548" i="4"/>
  <c r="BI548" i="4"/>
  <c r="BH548" i="4"/>
  <c r="BG548" i="4"/>
  <c r="BF548" i="4"/>
  <c r="BE548" i="4"/>
  <c r="BD548" i="4"/>
  <c r="BC548" i="4"/>
  <c r="BB548" i="4"/>
  <c r="BA548" i="4"/>
  <c r="AZ548" i="4"/>
  <c r="AY548" i="4"/>
  <c r="AX548" i="4"/>
  <c r="AW548" i="4"/>
  <c r="AV548" i="4"/>
  <c r="AU548" i="4"/>
  <c r="AT548" i="4"/>
  <c r="AS548" i="4"/>
  <c r="AR548" i="4"/>
  <c r="AQ548" i="4"/>
  <c r="AP548" i="4"/>
  <c r="AO548" i="4"/>
  <c r="AN548" i="4"/>
  <c r="AM548" i="4"/>
  <c r="AL548" i="4"/>
  <c r="AK548" i="4"/>
  <c r="AJ548" i="4"/>
  <c r="AI548" i="4"/>
  <c r="AH548" i="4"/>
  <c r="AG548" i="4"/>
  <c r="AF548" i="4"/>
  <c r="AE548" i="4"/>
  <c r="AD548" i="4"/>
  <c r="AC548" i="4"/>
  <c r="AB548" i="4"/>
  <c r="AA548" i="4"/>
  <c r="Z548" i="4"/>
  <c r="Y548" i="4"/>
  <c r="X548" i="4"/>
  <c r="V548" i="4"/>
  <c r="U548" i="4"/>
  <c r="T548" i="4"/>
  <c r="S548" i="4"/>
  <c r="R548" i="4"/>
  <c r="Q548" i="4"/>
  <c r="P548" i="4"/>
  <c r="O548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A548" i="4"/>
  <c r="CJ547" i="4"/>
  <c r="CH547" i="4"/>
  <c r="CG547" i="4"/>
  <c r="CF547" i="4"/>
  <c r="CE547" i="4"/>
  <c r="CD547" i="4"/>
  <c r="CC547" i="4"/>
  <c r="CB547" i="4"/>
  <c r="CA547" i="4"/>
  <c r="BZ547" i="4"/>
  <c r="BY547" i="4"/>
  <c r="BX547" i="4"/>
  <c r="BW547" i="4"/>
  <c r="BV547" i="4"/>
  <c r="BU547" i="4"/>
  <c r="BT547" i="4"/>
  <c r="BQ547" i="4"/>
  <c r="BP547" i="4"/>
  <c r="BO547" i="4"/>
  <c r="BN547" i="4"/>
  <c r="BM547" i="4"/>
  <c r="BL547" i="4"/>
  <c r="BK547" i="4"/>
  <c r="BJ547" i="4"/>
  <c r="BI547" i="4"/>
  <c r="BH547" i="4"/>
  <c r="BG547" i="4"/>
  <c r="BF547" i="4"/>
  <c r="BE547" i="4"/>
  <c r="BD547" i="4"/>
  <c r="BC547" i="4"/>
  <c r="BB547" i="4"/>
  <c r="BA547" i="4"/>
  <c r="AZ547" i="4"/>
  <c r="AY547" i="4"/>
  <c r="AX547" i="4"/>
  <c r="AW547" i="4"/>
  <c r="AV547" i="4"/>
  <c r="AU547" i="4"/>
  <c r="AT547" i="4"/>
  <c r="AS547" i="4"/>
  <c r="AR547" i="4"/>
  <c r="AQ547" i="4"/>
  <c r="AP547" i="4"/>
  <c r="AO547" i="4"/>
  <c r="AN547" i="4"/>
  <c r="AM547" i="4"/>
  <c r="AL547" i="4"/>
  <c r="AK547" i="4"/>
  <c r="AJ547" i="4"/>
  <c r="AI547" i="4"/>
  <c r="AH547" i="4"/>
  <c r="AG547" i="4"/>
  <c r="AF547" i="4"/>
  <c r="AE547" i="4"/>
  <c r="AD547" i="4"/>
  <c r="AC547" i="4"/>
  <c r="AB547" i="4"/>
  <c r="AA547" i="4"/>
  <c r="Z547" i="4"/>
  <c r="Y547" i="4"/>
  <c r="X547" i="4"/>
  <c r="V547" i="4"/>
  <c r="U547" i="4"/>
  <c r="T547" i="4"/>
  <c r="S547" i="4"/>
  <c r="R547" i="4"/>
  <c r="Q547" i="4"/>
  <c r="P547" i="4"/>
  <c r="O547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A547" i="4"/>
  <c r="CJ546" i="4"/>
  <c r="CI546" i="4"/>
  <c r="CH546" i="4"/>
  <c r="CG546" i="4"/>
  <c r="CF546" i="4"/>
  <c r="CE546" i="4"/>
  <c r="CD546" i="4"/>
  <c r="CC546" i="4"/>
  <c r="CB546" i="4"/>
  <c r="CA546" i="4"/>
  <c r="BZ546" i="4"/>
  <c r="BY546" i="4"/>
  <c r="BX546" i="4"/>
  <c r="BW546" i="4"/>
  <c r="BV546" i="4"/>
  <c r="BU546" i="4"/>
  <c r="BT546" i="4"/>
  <c r="BQ546" i="4"/>
  <c r="BP546" i="4"/>
  <c r="BO546" i="4"/>
  <c r="BN546" i="4"/>
  <c r="BM546" i="4"/>
  <c r="BL546" i="4"/>
  <c r="BK546" i="4"/>
  <c r="BJ546" i="4"/>
  <c r="BI546" i="4"/>
  <c r="BH546" i="4"/>
  <c r="BG546" i="4"/>
  <c r="BF546" i="4"/>
  <c r="BE546" i="4"/>
  <c r="BD546" i="4"/>
  <c r="BC546" i="4"/>
  <c r="BB546" i="4"/>
  <c r="BA546" i="4"/>
  <c r="AZ546" i="4"/>
  <c r="AY546" i="4"/>
  <c r="AX546" i="4"/>
  <c r="AW546" i="4"/>
  <c r="AV546" i="4"/>
  <c r="AU546" i="4"/>
  <c r="AT546" i="4"/>
  <c r="AS546" i="4"/>
  <c r="AR546" i="4"/>
  <c r="AQ546" i="4"/>
  <c r="AP546" i="4"/>
  <c r="AO546" i="4"/>
  <c r="AN546" i="4"/>
  <c r="AM546" i="4"/>
  <c r="AL546" i="4"/>
  <c r="AK546" i="4"/>
  <c r="AJ546" i="4"/>
  <c r="AI546" i="4"/>
  <c r="AH546" i="4"/>
  <c r="AG546" i="4"/>
  <c r="AF546" i="4"/>
  <c r="AE546" i="4"/>
  <c r="AD546" i="4"/>
  <c r="AC546" i="4"/>
  <c r="AB546" i="4"/>
  <c r="AA546" i="4"/>
  <c r="Z546" i="4"/>
  <c r="Y546" i="4"/>
  <c r="X546" i="4"/>
  <c r="V546" i="4"/>
  <c r="U546" i="4"/>
  <c r="T546" i="4"/>
  <c r="S546" i="4"/>
  <c r="R546" i="4"/>
  <c r="Q546" i="4"/>
  <c r="P546" i="4"/>
  <c r="O546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A546" i="4"/>
  <c r="CJ545" i="4"/>
  <c r="CI545" i="4"/>
  <c r="CH545" i="4"/>
  <c r="CG545" i="4"/>
  <c r="CF545" i="4"/>
  <c r="CE545" i="4"/>
  <c r="CD545" i="4"/>
  <c r="CC545" i="4"/>
  <c r="CB545" i="4"/>
  <c r="CA545" i="4"/>
  <c r="BZ545" i="4"/>
  <c r="BY545" i="4"/>
  <c r="BX545" i="4"/>
  <c r="BW545" i="4"/>
  <c r="BV545" i="4"/>
  <c r="BU545" i="4"/>
  <c r="BT545" i="4"/>
  <c r="BQ545" i="4"/>
  <c r="BP545" i="4"/>
  <c r="BO545" i="4"/>
  <c r="BN545" i="4"/>
  <c r="BM545" i="4"/>
  <c r="BL545" i="4"/>
  <c r="BK545" i="4"/>
  <c r="BJ545" i="4"/>
  <c r="BI545" i="4"/>
  <c r="BH545" i="4"/>
  <c r="BG545" i="4"/>
  <c r="BF545" i="4"/>
  <c r="BE545" i="4"/>
  <c r="BD545" i="4"/>
  <c r="BC545" i="4"/>
  <c r="BB545" i="4"/>
  <c r="BA545" i="4"/>
  <c r="AZ545" i="4"/>
  <c r="AY545" i="4"/>
  <c r="AX545" i="4"/>
  <c r="AW545" i="4"/>
  <c r="AV545" i="4"/>
  <c r="AU545" i="4"/>
  <c r="AT545" i="4"/>
  <c r="AS545" i="4"/>
  <c r="AR545" i="4"/>
  <c r="AQ545" i="4"/>
  <c r="AP545" i="4"/>
  <c r="AO545" i="4"/>
  <c r="AN545" i="4"/>
  <c r="AM545" i="4"/>
  <c r="AL545" i="4"/>
  <c r="AK545" i="4"/>
  <c r="AJ545" i="4"/>
  <c r="AI545" i="4"/>
  <c r="AH545" i="4"/>
  <c r="AG545" i="4"/>
  <c r="AF545" i="4"/>
  <c r="AE545" i="4"/>
  <c r="AD545" i="4"/>
  <c r="AC545" i="4"/>
  <c r="AB545" i="4"/>
  <c r="AA545" i="4"/>
  <c r="Z545" i="4"/>
  <c r="Y545" i="4"/>
  <c r="X545" i="4"/>
  <c r="V545" i="4"/>
  <c r="U545" i="4"/>
  <c r="T545" i="4"/>
  <c r="S545" i="4"/>
  <c r="R545" i="4"/>
  <c r="Q545" i="4"/>
  <c r="P545" i="4"/>
  <c r="O545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A545" i="4"/>
  <c r="CJ544" i="4"/>
  <c r="CI544" i="4"/>
  <c r="CH544" i="4"/>
  <c r="CG544" i="4"/>
  <c r="CF544" i="4"/>
  <c r="CE544" i="4"/>
  <c r="CD544" i="4"/>
  <c r="CC544" i="4"/>
  <c r="CB544" i="4"/>
  <c r="CA544" i="4"/>
  <c r="BZ544" i="4"/>
  <c r="BY544" i="4"/>
  <c r="BX544" i="4"/>
  <c r="BW544" i="4"/>
  <c r="BV544" i="4"/>
  <c r="BU544" i="4"/>
  <c r="BT544" i="4"/>
  <c r="BQ544" i="4"/>
  <c r="BP544" i="4"/>
  <c r="BO544" i="4"/>
  <c r="BN544" i="4"/>
  <c r="BM544" i="4"/>
  <c r="BL544" i="4"/>
  <c r="BK544" i="4"/>
  <c r="BJ544" i="4"/>
  <c r="BI544" i="4"/>
  <c r="BH544" i="4"/>
  <c r="BG544" i="4"/>
  <c r="BF544" i="4"/>
  <c r="BE544" i="4"/>
  <c r="BD544" i="4"/>
  <c r="BC544" i="4"/>
  <c r="BB544" i="4"/>
  <c r="BA544" i="4"/>
  <c r="AZ544" i="4"/>
  <c r="AY544" i="4"/>
  <c r="AX544" i="4"/>
  <c r="AW544" i="4"/>
  <c r="AV544" i="4"/>
  <c r="AU544" i="4"/>
  <c r="AT544" i="4"/>
  <c r="AS544" i="4"/>
  <c r="AR544" i="4"/>
  <c r="AQ544" i="4"/>
  <c r="AP544" i="4"/>
  <c r="AO544" i="4"/>
  <c r="AN544" i="4"/>
  <c r="AM544" i="4"/>
  <c r="AL544" i="4"/>
  <c r="AK544" i="4"/>
  <c r="AJ544" i="4"/>
  <c r="AI544" i="4"/>
  <c r="AH544" i="4"/>
  <c r="AG544" i="4"/>
  <c r="AF544" i="4"/>
  <c r="AE544" i="4"/>
  <c r="AD544" i="4"/>
  <c r="AC544" i="4"/>
  <c r="AB544" i="4"/>
  <c r="AA544" i="4"/>
  <c r="Z544" i="4"/>
  <c r="Y544" i="4"/>
  <c r="X544" i="4"/>
  <c r="V544" i="4"/>
  <c r="U544" i="4"/>
  <c r="T544" i="4"/>
  <c r="S544" i="4"/>
  <c r="R544" i="4"/>
  <c r="Q544" i="4"/>
  <c r="P544" i="4"/>
  <c r="O544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A544" i="4"/>
  <c r="CJ543" i="4"/>
  <c r="CI543" i="4"/>
  <c r="CH543" i="4"/>
  <c r="CG543" i="4"/>
  <c r="CF543" i="4"/>
  <c r="CE543" i="4"/>
  <c r="CD543" i="4"/>
  <c r="CC543" i="4"/>
  <c r="CB543" i="4"/>
  <c r="CA543" i="4"/>
  <c r="BZ543" i="4"/>
  <c r="BY543" i="4"/>
  <c r="BX543" i="4"/>
  <c r="BW543" i="4"/>
  <c r="BV543" i="4"/>
  <c r="BU543" i="4"/>
  <c r="BT543" i="4"/>
  <c r="BQ543" i="4"/>
  <c r="BP543" i="4"/>
  <c r="BO543" i="4"/>
  <c r="BN543" i="4"/>
  <c r="BM543" i="4"/>
  <c r="BL543" i="4"/>
  <c r="BK543" i="4"/>
  <c r="BJ543" i="4"/>
  <c r="BI543" i="4"/>
  <c r="BH543" i="4"/>
  <c r="BG543" i="4"/>
  <c r="BF543" i="4"/>
  <c r="BE543" i="4"/>
  <c r="BD543" i="4"/>
  <c r="BC543" i="4"/>
  <c r="BB543" i="4"/>
  <c r="BA543" i="4"/>
  <c r="AZ543" i="4"/>
  <c r="AY543" i="4"/>
  <c r="AX543" i="4"/>
  <c r="AW543" i="4"/>
  <c r="AV543" i="4"/>
  <c r="AU543" i="4"/>
  <c r="AT543" i="4"/>
  <c r="AS543" i="4"/>
  <c r="AR543" i="4"/>
  <c r="AQ543" i="4"/>
  <c r="AP543" i="4"/>
  <c r="AO543" i="4"/>
  <c r="AN543" i="4"/>
  <c r="AM543" i="4"/>
  <c r="AL543" i="4"/>
  <c r="AK543" i="4"/>
  <c r="AJ543" i="4"/>
  <c r="AI543" i="4"/>
  <c r="AH543" i="4"/>
  <c r="AG543" i="4"/>
  <c r="AF543" i="4"/>
  <c r="AE543" i="4"/>
  <c r="AD543" i="4"/>
  <c r="AC543" i="4"/>
  <c r="AB543" i="4"/>
  <c r="AA543" i="4"/>
  <c r="Z543" i="4"/>
  <c r="Y543" i="4"/>
  <c r="X543" i="4"/>
  <c r="V543" i="4"/>
  <c r="U543" i="4"/>
  <c r="T543" i="4"/>
  <c r="S543" i="4"/>
  <c r="R543" i="4"/>
  <c r="Q543" i="4"/>
  <c r="P543" i="4"/>
  <c r="O543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A543" i="4"/>
  <c r="CJ542" i="4"/>
  <c r="CI542" i="4"/>
  <c r="CH542" i="4"/>
  <c r="CG542" i="4"/>
  <c r="CF542" i="4"/>
  <c r="CE542" i="4"/>
  <c r="CD542" i="4"/>
  <c r="CC542" i="4"/>
  <c r="CB542" i="4"/>
  <c r="CA542" i="4"/>
  <c r="BZ542" i="4"/>
  <c r="BY542" i="4"/>
  <c r="BX542" i="4"/>
  <c r="BW542" i="4"/>
  <c r="BV542" i="4"/>
  <c r="BU542" i="4"/>
  <c r="BT542" i="4"/>
  <c r="BQ542" i="4"/>
  <c r="BP542" i="4"/>
  <c r="BO542" i="4"/>
  <c r="BN542" i="4"/>
  <c r="BM542" i="4"/>
  <c r="BL542" i="4"/>
  <c r="BK542" i="4"/>
  <c r="BJ542" i="4"/>
  <c r="BI542" i="4"/>
  <c r="BH542" i="4"/>
  <c r="BG542" i="4"/>
  <c r="BF542" i="4"/>
  <c r="BE542" i="4"/>
  <c r="BD542" i="4"/>
  <c r="BC542" i="4"/>
  <c r="BB542" i="4"/>
  <c r="BA542" i="4"/>
  <c r="AZ542" i="4"/>
  <c r="AY542" i="4"/>
  <c r="AX542" i="4"/>
  <c r="AW542" i="4"/>
  <c r="AV542" i="4"/>
  <c r="AU542" i="4"/>
  <c r="AT542" i="4"/>
  <c r="AS542" i="4"/>
  <c r="AR542" i="4"/>
  <c r="AQ542" i="4"/>
  <c r="AP542" i="4"/>
  <c r="AO542" i="4"/>
  <c r="AN542" i="4"/>
  <c r="AM542" i="4"/>
  <c r="AL542" i="4"/>
  <c r="AK542" i="4"/>
  <c r="AJ542" i="4"/>
  <c r="AI542" i="4"/>
  <c r="AH542" i="4"/>
  <c r="AG542" i="4"/>
  <c r="AF542" i="4"/>
  <c r="AE542" i="4"/>
  <c r="AD542" i="4"/>
  <c r="AC542" i="4"/>
  <c r="AB542" i="4"/>
  <c r="AA542" i="4"/>
  <c r="Z542" i="4"/>
  <c r="Y542" i="4"/>
  <c r="X542" i="4"/>
  <c r="V542" i="4"/>
  <c r="U542" i="4"/>
  <c r="T542" i="4"/>
  <c r="S542" i="4"/>
  <c r="R542" i="4"/>
  <c r="Q542" i="4"/>
  <c r="P542" i="4"/>
  <c r="O542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A542" i="4"/>
  <c r="CJ541" i="4"/>
  <c r="CI541" i="4"/>
  <c r="CH541" i="4"/>
  <c r="CG541" i="4"/>
  <c r="CF541" i="4"/>
  <c r="CE541" i="4"/>
  <c r="CD541" i="4"/>
  <c r="CC541" i="4"/>
  <c r="CB541" i="4"/>
  <c r="CA541" i="4"/>
  <c r="BZ541" i="4"/>
  <c r="BY541" i="4"/>
  <c r="BX541" i="4"/>
  <c r="BW541" i="4"/>
  <c r="BV541" i="4"/>
  <c r="BU541" i="4"/>
  <c r="BT541" i="4"/>
  <c r="BQ541" i="4"/>
  <c r="BP541" i="4"/>
  <c r="BO541" i="4"/>
  <c r="BN541" i="4"/>
  <c r="BM541" i="4"/>
  <c r="BL541" i="4"/>
  <c r="BK541" i="4"/>
  <c r="BJ541" i="4"/>
  <c r="BI541" i="4"/>
  <c r="BH541" i="4"/>
  <c r="BG541" i="4"/>
  <c r="BF541" i="4"/>
  <c r="BE541" i="4"/>
  <c r="BD541" i="4"/>
  <c r="BC541" i="4"/>
  <c r="BB541" i="4"/>
  <c r="BA541" i="4"/>
  <c r="AZ541" i="4"/>
  <c r="AY541" i="4"/>
  <c r="AX541" i="4"/>
  <c r="AW541" i="4"/>
  <c r="AV541" i="4"/>
  <c r="AU541" i="4"/>
  <c r="AT541" i="4"/>
  <c r="AS541" i="4"/>
  <c r="AR541" i="4"/>
  <c r="AQ541" i="4"/>
  <c r="AP541" i="4"/>
  <c r="AO541" i="4"/>
  <c r="AN541" i="4"/>
  <c r="AM541" i="4"/>
  <c r="AL541" i="4"/>
  <c r="AK541" i="4"/>
  <c r="AJ541" i="4"/>
  <c r="AI541" i="4"/>
  <c r="AH541" i="4"/>
  <c r="AG541" i="4"/>
  <c r="AF541" i="4"/>
  <c r="AE541" i="4"/>
  <c r="AD541" i="4"/>
  <c r="AC541" i="4"/>
  <c r="AB541" i="4"/>
  <c r="AA541" i="4"/>
  <c r="Z541" i="4"/>
  <c r="Y541" i="4"/>
  <c r="X541" i="4"/>
  <c r="V541" i="4"/>
  <c r="U541" i="4"/>
  <c r="T541" i="4"/>
  <c r="S541" i="4"/>
  <c r="R541" i="4"/>
  <c r="Q541" i="4"/>
  <c r="P541" i="4"/>
  <c r="O541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A541" i="4"/>
  <c r="CJ540" i="4"/>
  <c r="CI540" i="4"/>
  <c r="CH540" i="4"/>
  <c r="CG540" i="4"/>
  <c r="CF540" i="4"/>
  <c r="CE540" i="4"/>
  <c r="CD540" i="4"/>
  <c r="CC540" i="4"/>
  <c r="CB540" i="4"/>
  <c r="CA540" i="4"/>
  <c r="BZ540" i="4"/>
  <c r="BY540" i="4"/>
  <c r="BX540" i="4"/>
  <c r="BW540" i="4"/>
  <c r="BV540" i="4"/>
  <c r="BU540" i="4"/>
  <c r="BT540" i="4"/>
  <c r="BQ540" i="4"/>
  <c r="BP540" i="4"/>
  <c r="BO540" i="4"/>
  <c r="BN540" i="4"/>
  <c r="BM540" i="4"/>
  <c r="BL540" i="4"/>
  <c r="BK540" i="4"/>
  <c r="BJ540" i="4"/>
  <c r="BI540" i="4"/>
  <c r="BH540" i="4"/>
  <c r="BG540" i="4"/>
  <c r="BF540" i="4"/>
  <c r="BE540" i="4"/>
  <c r="BD540" i="4"/>
  <c r="BC540" i="4"/>
  <c r="BB540" i="4"/>
  <c r="BA540" i="4"/>
  <c r="AZ540" i="4"/>
  <c r="AY540" i="4"/>
  <c r="AX540" i="4"/>
  <c r="AW540" i="4"/>
  <c r="AV540" i="4"/>
  <c r="AU540" i="4"/>
  <c r="AT540" i="4"/>
  <c r="AS540" i="4"/>
  <c r="AR540" i="4"/>
  <c r="AQ540" i="4"/>
  <c r="AP540" i="4"/>
  <c r="AO540" i="4"/>
  <c r="AN540" i="4"/>
  <c r="AM540" i="4"/>
  <c r="AL540" i="4"/>
  <c r="AK540" i="4"/>
  <c r="AJ540" i="4"/>
  <c r="AI540" i="4"/>
  <c r="AH540" i="4"/>
  <c r="AG540" i="4"/>
  <c r="AF540" i="4"/>
  <c r="AE540" i="4"/>
  <c r="AD540" i="4"/>
  <c r="AC540" i="4"/>
  <c r="AB540" i="4"/>
  <c r="AA540" i="4"/>
  <c r="Z540" i="4"/>
  <c r="Y540" i="4"/>
  <c r="X540" i="4"/>
  <c r="V540" i="4"/>
  <c r="U540" i="4"/>
  <c r="T540" i="4"/>
  <c r="S540" i="4"/>
  <c r="R540" i="4"/>
  <c r="Q540" i="4"/>
  <c r="P540" i="4"/>
  <c r="O540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A540" i="4"/>
  <c r="CJ539" i="4"/>
  <c r="CI539" i="4"/>
  <c r="CH539" i="4"/>
  <c r="CG539" i="4"/>
  <c r="CF539" i="4"/>
  <c r="CE539" i="4"/>
  <c r="CD539" i="4"/>
  <c r="CC539" i="4"/>
  <c r="CB539" i="4"/>
  <c r="CA539" i="4"/>
  <c r="BZ539" i="4"/>
  <c r="BY539" i="4"/>
  <c r="BX539" i="4"/>
  <c r="BW539" i="4"/>
  <c r="BV539" i="4"/>
  <c r="BU539" i="4"/>
  <c r="BT539" i="4"/>
  <c r="BQ539" i="4"/>
  <c r="BP539" i="4"/>
  <c r="BO539" i="4"/>
  <c r="BN539" i="4"/>
  <c r="BM539" i="4"/>
  <c r="BL539" i="4"/>
  <c r="BK539" i="4"/>
  <c r="BJ539" i="4"/>
  <c r="BI539" i="4"/>
  <c r="BH539" i="4"/>
  <c r="BG539" i="4"/>
  <c r="BF539" i="4"/>
  <c r="BE539" i="4"/>
  <c r="BD539" i="4"/>
  <c r="BC539" i="4"/>
  <c r="BB539" i="4"/>
  <c r="BA539" i="4"/>
  <c r="AZ539" i="4"/>
  <c r="AY539" i="4"/>
  <c r="AX539" i="4"/>
  <c r="AW539" i="4"/>
  <c r="AV539" i="4"/>
  <c r="AU539" i="4"/>
  <c r="AT539" i="4"/>
  <c r="AS539" i="4"/>
  <c r="AR539" i="4"/>
  <c r="AQ539" i="4"/>
  <c r="AP539" i="4"/>
  <c r="AO539" i="4"/>
  <c r="AN539" i="4"/>
  <c r="AM539" i="4"/>
  <c r="AL539" i="4"/>
  <c r="AK539" i="4"/>
  <c r="AJ539" i="4"/>
  <c r="AI539" i="4"/>
  <c r="AH539" i="4"/>
  <c r="AG539" i="4"/>
  <c r="AF539" i="4"/>
  <c r="AE539" i="4"/>
  <c r="AD539" i="4"/>
  <c r="AC539" i="4"/>
  <c r="AB539" i="4"/>
  <c r="AA539" i="4"/>
  <c r="Z539" i="4"/>
  <c r="Y539" i="4"/>
  <c r="X539" i="4"/>
  <c r="V539" i="4"/>
  <c r="U539" i="4"/>
  <c r="T539" i="4"/>
  <c r="S539" i="4"/>
  <c r="R539" i="4"/>
  <c r="Q539" i="4"/>
  <c r="P539" i="4"/>
  <c r="O539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A539" i="4"/>
  <c r="CJ538" i="4"/>
  <c r="CI538" i="4"/>
  <c r="CH538" i="4"/>
  <c r="CG538" i="4"/>
  <c r="CF538" i="4"/>
  <c r="CE538" i="4"/>
  <c r="CD538" i="4"/>
  <c r="CC538" i="4"/>
  <c r="CB538" i="4"/>
  <c r="CA538" i="4"/>
  <c r="BZ538" i="4"/>
  <c r="BY538" i="4"/>
  <c r="BX538" i="4"/>
  <c r="BW538" i="4"/>
  <c r="BV538" i="4"/>
  <c r="BU538" i="4"/>
  <c r="BT538" i="4"/>
  <c r="BQ538" i="4"/>
  <c r="BP538" i="4"/>
  <c r="BO538" i="4"/>
  <c r="BN538" i="4"/>
  <c r="BM538" i="4"/>
  <c r="BL538" i="4"/>
  <c r="BK538" i="4"/>
  <c r="BJ538" i="4"/>
  <c r="BI538" i="4"/>
  <c r="BH538" i="4"/>
  <c r="BG538" i="4"/>
  <c r="BF538" i="4"/>
  <c r="BE538" i="4"/>
  <c r="BD538" i="4"/>
  <c r="BC538" i="4"/>
  <c r="BB538" i="4"/>
  <c r="BA538" i="4"/>
  <c r="AZ538" i="4"/>
  <c r="AY538" i="4"/>
  <c r="AX538" i="4"/>
  <c r="AW538" i="4"/>
  <c r="AV538" i="4"/>
  <c r="AU538" i="4"/>
  <c r="AT538" i="4"/>
  <c r="AS538" i="4"/>
  <c r="AR538" i="4"/>
  <c r="AQ538" i="4"/>
  <c r="AP538" i="4"/>
  <c r="AO538" i="4"/>
  <c r="AN538" i="4"/>
  <c r="AM538" i="4"/>
  <c r="AL538" i="4"/>
  <c r="AK538" i="4"/>
  <c r="AJ538" i="4"/>
  <c r="AI538" i="4"/>
  <c r="AH538" i="4"/>
  <c r="AG538" i="4"/>
  <c r="AF538" i="4"/>
  <c r="AE538" i="4"/>
  <c r="AD538" i="4"/>
  <c r="AC538" i="4"/>
  <c r="AB538" i="4"/>
  <c r="AA538" i="4"/>
  <c r="Z538" i="4"/>
  <c r="Y538" i="4"/>
  <c r="X538" i="4"/>
  <c r="V538" i="4"/>
  <c r="U538" i="4"/>
  <c r="T538" i="4"/>
  <c r="S538" i="4"/>
  <c r="R538" i="4"/>
  <c r="Q538" i="4"/>
  <c r="P538" i="4"/>
  <c r="O538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A538" i="4"/>
  <c r="CJ537" i="4"/>
  <c r="CI537" i="4"/>
  <c r="CH537" i="4"/>
  <c r="CG537" i="4"/>
  <c r="CF537" i="4"/>
  <c r="CE537" i="4"/>
  <c r="CD537" i="4"/>
  <c r="CC537" i="4"/>
  <c r="CB537" i="4"/>
  <c r="CA537" i="4"/>
  <c r="BZ537" i="4"/>
  <c r="BY537" i="4"/>
  <c r="BX537" i="4"/>
  <c r="BW537" i="4"/>
  <c r="BV537" i="4"/>
  <c r="BU537" i="4"/>
  <c r="BT537" i="4"/>
  <c r="BQ537" i="4"/>
  <c r="BP537" i="4"/>
  <c r="BO537" i="4"/>
  <c r="BN537" i="4"/>
  <c r="BM537" i="4"/>
  <c r="BL537" i="4"/>
  <c r="BK537" i="4"/>
  <c r="BJ537" i="4"/>
  <c r="BI537" i="4"/>
  <c r="BH537" i="4"/>
  <c r="BG537" i="4"/>
  <c r="BF537" i="4"/>
  <c r="BE537" i="4"/>
  <c r="BD537" i="4"/>
  <c r="BC537" i="4"/>
  <c r="BB537" i="4"/>
  <c r="BA537" i="4"/>
  <c r="AZ537" i="4"/>
  <c r="AY537" i="4"/>
  <c r="AX537" i="4"/>
  <c r="AW537" i="4"/>
  <c r="AV537" i="4"/>
  <c r="AU537" i="4"/>
  <c r="AT537" i="4"/>
  <c r="AS537" i="4"/>
  <c r="AR537" i="4"/>
  <c r="AQ537" i="4"/>
  <c r="AP537" i="4"/>
  <c r="AO537" i="4"/>
  <c r="AN537" i="4"/>
  <c r="AM537" i="4"/>
  <c r="AL537" i="4"/>
  <c r="AK537" i="4"/>
  <c r="AJ537" i="4"/>
  <c r="AI537" i="4"/>
  <c r="AH537" i="4"/>
  <c r="AG537" i="4"/>
  <c r="AF537" i="4"/>
  <c r="AE537" i="4"/>
  <c r="AD537" i="4"/>
  <c r="AC537" i="4"/>
  <c r="AB537" i="4"/>
  <c r="AA537" i="4"/>
  <c r="Z537" i="4"/>
  <c r="Y537" i="4"/>
  <c r="X537" i="4"/>
  <c r="V537" i="4"/>
  <c r="U537" i="4"/>
  <c r="T537" i="4"/>
  <c r="S537" i="4"/>
  <c r="R537" i="4"/>
  <c r="Q537" i="4"/>
  <c r="P537" i="4"/>
  <c r="O537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A537" i="4"/>
  <c r="CJ536" i="4"/>
  <c r="CI536" i="4"/>
  <c r="CH536" i="4"/>
  <c r="CG536" i="4"/>
  <c r="CF536" i="4"/>
  <c r="CE536" i="4"/>
  <c r="CD536" i="4"/>
  <c r="CC536" i="4"/>
  <c r="CB536" i="4"/>
  <c r="CA536" i="4"/>
  <c r="BZ536" i="4"/>
  <c r="BY536" i="4"/>
  <c r="BX536" i="4"/>
  <c r="BW536" i="4"/>
  <c r="BV536" i="4"/>
  <c r="BU536" i="4"/>
  <c r="BT536" i="4"/>
  <c r="BQ536" i="4"/>
  <c r="BP536" i="4"/>
  <c r="BO536" i="4"/>
  <c r="BN536" i="4"/>
  <c r="BM536" i="4"/>
  <c r="BL536" i="4"/>
  <c r="BK536" i="4"/>
  <c r="BJ536" i="4"/>
  <c r="BI536" i="4"/>
  <c r="BH536" i="4"/>
  <c r="BG536" i="4"/>
  <c r="BF536" i="4"/>
  <c r="BE536" i="4"/>
  <c r="BD536" i="4"/>
  <c r="BC536" i="4"/>
  <c r="BB536" i="4"/>
  <c r="BA536" i="4"/>
  <c r="AZ536" i="4"/>
  <c r="AY536" i="4"/>
  <c r="AX536" i="4"/>
  <c r="AW536" i="4"/>
  <c r="AV536" i="4"/>
  <c r="AU536" i="4"/>
  <c r="AT536" i="4"/>
  <c r="AS536" i="4"/>
  <c r="AR536" i="4"/>
  <c r="AQ536" i="4"/>
  <c r="AP536" i="4"/>
  <c r="AO536" i="4"/>
  <c r="AN536" i="4"/>
  <c r="AM536" i="4"/>
  <c r="AL536" i="4"/>
  <c r="AK536" i="4"/>
  <c r="AJ536" i="4"/>
  <c r="AI536" i="4"/>
  <c r="AH536" i="4"/>
  <c r="AG536" i="4"/>
  <c r="AF536" i="4"/>
  <c r="AE536" i="4"/>
  <c r="AD536" i="4"/>
  <c r="AC536" i="4"/>
  <c r="AB536" i="4"/>
  <c r="AA536" i="4"/>
  <c r="Z536" i="4"/>
  <c r="Y536" i="4"/>
  <c r="X536" i="4"/>
  <c r="V536" i="4"/>
  <c r="U536" i="4"/>
  <c r="T536" i="4"/>
  <c r="S536" i="4"/>
  <c r="R536" i="4"/>
  <c r="Q536" i="4"/>
  <c r="P536" i="4"/>
  <c r="O536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A536" i="4"/>
  <c r="CJ535" i="4"/>
  <c r="CI535" i="4"/>
  <c r="CH535" i="4"/>
  <c r="CG535" i="4"/>
  <c r="CF535" i="4"/>
  <c r="CE535" i="4"/>
  <c r="CD535" i="4"/>
  <c r="CC535" i="4"/>
  <c r="CB535" i="4"/>
  <c r="CA535" i="4"/>
  <c r="BZ535" i="4"/>
  <c r="BY535" i="4"/>
  <c r="BX535" i="4"/>
  <c r="BW535" i="4"/>
  <c r="BV535" i="4"/>
  <c r="BU535" i="4"/>
  <c r="BT535" i="4"/>
  <c r="BQ535" i="4"/>
  <c r="BP535" i="4"/>
  <c r="BO535" i="4"/>
  <c r="BN535" i="4"/>
  <c r="BM535" i="4"/>
  <c r="BL535" i="4"/>
  <c r="BK535" i="4"/>
  <c r="BJ535" i="4"/>
  <c r="BI535" i="4"/>
  <c r="BH535" i="4"/>
  <c r="BG535" i="4"/>
  <c r="BF535" i="4"/>
  <c r="BE535" i="4"/>
  <c r="BD535" i="4"/>
  <c r="BC535" i="4"/>
  <c r="BB535" i="4"/>
  <c r="BA535" i="4"/>
  <c r="AZ535" i="4"/>
  <c r="AY535" i="4"/>
  <c r="AX535" i="4"/>
  <c r="AW535" i="4"/>
  <c r="AV535" i="4"/>
  <c r="AU535" i="4"/>
  <c r="AT535" i="4"/>
  <c r="AS535" i="4"/>
  <c r="AR535" i="4"/>
  <c r="AQ535" i="4"/>
  <c r="AP535" i="4"/>
  <c r="AO535" i="4"/>
  <c r="AN535" i="4"/>
  <c r="AM535" i="4"/>
  <c r="AL535" i="4"/>
  <c r="AK535" i="4"/>
  <c r="AJ535" i="4"/>
  <c r="AI535" i="4"/>
  <c r="AH535" i="4"/>
  <c r="AG535" i="4"/>
  <c r="AF535" i="4"/>
  <c r="AE535" i="4"/>
  <c r="AD535" i="4"/>
  <c r="AC535" i="4"/>
  <c r="AB535" i="4"/>
  <c r="AA535" i="4"/>
  <c r="Z535" i="4"/>
  <c r="Y535" i="4"/>
  <c r="X535" i="4"/>
  <c r="V535" i="4"/>
  <c r="U535" i="4"/>
  <c r="T535" i="4"/>
  <c r="S535" i="4"/>
  <c r="R535" i="4"/>
  <c r="Q535" i="4"/>
  <c r="P535" i="4"/>
  <c r="O535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A535" i="4"/>
  <c r="CJ534" i="4"/>
  <c r="CI534" i="4"/>
  <c r="CH534" i="4"/>
  <c r="CG534" i="4"/>
  <c r="CF534" i="4"/>
  <c r="CE534" i="4"/>
  <c r="CD534" i="4"/>
  <c r="CC534" i="4"/>
  <c r="CB534" i="4"/>
  <c r="CA534" i="4"/>
  <c r="BZ534" i="4"/>
  <c r="BY534" i="4"/>
  <c r="BX534" i="4"/>
  <c r="BW534" i="4"/>
  <c r="BV534" i="4"/>
  <c r="BU534" i="4"/>
  <c r="BT534" i="4"/>
  <c r="BQ534" i="4"/>
  <c r="BP534" i="4"/>
  <c r="BO534" i="4"/>
  <c r="BN534" i="4"/>
  <c r="BM534" i="4"/>
  <c r="BL534" i="4"/>
  <c r="BK534" i="4"/>
  <c r="BJ534" i="4"/>
  <c r="BI534" i="4"/>
  <c r="BH534" i="4"/>
  <c r="BG534" i="4"/>
  <c r="BF534" i="4"/>
  <c r="BE534" i="4"/>
  <c r="BD534" i="4"/>
  <c r="BC534" i="4"/>
  <c r="BB534" i="4"/>
  <c r="BA534" i="4"/>
  <c r="AZ534" i="4"/>
  <c r="AY534" i="4"/>
  <c r="AX534" i="4"/>
  <c r="AW534" i="4"/>
  <c r="AV534" i="4"/>
  <c r="AU534" i="4"/>
  <c r="AT534" i="4"/>
  <c r="AS534" i="4"/>
  <c r="AR534" i="4"/>
  <c r="AQ534" i="4"/>
  <c r="AP534" i="4"/>
  <c r="AO534" i="4"/>
  <c r="AN534" i="4"/>
  <c r="AM534" i="4"/>
  <c r="AL534" i="4"/>
  <c r="AK534" i="4"/>
  <c r="AJ534" i="4"/>
  <c r="AI534" i="4"/>
  <c r="AH534" i="4"/>
  <c r="AG534" i="4"/>
  <c r="AF534" i="4"/>
  <c r="AE534" i="4"/>
  <c r="AD534" i="4"/>
  <c r="AC534" i="4"/>
  <c r="AB534" i="4"/>
  <c r="AA534" i="4"/>
  <c r="Z534" i="4"/>
  <c r="Y534" i="4"/>
  <c r="X534" i="4"/>
  <c r="V534" i="4"/>
  <c r="U534" i="4"/>
  <c r="T534" i="4"/>
  <c r="S534" i="4"/>
  <c r="R534" i="4"/>
  <c r="Q534" i="4"/>
  <c r="P534" i="4"/>
  <c r="O534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A534" i="4"/>
  <c r="CJ533" i="4"/>
  <c r="CI533" i="4"/>
  <c r="CH533" i="4"/>
  <c r="CG533" i="4"/>
  <c r="CF533" i="4"/>
  <c r="CE533" i="4"/>
  <c r="CD533" i="4"/>
  <c r="CC533" i="4"/>
  <c r="CB533" i="4"/>
  <c r="CA533" i="4"/>
  <c r="BZ533" i="4"/>
  <c r="BY533" i="4"/>
  <c r="BX533" i="4"/>
  <c r="BW533" i="4"/>
  <c r="BV533" i="4"/>
  <c r="BU533" i="4"/>
  <c r="BT533" i="4"/>
  <c r="BQ533" i="4"/>
  <c r="BP533" i="4"/>
  <c r="BO533" i="4"/>
  <c r="BN533" i="4"/>
  <c r="BM533" i="4"/>
  <c r="BL533" i="4"/>
  <c r="BK533" i="4"/>
  <c r="BJ533" i="4"/>
  <c r="BI533" i="4"/>
  <c r="BH533" i="4"/>
  <c r="BG533" i="4"/>
  <c r="BF533" i="4"/>
  <c r="BE533" i="4"/>
  <c r="BD533" i="4"/>
  <c r="BC533" i="4"/>
  <c r="BB533" i="4"/>
  <c r="BA533" i="4"/>
  <c r="AZ533" i="4"/>
  <c r="AY533" i="4"/>
  <c r="AX533" i="4"/>
  <c r="AW533" i="4"/>
  <c r="AV533" i="4"/>
  <c r="AU533" i="4"/>
  <c r="AT533" i="4"/>
  <c r="AS533" i="4"/>
  <c r="AR533" i="4"/>
  <c r="AQ533" i="4"/>
  <c r="AP533" i="4"/>
  <c r="AO533" i="4"/>
  <c r="AN533" i="4"/>
  <c r="AM533" i="4"/>
  <c r="AL533" i="4"/>
  <c r="AK533" i="4"/>
  <c r="AJ533" i="4"/>
  <c r="AI533" i="4"/>
  <c r="AH533" i="4"/>
  <c r="AG533" i="4"/>
  <c r="AF533" i="4"/>
  <c r="AE533" i="4"/>
  <c r="AD533" i="4"/>
  <c r="AC533" i="4"/>
  <c r="AB533" i="4"/>
  <c r="AA533" i="4"/>
  <c r="Z533" i="4"/>
  <c r="Y533" i="4"/>
  <c r="X533" i="4"/>
  <c r="V533" i="4"/>
  <c r="U533" i="4"/>
  <c r="T533" i="4"/>
  <c r="S533" i="4"/>
  <c r="R533" i="4"/>
  <c r="Q533" i="4"/>
  <c r="P533" i="4"/>
  <c r="O533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A533" i="4"/>
  <c r="CJ532" i="4"/>
  <c r="CI532" i="4"/>
  <c r="CH532" i="4"/>
  <c r="CG532" i="4"/>
  <c r="CF532" i="4"/>
  <c r="CE532" i="4"/>
  <c r="CD532" i="4"/>
  <c r="CC532" i="4"/>
  <c r="CB532" i="4"/>
  <c r="CA532" i="4"/>
  <c r="BZ532" i="4"/>
  <c r="BY532" i="4"/>
  <c r="BX532" i="4"/>
  <c r="BW532" i="4"/>
  <c r="BV532" i="4"/>
  <c r="BU532" i="4"/>
  <c r="BT532" i="4"/>
  <c r="BQ532" i="4"/>
  <c r="BP532" i="4"/>
  <c r="BO532" i="4"/>
  <c r="BN532" i="4"/>
  <c r="BM532" i="4"/>
  <c r="BL532" i="4"/>
  <c r="BK532" i="4"/>
  <c r="BJ532" i="4"/>
  <c r="BI532" i="4"/>
  <c r="BH532" i="4"/>
  <c r="BG532" i="4"/>
  <c r="BF532" i="4"/>
  <c r="BE532" i="4"/>
  <c r="BD532" i="4"/>
  <c r="BC532" i="4"/>
  <c r="BB532" i="4"/>
  <c r="BA532" i="4"/>
  <c r="AZ532" i="4"/>
  <c r="AY532" i="4"/>
  <c r="AX532" i="4"/>
  <c r="AW532" i="4"/>
  <c r="AV532" i="4"/>
  <c r="AU532" i="4"/>
  <c r="AT532" i="4"/>
  <c r="AS532" i="4"/>
  <c r="AR532" i="4"/>
  <c r="AQ532" i="4"/>
  <c r="AP532" i="4"/>
  <c r="AO532" i="4"/>
  <c r="AN532" i="4"/>
  <c r="AM532" i="4"/>
  <c r="AL532" i="4"/>
  <c r="AK532" i="4"/>
  <c r="AJ532" i="4"/>
  <c r="AI532" i="4"/>
  <c r="AH532" i="4"/>
  <c r="AG532" i="4"/>
  <c r="AF532" i="4"/>
  <c r="AE532" i="4"/>
  <c r="AD532" i="4"/>
  <c r="AC532" i="4"/>
  <c r="AB532" i="4"/>
  <c r="AA532" i="4"/>
  <c r="Z532" i="4"/>
  <c r="Y532" i="4"/>
  <c r="X532" i="4"/>
  <c r="V532" i="4"/>
  <c r="U532" i="4"/>
  <c r="T532" i="4"/>
  <c r="S532" i="4"/>
  <c r="R532" i="4"/>
  <c r="Q532" i="4"/>
  <c r="P532" i="4"/>
  <c r="O532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A532" i="4"/>
  <c r="CJ531" i="4"/>
  <c r="CI531" i="4"/>
  <c r="CH531" i="4"/>
  <c r="CG531" i="4"/>
  <c r="CF531" i="4"/>
  <c r="CE531" i="4"/>
  <c r="CD531" i="4"/>
  <c r="CC531" i="4"/>
  <c r="CB531" i="4"/>
  <c r="CA531" i="4"/>
  <c r="BZ531" i="4"/>
  <c r="BY531" i="4"/>
  <c r="BX531" i="4"/>
  <c r="BW531" i="4"/>
  <c r="BV531" i="4"/>
  <c r="BU531" i="4"/>
  <c r="BT531" i="4"/>
  <c r="BQ531" i="4"/>
  <c r="BP531" i="4"/>
  <c r="BO531" i="4"/>
  <c r="BN531" i="4"/>
  <c r="BM531" i="4"/>
  <c r="BL531" i="4"/>
  <c r="BK531" i="4"/>
  <c r="BJ531" i="4"/>
  <c r="BI531" i="4"/>
  <c r="BH531" i="4"/>
  <c r="BG531" i="4"/>
  <c r="BF531" i="4"/>
  <c r="BE531" i="4"/>
  <c r="BD531" i="4"/>
  <c r="BC531" i="4"/>
  <c r="BB531" i="4"/>
  <c r="BA531" i="4"/>
  <c r="AZ531" i="4"/>
  <c r="AY531" i="4"/>
  <c r="AX531" i="4"/>
  <c r="AW531" i="4"/>
  <c r="AV531" i="4"/>
  <c r="AU531" i="4"/>
  <c r="AT531" i="4"/>
  <c r="AS531" i="4"/>
  <c r="AR531" i="4"/>
  <c r="AQ531" i="4"/>
  <c r="AP531" i="4"/>
  <c r="AO531" i="4"/>
  <c r="AN531" i="4"/>
  <c r="AM531" i="4"/>
  <c r="AL531" i="4"/>
  <c r="AK531" i="4"/>
  <c r="AJ531" i="4"/>
  <c r="AI531" i="4"/>
  <c r="AH531" i="4"/>
  <c r="AG531" i="4"/>
  <c r="AF531" i="4"/>
  <c r="AE531" i="4"/>
  <c r="AD531" i="4"/>
  <c r="AC531" i="4"/>
  <c r="AB531" i="4"/>
  <c r="AA531" i="4"/>
  <c r="Z531" i="4"/>
  <c r="Y531" i="4"/>
  <c r="X531" i="4"/>
  <c r="V531" i="4"/>
  <c r="U531" i="4"/>
  <c r="T531" i="4"/>
  <c r="S531" i="4"/>
  <c r="R531" i="4"/>
  <c r="Q531" i="4"/>
  <c r="P531" i="4"/>
  <c r="O531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A531" i="4"/>
  <c r="CJ530" i="4"/>
  <c r="CI530" i="4"/>
  <c r="CH530" i="4"/>
  <c r="CG530" i="4"/>
  <c r="CF530" i="4"/>
  <c r="CE530" i="4"/>
  <c r="CD530" i="4"/>
  <c r="CC530" i="4"/>
  <c r="CB530" i="4"/>
  <c r="CA530" i="4"/>
  <c r="BZ530" i="4"/>
  <c r="BY530" i="4"/>
  <c r="BX530" i="4"/>
  <c r="BW530" i="4"/>
  <c r="BV530" i="4"/>
  <c r="BU530" i="4"/>
  <c r="BT530" i="4"/>
  <c r="BQ530" i="4"/>
  <c r="BP530" i="4"/>
  <c r="BO530" i="4"/>
  <c r="BN530" i="4"/>
  <c r="BM530" i="4"/>
  <c r="BL530" i="4"/>
  <c r="BK530" i="4"/>
  <c r="BJ530" i="4"/>
  <c r="BI530" i="4"/>
  <c r="BH530" i="4"/>
  <c r="BG530" i="4"/>
  <c r="BF530" i="4"/>
  <c r="BE530" i="4"/>
  <c r="BD530" i="4"/>
  <c r="BC530" i="4"/>
  <c r="BB530" i="4"/>
  <c r="BA530" i="4"/>
  <c r="AZ530" i="4"/>
  <c r="AY530" i="4"/>
  <c r="AX530" i="4"/>
  <c r="AW530" i="4"/>
  <c r="AV530" i="4"/>
  <c r="AU530" i="4"/>
  <c r="AT530" i="4"/>
  <c r="AS530" i="4"/>
  <c r="AR530" i="4"/>
  <c r="AQ530" i="4"/>
  <c r="AP530" i="4"/>
  <c r="AO530" i="4"/>
  <c r="AN530" i="4"/>
  <c r="AM530" i="4"/>
  <c r="AL530" i="4"/>
  <c r="AK530" i="4"/>
  <c r="AJ530" i="4"/>
  <c r="AI530" i="4"/>
  <c r="AH530" i="4"/>
  <c r="AG530" i="4"/>
  <c r="AF530" i="4"/>
  <c r="AE530" i="4"/>
  <c r="AD530" i="4"/>
  <c r="AC530" i="4"/>
  <c r="AB530" i="4"/>
  <c r="AA530" i="4"/>
  <c r="Z530" i="4"/>
  <c r="Y530" i="4"/>
  <c r="X530" i="4"/>
  <c r="V530" i="4"/>
  <c r="U530" i="4"/>
  <c r="T530" i="4"/>
  <c r="S530" i="4"/>
  <c r="R530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A530" i="4"/>
  <c r="CJ529" i="4"/>
  <c r="CI529" i="4"/>
  <c r="CH529" i="4"/>
  <c r="CG529" i="4"/>
  <c r="CF529" i="4"/>
  <c r="CE529" i="4"/>
  <c r="CD529" i="4"/>
  <c r="CC529" i="4"/>
  <c r="CB529" i="4"/>
  <c r="CA529" i="4"/>
  <c r="BZ529" i="4"/>
  <c r="BY529" i="4"/>
  <c r="BX529" i="4"/>
  <c r="BW529" i="4"/>
  <c r="BV529" i="4"/>
  <c r="BU529" i="4"/>
  <c r="BT529" i="4"/>
  <c r="BQ529" i="4"/>
  <c r="BP529" i="4"/>
  <c r="BO529" i="4"/>
  <c r="BN529" i="4"/>
  <c r="BM529" i="4"/>
  <c r="BL529" i="4"/>
  <c r="BK529" i="4"/>
  <c r="BJ529" i="4"/>
  <c r="BI529" i="4"/>
  <c r="BH529" i="4"/>
  <c r="BG529" i="4"/>
  <c r="BF529" i="4"/>
  <c r="BE529" i="4"/>
  <c r="BD529" i="4"/>
  <c r="BC529" i="4"/>
  <c r="BB529" i="4"/>
  <c r="BA529" i="4"/>
  <c r="AZ529" i="4"/>
  <c r="AY529" i="4"/>
  <c r="AX529" i="4"/>
  <c r="AW529" i="4"/>
  <c r="AV529" i="4"/>
  <c r="AU529" i="4"/>
  <c r="AT529" i="4"/>
  <c r="AS529" i="4"/>
  <c r="AR529" i="4"/>
  <c r="AQ529" i="4"/>
  <c r="AP529" i="4"/>
  <c r="AO529" i="4"/>
  <c r="AN529" i="4"/>
  <c r="AM529" i="4"/>
  <c r="AL529" i="4"/>
  <c r="AK529" i="4"/>
  <c r="AJ529" i="4"/>
  <c r="AI529" i="4"/>
  <c r="AH529" i="4"/>
  <c r="AG529" i="4"/>
  <c r="AF529" i="4"/>
  <c r="AE529" i="4"/>
  <c r="AD529" i="4"/>
  <c r="AC529" i="4"/>
  <c r="AB529" i="4"/>
  <c r="AA529" i="4"/>
  <c r="Z529" i="4"/>
  <c r="Y529" i="4"/>
  <c r="X529" i="4"/>
  <c r="V529" i="4"/>
  <c r="U529" i="4"/>
  <c r="T529" i="4"/>
  <c r="S529" i="4"/>
  <c r="R529" i="4"/>
  <c r="Q529" i="4"/>
  <c r="P529" i="4"/>
  <c r="O529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A529" i="4"/>
  <c r="CJ528" i="4"/>
  <c r="CI528" i="4"/>
  <c r="CH528" i="4"/>
  <c r="CG528" i="4"/>
  <c r="CF528" i="4"/>
  <c r="CE528" i="4"/>
  <c r="CD528" i="4"/>
  <c r="CC528" i="4"/>
  <c r="CB528" i="4"/>
  <c r="CA528" i="4"/>
  <c r="BZ528" i="4"/>
  <c r="BY528" i="4"/>
  <c r="BX528" i="4"/>
  <c r="BW528" i="4"/>
  <c r="BV528" i="4"/>
  <c r="BU528" i="4"/>
  <c r="BT528" i="4"/>
  <c r="BQ528" i="4"/>
  <c r="BP528" i="4"/>
  <c r="BO528" i="4"/>
  <c r="BN528" i="4"/>
  <c r="BM528" i="4"/>
  <c r="BL528" i="4"/>
  <c r="BK528" i="4"/>
  <c r="BJ528" i="4"/>
  <c r="BI528" i="4"/>
  <c r="BH528" i="4"/>
  <c r="BG528" i="4"/>
  <c r="BF528" i="4"/>
  <c r="BE528" i="4"/>
  <c r="BD528" i="4"/>
  <c r="BC528" i="4"/>
  <c r="BB528" i="4"/>
  <c r="BA528" i="4"/>
  <c r="AZ528" i="4"/>
  <c r="AY528" i="4"/>
  <c r="AX528" i="4"/>
  <c r="AW528" i="4"/>
  <c r="AV528" i="4"/>
  <c r="AU528" i="4"/>
  <c r="AT528" i="4"/>
  <c r="AS528" i="4"/>
  <c r="AR528" i="4"/>
  <c r="AQ528" i="4"/>
  <c r="AP528" i="4"/>
  <c r="AO528" i="4"/>
  <c r="AN528" i="4"/>
  <c r="AM528" i="4"/>
  <c r="AL528" i="4"/>
  <c r="AK528" i="4"/>
  <c r="AJ528" i="4"/>
  <c r="AI528" i="4"/>
  <c r="AH528" i="4"/>
  <c r="AG528" i="4"/>
  <c r="AF528" i="4"/>
  <c r="AE528" i="4"/>
  <c r="AD528" i="4"/>
  <c r="AC528" i="4"/>
  <c r="AB528" i="4"/>
  <c r="AA528" i="4"/>
  <c r="Z528" i="4"/>
  <c r="Y528" i="4"/>
  <c r="X528" i="4"/>
  <c r="V528" i="4"/>
  <c r="U528" i="4"/>
  <c r="T528" i="4"/>
  <c r="S528" i="4"/>
  <c r="R528" i="4"/>
  <c r="Q528" i="4"/>
  <c r="P528" i="4"/>
  <c r="O528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A528" i="4"/>
  <c r="CJ527" i="4"/>
  <c r="CI527" i="4"/>
  <c r="CH527" i="4"/>
  <c r="CG527" i="4"/>
  <c r="CF527" i="4"/>
  <c r="CE527" i="4"/>
  <c r="CD527" i="4"/>
  <c r="CC527" i="4"/>
  <c r="CB527" i="4"/>
  <c r="CA527" i="4"/>
  <c r="BZ527" i="4"/>
  <c r="BY527" i="4"/>
  <c r="BX527" i="4"/>
  <c r="BW527" i="4"/>
  <c r="BV527" i="4"/>
  <c r="BU527" i="4"/>
  <c r="BT527" i="4"/>
  <c r="BQ527" i="4"/>
  <c r="BP527" i="4"/>
  <c r="BO527" i="4"/>
  <c r="BN527" i="4"/>
  <c r="BM527" i="4"/>
  <c r="BL527" i="4"/>
  <c r="BK527" i="4"/>
  <c r="BJ527" i="4"/>
  <c r="BI527" i="4"/>
  <c r="BH527" i="4"/>
  <c r="BG527" i="4"/>
  <c r="BF527" i="4"/>
  <c r="BE527" i="4"/>
  <c r="BD527" i="4"/>
  <c r="BC527" i="4"/>
  <c r="BB527" i="4"/>
  <c r="BA527" i="4"/>
  <c r="AZ527" i="4"/>
  <c r="AY527" i="4"/>
  <c r="AX527" i="4"/>
  <c r="AW527" i="4"/>
  <c r="AV527" i="4"/>
  <c r="AU527" i="4"/>
  <c r="AT527" i="4"/>
  <c r="AS527" i="4"/>
  <c r="AR527" i="4"/>
  <c r="AQ527" i="4"/>
  <c r="AP527" i="4"/>
  <c r="AO527" i="4"/>
  <c r="AN527" i="4"/>
  <c r="AM527" i="4"/>
  <c r="AL527" i="4"/>
  <c r="AK527" i="4"/>
  <c r="AJ527" i="4"/>
  <c r="AI527" i="4"/>
  <c r="AH527" i="4"/>
  <c r="AG527" i="4"/>
  <c r="AF527" i="4"/>
  <c r="AE527" i="4"/>
  <c r="AD527" i="4"/>
  <c r="AC527" i="4"/>
  <c r="AB527" i="4"/>
  <c r="AA527" i="4"/>
  <c r="Z527" i="4"/>
  <c r="Y527" i="4"/>
  <c r="X527" i="4"/>
  <c r="V527" i="4"/>
  <c r="U527" i="4"/>
  <c r="T527" i="4"/>
  <c r="S527" i="4"/>
  <c r="R527" i="4"/>
  <c r="Q527" i="4"/>
  <c r="P527" i="4"/>
  <c r="O527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A527" i="4"/>
  <c r="CJ526" i="4"/>
  <c r="CI526" i="4"/>
  <c r="CH526" i="4"/>
  <c r="CG526" i="4"/>
  <c r="CF526" i="4"/>
  <c r="CE526" i="4"/>
  <c r="CD526" i="4"/>
  <c r="CC526" i="4"/>
  <c r="CB526" i="4"/>
  <c r="CA526" i="4"/>
  <c r="BZ526" i="4"/>
  <c r="BY526" i="4"/>
  <c r="BX526" i="4"/>
  <c r="BW526" i="4"/>
  <c r="BV526" i="4"/>
  <c r="BU526" i="4"/>
  <c r="BT526" i="4"/>
  <c r="BQ526" i="4"/>
  <c r="BP526" i="4"/>
  <c r="BO526" i="4"/>
  <c r="BN526" i="4"/>
  <c r="BM526" i="4"/>
  <c r="BL526" i="4"/>
  <c r="BK526" i="4"/>
  <c r="BJ526" i="4"/>
  <c r="BI526" i="4"/>
  <c r="BH526" i="4"/>
  <c r="BG526" i="4"/>
  <c r="BF526" i="4"/>
  <c r="BE526" i="4"/>
  <c r="BD526" i="4"/>
  <c r="BC526" i="4"/>
  <c r="BB526" i="4"/>
  <c r="BA526" i="4"/>
  <c r="AZ526" i="4"/>
  <c r="AY526" i="4"/>
  <c r="AX526" i="4"/>
  <c r="AW526" i="4"/>
  <c r="AV526" i="4"/>
  <c r="AU526" i="4"/>
  <c r="AT526" i="4"/>
  <c r="AS526" i="4"/>
  <c r="AR526" i="4"/>
  <c r="AQ526" i="4"/>
  <c r="AP526" i="4"/>
  <c r="AO526" i="4"/>
  <c r="AN526" i="4"/>
  <c r="AM526" i="4"/>
  <c r="AL526" i="4"/>
  <c r="AK526" i="4"/>
  <c r="AJ526" i="4"/>
  <c r="AI526" i="4"/>
  <c r="AH526" i="4"/>
  <c r="AG526" i="4"/>
  <c r="AF526" i="4"/>
  <c r="AE526" i="4"/>
  <c r="AD526" i="4"/>
  <c r="AC526" i="4"/>
  <c r="AB526" i="4"/>
  <c r="AA526" i="4"/>
  <c r="Z526" i="4"/>
  <c r="Y526" i="4"/>
  <c r="X526" i="4"/>
  <c r="V526" i="4"/>
  <c r="U526" i="4"/>
  <c r="T526" i="4"/>
  <c r="S526" i="4"/>
  <c r="R526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A526" i="4"/>
  <c r="CJ525" i="4"/>
  <c r="CI525" i="4"/>
  <c r="CH525" i="4"/>
  <c r="CG525" i="4"/>
  <c r="CF525" i="4"/>
  <c r="CE525" i="4"/>
  <c r="CD525" i="4"/>
  <c r="CC525" i="4"/>
  <c r="CB525" i="4"/>
  <c r="CA525" i="4"/>
  <c r="BZ525" i="4"/>
  <c r="BY525" i="4"/>
  <c r="BX525" i="4"/>
  <c r="BW525" i="4"/>
  <c r="BV525" i="4"/>
  <c r="BU525" i="4"/>
  <c r="BT525" i="4"/>
  <c r="BQ525" i="4"/>
  <c r="BP525" i="4"/>
  <c r="BO525" i="4"/>
  <c r="BN525" i="4"/>
  <c r="BM525" i="4"/>
  <c r="BL525" i="4"/>
  <c r="BK525" i="4"/>
  <c r="BJ525" i="4"/>
  <c r="BI525" i="4"/>
  <c r="BH525" i="4"/>
  <c r="BG525" i="4"/>
  <c r="BF525" i="4"/>
  <c r="BE525" i="4"/>
  <c r="BD525" i="4"/>
  <c r="BC525" i="4"/>
  <c r="BB525" i="4"/>
  <c r="BA525" i="4"/>
  <c r="AZ525" i="4"/>
  <c r="AY525" i="4"/>
  <c r="AX525" i="4"/>
  <c r="AW525" i="4"/>
  <c r="AV525" i="4"/>
  <c r="AU525" i="4"/>
  <c r="AT525" i="4"/>
  <c r="AS525" i="4"/>
  <c r="AR525" i="4"/>
  <c r="AQ525" i="4"/>
  <c r="AP525" i="4"/>
  <c r="AO525" i="4"/>
  <c r="AN525" i="4"/>
  <c r="AM525" i="4"/>
  <c r="AL525" i="4"/>
  <c r="AK525" i="4"/>
  <c r="AJ525" i="4"/>
  <c r="AI525" i="4"/>
  <c r="AH525" i="4"/>
  <c r="AG525" i="4"/>
  <c r="AF525" i="4"/>
  <c r="AE525" i="4"/>
  <c r="AD525" i="4"/>
  <c r="AC525" i="4"/>
  <c r="AB525" i="4"/>
  <c r="AA525" i="4"/>
  <c r="Z525" i="4"/>
  <c r="Y525" i="4"/>
  <c r="X525" i="4"/>
  <c r="V525" i="4"/>
  <c r="U525" i="4"/>
  <c r="T525" i="4"/>
  <c r="S525" i="4"/>
  <c r="R525" i="4"/>
  <c r="Q525" i="4"/>
  <c r="P525" i="4"/>
  <c r="O525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A525" i="4"/>
  <c r="CJ524" i="4"/>
  <c r="CI524" i="4"/>
  <c r="CH524" i="4"/>
  <c r="CG524" i="4"/>
  <c r="CF524" i="4"/>
  <c r="CE524" i="4"/>
  <c r="CD524" i="4"/>
  <c r="CC524" i="4"/>
  <c r="CB524" i="4"/>
  <c r="CA524" i="4"/>
  <c r="BZ524" i="4"/>
  <c r="BY524" i="4"/>
  <c r="BX524" i="4"/>
  <c r="BW524" i="4"/>
  <c r="BV524" i="4"/>
  <c r="BU524" i="4"/>
  <c r="BT524" i="4"/>
  <c r="BQ524" i="4"/>
  <c r="BP524" i="4"/>
  <c r="BO524" i="4"/>
  <c r="BN524" i="4"/>
  <c r="BM524" i="4"/>
  <c r="BL524" i="4"/>
  <c r="BK524" i="4"/>
  <c r="BJ524" i="4"/>
  <c r="BI524" i="4"/>
  <c r="BH524" i="4"/>
  <c r="BG524" i="4"/>
  <c r="BF524" i="4"/>
  <c r="BE524" i="4"/>
  <c r="BD524" i="4"/>
  <c r="BC524" i="4"/>
  <c r="BB524" i="4"/>
  <c r="BA524" i="4"/>
  <c r="AZ524" i="4"/>
  <c r="AY524" i="4"/>
  <c r="AX524" i="4"/>
  <c r="AW524" i="4"/>
  <c r="AV524" i="4"/>
  <c r="AU524" i="4"/>
  <c r="AT524" i="4"/>
  <c r="AS524" i="4"/>
  <c r="AR524" i="4"/>
  <c r="AQ524" i="4"/>
  <c r="AP524" i="4"/>
  <c r="AO524" i="4"/>
  <c r="AN524" i="4"/>
  <c r="AM524" i="4"/>
  <c r="AL524" i="4"/>
  <c r="AK524" i="4"/>
  <c r="AJ524" i="4"/>
  <c r="AI524" i="4"/>
  <c r="AH524" i="4"/>
  <c r="AG524" i="4"/>
  <c r="AF524" i="4"/>
  <c r="AE524" i="4"/>
  <c r="AD524" i="4"/>
  <c r="AC524" i="4"/>
  <c r="AB524" i="4"/>
  <c r="AA524" i="4"/>
  <c r="Z524" i="4"/>
  <c r="Y524" i="4"/>
  <c r="X524" i="4"/>
  <c r="V524" i="4"/>
  <c r="U524" i="4"/>
  <c r="T524" i="4"/>
  <c r="S524" i="4"/>
  <c r="R524" i="4"/>
  <c r="Q524" i="4"/>
  <c r="P524" i="4"/>
  <c r="O524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A524" i="4"/>
  <c r="CJ523" i="4"/>
  <c r="CI523" i="4"/>
  <c r="CH523" i="4"/>
  <c r="CG523" i="4"/>
  <c r="CF523" i="4"/>
  <c r="CE523" i="4"/>
  <c r="CD523" i="4"/>
  <c r="CC523" i="4"/>
  <c r="CB523" i="4"/>
  <c r="CA523" i="4"/>
  <c r="BZ523" i="4"/>
  <c r="BY523" i="4"/>
  <c r="BX523" i="4"/>
  <c r="BW523" i="4"/>
  <c r="BV523" i="4"/>
  <c r="BU523" i="4"/>
  <c r="BT523" i="4"/>
  <c r="BQ523" i="4"/>
  <c r="BP523" i="4"/>
  <c r="BO523" i="4"/>
  <c r="BN523" i="4"/>
  <c r="BM523" i="4"/>
  <c r="BL523" i="4"/>
  <c r="BK523" i="4"/>
  <c r="BJ523" i="4"/>
  <c r="BI523" i="4"/>
  <c r="BH523" i="4"/>
  <c r="BG523" i="4"/>
  <c r="BF523" i="4"/>
  <c r="BE523" i="4"/>
  <c r="BD523" i="4"/>
  <c r="BC523" i="4"/>
  <c r="BB523" i="4"/>
  <c r="BA523" i="4"/>
  <c r="AZ523" i="4"/>
  <c r="AY523" i="4"/>
  <c r="AX523" i="4"/>
  <c r="AW523" i="4"/>
  <c r="AV523" i="4"/>
  <c r="AU523" i="4"/>
  <c r="AT523" i="4"/>
  <c r="AS523" i="4"/>
  <c r="AR523" i="4"/>
  <c r="AQ523" i="4"/>
  <c r="AP523" i="4"/>
  <c r="AO523" i="4"/>
  <c r="AN523" i="4"/>
  <c r="AM523" i="4"/>
  <c r="AL523" i="4"/>
  <c r="AK523" i="4"/>
  <c r="AJ523" i="4"/>
  <c r="AI523" i="4"/>
  <c r="AH523" i="4"/>
  <c r="AG523" i="4"/>
  <c r="AF523" i="4"/>
  <c r="AE523" i="4"/>
  <c r="AD523" i="4"/>
  <c r="AC523" i="4"/>
  <c r="AB523" i="4"/>
  <c r="AA523" i="4"/>
  <c r="Z523" i="4"/>
  <c r="Y523" i="4"/>
  <c r="X523" i="4"/>
  <c r="V523" i="4"/>
  <c r="U523" i="4"/>
  <c r="T523" i="4"/>
  <c r="S523" i="4"/>
  <c r="R523" i="4"/>
  <c r="Q523" i="4"/>
  <c r="P523" i="4"/>
  <c r="O523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A523" i="4"/>
  <c r="CJ522" i="4"/>
  <c r="CI522" i="4"/>
  <c r="CH522" i="4"/>
  <c r="CG522" i="4"/>
  <c r="CF522" i="4"/>
  <c r="CE522" i="4"/>
  <c r="CD522" i="4"/>
  <c r="CC522" i="4"/>
  <c r="CB522" i="4"/>
  <c r="CA522" i="4"/>
  <c r="BZ522" i="4"/>
  <c r="BY522" i="4"/>
  <c r="BX522" i="4"/>
  <c r="BW522" i="4"/>
  <c r="BV522" i="4"/>
  <c r="BU522" i="4"/>
  <c r="BT522" i="4"/>
  <c r="BQ522" i="4"/>
  <c r="BP522" i="4"/>
  <c r="BO522" i="4"/>
  <c r="BN522" i="4"/>
  <c r="BM522" i="4"/>
  <c r="BL522" i="4"/>
  <c r="BK522" i="4"/>
  <c r="BJ522" i="4"/>
  <c r="BI522" i="4"/>
  <c r="BH522" i="4"/>
  <c r="BG522" i="4"/>
  <c r="BF522" i="4"/>
  <c r="BE522" i="4"/>
  <c r="BD522" i="4"/>
  <c r="BC522" i="4"/>
  <c r="BB522" i="4"/>
  <c r="BA522" i="4"/>
  <c r="AZ522" i="4"/>
  <c r="AY522" i="4"/>
  <c r="AX522" i="4"/>
  <c r="AW522" i="4"/>
  <c r="AV522" i="4"/>
  <c r="AU522" i="4"/>
  <c r="AT522" i="4"/>
  <c r="AS522" i="4"/>
  <c r="AR522" i="4"/>
  <c r="AQ522" i="4"/>
  <c r="AP522" i="4"/>
  <c r="AO522" i="4"/>
  <c r="AN522" i="4"/>
  <c r="AM522" i="4"/>
  <c r="AL522" i="4"/>
  <c r="AK522" i="4"/>
  <c r="AJ522" i="4"/>
  <c r="AI522" i="4"/>
  <c r="AH522" i="4"/>
  <c r="AG522" i="4"/>
  <c r="AF522" i="4"/>
  <c r="AE522" i="4"/>
  <c r="AD522" i="4"/>
  <c r="AC522" i="4"/>
  <c r="AB522" i="4"/>
  <c r="AA522" i="4"/>
  <c r="Z522" i="4"/>
  <c r="Y522" i="4"/>
  <c r="X522" i="4"/>
  <c r="V522" i="4"/>
  <c r="U522" i="4"/>
  <c r="T522" i="4"/>
  <c r="S522" i="4"/>
  <c r="R522" i="4"/>
  <c r="Q522" i="4"/>
  <c r="P522" i="4"/>
  <c r="O522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A522" i="4"/>
  <c r="CJ521" i="4"/>
  <c r="CI521" i="4"/>
  <c r="CH521" i="4"/>
  <c r="CG521" i="4"/>
  <c r="CF521" i="4"/>
  <c r="CE521" i="4"/>
  <c r="CD521" i="4"/>
  <c r="CC521" i="4"/>
  <c r="CB521" i="4"/>
  <c r="CA521" i="4"/>
  <c r="BZ521" i="4"/>
  <c r="BY521" i="4"/>
  <c r="BX521" i="4"/>
  <c r="BW521" i="4"/>
  <c r="BV521" i="4"/>
  <c r="BU521" i="4"/>
  <c r="BT521" i="4"/>
  <c r="BQ521" i="4"/>
  <c r="BP521" i="4"/>
  <c r="BO521" i="4"/>
  <c r="BN521" i="4"/>
  <c r="BM521" i="4"/>
  <c r="BL521" i="4"/>
  <c r="BK521" i="4"/>
  <c r="BJ521" i="4"/>
  <c r="BI521" i="4"/>
  <c r="BH521" i="4"/>
  <c r="BG521" i="4"/>
  <c r="BF521" i="4"/>
  <c r="BE521" i="4"/>
  <c r="BD521" i="4"/>
  <c r="BC521" i="4"/>
  <c r="BB521" i="4"/>
  <c r="BA521" i="4"/>
  <c r="AZ521" i="4"/>
  <c r="AY521" i="4"/>
  <c r="AX521" i="4"/>
  <c r="AW521" i="4"/>
  <c r="AV521" i="4"/>
  <c r="AU521" i="4"/>
  <c r="AT521" i="4"/>
  <c r="AS521" i="4"/>
  <c r="AR521" i="4"/>
  <c r="AQ521" i="4"/>
  <c r="AP521" i="4"/>
  <c r="AO521" i="4"/>
  <c r="AN521" i="4"/>
  <c r="AM521" i="4"/>
  <c r="AL521" i="4"/>
  <c r="AK521" i="4"/>
  <c r="AJ521" i="4"/>
  <c r="AI521" i="4"/>
  <c r="AH521" i="4"/>
  <c r="AG521" i="4"/>
  <c r="AF521" i="4"/>
  <c r="AE521" i="4"/>
  <c r="AD521" i="4"/>
  <c r="AC521" i="4"/>
  <c r="AB521" i="4"/>
  <c r="AA521" i="4"/>
  <c r="Z521" i="4"/>
  <c r="Y521" i="4"/>
  <c r="X521" i="4"/>
  <c r="V521" i="4"/>
  <c r="U521" i="4"/>
  <c r="T521" i="4"/>
  <c r="S521" i="4"/>
  <c r="R521" i="4"/>
  <c r="Q521" i="4"/>
  <c r="P521" i="4"/>
  <c r="O521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A521" i="4"/>
  <c r="CJ520" i="4"/>
  <c r="CI520" i="4"/>
  <c r="CH520" i="4"/>
  <c r="CG520" i="4"/>
  <c r="CF520" i="4"/>
  <c r="CE520" i="4"/>
  <c r="CD520" i="4"/>
  <c r="CC520" i="4"/>
  <c r="CB520" i="4"/>
  <c r="CA520" i="4"/>
  <c r="BZ520" i="4"/>
  <c r="BY520" i="4"/>
  <c r="BX520" i="4"/>
  <c r="BW520" i="4"/>
  <c r="BV520" i="4"/>
  <c r="BU520" i="4"/>
  <c r="BT520" i="4"/>
  <c r="BQ520" i="4"/>
  <c r="BP520" i="4"/>
  <c r="BO520" i="4"/>
  <c r="BN520" i="4"/>
  <c r="BM520" i="4"/>
  <c r="BL520" i="4"/>
  <c r="BK520" i="4"/>
  <c r="BJ520" i="4"/>
  <c r="BI520" i="4"/>
  <c r="BH520" i="4"/>
  <c r="BG520" i="4"/>
  <c r="BF520" i="4"/>
  <c r="BE520" i="4"/>
  <c r="BD520" i="4"/>
  <c r="BC520" i="4"/>
  <c r="BB520" i="4"/>
  <c r="BA520" i="4"/>
  <c r="AZ520" i="4"/>
  <c r="AY520" i="4"/>
  <c r="AX520" i="4"/>
  <c r="AW520" i="4"/>
  <c r="AV520" i="4"/>
  <c r="AU520" i="4"/>
  <c r="AT520" i="4"/>
  <c r="AS520" i="4"/>
  <c r="AR520" i="4"/>
  <c r="AQ520" i="4"/>
  <c r="AP520" i="4"/>
  <c r="AO520" i="4"/>
  <c r="AN520" i="4"/>
  <c r="AM520" i="4"/>
  <c r="AL520" i="4"/>
  <c r="AK520" i="4"/>
  <c r="AJ520" i="4"/>
  <c r="AI520" i="4"/>
  <c r="AH520" i="4"/>
  <c r="AG520" i="4"/>
  <c r="AF520" i="4"/>
  <c r="AE520" i="4"/>
  <c r="AD520" i="4"/>
  <c r="AC520" i="4"/>
  <c r="AB520" i="4"/>
  <c r="AA520" i="4"/>
  <c r="Z520" i="4"/>
  <c r="Y520" i="4"/>
  <c r="X520" i="4"/>
  <c r="V520" i="4"/>
  <c r="U520" i="4"/>
  <c r="T520" i="4"/>
  <c r="S520" i="4"/>
  <c r="R520" i="4"/>
  <c r="Q520" i="4"/>
  <c r="P520" i="4"/>
  <c r="O520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A520" i="4"/>
  <c r="CJ519" i="4"/>
  <c r="CI519" i="4"/>
  <c r="CH519" i="4"/>
  <c r="CG519" i="4"/>
  <c r="CF519" i="4"/>
  <c r="CE519" i="4"/>
  <c r="CD519" i="4"/>
  <c r="CC519" i="4"/>
  <c r="CB519" i="4"/>
  <c r="CA519" i="4"/>
  <c r="BZ519" i="4"/>
  <c r="BY519" i="4"/>
  <c r="BX519" i="4"/>
  <c r="BW519" i="4"/>
  <c r="BV519" i="4"/>
  <c r="BU519" i="4"/>
  <c r="BT519" i="4"/>
  <c r="BQ519" i="4"/>
  <c r="BP519" i="4"/>
  <c r="BO519" i="4"/>
  <c r="BN519" i="4"/>
  <c r="BM519" i="4"/>
  <c r="BL519" i="4"/>
  <c r="BK519" i="4"/>
  <c r="BJ519" i="4"/>
  <c r="BI519" i="4"/>
  <c r="BH519" i="4"/>
  <c r="BG519" i="4"/>
  <c r="BF519" i="4"/>
  <c r="BE519" i="4"/>
  <c r="BD519" i="4"/>
  <c r="BC519" i="4"/>
  <c r="BB519" i="4"/>
  <c r="BA519" i="4"/>
  <c r="AZ519" i="4"/>
  <c r="AY519" i="4"/>
  <c r="AX519" i="4"/>
  <c r="AW519" i="4"/>
  <c r="AV519" i="4"/>
  <c r="AU519" i="4"/>
  <c r="AT519" i="4"/>
  <c r="AS519" i="4"/>
  <c r="AR519" i="4"/>
  <c r="AQ519" i="4"/>
  <c r="AP519" i="4"/>
  <c r="AO519" i="4"/>
  <c r="AN519" i="4"/>
  <c r="AM519" i="4"/>
  <c r="AL519" i="4"/>
  <c r="AK519" i="4"/>
  <c r="AJ519" i="4"/>
  <c r="AI519" i="4"/>
  <c r="AH519" i="4"/>
  <c r="AG519" i="4"/>
  <c r="AF519" i="4"/>
  <c r="AE519" i="4"/>
  <c r="AD519" i="4"/>
  <c r="AC519" i="4"/>
  <c r="AB519" i="4"/>
  <c r="AA519" i="4"/>
  <c r="Z519" i="4"/>
  <c r="Y519" i="4"/>
  <c r="X519" i="4"/>
  <c r="V519" i="4"/>
  <c r="U519" i="4"/>
  <c r="T519" i="4"/>
  <c r="S519" i="4"/>
  <c r="R519" i="4"/>
  <c r="Q519" i="4"/>
  <c r="P519" i="4"/>
  <c r="O519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A519" i="4"/>
  <c r="CJ518" i="4"/>
  <c r="CI518" i="4"/>
  <c r="CH518" i="4"/>
  <c r="CG518" i="4"/>
  <c r="CF518" i="4"/>
  <c r="CE518" i="4"/>
  <c r="CD518" i="4"/>
  <c r="CC518" i="4"/>
  <c r="CB518" i="4"/>
  <c r="CA518" i="4"/>
  <c r="BZ518" i="4"/>
  <c r="BY518" i="4"/>
  <c r="BX518" i="4"/>
  <c r="BW518" i="4"/>
  <c r="BV518" i="4"/>
  <c r="BU518" i="4"/>
  <c r="BT518" i="4"/>
  <c r="BQ518" i="4"/>
  <c r="BP518" i="4"/>
  <c r="BO518" i="4"/>
  <c r="BN518" i="4"/>
  <c r="BM518" i="4"/>
  <c r="BL518" i="4"/>
  <c r="BK518" i="4"/>
  <c r="BJ518" i="4"/>
  <c r="BI518" i="4"/>
  <c r="BH518" i="4"/>
  <c r="BG518" i="4"/>
  <c r="BF518" i="4"/>
  <c r="BE518" i="4"/>
  <c r="BD518" i="4"/>
  <c r="BC518" i="4"/>
  <c r="BB518" i="4"/>
  <c r="BA518" i="4"/>
  <c r="AZ518" i="4"/>
  <c r="AY518" i="4"/>
  <c r="AX518" i="4"/>
  <c r="AW518" i="4"/>
  <c r="AV518" i="4"/>
  <c r="AU518" i="4"/>
  <c r="AT518" i="4"/>
  <c r="AS518" i="4"/>
  <c r="AR518" i="4"/>
  <c r="AQ518" i="4"/>
  <c r="AP518" i="4"/>
  <c r="AO518" i="4"/>
  <c r="AN518" i="4"/>
  <c r="AM518" i="4"/>
  <c r="AL518" i="4"/>
  <c r="AK518" i="4"/>
  <c r="AJ518" i="4"/>
  <c r="AI518" i="4"/>
  <c r="AH518" i="4"/>
  <c r="AG518" i="4"/>
  <c r="AF518" i="4"/>
  <c r="AE518" i="4"/>
  <c r="AD518" i="4"/>
  <c r="AC518" i="4"/>
  <c r="AB518" i="4"/>
  <c r="AA518" i="4"/>
  <c r="Z518" i="4"/>
  <c r="Y518" i="4"/>
  <c r="X518" i="4"/>
  <c r="V518" i="4"/>
  <c r="U518" i="4"/>
  <c r="T518" i="4"/>
  <c r="S518" i="4"/>
  <c r="R518" i="4"/>
  <c r="Q518" i="4"/>
  <c r="P518" i="4"/>
  <c r="O518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A518" i="4"/>
  <c r="CJ517" i="4"/>
  <c r="CI517" i="4"/>
  <c r="CH517" i="4"/>
  <c r="CG517" i="4"/>
  <c r="CF517" i="4"/>
  <c r="CE517" i="4"/>
  <c r="CD517" i="4"/>
  <c r="CC517" i="4"/>
  <c r="CB517" i="4"/>
  <c r="CA517" i="4"/>
  <c r="BZ517" i="4"/>
  <c r="BY517" i="4"/>
  <c r="BX517" i="4"/>
  <c r="BW517" i="4"/>
  <c r="BV517" i="4"/>
  <c r="BU517" i="4"/>
  <c r="BT517" i="4"/>
  <c r="BQ517" i="4"/>
  <c r="BP517" i="4"/>
  <c r="BO517" i="4"/>
  <c r="BN517" i="4"/>
  <c r="BM517" i="4"/>
  <c r="BL517" i="4"/>
  <c r="BK517" i="4"/>
  <c r="BJ517" i="4"/>
  <c r="BI517" i="4"/>
  <c r="BH517" i="4"/>
  <c r="BG517" i="4"/>
  <c r="BF517" i="4"/>
  <c r="BE517" i="4"/>
  <c r="BD517" i="4"/>
  <c r="BC517" i="4"/>
  <c r="BB517" i="4"/>
  <c r="BA517" i="4"/>
  <c r="AZ517" i="4"/>
  <c r="AY517" i="4"/>
  <c r="AX517" i="4"/>
  <c r="AW517" i="4"/>
  <c r="AV517" i="4"/>
  <c r="AU517" i="4"/>
  <c r="AT517" i="4"/>
  <c r="AS517" i="4"/>
  <c r="AR517" i="4"/>
  <c r="AQ517" i="4"/>
  <c r="AP517" i="4"/>
  <c r="AO517" i="4"/>
  <c r="AN517" i="4"/>
  <c r="AM517" i="4"/>
  <c r="AL517" i="4"/>
  <c r="AK517" i="4"/>
  <c r="AJ517" i="4"/>
  <c r="AI517" i="4"/>
  <c r="AH517" i="4"/>
  <c r="AG517" i="4"/>
  <c r="AF517" i="4"/>
  <c r="AE517" i="4"/>
  <c r="AD517" i="4"/>
  <c r="AC517" i="4"/>
  <c r="AB517" i="4"/>
  <c r="AA517" i="4"/>
  <c r="Z517" i="4"/>
  <c r="Y517" i="4"/>
  <c r="X517" i="4"/>
  <c r="V517" i="4"/>
  <c r="U517" i="4"/>
  <c r="T517" i="4"/>
  <c r="S517" i="4"/>
  <c r="R517" i="4"/>
  <c r="Q517" i="4"/>
  <c r="P517" i="4"/>
  <c r="O517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A517" i="4"/>
  <c r="CJ516" i="4"/>
  <c r="CI516" i="4"/>
  <c r="CH516" i="4"/>
  <c r="CG516" i="4"/>
  <c r="CF516" i="4"/>
  <c r="CE516" i="4"/>
  <c r="CD516" i="4"/>
  <c r="CC516" i="4"/>
  <c r="CB516" i="4"/>
  <c r="CA516" i="4"/>
  <c r="BZ516" i="4"/>
  <c r="BY516" i="4"/>
  <c r="BX516" i="4"/>
  <c r="BW516" i="4"/>
  <c r="BV516" i="4"/>
  <c r="BU516" i="4"/>
  <c r="BT516" i="4"/>
  <c r="BQ516" i="4"/>
  <c r="BP516" i="4"/>
  <c r="BO516" i="4"/>
  <c r="BN516" i="4"/>
  <c r="BM516" i="4"/>
  <c r="BL516" i="4"/>
  <c r="BK516" i="4"/>
  <c r="BJ516" i="4"/>
  <c r="BI516" i="4"/>
  <c r="BH516" i="4"/>
  <c r="BG516" i="4"/>
  <c r="BF516" i="4"/>
  <c r="BE516" i="4"/>
  <c r="BD516" i="4"/>
  <c r="BC516" i="4"/>
  <c r="BB516" i="4"/>
  <c r="BA516" i="4"/>
  <c r="AZ516" i="4"/>
  <c r="AY516" i="4"/>
  <c r="AX516" i="4"/>
  <c r="AW516" i="4"/>
  <c r="AV516" i="4"/>
  <c r="AU516" i="4"/>
  <c r="AT516" i="4"/>
  <c r="AS516" i="4"/>
  <c r="AR516" i="4"/>
  <c r="AQ516" i="4"/>
  <c r="AP516" i="4"/>
  <c r="AO516" i="4"/>
  <c r="AN516" i="4"/>
  <c r="AM516" i="4"/>
  <c r="AL516" i="4"/>
  <c r="AK516" i="4"/>
  <c r="AJ516" i="4"/>
  <c r="AI516" i="4"/>
  <c r="AH516" i="4"/>
  <c r="AG516" i="4"/>
  <c r="AF516" i="4"/>
  <c r="AE516" i="4"/>
  <c r="AD516" i="4"/>
  <c r="AC516" i="4"/>
  <c r="AB516" i="4"/>
  <c r="AA516" i="4"/>
  <c r="Z516" i="4"/>
  <c r="Y516" i="4"/>
  <c r="X516" i="4"/>
  <c r="V516" i="4"/>
  <c r="U516" i="4"/>
  <c r="T516" i="4"/>
  <c r="S516" i="4"/>
  <c r="R516" i="4"/>
  <c r="Q516" i="4"/>
  <c r="P516" i="4"/>
  <c r="O516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A516" i="4"/>
  <c r="CJ515" i="4"/>
  <c r="CI515" i="4"/>
  <c r="CH515" i="4"/>
  <c r="CG515" i="4"/>
  <c r="CF515" i="4"/>
  <c r="CE515" i="4"/>
  <c r="CD515" i="4"/>
  <c r="CC515" i="4"/>
  <c r="CB515" i="4"/>
  <c r="CA515" i="4"/>
  <c r="BZ515" i="4"/>
  <c r="BY515" i="4"/>
  <c r="BX515" i="4"/>
  <c r="BW515" i="4"/>
  <c r="BV515" i="4"/>
  <c r="BU515" i="4"/>
  <c r="BT515" i="4"/>
  <c r="BQ515" i="4"/>
  <c r="BP515" i="4"/>
  <c r="BO515" i="4"/>
  <c r="BN515" i="4"/>
  <c r="BM515" i="4"/>
  <c r="BL515" i="4"/>
  <c r="BK515" i="4"/>
  <c r="BJ515" i="4"/>
  <c r="BI515" i="4"/>
  <c r="BH515" i="4"/>
  <c r="BG515" i="4"/>
  <c r="BF515" i="4"/>
  <c r="BE515" i="4"/>
  <c r="BD515" i="4"/>
  <c r="BC515" i="4"/>
  <c r="BB515" i="4"/>
  <c r="BA515" i="4"/>
  <c r="AZ515" i="4"/>
  <c r="AY515" i="4"/>
  <c r="AX515" i="4"/>
  <c r="AW515" i="4"/>
  <c r="AV515" i="4"/>
  <c r="AU515" i="4"/>
  <c r="AT515" i="4"/>
  <c r="AS515" i="4"/>
  <c r="AR515" i="4"/>
  <c r="AQ515" i="4"/>
  <c r="AP515" i="4"/>
  <c r="AO515" i="4"/>
  <c r="AN515" i="4"/>
  <c r="AM515" i="4"/>
  <c r="AL515" i="4"/>
  <c r="AK515" i="4"/>
  <c r="AJ515" i="4"/>
  <c r="AI515" i="4"/>
  <c r="AH515" i="4"/>
  <c r="AG515" i="4"/>
  <c r="AF515" i="4"/>
  <c r="AE515" i="4"/>
  <c r="AD515" i="4"/>
  <c r="AC515" i="4"/>
  <c r="AB515" i="4"/>
  <c r="AA515" i="4"/>
  <c r="Z515" i="4"/>
  <c r="Y515" i="4"/>
  <c r="X515" i="4"/>
  <c r="V515" i="4"/>
  <c r="U515" i="4"/>
  <c r="T515" i="4"/>
  <c r="S515" i="4"/>
  <c r="R515" i="4"/>
  <c r="Q515" i="4"/>
  <c r="P515" i="4"/>
  <c r="O515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A515" i="4"/>
  <c r="CJ514" i="4"/>
  <c r="CI514" i="4"/>
  <c r="CH514" i="4"/>
  <c r="CG514" i="4"/>
  <c r="CF514" i="4"/>
  <c r="CE514" i="4"/>
  <c r="CD514" i="4"/>
  <c r="CC514" i="4"/>
  <c r="CB514" i="4"/>
  <c r="CA514" i="4"/>
  <c r="BZ514" i="4"/>
  <c r="BY514" i="4"/>
  <c r="BX514" i="4"/>
  <c r="BW514" i="4"/>
  <c r="BV514" i="4"/>
  <c r="BU514" i="4"/>
  <c r="BT514" i="4"/>
  <c r="BQ514" i="4"/>
  <c r="BP514" i="4"/>
  <c r="BO514" i="4"/>
  <c r="BN514" i="4"/>
  <c r="BM514" i="4"/>
  <c r="BL514" i="4"/>
  <c r="BK514" i="4"/>
  <c r="BJ514" i="4"/>
  <c r="BI514" i="4"/>
  <c r="BH514" i="4"/>
  <c r="BG514" i="4"/>
  <c r="BF514" i="4"/>
  <c r="BE514" i="4"/>
  <c r="BD514" i="4"/>
  <c r="BC514" i="4"/>
  <c r="BB514" i="4"/>
  <c r="BA514" i="4"/>
  <c r="AZ514" i="4"/>
  <c r="AY514" i="4"/>
  <c r="AX514" i="4"/>
  <c r="AW514" i="4"/>
  <c r="AV514" i="4"/>
  <c r="AU514" i="4"/>
  <c r="AT514" i="4"/>
  <c r="AS514" i="4"/>
  <c r="AR514" i="4"/>
  <c r="AQ514" i="4"/>
  <c r="AP514" i="4"/>
  <c r="AO514" i="4"/>
  <c r="AN514" i="4"/>
  <c r="AM514" i="4"/>
  <c r="AL514" i="4"/>
  <c r="AK514" i="4"/>
  <c r="AJ514" i="4"/>
  <c r="AI514" i="4"/>
  <c r="AH514" i="4"/>
  <c r="AG514" i="4"/>
  <c r="AF514" i="4"/>
  <c r="AE514" i="4"/>
  <c r="AD514" i="4"/>
  <c r="AC514" i="4"/>
  <c r="AB514" i="4"/>
  <c r="AA514" i="4"/>
  <c r="Z514" i="4"/>
  <c r="Y514" i="4"/>
  <c r="X514" i="4"/>
  <c r="V514" i="4"/>
  <c r="U514" i="4"/>
  <c r="T514" i="4"/>
  <c r="S514" i="4"/>
  <c r="R514" i="4"/>
  <c r="Q514" i="4"/>
  <c r="P514" i="4"/>
  <c r="O514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A514" i="4"/>
  <c r="CJ513" i="4"/>
  <c r="CI513" i="4"/>
  <c r="CH513" i="4"/>
  <c r="CG513" i="4"/>
  <c r="CF513" i="4"/>
  <c r="CE513" i="4"/>
  <c r="CD513" i="4"/>
  <c r="CC513" i="4"/>
  <c r="CB513" i="4"/>
  <c r="CA513" i="4"/>
  <c r="BZ513" i="4"/>
  <c r="BY513" i="4"/>
  <c r="BX513" i="4"/>
  <c r="BW513" i="4"/>
  <c r="BV513" i="4"/>
  <c r="BU513" i="4"/>
  <c r="BT513" i="4"/>
  <c r="BQ513" i="4"/>
  <c r="BP513" i="4"/>
  <c r="BO513" i="4"/>
  <c r="BN513" i="4"/>
  <c r="BM513" i="4"/>
  <c r="BL513" i="4"/>
  <c r="BK513" i="4"/>
  <c r="BJ513" i="4"/>
  <c r="BI513" i="4"/>
  <c r="BH513" i="4"/>
  <c r="BG513" i="4"/>
  <c r="BF513" i="4"/>
  <c r="BE513" i="4"/>
  <c r="BD513" i="4"/>
  <c r="BC513" i="4"/>
  <c r="BB513" i="4"/>
  <c r="BA513" i="4"/>
  <c r="AZ513" i="4"/>
  <c r="AY513" i="4"/>
  <c r="AX513" i="4"/>
  <c r="AW513" i="4"/>
  <c r="AV513" i="4"/>
  <c r="AU513" i="4"/>
  <c r="AT513" i="4"/>
  <c r="AS513" i="4"/>
  <c r="AR513" i="4"/>
  <c r="AQ513" i="4"/>
  <c r="AP513" i="4"/>
  <c r="AO513" i="4"/>
  <c r="AN513" i="4"/>
  <c r="AM513" i="4"/>
  <c r="AL513" i="4"/>
  <c r="AK513" i="4"/>
  <c r="AJ513" i="4"/>
  <c r="AI513" i="4"/>
  <c r="AH513" i="4"/>
  <c r="AG513" i="4"/>
  <c r="AF513" i="4"/>
  <c r="AE513" i="4"/>
  <c r="AD513" i="4"/>
  <c r="AC513" i="4"/>
  <c r="AB513" i="4"/>
  <c r="AA513" i="4"/>
  <c r="Z513" i="4"/>
  <c r="Y513" i="4"/>
  <c r="X513" i="4"/>
  <c r="V513" i="4"/>
  <c r="U513" i="4"/>
  <c r="T513" i="4"/>
  <c r="S513" i="4"/>
  <c r="R513" i="4"/>
  <c r="Q513" i="4"/>
  <c r="P513" i="4"/>
  <c r="O513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A513" i="4"/>
  <c r="CJ512" i="4"/>
  <c r="CI512" i="4"/>
  <c r="CH512" i="4"/>
  <c r="CG512" i="4"/>
  <c r="CF512" i="4"/>
  <c r="CE512" i="4"/>
  <c r="CD512" i="4"/>
  <c r="CC512" i="4"/>
  <c r="CB512" i="4"/>
  <c r="CA512" i="4"/>
  <c r="BZ512" i="4"/>
  <c r="BY512" i="4"/>
  <c r="BX512" i="4"/>
  <c r="BW512" i="4"/>
  <c r="BV512" i="4"/>
  <c r="BU512" i="4"/>
  <c r="BT512" i="4"/>
  <c r="BQ512" i="4"/>
  <c r="BP512" i="4"/>
  <c r="BO512" i="4"/>
  <c r="BN512" i="4"/>
  <c r="BM512" i="4"/>
  <c r="BL512" i="4"/>
  <c r="BK512" i="4"/>
  <c r="BJ512" i="4"/>
  <c r="BI512" i="4"/>
  <c r="BH512" i="4"/>
  <c r="BG512" i="4"/>
  <c r="BF512" i="4"/>
  <c r="BE512" i="4"/>
  <c r="BD512" i="4"/>
  <c r="BC512" i="4"/>
  <c r="BB512" i="4"/>
  <c r="BA512" i="4"/>
  <c r="AZ512" i="4"/>
  <c r="AY512" i="4"/>
  <c r="AX512" i="4"/>
  <c r="AW512" i="4"/>
  <c r="AV512" i="4"/>
  <c r="AU512" i="4"/>
  <c r="AT512" i="4"/>
  <c r="AS512" i="4"/>
  <c r="AR512" i="4"/>
  <c r="AQ512" i="4"/>
  <c r="AP512" i="4"/>
  <c r="AO512" i="4"/>
  <c r="AN512" i="4"/>
  <c r="AM512" i="4"/>
  <c r="AL512" i="4"/>
  <c r="AK512" i="4"/>
  <c r="AJ512" i="4"/>
  <c r="AI512" i="4"/>
  <c r="AH512" i="4"/>
  <c r="AG512" i="4"/>
  <c r="AF512" i="4"/>
  <c r="AE512" i="4"/>
  <c r="AD512" i="4"/>
  <c r="AC512" i="4"/>
  <c r="AB512" i="4"/>
  <c r="AA512" i="4"/>
  <c r="Z512" i="4"/>
  <c r="Y512" i="4"/>
  <c r="X512" i="4"/>
  <c r="V512" i="4"/>
  <c r="U512" i="4"/>
  <c r="T512" i="4"/>
  <c r="S512" i="4"/>
  <c r="R512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A512" i="4"/>
  <c r="CJ511" i="4"/>
  <c r="CI511" i="4"/>
  <c r="CH511" i="4"/>
  <c r="CG511" i="4"/>
  <c r="CF511" i="4"/>
  <c r="CE511" i="4"/>
  <c r="CD511" i="4"/>
  <c r="CC511" i="4"/>
  <c r="CB511" i="4"/>
  <c r="CA511" i="4"/>
  <c r="BZ511" i="4"/>
  <c r="BY511" i="4"/>
  <c r="BX511" i="4"/>
  <c r="BW511" i="4"/>
  <c r="BV511" i="4"/>
  <c r="BU511" i="4"/>
  <c r="BT511" i="4"/>
  <c r="BQ511" i="4"/>
  <c r="BP511" i="4"/>
  <c r="BO511" i="4"/>
  <c r="BN511" i="4"/>
  <c r="BM511" i="4"/>
  <c r="BL511" i="4"/>
  <c r="BK511" i="4"/>
  <c r="BJ511" i="4"/>
  <c r="BI511" i="4"/>
  <c r="BH511" i="4"/>
  <c r="BG511" i="4"/>
  <c r="BF511" i="4"/>
  <c r="BE511" i="4"/>
  <c r="BD511" i="4"/>
  <c r="BC511" i="4"/>
  <c r="BB511" i="4"/>
  <c r="BA511" i="4"/>
  <c r="AZ511" i="4"/>
  <c r="AY511" i="4"/>
  <c r="AX511" i="4"/>
  <c r="AW511" i="4"/>
  <c r="AV511" i="4"/>
  <c r="AU511" i="4"/>
  <c r="AT511" i="4"/>
  <c r="AS511" i="4"/>
  <c r="AR511" i="4"/>
  <c r="AQ511" i="4"/>
  <c r="AP511" i="4"/>
  <c r="AO511" i="4"/>
  <c r="AN511" i="4"/>
  <c r="AM511" i="4"/>
  <c r="AL511" i="4"/>
  <c r="AK511" i="4"/>
  <c r="AJ511" i="4"/>
  <c r="AI511" i="4"/>
  <c r="AH511" i="4"/>
  <c r="AG511" i="4"/>
  <c r="AF511" i="4"/>
  <c r="AE511" i="4"/>
  <c r="AD511" i="4"/>
  <c r="AC511" i="4"/>
  <c r="AB511" i="4"/>
  <c r="AA511" i="4"/>
  <c r="Z511" i="4"/>
  <c r="Y511" i="4"/>
  <c r="X511" i="4"/>
  <c r="V511" i="4"/>
  <c r="U511" i="4"/>
  <c r="T511" i="4"/>
  <c r="S511" i="4"/>
  <c r="R511" i="4"/>
  <c r="Q511" i="4"/>
  <c r="P511" i="4"/>
  <c r="O511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A511" i="4"/>
  <c r="CJ510" i="4"/>
  <c r="CI510" i="4"/>
  <c r="CH510" i="4"/>
  <c r="CG510" i="4"/>
  <c r="CF510" i="4"/>
  <c r="CE510" i="4"/>
  <c r="CD510" i="4"/>
  <c r="CC510" i="4"/>
  <c r="CB510" i="4"/>
  <c r="CA510" i="4"/>
  <c r="BZ510" i="4"/>
  <c r="BY510" i="4"/>
  <c r="BX510" i="4"/>
  <c r="BW510" i="4"/>
  <c r="BV510" i="4"/>
  <c r="BU510" i="4"/>
  <c r="BT510" i="4"/>
  <c r="BQ510" i="4"/>
  <c r="BP510" i="4"/>
  <c r="BO510" i="4"/>
  <c r="BN510" i="4"/>
  <c r="BM510" i="4"/>
  <c r="BL510" i="4"/>
  <c r="BK510" i="4"/>
  <c r="BJ510" i="4"/>
  <c r="BI510" i="4"/>
  <c r="BH510" i="4"/>
  <c r="BG510" i="4"/>
  <c r="BF510" i="4"/>
  <c r="BE510" i="4"/>
  <c r="BD510" i="4"/>
  <c r="BC510" i="4"/>
  <c r="BB510" i="4"/>
  <c r="BA510" i="4"/>
  <c r="AZ510" i="4"/>
  <c r="AY510" i="4"/>
  <c r="AX510" i="4"/>
  <c r="AW510" i="4"/>
  <c r="AV510" i="4"/>
  <c r="AU510" i="4"/>
  <c r="AT510" i="4"/>
  <c r="AS510" i="4"/>
  <c r="AR510" i="4"/>
  <c r="AQ510" i="4"/>
  <c r="AP510" i="4"/>
  <c r="AO510" i="4"/>
  <c r="AN510" i="4"/>
  <c r="AM510" i="4"/>
  <c r="AL510" i="4"/>
  <c r="AK510" i="4"/>
  <c r="AJ510" i="4"/>
  <c r="AI510" i="4"/>
  <c r="AH510" i="4"/>
  <c r="AG510" i="4"/>
  <c r="AF510" i="4"/>
  <c r="AE510" i="4"/>
  <c r="AD510" i="4"/>
  <c r="AC510" i="4"/>
  <c r="AB510" i="4"/>
  <c r="AA510" i="4"/>
  <c r="Z510" i="4"/>
  <c r="Y510" i="4"/>
  <c r="X510" i="4"/>
  <c r="V510" i="4"/>
  <c r="U510" i="4"/>
  <c r="T510" i="4"/>
  <c r="S510" i="4"/>
  <c r="R510" i="4"/>
  <c r="Q510" i="4"/>
  <c r="P510" i="4"/>
  <c r="O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A510" i="4"/>
  <c r="CJ509" i="4"/>
  <c r="CI509" i="4"/>
  <c r="CH509" i="4"/>
  <c r="CG509" i="4"/>
  <c r="CF509" i="4"/>
  <c r="CE509" i="4"/>
  <c r="CD509" i="4"/>
  <c r="CC509" i="4"/>
  <c r="CB509" i="4"/>
  <c r="CA509" i="4"/>
  <c r="BZ509" i="4"/>
  <c r="BY509" i="4"/>
  <c r="BX509" i="4"/>
  <c r="BW509" i="4"/>
  <c r="BV509" i="4"/>
  <c r="BU509" i="4"/>
  <c r="BT509" i="4"/>
  <c r="BQ509" i="4"/>
  <c r="BP509" i="4"/>
  <c r="BO509" i="4"/>
  <c r="BN509" i="4"/>
  <c r="BM509" i="4"/>
  <c r="BL509" i="4"/>
  <c r="BK509" i="4"/>
  <c r="BJ509" i="4"/>
  <c r="BI509" i="4"/>
  <c r="BH509" i="4"/>
  <c r="BG509" i="4"/>
  <c r="BF509" i="4"/>
  <c r="BE509" i="4"/>
  <c r="BD509" i="4"/>
  <c r="BC509" i="4"/>
  <c r="BB509" i="4"/>
  <c r="BA509" i="4"/>
  <c r="AZ509" i="4"/>
  <c r="AY509" i="4"/>
  <c r="AX509" i="4"/>
  <c r="AW509" i="4"/>
  <c r="AV509" i="4"/>
  <c r="AU509" i="4"/>
  <c r="AT509" i="4"/>
  <c r="AS509" i="4"/>
  <c r="AR509" i="4"/>
  <c r="AQ509" i="4"/>
  <c r="AP509" i="4"/>
  <c r="AO509" i="4"/>
  <c r="AN509" i="4"/>
  <c r="AM509" i="4"/>
  <c r="AL509" i="4"/>
  <c r="AK509" i="4"/>
  <c r="AJ509" i="4"/>
  <c r="AI509" i="4"/>
  <c r="AH509" i="4"/>
  <c r="AG509" i="4"/>
  <c r="AF509" i="4"/>
  <c r="AE509" i="4"/>
  <c r="AD509" i="4"/>
  <c r="AC509" i="4"/>
  <c r="AB509" i="4"/>
  <c r="AA509" i="4"/>
  <c r="Z509" i="4"/>
  <c r="Y509" i="4"/>
  <c r="X509" i="4"/>
  <c r="V509" i="4"/>
  <c r="U509" i="4"/>
  <c r="T509" i="4"/>
  <c r="S509" i="4"/>
  <c r="R509" i="4"/>
  <c r="Q509" i="4"/>
  <c r="P509" i="4"/>
  <c r="O509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A509" i="4"/>
  <c r="CJ508" i="4"/>
  <c r="CI508" i="4"/>
  <c r="CH508" i="4"/>
  <c r="CG508" i="4"/>
  <c r="CF508" i="4"/>
  <c r="CE508" i="4"/>
  <c r="CD508" i="4"/>
  <c r="CC508" i="4"/>
  <c r="CB508" i="4"/>
  <c r="CA508" i="4"/>
  <c r="BZ508" i="4"/>
  <c r="BY508" i="4"/>
  <c r="BX508" i="4"/>
  <c r="BW508" i="4"/>
  <c r="BV508" i="4"/>
  <c r="BU508" i="4"/>
  <c r="BT508" i="4"/>
  <c r="BQ508" i="4"/>
  <c r="BP508" i="4"/>
  <c r="BO508" i="4"/>
  <c r="BN508" i="4"/>
  <c r="BM508" i="4"/>
  <c r="BL508" i="4"/>
  <c r="BK508" i="4"/>
  <c r="BJ508" i="4"/>
  <c r="BI508" i="4"/>
  <c r="BH508" i="4"/>
  <c r="BG508" i="4"/>
  <c r="BF508" i="4"/>
  <c r="BE508" i="4"/>
  <c r="BD508" i="4"/>
  <c r="BC508" i="4"/>
  <c r="BB508" i="4"/>
  <c r="BA508" i="4"/>
  <c r="AZ508" i="4"/>
  <c r="AY508" i="4"/>
  <c r="AX508" i="4"/>
  <c r="AW508" i="4"/>
  <c r="AV508" i="4"/>
  <c r="AU508" i="4"/>
  <c r="AT508" i="4"/>
  <c r="AS508" i="4"/>
  <c r="AR508" i="4"/>
  <c r="AQ508" i="4"/>
  <c r="AP508" i="4"/>
  <c r="AO508" i="4"/>
  <c r="AN508" i="4"/>
  <c r="AM508" i="4"/>
  <c r="AL508" i="4"/>
  <c r="AK508" i="4"/>
  <c r="AJ508" i="4"/>
  <c r="AI508" i="4"/>
  <c r="AH508" i="4"/>
  <c r="AG508" i="4"/>
  <c r="AF508" i="4"/>
  <c r="AE508" i="4"/>
  <c r="AD508" i="4"/>
  <c r="AC508" i="4"/>
  <c r="AB508" i="4"/>
  <c r="AA508" i="4"/>
  <c r="Z508" i="4"/>
  <c r="Y508" i="4"/>
  <c r="X508" i="4"/>
  <c r="V508" i="4"/>
  <c r="U508" i="4"/>
  <c r="T508" i="4"/>
  <c r="S508" i="4"/>
  <c r="R508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A508" i="4"/>
  <c r="CJ507" i="4"/>
  <c r="CI507" i="4"/>
  <c r="CH507" i="4"/>
  <c r="CG507" i="4"/>
  <c r="CF507" i="4"/>
  <c r="CE507" i="4"/>
  <c r="CD507" i="4"/>
  <c r="CC507" i="4"/>
  <c r="CB507" i="4"/>
  <c r="CA507" i="4"/>
  <c r="BZ507" i="4"/>
  <c r="BY507" i="4"/>
  <c r="BX507" i="4"/>
  <c r="BW507" i="4"/>
  <c r="BV507" i="4"/>
  <c r="BU507" i="4"/>
  <c r="BT507" i="4"/>
  <c r="BQ507" i="4"/>
  <c r="BP507" i="4"/>
  <c r="BO507" i="4"/>
  <c r="BN507" i="4"/>
  <c r="BM507" i="4"/>
  <c r="BL507" i="4"/>
  <c r="BK507" i="4"/>
  <c r="BJ507" i="4"/>
  <c r="BI507" i="4"/>
  <c r="BH507" i="4"/>
  <c r="BG507" i="4"/>
  <c r="BF507" i="4"/>
  <c r="BE507" i="4"/>
  <c r="BD507" i="4"/>
  <c r="BC507" i="4"/>
  <c r="BB507" i="4"/>
  <c r="BA507" i="4"/>
  <c r="AZ507" i="4"/>
  <c r="AY507" i="4"/>
  <c r="AX507" i="4"/>
  <c r="AW507" i="4"/>
  <c r="AV507" i="4"/>
  <c r="AU507" i="4"/>
  <c r="AT507" i="4"/>
  <c r="AS507" i="4"/>
  <c r="AR507" i="4"/>
  <c r="AQ507" i="4"/>
  <c r="AP507" i="4"/>
  <c r="AO507" i="4"/>
  <c r="AN507" i="4"/>
  <c r="AM507" i="4"/>
  <c r="AL507" i="4"/>
  <c r="AK507" i="4"/>
  <c r="AJ507" i="4"/>
  <c r="AI507" i="4"/>
  <c r="AH507" i="4"/>
  <c r="AG507" i="4"/>
  <c r="AF507" i="4"/>
  <c r="AE507" i="4"/>
  <c r="AD507" i="4"/>
  <c r="AC507" i="4"/>
  <c r="AB507" i="4"/>
  <c r="AA507" i="4"/>
  <c r="Z507" i="4"/>
  <c r="Y507" i="4"/>
  <c r="X507" i="4"/>
  <c r="V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A507" i="4"/>
  <c r="CJ506" i="4"/>
  <c r="CI506" i="4"/>
  <c r="CH506" i="4"/>
  <c r="CG506" i="4"/>
  <c r="CF506" i="4"/>
  <c r="CE506" i="4"/>
  <c r="CD506" i="4"/>
  <c r="CC506" i="4"/>
  <c r="CB506" i="4"/>
  <c r="CA506" i="4"/>
  <c r="BZ506" i="4"/>
  <c r="BY506" i="4"/>
  <c r="BX506" i="4"/>
  <c r="BW506" i="4"/>
  <c r="BV506" i="4"/>
  <c r="BU506" i="4"/>
  <c r="BT506" i="4"/>
  <c r="BQ506" i="4"/>
  <c r="BP506" i="4"/>
  <c r="BO506" i="4"/>
  <c r="BN506" i="4"/>
  <c r="BM506" i="4"/>
  <c r="BL506" i="4"/>
  <c r="BK506" i="4"/>
  <c r="BJ506" i="4"/>
  <c r="BI506" i="4"/>
  <c r="BH506" i="4"/>
  <c r="BG506" i="4"/>
  <c r="BF506" i="4"/>
  <c r="BE506" i="4"/>
  <c r="BD506" i="4"/>
  <c r="BC506" i="4"/>
  <c r="BB506" i="4"/>
  <c r="BA506" i="4"/>
  <c r="AZ506" i="4"/>
  <c r="AY506" i="4"/>
  <c r="AX506" i="4"/>
  <c r="AW506" i="4"/>
  <c r="AV506" i="4"/>
  <c r="AU506" i="4"/>
  <c r="AT506" i="4"/>
  <c r="AS506" i="4"/>
  <c r="AR506" i="4"/>
  <c r="AQ506" i="4"/>
  <c r="AP506" i="4"/>
  <c r="AO506" i="4"/>
  <c r="AN506" i="4"/>
  <c r="AM506" i="4"/>
  <c r="AL506" i="4"/>
  <c r="AK506" i="4"/>
  <c r="AJ506" i="4"/>
  <c r="AI506" i="4"/>
  <c r="AH506" i="4"/>
  <c r="AG506" i="4"/>
  <c r="AF506" i="4"/>
  <c r="AE506" i="4"/>
  <c r="AD506" i="4"/>
  <c r="AC506" i="4"/>
  <c r="AB506" i="4"/>
  <c r="AA506" i="4"/>
  <c r="Z506" i="4"/>
  <c r="Y506" i="4"/>
  <c r="X506" i="4"/>
  <c r="V506" i="4"/>
  <c r="U506" i="4"/>
  <c r="T506" i="4"/>
  <c r="S506" i="4"/>
  <c r="R506" i="4"/>
  <c r="Q506" i="4"/>
  <c r="P506" i="4"/>
  <c r="O506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A506" i="4"/>
  <c r="CJ505" i="4"/>
  <c r="CI505" i="4"/>
  <c r="CH505" i="4"/>
  <c r="CG505" i="4"/>
  <c r="CF505" i="4"/>
  <c r="CE505" i="4"/>
  <c r="CD505" i="4"/>
  <c r="CC505" i="4"/>
  <c r="CB505" i="4"/>
  <c r="CA505" i="4"/>
  <c r="BZ505" i="4"/>
  <c r="BY505" i="4"/>
  <c r="BX505" i="4"/>
  <c r="BW505" i="4"/>
  <c r="BV505" i="4"/>
  <c r="BU505" i="4"/>
  <c r="BT505" i="4"/>
  <c r="BQ505" i="4"/>
  <c r="BP505" i="4"/>
  <c r="BO505" i="4"/>
  <c r="BN505" i="4"/>
  <c r="BM505" i="4"/>
  <c r="BL505" i="4"/>
  <c r="BK505" i="4"/>
  <c r="BJ505" i="4"/>
  <c r="BI505" i="4"/>
  <c r="BH505" i="4"/>
  <c r="BG505" i="4"/>
  <c r="BF505" i="4"/>
  <c r="BE505" i="4"/>
  <c r="BD505" i="4"/>
  <c r="BC505" i="4"/>
  <c r="BB505" i="4"/>
  <c r="BA505" i="4"/>
  <c r="AZ505" i="4"/>
  <c r="AY505" i="4"/>
  <c r="AX505" i="4"/>
  <c r="AW505" i="4"/>
  <c r="AV505" i="4"/>
  <c r="AU505" i="4"/>
  <c r="AT505" i="4"/>
  <c r="AS505" i="4"/>
  <c r="AR505" i="4"/>
  <c r="AQ505" i="4"/>
  <c r="AP505" i="4"/>
  <c r="AO505" i="4"/>
  <c r="AN505" i="4"/>
  <c r="AM505" i="4"/>
  <c r="AL505" i="4"/>
  <c r="AK505" i="4"/>
  <c r="AJ505" i="4"/>
  <c r="AI505" i="4"/>
  <c r="AH505" i="4"/>
  <c r="AG505" i="4"/>
  <c r="AF505" i="4"/>
  <c r="AE505" i="4"/>
  <c r="AD505" i="4"/>
  <c r="AC505" i="4"/>
  <c r="AB505" i="4"/>
  <c r="AA505" i="4"/>
  <c r="Z505" i="4"/>
  <c r="Y505" i="4"/>
  <c r="X505" i="4"/>
  <c r="V505" i="4"/>
  <c r="U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A505" i="4"/>
  <c r="CJ504" i="4"/>
  <c r="CI504" i="4"/>
  <c r="CH504" i="4"/>
  <c r="CG504" i="4"/>
  <c r="CF504" i="4"/>
  <c r="CE504" i="4"/>
  <c r="CD504" i="4"/>
  <c r="CC504" i="4"/>
  <c r="CB504" i="4"/>
  <c r="CA504" i="4"/>
  <c r="BZ504" i="4"/>
  <c r="BY504" i="4"/>
  <c r="BX504" i="4"/>
  <c r="BW504" i="4"/>
  <c r="BV504" i="4"/>
  <c r="BU504" i="4"/>
  <c r="BT504" i="4"/>
  <c r="BQ504" i="4"/>
  <c r="BP504" i="4"/>
  <c r="BO504" i="4"/>
  <c r="BN504" i="4"/>
  <c r="BM504" i="4"/>
  <c r="BL504" i="4"/>
  <c r="BK504" i="4"/>
  <c r="BJ504" i="4"/>
  <c r="BI504" i="4"/>
  <c r="BH504" i="4"/>
  <c r="BG504" i="4"/>
  <c r="BF504" i="4"/>
  <c r="BE504" i="4"/>
  <c r="BD504" i="4"/>
  <c r="BC504" i="4"/>
  <c r="BB504" i="4"/>
  <c r="BA504" i="4"/>
  <c r="AZ504" i="4"/>
  <c r="AY504" i="4"/>
  <c r="AX504" i="4"/>
  <c r="AW504" i="4"/>
  <c r="AV504" i="4"/>
  <c r="AU504" i="4"/>
  <c r="AT504" i="4"/>
  <c r="AS504" i="4"/>
  <c r="AR504" i="4"/>
  <c r="AQ504" i="4"/>
  <c r="AP504" i="4"/>
  <c r="AO504" i="4"/>
  <c r="AN504" i="4"/>
  <c r="AM504" i="4"/>
  <c r="AL504" i="4"/>
  <c r="AK504" i="4"/>
  <c r="AJ504" i="4"/>
  <c r="AI504" i="4"/>
  <c r="AH504" i="4"/>
  <c r="AG504" i="4"/>
  <c r="AF504" i="4"/>
  <c r="AE504" i="4"/>
  <c r="AD504" i="4"/>
  <c r="AC504" i="4"/>
  <c r="AB504" i="4"/>
  <c r="AA504" i="4"/>
  <c r="Z504" i="4"/>
  <c r="Y504" i="4"/>
  <c r="X504" i="4"/>
  <c r="V504" i="4"/>
  <c r="U504" i="4"/>
  <c r="T504" i="4"/>
  <c r="S504" i="4"/>
  <c r="R504" i="4"/>
  <c r="Q504" i="4"/>
  <c r="P504" i="4"/>
  <c r="O504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A504" i="4"/>
  <c r="CJ503" i="4"/>
  <c r="CI503" i="4"/>
  <c r="CH503" i="4"/>
  <c r="CG503" i="4"/>
  <c r="CF503" i="4"/>
  <c r="CE503" i="4"/>
  <c r="CD503" i="4"/>
  <c r="CC503" i="4"/>
  <c r="CB503" i="4"/>
  <c r="CA503" i="4"/>
  <c r="BZ503" i="4"/>
  <c r="BY503" i="4"/>
  <c r="BX503" i="4"/>
  <c r="BW503" i="4"/>
  <c r="BV503" i="4"/>
  <c r="BU503" i="4"/>
  <c r="BT503" i="4"/>
  <c r="BQ503" i="4"/>
  <c r="BP503" i="4"/>
  <c r="BO503" i="4"/>
  <c r="BN503" i="4"/>
  <c r="BM503" i="4"/>
  <c r="BL503" i="4"/>
  <c r="BK503" i="4"/>
  <c r="BJ503" i="4"/>
  <c r="BI503" i="4"/>
  <c r="BH503" i="4"/>
  <c r="BG503" i="4"/>
  <c r="BF503" i="4"/>
  <c r="BE503" i="4"/>
  <c r="BD503" i="4"/>
  <c r="BC503" i="4"/>
  <c r="BB503" i="4"/>
  <c r="BA503" i="4"/>
  <c r="AZ503" i="4"/>
  <c r="AY503" i="4"/>
  <c r="AX503" i="4"/>
  <c r="AW503" i="4"/>
  <c r="AV503" i="4"/>
  <c r="AU503" i="4"/>
  <c r="AT503" i="4"/>
  <c r="AS503" i="4"/>
  <c r="AR503" i="4"/>
  <c r="AQ503" i="4"/>
  <c r="AP503" i="4"/>
  <c r="AO503" i="4"/>
  <c r="AN503" i="4"/>
  <c r="AM503" i="4"/>
  <c r="AL503" i="4"/>
  <c r="AK503" i="4"/>
  <c r="AJ503" i="4"/>
  <c r="AI503" i="4"/>
  <c r="AH503" i="4"/>
  <c r="AG503" i="4"/>
  <c r="AF503" i="4"/>
  <c r="AE503" i="4"/>
  <c r="AD503" i="4"/>
  <c r="AC503" i="4"/>
  <c r="AB503" i="4"/>
  <c r="AA503" i="4"/>
  <c r="Z503" i="4"/>
  <c r="Y503" i="4"/>
  <c r="X503" i="4"/>
  <c r="V503" i="4"/>
  <c r="U503" i="4"/>
  <c r="T503" i="4"/>
  <c r="S503" i="4"/>
  <c r="R503" i="4"/>
  <c r="Q503" i="4"/>
  <c r="P503" i="4"/>
  <c r="O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A503" i="4"/>
  <c r="CJ502" i="4"/>
  <c r="CI502" i="4"/>
  <c r="CH502" i="4"/>
  <c r="CG502" i="4"/>
  <c r="CF502" i="4"/>
  <c r="CE502" i="4"/>
  <c r="CD502" i="4"/>
  <c r="CC502" i="4"/>
  <c r="CB502" i="4"/>
  <c r="CA502" i="4"/>
  <c r="BZ502" i="4"/>
  <c r="BY502" i="4"/>
  <c r="BX502" i="4"/>
  <c r="BW502" i="4"/>
  <c r="BV502" i="4"/>
  <c r="BU502" i="4"/>
  <c r="BT502" i="4"/>
  <c r="BQ502" i="4"/>
  <c r="BP502" i="4"/>
  <c r="BO502" i="4"/>
  <c r="BN502" i="4"/>
  <c r="BM502" i="4"/>
  <c r="BL502" i="4"/>
  <c r="BK502" i="4"/>
  <c r="BJ502" i="4"/>
  <c r="BI502" i="4"/>
  <c r="BH502" i="4"/>
  <c r="BG502" i="4"/>
  <c r="BF502" i="4"/>
  <c r="BE502" i="4"/>
  <c r="BD502" i="4"/>
  <c r="BC502" i="4"/>
  <c r="BB502" i="4"/>
  <c r="BA502" i="4"/>
  <c r="AZ502" i="4"/>
  <c r="AY502" i="4"/>
  <c r="AX502" i="4"/>
  <c r="AW502" i="4"/>
  <c r="AV502" i="4"/>
  <c r="AU502" i="4"/>
  <c r="AT502" i="4"/>
  <c r="AS502" i="4"/>
  <c r="AR502" i="4"/>
  <c r="AQ502" i="4"/>
  <c r="AP502" i="4"/>
  <c r="AO502" i="4"/>
  <c r="AN502" i="4"/>
  <c r="AM502" i="4"/>
  <c r="AL502" i="4"/>
  <c r="AK502" i="4"/>
  <c r="AJ502" i="4"/>
  <c r="AI502" i="4"/>
  <c r="AH502" i="4"/>
  <c r="AG502" i="4"/>
  <c r="AF502" i="4"/>
  <c r="AE502" i="4"/>
  <c r="AD502" i="4"/>
  <c r="AC502" i="4"/>
  <c r="AB502" i="4"/>
  <c r="AA502" i="4"/>
  <c r="Z502" i="4"/>
  <c r="Y502" i="4"/>
  <c r="X502" i="4"/>
  <c r="V502" i="4"/>
  <c r="U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A502" i="4"/>
  <c r="CJ501" i="4"/>
  <c r="CI501" i="4"/>
  <c r="CH501" i="4"/>
  <c r="CG501" i="4"/>
  <c r="CF501" i="4"/>
  <c r="CE501" i="4"/>
  <c r="CD501" i="4"/>
  <c r="CC501" i="4"/>
  <c r="CB501" i="4"/>
  <c r="CA501" i="4"/>
  <c r="BZ501" i="4"/>
  <c r="BY501" i="4"/>
  <c r="BX501" i="4"/>
  <c r="BW501" i="4"/>
  <c r="BV501" i="4"/>
  <c r="BU501" i="4"/>
  <c r="BT501" i="4"/>
  <c r="BQ501" i="4"/>
  <c r="BP501" i="4"/>
  <c r="BO501" i="4"/>
  <c r="BN501" i="4"/>
  <c r="BM501" i="4"/>
  <c r="BL501" i="4"/>
  <c r="BK501" i="4"/>
  <c r="BJ501" i="4"/>
  <c r="BI501" i="4"/>
  <c r="BH501" i="4"/>
  <c r="BG501" i="4"/>
  <c r="BF501" i="4"/>
  <c r="BE501" i="4"/>
  <c r="BD501" i="4"/>
  <c r="BC501" i="4"/>
  <c r="BB501" i="4"/>
  <c r="BA501" i="4"/>
  <c r="AZ501" i="4"/>
  <c r="AY501" i="4"/>
  <c r="AX501" i="4"/>
  <c r="AW501" i="4"/>
  <c r="AV501" i="4"/>
  <c r="AU501" i="4"/>
  <c r="AT501" i="4"/>
  <c r="AS501" i="4"/>
  <c r="AR501" i="4"/>
  <c r="AQ501" i="4"/>
  <c r="AP501" i="4"/>
  <c r="AO501" i="4"/>
  <c r="AN501" i="4"/>
  <c r="AM501" i="4"/>
  <c r="AL501" i="4"/>
  <c r="AK501" i="4"/>
  <c r="AJ501" i="4"/>
  <c r="AI501" i="4"/>
  <c r="AH501" i="4"/>
  <c r="AG501" i="4"/>
  <c r="AF501" i="4"/>
  <c r="AE501" i="4"/>
  <c r="AD501" i="4"/>
  <c r="AC501" i="4"/>
  <c r="AB501" i="4"/>
  <c r="AA501" i="4"/>
  <c r="Z501" i="4"/>
  <c r="Y501" i="4"/>
  <c r="X501" i="4"/>
  <c r="V501" i="4"/>
  <c r="U501" i="4"/>
  <c r="T501" i="4"/>
  <c r="S501" i="4"/>
  <c r="R501" i="4"/>
  <c r="Q501" i="4"/>
  <c r="P501" i="4"/>
  <c r="O501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A501" i="4"/>
  <c r="CJ500" i="4"/>
  <c r="CI500" i="4"/>
  <c r="CH500" i="4"/>
  <c r="CG500" i="4"/>
  <c r="CF500" i="4"/>
  <c r="CE500" i="4"/>
  <c r="CD500" i="4"/>
  <c r="CC500" i="4"/>
  <c r="CB500" i="4"/>
  <c r="CA500" i="4"/>
  <c r="BZ500" i="4"/>
  <c r="BY500" i="4"/>
  <c r="BX500" i="4"/>
  <c r="BW500" i="4"/>
  <c r="BV500" i="4"/>
  <c r="BU500" i="4"/>
  <c r="BT500" i="4"/>
  <c r="BQ500" i="4"/>
  <c r="BP500" i="4"/>
  <c r="BO500" i="4"/>
  <c r="BN500" i="4"/>
  <c r="BM500" i="4"/>
  <c r="BL500" i="4"/>
  <c r="BK500" i="4"/>
  <c r="BJ500" i="4"/>
  <c r="BI500" i="4"/>
  <c r="BH500" i="4"/>
  <c r="BG500" i="4"/>
  <c r="BF500" i="4"/>
  <c r="BE500" i="4"/>
  <c r="BD500" i="4"/>
  <c r="BC500" i="4"/>
  <c r="BB500" i="4"/>
  <c r="BA500" i="4"/>
  <c r="AZ500" i="4"/>
  <c r="AY500" i="4"/>
  <c r="AX500" i="4"/>
  <c r="AW500" i="4"/>
  <c r="AV500" i="4"/>
  <c r="AU500" i="4"/>
  <c r="AT500" i="4"/>
  <c r="AS500" i="4"/>
  <c r="AR500" i="4"/>
  <c r="AQ500" i="4"/>
  <c r="AP500" i="4"/>
  <c r="AO500" i="4"/>
  <c r="AN500" i="4"/>
  <c r="AM500" i="4"/>
  <c r="AL500" i="4"/>
  <c r="AK500" i="4"/>
  <c r="AJ500" i="4"/>
  <c r="AI500" i="4"/>
  <c r="AH500" i="4"/>
  <c r="AG500" i="4"/>
  <c r="AF500" i="4"/>
  <c r="AE500" i="4"/>
  <c r="AD500" i="4"/>
  <c r="AC500" i="4"/>
  <c r="AB500" i="4"/>
  <c r="AA500" i="4"/>
  <c r="Z500" i="4"/>
  <c r="Y500" i="4"/>
  <c r="X500" i="4"/>
  <c r="V500" i="4"/>
  <c r="U500" i="4"/>
  <c r="T500" i="4"/>
  <c r="S500" i="4"/>
  <c r="R500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A500" i="4"/>
  <c r="CJ499" i="4"/>
  <c r="CI499" i="4"/>
  <c r="CH499" i="4"/>
  <c r="CG499" i="4"/>
  <c r="CF499" i="4"/>
  <c r="CE499" i="4"/>
  <c r="CD499" i="4"/>
  <c r="CC499" i="4"/>
  <c r="CB499" i="4"/>
  <c r="CA499" i="4"/>
  <c r="BZ499" i="4"/>
  <c r="BY499" i="4"/>
  <c r="BX499" i="4"/>
  <c r="BW499" i="4"/>
  <c r="BV499" i="4"/>
  <c r="BU499" i="4"/>
  <c r="BT499" i="4"/>
  <c r="BQ499" i="4"/>
  <c r="BP499" i="4"/>
  <c r="BO499" i="4"/>
  <c r="BN499" i="4"/>
  <c r="BM499" i="4"/>
  <c r="BL499" i="4"/>
  <c r="BK499" i="4"/>
  <c r="BJ499" i="4"/>
  <c r="BI499" i="4"/>
  <c r="BH499" i="4"/>
  <c r="BG499" i="4"/>
  <c r="BF499" i="4"/>
  <c r="BE499" i="4"/>
  <c r="BD499" i="4"/>
  <c r="BC499" i="4"/>
  <c r="BB499" i="4"/>
  <c r="BA499" i="4"/>
  <c r="AZ499" i="4"/>
  <c r="AY499" i="4"/>
  <c r="AX499" i="4"/>
  <c r="AW499" i="4"/>
  <c r="AV499" i="4"/>
  <c r="AU499" i="4"/>
  <c r="AT499" i="4"/>
  <c r="AS499" i="4"/>
  <c r="AR499" i="4"/>
  <c r="AQ499" i="4"/>
  <c r="AP499" i="4"/>
  <c r="AO499" i="4"/>
  <c r="AN499" i="4"/>
  <c r="AM499" i="4"/>
  <c r="AL499" i="4"/>
  <c r="AK499" i="4"/>
  <c r="AJ499" i="4"/>
  <c r="AI499" i="4"/>
  <c r="AH499" i="4"/>
  <c r="AG499" i="4"/>
  <c r="AF499" i="4"/>
  <c r="AE499" i="4"/>
  <c r="AD499" i="4"/>
  <c r="AC499" i="4"/>
  <c r="AB499" i="4"/>
  <c r="AA499" i="4"/>
  <c r="Z499" i="4"/>
  <c r="Y499" i="4"/>
  <c r="X499" i="4"/>
  <c r="V499" i="4"/>
  <c r="U499" i="4"/>
  <c r="T499" i="4"/>
  <c r="S499" i="4"/>
  <c r="R499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A499" i="4"/>
  <c r="CJ498" i="4"/>
  <c r="CI498" i="4"/>
  <c r="CH498" i="4"/>
  <c r="CG498" i="4"/>
  <c r="CF498" i="4"/>
  <c r="CE498" i="4"/>
  <c r="CD498" i="4"/>
  <c r="CC498" i="4"/>
  <c r="CB498" i="4"/>
  <c r="CA498" i="4"/>
  <c r="BZ498" i="4"/>
  <c r="BY498" i="4"/>
  <c r="BX498" i="4"/>
  <c r="BW498" i="4"/>
  <c r="BV498" i="4"/>
  <c r="BU498" i="4"/>
  <c r="BT498" i="4"/>
  <c r="BQ498" i="4"/>
  <c r="BP498" i="4"/>
  <c r="BO498" i="4"/>
  <c r="BN498" i="4"/>
  <c r="BM498" i="4"/>
  <c r="BL498" i="4"/>
  <c r="BK498" i="4"/>
  <c r="BJ498" i="4"/>
  <c r="BI498" i="4"/>
  <c r="BH498" i="4"/>
  <c r="BG498" i="4"/>
  <c r="BF498" i="4"/>
  <c r="BE498" i="4"/>
  <c r="BD498" i="4"/>
  <c r="BC498" i="4"/>
  <c r="BB498" i="4"/>
  <c r="BA498" i="4"/>
  <c r="AZ498" i="4"/>
  <c r="AY498" i="4"/>
  <c r="AX498" i="4"/>
  <c r="AW498" i="4"/>
  <c r="AV498" i="4"/>
  <c r="AU498" i="4"/>
  <c r="AT498" i="4"/>
  <c r="AS498" i="4"/>
  <c r="AR498" i="4"/>
  <c r="AQ498" i="4"/>
  <c r="AP498" i="4"/>
  <c r="AO498" i="4"/>
  <c r="AN498" i="4"/>
  <c r="AM498" i="4"/>
  <c r="AL498" i="4"/>
  <c r="AK498" i="4"/>
  <c r="AJ498" i="4"/>
  <c r="AI498" i="4"/>
  <c r="AH498" i="4"/>
  <c r="AG498" i="4"/>
  <c r="AF498" i="4"/>
  <c r="AE498" i="4"/>
  <c r="AD498" i="4"/>
  <c r="AC498" i="4"/>
  <c r="AB498" i="4"/>
  <c r="AA498" i="4"/>
  <c r="Z498" i="4"/>
  <c r="Y498" i="4"/>
  <c r="X498" i="4"/>
  <c r="V498" i="4"/>
  <c r="U498" i="4"/>
  <c r="T498" i="4"/>
  <c r="S498" i="4"/>
  <c r="R498" i="4"/>
  <c r="Q498" i="4"/>
  <c r="P498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A498" i="4"/>
  <c r="CJ497" i="4"/>
  <c r="CI497" i="4"/>
  <c r="CH497" i="4"/>
  <c r="CG497" i="4"/>
  <c r="CF497" i="4"/>
  <c r="CE497" i="4"/>
  <c r="CD497" i="4"/>
  <c r="CC497" i="4"/>
  <c r="CB497" i="4"/>
  <c r="CA497" i="4"/>
  <c r="BZ497" i="4"/>
  <c r="BY497" i="4"/>
  <c r="BX497" i="4"/>
  <c r="BW497" i="4"/>
  <c r="BV497" i="4"/>
  <c r="BU497" i="4"/>
  <c r="BT497" i="4"/>
  <c r="BQ497" i="4"/>
  <c r="BP497" i="4"/>
  <c r="BO497" i="4"/>
  <c r="BN497" i="4"/>
  <c r="BM497" i="4"/>
  <c r="BL497" i="4"/>
  <c r="BK497" i="4"/>
  <c r="BJ497" i="4"/>
  <c r="BI497" i="4"/>
  <c r="BH497" i="4"/>
  <c r="BG497" i="4"/>
  <c r="BF497" i="4"/>
  <c r="BE497" i="4"/>
  <c r="BD497" i="4"/>
  <c r="BC497" i="4"/>
  <c r="BB497" i="4"/>
  <c r="BA497" i="4"/>
  <c r="AZ497" i="4"/>
  <c r="AY497" i="4"/>
  <c r="AX497" i="4"/>
  <c r="AW497" i="4"/>
  <c r="AV497" i="4"/>
  <c r="AU497" i="4"/>
  <c r="AT497" i="4"/>
  <c r="AS497" i="4"/>
  <c r="AR497" i="4"/>
  <c r="AQ497" i="4"/>
  <c r="AP497" i="4"/>
  <c r="AO497" i="4"/>
  <c r="AN497" i="4"/>
  <c r="AM497" i="4"/>
  <c r="AL497" i="4"/>
  <c r="AK497" i="4"/>
  <c r="AJ497" i="4"/>
  <c r="AI497" i="4"/>
  <c r="AH497" i="4"/>
  <c r="AG497" i="4"/>
  <c r="AF497" i="4"/>
  <c r="AE497" i="4"/>
  <c r="AD497" i="4"/>
  <c r="AC497" i="4"/>
  <c r="AB497" i="4"/>
  <c r="AA497" i="4"/>
  <c r="Z497" i="4"/>
  <c r="Y497" i="4"/>
  <c r="X497" i="4"/>
  <c r="V497" i="4"/>
  <c r="U497" i="4"/>
  <c r="T497" i="4"/>
  <c r="S497" i="4"/>
  <c r="R497" i="4"/>
  <c r="Q497" i="4"/>
  <c r="P497" i="4"/>
  <c r="O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A497" i="4"/>
  <c r="CJ496" i="4"/>
  <c r="CI496" i="4"/>
  <c r="CH496" i="4"/>
  <c r="CG496" i="4"/>
  <c r="CF496" i="4"/>
  <c r="CE496" i="4"/>
  <c r="CD496" i="4"/>
  <c r="CC496" i="4"/>
  <c r="CB496" i="4"/>
  <c r="CA496" i="4"/>
  <c r="BZ496" i="4"/>
  <c r="BY496" i="4"/>
  <c r="BX496" i="4"/>
  <c r="BW496" i="4"/>
  <c r="BV496" i="4"/>
  <c r="BU496" i="4"/>
  <c r="BT496" i="4"/>
  <c r="BQ496" i="4"/>
  <c r="BP496" i="4"/>
  <c r="BO496" i="4"/>
  <c r="BN496" i="4"/>
  <c r="BM496" i="4"/>
  <c r="BL496" i="4"/>
  <c r="BK496" i="4"/>
  <c r="BJ496" i="4"/>
  <c r="BI496" i="4"/>
  <c r="BH496" i="4"/>
  <c r="BG496" i="4"/>
  <c r="BF496" i="4"/>
  <c r="BE496" i="4"/>
  <c r="BD496" i="4"/>
  <c r="BC496" i="4"/>
  <c r="BB496" i="4"/>
  <c r="BA496" i="4"/>
  <c r="AZ496" i="4"/>
  <c r="AY496" i="4"/>
  <c r="AX496" i="4"/>
  <c r="AW496" i="4"/>
  <c r="AV496" i="4"/>
  <c r="AU496" i="4"/>
  <c r="AT496" i="4"/>
  <c r="AS496" i="4"/>
  <c r="AR496" i="4"/>
  <c r="AQ496" i="4"/>
  <c r="AP496" i="4"/>
  <c r="AO496" i="4"/>
  <c r="AN496" i="4"/>
  <c r="AM496" i="4"/>
  <c r="AL496" i="4"/>
  <c r="AK496" i="4"/>
  <c r="AJ496" i="4"/>
  <c r="AI496" i="4"/>
  <c r="AH496" i="4"/>
  <c r="AG496" i="4"/>
  <c r="AF496" i="4"/>
  <c r="AE496" i="4"/>
  <c r="AD496" i="4"/>
  <c r="AC496" i="4"/>
  <c r="AB496" i="4"/>
  <c r="AA496" i="4"/>
  <c r="Z496" i="4"/>
  <c r="Y496" i="4"/>
  <c r="X496" i="4"/>
  <c r="V496" i="4"/>
  <c r="U496" i="4"/>
  <c r="T496" i="4"/>
  <c r="S496" i="4"/>
  <c r="R496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A496" i="4"/>
  <c r="CJ495" i="4"/>
  <c r="CI495" i="4"/>
  <c r="CH495" i="4"/>
  <c r="CG495" i="4"/>
  <c r="CF495" i="4"/>
  <c r="CE495" i="4"/>
  <c r="CD495" i="4"/>
  <c r="CC495" i="4"/>
  <c r="CB495" i="4"/>
  <c r="CA495" i="4"/>
  <c r="BZ495" i="4"/>
  <c r="BY495" i="4"/>
  <c r="BX495" i="4"/>
  <c r="BW495" i="4"/>
  <c r="BV495" i="4"/>
  <c r="BU495" i="4"/>
  <c r="BT495" i="4"/>
  <c r="BQ495" i="4"/>
  <c r="BP495" i="4"/>
  <c r="BO495" i="4"/>
  <c r="BN495" i="4"/>
  <c r="BM495" i="4"/>
  <c r="BL495" i="4"/>
  <c r="BK495" i="4"/>
  <c r="BJ495" i="4"/>
  <c r="BI495" i="4"/>
  <c r="BH495" i="4"/>
  <c r="BG495" i="4"/>
  <c r="BF495" i="4"/>
  <c r="BE495" i="4"/>
  <c r="BD495" i="4"/>
  <c r="BC495" i="4"/>
  <c r="BB495" i="4"/>
  <c r="BA495" i="4"/>
  <c r="AZ495" i="4"/>
  <c r="AY495" i="4"/>
  <c r="AX495" i="4"/>
  <c r="AW495" i="4"/>
  <c r="AV495" i="4"/>
  <c r="AU495" i="4"/>
  <c r="AT495" i="4"/>
  <c r="AS495" i="4"/>
  <c r="AR495" i="4"/>
  <c r="AQ495" i="4"/>
  <c r="AP495" i="4"/>
  <c r="AO495" i="4"/>
  <c r="AN495" i="4"/>
  <c r="AM495" i="4"/>
  <c r="AL495" i="4"/>
  <c r="AK495" i="4"/>
  <c r="AJ495" i="4"/>
  <c r="AI495" i="4"/>
  <c r="AH495" i="4"/>
  <c r="AG495" i="4"/>
  <c r="AF495" i="4"/>
  <c r="AE495" i="4"/>
  <c r="AD495" i="4"/>
  <c r="AC495" i="4"/>
  <c r="AB495" i="4"/>
  <c r="AA495" i="4"/>
  <c r="Z495" i="4"/>
  <c r="Y495" i="4"/>
  <c r="X495" i="4"/>
  <c r="V495" i="4"/>
  <c r="U495" i="4"/>
  <c r="T495" i="4"/>
  <c r="S495" i="4"/>
  <c r="R495" i="4"/>
  <c r="Q495" i="4"/>
  <c r="P495" i="4"/>
  <c r="O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A495" i="4"/>
  <c r="CJ494" i="4"/>
  <c r="CI494" i="4"/>
  <c r="CH494" i="4"/>
  <c r="CG494" i="4"/>
  <c r="CF494" i="4"/>
  <c r="CE494" i="4"/>
  <c r="CD494" i="4"/>
  <c r="CC494" i="4"/>
  <c r="CB494" i="4"/>
  <c r="CA494" i="4"/>
  <c r="BZ494" i="4"/>
  <c r="BY494" i="4"/>
  <c r="BX494" i="4"/>
  <c r="BW494" i="4"/>
  <c r="BV494" i="4"/>
  <c r="BU494" i="4"/>
  <c r="BT494" i="4"/>
  <c r="BQ494" i="4"/>
  <c r="BP494" i="4"/>
  <c r="BO494" i="4"/>
  <c r="BN494" i="4"/>
  <c r="BM494" i="4"/>
  <c r="BL494" i="4"/>
  <c r="BK494" i="4"/>
  <c r="BJ494" i="4"/>
  <c r="BI494" i="4"/>
  <c r="BH494" i="4"/>
  <c r="BG494" i="4"/>
  <c r="BF494" i="4"/>
  <c r="BE494" i="4"/>
  <c r="BD494" i="4"/>
  <c r="BC494" i="4"/>
  <c r="BB494" i="4"/>
  <c r="BA494" i="4"/>
  <c r="AZ494" i="4"/>
  <c r="AY494" i="4"/>
  <c r="AX494" i="4"/>
  <c r="AW494" i="4"/>
  <c r="AV494" i="4"/>
  <c r="AU494" i="4"/>
  <c r="AT494" i="4"/>
  <c r="AS494" i="4"/>
  <c r="AR494" i="4"/>
  <c r="AQ494" i="4"/>
  <c r="AP494" i="4"/>
  <c r="AO494" i="4"/>
  <c r="AN494" i="4"/>
  <c r="AM494" i="4"/>
  <c r="AL494" i="4"/>
  <c r="AK494" i="4"/>
  <c r="AJ494" i="4"/>
  <c r="AI494" i="4"/>
  <c r="AH494" i="4"/>
  <c r="AG494" i="4"/>
  <c r="AF494" i="4"/>
  <c r="AE494" i="4"/>
  <c r="AD494" i="4"/>
  <c r="AC494" i="4"/>
  <c r="AB494" i="4"/>
  <c r="AA494" i="4"/>
  <c r="Z494" i="4"/>
  <c r="Y494" i="4"/>
  <c r="X494" i="4"/>
  <c r="V494" i="4"/>
  <c r="U494" i="4"/>
  <c r="T494" i="4"/>
  <c r="S494" i="4"/>
  <c r="R494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A494" i="4"/>
  <c r="CJ493" i="4"/>
  <c r="CI493" i="4"/>
  <c r="CH493" i="4"/>
  <c r="CG493" i="4"/>
  <c r="CF493" i="4"/>
  <c r="CE493" i="4"/>
  <c r="CD493" i="4"/>
  <c r="CC493" i="4"/>
  <c r="CB493" i="4"/>
  <c r="CA493" i="4"/>
  <c r="BZ493" i="4"/>
  <c r="BY493" i="4"/>
  <c r="BX493" i="4"/>
  <c r="BW493" i="4"/>
  <c r="BV493" i="4"/>
  <c r="BU493" i="4"/>
  <c r="BT493" i="4"/>
  <c r="BQ493" i="4"/>
  <c r="BP493" i="4"/>
  <c r="BO493" i="4"/>
  <c r="BN493" i="4"/>
  <c r="BM493" i="4"/>
  <c r="BL493" i="4"/>
  <c r="BK493" i="4"/>
  <c r="BJ493" i="4"/>
  <c r="BI493" i="4"/>
  <c r="BH493" i="4"/>
  <c r="BG493" i="4"/>
  <c r="BF493" i="4"/>
  <c r="BE493" i="4"/>
  <c r="BD493" i="4"/>
  <c r="BC493" i="4"/>
  <c r="BB493" i="4"/>
  <c r="BA493" i="4"/>
  <c r="AZ493" i="4"/>
  <c r="AY493" i="4"/>
  <c r="AX493" i="4"/>
  <c r="AW493" i="4"/>
  <c r="AV493" i="4"/>
  <c r="AU493" i="4"/>
  <c r="AT493" i="4"/>
  <c r="AS493" i="4"/>
  <c r="AR493" i="4"/>
  <c r="AQ493" i="4"/>
  <c r="AP493" i="4"/>
  <c r="AO493" i="4"/>
  <c r="AN493" i="4"/>
  <c r="AM493" i="4"/>
  <c r="AL493" i="4"/>
  <c r="AK493" i="4"/>
  <c r="AJ493" i="4"/>
  <c r="AI493" i="4"/>
  <c r="AH493" i="4"/>
  <c r="AG493" i="4"/>
  <c r="AF493" i="4"/>
  <c r="AE493" i="4"/>
  <c r="AD493" i="4"/>
  <c r="AC493" i="4"/>
  <c r="AB493" i="4"/>
  <c r="AA493" i="4"/>
  <c r="Z493" i="4"/>
  <c r="Y493" i="4"/>
  <c r="X493" i="4"/>
  <c r="V493" i="4"/>
  <c r="U493" i="4"/>
  <c r="T493" i="4"/>
  <c r="S493" i="4"/>
  <c r="R493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A493" i="4"/>
  <c r="CJ492" i="4"/>
  <c r="CI492" i="4"/>
  <c r="CH492" i="4"/>
  <c r="CG492" i="4"/>
  <c r="CF492" i="4"/>
  <c r="CE492" i="4"/>
  <c r="CD492" i="4"/>
  <c r="CC492" i="4"/>
  <c r="CB492" i="4"/>
  <c r="CA492" i="4"/>
  <c r="BZ492" i="4"/>
  <c r="BY492" i="4"/>
  <c r="BX492" i="4"/>
  <c r="BW492" i="4"/>
  <c r="BV492" i="4"/>
  <c r="BU492" i="4"/>
  <c r="BT492" i="4"/>
  <c r="BQ492" i="4"/>
  <c r="BP492" i="4"/>
  <c r="BO492" i="4"/>
  <c r="BN492" i="4"/>
  <c r="BM492" i="4"/>
  <c r="BL492" i="4"/>
  <c r="BK492" i="4"/>
  <c r="BJ492" i="4"/>
  <c r="BI492" i="4"/>
  <c r="BH492" i="4"/>
  <c r="BG492" i="4"/>
  <c r="BF492" i="4"/>
  <c r="BE492" i="4"/>
  <c r="BD492" i="4"/>
  <c r="BC492" i="4"/>
  <c r="BB492" i="4"/>
  <c r="BA492" i="4"/>
  <c r="AZ492" i="4"/>
  <c r="AY492" i="4"/>
  <c r="AX492" i="4"/>
  <c r="AW492" i="4"/>
  <c r="AV492" i="4"/>
  <c r="AU492" i="4"/>
  <c r="AT492" i="4"/>
  <c r="AS492" i="4"/>
  <c r="AR492" i="4"/>
  <c r="AQ492" i="4"/>
  <c r="AP492" i="4"/>
  <c r="AO492" i="4"/>
  <c r="AN492" i="4"/>
  <c r="AM492" i="4"/>
  <c r="AL492" i="4"/>
  <c r="AK492" i="4"/>
  <c r="AJ492" i="4"/>
  <c r="AI492" i="4"/>
  <c r="AH492" i="4"/>
  <c r="AG492" i="4"/>
  <c r="AF492" i="4"/>
  <c r="AE492" i="4"/>
  <c r="AD492" i="4"/>
  <c r="AC492" i="4"/>
  <c r="AB492" i="4"/>
  <c r="AA492" i="4"/>
  <c r="Z492" i="4"/>
  <c r="Y492" i="4"/>
  <c r="X492" i="4"/>
  <c r="V492" i="4"/>
  <c r="U492" i="4"/>
  <c r="T492" i="4"/>
  <c r="S492" i="4"/>
  <c r="R492" i="4"/>
  <c r="Q492" i="4"/>
  <c r="P492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A492" i="4"/>
  <c r="CJ491" i="4"/>
  <c r="CI491" i="4"/>
  <c r="CH491" i="4"/>
  <c r="CG491" i="4"/>
  <c r="CF491" i="4"/>
  <c r="CE491" i="4"/>
  <c r="CD491" i="4"/>
  <c r="CC491" i="4"/>
  <c r="CB491" i="4"/>
  <c r="CA491" i="4"/>
  <c r="BZ491" i="4"/>
  <c r="BY491" i="4"/>
  <c r="BX491" i="4"/>
  <c r="BW491" i="4"/>
  <c r="BV491" i="4"/>
  <c r="BU491" i="4"/>
  <c r="BT491" i="4"/>
  <c r="BQ491" i="4"/>
  <c r="BP491" i="4"/>
  <c r="BO491" i="4"/>
  <c r="BN491" i="4"/>
  <c r="BM491" i="4"/>
  <c r="BL491" i="4"/>
  <c r="BK491" i="4"/>
  <c r="BJ491" i="4"/>
  <c r="BI491" i="4"/>
  <c r="BH491" i="4"/>
  <c r="BG491" i="4"/>
  <c r="BF491" i="4"/>
  <c r="BE491" i="4"/>
  <c r="BD491" i="4"/>
  <c r="BC491" i="4"/>
  <c r="BB491" i="4"/>
  <c r="BA491" i="4"/>
  <c r="AZ491" i="4"/>
  <c r="AY491" i="4"/>
  <c r="AX491" i="4"/>
  <c r="AW491" i="4"/>
  <c r="AV491" i="4"/>
  <c r="AU491" i="4"/>
  <c r="AT491" i="4"/>
  <c r="AS491" i="4"/>
  <c r="AR491" i="4"/>
  <c r="AQ491" i="4"/>
  <c r="AP491" i="4"/>
  <c r="AO491" i="4"/>
  <c r="AN491" i="4"/>
  <c r="AM491" i="4"/>
  <c r="AL491" i="4"/>
  <c r="AK491" i="4"/>
  <c r="AJ491" i="4"/>
  <c r="AI491" i="4"/>
  <c r="AH491" i="4"/>
  <c r="AG491" i="4"/>
  <c r="AF491" i="4"/>
  <c r="AE491" i="4"/>
  <c r="AD491" i="4"/>
  <c r="AC491" i="4"/>
  <c r="AB491" i="4"/>
  <c r="AA491" i="4"/>
  <c r="Z491" i="4"/>
  <c r="Y491" i="4"/>
  <c r="X491" i="4"/>
  <c r="V491" i="4"/>
  <c r="U491" i="4"/>
  <c r="T491" i="4"/>
  <c r="S491" i="4"/>
  <c r="R491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A491" i="4"/>
  <c r="CJ490" i="4"/>
  <c r="CI490" i="4"/>
  <c r="CH490" i="4"/>
  <c r="CG490" i="4"/>
  <c r="CF490" i="4"/>
  <c r="CE490" i="4"/>
  <c r="CD490" i="4"/>
  <c r="CC490" i="4"/>
  <c r="CB490" i="4"/>
  <c r="CA490" i="4"/>
  <c r="BZ490" i="4"/>
  <c r="BY490" i="4"/>
  <c r="BX490" i="4"/>
  <c r="BW490" i="4"/>
  <c r="BV490" i="4"/>
  <c r="BU490" i="4"/>
  <c r="BT490" i="4"/>
  <c r="BQ490" i="4"/>
  <c r="BP490" i="4"/>
  <c r="BO490" i="4"/>
  <c r="BN490" i="4"/>
  <c r="BM490" i="4"/>
  <c r="BL490" i="4"/>
  <c r="BK490" i="4"/>
  <c r="BJ490" i="4"/>
  <c r="BI490" i="4"/>
  <c r="BH490" i="4"/>
  <c r="BG490" i="4"/>
  <c r="BF490" i="4"/>
  <c r="BE490" i="4"/>
  <c r="BD490" i="4"/>
  <c r="BC490" i="4"/>
  <c r="BB490" i="4"/>
  <c r="BA490" i="4"/>
  <c r="AZ490" i="4"/>
  <c r="AY490" i="4"/>
  <c r="AX490" i="4"/>
  <c r="AW490" i="4"/>
  <c r="AV490" i="4"/>
  <c r="AU490" i="4"/>
  <c r="AT490" i="4"/>
  <c r="AS490" i="4"/>
  <c r="AR490" i="4"/>
  <c r="AQ490" i="4"/>
  <c r="AP490" i="4"/>
  <c r="AO490" i="4"/>
  <c r="AN490" i="4"/>
  <c r="AM490" i="4"/>
  <c r="AL490" i="4"/>
  <c r="AK490" i="4"/>
  <c r="AJ490" i="4"/>
  <c r="AI490" i="4"/>
  <c r="AH490" i="4"/>
  <c r="AG490" i="4"/>
  <c r="AF490" i="4"/>
  <c r="AE490" i="4"/>
  <c r="AD490" i="4"/>
  <c r="AC490" i="4"/>
  <c r="AB490" i="4"/>
  <c r="AA490" i="4"/>
  <c r="Z490" i="4"/>
  <c r="Y490" i="4"/>
  <c r="X490" i="4"/>
  <c r="V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A490" i="4"/>
  <c r="CJ489" i="4"/>
  <c r="CI489" i="4"/>
  <c r="CH489" i="4"/>
  <c r="CG489" i="4"/>
  <c r="CF489" i="4"/>
  <c r="CE489" i="4"/>
  <c r="CD489" i="4"/>
  <c r="CC489" i="4"/>
  <c r="CB489" i="4"/>
  <c r="CA489" i="4"/>
  <c r="BZ489" i="4"/>
  <c r="BY489" i="4"/>
  <c r="BX489" i="4"/>
  <c r="BW489" i="4"/>
  <c r="BV489" i="4"/>
  <c r="BU489" i="4"/>
  <c r="BT489" i="4"/>
  <c r="BQ489" i="4"/>
  <c r="BP489" i="4"/>
  <c r="BO489" i="4"/>
  <c r="BN489" i="4"/>
  <c r="BM489" i="4"/>
  <c r="BL489" i="4"/>
  <c r="BK489" i="4"/>
  <c r="BJ489" i="4"/>
  <c r="BI489" i="4"/>
  <c r="BH489" i="4"/>
  <c r="BG489" i="4"/>
  <c r="BF489" i="4"/>
  <c r="BE489" i="4"/>
  <c r="BD489" i="4"/>
  <c r="BC489" i="4"/>
  <c r="BB489" i="4"/>
  <c r="BA489" i="4"/>
  <c r="AZ489" i="4"/>
  <c r="AY489" i="4"/>
  <c r="AX489" i="4"/>
  <c r="AW489" i="4"/>
  <c r="AV489" i="4"/>
  <c r="AU489" i="4"/>
  <c r="AT489" i="4"/>
  <c r="AS489" i="4"/>
  <c r="AR489" i="4"/>
  <c r="AQ489" i="4"/>
  <c r="AP489" i="4"/>
  <c r="AO489" i="4"/>
  <c r="AN489" i="4"/>
  <c r="AM489" i="4"/>
  <c r="AL489" i="4"/>
  <c r="AK489" i="4"/>
  <c r="AJ489" i="4"/>
  <c r="AI489" i="4"/>
  <c r="AH489" i="4"/>
  <c r="AG489" i="4"/>
  <c r="AF489" i="4"/>
  <c r="AE489" i="4"/>
  <c r="AD489" i="4"/>
  <c r="AC489" i="4"/>
  <c r="AB489" i="4"/>
  <c r="AA489" i="4"/>
  <c r="Z489" i="4"/>
  <c r="Y489" i="4"/>
  <c r="X489" i="4"/>
  <c r="V489" i="4"/>
  <c r="U489" i="4"/>
  <c r="T489" i="4"/>
  <c r="S489" i="4"/>
  <c r="R489" i="4"/>
  <c r="Q489" i="4"/>
  <c r="P489" i="4"/>
  <c r="O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A489" i="4"/>
  <c r="CJ488" i="4"/>
  <c r="CI488" i="4"/>
  <c r="CH488" i="4"/>
  <c r="CG488" i="4"/>
  <c r="CF488" i="4"/>
  <c r="CE488" i="4"/>
  <c r="CD488" i="4"/>
  <c r="CC488" i="4"/>
  <c r="CB488" i="4"/>
  <c r="CA488" i="4"/>
  <c r="BZ488" i="4"/>
  <c r="BY488" i="4"/>
  <c r="BX488" i="4"/>
  <c r="BW488" i="4"/>
  <c r="BV488" i="4"/>
  <c r="BU488" i="4"/>
  <c r="BT488" i="4"/>
  <c r="BQ488" i="4"/>
  <c r="BP488" i="4"/>
  <c r="BO488" i="4"/>
  <c r="BN488" i="4"/>
  <c r="BM488" i="4"/>
  <c r="BL488" i="4"/>
  <c r="BK488" i="4"/>
  <c r="BJ488" i="4"/>
  <c r="BI488" i="4"/>
  <c r="BH488" i="4"/>
  <c r="BG488" i="4"/>
  <c r="BF488" i="4"/>
  <c r="BE488" i="4"/>
  <c r="BD488" i="4"/>
  <c r="BC488" i="4"/>
  <c r="BB488" i="4"/>
  <c r="BA488" i="4"/>
  <c r="AZ488" i="4"/>
  <c r="AY488" i="4"/>
  <c r="AX488" i="4"/>
  <c r="AW488" i="4"/>
  <c r="AV488" i="4"/>
  <c r="AU488" i="4"/>
  <c r="AT488" i="4"/>
  <c r="AS488" i="4"/>
  <c r="AR488" i="4"/>
  <c r="AQ488" i="4"/>
  <c r="AP488" i="4"/>
  <c r="AO488" i="4"/>
  <c r="AN488" i="4"/>
  <c r="AM488" i="4"/>
  <c r="AL488" i="4"/>
  <c r="AK488" i="4"/>
  <c r="AJ488" i="4"/>
  <c r="AI488" i="4"/>
  <c r="AH488" i="4"/>
  <c r="AG488" i="4"/>
  <c r="AF488" i="4"/>
  <c r="AE488" i="4"/>
  <c r="AD488" i="4"/>
  <c r="AC488" i="4"/>
  <c r="AB488" i="4"/>
  <c r="AA488" i="4"/>
  <c r="Z488" i="4"/>
  <c r="Y488" i="4"/>
  <c r="X488" i="4"/>
  <c r="V488" i="4"/>
  <c r="U488" i="4"/>
  <c r="T488" i="4"/>
  <c r="S488" i="4"/>
  <c r="R488" i="4"/>
  <c r="Q488" i="4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A488" i="4"/>
  <c r="CJ487" i="4"/>
  <c r="CI487" i="4"/>
  <c r="CH487" i="4"/>
  <c r="CG487" i="4"/>
  <c r="CF487" i="4"/>
  <c r="CE487" i="4"/>
  <c r="CD487" i="4"/>
  <c r="CC487" i="4"/>
  <c r="CB487" i="4"/>
  <c r="CA487" i="4"/>
  <c r="BZ487" i="4"/>
  <c r="BY487" i="4"/>
  <c r="BX487" i="4"/>
  <c r="BW487" i="4"/>
  <c r="BV487" i="4"/>
  <c r="BU487" i="4"/>
  <c r="BT487" i="4"/>
  <c r="BQ487" i="4"/>
  <c r="BP487" i="4"/>
  <c r="BO487" i="4"/>
  <c r="BN487" i="4"/>
  <c r="BM487" i="4"/>
  <c r="BL487" i="4"/>
  <c r="BK487" i="4"/>
  <c r="BJ487" i="4"/>
  <c r="BI487" i="4"/>
  <c r="BH487" i="4"/>
  <c r="BG487" i="4"/>
  <c r="BF487" i="4"/>
  <c r="BE487" i="4"/>
  <c r="BD487" i="4"/>
  <c r="BC487" i="4"/>
  <c r="BB487" i="4"/>
  <c r="BA487" i="4"/>
  <c r="AZ487" i="4"/>
  <c r="AY487" i="4"/>
  <c r="AX487" i="4"/>
  <c r="AW487" i="4"/>
  <c r="AV487" i="4"/>
  <c r="AU487" i="4"/>
  <c r="AT487" i="4"/>
  <c r="AS487" i="4"/>
  <c r="AR487" i="4"/>
  <c r="AQ487" i="4"/>
  <c r="AP487" i="4"/>
  <c r="AO487" i="4"/>
  <c r="AN487" i="4"/>
  <c r="AM487" i="4"/>
  <c r="AL487" i="4"/>
  <c r="AK487" i="4"/>
  <c r="AJ487" i="4"/>
  <c r="AI487" i="4"/>
  <c r="AH487" i="4"/>
  <c r="AG487" i="4"/>
  <c r="AF487" i="4"/>
  <c r="AE487" i="4"/>
  <c r="AD487" i="4"/>
  <c r="AC487" i="4"/>
  <c r="AB487" i="4"/>
  <c r="AA487" i="4"/>
  <c r="Z487" i="4"/>
  <c r="Y487" i="4"/>
  <c r="X487" i="4"/>
  <c r="V487" i="4"/>
  <c r="U487" i="4"/>
  <c r="T487" i="4"/>
  <c r="S487" i="4"/>
  <c r="R487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A487" i="4"/>
  <c r="CJ486" i="4"/>
  <c r="CI486" i="4"/>
  <c r="CH486" i="4"/>
  <c r="CG486" i="4"/>
  <c r="CF486" i="4"/>
  <c r="CE486" i="4"/>
  <c r="CD486" i="4"/>
  <c r="CC486" i="4"/>
  <c r="CB486" i="4"/>
  <c r="CA486" i="4"/>
  <c r="BZ486" i="4"/>
  <c r="BY486" i="4"/>
  <c r="BX486" i="4"/>
  <c r="BW486" i="4"/>
  <c r="BV486" i="4"/>
  <c r="BU486" i="4"/>
  <c r="BT486" i="4"/>
  <c r="BQ486" i="4"/>
  <c r="BP486" i="4"/>
  <c r="BO486" i="4"/>
  <c r="BN486" i="4"/>
  <c r="BM486" i="4"/>
  <c r="BL486" i="4"/>
  <c r="BK486" i="4"/>
  <c r="BJ486" i="4"/>
  <c r="BI486" i="4"/>
  <c r="BH486" i="4"/>
  <c r="BG486" i="4"/>
  <c r="BF486" i="4"/>
  <c r="BE486" i="4"/>
  <c r="BD486" i="4"/>
  <c r="BC486" i="4"/>
  <c r="BB486" i="4"/>
  <c r="BA486" i="4"/>
  <c r="AZ486" i="4"/>
  <c r="AY486" i="4"/>
  <c r="AX486" i="4"/>
  <c r="AW486" i="4"/>
  <c r="AV486" i="4"/>
  <c r="AU486" i="4"/>
  <c r="AT486" i="4"/>
  <c r="AS486" i="4"/>
  <c r="AR486" i="4"/>
  <c r="AQ486" i="4"/>
  <c r="AP486" i="4"/>
  <c r="AO486" i="4"/>
  <c r="AN486" i="4"/>
  <c r="AM486" i="4"/>
  <c r="AL486" i="4"/>
  <c r="AK486" i="4"/>
  <c r="AJ486" i="4"/>
  <c r="AI486" i="4"/>
  <c r="AH486" i="4"/>
  <c r="AG486" i="4"/>
  <c r="AF486" i="4"/>
  <c r="AE486" i="4"/>
  <c r="AD486" i="4"/>
  <c r="AC486" i="4"/>
  <c r="AB486" i="4"/>
  <c r="AA486" i="4"/>
  <c r="Z486" i="4"/>
  <c r="Y486" i="4"/>
  <c r="X486" i="4"/>
  <c r="V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A486" i="4"/>
  <c r="CJ485" i="4"/>
  <c r="CI485" i="4"/>
  <c r="CH485" i="4"/>
  <c r="CG485" i="4"/>
  <c r="CF485" i="4"/>
  <c r="CE485" i="4"/>
  <c r="CD485" i="4"/>
  <c r="CC485" i="4"/>
  <c r="CB485" i="4"/>
  <c r="CA485" i="4"/>
  <c r="BZ485" i="4"/>
  <c r="BY485" i="4"/>
  <c r="BX485" i="4"/>
  <c r="BW485" i="4"/>
  <c r="BV485" i="4"/>
  <c r="BU485" i="4"/>
  <c r="BT485" i="4"/>
  <c r="BQ485" i="4"/>
  <c r="BP485" i="4"/>
  <c r="BO485" i="4"/>
  <c r="BN485" i="4"/>
  <c r="BM485" i="4"/>
  <c r="BL485" i="4"/>
  <c r="BK485" i="4"/>
  <c r="BJ485" i="4"/>
  <c r="BI485" i="4"/>
  <c r="BH485" i="4"/>
  <c r="BG485" i="4"/>
  <c r="BF485" i="4"/>
  <c r="BE485" i="4"/>
  <c r="BD485" i="4"/>
  <c r="BC485" i="4"/>
  <c r="BB485" i="4"/>
  <c r="BA485" i="4"/>
  <c r="AZ485" i="4"/>
  <c r="AY485" i="4"/>
  <c r="AX485" i="4"/>
  <c r="AW485" i="4"/>
  <c r="AV485" i="4"/>
  <c r="AU485" i="4"/>
  <c r="AT485" i="4"/>
  <c r="AS485" i="4"/>
  <c r="AR485" i="4"/>
  <c r="AQ485" i="4"/>
  <c r="AP485" i="4"/>
  <c r="AO485" i="4"/>
  <c r="AN485" i="4"/>
  <c r="AM485" i="4"/>
  <c r="AL485" i="4"/>
  <c r="AK485" i="4"/>
  <c r="AJ485" i="4"/>
  <c r="AI485" i="4"/>
  <c r="AH485" i="4"/>
  <c r="AG485" i="4"/>
  <c r="AF485" i="4"/>
  <c r="AE485" i="4"/>
  <c r="AD485" i="4"/>
  <c r="AC485" i="4"/>
  <c r="AB485" i="4"/>
  <c r="AA485" i="4"/>
  <c r="Z485" i="4"/>
  <c r="Y485" i="4"/>
  <c r="X485" i="4"/>
  <c r="V485" i="4"/>
  <c r="U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A485" i="4"/>
  <c r="CJ484" i="4"/>
  <c r="CI484" i="4"/>
  <c r="CH484" i="4"/>
  <c r="CG484" i="4"/>
  <c r="CF484" i="4"/>
  <c r="CE484" i="4"/>
  <c r="CD484" i="4"/>
  <c r="CC484" i="4"/>
  <c r="CB484" i="4"/>
  <c r="CA484" i="4"/>
  <c r="BZ484" i="4"/>
  <c r="BY484" i="4"/>
  <c r="BX484" i="4"/>
  <c r="BW484" i="4"/>
  <c r="BV484" i="4"/>
  <c r="BU484" i="4"/>
  <c r="BT484" i="4"/>
  <c r="BQ484" i="4"/>
  <c r="BP484" i="4"/>
  <c r="BO484" i="4"/>
  <c r="BN484" i="4"/>
  <c r="BM484" i="4"/>
  <c r="BL484" i="4"/>
  <c r="BK484" i="4"/>
  <c r="BJ484" i="4"/>
  <c r="BI484" i="4"/>
  <c r="BH484" i="4"/>
  <c r="BG484" i="4"/>
  <c r="BF484" i="4"/>
  <c r="BE484" i="4"/>
  <c r="BD484" i="4"/>
  <c r="BC484" i="4"/>
  <c r="BB484" i="4"/>
  <c r="BA484" i="4"/>
  <c r="AZ484" i="4"/>
  <c r="AY484" i="4"/>
  <c r="AX484" i="4"/>
  <c r="AW484" i="4"/>
  <c r="AV484" i="4"/>
  <c r="AU484" i="4"/>
  <c r="AT484" i="4"/>
  <c r="AS484" i="4"/>
  <c r="AR484" i="4"/>
  <c r="AQ484" i="4"/>
  <c r="AP484" i="4"/>
  <c r="AO484" i="4"/>
  <c r="AN484" i="4"/>
  <c r="AM484" i="4"/>
  <c r="AL484" i="4"/>
  <c r="AK484" i="4"/>
  <c r="AJ484" i="4"/>
  <c r="AI484" i="4"/>
  <c r="AH484" i="4"/>
  <c r="AG484" i="4"/>
  <c r="AF484" i="4"/>
  <c r="AE484" i="4"/>
  <c r="AD484" i="4"/>
  <c r="AC484" i="4"/>
  <c r="AB484" i="4"/>
  <c r="AA484" i="4"/>
  <c r="Z484" i="4"/>
  <c r="Y484" i="4"/>
  <c r="X484" i="4"/>
  <c r="V484" i="4"/>
  <c r="U484" i="4"/>
  <c r="T484" i="4"/>
  <c r="S484" i="4"/>
  <c r="R484" i="4"/>
  <c r="Q484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A484" i="4"/>
  <c r="CJ483" i="4"/>
  <c r="CI483" i="4"/>
  <c r="CH483" i="4"/>
  <c r="CG483" i="4"/>
  <c r="CF483" i="4"/>
  <c r="CE483" i="4"/>
  <c r="CD483" i="4"/>
  <c r="CC483" i="4"/>
  <c r="CB483" i="4"/>
  <c r="CA483" i="4"/>
  <c r="BZ483" i="4"/>
  <c r="BY483" i="4"/>
  <c r="BX483" i="4"/>
  <c r="BW483" i="4"/>
  <c r="BV483" i="4"/>
  <c r="BU483" i="4"/>
  <c r="BT483" i="4"/>
  <c r="BQ483" i="4"/>
  <c r="BP483" i="4"/>
  <c r="BO483" i="4"/>
  <c r="BN483" i="4"/>
  <c r="BM483" i="4"/>
  <c r="BL483" i="4"/>
  <c r="BK483" i="4"/>
  <c r="BJ483" i="4"/>
  <c r="BI483" i="4"/>
  <c r="BH483" i="4"/>
  <c r="BG483" i="4"/>
  <c r="BF483" i="4"/>
  <c r="BE483" i="4"/>
  <c r="BD483" i="4"/>
  <c r="BC483" i="4"/>
  <c r="BB483" i="4"/>
  <c r="BA483" i="4"/>
  <c r="AZ483" i="4"/>
  <c r="AY483" i="4"/>
  <c r="AX483" i="4"/>
  <c r="AW483" i="4"/>
  <c r="AV483" i="4"/>
  <c r="AU483" i="4"/>
  <c r="AT483" i="4"/>
  <c r="AS483" i="4"/>
  <c r="AR483" i="4"/>
  <c r="AQ483" i="4"/>
  <c r="AP483" i="4"/>
  <c r="AO483" i="4"/>
  <c r="AN483" i="4"/>
  <c r="AM483" i="4"/>
  <c r="AL483" i="4"/>
  <c r="AK483" i="4"/>
  <c r="AJ483" i="4"/>
  <c r="AI483" i="4"/>
  <c r="AH483" i="4"/>
  <c r="AG483" i="4"/>
  <c r="AF483" i="4"/>
  <c r="AE483" i="4"/>
  <c r="AD483" i="4"/>
  <c r="AC483" i="4"/>
  <c r="AB483" i="4"/>
  <c r="AA483" i="4"/>
  <c r="Z483" i="4"/>
  <c r="Y483" i="4"/>
  <c r="X483" i="4"/>
  <c r="V483" i="4"/>
  <c r="U483" i="4"/>
  <c r="T483" i="4"/>
  <c r="S483" i="4"/>
  <c r="R483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A483" i="4"/>
  <c r="CJ482" i="4"/>
  <c r="CI482" i="4"/>
  <c r="CH482" i="4"/>
  <c r="CG482" i="4"/>
  <c r="CF482" i="4"/>
  <c r="CE482" i="4"/>
  <c r="CD482" i="4"/>
  <c r="CC482" i="4"/>
  <c r="CB482" i="4"/>
  <c r="CA482" i="4"/>
  <c r="BZ482" i="4"/>
  <c r="BY482" i="4"/>
  <c r="BX482" i="4"/>
  <c r="BW482" i="4"/>
  <c r="BV482" i="4"/>
  <c r="BU482" i="4"/>
  <c r="BT482" i="4"/>
  <c r="BQ482" i="4"/>
  <c r="BP482" i="4"/>
  <c r="BO482" i="4"/>
  <c r="BN482" i="4"/>
  <c r="BM482" i="4"/>
  <c r="BL482" i="4"/>
  <c r="BK482" i="4"/>
  <c r="BJ482" i="4"/>
  <c r="BI482" i="4"/>
  <c r="BH482" i="4"/>
  <c r="BG482" i="4"/>
  <c r="BF482" i="4"/>
  <c r="BE482" i="4"/>
  <c r="BD482" i="4"/>
  <c r="BC482" i="4"/>
  <c r="BB482" i="4"/>
  <c r="BA482" i="4"/>
  <c r="AZ482" i="4"/>
  <c r="AY482" i="4"/>
  <c r="AX482" i="4"/>
  <c r="AW482" i="4"/>
  <c r="AV482" i="4"/>
  <c r="AU482" i="4"/>
  <c r="AT482" i="4"/>
  <c r="AS482" i="4"/>
  <c r="AR482" i="4"/>
  <c r="AQ482" i="4"/>
  <c r="AP482" i="4"/>
  <c r="AO482" i="4"/>
  <c r="AN482" i="4"/>
  <c r="AM482" i="4"/>
  <c r="AL482" i="4"/>
  <c r="AK482" i="4"/>
  <c r="AJ482" i="4"/>
  <c r="AI482" i="4"/>
  <c r="AH482" i="4"/>
  <c r="AG482" i="4"/>
  <c r="AF482" i="4"/>
  <c r="AE482" i="4"/>
  <c r="AD482" i="4"/>
  <c r="AC482" i="4"/>
  <c r="AB482" i="4"/>
  <c r="AA482" i="4"/>
  <c r="Z482" i="4"/>
  <c r="Y482" i="4"/>
  <c r="X482" i="4"/>
  <c r="V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A482" i="4"/>
  <c r="CJ481" i="4"/>
  <c r="CI481" i="4"/>
  <c r="CH481" i="4"/>
  <c r="CG481" i="4"/>
  <c r="CF481" i="4"/>
  <c r="CE481" i="4"/>
  <c r="CD481" i="4"/>
  <c r="CC481" i="4"/>
  <c r="CB481" i="4"/>
  <c r="CA481" i="4"/>
  <c r="BZ481" i="4"/>
  <c r="BY481" i="4"/>
  <c r="BX481" i="4"/>
  <c r="BW481" i="4"/>
  <c r="BV481" i="4"/>
  <c r="BU481" i="4"/>
  <c r="BT481" i="4"/>
  <c r="BQ481" i="4"/>
  <c r="BP481" i="4"/>
  <c r="BO481" i="4"/>
  <c r="BN481" i="4"/>
  <c r="BM481" i="4"/>
  <c r="BL481" i="4"/>
  <c r="BK481" i="4"/>
  <c r="BJ481" i="4"/>
  <c r="BI481" i="4"/>
  <c r="BH481" i="4"/>
  <c r="BG481" i="4"/>
  <c r="BF481" i="4"/>
  <c r="BE481" i="4"/>
  <c r="BD481" i="4"/>
  <c r="BC481" i="4"/>
  <c r="BB481" i="4"/>
  <c r="BA481" i="4"/>
  <c r="AZ481" i="4"/>
  <c r="AY481" i="4"/>
  <c r="AX481" i="4"/>
  <c r="AW481" i="4"/>
  <c r="AV481" i="4"/>
  <c r="AU481" i="4"/>
  <c r="AT481" i="4"/>
  <c r="AS481" i="4"/>
  <c r="AR481" i="4"/>
  <c r="AQ481" i="4"/>
  <c r="AP481" i="4"/>
  <c r="AO481" i="4"/>
  <c r="AN481" i="4"/>
  <c r="AM481" i="4"/>
  <c r="AL481" i="4"/>
  <c r="AK481" i="4"/>
  <c r="AJ481" i="4"/>
  <c r="AI481" i="4"/>
  <c r="AH481" i="4"/>
  <c r="AG481" i="4"/>
  <c r="AF481" i="4"/>
  <c r="AE481" i="4"/>
  <c r="AD481" i="4"/>
  <c r="AC481" i="4"/>
  <c r="AB481" i="4"/>
  <c r="AA481" i="4"/>
  <c r="Z481" i="4"/>
  <c r="Y481" i="4"/>
  <c r="X481" i="4"/>
  <c r="V481" i="4"/>
  <c r="U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A481" i="4"/>
  <c r="CJ480" i="4"/>
  <c r="CI480" i="4"/>
  <c r="CH480" i="4"/>
  <c r="CG480" i="4"/>
  <c r="CF480" i="4"/>
  <c r="CE480" i="4"/>
  <c r="CD480" i="4"/>
  <c r="CC480" i="4"/>
  <c r="CB480" i="4"/>
  <c r="CA480" i="4"/>
  <c r="BZ480" i="4"/>
  <c r="BY480" i="4"/>
  <c r="BX480" i="4"/>
  <c r="BW480" i="4"/>
  <c r="BV480" i="4"/>
  <c r="BU480" i="4"/>
  <c r="BT480" i="4"/>
  <c r="BQ480" i="4"/>
  <c r="BP480" i="4"/>
  <c r="BO480" i="4"/>
  <c r="BN480" i="4"/>
  <c r="BM480" i="4"/>
  <c r="BL480" i="4"/>
  <c r="BK480" i="4"/>
  <c r="BJ480" i="4"/>
  <c r="BI480" i="4"/>
  <c r="BH480" i="4"/>
  <c r="BG480" i="4"/>
  <c r="BF480" i="4"/>
  <c r="BE480" i="4"/>
  <c r="BD480" i="4"/>
  <c r="BC480" i="4"/>
  <c r="BB480" i="4"/>
  <c r="BA480" i="4"/>
  <c r="AZ480" i="4"/>
  <c r="AY480" i="4"/>
  <c r="AX480" i="4"/>
  <c r="AW480" i="4"/>
  <c r="AV480" i="4"/>
  <c r="AU480" i="4"/>
  <c r="AT480" i="4"/>
  <c r="AS480" i="4"/>
  <c r="AR480" i="4"/>
  <c r="AQ480" i="4"/>
  <c r="AP480" i="4"/>
  <c r="AO480" i="4"/>
  <c r="AN480" i="4"/>
  <c r="AM480" i="4"/>
  <c r="AL480" i="4"/>
  <c r="AK480" i="4"/>
  <c r="AJ480" i="4"/>
  <c r="AI480" i="4"/>
  <c r="AH480" i="4"/>
  <c r="AG480" i="4"/>
  <c r="AF480" i="4"/>
  <c r="AE480" i="4"/>
  <c r="AD480" i="4"/>
  <c r="AC480" i="4"/>
  <c r="AB480" i="4"/>
  <c r="AA480" i="4"/>
  <c r="Z480" i="4"/>
  <c r="Y480" i="4"/>
  <c r="X480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A480" i="4"/>
  <c r="CJ479" i="4"/>
  <c r="CI479" i="4"/>
  <c r="CH479" i="4"/>
  <c r="CG479" i="4"/>
  <c r="CF479" i="4"/>
  <c r="CE479" i="4"/>
  <c r="CD479" i="4"/>
  <c r="CC479" i="4"/>
  <c r="CB479" i="4"/>
  <c r="CA479" i="4"/>
  <c r="BZ479" i="4"/>
  <c r="BY479" i="4"/>
  <c r="BX479" i="4"/>
  <c r="BW479" i="4"/>
  <c r="BV479" i="4"/>
  <c r="BU479" i="4"/>
  <c r="BT479" i="4"/>
  <c r="BQ479" i="4"/>
  <c r="BP479" i="4"/>
  <c r="BO479" i="4"/>
  <c r="BN479" i="4"/>
  <c r="BM479" i="4"/>
  <c r="BL479" i="4"/>
  <c r="BK479" i="4"/>
  <c r="BJ479" i="4"/>
  <c r="BI479" i="4"/>
  <c r="BH479" i="4"/>
  <c r="BG479" i="4"/>
  <c r="BF479" i="4"/>
  <c r="BE479" i="4"/>
  <c r="BD479" i="4"/>
  <c r="BC479" i="4"/>
  <c r="BB479" i="4"/>
  <c r="BA479" i="4"/>
  <c r="AZ479" i="4"/>
  <c r="AY479" i="4"/>
  <c r="AX479" i="4"/>
  <c r="AW479" i="4"/>
  <c r="AV479" i="4"/>
  <c r="AU479" i="4"/>
  <c r="AT479" i="4"/>
  <c r="AS479" i="4"/>
  <c r="AR479" i="4"/>
  <c r="AQ479" i="4"/>
  <c r="AP479" i="4"/>
  <c r="AO479" i="4"/>
  <c r="AN479" i="4"/>
  <c r="AM479" i="4"/>
  <c r="AL479" i="4"/>
  <c r="AK479" i="4"/>
  <c r="AJ479" i="4"/>
  <c r="AI479" i="4"/>
  <c r="AH479" i="4"/>
  <c r="AG479" i="4"/>
  <c r="AF479" i="4"/>
  <c r="AE479" i="4"/>
  <c r="AD479" i="4"/>
  <c r="AC479" i="4"/>
  <c r="AB479" i="4"/>
  <c r="AA479" i="4"/>
  <c r="Z479" i="4"/>
  <c r="Y479" i="4"/>
  <c r="X479" i="4"/>
  <c r="V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A479" i="4"/>
  <c r="CJ478" i="4"/>
  <c r="CI478" i="4"/>
  <c r="CH478" i="4"/>
  <c r="CG478" i="4"/>
  <c r="CF478" i="4"/>
  <c r="CE478" i="4"/>
  <c r="CD478" i="4"/>
  <c r="CC478" i="4"/>
  <c r="CB478" i="4"/>
  <c r="CA478" i="4"/>
  <c r="BZ478" i="4"/>
  <c r="BY478" i="4"/>
  <c r="BX478" i="4"/>
  <c r="BW478" i="4"/>
  <c r="BV478" i="4"/>
  <c r="BU478" i="4"/>
  <c r="BT478" i="4"/>
  <c r="BQ478" i="4"/>
  <c r="BP478" i="4"/>
  <c r="BO478" i="4"/>
  <c r="BN478" i="4"/>
  <c r="BM478" i="4"/>
  <c r="BL478" i="4"/>
  <c r="BK478" i="4"/>
  <c r="BJ478" i="4"/>
  <c r="BI478" i="4"/>
  <c r="BH478" i="4"/>
  <c r="BG478" i="4"/>
  <c r="BF478" i="4"/>
  <c r="BE478" i="4"/>
  <c r="BD478" i="4"/>
  <c r="BC478" i="4"/>
  <c r="BB478" i="4"/>
  <c r="BA478" i="4"/>
  <c r="AZ478" i="4"/>
  <c r="AY478" i="4"/>
  <c r="AX478" i="4"/>
  <c r="AW478" i="4"/>
  <c r="AV478" i="4"/>
  <c r="AU478" i="4"/>
  <c r="AT478" i="4"/>
  <c r="AS478" i="4"/>
  <c r="AR478" i="4"/>
  <c r="AQ478" i="4"/>
  <c r="AP478" i="4"/>
  <c r="AO478" i="4"/>
  <c r="AN478" i="4"/>
  <c r="AM478" i="4"/>
  <c r="AL478" i="4"/>
  <c r="AK478" i="4"/>
  <c r="AJ478" i="4"/>
  <c r="AI478" i="4"/>
  <c r="AH478" i="4"/>
  <c r="AG478" i="4"/>
  <c r="AF478" i="4"/>
  <c r="AE478" i="4"/>
  <c r="AD478" i="4"/>
  <c r="AC478" i="4"/>
  <c r="AB478" i="4"/>
  <c r="AA478" i="4"/>
  <c r="Z478" i="4"/>
  <c r="Y478" i="4"/>
  <c r="X478" i="4"/>
  <c r="V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A478" i="4"/>
  <c r="CJ476" i="4"/>
  <c r="CI476" i="4"/>
  <c r="CH476" i="4"/>
  <c r="CG476" i="4"/>
  <c r="CF476" i="4"/>
  <c r="CE476" i="4"/>
  <c r="CD476" i="4"/>
  <c r="CC476" i="4"/>
  <c r="CB476" i="4"/>
  <c r="CA476" i="4"/>
  <c r="BZ476" i="4"/>
  <c r="BY476" i="4"/>
  <c r="BX476" i="4"/>
  <c r="BW476" i="4"/>
  <c r="BV476" i="4"/>
  <c r="BU476" i="4"/>
  <c r="BT476" i="4"/>
  <c r="BQ476" i="4"/>
  <c r="BP476" i="4"/>
  <c r="BO476" i="4"/>
  <c r="BN476" i="4"/>
  <c r="BM476" i="4"/>
  <c r="BL476" i="4"/>
  <c r="BK476" i="4"/>
  <c r="BJ476" i="4"/>
  <c r="BI476" i="4"/>
  <c r="BH476" i="4"/>
  <c r="BG476" i="4"/>
  <c r="BF476" i="4"/>
  <c r="BE476" i="4"/>
  <c r="BD476" i="4"/>
  <c r="BC476" i="4"/>
  <c r="BB476" i="4"/>
  <c r="BA476" i="4"/>
  <c r="AZ476" i="4"/>
  <c r="AY476" i="4"/>
  <c r="AX476" i="4"/>
  <c r="AW476" i="4"/>
  <c r="AV476" i="4"/>
  <c r="AU476" i="4"/>
  <c r="AT476" i="4"/>
  <c r="AS476" i="4"/>
  <c r="AR476" i="4"/>
  <c r="AQ476" i="4"/>
  <c r="AP476" i="4"/>
  <c r="AO476" i="4"/>
  <c r="AN476" i="4"/>
  <c r="AM476" i="4"/>
  <c r="AL476" i="4"/>
  <c r="AK476" i="4"/>
  <c r="AJ476" i="4"/>
  <c r="AI476" i="4"/>
  <c r="AH476" i="4"/>
  <c r="AG476" i="4"/>
  <c r="AF476" i="4"/>
  <c r="AE476" i="4"/>
  <c r="AD476" i="4"/>
  <c r="AC476" i="4"/>
  <c r="AB476" i="4"/>
  <c r="AA476" i="4"/>
  <c r="Z476" i="4"/>
  <c r="Y476" i="4"/>
  <c r="X476" i="4"/>
  <c r="V476" i="4"/>
  <c r="U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A476" i="4"/>
  <c r="CJ475" i="4"/>
  <c r="CI475" i="4"/>
  <c r="CH475" i="4"/>
  <c r="CG475" i="4"/>
  <c r="CF475" i="4"/>
  <c r="CE475" i="4"/>
  <c r="CD475" i="4"/>
  <c r="CC475" i="4"/>
  <c r="CB475" i="4"/>
  <c r="CA475" i="4"/>
  <c r="BZ475" i="4"/>
  <c r="BY475" i="4"/>
  <c r="BX475" i="4"/>
  <c r="BW475" i="4"/>
  <c r="BV475" i="4"/>
  <c r="BU475" i="4"/>
  <c r="BT475" i="4"/>
  <c r="BQ475" i="4"/>
  <c r="BP475" i="4"/>
  <c r="BO475" i="4"/>
  <c r="BN475" i="4"/>
  <c r="BM475" i="4"/>
  <c r="BL475" i="4"/>
  <c r="BK475" i="4"/>
  <c r="BJ475" i="4"/>
  <c r="BI475" i="4"/>
  <c r="BH475" i="4"/>
  <c r="BG475" i="4"/>
  <c r="BF475" i="4"/>
  <c r="BE475" i="4"/>
  <c r="BD475" i="4"/>
  <c r="BC475" i="4"/>
  <c r="BB475" i="4"/>
  <c r="BA475" i="4"/>
  <c r="AZ475" i="4"/>
  <c r="AY475" i="4"/>
  <c r="AX475" i="4"/>
  <c r="AW475" i="4"/>
  <c r="AV475" i="4"/>
  <c r="AU475" i="4"/>
  <c r="AT475" i="4"/>
  <c r="AS475" i="4"/>
  <c r="AR475" i="4"/>
  <c r="AQ475" i="4"/>
  <c r="AP475" i="4"/>
  <c r="AO475" i="4"/>
  <c r="AN475" i="4"/>
  <c r="AM475" i="4"/>
  <c r="AL475" i="4"/>
  <c r="AK475" i="4"/>
  <c r="AJ475" i="4"/>
  <c r="AI475" i="4"/>
  <c r="AH475" i="4"/>
  <c r="AG475" i="4"/>
  <c r="AF475" i="4"/>
  <c r="AE475" i="4"/>
  <c r="AD475" i="4"/>
  <c r="AC475" i="4"/>
  <c r="AB475" i="4"/>
  <c r="AA475" i="4"/>
  <c r="Z475" i="4"/>
  <c r="Y475" i="4"/>
  <c r="X475" i="4"/>
  <c r="V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A475" i="4"/>
  <c r="CJ474" i="4"/>
  <c r="CI474" i="4"/>
  <c r="CH474" i="4"/>
  <c r="CG474" i="4"/>
  <c r="CF474" i="4"/>
  <c r="CE474" i="4"/>
  <c r="CD474" i="4"/>
  <c r="CC474" i="4"/>
  <c r="CB474" i="4"/>
  <c r="CA474" i="4"/>
  <c r="BZ474" i="4"/>
  <c r="BY474" i="4"/>
  <c r="BX474" i="4"/>
  <c r="BW474" i="4"/>
  <c r="BV474" i="4"/>
  <c r="BU474" i="4"/>
  <c r="BT474" i="4"/>
  <c r="BQ474" i="4"/>
  <c r="BP474" i="4"/>
  <c r="BO474" i="4"/>
  <c r="BN474" i="4"/>
  <c r="BM474" i="4"/>
  <c r="BL474" i="4"/>
  <c r="BK474" i="4"/>
  <c r="BJ474" i="4"/>
  <c r="BI474" i="4"/>
  <c r="BH474" i="4"/>
  <c r="BG474" i="4"/>
  <c r="BF474" i="4"/>
  <c r="BE474" i="4"/>
  <c r="BD474" i="4"/>
  <c r="BC474" i="4"/>
  <c r="BB474" i="4"/>
  <c r="BA474" i="4"/>
  <c r="AZ474" i="4"/>
  <c r="AY474" i="4"/>
  <c r="AX474" i="4"/>
  <c r="AW474" i="4"/>
  <c r="AV474" i="4"/>
  <c r="AU474" i="4"/>
  <c r="AT474" i="4"/>
  <c r="AS474" i="4"/>
  <c r="AR474" i="4"/>
  <c r="AQ474" i="4"/>
  <c r="AP474" i="4"/>
  <c r="AO474" i="4"/>
  <c r="AN474" i="4"/>
  <c r="AM474" i="4"/>
  <c r="AL474" i="4"/>
  <c r="AK474" i="4"/>
  <c r="AJ474" i="4"/>
  <c r="AI474" i="4"/>
  <c r="AH474" i="4"/>
  <c r="AG474" i="4"/>
  <c r="AF474" i="4"/>
  <c r="AE474" i="4"/>
  <c r="AD474" i="4"/>
  <c r="AC474" i="4"/>
  <c r="AB474" i="4"/>
  <c r="AA474" i="4"/>
  <c r="Z474" i="4"/>
  <c r="Y474" i="4"/>
  <c r="X474" i="4"/>
  <c r="V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A474" i="4"/>
  <c r="CJ473" i="4"/>
  <c r="CI473" i="4"/>
  <c r="CH473" i="4"/>
  <c r="CG473" i="4"/>
  <c r="CF473" i="4"/>
  <c r="CE473" i="4"/>
  <c r="CD473" i="4"/>
  <c r="CC473" i="4"/>
  <c r="CB473" i="4"/>
  <c r="CA473" i="4"/>
  <c r="BZ473" i="4"/>
  <c r="BY473" i="4"/>
  <c r="BX473" i="4"/>
  <c r="BW473" i="4"/>
  <c r="BV473" i="4"/>
  <c r="BU473" i="4"/>
  <c r="BT473" i="4"/>
  <c r="BQ473" i="4"/>
  <c r="BP473" i="4"/>
  <c r="BO473" i="4"/>
  <c r="BN473" i="4"/>
  <c r="BM473" i="4"/>
  <c r="BL473" i="4"/>
  <c r="BK473" i="4"/>
  <c r="BJ473" i="4"/>
  <c r="BI473" i="4"/>
  <c r="BH473" i="4"/>
  <c r="BG473" i="4"/>
  <c r="BF473" i="4"/>
  <c r="BE473" i="4"/>
  <c r="BD473" i="4"/>
  <c r="BC473" i="4"/>
  <c r="BB473" i="4"/>
  <c r="BA473" i="4"/>
  <c r="AZ473" i="4"/>
  <c r="AY473" i="4"/>
  <c r="AX473" i="4"/>
  <c r="AW473" i="4"/>
  <c r="AV473" i="4"/>
  <c r="AU473" i="4"/>
  <c r="AT473" i="4"/>
  <c r="AS473" i="4"/>
  <c r="AR473" i="4"/>
  <c r="AQ473" i="4"/>
  <c r="AP473" i="4"/>
  <c r="AO473" i="4"/>
  <c r="AN473" i="4"/>
  <c r="AM473" i="4"/>
  <c r="AL473" i="4"/>
  <c r="AK473" i="4"/>
  <c r="AJ473" i="4"/>
  <c r="AI473" i="4"/>
  <c r="AH473" i="4"/>
  <c r="AG473" i="4"/>
  <c r="AF473" i="4"/>
  <c r="AE473" i="4"/>
  <c r="AD473" i="4"/>
  <c r="AC473" i="4"/>
  <c r="AB473" i="4"/>
  <c r="AA473" i="4"/>
  <c r="Z473" i="4"/>
  <c r="Y473" i="4"/>
  <c r="X473" i="4"/>
  <c r="V473" i="4"/>
  <c r="U473" i="4"/>
  <c r="T473" i="4"/>
  <c r="S473" i="4"/>
  <c r="R473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A473" i="4"/>
  <c r="CJ472" i="4"/>
  <c r="CI472" i="4"/>
  <c r="CH472" i="4"/>
  <c r="CG472" i="4"/>
  <c r="CF472" i="4"/>
  <c r="CE472" i="4"/>
  <c r="CD472" i="4"/>
  <c r="CC472" i="4"/>
  <c r="CB472" i="4"/>
  <c r="CA472" i="4"/>
  <c r="BZ472" i="4"/>
  <c r="BY472" i="4"/>
  <c r="BX472" i="4"/>
  <c r="BW472" i="4"/>
  <c r="BV472" i="4"/>
  <c r="BU472" i="4"/>
  <c r="BT472" i="4"/>
  <c r="BQ472" i="4"/>
  <c r="BP472" i="4"/>
  <c r="BO472" i="4"/>
  <c r="BN472" i="4"/>
  <c r="BM472" i="4"/>
  <c r="BL472" i="4"/>
  <c r="BK472" i="4"/>
  <c r="BJ472" i="4"/>
  <c r="BI472" i="4"/>
  <c r="BH472" i="4"/>
  <c r="BG472" i="4"/>
  <c r="BF472" i="4"/>
  <c r="BE472" i="4"/>
  <c r="BD472" i="4"/>
  <c r="BC472" i="4"/>
  <c r="BB472" i="4"/>
  <c r="BA472" i="4"/>
  <c r="AZ472" i="4"/>
  <c r="AY472" i="4"/>
  <c r="AX472" i="4"/>
  <c r="AW472" i="4"/>
  <c r="AV472" i="4"/>
  <c r="AU472" i="4"/>
  <c r="AT472" i="4"/>
  <c r="AS472" i="4"/>
  <c r="AR472" i="4"/>
  <c r="AQ472" i="4"/>
  <c r="AP472" i="4"/>
  <c r="AO472" i="4"/>
  <c r="AN472" i="4"/>
  <c r="AM472" i="4"/>
  <c r="AL472" i="4"/>
  <c r="AK472" i="4"/>
  <c r="AJ472" i="4"/>
  <c r="AI472" i="4"/>
  <c r="AH472" i="4"/>
  <c r="AG472" i="4"/>
  <c r="AF472" i="4"/>
  <c r="AE472" i="4"/>
  <c r="AD472" i="4"/>
  <c r="AC472" i="4"/>
  <c r="AB472" i="4"/>
  <c r="AA472" i="4"/>
  <c r="Z472" i="4"/>
  <c r="Y472" i="4"/>
  <c r="X472" i="4"/>
  <c r="V472" i="4"/>
  <c r="U472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A472" i="4"/>
  <c r="CJ471" i="4"/>
  <c r="CI471" i="4"/>
  <c r="CH471" i="4"/>
  <c r="CG471" i="4"/>
  <c r="CF471" i="4"/>
  <c r="CE471" i="4"/>
  <c r="CD471" i="4"/>
  <c r="CC471" i="4"/>
  <c r="CB471" i="4"/>
  <c r="CA471" i="4"/>
  <c r="BZ471" i="4"/>
  <c r="BY471" i="4"/>
  <c r="BX471" i="4"/>
  <c r="BW471" i="4"/>
  <c r="BV471" i="4"/>
  <c r="BU471" i="4"/>
  <c r="BT471" i="4"/>
  <c r="BQ471" i="4"/>
  <c r="BP471" i="4"/>
  <c r="BO471" i="4"/>
  <c r="BN471" i="4"/>
  <c r="BM471" i="4"/>
  <c r="BL471" i="4"/>
  <c r="BK471" i="4"/>
  <c r="BJ471" i="4"/>
  <c r="BI471" i="4"/>
  <c r="BH471" i="4"/>
  <c r="BG471" i="4"/>
  <c r="BF471" i="4"/>
  <c r="BE471" i="4"/>
  <c r="BD471" i="4"/>
  <c r="BC471" i="4"/>
  <c r="BB471" i="4"/>
  <c r="BA471" i="4"/>
  <c r="AZ471" i="4"/>
  <c r="AY471" i="4"/>
  <c r="AX471" i="4"/>
  <c r="AW471" i="4"/>
  <c r="AV471" i="4"/>
  <c r="AU471" i="4"/>
  <c r="AT471" i="4"/>
  <c r="AS471" i="4"/>
  <c r="AR471" i="4"/>
  <c r="AQ471" i="4"/>
  <c r="AP471" i="4"/>
  <c r="AO471" i="4"/>
  <c r="AN471" i="4"/>
  <c r="AM471" i="4"/>
  <c r="AL471" i="4"/>
  <c r="AK471" i="4"/>
  <c r="AJ471" i="4"/>
  <c r="AI471" i="4"/>
  <c r="AH471" i="4"/>
  <c r="AG471" i="4"/>
  <c r="AF471" i="4"/>
  <c r="AE471" i="4"/>
  <c r="AD471" i="4"/>
  <c r="AC471" i="4"/>
  <c r="AB471" i="4"/>
  <c r="AA471" i="4"/>
  <c r="Z471" i="4"/>
  <c r="Y471" i="4"/>
  <c r="X471" i="4"/>
  <c r="V471" i="4"/>
  <c r="U471" i="4"/>
  <c r="T471" i="4"/>
  <c r="S471" i="4"/>
  <c r="R471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A471" i="4"/>
  <c r="CJ470" i="4"/>
  <c r="CI470" i="4"/>
  <c r="CH470" i="4"/>
  <c r="CG470" i="4"/>
  <c r="CF470" i="4"/>
  <c r="CE470" i="4"/>
  <c r="CD470" i="4"/>
  <c r="CC470" i="4"/>
  <c r="CB470" i="4"/>
  <c r="CA470" i="4"/>
  <c r="BZ470" i="4"/>
  <c r="BY470" i="4"/>
  <c r="BX470" i="4"/>
  <c r="BW470" i="4"/>
  <c r="BV470" i="4"/>
  <c r="BU470" i="4"/>
  <c r="BT470" i="4"/>
  <c r="BQ470" i="4"/>
  <c r="BP470" i="4"/>
  <c r="BO470" i="4"/>
  <c r="BN470" i="4"/>
  <c r="BM470" i="4"/>
  <c r="BL470" i="4"/>
  <c r="BK470" i="4"/>
  <c r="BJ470" i="4"/>
  <c r="BI470" i="4"/>
  <c r="BH470" i="4"/>
  <c r="BG470" i="4"/>
  <c r="BF470" i="4"/>
  <c r="BE470" i="4"/>
  <c r="BD470" i="4"/>
  <c r="BC470" i="4"/>
  <c r="BB470" i="4"/>
  <c r="BA470" i="4"/>
  <c r="AZ470" i="4"/>
  <c r="AY470" i="4"/>
  <c r="AX470" i="4"/>
  <c r="AW470" i="4"/>
  <c r="AV470" i="4"/>
  <c r="AU470" i="4"/>
  <c r="AT470" i="4"/>
  <c r="AS470" i="4"/>
  <c r="AR470" i="4"/>
  <c r="AQ470" i="4"/>
  <c r="AP470" i="4"/>
  <c r="AO470" i="4"/>
  <c r="AN470" i="4"/>
  <c r="AM470" i="4"/>
  <c r="AL470" i="4"/>
  <c r="AK470" i="4"/>
  <c r="AJ470" i="4"/>
  <c r="AI470" i="4"/>
  <c r="AH470" i="4"/>
  <c r="AG470" i="4"/>
  <c r="AF470" i="4"/>
  <c r="AE470" i="4"/>
  <c r="AD470" i="4"/>
  <c r="AC470" i="4"/>
  <c r="AB470" i="4"/>
  <c r="AA470" i="4"/>
  <c r="Z470" i="4"/>
  <c r="Y470" i="4"/>
  <c r="X470" i="4"/>
  <c r="V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A470" i="4"/>
  <c r="CJ469" i="4"/>
  <c r="CI469" i="4"/>
  <c r="CH469" i="4"/>
  <c r="CG469" i="4"/>
  <c r="CF469" i="4"/>
  <c r="CE469" i="4"/>
  <c r="CD469" i="4"/>
  <c r="CC469" i="4"/>
  <c r="CB469" i="4"/>
  <c r="CA469" i="4"/>
  <c r="BZ469" i="4"/>
  <c r="BY469" i="4"/>
  <c r="BX469" i="4"/>
  <c r="BW469" i="4"/>
  <c r="BV469" i="4"/>
  <c r="BU469" i="4"/>
  <c r="BT469" i="4"/>
  <c r="BQ469" i="4"/>
  <c r="BP469" i="4"/>
  <c r="BO469" i="4"/>
  <c r="BN469" i="4"/>
  <c r="BM469" i="4"/>
  <c r="BL469" i="4"/>
  <c r="BK469" i="4"/>
  <c r="BJ469" i="4"/>
  <c r="BI469" i="4"/>
  <c r="BH469" i="4"/>
  <c r="BG469" i="4"/>
  <c r="BF469" i="4"/>
  <c r="BE469" i="4"/>
  <c r="BD469" i="4"/>
  <c r="BC469" i="4"/>
  <c r="BB469" i="4"/>
  <c r="BA469" i="4"/>
  <c r="AZ469" i="4"/>
  <c r="AY469" i="4"/>
  <c r="AX469" i="4"/>
  <c r="AW469" i="4"/>
  <c r="AV469" i="4"/>
  <c r="AU469" i="4"/>
  <c r="AT469" i="4"/>
  <c r="AS469" i="4"/>
  <c r="AR469" i="4"/>
  <c r="AQ469" i="4"/>
  <c r="AP469" i="4"/>
  <c r="AO469" i="4"/>
  <c r="AN469" i="4"/>
  <c r="AM469" i="4"/>
  <c r="AL469" i="4"/>
  <c r="AK469" i="4"/>
  <c r="AJ469" i="4"/>
  <c r="AI469" i="4"/>
  <c r="AH469" i="4"/>
  <c r="AG469" i="4"/>
  <c r="AF469" i="4"/>
  <c r="AE469" i="4"/>
  <c r="AD469" i="4"/>
  <c r="AC469" i="4"/>
  <c r="AB469" i="4"/>
  <c r="AA469" i="4"/>
  <c r="Z469" i="4"/>
  <c r="Y469" i="4"/>
  <c r="X469" i="4"/>
  <c r="V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CJ468" i="4"/>
  <c r="CI468" i="4"/>
  <c r="CH468" i="4"/>
  <c r="CG468" i="4"/>
  <c r="CF468" i="4"/>
  <c r="CE468" i="4"/>
  <c r="CD468" i="4"/>
  <c r="CC468" i="4"/>
  <c r="CB468" i="4"/>
  <c r="CA468" i="4"/>
  <c r="BZ468" i="4"/>
  <c r="BY468" i="4"/>
  <c r="BX468" i="4"/>
  <c r="BW468" i="4"/>
  <c r="BV468" i="4"/>
  <c r="BU468" i="4"/>
  <c r="BT468" i="4"/>
  <c r="BQ468" i="4"/>
  <c r="BP468" i="4"/>
  <c r="BO468" i="4"/>
  <c r="BN468" i="4"/>
  <c r="BM468" i="4"/>
  <c r="BL468" i="4"/>
  <c r="BK468" i="4"/>
  <c r="BJ468" i="4"/>
  <c r="BI468" i="4"/>
  <c r="BH468" i="4"/>
  <c r="BG468" i="4"/>
  <c r="BF468" i="4"/>
  <c r="BE468" i="4"/>
  <c r="BD468" i="4"/>
  <c r="BC468" i="4"/>
  <c r="BB468" i="4"/>
  <c r="BA468" i="4"/>
  <c r="AZ468" i="4"/>
  <c r="AY468" i="4"/>
  <c r="AX468" i="4"/>
  <c r="AW468" i="4"/>
  <c r="AV468" i="4"/>
  <c r="AU468" i="4"/>
  <c r="AT468" i="4"/>
  <c r="AS468" i="4"/>
  <c r="AR468" i="4"/>
  <c r="AQ468" i="4"/>
  <c r="AP468" i="4"/>
  <c r="AO468" i="4"/>
  <c r="AN468" i="4"/>
  <c r="AM468" i="4"/>
  <c r="AL468" i="4"/>
  <c r="AK468" i="4"/>
  <c r="AJ468" i="4"/>
  <c r="AI468" i="4"/>
  <c r="AH468" i="4"/>
  <c r="AG468" i="4"/>
  <c r="AF468" i="4"/>
  <c r="AE468" i="4"/>
  <c r="AD468" i="4"/>
  <c r="AC468" i="4"/>
  <c r="AB468" i="4"/>
  <c r="AA468" i="4"/>
  <c r="Z468" i="4"/>
  <c r="Y468" i="4"/>
  <c r="X468" i="4"/>
  <c r="V468" i="4"/>
  <c r="U468" i="4"/>
  <c r="T468" i="4"/>
  <c r="S468" i="4"/>
  <c r="R468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A468" i="4"/>
  <c r="CJ467" i="4"/>
  <c r="CI467" i="4"/>
  <c r="CH467" i="4"/>
  <c r="CG467" i="4"/>
  <c r="CF467" i="4"/>
  <c r="CE467" i="4"/>
  <c r="CD467" i="4"/>
  <c r="CC467" i="4"/>
  <c r="CB467" i="4"/>
  <c r="CA467" i="4"/>
  <c r="BZ467" i="4"/>
  <c r="BY467" i="4"/>
  <c r="BX467" i="4"/>
  <c r="BW467" i="4"/>
  <c r="BV467" i="4"/>
  <c r="BU467" i="4"/>
  <c r="BT467" i="4"/>
  <c r="BQ467" i="4"/>
  <c r="BP467" i="4"/>
  <c r="BO467" i="4"/>
  <c r="BN467" i="4"/>
  <c r="BM467" i="4"/>
  <c r="BL467" i="4"/>
  <c r="BK467" i="4"/>
  <c r="BJ467" i="4"/>
  <c r="BI467" i="4"/>
  <c r="BH467" i="4"/>
  <c r="BG467" i="4"/>
  <c r="BF467" i="4"/>
  <c r="BE467" i="4"/>
  <c r="BD467" i="4"/>
  <c r="BC467" i="4"/>
  <c r="BB467" i="4"/>
  <c r="BA467" i="4"/>
  <c r="AZ467" i="4"/>
  <c r="AY467" i="4"/>
  <c r="AX467" i="4"/>
  <c r="AW467" i="4"/>
  <c r="AV467" i="4"/>
  <c r="AU467" i="4"/>
  <c r="AT467" i="4"/>
  <c r="AS467" i="4"/>
  <c r="AR467" i="4"/>
  <c r="AQ467" i="4"/>
  <c r="AP467" i="4"/>
  <c r="AO467" i="4"/>
  <c r="AN467" i="4"/>
  <c r="AM467" i="4"/>
  <c r="AL467" i="4"/>
  <c r="AK467" i="4"/>
  <c r="AJ467" i="4"/>
  <c r="AI467" i="4"/>
  <c r="AH467" i="4"/>
  <c r="AG467" i="4"/>
  <c r="AF467" i="4"/>
  <c r="AE467" i="4"/>
  <c r="AD467" i="4"/>
  <c r="AC467" i="4"/>
  <c r="AB467" i="4"/>
  <c r="AA467" i="4"/>
  <c r="Z467" i="4"/>
  <c r="Y467" i="4"/>
  <c r="X467" i="4"/>
  <c r="V467" i="4"/>
  <c r="U467" i="4"/>
  <c r="T467" i="4"/>
  <c r="S467" i="4"/>
  <c r="R467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A467" i="4"/>
  <c r="CJ466" i="4"/>
  <c r="CI466" i="4"/>
  <c r="CH466" i="4"/>
  <c r="CG466" i="4"/>
  <c r="CF466" i="4"/>
  <c r="CE466" i="4"/>
  <c r="CD466" i="4"/>
  <c r="CC466" i="4"/>
  <c r="CB466" i="4"/>
  <c r="CA466" i="4"/>
  <c r="BZ466" i="4"/>
  <c r="BY466" i="4"/>
  <c r="BX466" i="4"/>
  <c r="BW466" i="4"/>
  <c r="BV466" i="4"/>
  <c r="BU466" i="4"/>
  <c r="BT466" i="4"/>
  <c r="BQ466" i="4"/>
  <c r="BP466" i="4"/>
  <c r="BO466" i="4"/>
  <c r="BN466" i="4"/>
  <c r="BM466" i="4"/>
  <c r="BL466" i="4"/>
  <c r="BK466" i="4"/>
  <c r="BJ466" i="4"/>
  <c r="BI466" i="4"/>
  <c r="BH466" i="4"/>
  <c r="BG466" i="4"/>
  <c r="BF466" i="4"/>
  <c r="BE466" i="4"/>
  <c r="BD466" i="4"/>
  <c r="BC466" i="4"/>
  <c r="BB466" i="4"/>
  <c r="BA466" i="4"/>
  <c r="AZ466" i="4"/>
  <c r="AY466" i="4"/>
  <c r="AX466" i="4"/>
  <c r="AW466" i="4"/>
  <c r="AV466" i="4"/>
  <c r="AU466" i="4"/>
  <c r="AT466" i="4"/>
  <c r="AS466" i="4"/>
  <c r="AR466" i="4"/>
  <c r="AQ466" i="4"/>
  <c r="AP466" i="4"/>
  <c r="AO466" i="4"/>
  <c r="AN466" i="4"/>
  <c r="AM466" i="4"/>
  <c r="AL466" i="4"/>
  <c r="AK466" i="4"/>
  <c r="AJ466" i="4"/>
  <c r="AI466" i="4"/>
  <c r="AH466" i="4"/>
  <c r="AG466" i="4"/>
  <c r="AF466" i="4"/>
  <c r="AE466" i="4"/>
  <c r="AD466" i="4"/>
  <c r="AC466" i="4"/>
  <c r="AB466" i="4"/>
  <c r="AA466" i="4"/>
  <c r="Z466" i="4"/>
  <c r="Y466" i="4"/>
  <c r="X466" i="4"/>
  <c r="V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A466" i="4"/>
  <c r="CJ465" i="4"/>
  <c r="CI465" i="4"/>
  <c r="CH465" i="4"/>
  <c r="CG465" i="4"/>
  <c r="CF465" i="4"/>
  <c r="CE465" i="4"/>
  <c r="CD465" i="4"/>
  <c r="CC465" i="4"/>
  <c r="CB465" i="4"/>
  <c r="CA465" i="4"/>
  <c r="BZ465" i="4"/>
  <c r="V465" i="4"/>
  <c r="U465" i="4"/>
  <c r="T465" i="4"/>
  <c r="S465" i="4"/>
  <c r="R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A465" i="4"/>
  <c r="CJ464" i="4"/>
  <c r="CI464" i="4"/>
  <c r="CH464" i="4"/>
  <c r="CG464" i="4"/>
  <c r="CF464" i="4"/>
  <c r="CE464" i="4"/>
  <c r="CD464" i="4"/>
  <c r="CC464" i="4"/>
  <c r="CB464" i="4"/>
  <c r="CA464" i="4"/>
  <c r="BZ464" i="4"/>
  <c r="BY464" i="4"/>
  <c r="BX464" i="4"/>
  <c r="BV464" i="4"/>
  <c r="BU464" i="4"/>
  <c r="BT464" i="4"/>
  <c r="BR464" i="4"/>
  <c r="BQ464" i="4"/>
  <c r="BP464" i="4"/>
  <c r="BO464" i="4"/>
  <c r="BN464" i="4"/>
  <c r="BM464" i="4"/>
  <c r="BL464" i="4"/>
  <c r="BK464" i="4"/>
  <c r="BJ464" i="4"/>
  <c r="BI464" i="4"/>
  <c r="BH464" i="4"/>
  <c r="BG464" i="4"/>
  <c r="BF464" i="4"/>
  <c r="BE464" i="4"/>
  <c r="BD464" i="4"/>
  <c r="BC464" i="4"/>
  <c r="BB464" i="4"/>
  <c r="BA464" i="4"/>
  <c r="AZ464" i="4"/>
  <c r="AY464" i="4"/>
  <c r="AX464" i="4"/>
  <c r="AW464" i="4"/>
  <c r="AV464" i="4"/>
  <c r="AU464" i="4"/>
  <c r="AT464" i="4"/>
  <c r="AS464" i="4"/>
  <c r="AR464" i="4"/>
  <c r="AQ464" i="4"/>
  <c r="AP464" i="4"/>
  <c r="AO464" i="4"/>
  <c r="AN464" i="4"/>
  <c r="AM464" i="4"/>
  <c r="AL464" i="4"/>
  <c r="AK464" i="4"/>
  <c r="AJ464" i="4"/>
  <c r="AI464" i="4"/>
  <c r="AH464" i="4"/>
  <c r="AG464" i="4"/>
  <c r="AF464" i="4"/>
  <c r="AE464" i="4"/>
  <c r="AD464" i="4"/>
  <c r="AC464" i="4"/>
  <c r="AB464" i="4"/>
  <c r="AA464" i="4"/>
  <c r="Z464" i="4"/>
  <c r="Y464" i="4"/>
  <c r="X464" i="4"/>
  <c r="V464" i="4"/>
  <c r="U464" i="4"/>
  <c r="T464" i="4"/>
  <c r="S464" i="4"/>
  <c r="R464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A464" i="4"/>
  <c r="CJ463" i="4"/>
  <c r="CI463" i="4"/>
  <c r="CH463" i="4"/>
  <c r="CG463" i="4"/>
  <c r="CF463" i="4"/>
  <c r="CE463" i="4"/>
  <c r="CD463" i="4"/>
  <c r="CC463" i="4"/>
  <c r="CB463" i="4"/>
  <c r="CA463" i="4"/>
  <c r="BZ463" i="4"/>
  <c r="BY463" i="4"/>
  <c r="BX463" i="4"/>
  <c r="BV463" i="4"/>
  <c r="BU463" i="4"/>
  <c r="BT463" i="4"/>
  <c r="BR463" i="4"/>
  <c r="BQ463" i="4"/>
  <c r="BP463" i="4"/>
  <c r="BO463" i="4"/>
  <c r="BN463" i="4"/>
  <c r="BM463" i="4"/>
  <c r="BL463" i="4"/>
  <c r="BK463" i="4"/>
  <c r="BJ463" i="4"/>
  <c r="BI463" i="4"/>
  <c r="BH463" i="4"/>
  <c r="BG463" i="4"/>
  <c r="BF463" i="4"/>
  <c r="BE463" i="4"/>
  <c r="BD463" i="4"/>
  <c r="BC463" i="4"/>
  <c r="BB463" i="4"/>
  <c r="BA463" i="4"/>
  <c r="AZ463" i="4"/>
  <c r="AY463" i="4"/>
  <c r="AX463" i="4"/>
  <c r="AW463" i="4"/>
  <c r="AV463" i="4"/>
  <c r="AU463" i="4"/>
  <c r="AT463" i="4"/>
  <c r="AS463" i="4"/>
  <c r="AR463" i="4"/>
  <c r="AQ463" i="4"/>
  <c r="AP463" i="4"/>
  <c r="AO463" i="4"/>
  <c r="AN463" i="4"/>
  <c r="AM463" i="4"/>
  <c r="AL463" i="4"/>
  <c r="AK463" i="4"/>
  <c r="AJ463" i="4"/>
  <c r="AI463" i="4"/>
  <c r="AH463" i="4"/>
  <c r="AG463" i="4"/>
  <c r="AF463" i="4"/>
  <c r="AE463" i="4"/>
  <c r="AD463" i="4"/>
  <c r="AC463" i="4"/>
  <c r="AB463" i="4"/>
  <c r="AA463" i="4"/>
  <c r="Z463" i="4"/>
  <c r="Y463" i="4"/>
  <c r="X463" i="4"/>
  <c r="V463" i="4"/>
  <c r="U463" i="4"/>
  <c r="T463" i="4"/>
  <c r="S463" i="4"/>
  <c r="R463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CJ462" i="4"/>
  <c r="CI462" i="4"/>
  <c r="CH462" i="4"/>
  <c r="CG462" i="4"/>
  <c r="CF462" i="4"/>
  <c r="CE462" i="4"/>
  <c r="CD462" i="4"/>
  <c r="CC462" i="4"/>
  <c r="CB462" i="4"/>
  <c r="CA462" i="4"/>
  <c r="BZ462" i="4"/>
  <c r="BY462" i="4"/>
  <c r="BX462" i="4"/>
  <c r="BV462" i="4"/>
  <c r="BU462" i="4"/>
  <c r="BT462" i="4"/>
  <c r="BR462" i="4"/>
  <c r="BQ462" i="4"/>
  <c r="BP462" i="4"/>
  <c r="BO462" i="4"/>
  <c r="BN462" i="4"/>
  <c r="BM462" i="4"/>
  <c r="BL462" i="4"/>
  <c r="BK462" i="4"/>
  <c r="BJ462" i="4"/>
  <c r="BI462" i="4"/>
  <c r="BH462" i="4"/>
  <c r="BG462" i="4"/>
  <c r="BF462" i="4"/>
  <c r="BE462" i="4"/>
  <c r="BD462" i="4"/>
  <c r="BC462" i="4"/>
  <c r="BB462" i="4"/>
  <c r="BA462" i="4"/>
  <c r="AZ462" i="4"/>
  <c r="AY462" i="4"/>
  <c r="AX462" i="4"/>
  <c r="AW462" i="4"/>
  <c r="AV462" i="4"/>
  <c r="AU462" i="4"/>
  <c r="AT462" i="4"/>
  <c r="AS462" i="4"/>
  <c r="AR462" i="4"/>
  <c r="AQ462" i="4"/>
  <c r="AP462" i="4"/>
  <c r="AO462" i="4"/>
  <c r="AN462" i="4"/>
  <c r="AM462" i="4"/>
  <c r="AL462" i="4"/>
  <c r="AK462" i="4"/>
  <c r="AJ462" i="4"/>
  <c r="AI462" i="4"/>
  <c r="AH462" i="4"/>
  <c r="AG462" i="4"/>
  <c r="AF462" i="4"/>
  <c r="AE462" i="4"/>
  <c r="AD462" i="4"/>
  <c r="AC462" i="4"/>
  <c r="AB462" i="4"/>
  <c r="AA462" i="4"/>
  <c r="Z462" i="4"/>
  <c r="Y462" i="4"/>
  <c r="X462" i="4"/>
  <c r="V462" i="4"/>
  <c r="U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A462" i="4"/>
  <c r="CJ461" i="4"/>
  <c r="CI461" i="4"/>
  <c r="CH461" i="4"/>
  <c r="CG461" i="4"/>
  <c r="CF461" i="4"/>
  <c r="CE461" i="4"/>
  <c r="CD461" i="4"/>
  <c r="CC461" i="4"/>
  <c r="CB461" i="4"/>
  <c r="CA461" i="4"/>
  <c r="BZ461" i="4"/>
  <c r="BY461" i="4"/>
  <c r="BX461" i="4"/>
  <c r="BV461" i="4"/>
  <c r="BU461" i="4"/>
  <c r="BT461" i="4"/>
  <c r="BR461" i="4"/>
  <c r="BQ461" i="4"/>
  <c r="BP461" i="4"/>
  <c r="BO461" i="4"/>
  <c r="BN461" i="4"/>
  <c r="BM461" i="4"/>
  <c r="BL461" i="4"/>
  <c r="BK461" i="4"/>
  <c r="BJ461" i="4"/>
  <c r="BI461" i="4"/>
  <c r="BH461" i="4"/>
  <c r="BG461" i="4"/>
  <c r="BF461" i="4"/>
  <c r="BE461" i="4"/>
  <c r="BD461" i="4"/>
  <c r="BC461" i="4"/>
  <c r="BB461" i="4"/>
  <c r="BA461" i="4"/>
  <c r="AZ461" i="4"/>
  <c r="AY461" i="4"/>
  <c r="AX461" i="4"/>
  <c r="AW461" i="4"/>
  <c r="AV461" i="4"/>
  <c r="AU461" i="4"/>
  <c r="AT461" i="4"/>
  <c r="AS461" i="4"/>
  <c r="AR461" i="4"/>
  <c r="AQ461" i="4"/>
  <c r="AP461" i="4"/>
  <c r="AO461" i="4"/>
  <c r="AN461" i="4"/>
  <c r="AM461" i="4"/>
  <c r="AL461" i="4"/>
  <c r="AK461" i="4"/>
  <c r="AJ461" i="4"/>
  <c r="AI461" i="4"/>
  <c r="AH461" i="4"/>
  <c r="AG461" i="4"/>
  <c r="AF461" i="4"/>
  <c r="AE461" i="4"/>
  <c r="AD461" i="4"/>
  <c r="AC461" i="4"/>
  <c r="AB461" i="4"/>
  <c r="AA461" i="4"/>
  <c r="Z461" i="4"/>
  <c r="Y461" i="4"/>
  <c r="X461" i="4"/>
  <c r="V461" i="4"/>
  <c r="U461" i="4"/>
  <c r="T461" i="4"/>
  <c r="S461" i="4"/>
  <c r="R461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A461" i="4"/>
  <c r="CJ460" i="4"/>
  <c r="CI460" i="4"/>
  <c r="CH460" i="4"/>
  <c r="CG460" i="4"/>
  <c r="CF460" i="4"/>
  <c r="CE460" i="4"/>
  <c r="CD460" i="4"/>
  <c r="CC460" i="4"/>
  <c r="CB460" i="4"/>
  <c r="CA460" i="4"/>
  <c r="BZ460" i="4"/>
  <c r="BY460" i="4"/>
  <c r="BX460" i="4"/>
  <c r="BV460" i="4"/>
  <c r="BU460" i="4"/>
  <c r="BT460" i="4"/>
  <c r="BR460" i="4"/>
  <c r="BQ460" i="4"/>
  <c r="BP460" i="4"/>
  <c r="BO460" i="4"/>
  <c r="BN460" i="4"/>
  <c r="BM460" i="4"/>
  <c r="BL460" i="4"/>
  <c r="BK460" i="4"/>
  <c r="BJ460" i="4"/>
  <c r="BI460" i="4"/>
  <c r="BH460" i="4"/>
  <c r="BG460" i="4"/>
  <c r="BF460" i="4"/>
  <c r="BE460" i="4"/>
  <c r="BD460" i="4"/>
  <c r="BC460" i="4"/>
  <c r="BB460" i="4"/>
  <c r="BA460" i="4"/>
  <c r="AZ460" i="4"/>
  <c r="AY460" i="4"/>
  <c r="AX460" i="4"/>
  <c r="AW460" i="4"/>
  <c r="AV460" i="4"/>
  <c r="AU460" i="4"/>
  <c r="AT460" i="4"/>
  <c r="AS460" i="4"/>
  <c r="AR460" i="4"/>
  <c r="AQ460" i="4"/>
  <c r="AP460" i="4"/>
  <c r="AO460" i="4"/>
  <c r="AN460" i="4"/>
  <c r="AM460" i="4"/>
  <c r="AL460" i="4"/>
  <c r="AK460" i="4"/>
  <c r="AJ460" i="4"/>
  <c r="AI460" i="4"/>
  <c r="AH460" i="4"/>
  <c r="AG460" i="4"/>
  <c r="AF460" i="4"/>
  <c r="AE460" i="4"/>
  <c r="AD460" i="4"/>
  <c r="AC460" i="4"/>
  <c r="AB460" i="4"/>
  <c r="AA460" i="4"/>
  <c r="Z460" i="4"/>
  <c r="Y460" i="4"/>
  <c r="X460" i="4"/>
  <c r="V460" i="4"/>
  <c r="U460" i="4"/>
  <c r="T460" i="4"/>
  <c r="S460" i="4"/>
  <c r="R460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A460" i="4"/>
  <c r="CJ459" i="4"/>
  <c r="CI459" i="4"/>
  <c r="CH459" i="4"/>
  <c r="CG459" i="4"/>
  <c r="CF459" i="4"/>
  <c r="CE459" i="4"/>
  <c r="CD459" i="4"/>
  <c r="CC459" i="4"/>
  <c r="CB459" i="4"/>
  <c r="CA459" i="4"/>
  <c r="BZ459" i="4"/>
  <c r="BY459" i="4"/>
  <c r="BX459" i="4"/>
  <c r="BV459" i="4"/>
  <c r="BU459" i="4"/>
  <c r="BT459" i="4"/>
  <c r="BR459" i="4"/>
  <c r="BQ459" i="4"/>
  <c r="BP459" i="4"/>
  <c r="BO459" i="4"/>
  <c r="BN459" i="4"/>
  <c r="BM459" i="4"/>
  <c r="BL459" i="4"/>
  <c r="BK459" i="4"/>
  <c r="BJ459" i="4"/>
  <c r="BI459" i="4"/>
  <c r="BH459" i="4"/>
  <c r="BG459" i="4"/>
  <c r="BF459" i="4"/>
  <c r="BE459" i="4"/>
  <c r="BD459" i="4"/>
  <c r="BC459" i="4"/>
  <c r="BB459" i="4"/>
  <c r="BA459" i="4"/>
  <c r="AZ459" i="4"/>
  <c r="AY459" i="4"/>
  <c r="AX459" i="4"/>
  <c r="AW459" i="4"/>
  <c r="AV459" i="4"/>
  <c r="AU459" i="4"/>
  <c r="AT459" i="4"/>
  <c r="AS459" i="4"/>
  <c r="AR459" i="4"/>
  <c r="AQ459" i="4"/>
  <c r="AP459" i="4"/>
  <c r="AO459" i="4"/>
  <c r="AN459" i="4"/>
  <c r="AM459" i="4"/>
  <c r="AL459" i="4"/>
  <c r="AK459" i="4"/>
  <c r="AJ459" i="4"/>
  <c r="AI459" i="4"/>
  <c r="AH459" i="4"/>
  <c r="AG459" i="4"/>
  <c r="AF459" i="4"/>
  <c r="AE459" i="4"/>
  <c r="AD459" i="4"/>
  <c r="AC459" i="4"/>
  <c r="AB459" i="4"/>
  <c r="AA459" i="4"/>
  <c r="Z459" i="4"/>
  <c r="Y459" i="4"/>
  <c r="X459" i="4"/>
  <c r="V459" i="4"/>
  <c r="U459" i="4"/>
  <c r="T459" i="4"/>
  <c r="S459" i="4"/>
  <c r="R459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A459" i="4"/>
  <c r="CJ458" i="4"/>
  <c r="CI458" i="4"/>
  <c r="CH458" i="4"/>
  <c r="CG458" i="4"/>
  <c r="CF458" i="4"/>
  <c r="CE458" i="4"/>
  <c r="CD458" i="4"/>
  <c r="CC458" i="4"/>
  <c r="CB458" i="4"/>
  <c r="CA458" i="4"/>
  <c r="BZ458" i="4"/>
  <c r="BY458" i="4"/>
  <c r="BX458" i="4"/>
  <c r="BV458" i="4"/>
  <c r="BU458" i="4"/>
  <c r="BT458" i="4"/>
  <c r="BR458" i="4"/>
  <c r="BQ458" i="4"/>
  <c r="BP458" i="4"/>
  <c r="BO458" i="4"/>
  <c r="BN458" i="4"/>
  <c r="BM458" i="4"/>
  <c r="BL458" i="4"/>
  <c r="BK458" i="4"/>
  <c r="BJ458" i="4"/>
  <c r="BI458" i="4"/>
  <c r="BH458" i="4"/>
  <c r="BG458" i="4"/>
  <c r="BF458" i="4"/>
  <c r="BE458" i="4"/>
  <c r="BD458" i="4"/>
  <c r="BC458" i="4"/>
  <c r="BB458" i="4"/>
  <c r="BA458" i="4"/>
  <c r="AZ458" i="4"/>
  <c r="AY458" i="4"/>
  <c r="AX458" i="4"/>
  <c r="AW458" i="4"/>
  <c r="AV458" i="4"/>
  <c r="AU458" i="4"/>
  <c r="AT458" i="4"/>
  <c r="AS458" i="4"/>
  <c r="AR458" i="4"/>
  <c r="AQ458" i="4"/>
  <c r="AP458" i="4"/>
  <c r="AO458" i="4"/>
  <c r="AN458" i="4"/>
  <c r="AM458" i="4"/>
  <c r="AL458" i="4"/>
  <c r="AK458" i="4"/>
  <c r="AJ458" i="4"/>
  <c r="AI458" i="4"/>
  <c r="AH458" i="4"/>
  <c r="AG458" i="4"/>
  <c r="AF458" i="4"/>
  <c r="AE458" i="4"/>
  <c r="AD458" i="4"/>
  <c r="AC458" i="4"/>
  <c r="AB458" i="4"/>
  <c r="AA458" i="4"/>
  <c r="Z458" i="4"/>
  <c r="Y458" i="4"/>
  <c r="X458" i="4"/>
  <c r="V458" i="4"/>
  <c r="U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A458" i="4"/>
  <c r="CJ457" i="4"/>
  <c r="CI457" i="4"/>
  <c r="CH457" i="4"/>
  <c r="CG457" i="4"/>
  <c r="CF457" i="4"/>
  <c r="CE457" i="4"/>
  <c r="CD457" i="4"/>
  <c r="CC457" i="4"/>
  <c r="CB457" i="4"/>
  <c r="CA457" i="4"/>
  <c r="BZ457" i="4"/>
  <c r="BY457" i="4"/>
  <c r="BX457" i="4"/>
  <c r="BV457" i="4"/>
  <c r="BU457" i="4"/>
  <c r="BT457" i="4"/>
  <c r="BR457" i="4"/>
  <c r="BQ457" i="4"/>
  <c r="BP457" i="4"/>
  <c r="BO457" i="4"/>
  <c r="BN457" i="4"/>
  <c r="BM457" i="4"/>
  <c r="BL457" i="4"/>
  <c r="BK457" i="4"/>
  <c r="BJ457" i="4"/>
  <c r="BI457" i="4"/>
  <c r="BH457" i="4"/>
  <c r="BG457" i="4"/>
  <c r="BF457" i="4"/>
  <c r="BE457" i="4"/>
  <c r="BD457" i="4"/>
  <c r="BC457" i="4"/>
  <c r="BB457" i="4"/>
  <c r="BA457" i="4"/>
  <c r="AZ457" i="4"/>
  <c r="AY457" i="4"/>
  <c r="AX457" i="4"/>
  <c r="AW457" i="4"/>
  <c r="AV457" i="4"/>
  <c r="AU457" i="4"/>
  <c r="AT457" i="4"/>
  <c r="AS457" i="4"/>
  <c r="AR457" i="4"/>
  <c r="AQ457" i="4"/>
  <c r="AP457" i="4"/>
  <c r="AO457" i="4"/>
  <c r="AN457" i="4"/>
  <c r="AM457" i="4"/>
  <c r="AL457" i="4"/>
  <c r="AK457" i="4"/>
  <c r="AJ457" i="4"/>
  <c r="AI457" i="4"/>
  <c r="AH457" i="4"/>
  <c r="AG457" i="4"/>
  <c r="AF457" i="4"/>
  <c r="AE457" i="4"/>
  <c r="AD457" i="4"/>
  <c r="AC457" i="4"/>
  <c r="AB457" i="4"/>
  <c r="AA457" i="4"/>
  <c r="Z457" i="4"/>
  <c r="Y457" i="4"/>
  <c r="X457" i="4"/>
  <c r="V457" i="4"/>
  <c r="U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A457" i="4"/>
  <c r="CJ456" i="4"/>
  <c r="CI456" i="4"/>
  <c r="CH456" i="4"/>
  <c r="CG456" i="4"/>
  <c r="CF456" i="4"/>
  <c r="CE456" i="4"/>
  <c r="CD456" i="4"/>
  <c r="CC456" i="4"/>
  <c r="CB456" i="4"/>
  <c r="CA456" i="4"/>
  <c r="BZ456" i="4"/>
  <c r="BY456" i="4"/>
  <c r="BX456" i="4"/>
  <c r="BV456" i="4"/>
  <c r="BU456" i="4"/>
  <c r="BT456" i="4"/>
  <c r="BR456" i="4"/>
  <c r="BQ456" i="4"/>
  <c r="BP456" i="4"/>
  <c r="BO456" i="4"/>
  <c r="BN456" i="4"/>
  <c r="BM456" i="4"/>
  <c r="BL456" i="4"/>
  <c r="BK456" i="4"/>
  <c r="BJ456" i="4"/>
  <c r="BI456" i="4"/>
  <c r="BH456" i="4"/>
  <c r="BG456" i="4"/>
  <c r="BF456" i="4"/>
  <c r="BE456" i="4"/>
  <c r="BD456" i="4"/>
  <c r="BC456" i="4"/>
  <c r="BB456" i="4"/>
  <c r="BA456" i="4"/>
  <c r="AZ456" i="4"/>
  <c r="AY456" i="4"/>
  <c r="AX456" i="4"/>
  <c r="AW456" i="4"/>
  <c r="AV456" i="4"/>
  <c r="AU456" i="4"/>
  <c r="AT456" i="4"/>
  <c r="AS456" i="4"/>
  <c r="AR456" i="4"/>
  <c r="AQ456" i="4"/>
  <c r="AP456" i="4"/>
  <c r="AO456" i="4"/>
  <c r="AN456" i="4"/>
  <c r="AM456" i="4"/>
  <c r="AL456" i="4"/>
  <c r="AK456" i="4"/>
  <c r="AJ456" i="4"/>
  <c r="AI456" i="4"/>
  <c r="AH456" i="4"/>
  <c r="AG456" i="4"/>
  <c r="AF456" i="4"/>
  <c r="AE456" i="4"/>
  <c r="AD456" i="4"/>
  <c r="AC456" i="4"/>
  <c r="AB456" i="4"/>
  <c r="AA456" i="4"/>
  <c r="Z456" i="4"/>
  <c r="Y456" i="4"/>
  <c r="X456" i="4"/>
  <c r="V456" i="4"/>
  <c r="U456" i="4"/>
  <c r="T456" i="4"/>
  <c r="S456" i="4"/>
  <c r="R456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A456" i="4"/>
  <c r="CJ455" i="4"/>
  <c r="CI455" i="4"/>
  <c r="CH455" i="4"/>
  <c r="CG455" i="4"/>
  <c r="CF455" i="4"/>
  <c r="CE455" i="4"/>
  <c r="CD455" i="4"/>
  <c r="CC455" i="4"/>
  <c r="CB455" i="4"/>
  <c r="CA455" i="4"/>
  <c r="BZ455" i="4"/>
  <c r="BY455" i="4"/>
  <c r="BX455" i="4"/>
  <c r="BV455" i="4"/>
  <c r="BU455" i="4"/>
  <c r="BT455" i="4"/>
  <c r="BR455" i="4"/>
  <c r="BQ455" i="4"/>
  <c r="BP455" i="4"/>
  <c r="BO455" i="4"/>
  <c r="BN455" i="4"/>
  <c r="BM455" i="4"/>
  <c r="BL455" i="4"/>
  <c r="BK455" i="4"/>
  <c r="BJ455" i="4"/>
  <c r="BI455" i="4"/>
  <c r="BH455" i="4"/>
  <c r="BG455" i="4"/>
  <c r="BF455" i="4"/>
  <c r="BE455" i="4"/>
  <c r="BD455" i="4"/>
  <c r="BC455" i="4"/>
  <c r="BB455" i="4"/>
  <c r="BA455" i="4"/>
  <c r="AZ455" i="4"/>
  <c r="AY455" i="4"/>
  <c r="AX455" i="4"/>
  <c r="AW455" i="4"/>
  <c r="AV455" i="4"/>
  <c r="AU455" i="4"/>
  <c r="AT455" i="4"/>
  <c r="AS455" i="4"/>
  <c r="AR455" i="4"/>
  <c r="AQ455" i="4"/>
  <c r="AP455" i="4"/>
  <c r="AO455" i="4"/>
  <c r="AN455" i="4"/>
  <c r="AM455" i="4"/>
  <c r="AL455" i="4"/>
  <c r="AK455" i="4"/>
  <c r="AJ455" i="4"/>
  <c r="AI455" i="4"/>
  <c r="AH455" i="4"/>
  <c r="AG455" i="4"/>
  <c r="AF455" i="4"/>
  <c r="AE455" i="4"/>
  <c r="AD455" i="4"/>
  <c r="AC455" i="4"/>
  <c r="AB455" i="4"/>
  <c r="AA455" i="4"/>
  <c r="Z455" i="4"/>
  <c r="Y455" i="4"/>
  <c r="X455" i="4"/>
  <c r="V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A455" i="4"/>
  <c r="CJ454" i="4"/>
  <c r="CI454" i="4"/>
  <c r="CH454" i="4"/>
  <c r="CG454" i="4"/>
  <c r="CF454" i="4"/>
  <c r="CE454" i="4"/>
  <c r="CD454" i="4"/>
  <c r="CC454" i="4"/>
  <c r="CB454" i="4"/>
  <c r="CA454" i="4"/>
  <c r="BZ454" i="4"/>
  <c r="BY454" i="4"/>
  <c r="BX454" i="4"/>
  <c r="BV454" i="4"/>
  <c r="BU454" i="4"/>
  <c r="BT454" i="4"/>
  <c r="BR454" i="4"/>
  <c r="BQ454" i="4"/>
  <c r="BP454" i="4"/>
  <c r="BO454" i="4"/>
  <c r="BN454" i="4"/>
  <c r="BM454" i="4"/>
  <c r="BL454" i="4"/>
  <c r="BK454" i="4"/>
  <c r="BJ454" i="4"/>
  <c r="BI454" i="4"/>
  <c r="BH454" i="4"/>
  <c r="BG454" i="4"/>
  <c r="BF454" i="4"/>
  <c r="BE454" i="4"/>
  <c r="BD454" i="4"/>
  <c r="BC454" i="4"/>
  <c r="BB454" i="4"/>
  <c r="BA454" i="4"/>
  <c r="AZ454" i="4"/>
  <c r="AY454" i="4"/>
  <c r="AX454" i="4"/>
  <c r="AW454" i="4"/>
  <c r="AV454" i="4"/>
  <c r="AU454" i="4"/>
  <c r="AT454" i="4"/>
  <c r="AS454" i="4"/>
  <c r="AR454" i="4"/>
  <c r="AQ454" i="4"/>
  <c r="AP454" i="4"/>
  <c r="AO454" i="4"/>
  <c r="AN454" i="4"/>
  <c r="AM454" i="4"/>
  <c r="AL454" i="4"/>
  <c r="AK454" i="4"/>
  <c r="AJ454" i="4"/>
  <c r="AI454" i="4"/>
  <c r="AH454" i="4"/>
  <c r="AG454" i="4"/>
  <c r="AF454" i="4"/>
  <c r="AE454" i="4"/>
  <c r="AD454" i="4"/>
  <c r="AC454" i="4"/>
  <c r="AB454" i="4"/>
  <c r="AA454" i="4"/>
  <c r="Z454" i="4"/>
  <c r="Y454" i="4"/>
  <c r="X454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A454" i="4"/>
  <c r="CJ453" i="4"/>
  <c r="CI453" i="4"/>
  <c r="CH453" i="4"/>
  <c r="CG453" i="4"/>
  <c r="CF453" i="4"/>
  <c r="CE453" i="4"/>
  <c r="CD453" i="4"/>
  <c r="CC453" i="4"/>
  <c r="CB453" i="4"/>
  <c r="CA453" i="4"/>
  <c r="BZ453" i="4"/>
  <c r="BY453" i="4"/>
  <c r="BX453" i="4"/>
  <c r="BV453" i="4"/>
  <c r="BU453" i="4"/>
  <c r="BT453" i="4"/>
  <c r="BR453" i="4"/>
  <c r="BQ453" i="4"/>
  <c r="BP453" i="4"/>
  <c r="BO453" i="4"/>
  <c r="BN453" i="4"/>
  <c r="BM453" i="4"/>
  <c r="BL453" i="4"/>
  <c r="BK453" i="4"/>
  <c r="BJ453" i="4"/>
  <c r="BI453" i="4"/>
  <c r="BH453" i="4"/>
  <c r="BG453" i="4"/>
  <c r="BF453" i="4"/>
  <c r="BE453" i="4"/>
  <c r="BD453" i="4"/>
  <c r="BC453" i="4"/>
  <c r="BB453" i="4"/>
  <c r="BA453" i="4"/>
  <c r="AZ453" i="4"/>
  <c r="AY453" i="4"/>
  <c r="AX453" i="4"/>
  <c r="AW453" i="4"/>
  <c r="AV453" i="4"/>
  <c r="AU453" i="4"/>
  <c r="AT453" i="4"/>
  <c r="AS453" i="4"/>
  <c r="AR453" i="4"/>
  <c r="AQ453" i="4"/>
  <c r="AP453" i="4"/>
  <c r="AO453" i="4"/>
  <c r="AN453" i="4"/>
  <c r="AM453" i="4"/>
  <c r="AL453" i="4"/>
  <c r="AK453" i="4"/>
  <c r="AJ453" i="4"/>
  <c r="AI453" i="4"/>
  <c r="AH453" i="4"/>
  <c r="AG453" i="4"/>
  <c r="AF453" i="4"/>
  <c r="AE453" i="4"/>
  <c r="AD453" i="4"/>
  <c r="AC453" i="4"/>
  <c r="AB453" i="4"/>
  <c r="AA453" i="4"/>
  <c r="Z453" i="4"/>
  <c r="Y453" i="4"/>
  <c r="X453" i="4"/>
  <c r="V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A453" i="4"/>
  <c r="CJ452" i="4"/>
  <c r="CI452" i="4"/>
  <c r="CH452" i="4"/>
  <c r="CG452" i="4"/>
  <c r="CF452" i="4"/>
  <c r="CE452" i="4"/>
  <c r="CD452" i="4"/>
  <c r="CC452" i="4"/>
  <c r="CB452" i="4"/>
  <c r="CA452" i="4"/>
  <c r="BZ452" i="4"/>
  <c r="BY452" i="4"/>
  <c r="BX452" i="4"/>
  <c r="BV452" i="4"/>
  <c r="BU452" i="4"/>
  <c r="BT452" i="4"/>
  <c r="BR452" i="4"/>
  <c r="BQ452" i="4"/>
  <c r="BP452" i="4"/>
  <c r="BO452" i="4"/>
  <c r="BN452" i="4"/>
  <c r="BM452" i="4"/>
  <c r="BL452" i="4"/>
  <c r="BK452" i="4"/>
  <c r="BJ452" i="4"/>
  <c r="BI452" i="4"/>
  <c r="BH452" i="4"/>
  <c r="BG452" i="4"/>
  <c r="BF452" i="4"/>
  <c r="BE452" i="4"/>
  <c r="BD452" i="4"/>
  <c r="BC452" i="4"/>
  <c r="BB452" i="4"/>
  <c r="BA452" i="4"/>
  <c r="AZ452" i="4"/>
  <c r="AY452" i="4"/>
  <c r="AX452" i="4"/>
  <c r="AW452" i="4"/>
  <c r="AV452" i="4"/>
  <c r="AU452" i="4"/>
  <c r="AT452" i="4"/>
  <c r="AS452" i="4"/>
  <c r="AR452" i="4"/>
  <c r="AQ452" i="4"/>
  <c r="AP452" i="4"/>
  <c r="AO452" i="4"/>
  <c r="AN452" i="4"/>
  <c r="AM452" i="4"/>
  <c r="AL452" i="4"/>
  <c r="AK452" i="4"/>
  <c r="AJ452" i="4"/>
  <c r="AI452" i="4"/>
  <c r="AH452" i="4"/>
  <c r="AG452" i="4"/>
  <c r="AF452" i="4"/>
  <c r="AE452" i="4"/>
  <c r="AD452" i="4"/>
  <c r="AC452" i="4"/>
  <c r="AB452" i="4"/>
  <c r="AA452" i="4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A452" i="4"/>
  <c r="CJ451" i="4"/>
  <c r="CI451" i="4"/>
  <c r="CH451" i="4"/>
  <c r="CG451" i="4"/>
  <c r="CF451" i="4"/>
  <c r="CE451" i="4"/>
  <c r="CD451" i="4"/>
  <c r="CC451" i="4"/>
  <c r="CB451" i="4"/>
  <c r="CA451" i="4"/>
  <c r="BZ451" i="4"/>
  <c r="BY451" i="4"/>
  <c r="BX451" i="4"/>
  <c r="BV451" i="4"/>
  <c r="BU451" i="4"/>
  <c r="BT451" i="4"/>
  <c r="BR451" i="4"/>
  <c r="BQ451" i="4"/>
  <c r="BP451" i="4"/>
  <c r="BO451" i="4"/>
  <c r="BN451" i="4"/>
  <c r="BM451" i="4"/>
  <c r="BL451" i="4"/>
  <c r="BK451" i="4"/>
  <c r="BJ451" i="4"/>
  <c r="BI451" i="4"/>
  <c r="BH451" i="4"/>
  <c r="BG451" i="4"/>
  <c r="BF451" i="4"/>
  <c r="BE451" i="4"/>
  <c r="BD451" i="4"/>
  <c r="BC451" i="4"/>
  <c r="BB451" i="4"/>
  <c r="BA451" i="4"/>
  <c r="AZ451" i="4"/>
  <c r="AY451" i="4"/>
  <c r="AX451" i="4"/>
  <c r="AW451" i="4"/>
  <c r="AV451" i="4"/>
  <c r="AU451" i="4"/>
  <c r="AT451" i="4"/>
  <c r="AS451" i="4"/>
  <c r="AR451" i="4"/>
  <c r="AQ451" i="4"/>
  <c r="AP451" i="4"/>
  <c r="AO451" i="4"/>
  <c r="AN451" i="4"/>
  <c r="AM451" i="4"/>
  <c r="AL451" i="4"/>
  <c r="AK451" i="4"/>
  <c r="AJ451" i="4"/>
  <c r="AI451" i="4"/>
  <c r="AH451" i="4"/>
  <c r="AG451" i="4"/>
  <c r="AF451" i="4"/>
  <c r="AE451" i="4"/>
  <c r="AD451" i="4"/>
  <c r="AC451" i="4"/>
  <c r="AB451" i="4"/>
  <c r="AA451" i="4"/>
  <c r="Z451" i="4"/>
  <c r="Y451" i="4"/>
  <c r="X451" i="4"/>
  <c r="V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A451" i="4"/>
  <c r="CJ450" i="4"/>
  <c r="CI450" i="4"/>
  <c r="CH450" i="4"/>
  <c r="CG450" i="4"/>
  <c r="CF450" i="4"/>
  <c r="CE450" i="4"/>
  <c r="CD450" i="4"/>
  <c r="CC450" i="4"/>
  <c r="CB450" i="4"/>
  <c r="CA450" i="4"/>
  <c r="BZ450" i="4"/>
  <c r="BY450" i="4"/>
  <c r="BX450" i="4"/>
  <c r="BV450" i="4"/>
  <c r="BU450" i="4"/>
  <c r="BT450" i="4"/>
  <c r="BR450" i="4"/>
  <c r="BQ450" i="4"/>
  <c r="BP450" i="4"/>
  <c r="BO450" i="4"/>
  <c r="BN450" i="4"/>
  <c r="BM450" i="4"/>
  <c r="BL450" i="4"/>
  <c r="BK450" i="4"/>
  <c r="BJ450" i="4"/>
  <c r="BI450" i="4"/>
  <c r="BH450" i="4"/>
  <c r="BG450" i="4"/>
  <c r="BF450" i="4"/>
  <c r="BE450" i="4"/>
  <c r="BD450" i="4"/>
  <c r="BC450" i="4"/>
  <c r="BB450" i="4"/>
  <c r="BA450" i="4"/>
  <c r="AZ450" i="4"/>
  <c r="AY450" i="4"/>
  <c r="AX450" i="4"/>
  <c r="AW450" i="4"/>
  <c r="AV450" i="4"/>
  <c r="AU450" i="4"/>
  <c r="AT450" i="4"/>
  <c r="AS450" i="4"/>
  <c r="AR450" i="4"/>
  <c r="AQ450" i="4"/>
  <c r="AP450" i="4"/>
  <c r="AO450" i="4"/>
  <c r="AN450" i="4"/>
  <c r="AM450" i="4"/>
  <c r="AL450" i="4"/>
  <c r="AK450" i="4"/>
  <c r="AJ450" i="4"/>
  <c r="AI450" i="4"/>
  <c r="AH450" i="4"/>
  <c r="AG450" i="4"/>
  <c r="AF450" i="4"/>
  <c r="AE450" i="4"/>
  <c r="AD450" i="4"/>
  <c r="AC450" i="4"/>
  <c r="AB450" i="4"/>
  <c r="AA450" i="4"/>
  <c r="Z450" i="4"/>
  <c r="Y450" i="4"/>
  <c r="X450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A450" i="4"/>
  <c r="CJ449" i="4"/>
  <c r="CI449" i="4"/>
  <c r="CH449" i="4"/>
  <c r="CG449" i="4"/>
  <c r="CF449" i="4"/>
  <c r="CE449" i="4"/>
  <c r="CD449" i="4"/>
  <c r="CC449" i="4"/>
  <c r="CB449" i="4"/>
  <c r="CA449" i="4"/>
  <c r="BZ449" i="4"/>
  <c r="BY449" i="4"/>
  <c r="BX449" i="4"/>
  <c r="BW449" i="4"/>
  <c r="BV449" i="4"/>
  <c r="BU449" i="4"/>
  <c r="BT449" i="4"/>
  <c r="BR449" i="4"/>
  <c r="BQ449" i="4"/>
  <c r="BP449" i="4"/>
  <c r="BO449" i="4"/>
  <c r="BN449" i="4"/>
  <c r="BM449" i="4"/>
  <c r="BL449" i="4"/>
  <c r="BK449" i="4"/>
  <c r="BJ449" i="4"/>
  <c r="BI449" i="4"/>
  <c r="BH449" i="4"/>
  <c r="BG449" i="4"/>
  <c r="BF449" i="4"/>
  <c r="BE449" i="4"/>
  <c r="BD449" i="4"/>
  <c r="BC449" i="4"/>
  <c r="BB449" i="4"/>
  <c r="BA449" i="4"/>
  <c r="AZ449" i="4"/>
  <c r="AY449" i="4"/>
  <c r="AX449" i="4"/>
  <c r="AW449" i="4"/>
  <c r="AV449" i="4"/>
  <c r="AU449" i="4"/>
  <c r="AT449" i="4"/>
  <c r="AS449" i="4"/>
  <c r="AR449" i="4"/>
  <c r="AQ449" i="4"/>
  <c r="AP449" i="4"/>
  <c r="AO449" i="4"/>
  <c r="AN449" i="4"/>
  <c r="AM449" i="4"/>
  <c r="AL449" i="4"/>
  <c r="AK449" i="4"/>
  <c r="AJ449" i="4"/>
  <c r="AI449" i="4"/>
  <c r="AH449" i="4"/>
  <c r="AG449" i="4"/>
  <c r="AF449" i="4"/>
  <c r="AE449" i="4"/>
  <c r="AD449" i="4"/>
  <c r="AC449" i="4"/>
  <c r="AB449" i="4"/>
  <c r="AA449" i="4"/>
  <c r="Z449" i="4"/>
  <c r="Y449" i="4"/>
  <c r="X449" i="4"/>
  <c r="V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A449" i="4"/>
  <c r="CJ448" i="4"/>
  <c r="CI448" i="4"/>
  <c r="CH448" i="4"/>
  <c r="CG448" i="4"/>
  <c r="CF448" i="4"/>
  <c r="CE448" i="4"/>
  <c r="CD448" i="4"/>
  <c r="CC448" i="4"/>
  <c r="CB448" i="4"/>
  <c r="CA448" i="4"/>
  <c r="BZ448" i="4"/>
  <c r="BY448" i="4"/>
  <c r="BX448" i="4"/>
  <c r="BW448" i="4"/>
  <c r="BV448" i="4"/>
  <c r="BU448" i="4"/>
  <c r="BT448" i="4"/>
  <c r="BR448" i="4"/>
  <c r="BQ448" i="4"/>
  <c r="BP448" i="4"/>
  <c r="BO448" i="4"/>
  <c r="BN448" i="4"/>
  <c r="BM448" i="4"/>
  <c r="BL448" i="4"/>
  <c r="BK448" i="4"/>
  <c r="BJ448" i="4"/>
  <c r="BI448" i="4"/>
  <c r="BH448" i="4"/>
  <c r="BG448" i="4"/>
  <c r="BF448" i="4"/>
  <c r="BE448" i="4"/>
  <c r="BD448" i="4"/>
  <c r="BC448" i="4"/>
  <c r="BB448" i="4"/>
  <c r="BA448" i="4"/>
  <c r="AZ448" i="4"/>
  <c r="AY448" i="4"/>
  <c r="AX448" i="4"/>
  <c r="AW448" i="4"/>
  <c r="AV448" i="4"/>
  <c r="AU448" i="4"/>
  <c r="AT448" i="4"/>
  <c r="AS448" i="4"/>
  <c r="AR448" i="4"/>
  <c r="AQ448" i="4"/>
  <c r="AP448" i="4"/>
  <c r="AO448" i="4"/>
  <c r="AN448" i="4"/>
  <c r="AM448" i="4"/>
  <c r="AL448" i="4"/>
  <c r="AK448" i="4"/>
  <c r="AJ448" i="4"/>
  <c r="AI448" i="4"/>
  <c r="AH448" i="4"/>
  <c r="AG448" i="4"/>
  <c r="AF448" i="4"/>
  <c r="AE448" i="4"/>
  <c r="AD448" i="4"/>
  <c r="AC448" i="4"/>
  <c r="AB448" i="4"/>
  <c r="AA448" i="4"/>
  <c r="Z448" i="4"/>
  <c r="Y448" i="4"/>
  <c r="X448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A448" i="4"/>
  <c r="CJ447" i="4"/>
  <c r="CI447" i="4"/>
  <c r="CH447" i="4"/>
  <c r="CG447" i="4"/>
  <c r="CF447" i="4"/>
  <c r="CE447" i="4"/>
  <c r="CD447" i="4"/>
  <c r="CC447" i="4"/>
  <c r="CB447" i="4"/>
  <c r="CA447" i="4"/>
  <c r="BZ447" i="4"/>
  <c r="BY447" i="4"/>
  <c r="BX447" i="4"/>
  <c r="BW447" i="4"/>
  <c r="BV447" i="4"/>
  <c r="BU447" i="4"/>
  <c r="BT447" i="4"/>
  <c r="BR447" i="4"/>
  <c r="BQ447" i="4"/>
  <c r="BP447" i="4"/>
  <c r="BO447" i="4"/>
  <c r="BN447" i="4"/>
  <c r="BM447" i="4"/>
  <c r="BL447" i="4"/>
  <c r="BK447" i="4"/>
  <c r="BJ447" i="4"/>
  <c r="BI447" i="4"/>
  <c r="BH447" i="4"/>
  <c r="BG447" i="4"/>
  <c r="BF447" i="4"/>
  <c r="BE447" i="4"/>
  <c r="BD447" i="4"/>
  <c r="BC447" i="4"/>
  <c r="BB447" i="4"/>
  <c r="BA447" i="4"/>
  <c r="AZ447" i="4"/>
  <c r="AY447" i="4"/>
  <c r="AX447" i="4"/>
  <c r="AW447" i="4"/>
  <c r="AV447" i="4"/>
  <c r="AU447" i="4"/>
  <c r="AT447" i="4"/>
  <c r="AS447" i="4"/>
  <c r="AR447" i="4"/>
  <c r="AQ447" i="4"/>
  <c r="AP447" i="4"/>
  <c r="AO447" i="4"/>
  <c r="AN447" i="4"/>
  <c r="AM447" i="4"/>
  <c r="AL447" i="4"/>
  <c r="AK447" i="4"/>
  <c r="AJ447" i="4"/>
  <c r="AI447" i="4"/>
  <c r="AH447" i="4"/>
  <c r="AG447" i="4"/>
  <c r="AF447" i="4"/>
  <c r="AE447" i="4"/>
  <c r="AD447" i="4"/>
  <c r="AC447" i="4"/>
  <c r="AB447" i="4"/>
  <c r="AA447" i="4"/>
  <c r="Z447" i="4"/>
  <c r="Y447" i="4"/>
  <c r="X447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A447" i="4"/>
  <c r="CJ446" i="4"/>
  <c r="CI446" i="4"/>
  <c r="CH446" i="4"/>
  <c r="CG446" i="4"/>
  <c r="CF446" i="4"/>
  <c r="CE446" i="4"/>
  <c r="CD446" i="4"/>
  <c r="CC446" i="4"/>
  <c r="CB446" i="4"/>
  <c r="CA446" i="4"/>
  <c r="BZ446" i="4"/>
  <c r="BY446" i="4"/>
  <c r="BX446" i="4"/>
  <c r="BW446" i="4"/>
  <c r="BV446" i="4"/>
  <c r="BU446" i="4"/>
  <c r="BT446" i="4"/>
  <c r="BR446" i="4"/>
  <c r="BQ446" i="4"/>
  <c r="BP446" i="4"/>
  <c r="BO446" i="4"/>
  <c r="BN446" i="4"/>
  <c r="BM446" i="4"/>
  <c r="BL446" i="4"/>
  <c r="BK446" i="4"/>
  <c r="BJ446" i="4"/>
  <c r="BI446" i="4"/>
  <c r="BH446" i="4"/>
  <c r="BG446" i="4"/>
  <c r="BF446" i="4"/>
  <c r="BE446" i="4"/>
  <c r="BD446" i="4"/>
  <c r="BC446" i="4"/>
  <c r="BB446" i="4"/>
  <c r="BA446" i="4"/>
  <c r="AZ446" i="4"/>
  <c r="AY446" i="4"/>
  <c r="AX446" i="4"/>
  <c r="AW446" i="4"/>
  <c r="AV446" i="4"/>
  <c r="AU446" i="4"/>
  <c r="AT446" i="4"/>
  <c r="AS446" i="4"/>
  <c r="AR446" i="4"/>
  <c r="AQ446" i="4"/>
  <c r="AP446" i="4"/>
  <c r="AO446" i="4"/>
  <c r="AN446" i="4"/>
  <c r="AM446" i="4"/>
  <c r="AL446" i="4"/>
  <c r="AK446" i="4"/>
  <c r="AJ446" i="4"/>
  <c r="AI446" i="4"/>
  <c r="AH446" i="4"/>
  <c r="AG446" i="4"/>
  <c r="AF446" i="4"/>
  <c r="AE446" i="4"/>
  <c r="AD446" i="4"/>
  <c r="AC446" i="4"/>
  <c r="AB446" i="4"/>
  <c r="AA446" i="4"/>
  <c r="Z446" i="4"/>
  <c r="Y446" i="4"/>
  <c r="X446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A446" i="4"/>
  <c r="CJ445" i="4"/>
  <c r="CI445" i="4"/>
  <c r="CH445" i="4"/>
  <c r="CG445" i="4"/>
  <c r="CF445" i="4"/>
  <c r="CE445" i="4"/>
  <c r="CD445" i="4"/>
  <c r="CC445" i="4"/>
  <c r="CB445" i="4"/>
  <c r="CA445" i="4"/>
  <c r="BZ445" i="4"/>
  <c r="BY445" i="4"/>
  <c r="BX445" i="4"/>
  <c r="BW445" i="4"/>
  <c r="BV445" i="4"/>
  <c r="BU445" i="4"/>
  <c r="BT445" i="4"/>
  <c r="BR445" i="4"/>
  <c r="BQ445" i="4"/>
  <c r="BP445" i="4"/>
  <c r="BO445" i="4"/>
  <c r="BN445" i="4"/>
  <c r="BM445" i="4"/>
  <c r="BL445" i="4"/>
  <c r="BK445" i="4"/>
  <c r="BJ445" i="4"/>
  <c r="BI445" i="4"/>
  <c r="BH445" i="4"/>
  <c r="BG445" i="4"/>
  <c r="BF445" i="4"/>
  <c r="BE445" i="4"/>
  <c r="BD445" i="4"/>
  <c r="BC445" i="4"/>
  <c r="BB445" i="4"/>
  <c r="BA445" i="4"/>
  <c r="AZ445" i="4"/>
  <c r="AY445" i="4"/>
  <c r="AX445" i="4"/>
  <c r="AW445" i="4"/>
  <c r="AV445" i="4"/>
  <c r="AU445" i="4"/>
  <c r="AT445" i="4"/>
  <c r="AS445" i="4"/>
  <c r="AR445" i="4"/>
  <c r="AQ445" i="4"/>
  <c r="AP445" i="4"/>
  <c r="AO445" i="4"/>
  <c r="AN445" i="4"/>
  <c r="AM445" i="4"/>
  <c r="AL445" i="4"/>
  <c r="AK445" i="4"/>
  <c r="AJ445" i="4"/>
  <c r="AI445" i="4"/>
  <c r="AH445" i="4"/>
  <c r="AG445" i="4"/>
  <c r="AF445" i="4"/>
  <c r="AE445" i="4"/>
  <c r="AD445" i="4"/>
  <c r="AC445" i="4"/>
  <c r="AB445" i="4"/>
  <c r="AA445" i="4"/>
  <c r="Z445" i="4"/>
  <c r="Y445" i="4"/>
  <c r="X445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A445" i="4"/>
  <c r="CJ444" i="4"/>
  <c r="CI444" i="4"/>
  <c r="CH444" i="4"/>
  <c r="CG444" i="4"/>
  <c r="CF444" i="4"/>
  <c r="CE444" i="4"/>
  <c r="CD444" i="4"/>
  <c r="CC444" i="4"/>
  <c r="CB444" i="4"/>
  <c r="CA444" i="4"/>
  <c r="BZ444" i="4"/>
  <c r="BY444" i="4"/>
  <c r="BX444" i="4"/>
  <c r="BW444" i="4"/>
  <c r="BV444" i="4"/>
  <c r="BU444" i="4"/>
  <c r="BT444" i="4"/>
  <c r="BR444" i="4"/>
  <c r="BQ444" i="4"/>
  <c r="BP444" i="4"/>
  <c r="BO444" i="4"/>
  <c r="BN444" i="4"/>
  <c r="BM444" i="4"/>
  <c r="BL444" i="4"/>
  <c r="BK444" i="4"/>
  <c r="BJ444" i="4"/>
  <c r="BI444" i="4"/>
  <c r="BH444" i="4"/>
  <c r="BG444" i="4"/>
  <c r="BF444" i="4"/>
  <c r="BE444" i="4"/>
  <c r="BD444" i="4"/>
  <c r="BC444" i="4"/>
  <c r="BB444" i="4"/>
  <c r="BA444" i="4"/>
  <c r="AZ444" i="4"/>
  <c r="AY444" i="4"/>
  <c r="AX444" i="4"/>
  <c r="AW444" i="4"/>
  <c r="AV444" i="4"/>
  <c r="AU444" i="4"/>
  <c r="AT444" i="4"/>
  <c r="AS444" i="4"/>
  <c r="AR444" i="4"/>
  <c r="AQ444" i="4"/>
  <c r="AP444" i="4"/>
  <c r="AO444" i="4"/>
  <c r="AN444" i="4"/>
  <c r="AM444" i="4"/>
  <c r="AL444" i="4"/>
  <c r="AK444" i="4"/>
  <c r="AJ444" i="4"/>
  <c r="AI444" i="4"/>
  <c r="AH444" i="4"/>
  <c r="AG444" i="4"/>
  <c r="AF444" i="4"/>
  <c r="AE444" i="4"/>
  <c r="AD444" i="4"/>
  <c r="AC444" i="4"/>
  <c r="AB444" i="4"/>
  <c r="AA444" i="4"/>
  <c r="Z444" i="4"/>
  <c r="Y444" i="4"/>
  <c r="X444" i="4"/>
  <c r="V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A444" i="4"/>
  <c r="CJ443" i="4"/>
  <c r="CI443" i="4"/>
  <c r="CH443" i="4"/>
  <c r="CG443" i="4"/>
  <c r="CF443" i="4"/>
  <c r="CE443" i="4"/>
  <c r="CD443" i="4"/>
  <c r="CC443" i="4"/>
  <c r="CB443" i="4"/>
  <c r="CA443" i="4"/>
  <c r="BZ443" i="4"/>
  <c r="BY443" i="4"/>
  <c r="BX443" i="4"/>
  <c r="BW443" i="4"/>
  <c r="BV443" i="4"/>
  <c r="BU443" i="4"/>
  <c r="BT443" i="4"/>
  <c r="BR443" i="4"/>
  <c r="BQ443" i="4"/>
  <c r="BP443" i="4"/>
  <c r="BO443" i="4"/>
  <c r="BN443" i="4"/>
  <c r="BM443" i="4"/>
  <c r="BL443" i="4"/>
  <c r="BK443" i="4"/>
  <c r="BJ443" i="4"/>
  <c r="BI443" i="4"/>
  <c r="BH443" i="4"/>
  <c r="BG443" i="4"/>
  <c r="BF443" i="4"/>
  <c r="BE443" i="4"/>
  <c r="BD443" i="4"/>
  <c r="BC443" i="4"/>
  <c r="BB443" i="4"/>
  <c r="BA443" i="4"/>
  <c r="AZ443" i="4"/>
  <c r="AY443" i="4"/>
  <c r="AX443" i="4"/>
  <c r="AW443" i="4"/>
  <c r="AV443" i="4"/>
  <c r="AU443" i="4"/>
  <c r="AT443" i="4"/>
  <c r="AS443" i="4"/>
  <c r="AR443" i="4"/>
  <c r="AQ443" i="4"/>
  <c r="AP443" i="4"/>
  <c r="AO443" i="4"/>
  <c r="AN443" i="4"/>
  <c r="AM443" i="4"/>
  <c r="AL443" i="4"/>
  <c r="AK443" i="4"/>
  <c r="AJ443" i="4"/>
  <c r="AI443" i="4"/>
  <c r="AH443" i="4"/>
  <c r="AG443" i="4"/>
  <c r="AF443" i="4"/>
  <c r="AE443" i="4"/>
  <c r="AD443" i="4"/>
  <c r="AC443" i="4"/>
  <c r="AB443" i="4"/>
  <c r="AA443" i="4"/>
  <c r="Z443" i="4"/>
  <c r="Y443" i="4"/>
  <c r="X443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A443" i="4"/>
  <c r="CJ442" i="4"/>
  <c r="CI442" i="4"/>
  <c r="CH442" i="4"/>
  <c r="CG442" i="4"/>
  <c r="CF442" i="4"/>
  <c r="CE442" i="4"/>
  <c r="CD442" i="4"/>
  <c r="CC442" i="4"/>
  <c r="CB442" i="4"/>
  <c r="CA442" i="4"/>
  <c r="BZ442" i="4"/>
  <c r="BY442" i="4"/>
  <c r="BX442" i="4"/>
  <c r="BW442" i="4"/>
  <c r="BV442" i="4"/>
  <c r="BU442" i="4"/>
  <c r="BT442" i="4"/>
  <c r="BR442" i="4"/>
  <c r="BQ442" i="4"/>
  <c r="BP442" i="4"/>
  <c r="BO442" i="4"/>
  <c r="BN442" i="4"/>
  <c r="BM442" i="4"/>
  <c r="BL442" i="4"/>
  <c r="BK442" i="4"/>
  <c r="BJ442" i="4"/>
  <c r="BI442" i="4"/>
  <c r="BH442" i="4"/>
  <c r="BG442" i="4"/>
  <c r="BF442" i="4"/>
  <c r="BE442" i="4"/>
  <c r="BD442" i="4"/>
  <c r="BC442" i="4"/>
  <c r="BB442" i="4"/>
  <c r="BA442" i="4"/>
  <c r="AZ442" i="4"/>
  <c r="AY442" i="4"/>
  <c r="AX442" i="4"/>
  <c r="AW442" i="4"/>
  <c r="AV442" i="4"/>
  <c r="AU442" i="4"/>
  <c r="AT442" i="4"/>
  <c r="AS442" i="4"/>
  <c r="AR442" i="4"/>
  <c r="AQ442" i="4"/>
  <c r="AP442" i="4"/>
  <c r="AO442" i="4"/>
  <c r="AN442" i="4"/>
  <c r="AM442" i="4"/>
  <c r="AL442" i="4"/>
  <c r="AK442" i="4"/>
  <c r="AJ442" i="4"/>
  <c r="AI442" i="4"/>
  <c r="AH442" i="4"/>
  <c r="AG442" i="4"/>
  <c r="AF442" i="4"/>
  <c r="AE442" i="4"/>
  <c r="AD442" i="4"/>
  <c r="AC442" i="4"/>
  <c r="AB442" i="4"/>
  <c r="AA442" i="4"/>
  <c r="Z442" i="4"/>
  <c r="Y442" i="4"/>
  <c r="X442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A442" i="4"/>
  <c r="CJ441" i="4"/>
  <c r="CI441" i="4"/>
  <c r="CH441" i="4"/>
  <c r="CG441" i="4"/>
  <c r="CF441" i="4"/>
  <c r="CE441" i="4"/>
  <c r="CD441" i="4"/>
  <c r="CC441" i="4"/>
  <c r="CB441" i="4"/>
  <c r="CA441" i="4"/>
  <c r="BZ441" i="4"/>
  <c r="BY441" i="4"/>
  <c r="BX441" i="4"/>
  <c r="BW441" i="4"/>
  <c r="BV441" i="4"/>
  <c r="BU441" i="4"/>
  <c r="BT441" i="4"/>
  <c r="BR441" i="4"/>
  <c r="BQ441" i="4"/>
  <c r="BP441" i="4"/>
  <c r="BO441" i="4"/>
  <c r="BN441" i="4"/>
  <c r="BM441" i="4"/>
  <c r="BL441" i="4"/>
  <c r="BK441" i="4"/>
  <c r="BJ441" i="4"/>
  <c r="BI441" i="4"/>
  <c r="BH441" i="4"/>
  <c r="BG441" i="4"/>
  <c r="BF441" i="4"/>
  <c r="BE441" i="4"/>
  <c r="BD441" i="4"/>
  <c r="BC441" i="4"/>
  <c r="BB441" i="4"/>
  <c r="BA441" i="4"/>
  <c r="AZ441" i="4"/>
  <c r="AY441" i="4"/>
  <c r="AX441" i="4"/>
  <c r="AW441" i="4"/>
  <c r="AV441" i="4"/>
  <c r="AU441" i="4"/>
  <c r="AT441" i="4"/>
  <c r="AS441" i="4"/>
  <c r="AR441" i="4"/>
  <c r="AQ441" i="4"/>
  <c r="AP441" i="4"/>
  <c r="AO441" i="4"/>
  <c r="AN441" i="4"/>
  <c r="AM441" i="4"/>
  <c r="AL441" i="4"/>
  <c r="AK441" i="4"/>
  <c r="AJ441" i="4"/>
  <c r="AI441" i="4"/>
  <c r="AH441" i="4"/>
  <c r="AG441" i="4"/>
  <c r="AF441" i="4"/>
  <c r="AE441" i="4"/>
  <c r="AD441" i="4"/>
  <c r="AC441" i="4"/>
  <c r="AB441" i="4"/>
  <c r="AA441" i="4"/>
  <c r="Z441" i="4"/>
  <c r="Y441" i="4"/>
  <c r="X441" i="4"/>
  <c r="V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A441" i="4"/>
  <c r="CJ440" i="4"/>
  <c r="CI440" i="4"/>
  <c r="CH440" i="4"/>
  <c r="CG440" i="4"/>
  <c r="CF440" i="4"/>
  <c r="CE440" i="4"/>
  <c r="CD440" i="4"/>
  <c r="CC440" i="4"/>
  <c r="CB440" i="4"/>
  <c r="CA440" i="4"/>
  <c r="BZ440" i="4"/>
  <c r="BY440" i="4"/>
  <c r="BX440" i="4"/>
  <c r="BW440" i="4"/>
  <c r="BV440" i="4"/>
  <c r="BU440" i="4"/>
  <c r="BT440" i="4"/>
  <c r="BR440" i="4"/>
  <c r="BQ440" i="4"/>
  <c r="BP440" i="4"/>
  <c r="BO440" i="4"/>
  <c r="BN440" i="4"/>
  <c r="BM440" i="4"/>
  <c r="BL440" i="4"/>
  <c r="BK440" i="4"/>
  <c r="BJ440" i="4"/>
  <c r="BI440" i="4"/>
  <c r="BH440" i="4"/>
  <c r="BG440" i="4"/>
  <c r="BF440" i="4"/>
  <c r="BE440" i="4"/>
  <c r="BD440" i="4"/>
  <c r="BC440" i="4"/>
  <c r="BB440" i="4"/>
  <c r="BA440" i="4"/>
  <c r="AZ440" i="4"/>
  <c r="AY440" i="4"/>
  <c r="AX440" i="4"/>
  <c r="AW440" i="4"/>
  <c r="AV440" i="4"/>
  <c r="AU440" i="4"/>
  <c r="AT440" i="4"/>
  <c r="AS440" i="4"/>
  <c r="AR440" i="4"/>
  <c r="AQ440" i="4"/>
  <c r="AP440" i="4"/>
  <c r="AO440" i="4"/>
  <c r="AN440" i="4"/>
  <c r="AM440" i="4"/>
  <c r="AL440" i="4"/>
  <c r="AK440" i="4"/>
  <c r="AJ440" i="4"/>
  <c r="AI440" i="4"/>
  <c r="AH440" i="4"/>
  <c r="AG440" i="4"/>
  <c r="AF440" i="4"/>
  <c r="AE440" i="4"/>
  <c r="AD440" i="4"/>
  <c r="AC440" i="4"/>
  <c r="AB440" i="4"/>
  <c r="AA440" i="4"/>
  <c r="Z440" i="4"/>
  <c r="Y440" i="4"/>
  <c r="X440" i="4"/>
  <c r="V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A440" i="4"/>
  <c r="CJ439" i="4"/>
  <c r="CI439" i="4"/>
  <c r="CH439" i="4"/>
  <c r="CG439" i="4"/>
  <c r="CF439" i="4"/>
  <c r="CE439" i="4"/>
  <c r="CD439" i="4"/>
  <c r="CC439" i="4"/>
  <c r="CB439" i="4"/>
  <c r="CA439" i="4"/>
  <c r="BZ439" i="4"/>
  <c r="BY439" i="4"/>
  <c r="BX439" i="4"/>
  <c r="BW439" i="4"/>
  <c r="BV439" i="4"/>
  <c r="BU439" i="4"/>
  <c r="BT439" i="4"/>
  <c r="BR439" i="4"/>
  <c r="BQ439" i="4"/>
  <c r="BP439" i="4"/>
  <c r="BO439" i="4"/>
  <c r="BN439" i="4"/>
  <c r="BM439" i="4"/>
  <c r="BL439" i="4"/>
  <c r="BK439" i="4"/>
  <c r="BJ439" i="4"/>
  <c r="BI439" i="4"/>
  <c r="BH439" i="4"/>
  <c r="BG439" i="4"/>
  <c r="BF439" i="4"/>
  <c r="BE439" i="4"/>
  <c r="BD439" i="4"/>
  <c r="BC439" i="4"/>
  <c r="BB439" i="4"/>
  <c r="BA439" i="4"/>
  <c r="AZ439" i="4"/>
  <c r="AY439" i="4"/>
  <c r="AX439" i="4"/>
  <c r="AW439" i="4"/>
  <c r="AV439" i="4"/>
  <c r="AU439" i="4"/>
  <c r="AT439" i="4"/>
  <c r="AS439" i="4"/>
  <c r="AR439" i="4"/>
  <c r="AQ439" i="4"/>
  <c r="AP439" i="4"/>
  <c r="AO439" i="4"/>
  <c r="AN439" i="4"/>
  <c r="AM439" i="4"/>
  <c r="AL439" i="4"/>
  <c r="AK439" i="4"/>
  <c r="AJ439" i="4"/>
  <c r="AI439" i="4"/>
  <c r="AH439" i="4"/>
  <c r="AG439" i="4"/>
  <c r="AF439" i="4"/>
  <c r="AE439" i="4"/>
  <c r="AD439" i="4"/>
  <c r="AC439" i="4"/>
  <c r="AB439" i="4"/>
  <c r="AA439" i="4"/>
  <c r="Z439" i="4"/>
  <c r="Y439" i="4"/>
  <c r="X439" i="4"/>
  <c r="V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A439" i="4"/>
  <c r="CJ438" i="4"/>
  <c r="CI438" i="4"/>
  <c r="CH438" i="4"/>
  <c r="CG438" i="4"/>
  <c r="CF438" i="4"/>
  <c r="CE438" i="4"/>
  <c r="CD438" i="4"/>
  <c r="CC438" i="4"/>
  <c r="CB438" i="4"/>
  <c r="CA438" i="4"/>
  <c r="BZ438" i="4"/>
  <c r="BY438" i="4"/>
  <c r="BX438" i="4"/>
  <c r="BW438" i="4"/>
  <c r="BV438" i="4"/>
  <c r="BU438" i="4"/>
  <c r="BT438" i="4"/>
  <c r="BR438" i="4"/>
  <c r="BQ438" i="4"/>
  <c r="BP438" i="4"/>
  <c r="BO438" i="4"/>
  <c r="BN438" i="4"/>
  <c r="BM438" i="4"/>
  <c r="BL438" i="4"/>
  <c r="BK438" i="4"/>
  <c r="BJ438" i="4"/>
  <c r="BI438" i="4"/>
  <c r="BH438" i="4"/>
  <c r="BG438" i="4"/>
  <c r="BF438" i="4"/>
  <c r="BE438" i="4"/>
  <c r="BD438" i="4"/>
  <c r="BC438" i="4"/>
  <c r="BB438" i="4"/>
  <c r="BA438" i="4"/>
  <c r="AZ438" i="4"/>
  <c r="AY438" i="4"/>
  <c r="AX438" i="4"/>
  <c r="AW438" i="4"/>
  <c r="AV438" i="4"/>
  <c r="AU438" i="4"/>
  <c r="AT438" i="4"/>
  <c r="AS438" i="4"/>
  <c r="AR438" i="4"/>
  <c r="AQ438" i="4"/>
  <c r="AP438" i="4"/>
  <c r="AO438" i="4"/>
  <c r="AN438" i="4"/>
  <c r="AM438" i="4"/>
  <c r="AL438" i="4"/>
  <c r="AK438" i="4"/>
  <c r="AJ438" i="4"/>
  <c r="AI438" i="4"/>
  <c r="AH438" i="4"/>
  <c r="AG438" i="4"/>
  <c r="AF438" i="4"/>
  <c r="AE438" i="4"/>
  <c r="AD438" i="4"/>
  <c r="AC438" i="4"/>
  <c r="AB438" i="4"/>
  <c r="AA438" i="4"/>
  <c r="Z438" i="4"/>
  <c r="Y438" i="4"/>
  <c r="X438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A438" i="4"/>
  <c r="CJ437" i="4"/>
  <c r="CI437" i="4"/>
  <c r="CH437" i="4"/>
  <c r="CG437" i="4"/>
  <c r="CF437" i="4"/>
  <c r="CE437" i="4"/>
  <c r="CD437" i="4"/>
  <c r="CC437" i="4"/>
  <c r="CB437" i="4"/>
  <c r="CA437" i="4"/>
  <c r="BZ437" i="4"/>
  <c r="BY437" i="4"/>
  <c r="BX437" i="4"/>
  <c r="BW437" i="4"/>
  <c r="BV437" i="4"/>
  <c r="BU437" i="4"/>
  <c r="BT437" i="4"/>
  <c r="BR437" i="4"/>
  <c r="BQ437" i="4"/>
  <c r="BP437" i="4"/>
  <c r="BO437" i="4"/>
  <c r="BN437" i="4"/>
  <c r="BM437" i="4"/>
  <c r="BL437" i="4"/>
  <c r="BK437" i="4"/>
  <c r="BJ437" i="4"/>
  <c r="BI437" i="4"/>
  <c r="BH437" i="4"/>
  <c r="BG437" i="4"/>
  <c r="BF437" i="4"/>
  <c r="BE437" i="4"/>
  <c r="BD437" i="4"/>
  <c r="BC437" i="4"/>
  <c r="BB437" i="4"/>
  <c r="BA437" i="4"/>
  <c r="AZ437" i="4"/>
  <c r="AY437" i="4"/>
  <c r="AX437" i="4"/>
  <c r="AW437" i="4"/>
  <c r="AV437" i="4"/>
  <c r="AU437" i="4"/>
  <c r="AT437" i="4"/>
  <c r="AS437" i="4"/>
  <c r="AR437" i="4"/>
  <c r="AQ437" i="4"/>
  <c r="AP437" i="4"/>
  <c r="AO437" i="4"/>
  <c r="AN437" i="4"/>
  <c r="AM437" i="4"/>
  <c r="AL437" i="4"/>
  <c r="AK437" i="4"/>
  <c r="AJ437" i="4"/>
  <c r="AI437" i="4"/>
  <c r="AH437" i="4"/>
  <c r="AG437" i="4"/>
  <c r="AF437" i="4"/>
  <c r="AE437" i="4"/>
  <c r="AD437" i="4"/>
  <c r="AC437" i="4"/>
  <c r="AB437" i="4"/>
  <c r="AA437" i="4"/>
  <c r="Z437" i="4"/>
  <c r="Y437" i="4"/>
  <c r="X437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A437" i="4"/>
  <c r="CJ436" i="4"/>
  <c r="CI436" i="4"/>
  <c r="CH436" i="4"/>
  <c r="CG436" i="4"/>
  <c r="CF436" i="4"/>
  <c r="CE436" i="4"/>
  <c r="CD436" i="4"/>
  <c r="CC436" i="4"/>
  <c r="CB436" i="4"/>
  <c r="CA436" i="4"/>
  <c r="BZ436" i="4"/>
  <c r="BY436" i="4"/>
  <c r="BX436" i="4"/>
  <c r="BW436" i="4"/>
  <c r="BV436" i="4"/>
  <c r="BU436" i="4"/>
  <c r="BT436" i="4"/>
  <c r="BR436" i="4"/>
  <c r="BQ436" i="4"/>
  <c r="BP436" i="4"/>
  <c r="BO436" i="4"/>
  <c r="BN436" i="4"/>
  <c r="BM436" i="4"/>
  <c r="BL436" i="4"/>
  <c r="BK436" i="4"/>
  <c r="BJ436" i="4"/>
  <c r="BI436" i="4"/>
  <c r="BH436" i="4"/>
  <c r="BG436" i="4"/>
  <c r="BF436" i="4"/>
  <c r="BE436" i="4"/>
  <c r="BD436" i="4"/>
  <c r="BC436" i="4"/>
  <c r="BB436" i="4"/>
  <c r="BA436" i="4"/>
  <c r="AZ436" i="4"/>
  <c r="AY436" i="4"/>
  <c r="AX436" i="4"/>
  <c r="AW436" i="4"/>
  <c r="AV436" i="4"/>
  <c r="AU436" i="4"/>
  <c r="AT436" i="4"/>
  <c r="AS436" i="4"/>
  <c r="AR436" i="4"/>
  <c r="AQ436" i="4"/>
  <c r="AP436" i="4"/>
  <c r="AO436" i="4"/>
  <c r="AN436" i="4"/>
  <c r="AM436" i="4"/>
  <c r="AL436" i="4"/>
  <c r="AK436" i="4"/>
  <c r="AJ436" i="4"/>
  <c r="AI436" i="4"/>
  <c r="AH436" i="4"/>
  <c r="AG436" i="4"/>
  <c r="AF436" i="4"/>
  <c r="AE436" i="4"/>
  <c r="AD436" i="4"/>
  <c r="AC436" i="4"/>
  <c r="AB436" i="4"/>
  <c r="AA436" i="4"/>
  <c r="Z436" i="4"/>
  <c r="Y436" i="4"/>
  <c r="X436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A436" i="4"/>
  <c r="CJ435" i="4"/>
  <c r="CI435" i="4"/>
  <c r="CH435" i="4"/>
  <c r="CG435" i="4"/>
  <c r="CF435" i="4"/>
  <c r="CE435" i="4"/>
  <c r="CD435" i="4"/>
  <c r="CC435" i="4"/>
  <c r="CB435" i="4"/>
  <c r="CA435" i="4"/>
  <c r="BZ435" i="4"/>
  <c r="BY435" i="4"/>
  <c r="BX435" i="4"/>
  <c r="BW435" i="4"/>
  <c r="BV435" i="4"/>
  <c r="BU435" i="4"/>
  <c r="BT435" i="4"/>
  <c r="BR435" i="4"/>
  <c r="BQ435" i="4"/>
  <c r="BP435" i="4"/>
  <c r="BO435" i="4"/>
  <c r="BN435" i="4"/>
  <c r="BM435" i="4"/>
  <c r="BL435" i="4"/>
  <c r="BK435" i="4"/>
  <c r="BJ435" i="4"/>
  <c r="BI435" i="4"/>
  <c r="BH435" i="4"/>
  <c r="BG435" i="4"/>
  <c r="BF435" i="4"/>
  <c r="BE435" i="4"/>
  <c r="BD435" i="4"/>
  <c r="BC435" i="4"/>
  <c r="BB435" i="4"/>
  <c r="BA435" i="4"/>
  <c r="AZ435" i="4"/>
  <c r="AY435" i="4"/>
  <c r="AX435" i="4"/>
  <c r="AW435" i="4"/>
  <c r="AV435" i="4"/>
  <c r="AU435" i="4"/>
  <c r="AT435" i="4"/>
  <c r="AS435" i="4"/>
  <c r="AR435" i="4"/>
  <c r="AQ435" i="4"/>
  <c r="AP435" i="4"/>
  <c r="AO435" i="4"/>
  <c r="AN435" i="4"/>
  <c r="AM435" i="4"/>
  <c r="AL435" i="4"/>
  <c r="AK435" i="4"/>
  <c r="AJ435" i="4"/>
  <c r="AI435" i="4"/>
  <c r="AH435" i="4"/>
  <c r="AG435" i="4"/>
  <c r="AF435" i="4"/>
  <c r="AE435" i="4"/>
  <c r="AD435" i="4"/>
  <c r="AC435" i="4"/>
  <c r="AB435" i="4"/>
  <c r="AA435" i="4"/>
  <c r="Z435" i="4"/>
  <c r="Y435" i="4"/>
  <c r="X435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A435" i="4"/>
  <c r="CJ434" i="4"/>
  <c r="CI434" i="4"/>
  <c r="CH434" i="4"/>
  <c r="CG434" i="4"/>
  <c r="CF434" i="4"/>
  <c r="CE434" i="4"/>
  <c r="CD434" i="4"/>
  <c r="CC434" i="4"/>
  <c r="CB434" i="4"/>
  <c r="CA434" i="4"/>
  <c r="BZ434" i="4"/>
  <c r="BY434" i="4"/>
  <c r="BX434" i="4"/>
  <c r="BW434" i="4"/>
  <c r="BV434" i="4"/>
  <c r="BU434" i="4"/>
  <c r="BT434" i="4"/>
  <c r="BR434" i="4"/>
  <c r="BQ434" i="4"/>
  <c r="BP434" i="4"/>
  <c r="BO434" i="4"/>
  <c r="BN434" i="4"/>
  <c r="BM434" i="4"/>
  <c r="BL434" i="4"/>
  <c r="BK434" i="4"/>
  <c r="BJ434" i="4"/>
  <c r="BI434" i="4"/>
  <c r="BH434" i="4"/>
  <c r="BG434" i="4"/>
  <c r="BF434" i="4"/>
  <c r="BE434" i="4"/>
  <c r="BD434" i="4"/>
  <c r="BC434" i="4"/>
  <c r="BB434" i="4"/>
  <c r="BA434" i="4"/>
  <c r="AZ434" i="4"/>
  <c r="AY434" i="4"/>
  <c r="AX434" i="4"/>
  <c r="AW434" i="4"/>
  <c r="AV434" i="4"/>
  <c r="AU434" i="4"/>
  <c r="AT434" i="4"/>
  <c r="AS434" i="4"/>
  <c r="AR434" i="4"/>
  <c r="AQ434" i="4"/>
  <c r="AP434" i="4"/>
  <c r="AO434" i="4"/>
  <c r="AN434" i="4"/>
  <c r="AM434" i="4"/>
  <c r="AL434" i="4"/>
  <c r="AK434" i="4"/>
  <c r="AJ434" i="4"/>
  <c r="AI434" i="4"/>
  <c r="AH434" i="4"/>
  <c r="AG434" i="4"/>
  <c r="AF434" i="4"/>
  <c r="AE434" i="4"/>
  <c r="AD434" i="4"/>
  <c r="AC434" i="4"/>
  <c r="AB434" i="4"/>
  <c r="AA434" i="4"/>
  <c r="Z434" i="4"/>
  <c r="Y434" i="4"/>
  <c r="X434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A434" i="4"/>
  <c r="CJ433" i="4"/>
  <c r="CI433" i="4"/>
  <c r="CH433" i="4"/>
  <c r="CG433" i="4"/>
  <c r="CF433" i="4"/>
  <c r="CE433" i="4"/>
  <c r="CD433" i="4"/>
  <c r="CC433" i="4"/>
  <c r="CB433" i="4"/>
  <c r="CA433" i="4"/>
  <c r="BZ433" i="4"/>
  <c r="BY433" i="4"/>
  <c r="BX433" i="4"/>
  <c r="BV433" i="4"/>
  <c r="BU433" i="4"/>
  <c r="BT433" i="4"/>
  <c r="BR433" i="4"/>
  <c r="BQ433" i="4"/>
  <c r="BP433" i="4"/>
  <c r="BO433" i="4"/>
  <c r="BN433" i="4"/>
  <c r="BM433" i="4"/>
  <c r="BL433" i="4"/>
  <c r="BK433" i="4"/>
  <c r="BJ433" i="4"/>
  <c r="BI433" i="4"/>
  <c r="BH433" i="4"/>
  <c r="BG433" i="4"/>
  <c r="BF433" i="4"/>
  <c r="BE433" i="4"/>
  <c r="BD433" i="4"/>
  <c r="BC433" i="4"/>
  <c r="BB433" i="4"/>
  <c r="BA433" i="4"/>
  <c r="AZ433" i="4"/>
  <c r="AY433" i="4"/>
  <c r="AX433" i="4"/>
  <c r="AW433" i="4"/>
  <c r="AV433" i="4"/>
  <c r="AU433" i="4"/>
  <c r="AT433" i="4"/>
  <c r="AS433" i="4"/>
  <c r="AR433" i="4"/>
  <c r="AQ433" i="4"/>
  <c r="AP433" i="4"/>
  <c r="AO433" i="4"/>
  <c r="AN433" i="4"/>
  <c r="AM433" i="4"/>
  <c r="AL433" i="4"/>
  <c r="AK433" i="4"/>
  <c r="AJ433" i="4"/>
  <c r="AI433" i="4"/>
  <c r="AH433" i="4"/>
  <c r="AG433" i="4"/>
  <c r="AF433" i="4"/>
  <c r="AE433" i="4"/>
  <c r="AD433" i="4"/>
  <c r="AC433" i="4"/>
  <c r="AB433" i="4"/>
  <c r="AA433" i="4"/>
  <c r="Z433" i="4"/>
  <c r="Y433" i="4"/>
  <c r="X433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A433" i="4"/>
  <c r="CJ432" i="4"/>
  <c r="CI432" i="4"/>
  <c r="CH432" i="4"/>
  <c r="CG432" i="4"/>
  <c r="CF432" i="4"/>
  <c r="CE432" i="4"/>
  <c r="CD432" i="4"/>
  <c r="CC432" i="4"/>
  <c r="CB432" i="4"/>
  <c r="CA432" i="4"/>
  <c r="BZ432" i="4"/>
  <c r="BY432" i="4"/>
  <c r="BX432" i="4"/>
  <c r="BV432" i="4"/>
  <c r="BU432" i="4"/>
  <c r="BT432" i="4"/>
  <c r="BR432" i="4"/>
  <c r="BQ432" i="4"/>
  <c r="BP432" i="4"/>
  <c r="BO432" i="4"/>
  <c r="BN432" i="4"/>
  <c r="BM432" i="4"/>
  <c r="BL432" i="4"/>
  <c r="BK432" i="4"/>
  <c r="BJ432" i="4"/>
  <c r="BI432" i="4"/>
  <c r="BH432" i="4"/>
  <c r="BG432" i="4"/>
  <c r="BF432" i="4"/>
  <c r="BE432" i="4"/>
  <c r="BD432" i="4"/>
  <c r="BC432" i="4"/>
  <c r="BB432" i="4"/>
  <c r="BA432" i="4"/>
  <c r="AZ432" i="4"/>
  <c r="AY432" i="4"/>
  <c r="AX432" i="4"/>
  <c r="AW432" i="4"/>
  <c r="AV432" i="4"/>
  <c r="AU432" i="4"/>
  <c r="AT432" i="4"/>
  <c r="AS432" i="4"/>
  <c r="AR432" i="4"/>
  <c r="AQ432" i="4"/>
  <c r="AP432" i="4"/>
  <c r="AO432" i="4"/>
  <c r="AN432" i="4"/>
  <c r="AM432" i="4"/>
  <c r="AL432" i="4"/>
  <c r="AK432" i="4"/>
  <c r="AJ432" i="4"/>
  <c r="AI432" i="4"/>
  <c r="AH432" i="4"/>
  <c r="AG432" i="4"/>
  <c r="AF432" i="4"/>
  <c r="AE432" i="4"/>
  <c r="AD432" i="4"/>
  <c r="AC432" i="4"/>
  <c r="AB432" i="4"/>
  <c r="AA432" i="4"/>
  <c r="Z432" i="4"/>
  <c r="Y432" i="4"/>
  <c r="X432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A432" i="4"/>
  <c r="CJ431" i="4"/>
  <c r="CI431" i="4"/>
  <c r="CH431" i="4"/>
  <c r="CG431" i="4"/>
  <c r="CF431" i="4"/>
  <c r="CE431" i="4"/>
  <c r="CD431" i="4"/>
  <c r="CC431" i="4"/>
  <c r="CB431" i="4"/>
  <c r="CA431" i="4"/>
  <c r="BZ431" i="4"/>
  <c r="BY431" i="4"/>
  <c r="BX431" i="4"/>
  <c r="BV431" i="4"/>
  <c r="BU431" i="4"/>
  <c r="BT431" i="4"/>
  <c r="BR431" i="4"/>
  <c r="BQ431" i="4"/>
  <c r="BP431" i="4"/>
  <c r="BO431" i="4"/>
  <c r="BN431" i="4"/>
  <c r="BM431" i="4"/>
  <c r="BL431" i="4"/>
  <c r="BK431" i="4"/>
  <c r="BJ431" i="4"/>
  <c r="BI431" i="4"/>
  <c r="BH431" i="4"/>
  <c r="BG431" i="4"/>
  <c r="BF431" i="4"/>
  <c r="BE431" i="4"/>
  <c r="BD431" i="4"/>
  <c r="BC431" i="4"/>
  <c r="BB431" i="4"/>
  <c r="BA431" i="4"/>
  <c r="AZ431" i="4"/>
  <c r="AY431" i="4"/>
  <c r="AX431" i="4"/>
  <c r="AW431" i="4"/>
  <c r="AV431" i="4"/>
  <c r="AU431" i="4"/>
  <c r="AT431" i="4"/>
  <c r="AS431" i="4"/>
  <c r="AR431" i="4"/>
  <c r="AQ431" i="4"/>
  <c r="AP431" i="4"/>
  <c r="AO431" i="4"/>
  <c r="AN431" i="4"/>
  <c r="AM431" i="4"/>
  <c r="AL431" i="4"/>
  <c r="AK431" i="4"/>
  <c r="AJ431" i="4"/>
  <c r="AI431" i="4"/>
  <c r="AH431" i="4"/>
  <c r="AG431" i="4"/>
  <c r="AF431" i="4"/>
  <c r="AE431" i="4"/>
  <c r="AD431" i="4"/>
  <c r="AC431" i="4"/>
  <c r="AB431" i="4"/>
  <c r="AA431" i="4"/>
  <c r="Z431" i="4"/>
  <c r="Y431" i="4"/>
  <c r="X431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A431" i="4"/>
  <c r="CJ430" i="4"/>
  <c r="CI430" i="4"/>
  <c r="CH430" i="4"/>
  <c r="CG430" i="4"/>
  <c r="CF430" i="4"/>
  <c r="CE430" i="4"/>
  <c r="CD430" i="4"/>
  <c r="CC430" i="4"/>
  <c r="CB430" i="4"/>
  <c r="CA430" i="4"/>
  <c r="BZ430" i="4"/>
  <c r="BY430" i="4"/>
  <c r="BX430" i="4"/>
  <c r="BV430" i="4"/>
  <c r="BU430" i="4"/>
  <c r="BT430" i="4"/>
  <c r="BR430" i="4"/>
  <c r="BQ430" i="4"/>
  <c r="BP430" i="4"/>
  <c r="BO430" i="4"/>
  <c r="BN430" i="4"/>
  <c r="BM430" i="4"/>
  <c r="BL430" i="4"/>
  <c r="BK430" i="4"/>
  <c r="BJ430" i="4"/>
  <c r="BI430" i="4"/>
  <c r="BH430" i="4"/>
  <c r="BG430" i="4"/>
  <c r="BF430" i="4"/>
  <c r="BE430" i="4"/>
  <c r="BD430" i="4"/>
  <c r="BC430" i="4"/>
  <c r="BB430" i="4"/>
  <c r="BA430" i="4"/>
  <c r="AZ430" i="4"/>
  <c r="AY430" i="4"/>
  <c r="AX430" i="4"/>
  <c r="AW430" i="4"/>
  <c r="AV430" i="4"/>
  <c r="AU430" i="4"/>
  <c r="AT430" i="4"/>
  <c r="AS430" i="4"/>
  <c r="AR430" i="4"/>
  <c r="AQ430" i="4"/>
  <c r="AP430" i="4"/>
  <c r="AO430" i="4"/>
  <c r="AN430" i="4"/>
  <c r="AM430" i="4"/>
  <c r="AL430" i="4"/>
  <c r="AK430" i="4"/>
  <c r="AJ430" i="4"/>
  <c r="AI430" i="4"/>
  <c r="AH430" i="4"/>
  <c r="AG430" i="4"/>
  <c r="AF430" i="4"/>
  <c r="AE430" i="4"/>
  <c r="AD430" i="4"/>
  <c r="AC430" i="4"/>
  <c r="AB430" i="4"/>
  <c r="AA430" i="4"/>
  <c r="Z430" i="4"/>
  <c r="Y430" i="4"/>
  <c r="X430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A430" i="4"/>
  <c r="CJ429" i="4"/>
  <c r="CI429" i="4"/>
  <c r="CH429" i="4"/>
  <c r="CG429" i="4"/>
  <c r="CF429" i="4"/>
  <c r="CE429" i="4"/>
  <c r="CD429" i="4"/>
  <c r="CC429" i="4"/>
  <c r="CB429" i="4"/>
  <c r="CA429" i="4"/>
  <c r="BZ429" i="4"/>
  <c r="BY429" i="4"/>
  <c r="BX429" i="4"/>
  <c r="BV429" i="4"/>
  <c r="BU429" i="4"/>
  <c r="BT429" i="4"/>
  <c r="BR429" i="4"/>
  <c r="BQ429" i="4"/>
  <c r="BP429" i="4"/>
  <c r="BO429" i="4"/>
  <c r="BN429" i="4"/>
  <c r="BM429" i="4"/>
  <c r="BL429" i="4"/>
  <c r="BK429" i="4"/>
  <c r="BJ429" i="4"/>
  <c r="BI429" i="4"/>
  <c r="BH429" i="4"/>
  <c r="BG429" i="4"/>
  <c r="BF429" i="4"/>
  <c r="BE429" i="4"/>
  <c r="BD429" i="4"/>
  <c r="BC429" i="4"/>
  <c r="BB429" i="4"/>
  <c r="BA429" i="4"/>
  <c r="AZ429" i="4"/>
  <c r="AY429" i="4"/>
  <c r="AX429" i="4"/>
  <c r="AW429" i="4"/>
  <c r="AV429" i="4"/>
  <c r="AU429" i="4"/>
  <c r="AT429" i="4"/>
  <c r="AS429" i="4"/>
  <c r="AR429" i="4"/>
  <c r="AQ429" i="4"/>
  <c r="AP429" i="4"/>
  <c r="AO429" i="4"/>
  <c r="AN429" i="4"/>
  <c r="AM429" i="4"/>
  <c r="AL429" i="4"/>
  <c r="AK429" i="4"/>
  <c r="AJ429" i="4"/>
  <c r="AI429" i="4"/>
  <c r="AH429" i="4"/>
  <c r="AG429" i="4"/>
  <c r="AF429" i="4"/>
  <c r="AE429" i="4"/>
  <c r="AD429" i="4"/>
  <c r="AC429" i="4"/>
  <c r="AB429" i="4"/>
  <c r="AA429" i="4"/>
  <c r="Z429" i="4"/>
  <c r="Y429" i="4"/>
  <c r="X429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A429" i="4"/>
  <c r="CJ428" i="4"/>
  <c r="CI428" i="4"/>
  <c r="CH428" i="4"/>
  <c r="CG428" i="4"/>
  <c r="CF428" i="4"/>
  <c r="CE428" i="4"/>
  <c r="CD428" i="4"/>
  <c r="CC428" i="4"/>
  <c r="CB428" i="4"/>
  <c r="CA428" i="4"/>
  <c r="BZ428" i="4"/>
  <c r="BY428" i="4"/>
  <c r="BX428" i="4"/>
  <c r="BV428" i="4"/>
  <c r="BU428" i="4"/>
  <c r="BT428" i="4"/>
  <c r="BR428" i="4"/>
  <c r="BQ428" i="4"/>
  <c r="BP428" i="4"/>
  <c r="BO428" i="4"/>
  <c r="BN428" i="4"/>
  <c r="BM428" i="4"/>
  <c r="BL428" i="4"/>
  <c r="BK428" i="4"/>
  <c r="BJ428" i="4"/>
  <c r="BI428" i="4"/>
  <c r="BH428" i="4"/>
  <c r="BG428" i="4"/>
  <c r="BF428" i="4"/>
  <c r="BE428" i="4"/>
  <c r="BD428" i="4"/>
  <c r="BC428" i="4"/>
  <c r="BB428" i="4"/>
  <c r="BA428" i="4"/>
  <c r="AZ428" i="4"/>
  <c r="AY428" i="4"/>
  <c r="AX428" i="4"/>
  <c r="AW428" i="4"/>
  <c r="AV428" i="4"/>
  <c r="AU428" i="4"/>
  <c r="AT428" i="4"/>
  <c r="AS428" i="4"/>
  <c r="AR428" i="4"/>
  <c r="AQ428" i="4"/>
  <c r="AP428" i="4"/>
  <c r="AO428" i="4"/>
  <c r="AN428" i="4"/>
  <c r="AM428" i="4"/>
  <c r="AL428" i="4"/>
  <c r="AK428" i="4"/>
  <c r="AJ428" i="4"/>
  <c r="AI428" i="4"/>
  <c r="AH428" i="4"/>
  <c r="AG428" i="4"/>
  <c r="AF428" i="4"/>
  <c r="AE428" i="4"/>
  <c r="AD428" i="4"/>
  <c r="AC428" i="4"/>
  <c r="AB428" i="4"/>
  <c r="AA428" i="4"/>
  <c r="Z428" i="4"/>
  <c r="Y428" i="4"/>
  <c r="X428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A428" i="4"/>
  <c r="CJ427" i="4"/>
  <c r="CI427" i="4"/>
  <c r="CH427" i="4"/>
  <c r="CG427" i="4"/>
  <c r="CF427" i="4"/>
  <c r="CE427" i="4"/>
  <c r="CD427" i="4"/>
  <c r="CC427" i="4"/>
  <c r="CB427" i="4"/>
  <c r="CA427" i="4"/>
  <c r="BZ427" i="4"/>
  <c r="BY427" i="4"/>
  <c r="BX427" i="4"/>
  <c r="BV427" i="4"/>
  <c r="BU427" i="4"/>
  <c r="BT427" i="4"/>
  <c r="BR427" i="4"/>
  <c r="BQ427" i="4"/>
  <c r="BP427" i="4"/>
  <c r="BO427" i="4"/>
  <c r="BN427" i="4"/>
  <c r="BM427" i="4"/>
  <c r="BL427" i="4"/>
  <c r="BK427" i="4"/>
  <c r="BJ427" i="4"/>
  <c r="BI427" i="4"/>
  <c r="BH427" i="4"/>
  <c r="BG427" i="4"/>
  <c r="BF427" i="4"/>
  <c r="BE427" i="4"/>
  <c r="BD427" i="4"/>
  <c r="BC427" i="4"/>
  <c r="BB427" i="4"/>
  <c r="BA427" i="4"/>
  <c r="AZ427" i="4"/>
  <c r="AY427" i="4"/>
  <c r="AX427" i="4"/>
  <c r="AW427" i="4"/>
  <c r="AV427" i="4"/>
  <c r="AU427" i="4"/>
  <c r="AT427" i="4"/>
  <c r="AS427" i="4"/>
  <c r="AR427" i="4"/>
  <c r="AQ427" i="4"/>
  <c r="AP427" i="4"/>
  <c r="AO427" i="4"/>
  <c r="AN427" i="4"/>
  <c r="AM427" i="4"/>
  <c r="AL427" i="4"/>
  <c r="AK427" i="4"/>
  <c r="AJ427" i="4"/>
  <c r="AI427" i="4"/>
  <c r="AH427" i="4"/>
  <c r="AG427" i="4"/>
  <c r="AF427" i="4"/>
  <c r="AE427" i="4"/>
  <c r="AD427" i="4"/>
  <c r="AC427" i="4"/>
  <c r="AB427" i="4"/>
  <c r="AA427" i="4"/>
  <c r="Z427" i="4"/>
  <c r="Y427" i="4"/>
  <c r="X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A427" i="4"/>
  <c r="CJ426" i="4"/>
  <c r="CI426" i="4"/>
  <c r="CH426" i="4"/>
  <c r="CG426" i="4"/>
  <c r="CF426" i="4"/>
  <c r="CE426" i="4"/>
  <c r="CD426" i="4"/>
  <c r="CC426" i="4"/>
  <c r="CB426" i="4"/>
  <c r="CA426" i="4"/>
  <c r="BZ426" i="4"/>
  <c r="BY426" i="4"/>
  <c r="BX426" i="4"/>
  <c r="BV426" i="4"/>
  <c r="BU426" i="4"/>
  <c r="BT426" i="4"/>
  <c r="BR426" i="4"/>
  <c r="BQ426" i="4"/>
  <c r="BP426" i="4"/>
  <c r="BO426" i="4"/>
  <c r="BN426" i="4"/>
  <c r="BM426" i="4"/>
  <c r="BL426" i="4"/>
  <c r="BK426" i="4"/>
  <c r="BJ426" i="4"/>
  <c r="BI426" i="4"/>
  <c r="BH426" i="4"/>
  <c r="BG426" i="4"/>
  <c r="BF426" i="4"/>
  <c r="BE426" i="4"/>
  <c r="BD426" i="4"/>
  <c r="BC426" i="4"/>
  <c r="BB426" i="4"/>
  <c r="BA426" i="4"/>
  <c r="AZ426" i="4"/>
  <c r="AY426" i="4"/>
  <c r="AX426" i="4"/>
  <c r="AW426" i="4"/>
  <c r="AV426" i="4"/>
  <c r="AU426" i="4"/>
  <c r="AT426" i="4"/>
  <c r="AS426" i="4"/>
  <c r="AR426" i="4"/>
  <c r="AQ426" i="4"/>
  <c r="AP426" i="4"/>
  <c r="AO426" i="4"/>
  <c r="AN426" i="4"/>
  <c r="AM426" i="4"/>
  <c r="AL426" i="4"/>
  <c r="AK426" i="4"/>
  <c r="AJ426" i="4"/>
  <c r="AI426" i="4"/>
  <c r="AH426" i="4"/>
  <c r="AG426" i="4"/>
  <c r="AF426" i="4"/>
  <c r="AE426" i="4"/>
  <c r="AD426" i="4"/>
  <c r="AC426" i="4"/>
  <c r="AB426" i="4"/>
  <c r="AA426" i="4"/>
  <c r="Z426" i="4"/>
  <c r="Y426" i="4"/>
  <c r="X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A426" i="4"/>
  <c r="CJ425" i="4"/>
  <c r="CI425" i="4"/>
  <c r="CH425" i="4"/>
  <c r="CG425" i="4"/>
  <c r="CF425" i="4"/>
  <c r="CE425" i="4"/>
  <c r="CD425" i="4"/>
  <c r="CC425" i="4"/>
  <c r="CB425" i="4"/>
  <c r="CA425" i="4"/>
  <c r="BZ425" i="4"/>
  <c r="BY425" i="4"/>
  <c r="BX425" i="4"/>
  <c r="BV425" i="4"/>
  <c r="BU425" i="4"/>
  <c r="BT425" i="4"/>
  <c r="BR425" i="4"/>
  <c r="BQ425" i="4"/>
  <c r="BP425" i="4"/>
  <c r="BO425" i="4"/>
  <c r="BN425" i="4"/>
  <c r="BM425" i="4"/>
  <c r="BL425" i="4"/>
  <c r="BK425" i="4"/>
  <c r="BJ425" i="4"/>
  <c r="BI425" i="4"/>
  <c r="BH425" i="4"/>
  <c r="BG425" i="4"/>
  <c r="BF425" i="4"/>
  <c r="BE425" i="4"/>
  <c r="BD425" i="4"/>
  <c r="BC425" i="4"/>
  <c r="BB425" i="4"/>
  <c r="BA425" i="4"/>
  <c r="AZ425" i="4"/>
  <c r="AY425" i="4"/>
  <c r="AX425" i="4"/>
  <c r="AW425" i="4"/>
  <c r="AV425" i="4"/>
  <c r="AU425" i="4"/>
  <c r="AT425" i="4"/>
  <c r="AS425" i="4"/>
  <c r="AR425" i="4"/>
  <c r="AQ425" i="4"/>
  <c r="AP425" i="4"/>
  <c r="AO425" i="4"/>
  <c r="AN425" i="4"/>
  <c r="AM425" i="4"/>
  <c r="AL425" i="4"/>
  <c r="AK425" i="4"/>
  <c r="AJ425" i="4"/>
  <c r="AI425" i="4"/>
  <c r="AH425" i="4"/>
  <c r="AG425" i="4"/>
  <c r="AF425" i="4"/>
  <c r="AE425" i="4"/>
  <c r="AD425" i="4"/>
  <c r="AC425" i="4"/>
  <c r="AB425" i="4"/>
  <c r="AA425" i="4"/>
  <c r="Z425" i="4"/>
  <c r="Y425" i="4"/>
  <c r="X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A425" i="4"/>
  <c r="CJ424" i="4"/>
  <c r="CI424" i="4"/>
  <c r="CH424" i="4"/>
  <c r="CG424" i="4"/>
  <c r="CF424" i="4"/>
  <c r="CE424" i="4"/>
  <c r="CD424" i="4"/>
  <c r="CC424" i="4"/>
  <c r="CB424" i="4"/>
  <c r="CA424" i="4"/>
  <c r="BZ424" i="4"/>
  <c r="BY424" i="4"/>
  <c r="BX424" i="4"/>
  <c r="BV424" i="4"/>
  <c r="BU424" i="4"/>
  <c r="BT424" i="4"/>
  <c r="BR424" i="4"/>
  <c r="BQ424" i="4"/>
  <c r="BP424" i="4"/>
  <c r="BO424" i="4"/>
  <c r="BN424" i="4"/>
  <c r="BM424" i="4"/>
  <c r="BL424" i="4"/>
  <c r="BK424" i="4"/>
  <c r="BJ424" i="4"/>
  <c r="BI424" i="4"/>
  <c r="BH424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/>
  <c r="AR424" i="4"/>
  <c r="AQ424" i="4"/>
  <c r="AP424" i="4"/>
  <c r="AO424" i="4"/>
  <c r="AN424" i="4"/>
  <c r="AM424" i="4"/>
  <c r="AL424" i="4"/>
  <c r="AK424" i="4"/>
  <c r="AJ424" i="4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A424" i="4"/>
  <c r="CJ423" i="4"/>
  <c r="CI423" i="4"/>
  <c r="CH423" i="4"/>
  <c r="CG423" i="4"/>
  <c r="CF423" i="4"/>
  <c r="CE423" i="4"/>
  <c r="CD423" i="4"/>
  <c r="CC423" i="4"/>
  <c r="CB423" i="4"/>
  <c r="CA423" i="4"/>
  <c r="BZ423" i="4"/>
  <c r="BY423" i="4"/>
  <c r="BX423" i="4"/>
  <c r="BV423" i="4"/>
  <c r="BU423" i="4"/>
  <c r="BT423" i="4"/>
  <c r="BR423" i="4"/>
  <c r="BQ423" i="4"/>
  <c r="BP423" i="4"/>
  <c r="BO423" i="4"/>
  <c r="BN423" i="4"/>
  <c r="BM423" i="4"/>
  <c r="BL423" i="4"/>
  <c r="BK423" i="4"/>
  <c r="BJ423" i="4"/>
  <c r="BI423" i="4"/>
  <c r="BH423" i="4"/>
  <c r="BG423" i="4"/>
  <c r="BF423" i="4"/>
  <c r="BE423" i="4"/>
  <c r="BD423" i="4"/>
  <c r="BC423" i="4"/>
  <c r="BB423" i="4"/>
  <c r="BA423" i="4"/>
  <c r="AZ423" i="4"/>
  <c r="AY423" i="4"/>
  <c r="AX423" i="4"/>
  <c r="AW423" i="4"/>
  <c r="AV423" i="4"/>
  <c r="AU423" i="4"/>
  <c r="AT423" i="4"/>
  <c r="AS423" i="4"/>
  <c r="AR423" i="4"/>
  <c r="AQ423" i="4"/>
  <c r="AP423" i="4"/>
  <c r="AO423" i="4"/>
  <c r="AN423" i="4"/>
  <c r="AM423" i="4"/>
  <c r="AL423" i="4"/>
  <c r="AK423" i="4"/>
  <c r="AJ423" i="4"/>
  <c r="AI423" i="4"/>
  <c r="AH423" i="4"/>
  <c r="AG423" i="4"/>
  <c r="AF423" i="4"/>
  <c r="AE423" i="4"/>
  <c r="AD423" i="4"/>
  <c r="AC423" i="4"/>
  <c r="AB423" i="4"/>
  <c r="AA423" i="4"/>
  <c r="Z423" i="4"/>
  <c r="Y423" i="4"/>
  <c r="X423" i="4"/>
  <c r="V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A423" i="4"/>
  <c r="CJ422" i="4"/>
  <c r="CI422" i="4"/>
  <c r="CH422" i="4"/>
  <c r="CG422" i="4"/>
  <c r="CF422" i="4"/>
  <c r="CE422" i="4"/>
  <c r="CD422" i="4"/>
  <c r="CC422" i="4"/>
  <c r="CB422" i="4"/>
  <c r="CA422" i="4"/>
  <c r="BZ422" i="4"/>
  <c r="BY422" i="4"/>
  <c r="BX422" i="4"/>
  <c r="BV422" i="4"/>
  <c r="BU422" i="4"/>
  <c r="BT422" i="4"/>
  <c r="BR422" i="4"/>
  <c r="BQ422" i="4"/>
  <c r="BP422" i="4"/>
  <c r="BO422" i="4"/>
  <c r="BN422" i="4"/>
  <c r="BM422" i="4"/>
  <c r="BL422" i="4"/>
  <c r="BK422" i="4"/>
  <c r="BJ422" i="4"/>
  <c r="BI422" i="4"/>
  <c r="BH422" i="4"/>
  <c r="BG422" i="4"/>
  <c r="BF422" i="4"/>
  <c r="BE422" i="4"/>
  <c r="BD422" i="4"/>
  <c r="BC422" i="4"/>
  <c r="BB422" i="4"/>
  <c r="BA422" i="4"/>
  <c r="AZ422" i="4"/>
  <c r="AY422" i="4"/>
  <c r="AX422" i="4"/>
  <c r="AW422" i="4"/>
  <c r="AV422" i="4"/>
  <c r="AU422" i="4"/>
  <c r="AT422" i="4"/>
  <c r="AS422" i="4"/>
  <c r="AR422" i="4"/>
  <c r="AQ422" i="4"/>
  <c r="AP422" i="4"/>
  <c r="AO422" i="4"/>
  <c r="AN422" i="4"/>
  <c r="AM422" i="4"/>
  <c r="AL422" i="4"/>
  <c r="AK422" i="4"/>
  <c r="AJ422" i="4"/>
  <c r="AI422" i="4"/>
  <c r="AH422" i="4"/>
  <c r="AG422" i="4"/>
  <c r="AF422" i="4"/>
  <c r="AE422" i="4"/>
  <c r="AD422" i="4"/>
  <c r="AC422" i="4"/>
  <c r="AB422" i="4"/>
  <c r="AA422" i="4"/>
  <c r="Z422" i="4"/>
  <c r="Y422" i="4"/>
  <c r="X422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A422" i="4"/>
  <c r="CJ421" i="4"/>
  <c r="CI421" i="4"/>
  <c r="CH421" i="4"/>
  <c r="CG421" i="4"/>
  <c r="CF421" i="4"/>
  <c r="CE421" i="4"/>
  <c r="CD421" i="4"/>
  <c r="CC421" i="4"/>
  <c r="CB421" i="4"/>
  <c r="CA421" i="4"/>
  <c r="BZ421" i="4"/>
  <c r="BY421" i="4"/>
  <c r="BX421" i="4"/>
  <c r="BV421" i="4"/>
  <c r="BU421" i="4"/>
  <c r="BT421" i="4"/>
  <c r="BR421" i="4"/>
  <c r="BQ421" i="4"/>
  <c r="BP421" i="4"/>
  <c r="BO421" i="4"/>
  <c r="BN421" i="4"/>
  <c r="BM421" i="4"/>
  <c r="BL421" i="4"/>
  <c r="BK421" i="4"/>
  <c r="BJ421" i="4"/>
  <c r="BI421" i="4"/>
  <c r="BH421" i="4"/>
  <c r="BG421" i="4"/>
  <c r="BF421" i="4"/>
  <c r="BE421" i="4"/>
  <c r="BD421" i="4"/>
  <c r="BC421" i="4"/>
  <c r="BB421" i="4"/>
  <c r="BA421" i="4"/>
  <c r="AZ421" i="4"/>
  <c r="AY421" i="4"/>
  <c r="AX421" i="4"/>
  <c r="AW421" i="4"/>
  <c r="AV421" i="4"/>
  <c r="AU421" i="4"/>
  <c r="AT421" i="4"/>
  <c r="AS421" i="4"/>
  <c r="AR421" i="4"/>
  <c r="AQ421" i="4"/>
  <c r="AP421" i="4"/>
  <c r="AO421" i="4"/>
  <c r="AN421" i="4"/>
  <c r="AM421" i="4"/>
  <c r="AL421" i="4"/>
  <c r="AK421" i="4"/>
  <c r="AJ421" i="4"/>
  <c r="AI421" i="4"/>
  <c r="AH421" i="4"/>
  <c r="AG421" i="4"/>
  <c r="AF421" i="4"/>
  <c r="AE421" i="4"/>
  <c r="AD421" i="4"/>
  <c r="AC421" i="4"/>
  <c r="AB421" i="4"/>
  <c r="AA421" i="4"/>
  <c r="Z421" i="4"/>
  <c r="Y421" i="4"/>
  <c r="X421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A421" i="4"/>
  <c r="CJ420" i="4"/>
  <c r="CI420" i="4"/>
  <c r="CH420" i="4"/>
  <c r="CG420" i="4"/>
  <c r="CF420" i="4"/>
  <c r="CE420" i="4"/>
  <c r="CD420" i="4"/>
  <c r="CC420" i="4"/>
  <c r="CB420" i="4"/>
  <c r="CA420" i="4"/>
  <c r="BZ420" i="4"/>
  <c r="BY420" i="4"/>
  <c r="BX420" i="4"/>
  <c r="BV420" i="4"/>
  <c r="BU420" i="4"/>
  <c r="BT420" i="4"/>
  <c r="BR420" i="4"/>
  <c r="BQ420" i="4"/>
  <c r="BP420" i="4"/>
  <c r="BO420" i="4"/>
  <c r="BN420" i="4"/>
  <c r="BM420" i="4"/>
  <c r="BL420" i="4"/>
  <c r="BK420" i="4"/>
  <c r="BJ420" i="4"/>
  <c r="BI420" i="4"/>
  <c r="BH420" i="4"/>
  <c r="BG420" i="4"/>
  <c r="BF420" i="4"/>
  <c r="BE420" i="4"/>
  <c r="BD420" i="4"/>
  <c r="BC420" i="4"/>
  <c r="BB420" i="4"/>
  <c r="BA420" i="4"/>
  <c r="AZ420" i="4"/>
  <c r="AY420" i="4"/>
  <c r="AX420" i="4"/>
  <c r="AW420" i="4"/>
  <c r="AV420" i="4"/>
  <c r="AU420" i="4"/>
  <c r="AT420" i="4"/>
  <c r="AS420" i="4"/>
  <c r="AR420" i="4"/>
  <c r="AQ420" i="4"/>
  <c r="AP420" i="4"/>
  <c r="AO420" i="4"/>
  <c r="AN420" i="4"/>
  <c r="AM420" i="4"/>
  <c r="AL420" i="4"/>
  <c r="AK420" i="4"/>
  <c r="AJ420" i="4"/>
  <c r="AI420" i="4"/>
  <c r="AH420" i="4"/>
  <c r="AG420" i="4"/>
  <c r="AF420" i="4"/>
  <c r="AE420" i="4"/>
  <c r="AD420" i="4"/>
  <c r="AC420" i="4"/>
  <c r="AB420" i="4"/>
  <c r="AA420" i="4"/>
  <c r="Z420" i="4"/>
  <c r="Y420" i="4"/>
  <c r="X420" i="4"/>
  <c r="V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F420" i="4"/>
  <c r="E420" i="4"/>
  <c r="D420" i="4"/>
  <c r="C420" i="4"/>
  <c r="B420" i="4"/>
  <c r="A420" i="4"/>
  <c r="CJ419" i="4"/>
  <c r="CI419" i="4"/>
  <c r="CH419" i="4"/>
  <c r="CG419" i="4"/>
  <c r="CF419" i="4"/>
  <c r="CE419" i="4"/>
  <c r="CD419" i="4"/>
  <c r="CC419" i="4"/>
  <c r="CB419" i="4"/>
  <c r="CA419" i="4"/>
  <c r="BZ419" i="4"/>
  <c r="BY419" i="4"/>
  <c r="BX419" i="4"/>
  <c r="BV419" i="4"/>
  <c r="BU419" i="4"/>
  <c r="BT419" i="4"/>
  <c r="BR419" i="4"/>
  <c r="BQ419" i="4"/>
  <c r="BP419" i="4"/>
  <c r="BO419" i="4"/>
  <c r="BN419" i="4"/>
  <c r="BM419" i="4"/>
  <c r="BL419" i="4"/>
  <c r="BK419" i="4"/>
  <c r="BJ419" i="4"/>
  <c r="BI419" i="4"/>
  <c r="BH419" i="4"/>
  <c r="BG419" i="4"/>
  <c r="BF419" i="4"/>
  <c r="BE419" i="4"/>
  <c r="BD419" i="4"/>
  <c r="BC419" i="4"/>
  <c r="BB419" i="4"/>
  <c r="BA419" i="4"/>
  <c r="AZ419" i="4"/>
  <c r="AY419" i="4"/>
  <c r="AX419" i="4"/>
  <c r="AW419" i="4"/>
  <c r="AV419" i="4"/>
  <c r="AU419" i="4"/>
  <c r="AT419" i="4"/>
  <c r="AS419" i="4"/>
  <c r="AR419" i="4"/>
  <c r="AQ419" i="4"/>
  <c r="AP419" i="4"/>
  <c r="AO419" i="4"/>
  <c r="AN419" i="4"/>
  <c r="AM419" i="4"/>
  <c r="AL419" i="4"/>
  <c r="AK419" i="4"/>
  <c r="AJ419" i="4"/>
  <c r="AI419" i="4"/>
  <c r="AH419" i="4"/>
  <c r="AG419" i="4"/>
  <c r="AF419" i="4"/>
  <c r="AE419" i="4"/>
  <c r="AD419" i="4"/>
  <c r="AC419" i="4"/>
  <c r="AB419" i="4"/>
  <c r="AA419" i="4"/>
  <c r="Z419" i="4"/>
  <c r="Y419" i="4"/>
  <c r="X419" i="4"/>
  <c r="V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A419" i="4"/>
  <c r="CJ418" i="4"/>
  <c r="CI418" i="4"/>
  <c r="CH418" i="4"/>
  <c r="CG418" i="4"/>
  <c r="CF418" i="4"/>
  <c r="CE418" i="4"/>
  <c r="CD418" i="4"/>
  <c r="CC418" i="4"/>
  <c r="CB418" i="4"/>
  <c r="CA418" i="4"/>
  <c r="BZ418" i="4"/>
  <c r="BY418" i="4"/>
  <c r="BX418" i="4"/>
  <c r="BW418" i="4"/>
  <c r="BV418" i="4"/>
  <c r="BU418" i="4"/>
  <c r="BT418" i="4"/>
  <c r="BS418" i="4"/>
  <c r="BQ418" i="4"/>
  <c r="BP418" i="4"/>
  <c r="BO418" i="4"/>
  <c r="BN418" i="4"/>
  <c r="BM418" i="4"/>
  <c r="BL418" i="4"/>
  <c r="BK418" i="4"/>
  <c r="BJ418" i="4"/>
  <c r="BI418" i="4"/>
  <c r="BH418" i="4"/>
  <c r="BG418" i="4"/>
  <c r="BF418" i="4"/>
  <c r="BE418" i="4"/>
  <c r="BD418" i="4"/>
  <c r="BC418" i="4"/>
  <c r="BB418" i="4"/>
  <c r="BA418" i="4"/>
  <c r="AZ418" i="4"/>
  <c r="AY418" i="4"/>
  <c r="AX418" i="4"/>
  <c r="AW418" i="4"/>
  <c r="AV418" i="4"/>
  <c r="AU418" i="4"/>
  <c r="AT418" i="4"/>
  <c r="AS418" i="4"/>
  <c r="AR418" i="4"/>
  <c r="AQ418" i="4"/>
  <c r="AP418" i="4"/>
  <c r="AO418" i="4"/>
  <c r="AN418" i="4"/>
  <c r="AM418" i="4"/>
  <c r="AL418" i="4"/>
  <c r="AK418" i="4"/>
  <c r="AJ418" i="4"/>
  <c r="AI418" i="4"/>
  <c r="AH418" i="4"/>
  <c r="AG418" i="4"/>
  <c r="AF418" i="4"/>
  <c r="AE418" i="4"/>
  <c r="AD418" i="4"/>
  <c r="AC418" i="4"/>
  <c r="AB418" i="4"/>
  <c r="AA418" i="4"/>
  <c r="Z418" i="4"/>
  <c r="Y418" i="4"/>
  <c r="X418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A418" i="4"/>
  <c r="CJ417" i="4"/>
  <c r="CI417" i="4"/>
  <c r="CH417" i="4"/>
  <c r="CG417" i="4"/>
  <c r="CF417" i="4"/>
  <c r="CE417" i="4"/>
  <c r="CD417" i="4"/>
  <c r="CC417" i="4"/>
  <c r="CB417" i="4"/>
  <c r="CA417" i="4"/>
  <c r="BZ417" i="4"/>
  <c r="BY417" i="4"/>
  <c r="BX417" i="4"/>
  <c r="BW417" i="4"/>
  <c r="BV417" i="4"/>
  <c r="BU417" i="4"/>
  <c r="BT417" i="4"/>
  <c r="BS417" i="4"/>
  <c r="BQ417" i="4"/>
  <c r="BP417" i="4"/>
  <c r="BO417" i="4"/>
  <c r="BN417" i="4"/>
  <c r="BM417" i="4"/>
  <c r="BL417" i="4"/>
  <c r="BK417" i="4"/>
  <c r="BJ417" i="4"/>
  <c r="BI417" i="4"/>
  <c r="BH417" i="4"/>
  <c r="BG417" i="4"/>
  <c r="BF417" i="4"/>
  <c r="BE417" i="4"/>
  <c r="BD417" i="4"/>
  <c r="BC417" i="4"/>
  <c r="BB417" i="4"/>
  <c r="BA417" i="4"/>
  <c r="AZ417" i="4"/>
  <c r="AY417" i="4"/>
  <c r="AX417" i="4"/>
  <c r="AW417" i="4"/>
  <c r="AV417" i="4"/>
  <c r="AU417" i="4"/>
  <c r="AT417" i="4"/>
  <c r="AS417" i="4"/>
  <c r="AR417" i="4"/>
  <c r="AQ417" i="4"/>
  <c r="AP417" i="4"/>
  <c r="AO417" i="4"/>
  <c r="AN417" i="4"/>
  <c r="AM417" i="4"/>
  <c r="AL417" i="4"/>
  <c r="AK417" i="4"/>
  <c r="AJ417" i="4"/>
  <c r="AI417" i="4"/>
  <c r="AH417" i="4"/>
  <c r="AG417" i="4"/>
  <c r="AF417" i="4"/>
  <c r="AE417" i="4"/>
  <c r="AD417" i="4"/>
  <c r="AC417" i="4"/>
  <c r="AB417" i="4"/>
  <c r="AA417" i="4"/>
  <c r="Z417" i="4"/>
  <c r="Y417" i="4"/>
  <c r="X417" i="4"/>
  <c r="V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A417" i="4"/>
  <c r="CJ416" i="4"/>
  <c r="CI416" i="4"/>
  <c r="CH416" i="4"/>
  <c r="CG416" i="4"/>
  <c r="CF416" i="4"/>
  <c r="CE416" i="4"/>
  <c r="CD416" i="4"/>
  <c r="CC416" i="4"/>
  <c r="CB416" i="4"/>
  <c r="CA416" i="4"/>
  <c r="BZ416" i="4"/>
  <c r="BY416" i="4"/>
  <c r="BX416" i="4"/>
  <c r="BW416" i="4"/>
  <c r="BV416" i="4"/>
  <c r="BU416" i="4"/>
  <c r="BT416" i="4"/>
  <c r="BS416" i="4"/>
  <c r="BQ416" i="4"/>
  <c r="BP416" i="4"/>
  <c r="BO416" i="4"/>
  <c r="BN416" i="4"/>
  <c r="BM416" i="4"/>
  <c r="BL416" i="4"/>
  <c r="BK416" i="4"/>
  <c r="BJ416" i="4"/>
  <c r="BI416" i="4"/>
  <c r="BH416" i="4"/>
  <c r="BG416" i="4"/>
  <c r="BF416" i="4"/>
  <c r="BE416" i="4"/>
  <c r="BD416" i="4"/>
  <c r="BC416" i="4"/>
  <c r="BB416" i="4"/>
  <c r="BA416" i="4"/>
  <c r="AZ416" i="4"/>
  <c r="AY416" i="4"/>
  <c r="AX416" i="4"/>
  <c r="AW416" i="4"/>
  <c r="AV416" i="4"/>
  <c r="AU416" i="4"/>
  <c r="AT416" i="4"/>
  <c r="AS416" i="4"/>
  <c r="AR416" i="4"/>
  <c r="AQ416" i="4"/>
  <c r="AP416" i="4"/>
  <c r="AO416" i="4"/>
  <c r="AN416" i="4"/>
  <c r="AM416" i="4"/>
  <c r="AL416" i="4"/>
  <c r="AK416" i="4"/>
  <c r="AJ416" i="4"/>
  <c r="AI416" i="4"/>
  <c r="AH416" i="4"/>
  <c r="AG416" i="4"/>
  <c r="AF416" i="4"/>
  <c r="AE416" i="4"/>
  <c r="AD416" i="4"/>
  <c r="AC416" i="4"/>
  <c r="AB416" i="4"/>
  <c r="AA416" i="4"/>
  <c r="Z416" i="4"/>
  <c r="Y416" i="4"/>
  <c r="X416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CJ415" i="4"/>
  <c r="CI415" i="4"/>
  <c r="CH415" i="4"/>
  <c r="CG415" i="4"/>
  <c r="CF415" i="4"/>
  <c r="CE415" i="4"/>
  <c r="CD415" i="4"/>
  <c r="CC415" i="4"/>
  <c r="CB415" i="4"/>
  <c r="CA415" i="4"/>
  <c r="BZ415" i="4"/>
  <c r="BY415" i="4"/>
  <c r="BX415" i="4"/>
  <c r="BW415" i="4"/>
  <c r="BV415" i="4"/>
  <c r="BU415" i="4"/>
  <c r="BT415" i="4"/>
  <c r="BS415" i="4"/>
  <c r="BQ415" i="4"/>
  <c r="BP415" i="4"/>
  <c r="BO415" i="4"/>
  <c r="BN415" i="4"/>
  <c r="BM415" i="4"/>
  <c r="BL415" i="4"/>
  <c r="BK415" i="4"/>
  <c r="BJ415" i="4"/>
  <c r="BI415" i="4"/>
  <c r="BH415" i="4"/>
  <c r="BG415" i="4"/>
  <c r="BF415" i="4"/>
  <c r="BE415" i="4"/>
  <c r="BD415" i="4"/>
  <c r="BC415" i="4"/>
  <c r="BB415" i="4"/>
  <c r="BA415" i="4"/>
  <c r="AZ415" i="4"/>
  <c r="AY415" i="4"/>
  <c r="AX415" i="4"/>
  <c r="AW415" i="4"/>
  <c r="AV415" i="4"/>
  <c r="AU415" i="4"/>
  <c r="AT415" i="4"/>
  <c r="AS415" i="4"/>
  <c r="AR415" i="4"/>
  <c r="AQ415" i="4"/>
  <c r="AP415" i="4"/>
  <c r="AO415" i="4"/>
  <c r="AN415" i="4"/>
  <c r="AM415" i="4"/>
  <c r="AL415" i="4"/>
  <c r="AK415" i="4"/>
  <c r="AJ415" i="4"/>
  <c r="AI415" i="4"/>
  <c r="AH415" i="4"/>
  <c r="AG415" i="4"/>
  <c r="AF415" i="4"/>
  <c r="AE415" i="4"/>
  <c r="AD415" i="4"/>
  <c r="AC415" i="4"/>
  <c r="AB415" i="4"/>
  <c r="AA415" i="4"/>
  <c r="Z415" i="4"/>
  <c r="Y415" i="4"/>
  <c r="X415" i="4"/>
  <c r="V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A415" i="4"/>
  <c r="CJ414" i="4"/>
  <c r="CI414" i="4"/>
  <c r="CH414" i="4"/>
  <c r="CG414" i="4"/>
  <c r="CF414" i="4"/>
  <c r="CE414" i="4"/>
  <c r="CD414" i="4"/>
  <c r="CC414" i="4"/>
  <c r="CB414" i="4"/>
  <c r="CA414" i="4"/>
  <c r="BZ414" i="4"/>
  <c r="BY414" i="4"/>
  <c r="BX414" i="4"/>
  <c r="BW414" i="4"/>
  <c r="BV414" i="4"/>
  <c r="BU414" i="4"/>
  <c r="BT414" i="4"/>
  <c r="BS414" i="4"/>
  <c r="BQ414" i="4"/>
  <c r="BP414" i="4"/>
  <c r="BO414" i="4"/>
  <c r="BN414" i="4"/>
  <c r="BM414" i="4"/>
  <c r="BL414" i="4"/>
  <c r="BK414" i="4"/>
  <c r="BJ414" i="4"/>
  <c r="BI414" i="4"/>
  <c r="BH414" i="4"/>
  <c r="BG414" i="4"/>
  <c r="BF414" i="4"/>
  <c r="BE414" i="4"/>
  <c r="BD414" i="4"/>
  <c r="BC414" i="4"/>
  <c r="BB414" i="4"/>
  <c r="BA414" i="4"/>
  <c r="AZ414" i="4"/>
  <c r="AY414" i="4"/>
  <c r="AX414" i="4"/>
  <c r="AW414" i="4"/>
  <c r="AV414" i="4"/>
  <c r="AU414" i="4"/>
  <c r="AT414" i="4"/>
  <c r="AS414" i="4"/>
  <c r="AR414" i="4"/>
  <c r="AQ414" i="4"/>
  <c r="AP414" i="4"/>
  <c r="AO414" i="4"/>
  <c r="AN414" i="4"/>
  <c r="AM414" i="4"/>
  <c r="AL414" i="4"/>
  <c r="AK414" i="4"/>
  <c r="AJ414" i="4"/>
  <c r="AI414" i="4"/>
  <c r="AH414" i="4"/>
  <c r="AG414" i="4"/>
  <c r="AF414" i="4"/>
  <c r="AE414" i="4"/>
  <c r="AD414" i="4"/>
  <c r="AC414" i="4"/>
  <c r="AB414" i="4"/>
  <c r="AA414" i="4"/>
  <c r="Z414" i="4"/>
  <c r="Y414" i="4"/>
  <c r="X414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A414" i="4"/>
  <c r="CJ413" i="4"/>
  <c r="CI413" i="4"/>
  <c r="CH413" i="4"/>
  <c r="CG413" i="4"/>
  <c r="CF413" i="4"/>
  <c r="CE413" i="4"/>
  <c r="CD413" i="4"/>
  <c r="CC413" i="4"/>
  <c r="CB413" i="4"/>
  <c r="CA413" i="4"/>
  <c r="BZ413" i="4"/>
  <c r="BY413" i="4"/>
  <c r="BX413" i="4"/>
  <c r="BW413" i="4"/>
  <c r="BV413" i="4"/>
  <c r="BU413" i="4"/>
  <c r="BT413" i="4"/>
  <c r="BS413" i="4"/>
  <c r="BQ413" i="4"/>
  <c r="BP413" i="4"/>
  <c r="BO413" i="4"/>
  <c r="BN413" i="4"/>
  <c r="BM413" i="4"/>
  <c r="BL413" i="4"/>
  <c r="BK413" i="4"/>
  <c r="BJ413" i="4"/>
  <c r="BI413" i="4"/>
  <c r="BH413" i="4"/>
  <c r="BG413" i="4"/>
  <c r="BF413" i="4"/>
  <c r="BE413" i="4"/>
  <c r="BD413" i="4"/>
  <c r="BC413" i="4"/>
  <c r="BB413" i="4"/>
  <c r="BA413" i="4"/>
  <c r="AZ413" i="4"/>
  <c r="AY413" i="4"/>
  <c r="AX413" i="4"/>
  <c r="AW413" i="4"/>
  <c r="AV413" i="4"/>
  <c r="AU413" i="4"/>
  <c r="AT413" i="4"/>
  <c r="AS413" i="4"/>
  <c r="AR413" i="4"/>
  <c r="AQ413" i="4"/>
  <c r="AP413" i="4"/>
  <c r="AO413" i="4"/>
  <c r="AN413" i="4"/>
  <c r="AM413" i="4"/>
  <c r="AL413" i="4"/>
  <c r="AK413" i="4"/>
  <c r="AJ413" i="4"/>
  <c r="AI413" i="4"/>
  <c r="AH413" i="4"/>
  <c r="AG413" i="4"/>
  <c r="AF413" i="4"/>
  <c r="AE413" i="4"/>
  <c r="AD413" i="4"/>
  <c r="AC413" i="4"/>
  <c r="AB413" i="4"/>
  <c r="AA413" i="4"/>
  <c r="Z413" i="4"/>
  <c r="Y413" i="4"/>
  <c r="X413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E413" i="4"/>
  <c r="D413" i="4"/>
  <c r="C413" i="4"/>
  <c r="B413" i="4"/>
  <c r="A413" i="4"/>
  <c r="CJ412" i="4"/>
  <c r="CI412" i="4"/>
  <c r="CH412" i="4"/>
  <c r="CG412" i="4"/>
  <c r="CF412" i="4"/>
  <c r="CE412" i="4"/>
  <c r="CD412" i="4"/>
  <c r="CC412" i="4"/>
  <c r="CB412" i="4"/>
  <c r="CA412" i="4"/>
  <c r="BZ412" i="4"/>
  <c r="BY412" i="4"/>
  <c r="BX412" i="4"/>
  <c r="BW412" i="4"/>
  <c r="BV412" i="4"/>
  <c r="BU412" i="4"/>
  <c r="BT412" i="4"/>
  <c r="BS412" i="4"/>
  <c r="BQ412" i="4"/>
  <c r="BP412" i="4"/>
  <c r="BO412" i="4"/>
  <c r="BN412" i="4"/>
  <c r="BM412" i="4"/>
  <c r="BL412" i="4"/>
  <c r="BK412" i="4"/>
  <c r="BJ412" i="4"/>
  <c r="BI412" i="4"/>
  <c r="BH412" i="4"/>
  <c r="BG412" i="4"/>
  <c r="BF412" i="4"/>
  <c r="BE412" i="4"/>
  <c r="BD412" i="4"/>
  <c r="BC412" i="4"/>
  <c r="BB412" i="4"/>
  <c r="BA412" i="4"/>
  <c r="AZ412" i="4"/>
  <c r="AY412" i="4"/>
  <c r="AX412" i="4"/>
  <c r="AW412" i="4"/>
  <c r="AV412" i="4"/>
  <c r="AU412" i="4"/>
  <c r="AT412" i="4"/>
  <c r="AS412" i="4"/>
  <c r="AR412" i="4"/>
  <c r="AQ412" i="4"/>
  <c r="AP412" i="4"/>
  <c r="AO412" i="4"/>
  <c r="AN412" i="4"/>
  <c r="AM412" i="4"/>
  <c r="AL412" i="4"/>
  <c r="AK412" i="4"/>
  <c r="AJ412" i="4"/>
  <c r="AI412" i="4"/>
  <c r="AH412" i="4"/>
  <c r="AG412" i="4"/>
  <c r="AF412" i="4"/>
  <c r="AE412" i="4"/>
  <c r="AD412" i="4"/>
  <c r="AC412" i="4"/>
  <c r="AB412" i="4"/>
  <c r="AA412" i="4"/>
  <c r="Z412" i="4"/>
  <c r="Y412" i="4"/>
  <c r="X412" i="4"/>
  <c r="V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A412" i="4"/>
  <c r="CJ411" i="4"/>
  <c r="CI411" i="4"/>
  <c r="CH411" i="4"/>
  <c r="CG411" i="4"/>
  <c r="CF411" i="4"/>
  <c r="CE411" i="4"/>
  <c r="CD411" i="4"/>
  <c r="CC411" i="4"/>
  <c r="CB411" i="4"/>
  <c r="CA411" i="4"/>
  <c r="BZ411" i="4"/>
  <c r="BY411" i="4"/>
  <c r="BX411" i="4"/>
  <c r="BW411" i="4"/>
  <c r="BV411" i="4"/>
  <c r="BU411" i="4"/>
  <c r="BT411" i="4"/>
  <c r="BS411" i="4"/>
  <c r="BQ411" i="4"/>
  <c r="BP411" i="4"/>
  <c r="BO411" i="4"/>
  <c r="BN411" i="4"/>
  <c r="BM411" i="4"/>
  <c r="BL411" i="4"/>
  <c r="BK411" i="4"/>
  <c r="BJ411" i="4"/>
  <c r="BI411" i="4"/>
  <c r="BH411" i="4"/>
  <c r="BG411" i="4"/>
  <c r="BF411" i="4"/>
  <c r="BE411" i="4"/>
  <c r="BD411" i="4"/>
  <c r="BC411" i="4"/>
  <c r="BB411" i="4"/>
  <c r="BA411" i="4"/>
  <c r="AZ411" i="4"/>
  <c r="AY411" i="4"/>
  <c r="AX411" i="4"/>
  <c r="AW411" i="4"/>
  <c r="AV411" i="4"/>
  <c r="AU411" i="4"/>
  <c r="AT411" i="4"/>
  <c r="AS411" i="4"/>
  <c r="AR411" i="4"/>
  <c r="AQ411" i="4"/>
  <c r="AP411" i="4"/>
  <c r="AO411" i="4"/>
  <c r="AN411" i="4"/>
  <c r="AM411" i="4"/>
  <c r="AL411" i="4"/>
  <c r="AK411" i="4"/>
  <c r="AJ411" i="4"/>
  <c r="AI411" i="4"/>
  <c r="AH411" i="4"/>
  <c r="AG411" i="4"/>
  <c r="AF411" i="4"/>
  <c r="AE411" i="4"/>
  <c r="AD411" i="4"/>
  <c r="AC411" i="4"/>
  <c r="AB411" i="4"/>
  <c r="AA411" i="4"/>
  <c r="Z411" i="4"/>
  <c r="Y411" i="4"/>
  <c r="X411" i="4"/>
  <c r="V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A411" i="4"/>
  <c r="CJ410" i="4"/>
  <c r="CI410" i="4"/>
  <c r="CH410" i="4"/>
  <c r="CG410" i="4"/>
  <c r="CF410" i="4"/>
  <c r="CE410" i="4"/>
  <c r="CD410" i="4"/>
  <c r="CC410" i="4"/>
  <c r="CB410" i="4"/>
  <c r="CA410" i="4"/>
  <c r="BZ410" i="4"/>
  <c r="BY410" i="4"/>
  <c r="BX410" i="4"/>
  <c r="BW410" i="4"/>
  <c r="BV410" i="4"/>
  <c r="BU410" i="4"/>
  <c r="BT410" i="4"/>
  <c r="BS410" i="4"/>
  <c r="BQ410" i="4"/>
  <c r="BP410" i="4"/>
  <c r="BO410" i="4"/>
  <c r="BN410" i="4"/>
  <c r="BM410" i="4"/>
  <c r="BL410" i="4"/>
  <c r="BK410" i="4"/>
  <c r="BJ410" i="4"/>
  <c r="BI410" i="4"/>
  <c r="BH410" i="4"/>
  <c r="BG410" i="4"/>
  <c r="BF410" i="4"/>
  <c r="BE410" i="4"/>
  <c r="BD410" i="4"/>
  <c r="BC410" i="4"/>
  <c r="BB410" i="4"/>
  <c r="BA410" i="4"/>
  <c r="AZ410" i="4"/>
  <c r="AY410" i="4"/>
  <c r="AX410" i="4"/>
  <c r="AW410" i="4"/>
  <c r="AV410" i="4"/>
  <c r="AU410" i="4"/>
  <c r="AT410" i="4"/>
  <c r="AS410" i="4"/>
  <c r="AR410" i="4"/>
  <c r="AQ410" i="4"/>
  <c r="AP410" i="4"/>
  <c r="AO410" i="4"/>
  <c r="AN410" i="4"/>
  <c r="AM410" i="4"/>
  <c r="AL410" i="4"/>
  <c r="AK410" i="4"/>
  <c r="AJ410" i="4"/>
  <c r="AI410" i="4"/>
  <c r="AH410" i="4"/>
  <c r="AG410" i="4"/>
  <c r="AF410" i="4"/>
  <c r="AE410" i="4"/>
  <c r="AD410" i="4"/>
  <c r="AC410" i="4"/>
  <c r="AB410" i="4"/>
  <c r="AA410" i="4"/>
  <c r="Z410" i="4"/>
  <c r="Y410" i="4"/>
  <c r="X410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A410" i="4"/>
  <c r="CJ409" i="4"/>
  <c r="CI409" i="4"/>
  <c r="CH409" i="4"/>
  <c r="CG409" i="4"/>
  <c r="CF409" i="4"/>
  <c r="CE409" i="4"/>
  <c r="CD409" i="4"/>
  <c r="CC409" i="4"/>
  <c r="CB409" i="4"/>
  <c r="CA409" i="4"/>
  <c r="BZ409" i="4"/>
  <c r="BY409" i="4"/>
  <c r="BX409" i="4"/>
  <c r="BW409" i="4"/>
  <c r="BV409" i="4"/>
  <c r="BU409" i="4"/>
  <c r="BT409" i="4"/>
  <c r="BS409" i="4"/>
  <c r="BQ409" i="4"/>
  <c r="BP409" i="4"/>
  <c r="BO409" i="4"/>
  <c r="BN409" i="4"/>
  <c r="BM409" i="4"/>
  <c r="BL409" i="4"/>
  <c r="BK409" i="4"/>
  <c r="BJ409" i="4"/>
  <c r="BI409" i="4"/>
  <c r="BH409" i="4"/>
  <c r="BG409" i="4"/>
  <c r="BF409" i="4"/>
  <c r="BE409" i="4"/>
  <c r="BD409" i="4"/>
  <c r="BC409" i="4"/>
  <c r="BB409" i="4"/>
  <c r="BA409" i="4"/>
  <c r="AZ409" i="4"/>
  <c r="AY409" i="4"/>
  <c r="AX409" i="4"/>
  <c r="AW409" i="4"/>
  <c r="AV409" i="4"/>
  <c r="AU409" i="4"/>
  <c r="AT409" i="4"/>
  <c r="AS409" i="4"/>
  <c r="AR409" i="4"/>
  <c r="AQ409" i="4"/>
  <c r="AP409" i="4"/>
  <c r="AO409" i="4"/>
  <c r="AN409" i="4"/>
  <c r="AM409" i="4"/>
  <c r="AL409" i="4"/>
  <c r="AK409" i="4"/>
  <c r="AJ409" i="4"/>
  <c r="AI409" i="4"/>
  <c r="AH409" i="4"/>
  <c r="AG409" i="4"/>
  <c r="AF409" i="4"/>
  <c r="AE409" i="4"/>
  <c r="AD409" i="4"/>
  <c r="AC409" i="4"/>
  <c r="AB409" i="4"/>
  <c r="AA409" i="4"/>
  <c r="Z409" i="4"/>
  <c r="Y409" i="4"/>
  <c r="X409" i="4"/>
  <c r="V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A409" i="4"/>
  <c r="CJ408" i="4"/>
  <c r="CI408" i="4"/>
  <c r="CH408" i="4"/>
  <c r="CG408" i="4"/>
  <c r="CF408" i="4"/>
  <c r="CE408" i="4"/>
  <c r="CD408" i="4"/>
  <c r="CC408" i="4"/>
  <c r="CB408" i="4"/>
  <c r="CA408" i="4"/>
  <c r="BZ408" i="4"/>
  <c r="BY408" i="4"/>
  <c r="BX408" i="4"/>
  <c r="BW408" i="4"/>
  <c r="BV408" i="4"/>
  <c r="BU408" i="4"/>
  <c r="BT408" i="4"/>
  <c r="BS408" i="4"/>
  <c r="BQ408" i="4"/>
  <c r="BP408" i="4"/>
  <c r="BO408" i="4"/>
  <c r="BN408" i="4"/>
  <c r="BM408" i="4"/>
  <c r="BL408" i="4"/>
  <c r="BK408" i="4"/>
  <c r="BJ408" i="4"/>
  <c r="BI408" i="4"/>
  <c r="BH408" i="4"/>
  <c r="BG408" i="4"/>
  <c r="BF408" i="4"/>
  <c r="BE408" i="4"/>
  <c r="BD408" i="4"/>
  <c r="BC408" i="4"/>
  <c r="BB408" i="4"/>
  <c r="BA408" i="4"/>
  <c r="AZ408" i="4"/>
  <c r="AY408" i="4"/>
  <c r="AX408" i="4"/>
  <c r="AW408" i="4"/>
  <c r="AV408" i="4"/>
  <c r="AU408" i="4"/>
  <c r="AT408" i="4"/>
  <c r="AS408" i="4"/>
  <c r="AR408" i="4"/>
  <c r="AQ408" i="4"/>
  <c r="AP408" i="4"/>
  <c r="AO408" i="4"/>
  <c r="AN408" i="4"/>
  <c r="AM408" i="4"/>
  <c r="AL408" i="4"/>
  <c r="AK408" i="4"/>
  <c r="AJ408" i="4"/>
  <c r="AI408" i="4"/>
  <c r="AH408" i="4"/>
  <c r="AG408" i="4"/>
  <c r="AF408" i="4"/>
  <c r="AE408" i="4"/>
  <c r="AD408" i="4"/>
  <c r="AC408" i="4"/>
  <c r="AB408" i="4"/>
  <c r="AA408" i="4"/>
  <c r="Z408" i="4"/>
  <c r="Y408" i="4"/>
  <c r="X408" i="4"/>
  <c r="V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A408" i="4"/>
  <c r="CJ407" i="4"/>
  <c r="CI407" i="4"/>
  <c r="CH407" i="4"/>
  <c r="CG407" i="4"/>
  <c r="CF407" i="4"/>
  <c r="CE407" i="4"/>
  <c r="CD407" i="4"/>
  <c r="CC407" i="4"/>
  <c r="CB407" i="4"/>
  <c r="CA407" i="4"/>
  <c r="BZ407" i="4"/>
  <c r="BY407" i="4"/>
  <c r="BX407" i="4"/>
  <c r="BW407" i="4"/>
  <c r="BV407" i="4"/>
  <c r="BU407" i="4"/>
  <c r="BT407" i="4"/>
  <c r="BS407" i="4"/>
  <c r="BQ407" i="4"/>
  <c r="BP407" i="4"/>
  <c r="BO407" i="4"/>
  <c r="BN407" i="4"/>
  <c r="BM407" i="4"/>
  <c r="BL407" i="4"/>
  <c r="BK407" i="4"/>
  <c r="BJ407" i="4"/>
  <c r="BI407" i="4"/>
  <c r="BH407" i="4"/>
  <c r="BG407" i="4"/>
  <c r="BF407" i="4"/>
  <c r="BE407" i="4"/>
  <c r="BD407" i="4"/>
  <c r="BC407" i="4"/>
  <c r="BB407" i="4"/>
  <c r="BA407" i="4"/>
  <c r="AZ407" i="4"/>
  <c r="AY407" i="4"/>
  <c r="AX407" i="4"/>
  <c r="AW407" i="4"/>
  <c r="AV407" i="4"/>
  <c r="AU407" i="4"/>
  <c r="AT407" i="4"/>
  <c r="AS407" i="4"/>
  <c r="AR407" i="4"/>
  <c r="AQ407" i="4"/>
  <c r="AP407" i="4"/>
  <c r="AO407" i="4"/>
  <c r="AN407" i="4"/>
  <c r="AM407" i="4"/>
  <c r="AL407" i="4"/>
  <c r="AK407" i="4"/>
  <c r="AJ407" i="4"/>
  <c r="AI407" i="4"/>
  <c r="AH407" i="4"/>
  <c r="AG407" i="4"/>
  <c r="AF407" i="4"/>
  <c r="AE407" i="4"/>
  <c r="AD407" i="4"/>
  <c r="AC407" i="4"/>
  <c r="AB407" i="4"/>
  <c r="AA407" i="4"/>
  <c r="Z407" i="4"/>
  <c r="Y407" i="4"/>
  <c r="X407" i="4"/>
  <c r="V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A407" i="4"/>
  <c r="CJ406" i="4"/>
  <c r="CI406" i="4"/>
  <c r="CH406" i="4"/>
  <c r="CG406" i="4"/>
  <c r="CF406" i="4"/>
  <c r="CE406" i="4"/>
  <c r="CD406" i="4"/>
  <c r="CC406" i="4"/>
  <c r="CB406" i="4"/>
  <c r="CA406" i="4"/>
  <c r="BZ406" i="4"/>
  <c r="BY406" i="4"/>
  <c r="BX406" i="4"/>
  <c r="BW406" i="4"/>
  <c r="BV406" i="4"/>
  <c r="BU406" i="4"/>
  <c r="BT406" i="4"/>
  <c r="BS406" i="4"/>
  <c r="BQ406" i="4"/>
  <c r="BP406" i="4"/>
  <c r="BO406" i="4"/>
  <c r="BN406" i="4"/>
  <c r="BM406" i="4"/>
  <c r="BL406" i="4"/>
  <c r="BK406" i="4"/>
  <c r="BJ406" i="4"/>
  <c r="BI406" i="4"/>
  <c r="BH406" i="4"/>
  <c r="BG406" i="4"/>
  <c r="BF406" i="4"/>
  <c r="BE406" i="4"/>
  <c r="BD406" i="4"/>
  <c r="BC406" i="4"/>
  <c r="BB406" i="4"/>
  <c r="BA406" i="4"/>
  <c r="AZ406" i="4"/>
  <c r="AY406" i="4"/>
  <c r="AX406" i="4"/>
  <c r="AW406" i="4"/>
  <c r="AV406" i="4"/>
  <c r="AU406" i="4"/>
  <c r="AT406" i="4"/>
  <c r="AS406" i="4"/>
  <c r="AR406" i="4"/>
  <c r="AQ406" i="4"/>
  <c r="AP406" i="4"/>
  <c r="AO406" i="4"/>
  <c r="AN406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A406" i="4"/>
  <c r="CJ405" i="4"/>
  <c r="CI405" i="4"/>
  <c r="CH405" i="4"/>
  <c r="CG405" i="4"/>
  <c r="CF405" i="4"/>
  <c r="CE405" i="4"/>
  <c r="CD405" i="4"/>
  <c r="CC405" i="4"/>
  <c r="CB405" i="4"/>
  <c r="CA405" i="4"/>
  <c r="BZ405" i="4"/>
  <c r="BY405" i="4"/>
  <c r="BX405" i="4"/>
  <c r="BW405" i="4"/>
  <c r="BV405" i="4"/>
  <c r="BU405" i="4"/>
  <c r="BT405" i="4"/>
  <c r="BS405" i="4"/>
  <c r="BQ405" i="4"/>
  <c r="BP405" i="4"/>
  <c r="BO405" i="4"/>
  <c r="BN405" i="4"/>
  <c r="BM405" i="4"/>
  <c r="BL405" i="4"/>
  <c r="BK405" i="4"/>
  <c r="BJ405" i="4"/>
  <c r="BI405" i="4"/>
  <c r="BH405" i="4"/>
  <c r="BG405" i="4"/>
  <c r="BF405" i="4"/>
  <c r="BE405" i="4"/>
  <c r="BD405" i="4"/>
  <c r="BC405" i="4"/>
  <c r="BB405" i="4"/>
  <c r="BA405" i="4"/>
  <c r="AZ405" i="4"/>
  <c r="AY405" i="4"/>
  <c r="AX405" i="4"/>
  <c r="AW405" i="4"/>
  <c r="AV405" i="4"/>
  <c r="AU405" i="4"/>
  <c r="AT405" i="4"/>
  <c r="AS405" i="4"/>
  <c r="AR405" i="4"/>
  <c r="AQ405" i="4"/>
  <c r="AP405" i="4"/>
  <c r="AO405" i="4"/>
  <c r="AN405" i="4"/>
  <c r="AM405" i="4"/>
  <c r="AL405" i="4"/>
  <c r="AK405" i="4"/>
  <c r="AJ405" i="4"/>
  <c r="AI405" i="4"/>
  <c r="AH405" i="4"/>
  <c r="AG405" i="4"/>
  <c r="AF405" i="4"/>
  <c r="AE405" i="4"/>
  <c r="AD405" i="4"/>
  <c r="AC405" i="4"/>
  <c r="AB405" i="4"/>
  <c r="AA405" i="4"/>
  <c r="Z405" i="4"/>
  <c r="Y405" i="4"/>
  <c r="X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A405" i="4"/>
  <c r="CJ404" i="4"/>
  <c r="CI404" i="4"/>
  <c r="CH404" i="4"/>
  <c r="CG404" i="4"/>
  <c r="CF404" i="4"/>
  <c r="CE404" i="4"/>
  <c r="CD404" i="4"/>
  <c r="CC404" i="4"/>
  <c r="CB404" i="4"/>
  <c r="CA404" i="4"/>
  <c r="BZ404" i="4"/>
  <c r="BY404" i="4"/>
  <c r="BX404" i="4"/>
  <c r="BW404" i="4"/>
  <c r="BV404" i="4"/>
  <c r="BU404" i="4"/>
  <c r="BT404" i="4"/>
  <c r="BS404" i="4"/>
  <c r="BQ404" i="4"/>
  <c r="BP404" i="4"/>
  <c r="BO404" i="4"/>
  <c r="BN404" i="4"/>
  <c r="BM404" i="4"/>
  <c r="BL404" i="4"/>
  <c r="BK404" i="4"/>
  <c r="BJ404" i="4"/>
  <c r="BI404" i="4"/>
  <c r="BH404" i="4"/>
  <c r="BG404" i="4"/>
  <c r="BF404" i="4"/>
  <c r="BE404" i="4"/>
  <c r="BD404" i="4"/>
  <c r="BC404" i="4"/>
  <c r="BB404" i="4"/>
  <c r="BA404" i="4"/>
  <c r="AZ404" i="4"/>
  <c r="AY404" i="4"/>
  <c r="AX404" i="4"/>
  <c r="AW404" i="4"/>
  <c r="AV404" i="4"/>
  <c r="AU404" i="4"/>
  <c r="AT404" i="4"/>
  <c r="AS404" i="4"/>
  <c r="AR404" i="4"/>
  <c r="AQ404" i="4"/>
  <c r="AP404" i="4"/>
  <c r="AO404" i="4"/>
  <c r="AN404" i="4"/>
  <c r="AM404" i="4"/>
  <c r="AL404" i="4"/>
  <c r="AK404" i="4"/>
  <c r="AJ404" i="4"/>
  <c r="AI404" i="4"/>
  <c r="AH404" i="4"/>
  <c r="AG404" i="4"/>
  <c r="AF404" i="4"/>
  <c r="AE404" i="4"/>
  <c r="AD404" i="4"/>
  <c r="AC404" i="4"/>
  <c r="AB404" i="4"/>
  <c r="AA404" i="4"/>
  <c r="Z404" i="4"/>
  <c r="Y404" i="4"/>
  <c r="X404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A404" i="4"/>
  <c r="CJ403" i="4"/>
  <c r="CI403" i="4"/>
  <c r="CH403" i="4"/>
  <c r="CG403" i="4"/>
  <c r="CF403" i="4"/>
  <c r="CE403" i="4"/>
  <c r="CD403" i="4"/>
  <c r="CC403" i="4"/>
  <c r="CB403" i="4"/>
  <c r="CA403" i="4"/>
  <c r="BZ403" i="4"/>
  <c r="BY403" i="4"/>
  <c r="BX403" i="4"/>
  <c r="BW403" i="4"/>
  <c r="BV403" i="4"/>
  <c r="BU403" i="4"/>
  <c r="BT403" i="4"/>
  <c r="BS403" i="4"/>
  <c r="BQ403" i="4"/>
  <c r="BP403" i="4"/>
  <c r="BO403" i="4"/>
  <c r="BN403" i="4"/>
  <c r="BM403" i="4"/>
  <c r="BL403" i="4"/>
  <c r="BK403" i="4"/>
  <c r="BJ403" i="4"/>
  <c r="BI403" i="4"/>
  <c r="BH403" i="4"/>
  <c r="BG403" i="4"/>
  <c r="BF403" i="4"/>
  <c r="BE403" i="4"/>
  <c r="BD403" i="4"/>
  <c r="BC403" i="4"/>
  <c r="BB403" i="4"/>
  <c r="BA403" i="4"/>
  <c r="AZ403" i="4"/>
  <c r="AY403" i="4"/>
  <c r="AX403" i="4"/>
  <c r="AW403" i="4"/>
  <c r="AV403" i="4"/>
  <c r="AU403" i="4"/>
  <c r="AT403" i="4"/>
  <c r="AS403" i="4"/>
  <c r="AR403" i="4"/>
  <c r="AQ403" i="4"/>
  <c r="AP403" i="4"/>
  <c r="AO403" i="4"/>
  <c r="AN403" i="4"/>
  <c r="AM403" i="4"/>
  <c r="AL403" i="4"/>
  <c r="AK403" i="4"/>
  <c r="AJ403" i="4"/>
  <c r="AI403" i="4"/>
  <c r="AH403" i="4"/>
  <c r="AG403" i="4"/>
  <c r="AF403" i="4"/>
  <c r="AE403" i="4"/>
  <c r="AD403" i="4"/>
  <c r="AC403" i="4"/>
  <c r="AB403" i="4"/>
  <c r="AA403" i="4"/>
  <c r="Z403" i="4"/>
  <c r="Y403" i="4"/>
  <c r="X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A403" i="4"/>
  <c r="CJ402" i="4"/>
  <c r="CI402" i="4"/>
  <c r="CH402" i="4"/>
  <c r="CG402" i="4"/>
  <c r="CF402" i="4"/>
  <c r="CE402" i="4"/>
  <c r="CD402" i="4"/>
  <c r="CC402" i="4"/>
  <c r="CB402" i="4"/>
  <c r="CA402" i="4"/>
  <c r="BZ402" i="4"/>
  <c r="BY402" i="4"/>
  <c r="BX402" i="4"/>
  <c r="BW402" i="4"/>
  <c r="BV402" i="4"/>
  <c r="BU402" i="4"/>
  <c r="BT402" i="4"/>
  <c r="BS402" i="4"/>
  <c r="BQ402" i="4"/>
  <c r="BP402" i="4"/>
  <c r="BO402" i="4"/>
  <c r="BN402" i="4"/>
  <c r="BM402" i="4"/>
  <c r="BL402" i="4"/>
  <c r="BK402" i="4"/>
  <c r="BJ402" i="4"/>
  <c r="BI402" i="4"/>
  <c r="BH402" i="4"/>
  <c r="BG402" i="4"/>
  <c r="BF402" i="4"/>
  <c r="BE402" i="4"/>
  <c r="BD402" i="4"/>
  <c r="BC402" i="4"/>
  <c r="BB402" i="4"/>
  <c r="BA402" i="4"/>
  <c r="AZ402" i="4"/>
  <c r="AY402" i="4"/>
  <c r="AX402" i="4"/>
  <c r="AW402" i="4"/>
  <c r="AV402" i="4"/>
  <c r="AU402" i="4"/>
  <c r="AT402" i="4"/>
  <c r="AS402" i="4"/>
  <c r="AR402" i="4"/>
  <c r="AQ402" i="4"/>
  <c r="AP402" i="4"/>
  <c r="AO402" i="4"/>
  <c r="AN402" i="4"/>
  <c r="AM402" i="4"/>
  <c r="AL40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A402" i="4"/>
  <c r="CJ401" i="4"/>
  <c r="CI401" i="4"/>
  <c r="CH401" i="4"/>
  <c r="CG401" i="4"/>
  <c r="CF401" i="4"/>
  <c r="CE401" i="4"/>
  <c r="CD401" i="4"/>
  <c r="CC401" i="4"/>
  <c r="CB401" i="4"/>
  <c r="CA401" i="4"/>
  <c r="BZ401" i="4"/>
  <c r="BY401" i="4"/>
  <c r="BX401" i="4"/>
  <c r="BW401" i="4"/>
  <c r="BV401" i="4"/>
  <c r="BU401" i="4"/>
  <c r="BT401" i="4"/>
  <c r="BS401" i="4"/>
  <c r="BQ401" i="4"/>
  <c r="BP401" i="4"/>
  <c r="BO401" i="4"/>
  <c r="BN401" i="4"/>
  <c r="BM401" i="4"/>
  <c r="BL401" i="4"/>
  <c r="BK401" i="4"/>
  <c r="BJ401" i="4"/>
  <c r="BI401" i="4"/>
  <c r="BH401" i="4"/>
  <c r="BG401" i="4"/>
  <c r="BF401" i="4"/>
  <c r="BE401" i="4"/>
  <c r="BD401" i="4"/>
  <c r="BC401" i="4"/>
  <c r="BB401" i="4"/>
  <c r="BA401" i="4"/>
  <c r="AZ401" i="4"/>
  <c r="AY401" i="4"/>
  <c r="AX401" i="4"/>
  <c r="AW401" i="4"/>
  <c r="AV401" i="4"/>
  <c r="AU401" i="4"/>
  <c r="AT401" i="4"/>
  <c r="AS401" i="4"/>
  <c r="AR401" i="4"/>
  <c r="AQ401" i="4"/>
  <c r="AP401" i="4"/>
  <c r="AO401" i="4"/>
  <c r="AN401" i="4"/>
  <c r="AM401" i="4"/>
  <c r="AL401" i="4"/>
  <c r="AK401" i="4"/>
  <c r="AJ401" i="4"/>
  <c r="AI401" i="4"/>
  <c r="AH401" i="4"/>
  <c r="AG401" i="4"/>
  <c r="AF401" i="4"/>
  <c r="AE401" i="4"/>
  <c r="AD401" i="4"/>
  <c r="AC401" i="4"/>
  <c r="AB401" i="4"/>
  <c r="AA401" i="4"/>
  <c r="Z401" i="4"/>
  <c r="Y401" i="4"/>
  <c r="X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A401" i="4"/>
  <c r="CJ400" i="4"/>
  <c r="CI400" i="4"/>
  <c r="CH400" i="4"/>
  <c r="CG400" i="4"/>
  <c r="CF400" i="4"/>
  <c r="CE400" i="4"/>
  <c r="CD400" i="4"/>
  <c r="CC400" i="4"/>
  <c r="CB400" i="4"/>
  <c r="CA400" i="4"/>
  <c r="BZ400" i="4"/>
  <c r="BY400" i="4"/>
  <c r="BX400" i="4"/>
  <c r="BW400" i="4"/>
  <c r="BV400" i="4"/>
  <c r="BU400" i="4"/>
  <c r="BT400" i="4"/>
  <c r="BS400" i="4"/>
  <c r="BQ400" i="4"/>
  <c r="BP400" i="4"/>
  <c r="BO400" i="4"/>
  <c r="BN400" i="4"/>
  <c r="BM400" i="4"/>
  <c r="BL400" i="4"/>
  <c r="BK400" i="4"/>
  <c r="BJ400" i="4"/>
  <c r="BI400" i="4"/>
  <c r="BH400" i="4"/>
  <c r="BG400" i="4"/>
  <c r="BF400" i="4"/>
  <c r="BE400" i="4"/>
  <c r="BD400" i="4"/>
  <c r="BC400" i="4"/>
  <c r="BB400" i="4"/>
  <c r="BA400" i="4"/>
  <c r="AZ400" i="4"/>
  <c r="AY400" i="4"/>
  <c r="AX400" i="4"/>
  <c r="AW400" i="4"/>
  <c r="AV400" i="4"/>
  <c r="AU400" i="4"/>
  <c r="AT400" i="4"/>
  <c r="AS400" i="4"/>
  <c r="AR400" i="4"/>
  <c r="AQ400" i="4"/>
  <c r="AP400" i="4"/>
  <c r="AO400" i="4"/>
  <c r="AN400" i="4"/>
  <c r="AM400" i="4"/>
  <c r="AL400" i="4"/>
  <c r="AK400" i="4"/>
  <c r="AJ400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F400" i="4"/>
  <c r="E400" i="4"/>
  <c r="D400" i="4"/>
  <c r="C400" i="4"/>
  <c r="B400" i="4"/>
  <c r="A400" i="4"/>
  <c r="CJ399" i="4"/>
  <c r="CI399" i="4"/>
  <c r="CH399" i="4"/>
  <c r="CG399" i="4"/>
  <c r="CF399" i="4"/>
  <c r="CE399" i="4"/>
  <c r="CD399" i="4"/>
  <c r="CC399" i="4"/>
  <c r="CB399" i="4"/>
  <c r="CA399" i="4"/>
  <c r="BZ399" i="4"/>
  <c r="BY399" i="4"/>
  <c r="BX399" i="4"/>
  <c r="BW399" i="4"/>
  <c r="BV399" i="4"/>
  <c r="BU399" i="4"/>
  <c r="BT399" i="4"/>
  <c r="BS399" i="4"/>
  <c r="BQ399" i="4"/>
  <c r="BP399" i="4"/>
  <c r="BO399" i="4"/>
  <c r="BN399" i="4"/>
  <c r="BM399" i="4"/>
  <c r="BL399" i="4"/>
  <c r="BK399" i="4"/>
  <c r="BJ399" i="4"/>
  <c r="BI399" i="4"/>
  <c r="BH399" i="4"/>
  <c r="BG399" i="4"/>
  <c r="BF399" i="4"/>
  <c r="BE399" i="4"/>
  <c r="BD399" i="4"/>
  <c r="BC399" i="4"/>
  <c r="BB399" i="4"/>
  <c r="BA399" i="4"/>
  <c r="AZ399" i="4"/>
  <c r="AY399" i="4"/>
  <c r="AX399" i="4"/>
  <c r="AW399" i="4"/>
  <c r="AV399" i="4"/>
  <c r="AU399" i="4"/>
  <c r="AT399" i="4"/>
  <c r="AS399" i="4"/>
  <c r="AR399" i="4"/>
  <c r="AQ399" i="4"/>
  <c r="AP399" i="4"/>
  <c r="AO399" i="4"/>
  <c r="AN399" i="4"/>
  <c r="AM399" i="4"/>
  <c r="AL399" i="4"/>
  <c r="AK399" i="4"/>
  <c r="AJ399" i="4"/>
  <c r="AI399" i="4"/>
  <c r="AH399" i="4"/>
  <c r="AG399" i="4"/>
  <c r="AF399" i="4"/>
  <c r="AE399" i="4"/>
  <c r="AD399" i="4"/>
  <c r="AC399" i="4"/>
  <c r="AB399" i="4"/>
  <c r="AA399" i="4"/>
  <c r="Z399" i="4"/>
  <c r="Y399" i="4"/>
  <c r="X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A399" i="4"/>
  <c r="CJ398" i="4"/>
  <c r="CI398" i="4"/>
  <c r="CH398" i="4"/>
  <c r="CG398" i="4"/>
  <c r="CF398" i="4"/>
  <c r="CE398" i="4"/>
  <c r="CD398" i="4"/>
  <c r="CC398" i="4"/>
  <c r="CB398" i="4"/>
  <c r="CA398" i="4"/>
  <c r="BZ398" i="4"/>
  <c r="BY398" i="4"/>
  <c r="BX398" i="4"/>
  <c r="BW398" i="4"/>
  <c r="BV398" i="4"/>
  <c r="BU398" i="4"/>
  <c r="BT398" i="4"/>
  <c r="BS398" i="4"/>
  <c r="BQ398" i="4"/>
  <c r="BP398" i="4"/>
  <c r="BO398" i="4"/>
  <c r="BN398" i="4"/>
  <c r="BM398" i="4"/>
  <c r="BL398" i="4"/>
  <c r="BK398" i="4"/>
  <c r="BJ398" i="4"/>
  <c r="BI398" i="4"/>
  <c r="BH398" i="4"/>
  <c r="BG398" i="4"/>
  <c r="BF398" i="4"/>
  <c r="BE398" i="4"/>
  <c r="BD398" i="4"/>
  <c r="BC398" i="4"/>
  <c r="BB398" i="4"/>
  <c r="BA398" i="4"/>
  <c r="AZ398" i="4"/>
  <c r="AY398" i="4"/>
  <c r="AX398" i="4"/>
  <c r="AW398" i="4"/>
  <c r="AV398" i="4"/>
  <c r="AU398" i="4"/>
  <c r="AT398" i="4"/>
  <c r="AS398" i="4"/>
  <c r="AR398" i="4"/>
  <c r="AQ398" i="4"/>
  <c r="AP398" i="4"/>
  <c r="AO398" i="4"/>
  <c r="AN398" i="4"/>
  <c r="AM398" i="4"/>
  <c r="AL398" i="4"/>
  <c r="AK398" i="4"/>
  <c r="AJ398" i="4"/>
  <c r="AI398" i="4"/>
  <c r="AH398" i="4"/>
  <c r="AG398" i="4"/>
  <c r="AF398" i="4"/>
  <c r="AE398" i="4"/>
  <c r="AD398" i="4"/>
  <c r="AC398" i="4"/>
  <c r="AB398" i="4"/>
  <c r="AA398" i="4"/>
  <c r="Z398" i="4"/>
  <c r="Y398" i="4"/>
  <c r="X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A398" i="4"/>
  <c r="CJ397" i="4"/>
  <c r="CI397" i="4"/>
  <c r="CH397" i="4"/>
  <c r="CG397" i="4"/>
  <c r="CF397" i="4"/>
  <c r="CE397" i="4"/>
  <c r="CD397" i="4"/>
  <c r="CC397" i="4"/>
  <c r="CB397" i="4"/>
  <c r="CA397" i="4"/>
  <c r="BZ397" i="4"/>
  <c r="BY397" i="4"/>
  <c r="BX397" i="4"/>
  <c r="BW397" i="4"/>
  <c r="BV397" i="4"/>
  <c r="BU397" i="4"/>
  <c r="BT397" i="4"/>
  <c r="BS397" i="4"/>
  <c r="BQ397" i="4"/>
  <c r="BP397" i="4"/>
  <c r="BO397" i="4"/>
  <c r="BN397" i="4"/>
  <c r="BM397" i="4"/>
  <c r="BL397" i="4"/>
  <c r="BK397" i="4"/>
  <c r="BJ397" i="4"/>
  <c r="BI397" i="4"/>
  <c r="BH397" i="4"/>
  <c r="BG397" i="4"/>
  <c r="BF397" i="4"/>
  <c r="BE397" i="4"/>
  <c r="BD397" i="4"/>
  <c r="BC397" i="4"/>
  <c r="BB397" i="4"/>
  <c r="BA397" i="4"/>
  <c r="AZ397" i="4"/>
  <c r="AY397" i="4"/>
  <c r="AX397" i="4"/>
  <c r="AW397" i="4"/>
  <c r="AV397" i="4"/>
  <c r="AU397" i="4"/>
  <c r="AT397" i="4"/>
  <c r="AS397" i="4"/>
  <c r="AR397" i="4"/>
  <c r="AQ397" i="4"/>
  <c r="AP397" i="4"/>
  <c r="AO397" i="4"/>
  <c r="AN397" i="4"/>
  <c r="AM397" i="4"/>
  <c r="AL397" i="4"/>
  <c r="AK397" i="4"/>
  <c r="AJ397" i="4"/>
  <c r="AI397" i="4"/>
  <c r="AH397" i="4"/>
  <c r="AG397" i="4"/>
  <c r="AF397" i="4"/>
  <c r="AE397" i="4"/>
  <c r="AD397" i="4"/>
  <c r="AC397" i="4"/>
  <c r="AB397" i="4"/>
  <c r="AA397" i="4"/>
  <c r="Z397" i="4"/>
  <c r="Y397" i="4"/>
  <c r="X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A397" i="4"/>
  <c r="CJ396" i="4"/>
  <c r="CI396" i="4"/>
  <c r="CH396" i="4"/>
  <c r="CG396" i="4"/>
  <c r="CF396" i="4"/>
  <c r="CE396" i="4"/>
  <c r="CD396" i="4"/>
  <c r="CC396" i="4"/>
  <c r="CB396" i="4"/>
  <c r="CA396" i="4"/>
  <c r="BZ396" i="4"/>
  <c r="BY396" i="4"/>
  <c r="BX396" i="4"/>
  <c r="BW396" i="4"/>
  <c r="BV396" i="4"/>
  <c r="BU396" i="4"/>
  <c r="BT396" i="4"/>
  <c r="BS396" i="4"/>
  <c r="BQ396" i="4"/>
  <c r="BP396" i="4"/>
  <c r="BO396" i="4"/>
  <c r="BN396" i="4"/>
  <c r="BM396" i="4"/>
  <c r="BL396" i="4"/>
  <c r="BK396" i="4"/>
  <c r="BJ396" i="4"/>
  <c r="BI396" i="4"/>
  <c r="BH396" i="4"/>
  <c r="BG396" i="4"/>
  <c r="BF396" i="4"/>
  <c r="BE396" i="4"/>
  <c r="BD396" i="4"/>
  <c r="BC396" i="4"/>
  <c r="BB396" i="4"/>
  <c r="BA396" i="4"/>
  <c r="AZ396" i="4"/>
  <c r="AY396" i="4"/>
  <c r="AX396" i="4"/>
  <c r="AW396" i="4"/>
  <c r="AV396" i="4"/>
  <c r="AU396" i="4"/>
  <c r="AT396" i="4"/>
  <c r="AS396" i="4"/>
  <c r="AR396" i="4"/>
  <c r="AQ396" i="4"/>
  <c r="AP396" i="4"/>
  <c r="AO396" i="4"/>
  <c r="AN396" i="4"/>
  <c r="AM396" i="4"/>
  <c r="AL396" i="4"/>
  <c r="AK396" i="4"/>
  <c r="AJ396" i="4"/>
  <c r="AI396" i="4"/>
  <c r="AH396" i="4"/>
  <c r="AG396" i="4"/>
  <c r="AF396" i="4"/>
  <c r="AE396" i="4"/>
  <c r="AD396" i="4"/>
  <c r="AC396" i="4"/>
  <c r="AB396" i="4"/>
  <c r="AA396" i="4"/>
  <c r="Z396" i="4"/>
  <c r="Y396" i="4"/>
  <c r="X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A396" i="4"/>
  <c r="CJ395" i="4"/>
  <c r="CI395" i="4"/>
  <c r="CH395" i="4"/>
  <c r="CG395" i="4"/>
  <c r="CF395" i="4"/>
  <c r="CE395" i="4"/>
  <c r="CD395" i="4"/>
  <c r="CC395" i="4"/>
  <c r="CB395" i="4"/>
  <c r="CA395" i="4"/>
  <c r="BZ395" i="4"/>
  <c r="BY395" i="4"/>
  <c r="BX395" i="4"/>
  <c r="BW395" i="4"/>
  <c r="BV395" i="4"/>
  <c r="BU395" i="4"/>
  <c r="BT395" i="4"/>
  <c r="BS395" i="4"/>
  <c r="BQ395" i="4"/>
  <c r="BP395" i="4"/>
  <c r="BO395" i="4"/>
  <c r="BN395" i="4"/>
  <c r="BM395" i="4"/>
  <c r="BL395" i="4"/>
  <c r="BK395" i="4"/>
  <c r="BJ395" i="4"/>
  <c r="BI395" i="4"/>
  <c r="BH395" i="4"/>
  <c r="BG395" i="4"/>
  <c r="BF395" i="4"/>
  <c r="BE395" i="4"/>
  <c r="BD395" i="4"/>
  <c r="BC395" i="4"/>
  <c r="BB395" i="4"/>
  <c r="BA395" i="4"/>
  <c r="AZ395" i="4"/>
  <c r="AY395" i="4"/>
  <c r="AX395" i="4"/>
  <c r="AW395" i="4"/>
  <c r="AV395" i="4"/>
  <c r="AU395" i="4"/>
  <c r="AT395" i="4"/>
  <c r="AS395" i="4"/>
  <c r="AR395" i="4"/>
  <c r="AQ395" i="4"/>
  <c r="AP395" i="4"/>
  <c r="AO395" i="4"/>
  <c r="AN395" i="4"/>
  <c r="AM395" i="4"/>
  <c r="AL395" i="4"/>
  <c r="AK395" i="4"/>
  <c r="AJ395" i="4"/>
  <c r="AI395" i="4"/>
  <c r="AH395" i="4"/>
  <c r="AG395" i="4"/>
  <c r="AF395" i="4"/>
  <c r="AE395" i="4"/>
  <c r="AD395" i="4"/>
  <c r="AC395" i="4"/>
  <c r="AB395" i="4"/>
  <c r="AA395" i="4"/>
  <c r="Z395" i="4"/>
  <c r="Y395" i="4"/>
  <c r="X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A395" i="4"/>
  <c r="CJ394" i="4"/>
  <c r="CI394" i="4"/>
  <c r="CH394" i="4"/>
  <c r="CG394" i="4"/>
  <c r="CF394" i="4"/>
  <c r="CE394" i="4"/>
  <c r="CD394" i="4"/>
  <c r="CC394" i="4"/>
  <c r="CB394" i="4"/>
  <c r="CA394" i="4"/>
  <c r="BZ394" i="4"/>
  <c r="BY394" i="4"/>
  <c r="BX394" i="4"/>
  <c r="BW394" i="4"/>
  <c r="BV394" i="4"/>
  <c r="BU394" i="4"/>
  <c r="BT394" i="4"/>
  <c r="BS394" i="4"/>
  <c r="BQ394" i="4"/>
  <c r="BP394" i="4"/>
  <c r="BO394" i="4"/>
  <c r="BN394" i="4"/>
  <c r="BM394" i="4"/>
  <c r="BL394" i="4"/>
  <c r="BK394" i="4"/>
  <c r="BJ394" i="4"/>
  <c r="BI394" i="4"/>
  <c r="BH394" i="4"/>
  <c r="BG394" i="4"/>
  <c r="BF394" i="4"/>
  <c r="BE394" i="4"/>
  <c r="BD394" i="4"/>
  <c r="BC394" i="4"/>
  <c r="BB394" i="4"/>
  <c r="BA394" i="4"/>
  <c r="AZ394" i="4"/>
  <c r="AY394" i="4"/>
  <c r="AX394" i="4"/>
  <c r="AW394" i="4"/>
  <c r="AV394" i="4"/>
  <c r="AU394" i="4"/>
  <c r="AT394" i="4"/>
  <c r="AS394" i="4"/>
  <c r="AR394" i="4"/>
  <c r="AQ394" i="4"/>
  <c r="AP394" i="4"/>
  <c r="AO394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Z394" i="4"/>
  <c r="Y394" i="4"/>
  <c r="X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A394" i="4"/>
  <c r="CJ393" i="4"/>
  <c r="CI393" i="4"/>
  <c r="CH393" i="4"/>
  <c r="CG393" i="4"/>
  <c r="CF393" i="4"/>
  <c r="CE393" i="4"/>
  <c r="CD393" i="4"/>
  <c r="CC393" i="4"/>
  <c r="CB393" i="4"/>
  <c r="CA393" i="4"/>
  <c r="BZ393" i="4"/>
  <c r="BY393" i="4"/>
  <c r="BX393" i="4"/>
  <c r="BW393" i="4"/>
  <c r="BV393" i="4"/>
  <c r="BU393" i="4"/>
  <c r="BT393" i="4"/>
  <c r="BS393" i="4"/>
  <c r="BQ393" i="4"/>
  <c r="BP393" i="4"/>
  <c r="BO393" i="4"/>
  <c r="BN393" i="4"/>
  <c r="BM393" i="4"/>
  <c r="BL393" i="4"/>
  <c r="BK393" i="4"/>
  <c r="BJ393" i="4"/>
  <c r="BI393" i="4"/>
  <c r="BH393" i="4"/>
  <c r="BG393" i="4"/>
  <c r="BF393" i="4"/>
  <c r="BE393" i="4"/>
  <c r="BD393" i="4"/>
  <c r="BC393" i="4"/>
  <c r="BB393" i="4"/>
  <c r="BA393" i="4"/>
  <c r="AZ393" i="4"/>
  <c r="AY393" i="4"/>
  <c r="AX393" i="4"/>
  <c r="AW393" i="4"/>
  <c r="AV393" i="4"/>
  <c r="AU393" i="4"/>
  <c r="AT393" i="4"/>
  <c r="AS393" i="4"/>
  <c r="AR393" i="4"/>
  <c r="AQ393" i="4"/>
  <c r="AP393" i="4"/>
  <c r="AO393" i="4"/>
  <c r="AN393" i="4"/>
  <c r="AM393" i="4"/>
  <c r="AL393" i="4"/>
  <c r="AK393" i="4"/>
  <c r="AJ393" i="4"/>
  <c r="AI393" i="4"/>
  <c r="AH393" i="4"/>
  <c r="AG393" i="4"/>
  <c r="AF393" i="4"/>
  <c r="AE393" i="4"/>
  <c r="AD393" i="4"/>
  <c r="AC393" i="4"/>
  <c r="AB393" i="4"/>
  <c r="AA393" i="4"/>
  <c r="Z393" i="4"/>
  <c r="Y393" i="4"/>
  <c r="X393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A393" i="4"/>
  <c r="CJ392" i="4"/>
  <c r="CI392" i="4"/>
  <c r="CH392" i="4"/>
  <c r="CG392" i="4"/>
  <c r="CF392" i="4"/>
  <c r="CE392" i="4"/>
  <c r="CD392" i="4"/>
  <c r="CC392" i="4"/>
  <c r="CB392" i="4"/>
  <c r="CA392" i="4"/>
  <c r="BZ392" i="4"/>
  <c r="BY392" i="4"/>
  <c r="BX392" i="4"/>
  <c r="BW392" i="4"/>
  <c r="BV392" i="4"/>
  <c r="BU392" i="4"/>
  <c r="BT392" i="4"/>
  <c r="BS392" i="4"/>
  <c r="BQ392" i="4"/>
  <c r="BP392" i="4"/>
  <c r="BO392" i="4"/>
  <c r="BN392" i="4"/>
  <c r="BM392" i="4"/>
  <c r="BL392" i="4"/>
  <c r="BK392" i="4"/>
  <c r="BJ392" i="4"/>
  <c r="BI392" i="4"/>
  <c r="BH392" i="4"/>
  <c r="BG392" i="4"/>
  <c r="BF392" i="4"/>
  <c r="BE392" i="4"/>
  <c r="BD392" i="4"/>
  <c r="BC392" i="4"/>
  <c r="BB392" i="4"/>
  <c r="BA392" i="4"/>
  <c r="AZ392" i="4"/>
  <c r="AY392" i="4"/>
  <c r="AX392" i="4"/>
  <c r="AW392" i="4"/>
  <c r="AV392" i="4"/>
  <c r="AU392" i="4"/>
  <c r="AT392" i="4"/>
  <c r="AS392" i="4"/>
  <c r="AR392" i="4"/>
  <c r="AQ392" i="4"/>
  <c r="AP392" i="4"/>
  <c r="AO392" i="4"/>
  <c r="AN392" i="4"/>
  <c r="AM392" i="4"/>
  <c r="AL392" i="4"/>
  <c r="AK392" i="4"/>
  <c r="AJ392" i="4"/>
  <c r="AI392" i="4"/>
  <c r="AH392" i="4"/>
  <c r="AG392" i="4"/>
  <c r="AF392" i="4"/>
  <c r="AE392" i="4"/>
  <c r="AD392" i="4"/>
  <c r="AC392" i="4"/>
  <c r="AB392" i="4"/>
  <c r="AA392" i="4"/>
  <c r="Z392" i="4"/>
  <c r="Y392" i="4"/>
  <c r="X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A392" i="4"/>
  <c r="CJ391" i="4"/>
  <c r="CI391" i="4"/>
  <c r="CH391" i="4"/>
  <c r="CG391" i="4"/>
  <c r="CF391" i="4"/>
  <c r="CE391" i="4"/>
  <c r="CD391" i="4"/>
  <c r="CC391" i="4"/>
  <c r="CB391" i="4"/>
  <c r="CA391" i="4"/>
  <c r="BZ391" i="4"/>
  <c r="BY391" i="4"/>
  <c r="BX391" i="4"/>
  <c r="BW391" i="4"/>
  <c r="BV391" i="4"/>
  <c r="BU391" i="4"/>
  <c r="BT391" i="4"/>
  <c r="BS391" i="4"/>
  <c r="BQ391" i="4"/>
  <c r="BP391" i="4"/>
  <c r="BO391" i="4"/>
  <c r="BN391" i="4"/>
  <c r="BM391" i="4"/>
  <c r="BL391" i="4"/>
  <c r="BK391" i="4"/>
  <c r="BJ391" i="4"/>
  <c r="BI391" i="4"/>
  <c r="BH391" i="4"/>
  <c r="BG391" i="4"/>
  <c r="BF391" i="4"/>
  <c r="BE391" i="4"/>
  <c r="BD391" i="4"/>
  <c r="BC391" i="4"/>
  <c r="BB391" i="4"/>
  <c r="BA391" i="4"/>
  <c r="AZ391" i="4"/>
  <c r="AY391" i="4"/>
  <c r="AX391" i="4"/>
  <c r="AW391" i="4"/>
  <c r="AV391" i="4"/>
  <c r="AU391" i="4"/>
  <c r="AT391" i="4"/>
  <c r="AS391" i="4"/>
  <c r="AR391" i="4"/>
  <c r="AQ391" i="4"/>
  <c r="AP391" i="4"/>
  <c r="AO391" i="4"/>
  <c r="AN391" i="4"/>
  <c r="AM391" i="4"/>
  <c r="AL391" i="4"/>
  <c r="AK391" i="4"/>
  <c r="AJ391" i="4"/>
  <c r="AI391" i="4"/>
  <c r="AH391" i="4"/>
  <c r="AG391" i="4"/>
  <c r="AF391" i="4"/>
  <c r="AE391" i="4"/>
  <c r="AD391" i="4"/>
  <c r="AC391" i="4"/>
  <c r="AB391" i="4"/>
  <c r="AA391" i="4"/>
  <c r="Z391" i="4"/>
  <c r="Y391" i="4"/>
  <c r="X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CJ390" i="4"/>
  <c r="CI390" i="4"/>
  <c r="CH390" i="4"/>
  <c r="CG390" i="4"/>
  <c r="CF390" i="4"/>
  <c r="CE390" i="4"/>
  <c r="CD390" i="4"/>
  <c r="CC390" i="4"/>
  <c r="CB390" i="4"/>
  <c r="CA390" i="4"/>
  <c r="BZ390" i="4"/>
  <c r="BY390" i="4"/>
  <c r="BX390" i="4"/>
  <c r="BW390" i="4"/>
  <c r="BV390" i="4"/>
  <c r="BU390" i="4"/>
  <c r="BT390" i="4"/>
  <c r="BS390" i="4"/>
  <c r="BQ390" i="4"/>
  <c r="BP390" i="4"/>
  <c r="BO390" i="4"/>
  <c r="BN390" i="4"/>
  <c r="BM390" i="4"/>
  <c r="BL390" i="4"/>
  <c r="BK390" i="4"/>
  <c r="BJ390" i="4"/>
  <c r="BI390" i="4"/>
  <c r="BH390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U390" i="4"/>
  <c r="AT390" i="4"/>
  <c r="AS390" i="4"/>
  <c r="AR390" i="4"/>
  <c r="AQ390" i="4"/>
  <c r="AP390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X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A390" i="4"/>
  <c r="CJ389" i="4"/>
  <c r="CI389" i="4"/>
  <c r="CH389" i="4"/>
  <c r="CG389" i="4"/>
  <c r="CF389" i="4"/>
  <c r="CE389" i="4"/>
  <c r="CD389" i="4"/>
  <c r="CC389" i="4"/>
  <c r="CB389" i="4"/>
  <c r="CA389" i="4"/>
  <c r="BZ389" i="4"/>
  <c r="BY389" i="4"/>
  <c r="BX389" i="4"/>
  <c r="BW389" i="4"/>
  <c r="BV389" i="4"/>
  <c r="BU389" i="4"/>
  <c r="BT389" i="4"/>
  <c r="BS389" i="4"/>
  <c r="BQ389" i="4"/>
  <c r="BP389" i="4"/>
  <c r="BO389" i="4"/>
  <c r="BN389" i="4"/>
  <c r="BM389" i="4"/>
  <c r="BL389" i="4"/>
  <c r="BK389" i="4"/>
  <c r="BJ389" i="4"/>
  <c r="BI389" i="4"/>
  <c r="BH389" i="4"/>
  <c r="BG389" i="4"/>
  <c r="BF389" i="4"/>
  <c r="BE389" i="4"/>
  <c r="BD389" i="4"/>
  <c r="BC389" i="4"/>
  <c r="BB389" i="4"/>
  <c r="BA389" i="4"/>
  <c r="AZ389" i="4"/>
  <c r="AY389" i="4"/>
  <c r="AX389" i="4"/>
  <c r="AW389" i="4"/>
  <c r="AV389" i="4"/>
  <c r="AU389" i="4"/>
  <c r="AT389" i="4"/>
  <c r="AS389" i="4"/>
  <c r="AR389" i="4"/>
  <c r="AQ389" i="4"/>
  <c r="AP389" i="4"/>
  <c r="AO389" i="4"/>
  <c r="AN389" i="4"/>
  <c r="AM389" i="4"/>
  <c r="AL389" i="4"/>
  <c r="AK389" i="4"/>
  <c r="AJ389" i="4"/>
  <c r="AI389" i="4"/>
  <c r="AH389" i="4"/>
  <c r="AG389" i="4"/>
  <c r="AF389" i="4"/>
  <c r="AE389" i="4"/>
  <c r="AD389" i="4"/>
  <c r="AC389" i="4"/>
  <c r="AB389" i="4"/>
  <c r="AA389" i="4"/>
  <c r="Z389" i="4"/>
  <c r="Y389" i="4"/>
  <c r="X389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A389" i="4"/>
  <c r="CJ388" i="4"/>
  <c r="CI388" i="4"/>
  <c r="CH388" i="4"/>
  <c r="CG388" i="4"/>
  <c r="CF388" i="4"/>
  <c r="CE388" i="4"/>
  <c r="CD388" i="4"/>
  <c r="CC388" i="4"/>
  <c r="CB388" i="4"/>
  <c r="CA388" i="4"/>
  <c r="BZ388" i="4"/>
  <c r="BY388" i="4"/>
  <c r="BX388" i="4"/>
  <c r="BW388" i="4"/>
  <c r="BV388" i="4"/>
  <c r="BU388" i="4"/>
  <c r="BT388" i="4"/>
  <c r="BS388" i="4"/>
  <c r="BQ388" i="4"/>
  <c r="BP388" i="4"/>
  <c r="BO388" i="4"/>
  <c r="BN388" i="4"/>
  <c r="BM388" i="4"/>
  <c r="BL388" i="4"/>
  <c r="BK388" i="4"/>
  <c r="BJ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A388" i="4"/>
  <c r="CJ387" i="4"/>
  <c r="CI387" i="4"/>
  <c r="CH387" i="4"/>
  <c r="CG387" i="4"/>
  <c r="CF387" i="4"/>
  <c r="CE387" i="4"/>
  <c r="CD387" i="4"/>
  <c r="CC387" i="4"/>
  <c r="CB387" i="4"/>
  <c r="CA387" i="4"/>
  <c r="BZ387" i="4"/>
  <c r="BY387" i="4"/>
  <c r="BX387" i="4"/>
  <c r="BW387" i="4"/>
  <c r="BV387" i="4"/>
  <c r="BU387" i="4"/>
  <c r="BT387" i="4"/>
  <c r="BS387" i="4"/>
  <c r="BQ387" i="4"/>
  <c r="BP387" i="4"/>
  <c r="BO387" i="4"/>
  <c r="BN387" i="4"/>
  <c r="BM387" i="4"/>
  <c r="BL387" i="4"/>
  <c r="BK387" i="4"/>
  <c r="BJ387" i="4"/>
  <c r="BI387" i="4"/>
  <c r="BH387" i="4"/>
  <c r="BG387" i="4"/>
  <c r="BF387" i="4"/>
  <c r="BE387" i="4"/>
  <c r="BD387" i="4"/>
  <c r="BC387" i="4"/>
  <c r="BB387" i="4"/>
  <c r="BA387" i="4"/>
  <c r="AZ387" i="4"/>
  <c r="AY387" i="4"/>
  <c r="AX387" i="4"/>
  <c r="AW387" i="4"/>
  <c r="AV387" i="4"/>
  <c r="AU387" i="4"/>
  <c r="AT387" i="4"/>
  <c r="AS387" i="4"/>
  <c r="AR387" i="4"/>
  <c r="AQ387" i="4"/>
  <c r="AP387" i="4"/>
  <c r="AO387" i="4"/>
  <c r="AN387" i="4"/>
  <c r="AM387" i="4"/>
  <c r="AL387" i="4"/>
  <c r="AK387" i="4"/>
  <c r="AJ387" i="4"/>
  <c r="AI387" i="4"/>
  <c r="AH387" i="4"/>
  <c r="AG387" i="4"/>
  <c r="AF387" i="4"/>
  <c r="AE387" i="4"/>
  <c r="AD387" i="4"/>
  <c r="AC387" i="4"/>
  <c r="AB387" i="4"/>
  <c r="AA387" i="4"/>
  <c r="Z387" i="4"/>
  <c r="Y387" i="4"/>
  <c r="X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A387" i="4"/>
  <c r="CJ386" i="4"/>
  <c r="CI386" i="4"/>
  <c r="CH386" i="4"/>
  <c r="CG386" i="4"/>
  <c r="CF386" i="4"/>
  <c r="CE386" i="4"/>
  <c r="CD386" i="4"/>
  <c r="CC386" i="4"/>
  <c r="CB386" i="4"/>
  <c r="CA386" i="4"/>
  <c r="BZ386" i="4"/>
  <c r="BY386" i="4"/>
  <c r="BX386" i="4"/>
  <c r="BW386" i="4"/>
  <c r="BV386" i="4"/>
  <c r="BU386" i="4"/>
  <c r="BT386" i="4"/>
  <c r="BS386" i="4"/>
  <c r="BQ386" i="4"/>
  <c r="BP386" i="4"/>
  <c r="BO386" i="4"/>
  <c r="BN386" i="4"/>
  <c r="BM386" i="4"/>
  <c r="BL386" i="4"/>
  <c r="BK386" i="4"/>
  <c r="BJ386" i="4"/>
  <c r="BI386" i="4"/>
  <c r="BH386" i="4"/>
  <c r="BG386" i="4"/>
  <c r="BF386" i="4"/>
  <c r="BE386" i="4"/>
  <c r="BD386" i="4"/>
  <c r="BC386" i="4"/>
  <c r="BB386" i="4"/>
  <c r="BA386" i="4"/>
  <c r="AZ386" i="4"/>
  <c r="AY386" i="4"/>
  <c r="AX386" i="4"/>
  <c r="AW386" i="4"/>
  <c r="AV386" i="4"/>
  <c r="AU386" i="4"/>
  <c r="AT386" i="4"/>
  <c r="AS386" i="4"/>
  <c r="AR386" i="4"/>
  <c r="AQ386" i="4"/>
  <c r="AP386" i="4"/>
  <c r="AO386" i="4"/>
  <c r="AN386" i="4"/>
  <c r="AM386" i="4"/>
  <c r="AL386" i="4"/>
  <c r="AK386" i="4"/>
  <c r="AJ386" i="4"/>
  <c r="AI386" i="4"/>
  <c r="AH386" i="4"/>
  <c r="AG386" i="4"/>
  <c r="AF386" i="4"/>
  <c r="AE386" i="4"/>
  <c r="AD386" i="4"/>
  <c r="AC386" i="4"/>
  <c r="AB386" i="4"/>
  <c r="AA386" i="4"/>
  <c r="Z386" i="4"/>
  <c r="Y386" i="4"/>
  <c r="X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A386" i="4"/>
  <c r="CJ385" i="4"/>
  <c r="CI385" i="4"/>
  <c r="CH385" i="4"/>
  <c r="CG385" i="4"/>
  <c r="CF385" i="4"/>
  <c r="CE385" i="4"/>
  <c r="CD385" i="4"/>
  <c r="CC385" i="4"/>
  <c r="CB385" i="4"/>
  <c r="CA385" i="4"/>
  <c r="BZ385" i="4"/>
  <c r="BY385" i="4"/>
  <c r="BX385" i="4"/>
  <c r="BW385" i="4"/>
  <c r="BV385" i="4"/>
  <c r="BU385" i="4"/>
  <c r="BT385" i="4"/>
  <c r="BS385" i="4"/>
  <c r="BQ385" i="4"/>
  <c r="BP385" i="4"/>
  <c r="BO385" i="4"/>
  <c r="BN385" i="4"/>
  <c r="BM385" i="4"/>
  <c r="BL385" i="4"/>
  <c r="BK385" i="4"/>
  <c r="BJ385" i="4"/>
  <c r="BI385" i="4"/>
  <c r="BH385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/>
  <c r="AR385" i="4"/>
  <c r="AQ385" i="4"/>
  <c r="AP385" i="4"/>
  <c r="AO385" i="4"/>
  <c r="AN385" i="4"/>
  <c r="AM385" i="4"/>
  <c r="AL385" i="4"/>
  <c r="AK385" i="4"/>
  <c r="AJ385" i="4"/>
  <c r="AI385" i="4"/>
  <c r="AH385" i="4"/>
  <c r="AG385" i="4"/>
  <c r="AF385" i="4"/>
  <c r="AE385" i="4"/>
  <c r="AD385" i="4"/>
  <c r="AC385" i="4"/>
  <c r="AB385" i="4"/>
  <c r="AA385" i="4"/>
  <c r="Z385" i="4"/>
  <c r="Y385" i="4"/>
  <c r="X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A385" i="4"/>
  <c r="CJ384" i="4"/>
  <c r="CI384" i="4"/>
  <c r="CH384" i="4"/>
  <c r="CG384" i="4"/>
  <c r="CF384" i="4"/>
  <c r="CE384" i="4"/>
  <c r="CD384" i="4"/>
  <c r="CC384" i="4"/>
  <c r="CB384" i="4"/>
  <c r="CA384" i="4"/>
  <c r="BZ384" i="4"/>
  <c r="BY384" i="4"/>
  <c r="BX384" i="4"/>
  <c r="BW384" i="4"/>
  <c r="BV384" i="4"/>
  <c r="BU384" i="4"/>
  <c r="BT384" i="4"/>
  <c r="BS384" i="4"/>
  <c r="BQ384" i="4"/>
  <c r="BP384" i="4"/>
  <c r="BO384" i="4"/>
  <c r="BN384" i="4"/>
  <c r="BM384" i="4"/>
  <c r="BL384" i="4"/>
  <c r="BK384" i="4"/>
  <c r="BJ384" i="4"/>
  <c r="BI384" i="4"/>
  <c r="BH384" i="4"/>
  <c r="BG384" i="4"/>
  <c r="BF384" i="4"/>
  <c r="BE384" i="4"/>
  <c r="BD384" i="4"/>
  <c r="BC384" i="4"/>
  <c r="BB384" i="4"/>
  <c r="BA384" i="4"/>
  <c r="AZ384" i="4"/>
  <c r="AY384" i="4"/>
  <c r="AX384" i="4"/>
  <c r="AW384" i="4"/>
  <c r="AV384" i="4"/>
  <c r="AU384" i="4"/>
  <c r="AT384" i="4"/>
  <c r="AS384" i="4"/>
  <c r="AR384" i="4"/>
  <c r="AQ384" i="4"/>
  <c r="AP384" i="4"/>
  <c r="AO384" i="4"/>
  <c r="AN384" i="4"/>
  <c r="AM384" i="4"/>
  <c r="AL384" i="4"/>
  <c r="AK384" i="4"/>
  <c r="AJ384" i="4"/>
  <c r="AI384" i="4"/>
  <c r="AH384" i="4"/>
  <c r="AG384" i="4"/>
  <c r="AF384" i="4"/>
  <c r="AE384" i="4"/>
  <c r="AD384" i="4"/>
  <c r="AC384" i="4"/>
  <c r="AB384" i="4"/>
  <c r="AA384" i="4"/>
  <c r="Z384" i="4"/>
  <c r="Y384" i="4"/>
  <c r="X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A384" i="4"/>
  <c r="CJ383" i="4"/>
  <c r="CI383" i="4"/>
  <c r="CH383" i="4"/>
  <c r="CG383" i="4"/>
  <c r="CF383" i="4"/>
  <c r="CE383" i="4"/>
  <c r="CD383" i="4"/>
  <c r="CC383" i="4"/>
  <c r="CB383" i="4"/>
  <c r="CA383" i="4"/>
  <c r="BZ383" i="4"/>
  <c r="BY383" i="4"/>
  <c r="BX383" i="4"/>
  <c r="BW383" i="4"/>
  <c r="BV383" i="4"/>
  <c r="BU383" i="4"/>
  <c r="BT383" i="4"/>
  <c r="BS383" i="4"/>
  <c r="BQ383" i="4"/>
  <c r="BP383" i="4"/>
  <c r="BO383" i="4"/>
  <c r="BN383" i="4"/>
  <c r="BM383" i="4"/>
  <c r="BL383" i="4"/>
  <c r="BK383" i="4"/>
  <c r="BJ383" i="4"/>
  <c r="BI383" i="4"/>
  <c r="BH383" i="4"/>
  <c r="BG383" i="4"/>
  <c r="BF383" i="4"/>
  <c r="BE383" i="4"/>
  <c r="BD383" i="4"/>
  <c r="BC383" i="4"/>
  <c r="BB383" i="4"/>
  <c r="BA383" i="4"/>
  <c r="AZ383" i="4"/>
  <c r="AY383" i="4"/>
  <c r="AX383" i="4"/>
  <c r="AW383" i="4"/>
  <c r="AV383" i="4"/>
  <c r="AU383" i="4"/>
  <c r="AT383" i="4"/>
  <c r="AS383" i="4"/>
  <c r="AR383" i="4"/>
  <c r="AQ383" i="4"/>
  <c r="AP383" i="4"/>
  <c r="AO383" i="4"/>
  <c r="AN383" i="4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A383" i="4"/>
  <c r="CJ382" i="4"/>
  <c r="CI382" i="4"/>
  <c r="CH382" i="4"/>
  <c r="CG382" i="4"/>
  <c r="CF382" i="4"/>
  <c r="CE382" i="4"/>
  <c r="CD382" i="4"/>
  <c r="CC382" i="4"/>
  <c r="CB382" i="4"/>
  <c r="CA382" i="4"/>
  <c r="BZ382" i="4"/>
  <c r="BY382" i="4"/>
  <c r="BX382" i="4"/>
  <c r="BW382" i="4"/>
  <c r="BV382" i="4"/>
  <c r="BU382" i="4"/>
  <c r="BT382" i="4"/>
  <c r="BS382" i="4"/>
  <c r="BQ382" i="4"/>
  <c r="BP382" i="4"/>
  <c r="BO382" i="4"/>
  <c r="BN382" i="4"/>
  <c r="BM382" i="4"/>
  <c r="BL382" i="4"/>
  <c r="BK382" i="4"/>
  <c r="BJ382" i="4"/>
  <c r="BI382" i="4"/>
  <c r="BH382" i="4"/>
  <c r="BG382" i="4"/>
  <c r="BF382" i="4"/>
  <c r="BE382" i="4"/>
  <c r="BD382" i="4"/>
  <c r="BC382" i="4"/>
  <c r="BB382" i="4"/>
  <c r="BA382" i="4"/>
  <c r="AZ382" i="4"/>
  <c r="AY382" i="4"/>
  <c r="AX382" i="4"/>
  <c r="AW382" i="4"/>
  <c r="AV382" i="4"/>
  <c r="AU382" i="4"/>
  <c r="AT382" i="4"/>
  <c r="AS382" i="4"/>
  <c r="AR382" i="4"/>
  <c r="AQ382" i="4"/>
  <c r="AP382" i="4"/>
  <c r="AO382" i="4"/>
  <c r="AN382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CJ381" i="4"/>
  <c r="CI381" i="4"/>
  <c r="CH381" i="4"/>
  <c r="CG381" i="4"/>
  <c r="CF381" i="4"/>
  <c r="CE381" i="4"/>
  <c r="CD381" i="4"/>
  <c r="CC381" i="4"/>
  <c r="CB381" i="4"/>
  <c r="CA381" i="4"/>
  <c r="BZ381" i="4"/>
  <c r="BY381" i="4"/>
  <c r="BX381" i="4"/>
  <c r="BW381" i="4"/>
  <c r="BV381" i="4"/>
  <c r="BU381" i="4"/>
  <c r="BT381" i="4"/>
  <c r="BS381" i="4"/>
  <c r="BQ381" i="4"/>
  <c r="BP381" i="4"/>
  <c r="BO381" i="4"/>
  <c r="BN381" i="4"/>
  <c r="BM381" i="4"/>
  <c r="BL381" i="4"/>
  <c r="BK381" i="4"/>
  <c r="BJ381" i="4"/>
  <c r="BI381" i="4"/>
  <c r="BH381" i="4"/>
  <c r="BG381" i="4"/>
  <c r="BF381" i="4"/>
  <c r="BE381" i="4"/>
  <c r="BD381" i="4"/>
  <c r="BC381" i="4"/>
  <c r="BB381" i="4"/>
  <c r="BA381" i="4"/>
  <c r="AZ381" i="4"/>
  <c r="AY381" i="4"/>
  <c r="AX381" i="4"/>
  <c r="AW381" i="4"/>
  <c r="AV381" i="4"/>
  <c r="AU381" i="4"/>
  <c r="AT381" i="4"/>
  <c r="AS381" i="4"/>
  <c r="AR381" i="4"/>
  <c r="AQ381" i="4"/>
  <c r="AP381" i="4"/>
  <c r="AO381" i="4"/>
  <c r="AN381" i="4"/>
  <c r="AM381" i="4"/>
  <c r="AL381" i="4"/>
  <c r="AK381" i="4"/>
  <c r="AJ381" i="4"/>
  <c r="AI381" i="4"/>
  <c r="AH381" i="4"/>
  <c r="AG381" i="4"/>
  <c r="AF381" i="4"/>
  <c r="AE381" i="4"/>
  <c r="AD381" i="4"/>
  <c r="AC381" i="4"/>
  <c r="AB381" i="4"/>
  <c r="AA381" i="4"/>
  <c r="Z381" i="4"/>
  <c r="Y381" i="4"/>
  <c r="X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A381" i="4"/>
  <c r="CJ380" i="4"/>
  <c r="CI380" i="4"/>
  <c r="CH380" i="4"/>
  <c r="CG380" i="4"/>
  <c r="CF380" i="4"/>
  <c r="CE380" i="4"/>
  <c r="CD380" i="4"/>
  <c r="CC380" i="4"/>
  <c r="CB380" i="4"/>
  <c r="CA380" i="4"/>
  <c r="BZ380" i="4"/>
  <c r="BY380" i="4"/>
  <c r="BX380" i="4"/>
  <c r="BW380" i="4"/>
  <c r="BV380" i="4"/>
  <c r="BU380" i="4"/>
  <c r="BT380" i="4"/>
  <c r="BS380" i="4"/>
  <c r="BQ380" i="4"/>
  <c r="BP380" i="4"/>
  <c r="BO380" i="4"/>
  <c r="BN380" i="4"/>
  <c r="BM380" i="4"/>
  <c r="BL380" i="4"/>
  <c r="BK380" i="4"/>
  <c r="BJ380" i="4"/>
  <c r="BI380" i="4"/>
  <c r="BH380" i="4"/>
  <c r="BG380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R380" i="4"/>
  <c r="AQ380" i="4"/>
  <c r="AP380" i="4"/>
  <c r="AO380" i="4"/>
  <c r="AN380" i="4"/>
  <c r="AM380" i="4"/>
  <c r="AL380" i="4"/>
  <c r="AK380" i="4"/>
  <c r="AJ380" i="4"/>
  <c r="AI380" i="4"/>
  <c r="AH380" i="4"/>
  <c r="AG380" i="4"/>
  <c r="AF380" i="4"/>
  <c r="AE380" i="4"/>
  <c r="AD380" i="4"/>
  <c r="AC380" i="4"/>
  <c r="AB380" i="4"/>
  <c r="AA380" i="4"/>
  <c r="Z380" i="4"/>
  <c r="Y380" i="4"/>
  <c r="X380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A380" i="4"/>
  <c r="CJ379" i="4"/>
  <c r="CI379" i="4"/>
  <c r="CH379" i="4"/>
  <c r="CG379" i="4"/>
  <c r="CF379" i="4"/>
  <c r="CE379" i="4"/>
  <c r="CD379" i="4"/>
  <c r="CC379" i="4"/>
  <c r="CB379" i="4"/>
  <c r="CA379" i="4"/>
  <c r="BZ379" i="4"/>
  <c r="BY379" i="4"/>
  <c r="BX379" i="4"/>
  <c r="BW379" i="4"/>
  <c r="BV379" i="4"/>
  <c r="BU379" i="4"/>
  <c r="BT379" i="4"/>
  <c r="BS379" i="4"/>
  <c r="BQ379" i="4"/>
  <c r="BP379" i="4"/>
  <c r="BO379" i="4"/>
  <c r="BN379" i="4"/>
  <c r="BM379" i="4"/>
  <c r="BL379" i="4"/>
  <c r="BK379" i="4"/>
  <c r="BJ379" i="4"/>
  <c r="BI379" i="4"/>
  <c r="BH379" i="4"/>
  <c r="BG379" i="4"/>
  <c r="BF379" i="4"/>
  <c r="BE379" i="4"/>
  <c r="BD379" i="4"/>
  <c r="BC379" i="4"/>
  <c r="BB379" i="4"/>
  <c r="BA379" i="4"/>
  <c r="AZ379" i="4"/>
  <c r="AY379" i="4"/>
  <c r="AX379" i="4"/>
  <c r="AW379" i="4"/>
  <c r="AV379" i="4"/>
  <c r="AU379" i="4"/>
  <c r="AT379" i="4"/>
  <c r="AS379" i="4"/>
  <c r="AR379" i="4"/>
  <c r="AQ379" i="4"/>
  <c r="AP379" i="4"/>
  <c r="AO379" i="4"/>
  <c r="AN379" i="4"/>
  <c r="AM379" i="4"/>
  <c r="AL379" i="4"/>
  <c r="AK379" i="4"/>
  <c r="AJ379" i="4"/>
  <c r="AI379" i="4"/>
  <c r="AH379" i="4"/>
  <c r="AG379" i="4"/>
  <c r="AF379" i="4"/>
  <c r="AE379" i="4"/>
  <c r="AD379" i="4"/>
  <c r="AC379" i="4"/>
  <c r="AB379" i="4"/>
  <c r="AA379" i="4"/>
  <c r="Z379" i="4"/>
  <c r="Y379" i="4"/>
  <c r="X379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A379" i="4"/>
  <c r="CJ378" i="4"/>
  <c r="CI378" i="4"/>
  <c r="CH378" i="4"/>
  <c r="CG378" i="4"/>
  <c r="CF378" i="4"/>
  <c r="CE378" i="4"/>
  <c r="CD378" i="4"/>
  <c r="CC378" i="4"/>
  <c r="CB378" i="4"/>
  <c r="CA378" i="4"/>
  <c r="BZ378" i="4"/>
  <c r="BY378" i="4"/>
  <c r="BX378" i="4"/>
  <c r="BW378" i="4"/>
  <c r="BV378" i="4"/>
  <c r="BU378" i="4"/>
  <c r="BT378" i="4"/>
  <c r="BS378" i="4"/>
  <c r="BQ378" i="4"/>
  <c r="BP378" i="4"/>
  <c r="BO378" i="4"/>
  <c r="BN378" i="4"/>
  <c r="BM378" i="4"/>
  <c r="BL378" i="4"/>
  <c r="BK378" i="4"/>
  <c r="BJ378" i="4"/>
  <c r="BI378" i="4"/>
  <c r="BH378" i="4"/>
  <c r="BG378" i="4"/>
  <c r="BF378" i="4"/>
  <c r="BE378" i="4"/>
  <c r="BD378" i="4"/>
  <c r="BC378" i="4"/>
  <c r="BB378" i="4"/>
  <c r="BA378" i="4"/>
  <c r="AZ378" i="4"/>
  <c r="AY378" i="4"/>
  <c r="AX378" i="4"/>
  <c r="AW378" i="4"/>
  <c r="AV378" i="4"/>
  <c r="AU378" i="4"/>
  <c r="AT378" i="4"/>
  <c r="AS378" i="4"/>
  <c r="AR378" i="4"/>
  <c r="AQ378" i="4"/>
  <c r="AP378" i="4"/>
  <c r="AO378" i="4"/>
  <c r="AN378" i="4"/>
  <c r="AM378" i="4"/>
  <c r="AL378" i="4"/>
  <c r="AK378" i="4"/>
  <c r="AJ378" i="4"/>
  <c r="AI378" i="4"/>
  <c r="AH378" i="4"/>
  <c r="AG378" i="4"/>
  <c r="AF378" i="4"/>
  <c r="AE378" i="4"/>
  <c r="AD378" i="4"/>
  <c r="AC378" i="4"/>
  <c r="AB378" i="4"/>
  <c r="AA378" i="4"/>
  <c r="Z378" i="4"/>
  <c r="Y378" i="4"/>
  <c r="X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A378" i="4"/>
  <c r="CJ377" i="4"/>
  <c r="CI377" i="4"/>
  <c r="CH377" i="4"/>
  <c r="CG377" i="4"/>
  <c r="CF377" i="4"/>
  <c r="CE377" i="4"/>
  <c r="CD377" i="4"/>
  <c r="CC377" i="4"/>
  <c r="CB377" i="4"/>
  <c r="CA377" i="4"/>
  <c r="BZ377" i="4"/>
  <c r="BY377" i="4"/>
  <c r="BX377" i="4"/>
  <c r="BW377" i="4"/>
  <c r="BV377" i="4"/>
  <c r="BU377" i="4"/>
  <c r="BT377" i="4"/>
  <c r="BS377" i="4"/>
  <c r="BQ377" i="4"/>
  <c r="BP377" i="4"/>
  <c r="BO377" i="4"/>
  <c r="BN377" i="4"/>
  <c r="BM377" i="4"/>
  <c r="BL377" i="4"/>
  <c r="BK377" i="4"/>
  <c r="BJ377" i="4"/>
  <c r="BI377" i="4"/>
  <c r="BH377" i="4"/>
  <c r="BG377" i="4"/>
  <c r="BF377" i="4"/>
  <c r="BE377" i="4"/>
  <c r="BD377" i="4"/>
  <c r="BC377" i="4"/>
  <c r="BB377" i="4"/>
  <c r="BA377" i="4"/>
  <c r="AZ377" i="4"/>
  <c r="AY377" i="4"/>
  <c r="AX377" i="4"/>
  <c r="AW377" i="4"/>
  <c r="AV377" i="4"/>
  <c r="AU377" i="4"/>
  <c r="AT377" i="4"/>
  <c r="AS377" i="4"/>
  <c r="AR377" i="4"/>
  <c r="AQ377" i="4"/>
  <c r="AP377" i="4"/>
  <c r="AO377" i="4"/>
  <c r="AN377" i="4"/>
  <c r="AM377" i="4"/>
  <c r="AL377" i="4"/>
  <c r="AK377" i="4"/>
  <c r="AJ377" i="4"/>
  <c r="AI377" i="4"/>
  <c r="AH377" i="4"/>
  <c r="AG377" i="4"/>
  <c r="AF377" i="4"/>
  <c r="AE377" i="4"/>
  <c r="AD377" i="4"/>
  <c r="AC377" i="4"/>
  <c r="AB377" i="4"/>
  <c r="AA377" i="4"/>
  <c r="Z377" i="4"/>
  <c r="Y377" i="4"/>
  <c r="X377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A377" i="4"/>
  <c r="CJ376" i="4"/>
  <c r="CI376" i="4"/>
  <c r="CH376" i="4"/>
  <c r="CG376" i="4"/>
  <c r="CF376" i="4"/>
  <c r="CE376" i="4"/>
  <c r="CD376" i="4"/>
  <c r="CC376" i="4"/>
  <c r="CB376" i="4"/>
  <c r="CA376" i="4"/>
  <c r="BZ376" i="4"/>
  <c r="BY376" i="4"/>
  <c r="BX376" i="4"/>
  <c r="BW376" i="4"/>
  <c r="BV376" i="4"/>
  <c r="BU376" i="4"/>
  <c r="BT376" i="4"/>
  <c r="BS376" i="4"/>
  <c r="BQ376" i="4"/>
  <c r="BP376" i="4"/>
  <c r="BO376" i="4"/>
  <c r="BN376" i="4"/>
  <c r="BM376" i="4"/>
  <c r="BL376" i="4"/>
  <c r="BK376" i="4"/>
  <c r="BJ376" i="4"/>
  <c r="BI376" i="4"/>
  <c r="BH376" i="4"/>
  <c r="BG376" i="4"/>
  <c r="BF376" i="4"/>
  <c r="BE376" i="4"/>
  <c r="BD376" i="4"/>
  <c r="BC376" i="4"/>
  <c r="BB376" i="4"/>
  <c r="BA376" i="4"/>
  <c r="AZ376" i="4"/>
  <c r="AY376" i="4"/>
  <c r="AX376" i="4"/>
  <c r="AW376" i="4"/>
  <c r="AV376" i="4"/>
  <c r="AU376" i="4"/>
  <c r="AT376" i="4"/>
  <c r="AS376" i="4"/>
  <c r="AR376" i="4"/>
  <c r="AQ376" i="4"/>
  <c r="AP376" i="4"/>
  <c r="AO376" i="4"/>
  <c r="AN376" i="4"/>
  <c r="AM376" i="4"/>
  <c r="AL376" i="4"/>
  <c r="AK376" i="4"/>
  <c r="AJ376" i="4"/>
  <c r="AI376" i="4"/>
  <c r="AH376" i="4"/>
  <c r="AG376" i="4"/>
  <c r="AF376" i="4"/>
  <c r="AE376" i="4"/>
  <c r="AD376" i="4"/>
  <c r="AC376" i="4"/>
  <c r="AB376" i="4"/>
  <c r="AA376" i="4"/>
  <c r="Z376" i="4"/>
  <c r="Y376" i="4"/>
  <c r="X376" i="4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A376" i="4"/>
  <c r="CJ375" i="4"/>
  <c r="CI375" i="4"/>
  <c r="CH375" i="4"/>
  <c r="CG375" i="4"/>
  <c r="CF375" i="4"/>
  <c r="CE375" i="4"/>
  <c r="CD375" i="4"/>
  <c r="CC375" i="4"/>
  <c r="CB375" i="4"/>
  <c r="CA375" i="4"/>
  <c r="BZ375" i="4"/>
  <c r="BY375" i="4"/>
  <c r="BX375" i="4"/>
  <c r="BW375" i="4"/>
  <c r="BV375" i="4"/>
  <c r="BU375" i="4"/>
  <c r="BT375" i="4"/>
  <c r="BS375" i="4"/>
  <c r="BQ375" i="4"/>
  <c r="BP375" i="4"/>
  <c r="BO375" i="4"/>
  <c r="BN375" i="4"/>
  <c r="BM375" i="4"/>
  <c r="BL375" i="4"/>
  <c r="BK375" i="4"/>
  <c r="BJ375" i="4"/>
  <c r="BI375" i="4"/>
  <c r="BH375" i="4"/>
  <c r="BG375" i="4"/>
  <c r="BF375" i="4"/>
  <c r="BE375" i="4"/>
  <c r="BD375" i="4"/>
  <c r="BC375" i="4"/>
  <c r="BB375" i="4"/>
  <c r="BA375" i="4"/>
  <c r="AZ375" i="4"/>
  <c r="AY375" i="4"/>
  <c r="AX375" i="4"/>
  <c r="AW375" i="4"/>
  <c r="AV375" i="4"/>
  <c r="AU375" i="4"/>
  <c r="AT375" i="4"/>
  <c r="AS375" i="4"/>
  <c r="AR375" i="4"/>
  <c r="AQ375" i="4"/>
  <c r="AP375" i="4"/>
  <c r="AO375" i="4"/>
  <c r="AN375" i="4"/>
  <c r="AM375" i="4"/>
  <c r="AL375" i="4"/>
  <c r="AK375" i="4"/>
  <c r="AJ375" i="4"/>
  <c r="AI375" i="4"/>
  <c r="AH375" i="4"/>
  <c r="AG375" i="4"/>
  <c r="AF375" i="4"/>
  <c r="AE375" i="4"/>
  <c r="AD375" i="4"/>
  <c r="AC375" i="4"/>
  <c r="AB375" i="4"/>
  <c r="AA375" i="4"/>
  <c r="Z375" i="4"/>
  <c r="Y375" i="4"/>
  <c r="X375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A375" i="4"/>
  <c r="CJ374" i="4"/>
  <c r="CI374" i="4"/>
  <c r="CH374" i="4"/>
  <c r="CG374" i="4"/>
  <c r="CF374" i="4"/>
  <c r="CE374" i="4"/>
  <c r="CD374" i="4"/>
  <c r="CC374" i="4"/>
  <c r="CB374" i="4"/>
  <c r="CA374" i="4"/>
  <c r="BZ374" i="4"/>
  <c r="BY374" i="4"/>
  <c r="BX374" i="4"/>
  <c r="BW374" i="4"/>
  <c r="BV374" i="4"/>
  <c r="BU374" i="4"/>
  <c r="BT374" i="4"/>
  <c r="BS374" i="4"/>
  <c r="BQ374" i="4"/>
  <c r="BP374" i="4"/>
  <c r="BO374" i="4"/>
  <c r="BN374" i="4"/>
  <c r="BM374" i="4"/>
  <c r="BL374" i="4"/>
  <c r="BK374" i="4"/>
  <c r="BJ374" i="4"/>
  <c r="BI374" i="4"/>
  <c r="BH374" i="4"/>
  <c r="BG374" i="4"/>
  <c r="BF374" i="4"/>
  <c r="BE374" i="4"/>
  <c r="BD374" i="4"/>
  <c r="BC374" i="4"/>
  <c r="BB374" i="4"/>
  <c r="BA374" i="4"/>
  <c r="AZ374" i="4"/>
  <c r="AY374" i="4"/>
  <c r="AX374" i="4"/>
  <c r="AW374" i="4"/>
  <c r="AV374" i="4"/>
  <c r="AU374" i="4"/>
  <c r="AT374" i="4"/>
  <c r="AS374" i="4"/>
  <c r="AR374" i="4"/>
  <c r="AQ374" i="4"/>
  <c r="AP374" i="4"/>
  <c r="AO374" i="4"/>
  <c r="AN374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Z374" i="4"/>
  <c r="Y374" i="4"/>
  <c r="X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A374" i="4"/>
  <c r="CJ373" i="4"/>
  <c r="CI373" i="4"/>
  <c r="CH373" i="4"/>
  <c r="CG373" i="4"/>
  <c r="CF373" i="4"/>
  <c r="CE373" i="4"/>
  <c r="CD373" i="4"/>
  <c r="CC373" i="4"/>
  <c r="CB373" i="4"/>
  <c r="CA373" i="4"/>
  <c r="BZ373" i="4"/>
  <c r="BY373" i="4"/>
  <c r="BX373" i="4"/>
  <c r="BW373" i="4"/>
  <c r="BV373" i="4"/>
  <c r="BU373" i="4"/>
  <c r="BT373" i="4"/>
  <c r="BS373" i="4"/>
  <c r="BQ373" i="4"/>
  <c r="BP373" i="4"/>
  <c r="BO373" i="4"/>
  <c r="BN373" i="4"/>
  <c r="BM373" i="4"/>
  <c r="BL373" i="4"/>
  <c r="BK373" i="4"/>
  <c r="BJ373" i="4"/>
  <c r="BI373" i="4"/>
  <c r="BH373" i="4"/>
  <c r="BG373" i="4"/>
  <c r="BF373" i="4"/>
  <c r="BE373" i="4"/>
  <c r="BD373" i="4"/>
  <c r="BC373" i="4"/>
  <c r="BB373" i="4"/>
  <c r="BA373" i="4"/>
  <c r="AZ373" i="4"/>
  <c r="AY373" i="4"/>
  <c r="AX373" i="4"/>
  <c r="AW373" i="4"/>
  <c r="AV373" i="4"/>
  <c r="AU373" i="4"/>
  <c r="AT373" i="4"/>
  <c r="AS373" i="4"/>
  <c r="AR373" i="4"/>
  <c r="AQ373" i="4"/>
  <c r="AP373" i="4"/>
  <c r="AO373" i="4"/>
  <c r="AN373" i="4"/>
  <c r="AM373" i="4"/>
  <c r="AL373" i="4"/>
  <c r="AK373" i="4"/>
  <c r="AJ373" i="4"/>
  <c r="AI373" i="4"/>
  <c r="AH373" i="4"/>
  <c r="AG373" i="4"/>
  <c r="AF373" i="4"/>
  <c r="AE373" i="4"/>
  <c r="AD373" i="4"/>
  <c r="AC373" i="4"/>
  <c r="AB373" i="4"/>
  <c r="AA373" i="4"/>
  <c r="Z373" i="4"/>
  <c r="Y373" i="4"/>
  <c r="X373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A373" i="4"/>
  <c r="CJ372" i="4"/>
  <c r="CI372" i="4"/>
  <c r="CH372" i="4"/>
  <c r="CG372" i="4"/>
  <c r="CF372" i="4"/>
  <c r="CE372" i="4"/>
  <c r="CD372" i="4"/>
  <c r="CC372" i="4"/>
  <c r="CB372" i="4"/>
  <c r="CA372" i="4"/>
  <c r="BZ372" i="4"/>
  <c r="BY372" i="4"/>
  <c r="BX372" i="4"/>
  <c r="BW372" i="4"/>
  <c r="BV372" i="4"/>
  <c r="BU372" i="4"/>
  <c r="BT372" i="4"/>
  <c r="BS372" i="4"/>
  <c r="BQ372" i="4"/>
  <c r="BP372" i="4"/>
  <c r="BO372" i="4"/>
  <c r="BN372" i="4"/>
  <c r="BM372" i="4"/>
  <c r="BL372" i="4"/>
  <c r="BK372" i="4"/>
  <c r="BJ372" i="4"/>
  <c r="BI372" i="4"/>
  <c r="BH372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R372" i="4"/>
  <c r="AQ372" i="4"/>
  <c r="AP372" i="4"/>
  <c r="AO372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AA372" i="4"/>
  <c r="Z372" i="4"/>
  <c r="Y372" i="4"/>
  <c r="X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A372" i="4"/>
  <c r="CJ371" i="4"/>
  <c r="CI371" i="4"/>
  <c r="CH371" i="4"/>
  <c r="CG371" i="4"/>
  <c r="CF371" i="4"/>
  <c r="CE371" i="4"/>
  <c r="CD371" i="4"/>
  <c r="CC371" i="4"/>
  <c r="CB371" i="4"/>
  <c r="CA371" i="4"/>
  <c r="BZ371" i="4"/>
  <c r="BY371" i="4"/>
  <c r="BX371" i="4"/>
  <c r="BW371" i="4"/>
  <c r="BV371" i="4"/>
  <c r="BU371" i="4"/>
  <c r="BT371" i="4"/>
  <c r="BS371" i="4"/>
  <c r="BQ371" i="4"/>
  <c r="BP371" i="4"/>
  <c r="BO371" i="4"/>
  <c r="BN371" i="4"/>
  <c r="BM371" i="4"/>
  <c r="BL371" i="4"/>
  <c r="BK371" i="4"/>
  <c r="BJ371" i="4"/>
  <c r="BI371" i="4"/>
  <c r="BH371" i="4"/>
  <c r="BG371" i="4"/>
  <c r="BF371" i="4"/>
  <c r="BE371" i="4"/>
  <c r="BD371" i="4"/>
  <c r="BC371" i="4"/>
  <c r="BB371" i="4"/>
  <c r="BA371" i="4"/>
  <c r="AZ371" i="4"/>
  <c r="AY371" i="4"/>
  <c r="AX371" i="4"/>
  <c r="AW371" i="4"/>
  <c r="AV371" i="4"/>
  <c r="AU371" i="4"/>
  <c r="AT371" i="4"/>
  <c r="AS371" i="4"/>
  <c r="AR371" i="4"/>
  <c r="AQ371" i="4"/>
  <c r="AP371" i="4"/>
  <c r="AO371" i="4"/>
  <c r="AN371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Z371" i="4"/>
  <c r="Y371" i="4"/>
  <c r="X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A371" i="4"/>
  <c r="CJ370" i="4"/>
  <c r="CI370" i="4"/>
  <c r="CH370" i="4"/>
  <c r="CG370" i="4"/>
  <c r="CF370" i="4"/>
  <c r="CE370" i="4"/>
  <c r="CD370" i="4"/>
  <c r="CC370" i="4"/>
  <c r="CB370" i="4"/>
  <c r="CA370" i="4"/>
  <c r="BZ370" i="4"/>
  <c r="BY370" i="4"/>
  <c r="BX370" i="4"/>
  <c r="BW370" i="4"/>
  <c r="BV370" i="4"/>
  <c r="BU370" i="4"/>
  <c r="BT370" i="4"/>
  <c r="BS370" i="4"/>
  <c r="BQ370" i="4"/>
  <c r="BP370" i="4"/>
  <c r="BO370" i="4"/>
  <c r="BN370" i="4"/>
  <c r="BM370" i="4"/>
  <c r="BL370" i="4"/>
  <c r="BK370" i="4"/>
  <c r="BJ370" i="4"/>
  <c r="BI370" i="4"/>
  <c r="BH370" i="4"/>
  <c r="BG370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R370" i="4"/>
  <c r="AQ370" i="4"/>
  <c r="AP370" i="4"/>
  <c r="AO370" i="4"/>
  <c r="AN370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Z370" i="4"/>
  <c r="Y370" i="4"/>
  <c r="X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A370" i="4"/>
  <c r="CJ369" i="4"/>
  <c r="CI369" i="4"/>
  <c r="CH369" i="4"/>
  <c r="CG369" i="4"/>
  <c r="CF369" i="4"/>
  <c r="CE369" i="4"/>
  <c r="CD369" i="4"/>
  <c r="CC369" i="4"/>
  <c r="CB369" i="4"/>
  <c r="CA369" i="4"/>
  <c r="BZ369" i="4"/>
  <c r="BY369" i="4"/>
  <c r="BX369" i="4"/>
  <c r="BW369" i="4"/>
  <c r="BV369" i="4"/>
  <c r="BU369" i="4"/>
  <c r="BT369" i="4"/>
  <c r="BS369" i="4"/>
  <c r="BQ369" i="4"/>
  <c r="BP369" i="4"/>
  <c r="BO369" i="4"/>
  <c r="BN369" i="4"/>
  <c r="BM369" i="4"/>
  <c r="BL369" i="4"/>
  <c r="BK369" i="4"/>
  <c r="BJ369" i="4"/>
  <c r="BI369" i="4"/>
  <c r="BH369" i="4"/>
  <c r="BG369" i="4"/>
  <c r="BF369" i="4"/>
  <c r="BE369" i="4"/>
  <c r="BD369" i="4"/>
  <c r="BC369" i="4"/>
  <c r="BB369" i="4"/>
  <c r="BA369" i="4"/>
  <c r="AZ369" i="4"/>
  <c r="AY369" i="4"/>
  <c r="AX369" i="4"/>
  <c r="AW369" i="4"/>
  <c r="AV369" i="4"/>
  <c r="AU369" i="4"/>
  <c r="AT369" i="4"/>
  <c r="AS369" i="4"/>
  <c r="AR369" i="4"/>
  <c r="AQ369" i="4"/>
  <c r="AP369" i="4"/>
  <c r="AO369" i="4"/>
  <c r="AN369" i="4"/>
  <c r="AM369" i="4"/>
  <c r="AL369" i="4"/>
  <c r="AK369" i="4"/>
  <c r="AJ369" i="4"/>
  <c r="AI369" i="4"/>
  <c r="AH369" i="4"/>
  <c r="AG369" i="4"/>
  <c r="AF369" i="4"/>
  <c r="AE369" i="4"/>
  <c r="AD369" i="4"/>
  <c r="AC369" i="4"/>
  <c r="AB369" i="4"/>
  <c r="AA369" i="4"/>
  <c r="Z369" i="4"/>
  <c r="Y369" i="4"/>
  <c r="X369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A369" i="4"/>
  <c r="CJ368" i="4"/>
  <c r="CI368" i="4"/>
  <c r="CH368" i="4"/>
  <c r="CG368" i="4"/>
  <c r="CF368" i="4"/>
  <c r="CE368" i="4"/>
  <c r="CD368" i="4"/>
  <c r="CC368" i="4"/>
  <c r="CB368" i="4"/>
  <c r="CA368" i="4"/>
  <c r="BZ368" i="4"/>
  <c r="BY368" i="4"/>
  <c r="BX368" i="4"/>
  <c r="BW368" i="4"/>
  <c r="BV368" i="4"/>
  <c r="BU368" i="4"/>
  <c r="BT368" i="4"/>
  <c r="BS368" i="4"/>
  <c r="BQ368" i="4"/>
  <c r="BP368" i="4"/>
  <c r="BO368" i="4"/>
  <c r="BN368" i="4"/>
  <c r="BM368" i="4"/>
  <c r="BL368" i="4"/>
  <c r="BK368" i="4"/>
  <c r="BJ368" i="4"/>
  <c r="BI368" i="4"/>
  <c r="BH368" i="4"/>
  <c r="BG368" i="4"/>
  <c r="BF368" i="4"/>
  <c r="BE368" i="4"/>
  <c r="BD368" i="4"/>
  <c r="BC368" i="4"/>
  <c r="BB368" i="4"/>
  <c r="BA368" i="4"/>
  <c r="AZ368" i="4"/>
  <c r="AY368" i="4"/>
  <c r="AX368" i="4"/>
  <c r="AW368" i="4"/>
  <c r="AV368" i="4"/>
  <c r="AU368" i="4"/>
  <c r="AT368" i="4"/>
  <c r="AS368" i="4"/>
  <c r="AR368" i="4"/>
  <c r="AQ368" i="4"/>
  <c r="AP368" i="4"/>
  <c r="AO368" i="4"/>
  <c r="AN368" i="4"/>
  <c r="AM368" i="4"/>
  <c r="AL368" i="4"/>
  <c r="AK368" i="4"/>
  <c r="AJ368" i="4"/>
  <c r="AI368" i="4"/>
  <c r="AH368" i="4"/>
  <c r="AG368" i="4"/>
  <c r="AF368" i="4"/>
  <c r="AE368" i="4"/>
  <c r="AD368" i="4"/>
  <c r="AC368" i="4"/>
  <c r="AB368" i="4"/>
  <c r="AA368" i="4"/>
  <c r="Z368" i="4"/>
  <c r="Y368" i="4"/>
  <c r="X368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CJ367" i="4"/>
  <c r="CI367" i="4"/>
  <c r="CH367" i="4"/>
  <c r="CG367" i="4"/>
  <c r="CF367" i="4"/>
  <c r="CE367" i="4"/>
  <c r="CD367" i="4"/>
  <c r="CC367" i="4"/>
  <c r="CB367" i="4"/>
  <c r="CA367" i="4"/>
  <c r="BZ367" i="4"/>
  <c r="BY367" i="4"/>
  <c r="BX367" i="4"/>
  <c r="BW367" i="4"/>
  <c r="BV367" i="4"/>
  <c r="BU367" i="4"/>
  <c r="BT367" i="4"/>
  <c r="BS367" i="4"/>
  <c r="BQ367" i="4"/>
  <c r="BP367" i="4"/>
  <c r="BO367" i="4"/>
  <c r="BN367" i="4"/>
  <c r="BM367" i="4"/>
  <c r="BL367" i="4"/>
  <c r="BK367" i="4"/>
  <c r="BJ367" i="4"/>
  <c r="BI367" i="4"/>
  <c r="BH367" i="4"/>
  <c r="BG367" i="4"/>
  <c r="BF367" i="4"/>
  <c r="BE367" i="4"/>
  <c r="BD367" i="4"/>
  <c r="BC367" i="4"/>
  <c r="BB367" i="4"/>
  <c r="BA367" i="4"/>
  <c r="AZ367" i="4"/>
  <c r="AY367" i="4"/>
  <c r="AX367" i="4"/>
  <c r="AW367" i="4"/>
  <c r="AV367" i="4"/>
  <c r="AU367" i="4"/>
  <c r="AT367" i="4"/>
  <c r="AS367" i="4"/>
  <c r="AR367" i="4"/>
  <c r="AQ367" i="4"/>
  <c r="AP367" i="4"/>
  <c r="AO367" i="4"/>
  <c r="AN367" i="4"/>
  <c r="AM367" i="4"/>
  <c r="AL367" i="4"/>
  <c r="AK367" i="4"/>
  <c r="AJ367" i="4"/>
  <c r="AI367" i="4"/>
  <c r="AH367" i="4"/>
  <c r="AG367" i="4"/>
  <c r="AF367" i="4"/>
  <c r="AE367" i="4"/>
  <c r="AD367" i="4"/>
  <c r="AC367" i="4"/>
  <c r="AB367" i="4"/>
  <c r="AA367" i="4"/>
  <c r="Z367" i="4"/>
  <c r="Y367" i="4"/>
  <c r="X367" i="4"/>
  <c r="V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A367" i="4"/>
  <c r="CJ366" i="4"/>
  <c r="CI366" i="4"/>
  <c r="CH366" i="4"/>
  <c r="CG366" i="4"/>
  <c r="CF366" i="4"/>
  <c r="CE366" i="4"/>
  <c r="CD366" i="4"/>
  <c r="CC366" i="4"/>
  <c r="CB366" i="4"/>
  <c r="CA366" i="4"/>
  <c r="BZ366" i="4"/>
  <c r="BY366" i="4"/>
  <c r="BX366" i="4"/>
  <c r="BW366" i="4"/>
  <c r="BV366" i="4"/>
  <c r="BU366" i="4"/>
  <c r="BT366" i="4"/>
  <c r="BS366" i="4"/>
  <c r="BQ366" i="4"/>
  <c r="BP366" i="4"/>
  <c r="BO366" i="4"/>
  <c r="BN366" i="4"/>
  <c r="BM366" i="4"/>
  <c r="BL366" i="4"/>
  <c r="BK366" i="4"/>
  <c r="BJ366" i="4"/>
  <c r="BI366" i="4"/>
  <c r="BH366" i="4"/>
  <c r="BG366" i="4"/>
  <c r="BF366" i="4"/>
  <c r="BE366" i="4"/>
  <c r="BD366" i="4"/>
  <c r="BC366" i="4"/>
  <c r="BB366" i="4"/>
  <c r="BA366" i="4"/>
  <c r="AZ366" i="4"/>
  <c r="AY366" i="4"/>
  <c r="AX366" i="4"/>
  <c r="AW366" i="4"/>
  <c r="AV366" i="4"/>
  <c r="AU366" i="4"/>
  <c r="AT366" i="4"/>
  <c r="AS366" i="4"/>
  <c r="AR366" i="4"/>
  <c r="AQ366" i="4"/>
  <c r="AP366" i="4"/>
  <c r="AO366" i="4"/>
  <c r="AN366" i="4"/>
  <c r="AM366" i="4"/>
  <c r="AL366" i="4"/>
  <c r="AK366" i="4"/>
  <c r="AJ366" i="4"/>
  <c r="AI366" i="4"/>
  <c r="AH366" i="4"/>
  <c r="AG366" i="4"/>
  <c r="AF366" i="4"/>
  <c r="AE366" i="4"/>
  <c r="AD366" i="4"/>
  <c r="AC366" i="4"/>
  <c r="AB366" i="4"/>
  <c r="AA366" i="4"/>
  <c r="Z366" i="4"/>
  <c r="Y366" i="4"/>
  <c r="X366" i="4"/>
  <c r="V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A366" i="4"/>
  <c r="CJ365" i="4"/>
  <c r="CI365" i="4"/>
  <c r="CH365" i="4"/>
  <c r="CG365" i="4"/>
  <c r="CF365" i="4"/>
  <c r="CE365" i="4"/>
  <c r="CD365" i="4"/>
  <c r="CC365" i="4"/>
  <c r="CB365" i="4"/>
  <c r="CA365" i="4"/>
  <c r="BZ365" i="4"/>
  <c r="BY365" i="4"/>
  <c r="BX365" i="4"/>
  <c r="BW365" i="4"/>
  <c r="BV365" i="4"/>
  <c r="BU365" i="4"/>
  <c r="BT365" i="4"/>
  <c r="BS365" i="4"/>
  <c r="BQ365" i="4"/>
  <c r="BP365" i="4"/>
  <c r="BO365" i="4"/>
  <c r="BN365" i="4"/>
  <c r="BM365" i="4"/>
  <c r="BL365" i="4"/>
  <c r="BK365" i="4"/>
  <c r="BJ365" i="4"/>
  <c r="BI365" i="4"/>
  <c r="BH365" i="4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U365" i="4"/>
  <c r="AT365" i="4"/>
  <c r="AS365" i="4"/>
  <c r="AR365" i="4"/>
  <c r="AQ365" i="4"/>
  <c r="AP365" i="4"/>
  <c r="AO365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Z365" i="4"/>
  <c r="Y365" i="4"/>
  <c r="X365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A365" i="4"/>
  <c r="CJ364" i="4"/>
  <c r="CI364" i="4"/>
  <c r="CH364" i="4"/>
  <c r="CG364" i="4"/>
  <c r="CF364" i="4"/>
  <c r="CE364" i="4"/>
  <c r="CD364" i="4"/>
  <c r="CC364" i="4"/>
  <c r="CB364" i="4"/>
  <c r="CA364" i="4"/>
  <c r="BZ364" i="4"/>
  <c r="BY364" i="4"/>
  <c r="BX364" i="4"/>
  <c r="BW364" i="4"/>
  <c r="BV364" i="4"/>
  <c r="BU364" i="4"/>
  <c r="BT364" i="4"/>
  <c r="BS364" i="4"/>
  <c r="BQ364" i="4"/>
  <c r="BP364" i="4"/>
  <c r="BO364" i="4"/>
  <c r="BN364" i="4"/>
  <c r="BM364" i="4"/>
  <c r="BL364" i="4"/>
  <c r="BK364" i="4"/>
  <c r="BJ364" i="4"/>
  <c r="BI364" i="4"/>
  <c r="BH364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Q364" i="4"/>
  <c r="AP364" i="4"/>
  <c r="AO364" i="4"/>
  <c r="AN364" i="4"/>
  <c r="AM364" i="4"/>
  <c r="AL364" i="4"/>
  <c r="AK364" i="4"/>
  <c r="AJ364" i="4"/>
  <c r="AI364" i="4"/>
  <c r="AH364" i="4"/>
  <c r="AG364" i="4"/>
  <c r="AF364" i="4"/>
  <c r="AE364" i="4"/>
  <c r="AD364" i="4"/>
  <c r="AC364" i="4"/>
  <c r="AB364" i="4"/>
  <c r="AA364" i="4"/>
  <c r="Z364" i="4"/>
  <c r="Y364" i="4"/>
  <c r="X364" i="4"/>
  <c r="V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A364" i="4"/>
  <c r="CJ363" i="4"/>
  <c r="CI363" i="4"/>
  <c r="CH363" i="4"/>
  <c r="CG363" i="4"/>
  <c r="CF363" i="4"/>
  <c r="CE363" i="4"/>
  <c r="CD363" i="4"/>
  <c r="CC363" i="4"/>
  <c r="CB363" i="4"/>
  <c r="CA363" i="4"/>
  <c r="BZ363" i="4"/>
  <c r="BY363" i="4"/>
  <c r="BX363" i="4"/>
  <c r="BW363" i="4"/>
  <c r="BV363" i="4"/>
  <c r="BU363" i="4"/>
  <c r="BT363" i="4"/>
  <c r="BS363" i="4"/>
  <c r="BQ363" i="4"/>
  <c r="BP363" i="4"/>
  <c r="BO363" i="4"/>
  <c r="BN363" i="4"/>
  <c r="BM363" i="4"/>
  <c r="BL363" i="4"/>
  <c r="BK363" i="4"/>
  <c r="BJ363" i="4"/>
  <c r="BI363" i="4"/>
  <c r="BH363" i="4"/>
  <c r="BG363" i="4"/>
  <c r="BF363" i="4"/>
  <c r="BE363" i="4"/>
  <c r="BD363" i="4"/>
  <c r="BC363" i="4"/>
  <c r="BB363" i="4"/>
  <c r="BA363" i="4"/>
  <c r="AZ363" i="4"/>
  <c r="AY363" i="4"/>
  <c r="AX363" i="4"/>
  <c r="AW363" i="4"/>
  <c r="AV363" i="4"/>
  <c r="AU363" i="4"/>
  <c r="AT363" i="4"/>
  <c r="AS363" i="4"/>
  <c r="AR363" i="4"/>
  <c r="AQ363" i="4"/>
  <c r="AP363" i="4"/>
  <c r="AO363" i="4"/>
  <c r="AN363" i="4"/>
  <c r="AM363" i="4"/>
  <c r="AL363" i="4"/>
  <c r="AK363" i="4"/>
  <c r="AJ363" i="4"/>
  <c r="AI363" i="4"/>
  <c r="AH363" i="4"/>
  <c r="AG363" i="4"/>
  <c r="AF363" i="4"/>
  <c r="AE363" i="4"/>
  <c r="AD363" i="4"/>
  <c r="AC363" i="4"/>
  <c r="AB363" i="4"/>
  <c r="AA363" i="4"/>
  <c r="Z363" i="4"/>
  <c r="Y363" i="4"/>
  <c r="X363" i="4"/>
  <c r="V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A363" i="4"/>
  <c r="CJ362" i="4"/>
  <c r="CI362" i="4"/>
  <c r="CH362" i="4"/>
  <c r="CG362" i="4"/>
  <c r="CF362" i="4"/>
  <c r="CE362" i="4"/>
  <c r="CD362" i="4"/>
  <c r="CC362" i="4"/>
  <c r="CB362" i="4"/>
  <c r="CA362" i="4"/>
  <c r="BZ362" i="4"/>
  <c r="BY362" i="4"/>
  <c r="BX362" i="4"/>
  <c r="BW362" i="4"/>
  <c r="BV362" i="4"/>
  <c r="BU362" i="4"/>
  <c r="BT362" i="4"/>
  <c r="BS362" i="4"/>
  <c r="BQ362" i="4"/>
  <c r="BP362" i="4"/>
  <c r="BO362" i="4"/>
  <c r="BN362" i="4"/>
  <c r="BM362" i="4"/>
  <c r="BL362" i="4"/>
  <c r="BK362" i="4"/>
  <c r="BJ362" i="4"/>
  <c r="BI362" i="4"/>
  <c r="BH362" i="4"/>
  <c r="BG362" i="4"/>
  <c r="BF362" i="4"/>
  <c r="BE362" i="4"/>
  <c r="BD362" i="4"/>
  <c r="BC362" i="4"/>
  <c r="BB362" i="4"/>
  <c r="BA362" i="4"/>
  <c r="AZ362" i="4"/>
  <c r="AY362" i="4"/>
  <c r="AX362" i="4"/>
  <c r="AW362" i="4"/>
  <c r="AV362" i="4"/>
  <c r="AU362" i="4"/>
  <c r="AT362" i="4"/>
  <c r="AS362" i="4"/>
  <c r="AR362" i="4"/>
  <c r="AQ362" i="4"/>
  <c r="AP362" i="4"/>
  <c r="AO362" i="4"/>
  <c r="AN362" i="4"/>
  <c r="AM362" i="4"/>
  <c r="AL362" i="4"/>
  <c r="AK362" i="4"/>
  <c r="AJ362" i="4"/>
  <c r="AI362" i="4"/>
  <c r="AH362" i="4"/>
  <c r="AG362" i="4"/>
  <c r="AF362" i="4"/>
  <c r="AE362" i="4"/>
  <c r="AD362" i="4"/>
  <c r="AC362" i="4"/>
  <c r="AB362" i="4"/>
  <c r="AA362" i="4"/>
  <c r="Z362" i="4"/>
  <c r="Y362" i="4"/>
  <c r="X362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A362" i="4"/>
  <c r="CJ361" i="4"/>
  <c r="CI361" i="4"/>
  <c r="CH361" i="4"/>
  <c r="CG361" i="4"/>
  <c r="CF361" i="4"/>
  <c r="CE361" i="4"/>
  <c r="CD361" i="4"/>
  <c r="CC361" i="4"/>
  <c r="CB361" i="4"/>
  <c r="CA361" i="4"/>
  <c r="BZ361" i="4"/>
  <c r="BY361" i="4"/>
  <c r="BX361" i="4"/>
  <c r="BW361" i="4"/>
  <c r="BV361" i="4"/>
  <c r="BU361" i="4"/>
  <c r="BT361" i="4"/>
  <c r="BS361" i="4"/>
  <c r="BQ361" i="4"/>
  <c r="BP361" i="4"/>
  <c r="BO361" i="4"/>
  <c r="BN361" i="4"/>
  <c r="BM361" i="4"/>
  <c r="BL361" i="4"/>
  <c r="BK361" i="4"/>
  <c r="BJ361" i="4"/>
  <c r="BI361" i="4"/>
  <c r="BH361" i="4"/>
  <c r="BG361" i="4"/>
  <c r="BF361" i="4"/>
  <c r="BE361" i="4"/>
  <c r="BD361" i="4"/>
  <c r="BC361" i="4"/>
  <c r="BB361" i="4"/>
  <c r="BA361" i="4"/>
  <c r="AZ361" i="4"/>
  <c r="AY361" i="4"/>
  <c r="AX361" i="4"/>
  <c r="AW361" i="4"/>
  <c r="AV361" i="4"/>
  <c r="AU361" i="4"/>
  <c r="AT361" i="4"/>
  <c r="AS361" i="4"/>
  <c r="AR361" i="4"/>
  <c r="AQ361" i="4"/>
  <c r="AP361" i="4"/>
  <c r="AO361" i="4"/>
  <c r="AN361" i="4"/>
  <c r="AM361" i="4"/>
  <c r="AL361" i="4"/>
  <c r="AK361" i="4"/>
  <c r="AJ361" i="4"/>
  <c r="AI361" i="4"/>
  <c r="AH361" i="4"/>
  <c r="AG361" i="4"/>
  <c r="AF361" i="4"/>
  <c r="AE361" i="4"/>
  <c r="AD361" i="4"/>
  <c r="AC361" i="4"/>
  <c r="AB361" i="4"/>
  <c r="AA361" i="4"/>
  <c r="Z361" i="4"/>
  <c r="Y361" i="4"/>
  <c r="X361" i="4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A361" i="4"/>
  <c r="CJ360" i="4"/>
  <c r="CI360" i="4"/>
  <c r="CH360" i="4"/>
  <c r="CG360" i="4"/>
  <c r="CF360" i="4"/>
  <c r="CE360" i="4"/>
  <c r="CD360" i="4"/>
  <c r="CC360" i="4"/>
  <c r="CB360" i="4"/>
  <c r="CA360" i="4"/>
  <c r="BZ360" i="4"/>
  <c r="BY360" i="4"/>
  <c r="BX360" i="4"/>
  <c r="BW360" i="4"/>
  <c r="BV360" i="4"/>
  <c r="BU360" i="4"/>
  <c r="BT360" i="4"/>
  <c r="BS360" i="4"/>
  <c r="BQ360" i="4"/>
  <c r="BP360" i="4"/>
  <c r="BO360" i="4"/>
  <c r="BN360" i="4"/>
  <c r="BM360" i="4"/>
  <c r="BL360" i="4"/>
  <c r="BK360" i="4"/>
  <c r="BJ360" i="4"/>
  <c r="BI360" i="4"/>
  <c r="BH360" i="4"/>
  <c r="BG360" i="4"/>
  <c r="BF360" i="4"/>
  <c r="BE360" i="4"/>
  <c r="BD360" i="4"/>
  <c r="BC360" i="4"/>
  <c r="BB360" i="4"/>
  <c r="BA360" i="4"/>
  <c r="AZ360" i="4"/>
  <c r="AY360" i="4"/>
  <c r="AX360" i="4"/>
  <c r="AW360" i="4"/>
  <c r="AV360" i="4"/>
  <c r="AU360" i="4"/>
  <c r="AT360" i="4"/>
  <c r="AS360" i="4"/>
  <c r="AR360" i="4"/>
  <c r="AQ360" i="4"/>
  <c r="AP360" i="4"/>
  <c r="AO360" i="4"/>
  <c r="AN360" i="4"/>
  <c r="AM360" i="4"/>
  <c r="AL360" i="4"/>
  <c r="AK360" i="4"/>
  <c r="AJ360" i="4"/>
  <c r="AI360" i="4"/>
  <c r="AH360" i="4"/>
  <c r="AG360" i="4"/>
  <c r="AF360" i="4"/>
  <c r="AE360" i="4"/>
  <c r="AD360" i="4"/>
  <c r="AC360" i="4"/>
  <c r="AB360" i="4"/>
  <c r="AA360" i="4"/>
  <c r="Z360" i="4"/>
  <c r="Y360" i="4"/>
  <c r="X360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A360" i="4"/>
  <c r="CJ359" i="4"/>
  <c r="CI359" i="4"/>
  <c r="CH359" i="4"/>
  <c r="CG359" i="4"/>
  <c r="CF359" i="4"/>
  <c r="CE359" i="4"/>
  <c r="CD359" i="4"/>
  <c r="CC359" i="4"/>
  <c r="CB359" i="4"/>
  <c r="CA359" i="4"/>
  <c r="BZ359" i="4"/>
  <c r="BY359" i="4"/>
  <c r="BX359" i="4"/>
  <c r="BW359" i="4"/>
  <c r="BV359" i="4"/>
  <c r="BU359" i="4"/>
  <c r="BT359" i="4"/>
  <c r="BS359" i="4"/>
  <c r="BQ359" i="4"/>
  <c r="BP359" i="4"/>
  <c r="BO359" i="4"/>
  <c r="BN359" i="4"/>
  <c r="BM359" i="4"/>
  <c r="BL359" i="4"/>
  <c r="BK359" i="4"/>
  <c r="BJ359" i="4"/>
  <c r="BI359" i="4"/>
  <c r="BH359" i="4"/>
  <c r="BG359" i="4"/>
  <c r="BF359" i="4"/>
  <c r="BE359" i="4"/>
  <c r="BD359" i="4"/>
  <c r="BC359" i="4"/>
  <c r="BB359" i="4"/>
  <c r="BA359" i="4"/>
  <c r="AZ359" i="4"/>
  <c r="AY359" i="4"/>
  <c r="AX359" i="4"/>
  <c r="AW359" i="4"/>
  <c r="AV359" i="4"/>
  <c r="AU359" i="4"/>
  <c r="AT359" i="4"/>
  <c r="AS359" i="4"/>
  <c r="AR359" i="4"/>
  <c r="AQ359" i="4"/>
  <c r="AP359" i="4"/>
  <c r="AO359" i="4"/>
  <c r="AN359" i="4"/>
  <c r="AM359" i="4"/>
  <c r="AL359" i="4"/>
  <c r="AK359" i="4"/>
  <c r="AJ359" i="4"/>
  <c r="AI359" i="4"/>
  <c r="AH359" i="4"/>
  <c r="AG359" i="4"/>
  <c r="AF359" i="4"/>
  <c r="AE359" i="4"/>
  <c r="AD359" i="4"/>
  <c r="AC359" i="4"/>
  <c r="AB359" i="4"/>
  <c r="AA359" i="4"/>
  <c r="Z359" i="4"/>
  <c r="Y359" i="4"/>
  <c r="X359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A359" i="4"/>
  <c r="CJ358" i="4"/>
  <c r="CI358" i="4"/>
  <c r="CH358" i="4"/>
  <c r="CG358" i="4"/>
  <c r="CF358" i="4"/>
  <c r="CE358" i="4"/>
  <c r="CD358" i="4"/>
  <c r="CC358" i="4"/>
  <c r="CB358" i="4"/>
  <c r="CA358" i="4"/>
  <c r="BZ358" i="4"/>
  <c r="BY358" i="4"/>
  <c r="BX358" i="4"/>
  <c r="BW358" i="4"/>
  <c r="BV358" i="4"/>
  <c r="BU358" i="4"/>
  <c r="BT358" i="4"/>
  <c r="BS358" i="4"/>
  <c r="BQ358" i="4"/>
  <c r="BP358" i="4"/>
  <c r="BO358" i="4"/>
  <c r="BN358" i="4"/>
  <c r="BM358" i="4"/>
  <c r="BL358" i="4"/>
  <c r="BK358" i="4"/>
  <c r="BJ358" i="4"/>
  <c r="BI358" i="4"/>
  <c r="BH358" i="4"/>
  <c r="BG358" i="4"/>
  <c r="BF358" i="4"/>
  <c r="BE358" i="4"/>
  <c r="BD358" i="4"/>
  <c r="BC358" i="4"/>
  <c r="BB358" i="4"/>
  <c r="BA358" i="4"/>
  <c r="AZ358" i="4"/>
  <c r="AY358" i="4"/>
  <c r="AX358" i="4"/>
  <c r="AW358" i="4"/>
  <c r="AV358" i="4"/>
  <c r="AU358" i="4"/>
  <c r="AT358" i="4"/>
  <c r="AS358" i="4"/>
  <c r="AR358" i="4"/>
  <c r="AQ358" i="4"/>
  <c r="AP358" i="4"/>
  <c r="AO358" i="4"/>
  <c r="AN358" i="4"/>
  <c r="AM358" i="4"/>
  <c r="AL358" i="4"/>
  <c r="AK358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A358" i="4"/>
  <c r="CJ357" i="4"/>
  <c r="CI357" i="4"/>
  <c r="CH357" i="4"/>
  <c r="CG357" i="4"/>
  <c r="CF357" i="4"/>
  <c r="CE357" i="4"/>
  <c r="CD357" i="4"/>
  <c r="CC357" i="4"/>
  <c r="CB357" i="4"/>
  <c r="CA357" i="4"/>
  <c r="BZ357" i="4"/>
  <c r="BY357" i="4"/>
  <c r="BX357" i="4"/>
  <c r="BW357" i="4"/>
  <c r="BV357" i="4"/>
  <c r="BU357" i="4"/>
  <c r="BT357" i="4"/>
  <c r="BS357" i="4"/>
  <c r="BQ357" i="4"/>
  <c r="BP357" i="4"/>
  <c r="BO357" i="4"/>
  <c r="BN357" i="4"/>
  <c r="BM357" i="4"/>
  <c r="BL357" i="4"/>
  <c r="BK357" i="4"/>
  <c r="BJ357" i="4"/>
  <c r="BI357" i="4"/>
  <c r="BH357" i="4"/>
  <c r="BG357" i="4"/>
  <c r="BF357" i="4"/>
  <c r="BE357" i="4"/>
  <c r="BD357" i="4"/>
  <c r="BC357" i="4"/>
  <c r="BB357" i="4"/>
  <c r="BA357" i="4"/>
  <c r="AZ357" i="4"/>
  <c r="AY357" i="4"/>
  <c r="AX357" i="4"/>
  <c r="AW357" i="4"/>
  <c r="AV357" i="4"/>
  <c r="AU357" i="4"/>
  <c r="AT357" i="4"/>
  <c r="AS357" i="4"/>
  <c r="AR357" i="4"/>
  <c r="AQ357" i="4"/>
  <c r="AP357" i="4"/>
  <c r="AO357" i="4"/>
  <c r="AN357" i="4"/>
  <c r="AM357" i="4"/>
  <c r="AL357" i="4"/>
  <c r="AK357" i="4"/>
  <c r="AJ357" i="4"/>
  <c r="AI357" i="4"/>
  <c r="AH357" i="4"/>
  <c r="AG357" i="4"/>
  <c r="AF357" i="4"/>
  <c r="AE357" i="4"/>
  <c r="AD357" i="4"/>
  <c r="AC357" i="4"/>
  <c r="AB357" i="4"/>
  <c r="AA357" i="4"/>
  <c r="Z357" i="4"/>
  <c r="Y357" i="4"/>
  <c r="X357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A357" i="4"/>
  <c r="CJ356" i="4"/>
  <c r="CI356" i="4"/>
  <c r="CH356" i="4"/>
  <c r="CG356" i="4"/>
  <c r="CF356" i="4"/>
  <c r="CE356" i="4"/>
  <c r="CD356" i="4"/>
  <c r="CC356" i="4"/>
  <c r="CB356" i="4"/>
  <c r="CA356" i="4"/>
  <c r="BZ356" i="4"/>
  <c r="BY356" i="4"/>
  <c r="BX356" i="4"/>
  <c r="BW356" i="4"/>
  <c r="BV356" i="4"/>
  <c r="BU356" i="4"/>
  <c r="BT356" i="4"/>
  <c r="BS356" i="4"/>
  <c r="BQ356" i="4"/>
  <c r="BP356" i="4"/>
  <c r="BO356" i="4"/>
  <c r="BN356" i="4"/>
  <c r="BM356" i="4"/>
  <c r="BL356" i="4"/>
  <c r="BK356" i="4"/>
  <c r="BJ356" i="4"/>
  <c r="BI356" i="4"/>
  <c r="BH356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Q356" i="4"/>
  <c r="AP356" i="4"/>
  <c r="AO356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A356" i="4"/>
  <c r="CJ355" i="4"/>
  <c r="CI355" i="4"/>
  <c r="CH355" i="4"/>
  <c r="CG355" i="4"/>
  <c r="CF355" i="4"/>
  <c r="CE355" i="4"/>
  <c r="CD355" i="4"/>
  <c r="CC355" i="4"/>
  <c r="CB355" i="4"/>
  <c r="CA355" i="4"/>
  <c r="BZ355" i="4"/>
  <c r="BY355" i="4"/>
  <c r="BX355" i="4"/>
  <c r="BW355" i="4"/>
  <c r="BV355" i="4"/>
  <c r="BU355" i="4"/>
  <c r="BT355" i="4"/>
  <c r="BS355" i="4"/>
  <c r="BQ355" i="4"/>
  <c r="BP355" i="4"/>
  <c r="BO355" i="4"/>
  <c r="BN355" i="4"/>
  <c r="BM355" i="4"/>
  <c r="BL355" i="4"/>
  <c r="BK355" i="4"/>
  <c r="BJ355" i="4"/>
  <c r="BI355" i="4"/>
  <c r="BH355" i="4"/>
  <c r="BG355" i="4"/>
  <c r="BF355" i="4"/>
  <c r="BE355" i="4"/>
  <c r="BD355" i="4"/>
  <c r="BC355" i="4"/>
  <c r="BB355" i="4"/>
  <c r="BA355" i="4"/>
  <c r="AZ355" i="4"/>
  <c r="AY355" i="4"/>
  <c r="AX355" i="4"/>
  <c r="AW355" i="4"/>
  <c r="AV355" i="4"/>
  <c r="AU355" i="4"/>
  <c r="AT355" i="4"/>
  <c r="AS355" i="4"/>
  <c r="AR355" i="4"/>
  <c r="AQ355" i="4"/>
  <c r="AP355" i="4"/>
  <c r="AO355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AB355" i="4"/>
  <c r="AA355" i="4"/>
  <c r="Z355" i="4"/>
  <c r="Y355" i="4"/>
  <c r="X355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A355" i="4"/>
  <c r="CJ354" i="4"/>
  <c r="CI354" i="4"/>
  <c r="CH354" i="4"/>
  <c r="CG354" i="4"/>
  <c r="CF354" i="4"/>
  <c r="CE354" i="4"/>
  <c r="CD354" i="4"/>
  <c r="CC354" i="4"/>
  <c r="CB354" i="4"/>
  <c r="CA354" i="4"/>
  <c r="BZ354" i="4"/>
  <c r="BY354" i="4"/>
  <c r="BX354" i="4"/>
  <c r="BW354" i="4"/>
  <c r="BV354" i="4"/>
  <c r="BU354" i="4"/>
  <c r="BT354" i="4"/>
  <c r="BS354" i="4"/>
  <c r="BQ354" i="4"/>
  <c r="BP354" i="4"/>
  <c r="BO354" i="4"/>
  <c r="BN354" i="4"/>
  <c r="BM354" i="4"/>
  <c r="BL354" i="4"/>
  <c r="BK354" i="4"/>
  <c r="BJ354" i="4"/>
  <c r="BI354" i="4"/>
  <c r="BH354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Q354" i="4"/>
  <c r="AP354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CJ353" i="4"/>
  <c r="CI353" i="4"/>
  <c r="CH353" i="4"/>
  <c r="CG353" i="4"/>
  <c r="CF353" i="4"/>
  <c r="CE353" i="4"/>
  <c r="CD353" i="4"/>
  <c r="CC353" i="4"/>
  <c r="CB353" i="4"/>
  <c r="CA353" i="4"/>
  <c r="BZ353" i="4"/>
  <c r="BY353" i="4"/>
  <c r="BX353" i="4"/>
  <c r="BW353" i="4"/>
  <c r="BV353" i="4"/>
  <c r="BU353" i="4"/>
  <c r="BT353" i="4"/>
  <c r="BS353" i="4"/>
  <c r="BQ353" i="4"/>
  <c r="BP353" i="4"/>
  <c r="BO353" i="4"/>
  <c r="BN353" i="4"/>
  <c r="BM353" i="4"/>
  <c r="BL353" i="4"/>
  <c r="BK353" i="4"/>
  <c r="BJ353" i="4"/>
  <c r="BI353" i="4"/>
  <c r="BH353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/>
  <c r="AR353" i="4"/>
  <c r="AQ353" i="4"/>
  <c r="AP353" i="4"/>
  <c r="AO353" i="4"/>
  <c r="AN353" i="4"/>
  <c r="AM353" i="4"/>
  <c r="AL353" i="4"/>
  <c r="AK353" i="4"/>
  <c r="AJ353" i="4"/>
  <c r="AI353" i="4"/>
  <c r="AH353" i="4"/>
  <c r="AG353" i="4"/>
  <c r="AF353" i="4"/>
  <c r="AE353" i="4"/>
  <c r="AD353" i="4"/>
  <c r="AC353" i="4"/>
  <c r="AB353" i="4"/>
  <c r="AA353" i="4"/>
  <c r="Z353" i="4"/>
  <c r="Y353" i="4"/>
  <c r="X353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A353" i="4"/>
  <c r="CJ352" i="4"/>
  <c r="CI352" i="4"/>
  <c r="CH352" i="4"/>
  <c r="CG352" i="4"/>
  <c r="CF352" i="4"/>
  <c r="CE352" i="4"/>
  <c r="CD352" i="4"/>
  <c r="CC352" i="4"/>
  <c r="CB352" i="4"/>
  <c r="CA352" i="4"/>
  <c r="BZ352" i="4"/>
  <c r="BY352" i="4"/>
  <c r="BX352" i="4"/>
  <c r="BW352" i="4"/>
  <c r="BV352" i="4"/>
  <c r="BU352" i="4"/>
  <c r="BT352" i="4"/>
  <c r="BS352" i="4"/>
  <c r="BQ352" i="4"/>
  <c r="BP352" i="4"/>
  <c r="BO352" i="4"/>
  <c r="BN352" i="4"/>
  <c r="BM352" i="4"/>
  <c r="BL352" i="4"/>
  <c r="BK352" i="4"/>
  <c r="BJ352" i="4"/>
  <c r="BI352" i="4"/>
  <c r="BH352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U352" i="4"/>
  <c r="AT352" i="4"/>
  <c r="AS352" i="4"/>
  <c r="AR352" i="4"/>
  <c r="AQ352" i="4"/>
  <c r="AP352" i="4"/>
  <c r="AO352" i="4"/>
  <c r="AN352" i="4"/>
  <c r="AM352" i="4"/>
  <c r="AL35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CJ351" i="4"/>
  <c r="CI351" i="4"/>
  <c r="CH351" i="4"/>
  <c r="CG351" i="4"/>
  <c r="CF351" i="4"/>
  <c r="CE351" i="4"/>
  <c r="CD351" i="4"/>
  <c r="CC351" i="4"/>
  <c r="CB351" i="4"/>
  <c r="CA351" i="4"/>
  <c r="BZ351" i="4"/>
  <c r="BY351" i="4"/>
  <c r="BX351" i="4"/>
  <c r="BW351" i="4"/>
  <c r="BV351" i="4"/>
  <c r="BU351" i="4"/>
  <c r="BT351" i="4"/>
  <c r="BS351" i="4"/>
  <c r="BQ351" i="4"/>
  <c r="BP351" i="4"/>
  <c r="BO351" i="4"/>
  <c r="BN351" i="4"/>
  <c r="BM351" i="4"/>
  <c r="BL351" i="4"/>
  <c r="BK351" i="4"/>
  <c r="BJ351" i="4"/>
  <c r="BI351" i="4"/>
  <c r="BH351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AQ351" i="4"/>
  <c r="AP351" i="4"/>
  <c r="AO351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Z351" i="4"/>
  <c r="Y351" i="4"/>
  <c r="X351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A351" i="4"/>
  <c r="CJ350" i="4"/>
  <c r="CI350" i="4"/>
  <c r="CH350" i="4"/>
  <c r="CG350" i="4"/>
  <c r="CF350" i="4"/>
  <c r="CE350" i="4"/>
  <c r="CD350" i="4"/>
  <c r="CC350" i="4"/>
  <c r="CB350" i="4"/>
  <c r="CA350" i="4"/>
  <c r="BZ350" i="4"/>
  <c r="BY350" i="4"/>
  <c r="BX350" i="4"/>
  <c r="BW350" i="4"/>
  <c r="BV350" i="4"/>
  <c r="BU350" i="4"/>
  <c r="BT350" i="4"/>
  <c r="BS350" i="4"/>
  <c r="BQ350" i="4"/>
  <c r="BP350" i="4"/>
  <c r="BO350" i="4"/>
  <c r="BN350" i="4"/>
  <c r="BM350" i="4"/>
  <c r="BL350" i="4"/>
  <c r="BK350" i="4"/>
  <c r="BJ350" i="4"/>
  <c r="BI350" i="4"/>
  <c r="BH350" i="4"/>
  <c r="BG350" i="4"/>
  <c r="BF350" i="4"/>
  <c r="BE350" i="4"/>
  <c r="BD350" i="4"/>
  <c r="BC350" i="4"/>
  <c r="BB350" i="4"/>
  <c r="BA350" i="4"/>
  <c r="AZ350" i="4"/>
  <c r="AY350" i="4"/>
  <c r="AX350" i="4"/>
  <c r="AW350" i="4"/>
  <c r="AV350" i="4"/>
  <c r="AU350" i="4"/>
  <c r="AT350" i="4"/>
  <c r="AS350" i="4"/>
  <c r="AR350" i="4"/>
  <c r="AQ350" i="4"/>
  <c r="AP350" i="4"/>
  <c r="AO350" i="4"/>
  <c r="AN350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AA350" i="4"/>
  <c r="Z350" i="4"/>
  <c r="Y350" i="4"/>
  <c r="X350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F350" i="4"/>
  <c r="E350" i="4"/>
  <c r="D350" i="4"/>
  <c r="C350" i="4"/>
  <c r="B350" i="4"/>
  <c r="A350" i="4"/>
  <c r="CJ349" i="4"/>
  <c r="CI349" i="4"/>
  <c r="CH349" i="4"/>
  <c r="CG349" i="4"/>
  <c r="CF349" i="4"/>
  <c r="CE349" i="4"/>
  <c r="CD349" i="4"/>
  <c r="CC349" i="4"/>
  <c r="CB349" i="4"/>
  <c r="CA349" i="4"/>
  <c r="BZ349" i="4"/>
  <c r="BY349" i="4"/>
  <c r="BX349" i="4"/>
  <c r="BW349" i="4"/>
  <c r="BV349" i="4"/>
  <c r="BU349" i="4"/>
  <c r="BT349" i="4"/>
  <c r="BS349" i="4"/>
  <c r="BQ349" i="4"/>
  <c r="BP349" i="4"/>
  <c r="BO349" i="4"/>
  <c r="BN349" i="4"/>
  <c r="BM349" i="4"/>
  <c r="BL349" i="4"/>
  <c r="BK349" i="4"/>
  <c r="BJ349" i="4"/>
  <c r="BI349" i="4"/>
  <c r="BH349" i="4"/>
  <c r="BG349" i="4"/>
  <c r="BF349" i="4"/>
  <c r="BE349" i="4"/>
  <c r="BD349" i="4"/>
  <c r="BC349" i="4"/>
  <c r="BB349" i="4"/>
  <c r="BA349" i="4"/>
  <c r="AZ349" i="4"/>
  <c r="AY349" i="4"/>
  <c r="AX349" i="4"/>
  <c r="AW349" i="4"/>
  <c r="AV349" i="4"/>
  <c r="AU349" i="4"/>
  <c r="AT349" i="4"/>
  <c r="AS349" i="4"/>
  <c r="AR349" i="4"/>
  <c r="AQ349" i="4"/>
  <c r="AP349" i="4"/>
  <c r="AO349" i="4"/>
  <c r="AN349" i="4"/>
  <c r="AM349" i="4"/>
  <c r="AL349" i="4"/>
  <c r="AK349" i="4"/>
  <c r="AJ349" i="4"/>
  <c r="AI349" i="4"/>
  <c r="AH349" i="4"/>
  <c r="AG349" i="4"/>
  <c r="AF349" i="4"/>
  <c r="AE349" i="4"/>
  <c r="AD349" i="4"/>
  <c r="AC349" i="4"/>
  <c r="AB349" i="4"/>
  <c r="AA349" i="4"/>
  <c r="Z349" i="4"/>
  <c r="Y349" i="4"/>
  <c r="X349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A349" i="4"/>
  <c r="CJ348" i="4"/>
  <c r="CI348" i="4"/>
  <c r="CH348" i="4"/>
  <c r="CG348" i="4"/>
  <c r="CF348" i="4"/>
  <c r="CE348" i="4"/>
  <c r="CD348" i="4"/>
  <c r="CC348" i="4"/>
  <c r="CB348" i="4"/>
  <c r="CA348" i="4"/>
  <c r="BZ348" i="4"/>
  <c r="BY348" i="4"/>
  <c r="BX348" i="4"/>
  <c r="BW348" i="4"/>
  <c r="BV348" i="4"/>
  <c r="BU348" i="4"/>
  <c r="BT348" i="4"/>
  <c r="BS348" i="4"/>
  <c r="BQ348" i="4"/>
  <c r="BP348" i="4"/>
  <c r="BO348" i="4"/>
  <c r="BN348" i="4"/>
  <c r="BM348" i="4"/>
  <c r="BL348" i="4"/>
  <c r="BK348" i="4"/>
  <c r="BJ348" i="4"/>
  <c r="BI348" i="4"/>
  <c r="BH348" i="4"/>
  <c r="BG348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/>
  <c r="AR348" i="4"/>
  <c r="AQ348" i="4"/>
  <c r="AP348" i="4"/>
  <c r="AO348" i="4"/>
  <c r="AN348" i="4"/>
  <c r="AM348" i="4"/>
  <c r="AL348" i="4"/>
  <c r="AK348" i="4"/>
  <c r="AJ348" i="4"/>
  <c r="AI348" i="4"/>
  <c r="AH348" i="4"/>
  <c r="AG348" i="4"/>
  <c r="AF348" i="4"/>
  <c r="AE348" i="4"/>
  <c r="AD348" i="4"/>
  <c r="AC348" i="4"/>
  <c r="AB348" i="4"/>
  <c r="AA348" i="4"/>
  <c r="Z348" i="4"/>
  <c r="Y348" i="4"/>
  <c r="X348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A348" i="4"/>
  <c r="CJ347" i="4"/>
  <c r="CI347" i="4"/>
  <c r="CH347" i="4"/>
  <c r="CG347" i="4"/>
  <c r="CF347" i="4"/>
  <c r="CE347" i="4"/>
  <c r="CD347" i="4"/>
  <c r="CC347" i="4"/>
  <c r="CB347" i="4"/>
  <c r="CA347" i="4"/>
  <c r="BZ347" i="4"/>
  <c r="BY347" i="4"/>
  <c r="BX347" i="4"/>
  <c r="BW347" i="4"/>
  <c r="BV347" i="4"/>
  <c r="BU347" i="4"/>
  <c r="BT347" i="4"/>
  <c r="BS347" i="4"/>
  <c r="BQ347" i="4"/>
  <c r="BP347" i="4"/>
  <c r="BO347" i="4"/>
  <c r="BN347" i="4"/>
  <c r="BM347" i="4"/>
  <c r="BL347" i="4"/>
  <c r="BK347" i="4"/>
  <c r="BJ347" i="4"/>
  <c r="BI347" i="4"/>
  <c r="BH347" i="4"/>
  <c r="BG347" i="4"/>
  <c r="BF347" i="4"/>
  <c r="BE347" i="4"/>
  <c r="BD347" i="4"/>
  <c r="BC347" i="4"/>
  <c r="BB347" i="4"/>
  <c r="BA347" i="4"/>
  <c r="AZ347" i="4"/>
  <c r="AY347" i="4"/>
  <c r="AX347" i="4"/>
  <c r="AW347" i="4"/>
  <c r="AV347" i="4"/>
  <c r="AU347" i="4"/>
  <c r="AT347" i="4"/>
  <c r="AS347" i="4"/>
  <c r="AR347" i="4"/>
  <c r="AQ347" i="4"/>
  <c r="AP347" i="4"/>
  <c r="AO347" i="4"/>
  <c r="AN347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AA347" i="4"/>
  <c r="Z347" i="4"/>
  <c r="Y347" i="4"/>
  <c r="X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CJ346" i="4"/>
  <c r="CI346" i="4"/>
  <c r="CH346" i="4"/>
  <c r="CG346" i="4"/>
  <c r="CF346" i="4"/>
  <c r="CE346" i="4"/>
  <c r="CD346" i="4"/>
  <c r="CC346" i="4"/>
  <c r="CB346" i="4"/>
  <c r="CA346" i="4"/>
  <c r="BZ346" i="4"/>
  <c r="BY346" i="4"/>
  <c r="BX346" i="4"/>
  <c r="BW346" i="4"/>
  <c r="BV346" i="4"/>
  <c r="BU346" i="4"/>
  <c r="BT346" i="4"/>
  <c r="BS346" i="4"/>
  <c r="BQ346" i="4"/>
  <c r="BP346" i="4"/>
  <c r="BO346" i="4"/>
  <c r="BN346" i="4"/>
  <c r="BM346" i="4"/>
  <c r="BL346" i="4"/>
  <c r="BK346" i="4"/>
  <c r="BJ346" i="4"/>
  <c r="BI346" i="4"/>
  <c r="BH346" i="4"/>
  <c r="BG346" i="4"/>
  <c r="BF346" i="4"/>
  <c r="BE346" i="4"/>
  <c r="BD346" i="4"/>
  <c r="BC346" i="4"/>
  <c r="BB346" i="4"/>
  <c r="BA346" i="4"/>
  <c r="AZ346" i="4"/>
  <c r="AY346" i="4"/>
  <c r="AX346" i="4"/>
  <c r="AW346" i="4"/>
  <c r="AV346" i="4"/>
  <c r="AU346" i="4"/>
  <c r="AT346" i="4"/>
  <c r="AS346" i="4"/>
  <c r="AR346" i="4"/>
  <c r="AQ346" i="4"/>
  <c r="AP346" i="4"/>
  <c r="AO346" i="4"/>
  <c r="AN346" i="4"/>
  <c r="AM346" i="4"/>
  <c r="AL346" i="4"/>
  <c r="AK346" i="4"/>
  <c r="AJ346" i="4"/>
  <c r="AI346" i="4"/>
  <c r="AH346" i="4"/>
  <c r="AG346" i="4"/>
  <c r="AF346" i="4"/>
  <c r="AE346" i="4"/>
  <c r="AD346" i="4"/>
  <c r="AC346" i="4"/>
  <c r="AB346" i="4"/>
  <c r="AA346" i="4"/>
  <c r="Z346" i="4"/>
  <c r="Y346" i="4"/>
  <c r="X346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A346" i="4"/>
  <c r="CJ345" i="4"/>
  <c r="CI345" i="4"/>
  <c r="CH345" i="4"/>
  <c r="CG345" i="4"/>
  <c r="CF345" i="4"/>
  <c r="CE345" i="4"/>
  <c r="CD345" i="4"/>
  <c r="CC345" i="4"/>
  <c r="CB345" i="4"/>
  <c r="CA345" i="4"/>
  <c r="BZ345" i="4"/>
  <c r="BY345" i="4"/>
  <c r="BX345" i="4"/>
  <c r="BW345" i="4"/>
  <c r="BV345" i="4"/>
  <c r="BU345" i="4"/>
  <c r="BT345" i="4"/>
  <c r="BS345" i="4"/>
  <c r="BQ345" i="4"/>
  <c r="BP345" i="4"/>
  <c r="BO345" i="4"/>
  <c r="BN345" i="4"/>
  <c r="BM345" i="4"/>
  <c r="BL345" i="4"/>
  <c r="BK345" i="4"/>
  <c r="BJ345" i="4"/>
  <c r="BI345" i="4"/>
  <c r="BH345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Q345" i="4"/>
  <c r="AP345" i="4"/>
  <c r="AO345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Z345" i="4"/>
  <c r="Y345" i="4"/>
  <c r="X345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CJ344" i="4"/>
  <c r="CI344" i="4"/>
  <c r="CH344" i="4"/>
  <c r="CG344" i="4"/>
  <c r="CF344" i="4"/>
  <c r="CE344" i="4"/>
  <c r="CD344" i="4"/>
  <c r="CC344" i="4"/>
  <c r="CB344" i="4"/>
  <c r="CA344" i="4"/>
  <c r="BZ344" i="4"/>
  <c r="BY344" i="4"/>
  <c r="BX344" i="4"/>
  <c r="BW344" i="4"/>
  <c r="BV344" i="4"/>
  <c r="BU344" i="4"/>
  <c r="BT344" i="4"/>
  <c r="BS344" i="4"/>
  <c r="BQ344" i="4"/>
  <c r="BP344" i="4"/>
  <c r="BO344" i="4"/>
  <c r="BN344" i="4"/>
  <c r="BM344" i="4"/>
  <c r="BL344" i="4"/>
  <c r="BK344" i="4"/>
  <c r="BJ344" i="4"/>
  <c r="BI344" i="4"/>
  <c r="BH344" i="4"/>
  <c r="BG344" i="4"/>
  <c r="BF344" i="4"/>
  <c r="BE344" i="4"/>
  <c r="BD344" i="4"/>
  <c r="BC344" i="4"/>
  <c r="BB344" i="4"/>
  <c r="BA344" i="4"/>
  <c r="AZ344" i="4"/>
  <c r="AY344" i="4"/>
  <c r="AX344" i="4"/>
  <c r="AW344" i="4"/>
  <c r="AV344" i="4"/>
  <c r="AU344" i="4"/>
  <c r="AT344" i="4"/>
  <c r="AS344" i="4"/>
  <c r="AR344" i="4"/>
  <c r="AQ344" i="4"/>
  <c r="AP344" i="4"/>
  <c r="AO344" i="4"/>
  <c r="AN344" i="4"/>
  <c r="AM344" i="4"/>
  <c r="AL344" i="4"/>
  <c r="AK344" i="4"/>
  <c r="AJ344" i="4"/>
  <c r="AI344" i="4"/>
  <c r="AH344" i="4"/>
  <c r="AG344" i="4"/>
  <c r="AF344" i="4"/>
  <c r="AE344" i="4"/>
  <c r="AD344" i="4"/>
  <c r="AC344" i="4"/>
  <c r="AB344" i="4"/>
  <c r="AA344" i="4"/>
  <c r="Z344" i="4"/>
  <c r="Y344" i="4"/>
  <c r="X344" i="4"/>
  <c r="V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A344" i="4"/>
  <c r="CJ343" i="4"/>
  <c r="CI343" i="4"/>
  <c r="CH343" i="4"/>
  <c r="CG343" i="4"/>
  <c r="CF343" i="4"/>
  <c r="CE343" i="4"/>
  <c r="CD343" i="4"/>
  <c r="CC343" i="4"/>
  <c r="CB343" i="4"/>
  <c r="CA343" i="4"/>
  <c r="BZ343" i="4"/>
  <c r="BY343" i="4"/>
  <c r="BX343" i="4"/>
  <c r="BW343" i="4"/>
  <c r="BV343" i="4"/>
  <c r="BU343" i="4"/>
  <c r="BT343" i="4"/>
  <c r="BS343" i="4"/>
  <c r="BQ343" i="4"/>
  <c r="BP343" i="4"/>
  <c r="BO343" i="4"/>
  <c r="BN343" i="4"/>
  <c r="BM343" i="4"/>
  <c r="BL343" i="4"/>
  <c r="BK343" i="4"/>
  <c r="BJ343" i="4"/>
  <c r="BI343" i="4"/>
  <c r="BH343" i="4"/>
  <c r="BG343" i="4"/>
  <c r="BF343" i="4"/>
  <c r="BE343" i="4"/>
  <c r="BD343" i="4"/>
  <c r="BC343" i="4"/>
  <c r="BB343" i="4"/>
  <c r="BA343" i="4"/>
  <c r="AZ343" i="4"/>
  <c r="AY343" i="4"/>
  <c r="AX343" i="4"/>
  <c r="AW343" i="4"/>
  <c r="AV343" i="4"/>
  <c r="AU343" i="4"/>
  <c r="AT343" i="4"/>
  <c r="AS343" i="4"/>
  <c r="AR343" i="4"/>
  <c r="AQ343" i="4"/>
  <c r="AP343" i="4"/>
  <c r="AO343" i="4"/>
  <c r="AN343" i="4"/>
  <c r="AM343" i="4"/>
  <c r="AL343" i="4"/>
  <c r="AK343" i="4"/>
  <c r="AJ343" i="4"/>
  <c r="AI343" i="4"/>
  <c r="AH343" i="4"/>
  <c r="AG343" i="4"/>
  <c r="AF343" i="4"/>
  <c r="AE343" i="4"/>
  <c r="AD343" i="4"/>
  <c r="AC343" i="4"/>
  <c r="AB343" i="4"/>
  <c r="AA343" i="4"/>
  <c r="Z343" i="4"/>
  <c r="Y343" i="4"/>
  <c r="X343" i="4"/>
  <c r="V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A343" i="4"/>
  <c r="CJ342" i="4"/>
  <c r="CI342" i="4"/>
  <c r="CH342" i="4"/>
  <c r="CG342" i="4"/>
  <c r="CF342" i="4"/>
  <c r="CE342" i="4"/>
  <c r="CD342" i="4"/>
  <c r="CC342" i="4"/>
  <c r="CB342" i="4"/>
  <c r="CA342" i="4"/>
  <c r="BZ342" i="4"/>
  <c r="BY342" i="4"/>
  <c r="BX342" i="4"/>
  <c r="BW342" i="4"/>
  <c r="BV342" i="4"/>
  <c r="BU342" i="4"/>
  <c r="BT342" i="4"/>
  <c r="BS342" i="4"/>
  <c r="BQ342" i="4"/>
  <c r="BP342" i="4"/>
  <c r="BO342" i="4"/>
  <c r="BN342" i="4"/>
  <c r="BM342" i="4"/>
  <c r="BL342" i="4"/>
  <c r="BK342" i="4"/>
  <c r="BJ342" i="4"/>
  <c r="BI342" i="4"/>
  <c r="BH342" i="4"/>
  <c r="BG342" i="4"/>
  <c r="BF342" i="4"/>
  <c r="BE342" i="4"/>
  <c r="BD342" i="4"/>
  <c r="BC342" i="4"/>
  <c r="BB342" i="4"/>
  <c r="BA342" i="4"/>
  <c r="AZ342" i="4"/>
  <c r="AY342" i="4"/>
  <c r="AX342" i="4"/>
  <c r="AW342" i="4"/>
  <c r="AV342" i="4"/>
  <c r="AU342" i="4"/>
  <c r="AT342" i="4"/>
  <c r="AS342" i="4"/>
  <c r="AR342" i="4"/>
  <c r="AQ342" i="4"/>
  <c r="AP342" i="4"/>
  <c r="AO342" i="4"/>
  <c r="AN342" i="4"/>
  <c r="AM342" i="4"/>
  <c r="AL342" i="4"/>
  <c r="AK342" i="4"/>
  <c r="AJ342" i="4"/>
  <c r="AI342" i="4"/>
  <c r="AH342" i="4"/>
  <c r="AG342" i="4"/>
  <c r="AF342" i="4"/>
  <c r="AE342" i="4"/>
  <c r="AD342" i="4"/>
  <c r="AC342" i="4"/>
  <c r="AB342" i="4"/>
  <c r="AA342" i="4"/>
  <c r="Z342" i="4"/>
  <c r="Y342" i="4"/>
  <c r="X342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A342" i="4"/>
  <c r="CJ341" i="4"/>
  <c r="CI341" i="4"/>
  <c r="CH341" i="4"/>
  <c r="CG341" i="4"/>
  <c r="CF341" i="4"/>
  <c r="CE341" i="4"/>
  <c r="CD341" i="4"/>
  <c r="CC341" i="4"/>
  <c r="CB341" i="4"/>
  <c r="CA341" i="4"/>
  <c r="BZ341" i="4"/>
  <c r="BY341" i="4"/>
  <c r="BX341" i="4"/>
  <c r="BW341" i="4"/>
  <c r="BV341" i="4"/>
  <c r="BU341" i="4"/>
  <c r="BT341" i="4"/>
  <c r="BS341" i="4"/>
  <c r="BQ341" i="4"/>
  <c r="BP341" i="4"/>
  <c r="BO341" i="4"/>
  <c r="BN341" i="4"/>
  <c r="BM341" i="4"/>
  <c r="BL341" i="4"/>
  <c r="BK341" i="4"/>
  <c r="BJ341" i="4"/>
  <c r="BI341" i="4"/>
  <c r="BH341" i="4"/>
  <c r="BG341" i="4"/>
  <c r="BF341" i="4"/>
  <c r="BE341" i="4"/>
  <c r="BD341" i="4"/>
  <c r="BC341" i="4"/>
  <c r="BB341" i="4"/>
  <c r="BA341" i="4"/>
  <c r="AZ341" i="4"/>
  <c r="AY341" i="4"/>
  <c r="AX341" i="4"/>
  <c r="AW341" i="4"/>
  <c r="AV341" i="4"/>
  <c r="AU341" i="4"/>
  <c r="AT341" i="4"/>
  <c r="AS341" i="4"/>
  <c r="AR341" i="4"/>
  <c r="AQ341" i="4"/>
  <c r="AP341" i="4"/>
  <c r="AO341" i="4"/>
  <c r="AN341" i="4"/>
  <c r="AM341" i="4"/>
  <c r="AL341" i="4"/>
  <c r="AK341" i="4"/>
  <c r="AJ341" i="4"/>
  <c r="AI341" i="4"/>
  <c r="AH341" i="4"/>
  <c r="AG341" i="4"/>
  <c r="AF341" i="4"/>
  <c r="AE341" i="4"/>
  <c r="AD341" i="4"/>
  <c r="AC341" i="4"/>
  <c r="AB341" i="4"/>
  <c r="AA341" i="4"/>
  <c r="Z341" i="4"/>
  <c r="Y341" i="4"/>
  <c r="X341" i="4"/>
  <c r="V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A341" i="4"/>
  <c r="CJ340" i="4"/>
  <c r="CI340" i="4"/>
  <c r="CH340" i="4"/>
  <c r="CG340" i="4"/>
  <c r="CF340" i="4"/>
  <c r="CE340" i="4"/>
  <c r="CD340" i="4"/>
  <c r="CC340" i="4"/>
  <c r="CB340" i="4"/>
  <c r="CA340" i="4"/>
  <c r="BZ340" i="4"/>
  <c r="BY340" i="4"/>
  <c r="BX340" i="4"/>
  <c r="BW340" i="4"/>
  <c r="BV340" i="4"/>
  <c r="BU340" i="4"/>
  <c r="BT340" i="4"/>
  <c r="BS340" i="4"/>
  <c r="BQ340" i="4"/>
  <c r="BP340" i="4"/>
  <c r="BO340" i="4"/>
  <c r="BN340" i="4"/>
  <c r="BM340" i="4"/>
  <c r="BL340" i="4"/>
  <c r="BK340" i="4"/>
  <c r="BJ340" i="4"/>
  <c r="BI340" i="4"/>
  <c r="BH340" i="4"/>
  <c r="BG340" i="4"/>
  <c r="BF340" i="4"/>
  <c r="BE340" i="4"/>
  <c r="BD340" i="4"/>
  <c r="BC340" i="4"/>
  <c r="BB340" i="4"/>
  <c r="BA340" i="4"/>
  <c r="AZ340" i="4"/>
  <c r="AY340" i="4"/>
  <c r="AX340" i="4"/>
  <c r="AW340" i="4"/>
  <c r="AV340" i="4"/>
  <c r="AU340" i="4"/>
  <c r="AT340" i="4"/>
  <c r="AS340" i="4"/>
  <c r="AR340" i="4"/>
  <c r="AQ340" i="4"/>
  <c r="AP340" i="4"/>
  <c r="AO340" i="4"/>
  <c r="AN340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V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A340" i="4"/>
  <c r="CJ339" i="4"/>
  <c r="CI339" i="4"/>
  <c r="CH339" i="4"/>
  <c r="CG339" i="4"/>
  <c r="CF339" i="4"/>
  <c r="CE339" i="4"/>
  <c r="CD339" i="4"/>
  <c r="CC339" i="4"/>
  <c r="CB339" i="4"/>
  <c r="CA339" i="4"/>
  <c r="BZ339" i="4"/>
  <c r="BY339" i="4"/>
  <c r="BX339" i="4"/>
  <c r="BW339" i="4"/>
  <c r="BV339" i="4"/>
  <c r="BU339" i="4"/>
  <c r="BT339" i="4"/>
  <c r="BS339" i="4"/>
  <c r="BQ339" i="4"/>
  <c r="BP339" i="4"/>
  <c r="BO339" i="4"/>
  <c r="BN339" i="4"/>
  <c r="BM339" i="4"/>
  <c r="BL339" i="4"/>
  <c r="BK339" i="4"/>
  <c r="BJ339" i="4"/>
  <c r="BI339" i="4"/>
  <c r="BH339" i="4"/>
  <c r="BG339" i="4"/>
  <c r="BF339" i="4"/>
  <c r="BE339" i="4"/>
  <c r="BD339" i="4"/>
  <c r="BC339" i="4"/>
  <c r="BB339" i="4"/>
  <c r="BA339" i="4"/>
  <c r="AZ339" i="4"/>
  <c r="AY339" i="4"/>
  <c r="AX339" i="4"/>
  <c r="AW339" i="4"/>
  <c r="AV339" i="4"/>
  <c r="AU339" i="4"/>
  <c r="AT339" i="4"/>
  <c r="AS339" i="4"/>
  <c r="AR339" i="4"/>
  <c r="AQ339" i="4"/>
  <c r="AP339" i="4"/>
  <c r="AO339" i="4"/>
  <c r="AN339" i="4"/>
  <c r="AM339" i="4"/>
  <c r="AL339" i="4"/>
  <c r="AK339" i="4"/>
  <c r="AJ339" i="4"/>
  <c r="AI339" i="4"/>
  <c r="AH339" i="4"/>
  <c r="AG339" i="4"/>
  <c r="AF339" i="4"/>
  <c r="AE339" i="4"/>
  <c r="AD339" i="4"/>
  <c r="AC339" i="4"/>
  <c r="AB339" i="4"/>
  <c r="AA339" i="4"/>
  <c r="Z339" i="4"/>
  <c r="Y339" i="4"/>
  <c r="X339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339" i="4"/>
  <c r="CJ338" i="4"/>
  <c r="CI338" i="4"/>
  <c r="CH338" i="4"/>
  <c r="CG338" i="4"/>
  <c r="CF338" i="4"/>
  <c r="CE338" i="4"/>
  <c r="CD338" i="4"/>
  <c r="CC338" i="4"/>
  <c r="CB338" i="4"/>
  <c r="CA338" i="4"/>
  <c r="BZ338" i="4"/>
  <c r="BY338" i="4"/>
  <c r="BX338" i="4"/>
  <c r="BW338" i="4"/>
  <c r="BV338" i="4"/>
  <c r="BU338" i="4"/>
  <c r="BT338" i="4"/>
  <c r="BS338" i="4"/>
  <c r="BQ338" i="4"/>
  <c r="BP338" i="4"/>
  <c r="BO338" i="4"/>
  <c r="BN338" i="4"/>
  <c r="BM338" i="4"/>
  <c r="BL338" i="4"/>
  <c r="BK338" i="4"/>
  <c r="BJ338" i="4"/>
  <c r="BI338" i="4"/>
  <c r="BH338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R338" i="4"/>
  <c r="AQ338" i="4"/>
  <c r="AP338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A338" i="4"/>
  <c r="CJ337" i="4"/>
  <c r="CI337" i="4"/>
  <c r="CH337" i="4"/>
  <c r="CG337" i="4"/>
  <c r="CF337" i="4"/>
  <c r="CE337" i="4"/>
  <c r="CD337" i="4"/>
  <c r="CC337" i="4"/>
  <c r="CB337" i="4"/>
  <c r="CA337" i="4"/>
  <c r="BZ337" i="4"/>
  <c r="BY337" i="4"/>
  <c r="BX337" i="4"/>
  <c r="BW337" i="4"/>
  <c r="BV337" i="4"/>
  <c r="BU337" i="4"/>
  <c r="BT337" i="4"/>
  <c r="BS337" i="4"/>
  <c r="BQ337" i="4"/>
  <c r="BP337" i="4"/>
  <c r="BO337" i="4"/>
  <c r="BN337" i="4"/>
  <c r="BM337" i="4"/>
  <c r="BL337" i="4"/>
  <c r="BK337" i="4"/>
  <c r="BJ337" i="4"/>
  <c r="BI337" i="4"/>
  <c r="BH337" i="4"/>
  <c r="BG337" i="4"/>
  <c r="BF337" i="4"/>
  <c r="BE337" i="4"/>
  <c r="BD337" i="4"/>
  <c r="BC337" i="4"/>
  <c r="BB337" i="4"/>
  <c r="BA337" i="4"/>
  <c r="AZ337" i="4"/>
  <c r="AY337" i="4"/>
  <c r="AX337" i="4"/>
  <c r="AW337" i="4"/>
  <c r="AV337" i="4"/>
  <c r="AU337" i="4"/>
  <c r="AT337" i="4"/>
  <c r="AS337" i="4"/>
  <c r="AR337" i="4"/>
  <c r="AQ337" i="4"/>
  <c r="AP337" i="4"/>
  <c r="AO337" i="4"/>
  <c r="AN337" i="4"/>
  <c r="AM337" i="4"/>
  <c r="AL337" i="4"/>
  <c r="AK337" i="4"/>
  <c r="AJ337" i="4"/>
  <c r="AI337" i="4"/>
  <c r="AH337" i="4"/>
  <c r="AG337" i="4"/>
  <c r="AF337" i="4"/>
  <c r="AE337" i="4"/>
  <c r="AD337" i="4"/>
  <c r="AC337" i="4"/>
  <c r="AB337" i="4"/>
  <c r="AA337" i="4"/>
  <c r="Z337" i="4"/>
  <c r="Y337" i="4"/>
  <c r="X337" i="4"/>
  <c r="V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A337" i="4"/>
  <c r="CJ336" i="4"/>
  <c r="CI336" i="4"/>
  <c r="CH336" i="4"/>
  <c r="CG336" i="4"/>
  <c r="CF336" i="4"/>
  <c r="CE336" i="4"/>
  <c r="CD336" i="4"/>
  <c r="CC336" i="4"/>
  <c r="CB336" i="4"/>
  <c r="CA336" i="4"/>
  <c r="BZ336" i="4"/>
  <c r="BY336" i="4"/>
  <c r="BX336" i="4"/>
  <c r="BW336" i="4"/>
  <c r="BV336" i="4"/>
  <c r="BU336" i="4"/>
  <c r="BT336" i="4"/>
  <c r="BS336" i="4"/>
  <c r="BQ336" i="4"/>
  <c r="BP336" i="4"/>
  <c r="BO336" i="4"/>
  <c r="BN336" i="4"/>
  <c r="BM336" i="4"/>
  <c r="BL336" i="4"/>
  <c r="BK336" i="4"/>
  <c r="BJ336" i="4"/>
  <c r="BI336" i="4"/>
  <c r="BH336" i="4"/>
  <c r="BG336" i="4"/>
  <c r="BF336" i="4"/>
  <c r="BE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AR336" i="4"/>
  <c r="AQ336" i="4"/>
  <c r="AP336" i="4"/>
  <c r="AO336" i="4"/>
  <c r="AN336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A336" i="4"/>
  <c r="CJ335" i="4"/>
  <c r="CI335" i="4"/>
  <c r="CH335" i="4"/>
  <c r="CG335" i="4"/>
  <c r="CF335" i="4"/>
  <c r="CE335" i="4"/>
  <c r="CD335" i="4"/>
  <c r="CC335" i="4"/>
  <c r="CB335" i="4"/>
  <c r="CA335" i="4"/>
  <c r="BZ335" i="4"/>
  <c r="BY335" i="4"/>
  <c r="BX335" i="4"/>
  <c r="BW335" i="4"/>
  <c r="BV335" i="4"/>
  <c r="BU335" i="4"/>
  <c r="BT335" i="4"/>
  <c r="BS335" i="4"/>
  <c r="BQ335" i="4"/>
  <c r="BP335" i="4"/>
  <c r="BO335" i="4"/>
  <c r="BN335" i="4"/>
  <c r="BM335" i="4"/>
  <c r="BL335" i="4"/>
  <c r="BK335" i="4"/>
  <c r="BJ335" i="4"/>
  <c r="BI335" i="4"/>
  <c r="BH335" i="4"/>
  <c r="BG335" i="4"/>
  <c r="BF335" i="4"/>
  <c r="BE335" i="4"/>
  <c r="BD335" i="4"/>
  <c r="BC335" i="4"/>
  <c r="BB335" i="4"/>
  <c r="BA335" i="4"/>
  <c r="AZ335" i="4"/>
  <c r="AY335" i="4"/>
  <c r="AX335" i="4"/>
  <c r="AW335" i="4"/>
  <c r="AV335" i="4"/>
  <c r="AU335" i="4"/>
  <c r="AT335" i="4"/>
  <c r="AS335" i="4"/>
  <c r="AR335" i="4"/>
  <c r="AQ335" i="4"/>
  <c r="AP335" i="4"/>
  <c r="AO335" i="4"/>
  <c r="AN335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AA335" i="4"/>
  <c r="Z335" i="4"/>
  <c r="Y335" i="4"/>
  <c r="X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A335" i="4"/>
  <c r="CJ334" i="4"/>
  <c r="CI334" i="4"/>
  <c r="CH334" i="4"/>
  <c r="CG334" i="4"/>
  <c r="CF334" i="4"/>
  <c r="CE334" i="4"/>
  <c r="CD334" i="4"/>
  <c r="CC334" i="4"/>
  <c r="CB334" i="4"/>
  <c r="CA334" i="4"/>
  <c r="BZ334" i="4"/>
  <c r="BY334" i="4"/>
  <c r="BX334" i="4"/>
  <c r="BW334" i="4"/>
  <c r="BV334" i="4"/>
  <c r="BU334" i="4"/>
  <c r="BT334" i="4"/>
  <c r="BS334" i="4"/>
  <c r="BQ334" i="4"/>
  <c r="BP334" i="4"/>
  <c r="BO334" i="4"/>
  <c r="BN334" i="4"/>
  <c r="BM334" i="4"/>
  <c r="BL334" i="4"/>
  <c r="BK334" i="4"/>
  <c r="BJ334" i="4"/>
  <c r="BI334" i="4"/>
  <c r="BH334" i="4"/>
  <c r="BG334" i="4"/>
  <c r="BF334" i="4"/>
  <c r="BE334" i="4"/>
  <c r="BD334" i="4"/>
  <c r="BC334" i="4"/>
  <c r="BB334" i="4"/>
  <c r="BA334" i="4"/>
  <c r="AZ334" i="4"/>
  <c r="AY334" i="4"/>
  <c r="AX334" i="4"/>
  <c r="AW334" i="4"/>
  <c r="AV334" i="4"/>
  <c r="AU334" i="4"/>
  <c r="AT334" i="4"/>
  <c r="AS334" i="4"/>
  <c r="AR334" i="4"/>
  <c r="AQ334" i="4"/>
  <c r="AP334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CJ333" i="4"/>
  <c r="CI333" i="4"/>
  <c r="CH333" i="4"/>
  <c r="CG333" i="4"/>
  <c r="CF333" i="4"/>
  <c r="CE333" i="4"/>
  <c r="CD333" i="4"/>
  <c r="CC333" i="4"/>
  <c r="CB333" i="4"/>
  <c r="CA333" i="4"/>
  <c r="BZ333" i="4"/>
  <c r="BY333" i="4"/>
  <c r="BX333" i="4"/>
  <c r="BW333" i="4"/>
  <c r="BV333" i="4"/>
  <c r="BU333" i="4"/>
  <c r="BT333" i="4"/>
  <c r="BS333" i="4"/>
  <c r="BQ333" i="4"/>
  <c r="BP333" i="4"/>
  <c r="BO333" i="4"/>
  <c r="BN333" i="4"/>
  <c r="BM333" i="4"/>
  <c r="BL333" i="4"/>
  <c r="BK333" i="4"/>
  <c r="BJ333" i="4"/>
  <c r="BI333" i="4"/>
  <c r="BH333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U333" i="4"/>
  <c r="AT333" i="4"/>
  <c r="AS333" i="4"/>
  <c r="AR333" i="4"/>
  <c r="AQ333" i="4"/>
  <c r="AP333" i="4"/>
  <c r="AO333" i="4"/>
  <c r="AN333" i="4"/>
  <c r="AM333" i="4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A333" i="4"/>
  <c r="CJ332" i="4"/>
  <c r="CI332" i="4"/>
  <c r="CH332" i="4"/>
  <c r="CG332" i="4"/>
  <c r="CF332" i="4"/>
  <c r="CE332" i="4"/>
  <c r="CD332" i="4"/>
  <c r="CC332" i="4"/>
  <c r="CB332" i="4"/>
  <c r="CA332" i="4"/>
  <c r="BZ332" i="4"/>
  <c r="BY332" i="4"/>
  <c r="BX332" i="4"/>
  <c r="BW332" i="4"/>
  <c r="BV332" i="4"/>
  <c r="BU332" i="4"/>
  <c r="BT332" i="4"/>
  <c r="BS332" i="4"/>
  <c r="BQ332" i="4"/>
  <c r="BP332" i="4"/>
  <c r="BO332" i="4"/>
  <c r="BN332" i="4"/>
  <c r="BM332" i="4"/>
  <c r="BL332" i="4"/>
  <c r="BK332" i="4"/>
  <c r="BJ332" i="4"/>
  <c r="BI332" i="4"/>
  <c r="BH332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Q332" i="4"/>
  <c r="AP332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Y332" i="4"/>
  <c r="X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F332" i="4"/>
  <c r="E332" i="4"/>
  <c r="D332" i="4"/>
  <c r="C332" i="4"/>
  <c r="B332" i="4"/>
  <c r="A332" i="4"/>
  <c r="CJ331" i="4"/>
  <c r="CI331" i="4"/>
  <c r="CH331" i="4"/>
  <c r="CG331" i="4"/>
  <c r="CF331" i="4"/>
  <c r="CE331" i="4"/>
  <c r="CD331" i="4"/>
  <c r="CC331" i="4"/>
  <c r="CB331" i="4"/>
  <c r="CA331" i="4"/>
  <c r="BZ331" i="4"/>
  <c r="BY331" i="4"/>
  <c r="BX331" i="4"/>
  <c r="BW331" i="4"/>
  <c r="BV331" i="4"/>
  <c r="BU331" i="4"/>
  <c r="BT331" i="4"/>
  <c r="BS331" i="4"/>
  <c r="BQ331" i="4"/>
  <c r="BP331" i="4"/>
  <c r="BO331" i="4"/>
  <c r="BN331" i="4"/>
  <c r="BM331" i="4"/>
  <c r="BL331" i="4"/>
  <c r="BK331" i="4"/>
  <c r="BJ331" i="4"/>
  <c r="BI331" i="4"/>
  <c r="BH331" i="4"/>
  <c r="BG331" i="4"/>
  <c r="BF331" i="4"/>
  <c r="BE331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AR331" i="4"/>
  <c r="AQ331" i="4"/>
  <c r="AP331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CJ330" i="4"/>
  <c r="CI330" i="4"/>
  <c r="CH330" i="4"/>
  <c r="CG330" i="4"/>
  <c r="CF330" i="4"/>
  <c r="CE330" i="4"/>
  <c r="CD330" i="4"/>
  <c r="CC330" i="4"/>
  <c r="CB330" i="4"/>
  <c r="CA330" i="4"/>
  <c r="BZ330" i="4"/>
  <c r="BY330" i="4"/>
  <c r="BX330" i="4"/>
  <c r="BW330" i="4"/>
  <c r="BV330" i="4"/>
  <c r="BU330" i="4"/>
  <c r="BT330" i="4"/>
  <c r="BQ330" i="4"/>
  <c r="BP330" i="4"/>
  <c r="BO330" i="4"/>
  <c r="BN330" i="4"/>
  <c r="BM330" i="4"/>
  <c r="BL330" i="4"/>
  <c r="BK330" i="4"/>
  <c r="BJ330" i="4"/>
  <c r="BI330" i="4"/>
  <c r="BH330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AQ330" i="4"/>
  <c r="AP330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A330" i="4"/>
  <c r="CJ329" i="4"/>
  <c r="CI329" i="4"/>
  <c r="CH329" i="4"/>
  <c r="CG329" i="4"/>
  <c r="CF329" i="4"/>
  <c r="CE329" i="4"/>
  <c r="CD329" i="4"/>
  <c r="CC329" i="4"/>
  <c r="CB329" i="4"/>
  <c r="CA329" i="4"/>
  <c r="BZ329" i="4"/>
  <c r="BY329" i="4"/>
  <c r="BX329" i="4"/>
  <c r="BW329" i="4"/>
  <c r="BV329" i="4"/>
  <c r="BU329" i="4"/>
  <c r="BT329" i="4"/>
  <c r="BQ329" i="4"/>
  <c r="BP329" i="4"/>
  <c r="BO329" i="4"/>
  <c r="BN329" i="4"/>
  <c r="BM329" i="4"/>
  <c r="BL329" i="4"/>
  <c r="BK329" i="4"/>
  <c r="BJ329" i="4"/>
  <c r="BI329" i="4"/>
  <c r="BH329" i="4"/>
  <c r="BG329" i="4"/>
  <c r="BF329" i="4"/>
  <c r="BE329" i="4"/>
  <c r="BD329" i="4"/>
  <c r="BC329" i="4"/>
  <c r="BB329" i="4"/>
  <c r="BA329" i="4"/>
  <c r="AZ329" i="4"/>
  <c r="AY329" i="4"/>
  <c r="AX329" i="4"/>
  <c r="AW329" i="4"/>
  <c r="AV329" i="4"/>
  <c r="AU329" i="4"/>
  <c r="AT329" i="4"/>
  <c r="AS329" i="4"/>
  <c r="AR329" i="4"/>
  <c r="AQ329" i="4"/>
  <c r="AP329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CJ328" i="4"/>
  <c r="CI328" i="4"/>
  <c r="CH328" i="4"/>
  <c r="CG328" i="4"/>
  <c r="CF328" i="4"/>
  <c r="CE328" i="4"/>
  <c r="CD328" i="4"/>
  <c r="CC328" i="4"/>
  <c r="CB328" i="4"/>
  <c r="CA328" i="4"/>
  <c r="BZ328" i="4"/>
  <c r="BY328" i="4"/>
  <c r="BX328" i="4"/>
  <c r="BW328" i="4"/>
  <c r="BV328" i="4"/>
  <c r="BU328" i="4"/>
  <c r="BT328" i="4"/>
  <c r="BQ328" i="4"/>
  <c r="BP328" i="4"/>
  <c r="BO328" i="4"/>
  <c r="BN328" i="4"/>
  <c r="BM328" i="4"/>
  <c r="BL328" i="4"/>
  <c r="BK328" i="4"/>
  <c r="BJ328" i="4"/>
  <c r="BI328" i="4"/>
  <c r="BH328" i="4"/>
  <c r="BG328" i="4"/>
  <c r="BF328" i="4"/>
  <c r="BE328" i="4"/>
  <c r="BD328" i="4"/>
  <c r="BC328" i="4"/>
  <c r="BB328" i="4"/>
  <c r="BA328" i="4"/>
  <c r="AZ328" i="4"/>
  <c r="AY328" i="4"/>
  <c r="AX328" i="4"/>
  <c r="AW328" i="4"/>
  <c r="AV328" i="4"/>
  <c r="AU328" i="4"/>
  <c r="AT328" i="4"/>
  <c r="AS328" i="4"/>
  <c r="AR328" i="4"/>
  <c r="AQ328" i="4"/>
  <c r="AP328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A328" i="4"/>
  <c r="CJ327" i="4"/>
  <c r="CI327" i="4"/>
  <c r="CH327" i="4"/>
  <c r="CG327" i="4"/>
  <c r="CF327" i="4"/>
  <c r="CE327" i="4"/>
  <c r="CD327" i="4"/>
  <c r="CC327" i="4"/>
  <c r="CB327" i="4"/>
  <c r="CA327" i="4"/>
  <c r="BZ327" i="4"/>
  <c r="BY327" i="4"/>
  <c r="BX327" i="4"/>
  <c r="BW327" i="4"/>
  <c r="BV327" i="4"/>
  <c r="BU327" i="4"/>
  <c r="BT327" i="4"/>
  <c r="BQ327" i="4"/>
  <c r="BP327" i="4"/>
  <c r="BO327" i="4"/>
  <c r="BN327" i="4"/>
  <c r="BM327" i="4"/>
  <c r="BL327" i="4"/>
  <c r="BK327" i="4"/>
  <c r="BJ327" i="4"/>
  <c r="BI327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A327" i="4"/>
  <c r="CJ326" i="4"/>
  <c r="CI326" i="4"/>
  <c r="CH326" i="4"/>
  <c r="CG326" i="4"/>
  <c r="CF326" i="4"/>
  <c r="CE326" i="4"/>
  <c r="CD326" i="4"/>
  <c r="CC326" i="4"/>
  <c r="CB326" i="4"/>
  <c r="CA326" i="4"/>
  <c r="BZ326" i="4"/>
  <c r="BY326" i="4"/>
  <c r="BX326" i="4"/>
  <c r="BW326" i="4"/>
  <c r="BV326" i="4"/>
  <c r="BU326" i="4"/>
  <c r="BT326" i="4"/>
  <c r="BQ326" i="4"/>
  <c r="BP326" i="4"/>
  <c r="BO326" i="4"/>
  <c r="BN326" i="4"/>
  <c r="BM326" i="4"/>
  <c r="BL326" i="4"/>
  <c r="BK326" i="4"/>
  <c r="BJ326" i="4"/>
  <c r="BI326" i="4"/>
  <c r="BH326" i="4"/>
  <c r="BG326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326" i="4"/>
  <c r="CJ325" i="4"/>
  <c r="CI325" i="4"/>
  <c r="CH325" i="4"/>
  <c r="CG325" i="4"/>
  <c r="CF325" i="4"/>
  <c r="CE325" i="4"/>
  <c r="CD325" i="4"/>
  <c r="CC325" i="4"/>
  <c r="CB325" i="4"/>
  <c r="CA325" i="4"/>
  <c r="BZ325" i="4"/>
  <c r="BY325" i="4"/>
  <c r="BX325" i="4"/>
  <c r="BW325" i="4"/>
  <c r="BV325" i="4"/>
  <c r="BU325" i="4"/>
  <c r="BT325" i="4"/>
  <c r="BQ325" i="4"/>
  <c r="BP325" i="4"/>
  <c r="BO325" i="4"/>
  <c r="BN325" i="4"/>
  <c r="BM325" i="4"/>
  <c r="BL325" i="4"/>
  <c r="BK325" i="4"/>
  <c r="BJ325" i="4"/>
  <c r="BI325" i="4"/>
  <c r="BH325" i="4"/>
  <c r="BG325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Q325" i="4"/>
  <c r="AP325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Z325" i="4"/>
  <c r="Y325" i="4"/>
  <c r="X325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A325" i="4"/>
  <c r="CJ324" i="4"/>
  <c r="CI324" i="4"/>
  <c r="CH324" i="4"/>
  <c r="CG324" i="4"/>
  <c r="CF324" i="4"/>
  <c r="CE324" i="4"/>
  <c r="CD324" i="4"/>
  <c r="CC324" i="4"/>
  <c r="CB324" i="4"/>
  <c r="CA324" i="4"/>
  <c r="BZ324" i="4"/>
  <c r="BY324" i="4"/>
  <c r="BX324" i="4"/>
  <c r="BW324" i="4"/>
  <c r="BV324" i="4"/>
  <c r="BU324" i="4"/>
  <c r="BT324" i="4"/>
  <c r="BQ324" i="4"/>
  <c r="BP324" i="4"/>
  <c r="BO324" i="4"/>
  <c r="BN324" i="4"/>
  <c r="BM324" i="4"/>
  <c r="BL324" i="4"/>
  <c r="BK324" i="4"/>
  <c r="BJ324" i="4"/>
  <c r="BI324" i="4"/>
  <c r="BH324" i="4"/>
  <c r="BG324" i="4"/>
  <c r="BF324" i="4"/>
  <c r="BE324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R324" i="4"/>
  <c r="AQ324" i="4"/>
  <c r="AP324" i="4"/>
  <c r="AO324" i="4"/>
  <c r="AN324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A324" i="4"/>
  <c r="CJ323" i="4"/>
  <c r="CI323" i="4"/>
  <c r="CH323" i="4"/>
  <c r="CG323" i="4"/>
  <c r="CF323" i="4"/>
  <c r="CE323" i="4"/>
  <c r="CD323" i="4"/>
  <c r="CC323" i="4"/>
  <c r="CB323" i="4"/>
  <c r="CA323" i="4"/>
  <c r="BZ323" i="4"/>
  <c r="BY323" i="4"/>
  <c r="BX323" i="4"/>
  <c r="BW323" i="4"/>
  <c r="BV323" i="4"/>
  <c r="BU323" i="4"/>
  <c r="BT323" i="4"/>
  <c r="BQ323" i="4"/>
  <c r="BP323" i="4"/>
  <c r="BO323" i="4"/>
  <c r="BN323" i="4"/>
  <c r="BM323" i="4"/>
  <c r="BL323" i="4"/>
  <c r="BK323" i="4"/>
  <c r="BJ323" i="4"/>
  <c r="BI323" i="4"/>
  <c r="BH323" i="4"/>
  <c r="BG323" i="4"/>
  <c r="BF323" i="4"/>
  <c r="BE323" i="4"/>
  <c r="BD323" i="4"/>
  <c r="BC323" i="4"/>
  <c r="BB323" i="4"/>
  <c r="BA323" i="4"/>
  <c r="AZ323" i="4"/>
  <c r="AY323" i="4"/>
  <c r="AX323" i="4"/>
  <c r="AW323" i="4"/>
  <c r="AV323" i="4"/>
  <c r="AU323" i="4"/>
  <c r="AT323" i="4"/>
  <c r="AS323" i="4"/>
  <c r="AR323" i="4"/>
  <c r="AQ323" i="4"/>
  <c r="AP323" i="4"/>
  <c r="AO323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Z323" i="4"/>
  <c r="Y323" i="4"/>
  <c r="X323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A323" i="4"/>
  <c r="CJ322" i="4"/>
  <c r="CI322" i="4"/>
  <c r="CH322" i="4"/>
  <c r="CG322" i="4"/>
  <c r="CF322" i="4"/>
  <c r="CE322" i="4"/>
  <c r="CD322" i="4"/>
  <c r="CC322" i="4"/>
  <c r="CB322" i="4"/>
  <c r="CA322" i="4"/>
  <c r="BZ322" i="4"/>
  <c r="BY322" i="4"/>
  <c r="BX322" i="4"/>
  <c r="BW322" i="4"/>
  <c r="BV322" i="4"/>
  <c r="BU322" i="4"/>
  <c r="BT322" i="4"/>
  <c r="BQ322" i="4"/>
  <c r="BP322" i="4"/>
  <c r="BO322" i="4"/>
  <c r="BN322" i="4"/>
  <c r="BM322" i="4"/>
  <c r="BL322" i="4"/>
  <c r="BK322" i="4"/>
  <c r="BJ322" i="4"/>
  <c r="BI322" i="4"/>
  <c r="BH322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Q322" i="4"/>
  <c r="AP322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A322" i="4"/>
  <c r="CJ321" i="4"/>
  <c r="CI321" i="4"/>
  <c r="CH321" i="4"/>
  <c r="CG321" i="4"/>
  <c r="CF321" i="4"/>
  <c r="CE321" i="4"/>
  <c r="CD321" i="4"/>
  <c r="CC321" i="4"/>
  <c r="CB321" i="4"/>
  <c r="CA321" i="4"/>
  <c r="BZ321" i="4"/>
  <c r="BY321" i="4"/>
  <c r="BX321" i="4"/>
  <c r="BW321" i="4"/>
  <c r="BV321" i="4"/>
  <c r="BU321" i="4"/>
  <c r="BT321" i="4"/>
  <c r="BQ321" i="4"/>
  <c r="BP321" i="4"/>
  <c r="BO321" i="4"/>
  <c r="BN321" i="4"/>
  <c r="BM321" i="4"/>
  <c r="BL321" i="4"/>
  <c r="BK321" i="4"/>
  <c r="BJ321" i="4"/>
  <c r="BI321" i="4"/>
  <c r="BH321" i="4"/>
  <c r="BG321" i="4"/>
  <c r="BF321" i="4"/>
  <c r="BE321" i="4"/>
  <c r="BD321" i="4"/>
  <c r="BC321" i="4"/>
  <c r="BB321" i="4"/>
  <c r="BA321" i="4"/>
  <c r="AZ321" i="4"/>
  <c r="AY321" i="4"/>
  <c r="AX321" i="4"/>
  <c r="AW321" i="4"/>
  <c r="AV321" i="4"/>
  <c r="AU321" i="4"/>
  <c r="AT321" i="4"/>
  <c r="AS321" i="4"/>
  <c r="AR321" i="4"/>
  <c r="AQ321" i="4"/>
  <c r="AP321" i="4"/>
  <c r="AO321" i="4"/>
  <c r="AN321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321" i="4"/>
  <c r="CJ320" i="4"/>
  <c r="CI320" i="4"/>
  <c r="CH320" i="4"/>
  <c r="CG320" i="4"/>
  <c r="CF320" i="4"/>
  <c r="CE320" i="4"/>
  <c r="CD320" i="4"/>
  <c r="CC320" i="4"/>
  <c r="CB320" i="4"/>
  <c r="CA320" i="4"/>
  <c r="BZ320" i="4"/>
  <c r="BY320" i="4"/>
  <c r="BX320" i="4"/>
  <c r="BW320" i="4"/>
  <c r="BV320" i="4"/>
  <c r="BU320" i="4"/>
  <c r="BT320" i="4"/>
  <c r="BQ320" i="4"/>
  <c r="BP320" i="4"/>
  <c r="BO320" i="4"/>
  <c r="BN320" i="4"/>
  <c r="BM320" i="4"/>
  <c r="BL320" i="4"/>
  <c r="BK320" i="4"/>
  <c r="BJ320" i="4"/>
  <c r="BI320" i="4"/>
  <c r="BH320" i="4"/>
  <c r="BG320" i="4"/>
  <c r="BF320" i="4"/>
  <c r="BE320" i="4"/>
  <c r="BD320" i="4"/>
  <c r="BC320" i="4"/>
  <c r="BB320" i="4"/>
  <c r="BA320" i="4"/>
  <c r="AZ320" i="4"/>
  <c r="AY320" i="4"/>
  <c r="AX320" i="4"/>
  <c r="AW320" i="4"/>
  <c r="AV320" i="4"/>
  <c r="AU320" i="4"/>
  <c r="AT320" i="4"/>
  <c r="AS320" i="4"/>
  <c r="AR320" i="4"/>
  <c r="AQ320" i="4"/>
  <c r="AP320" i="4"/>
  <c r="AO320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AA320" i="4"/>
  <c r="Z320" i="4"/>
  <c r="Y320" i="4"/>
  <c r="X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F320" i="4"/>
  <c r="E320" i="4"/>
  <c r="D320" i="4"/>
  <c r="C320" i="4"/>
  <c r="B320" i="4"/>
  <c r="A320" i="4"/>
  <c r="CJ319" i="4"/>
  <c r="CI319" i="4"/>
  <c r="CH319" i="4"/>
  <c r="CG319" i="4"/>
  <c r="CF319" i="4"/>
  <c r="CE319" i="4"/>
  <c r="CD319" i="4"/>
  <c r="CC319" i="4"/>
  <c r="CB319" i="4"/>
  <c r="CA319" i="4"/>
  <c r="BZ319" i="4"/>
  <c r="BY319" i="4"/>
  <c r="BX319" i="4"/>
  <c r="BW319" i="4"/>
  <c r="BV319" i="4"/>
  <c r="BU319" i="4"/>
  <c r="BT319" i="4"/>
  <c r="BQ319" i="4"/>
  <c r="BP319" i="4"/>
  <c r="BO319" i="4"/>
  <c r="BN319" i="4"/>
  <c r="BM319" i="4"/>
  <c r="BL319" i="4"/>
  <c r="BK319" i="4"/>
  <c r="BJ319" i="4"/>
  <c r="BI319" i="4"/>
  <c r="BH319" i="4"/>
  <c r="BG319" i="4"/>
  <c r="BF319" i="4"/>
  <c r="BE319" i="4"/>
  <c r="BD319" i="4"/>
  <c r="BC319" i="4"/>
  <c r="BB319" i="4"/>
  <c r="BA319" i="4"/>
  <c r="AZ319" i="4"/>
  <c r="AY319" i="4"/>
  <c r="AX319" i="4"/>
  <c r="AW319" i="4"/>
  <c r="AV319" i="4"/>
  <c r="AU319" i="4"/>
  <c r="AT319" i="4"/>
  <c r="AS319" i="4"/>
  <c r="AR319" i="4"/>
  <c r="AQ319" i="4"/>
  <c r="AP319" i="4"/>
  <c r="AO319" i="4"/>
  <c r="AN319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Z319" i="4"/>
  <c r="Y319" i="4"/>
  <c r="X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319" i="4"/>
  <c r="CJ318" i="4"/>
  <c r="CI318" i="4"/>
  <c r="CH318" i="4"/>
  <c r="CG318" i="4"/>
  <c r="CF318" i="4"/>
  <c r="CE318" i="4"/>
  <c r="CD318" i="4"/>
  <c r="CC318" i="4"/>
  <c r="CB318" i="4"/>
  <c r="CA318" i="4"/>
  <c r="BZ318" i="4"/>
  <c r="BY318" i="4"/>
  <c r="BX318" i="4"/>
  <c r="BW318" i="4"/>
  <c r="BV318" i="4"/>
  <c r="BU318" i="4"/>
  <c r="BT318" i="4"/>
  <c r="BQ318" i="4"/>
  <c r="BP318" i="4"/>
  <c r="BO318" i="4"/>
  <c r="BN318" i="4"/>
  <c r="BM318" i="4"/>
  <c r="BL318" i="4"/>
  <c r="BK318" i="4"/>
  <c r="BJ318" i="4"/>
  <c r="BI318" i="4"/>
  <c r="BH318" i="4"/>
  <c r="BG318" i="4"/>
  <c r="BF318" i="4"/>
  <c r="BE318" i="4"/>
  <c r="BD318" i="4"/>
  <c r="BC318" i="4"/>
  <c r="BB318" i="4"/>
  <c r="BA318" i="4"/>
  <c r="AZ318" i="4"/>
  <c r="AY318" i="4"/>
  <c r="AX318" i="4"/>
  <c r="AW318" i="4"/>
  <c r="AV318" i="4"/>
  <c r="AU318" i="4"/>
  <c r="AT318" i="4"/>
  <c r="AS318" i="4"/>
  <c r="AR318" i="4"/>
  <c r="AQ318" i="4"/>
  <c r="AP318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318" i="4"/>
  <c r="CJ317" i="4"/>
  <c r="CI317" i="4"/>
  <c r="CH317" i="4"/>
  <c r="CG317" i="4"/>
  <c r="CF317" i="4"/>
  <c r="CE317" i="4"/>
  <c r="CD317" i="4"/>
  <c r="CC317" i="4"/>
  <c r="CB317" i="4"/>
  <c r="CA317" i="4"/>
  <c r="BZ317" i="4"/>
  <c r="BY317" i="4"/>
  <c r="BX317" i="4"/>
  <c r="BW317" i="4"/>
  <c r="BV317" i="4"/>
  <c r="BU317" i="4"/>
  <c r="BT317" i="4"/>
  <c r="BQ317" i="4"/>
  <c r="BP317" i="4"/>
  <c r="BO317" i="4"/>
  <c r="BN317" i="4"/>
  <c r="BM317" i="4"/>
  <c r="BL317" i="4"/>
  <c r="BK317" i="4"/>
  <c r="BJ317" i="4"/>
  <c r="BI317" i="4"/>
  <c r="BH317" i="4"/>
  <c r="BG317" i="4"/>
  <c r="BF317" i="4"/>
  <c r="BE317" i="4"/>
  <c r="BD317" i="4"/>
  <c r="BC317" i="4"/>
  <c r="BB317" i="4"/>
  <c r="BA317" i="4"/>
  <c r="AZ317" i="4"/>
  <c r="AY317" i="4"/>
  <c r="AX317" i="4"/>
  <c r="AW317" i="4"/>
  <c r="AV317" i="4"/>
  <c r="AU317" i="4"/>
  <c r="AT317" i="4"/>
  <c r="AS317" i="4"/>
  <c r="AR317" i="4"/>
  <c r="AQ317" i="4"/>
  <c r="AP317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317" i="4"/>
  <c r="CJ316" i="4"/>
  <c r="CI316" i="4"/>
  <c r="CH316" i="4"/>
  <c r="CG316" i="4"/>
  <c r="CF316" i="4"/>
  <c r="CE316" i="4"/>
  <c r="CD316" i="4"/>
  <c r="CC316" i="4"/>
  <c r="CB316" i="4"/>
  <c r="CA316" i="4"/>
  <c r="BZ316" i="4"/>
  <c r="BY316" i="4"/>
  <c r="BX316" i="4"/>
  <c r="BW316" i="4"/>
  <c r="BV316" i="4"/>
  <c r="BU316" i="4"/>
  <c r="BT316" i="4"/>
  <c r="BQ316" i="4"/>
  <c r="BP316" i="4"/>
  <c r="BO316" i="4"/>
  <c r="BN316" i="4"/>
  <c r="BM316" i="4"/>
  <c r="BL316" i="4"/>
  <c r="BK316" i="4"/>
  <c r="BJ316" i="4"/>
  <c r="BI316" i="4"/>
  <c r="BH316" i="4"/>
  <c r="BG316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Q316" i="4"/>
  <c r="AP316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Z316" i="4"/>
  <c r="Y316" i="4"/>
  <c r="X316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316" i="4"/>
  <c r="CJ315" i="4"/>
  <c r="CI315" i="4"/>
  <c r="CH315" i="4"/>
  <c r="CG315" i="4"/>
  <c r="CF315" i="4"/>
  <c r="CE315" i="4"/>
  <c r="CD315" i="4"/>
  <c r="CC315" i="4"/>
  <c r="CB315" i="4"/>
  <c r="CA315" i="4"/>
  <c r="BZ315" i="4"/>
  <c r="BY315" i="4"/>
  <c r="BX315" i="4"/>
  <c r="BW315" i="4"/>
  <c r="BV315" i="4"/>
  <c r="BU315" i="4"/>
  <c r="BT315" i="4"/>
  <c r="BQ315" i="4"/>
  <c r="BP315" i="4"/>
  <c r="BO315" i="4"/>
  <c r="BN315" i="4"/>
  <c r="BM315" i="4"/>
  <c r="BL315" i="4"/>
  <c r="BK315" i="4"/>
  <c r="BJ315" i="4"/>
  <c r="BI315" i="4"/>
  <c r="BH315" i="4"/>
  <c r="BG315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Q315" i="4"/>
  <c r="AP315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CJ314" i="4"/>
  <c r="CI314" i="4"/>
  <c r="CH314" i="4"/>
  <c r="CG314" i="4"/>
  <c r="CF314" i="4"/>
  <c r="CE314" i="4"/>
  <c r="CD314" i="4"/>
  <c r="CC314" i="4"/>
  <c r="CB314" i="4"/>
  <c r="CA314" i="4"/>
  <c r="BZ314" i="4"/>
  <c r="BY314" i="4"/>
  <c r="BX314" i="4"/>
  <c r="BW314" i="4"/>
  <c r="BV314" i="4"/>
  <c r="BU314" i="4"/>
  <c r="BT314" i="4"/>
  <c r="BQ314" i="4"/>
  <c r="BP314" i="4"/>
  <c r="BO314" i="4"/>
  <c r="BN314" i="4"/>
  <c r="BM314" i="4"/>
  <c r="BL314" i="4"/>
  <c r="BK314" i="4"/>
  <c r="BJ314" i="4"/>
  <c r="BI314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A314" i="4"/>
  <c r="CJ313" i="4"/>
  <c r="CI313" i="4"/>
  <c r="CH313" i="4"/>
  <c r="CG313" i="4"/>
  <c r="CF313" i="4"/>
  <c r="CE313" i="4"/>
  <c r="CD313" i="4"/>
  <c r="CC313" i="4"/>
  <c r="CB313" i="4"/>
  <c r="CA313" i="4"/>
  <c r="BZ313" i="4"/>
  <c r="BY313" i="4"/>
  <c r="BX313" i="4"/>
  <c r="BW313" i="4"/>
  <c r="BV313" i="4"/>
  <c r="BU313" i="4"/>
  <c r="BT313" i="4"/>
  <c r="BQ313" i="4"/>
  <c r="BP313" i="4"/>
  <c r="BO313" i="4"/>
  <c r="BN313" i="4"/>
  <c r="BM313" i="4"/>
  <c r="BL313" i="4"/>
  <c r="BK313" i="4"/>
  <c r="BJ313" i="4"/>
  <c r="BI313" i="4"/>
  <c r="BH313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313" i="4"/>
  <c r="CJ312" i="4"/>
  <c r="CI312" i="4"/>
  <c r="CH312" i="4"/>
  <c r="CG312" i="4"/>
  <c r="CF312" i="4"/>
  <c r="CE312" i="4"/>
  <c r="CD312" i="4"/>
  <c r="CC312" i="4"/>
  <c r="CB312" i="4"/>
  <c r="CA312" i="4"/>
  <c r="BZ312" i="4"/>
  <c r="BY312" i="4"/>
  <c r="BX312" i="4"/>
  <c r="BW312" i="4"/>
  <c r="BV312" i="4"/>
  <c r="BU312" i="4"/>
  <c r="BT312" i="4"/>
  <c r="BQ312" i="4"/>
  <c r="BP312" i="4"/>
  <c r="BO312" i="4"/>
  <c r="BN312" i="4"/>
  <c r="BM312" i="4"/>
  <c r="BL312" i="4"/>
  <c r="BK312" i="4"/>
  <c r="BJ312" i="4"/>
  <c r="BI312" i="4"/>
  <c r="BH312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312" i="4"/>
  <c r="CJ311" i="4"/>
  <c r="CI311" i="4"/>
  <c r="CH311" i="4"/>
  <c r="CG311" i="4"/>
  <c r="CF311" i="4"/>
  <c r="CE311" i="4"/>
  <c r="CD311" i="4"/>
  <c r="CC311" i="4"/>
  <c r="CB311" i="4"/>
  <c r="CA311" i="4"/>
  <c r="BZ311" i="4"/>
  <c r="BY311" i="4"/>
  <c r="BX311" i="4"/>
  <c r="BW311" i="4"/>
  <c r="BV311" i="4"/>
  <c r="BU311" i="4"/>
  <c r="BT311" i="4"/>
  <c r="BQ311" i="4"/>
  <c r="BP311" i="4"/>
  <c r="BO311" i="4"/>
  <c r="BN311" i="4"/>
  <c r="BM311" i="4"/>
  <c r="BL311" i="4"/>
  <c r="BK311" i="4"/>
  <c r="BJ311" i="4"/>
  <c r="BI311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311" i="4"/>
  <c r="CJ310" i="4"/>
  <c r="CI310" i="4"/>
  <c r="CH310" i="4"/>
  <c r="CG310" i="4"/>
  <c r="CF310" i="4"/>
  <c r="CE310" i="4"/>
  <c r="CD310" i="4"/>
  <c r="CC310" i="4"/>
  <c r="CB310" i="4"/>
  <c r="CA310" i="4"/>
  <c r="BZ310" i="4"/>
  <c r="BY310" i="4"/>
  <c r="BX310" i="4"/>
  <c r="BW310" i="4"/>
  <c r="BV310" i="4"/>
  <c r="BU310" i="4"/>
  <c r="BT310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310" i="4"/>
  <c r="CJ309" i="4"/>
  <c r="CI309" i="4"/>
  <c r="CH309" i="4"/>
  <c r="CG309" i="4"/>
  <c r="CF309" i="4"/>
  <c r="CE309" i="4"/>
  <c r="CD309" i="4"/>
  <c r="CC309" i="4"/>
  <c r="CB309" i="4"/>
  <c r="CA309" i="4"/>
  <c r="BZ309" i="4"/>
  <c r="BY309" i="4"/>
  <c r="BX309" i="4"/>
  <c r="BW309" i="4"/>
  <c r="BV309" i="4"/>
  <c r="BU309" i="4"/>
  <c r="BT309" i="4"/>
  <c r="BQ309" i="4"/>
  <c r="BP309" i="4"/>
  <c r="BO309" i="4"/>
  <c r="BN309" i="4"/>
  <c r="BM309" i="4"/>
  <c r="BL309" i="4"/>
  <c r="BK309" i="4"/>
  <c r="BJ309" i="4"/>
  <c r="BI309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A309" i="4"/>
  <c r="CJ308" i="4"/>
  <c r="CI308" i="4"/>
  <c r="CH308" i="4"/>
  <c r="CG308" i="4"/>
  <c r="CF308" i="4"/>
  <c r="CE308" i="4"/>
  <c r="CD308" i="4"/>
  <c r="CC308" i="4"/>
  <c r="CB308" i="4"/>
  <c r="CA308" i="4"/>
  <c r="BZ308" i="4"/>
  <c r="BY308" i="4"/>
  <c r="BX308" i="4"/>
  <c r="BV308" i="4"/>
  <c r="BU308" i="4"/>
  <c r="BT308" i="4"/>
  <c r="BQ308" i="4"/>
  <c r="BP308" i="4"/>
  <c r="BO308" i="4"/>
  <c r="BN308" i="4"/>
  <c r="BM308" i="4"/>
  <c r="BL308" i="4"/>
  <c r="BK308" i="4"/>
  <c r="BJ308" i="4"/>
  <c r="BI308" i="4"/>
  <c r="BH308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CJ307" i="4"/>
  <c r="CI307" i="4"/>
  <c r="CH307" i="4"/>
  <c r="CG307" i="4"/>
  <c r="CF307" i="4"/>
  <c r="CE307" i="4"/>
  <c r="CD307" i="4"/>
  <c r="CC307" i="4"/>
  <c r="CB307" i="4"/>
  <c r="CA307" i="4"/>
  <c r="BZ307" i="4"/>
  <c r="BY307" i="4"/>
  <c r="BX307" i="4"/>
  <c r="BV307" i="4"/>
  <c r="BU307" i="4"/>
  <c r="BT307" i="4"/>
  <c r="BQ307" i="4"/>
  <c r="BP307" i="4"/>
  <c r="BO307" i="4"/>
  <c r="BN307" i="4"/>
  <c r="BM307" i="4"/>
  <c r="BL307" i="4"/>
  <c r="BK307" i="4"/>
  <c r="BJ307" i="4"/>
  <c r="BI307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CJ306" i="4"/>
  <c r="CI306" i="4"/>
  <c r="CH306" i="4"/>
  <c r="CG306" i="4"/>
  <c r="CF306" i="4"/>
  <c r="CE306" i="4"/>
  <c r="CD306" i="4"/>
  <c r="CC306" i="4"/>
  <c r="CB306" i="4"/>
  <c r="CA306" i="4"/>
  <c r="BZ306" i="4"/>
  <c r="BY306" i="4"/>
  <c r="BX306" i="4"/>
  <c r="BV306" i="4"/>
  <c r="BU306" i="4"/>
  <c r="BT306" i="4"/>
  <c r="BQ306" i="4"/>
  <c r="BP306" i="4"/>
  <c r="BO306" i="4"/>
  <c r="BN306" i="4"/>
  <c r="BM306" i="4"/>
  <c r="BL306" i="4"/>
  <c r="BK306" i="4"/>
  <c r="BJ306" i="4"/>
  <c r="BI306" i="4"/>
  <c r="BH306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Q306" i="4"/>
  <c r="AP306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CJ305" i="4"/>
  <c r="CI305" i="4"/>
  <c r="CH305" i="4"/>
  <c r="CG305" i="4"/>
  <c r="CF305" i="4"/>
  <c r="CE305" i="4"/>
  <c r="CD305" i="4"/>
  <c r="CC305" i="4"/>
  <c r="CB305" i="4"/>
  <c r="CA305" i="4"/>
  <c r="BZ305" i="4"/>
  <c r="BY305" i="4"/>
  <c r="BX305" i="4"/>
  <c r="BV305" i="4"/>
  <c r="BU305" i="4"/>
  <c r="BT305" i="4"/>
  <c r="BQ305" i="4"/>
  <c r="BP305" i="4"/>
  <c r="BO305" i="4"/>
  <c r="BN305" i="4"/>
  <c r="BM305" i="4"/>
  <c r="BL305" i="4"/>
  <c r="BK305" i="4"/>
  <c r="BJ305" i="4"/>
  <c r="BI305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CJ304" i="4"/>
  <c r="CI304" i="4"/>
  <c r="CH304" i="4"/>
  <c r="CG304" i="4"/>
  <c r="CF304" i="4"/>
  <c r="CE304" i="4"/>
  <c r="CD304" i="4"/>
  <c r="CC304" i="4"/>
  <c r="CB304" i="4"/>
  <c r="CA304" i="4"/>
  <c r="BZ304" i="4"/>
  <c r="BY304" i="4"/>
  <c r="BX304" i="4"/>
  <c r="BV304" i="4"/>
  <c r="BU304" i="4"/>
  <c r="BT304" i="4"/>
  <c r="BQ304" i="4"/>
  <c r="BP304" i="4"/>
  <c r="BO304" i="4"/>
  <c r="BN304" i="4"/>
  <c r="BM304" i="4"/>
  <c r="BL304" i="4"/>
  <c r="BK304" i="4"/>
  <c r="BJ304" i="4"/>
  <c r="BI304" i="4"/>
  <c r="BH304" i="4"/>
  <c r="BG304" i="4"/>
  <c r="BF304" i="4"/>
  <c r="BE304" i="4"/>
  <c r="BD304" i="4"/>
  <c r="BC304" i="4"/>
  <c r="BB304" i="4"/>
  <c r="BA304" i="4"/>
  <c r="AZ304" i="4"/>
  <c r="AY304" i="4"/>
  <c r="AX304" i="4"/>
  <c r="AW304" i="4"/>
  <c r="AV304" i="4"/>
  <c r="AU304" i="4"/>
  <c r="AT304" i="4"/>
  <c r="AS304" i="4"/>
  <c r="AR304" i="4"/>
  <c r="AQ304" i="4"/>
  <c r="AP304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304" i="4"/>
  <c r="CJ303" i="4"/>
  <c r="CI303" i="4"/>
  <c r="CH303" i="4"/>
  <c r="CG303" i="4"/>
  <c r="CF303" i="4"/>
  <c r="CE303" i="4"/>
  <c r="CD303" i="4"/>
  <c r="CC303" i="4"/>
  <c r="CB303" i="4"/>
  <c r="CA303" i="4"/>
  <c r="BZ303" i="4"/>
  <c r="BY303" i="4"/>
  <c r="BX303" i="4"/>
  <c r="BV303" i="4"/>
  <c r="BU303" i="4"/>
  <c r="BT303" i="4"/>
  <c r="BQ303" i="4"/>
  <c r="BP303" i="4"/>
  <c r="BO303" i="4"/>
  <c r="BN303" i="4"/>
  <c r="BM303" i="4"/>
  <c r="BL303" i="4"/>
  <c r="BK303" i="4"/>
  <c r="BJ303" i="4"/>
  <c r="BI303" i="4"/>
  <c r="BH303" i="4"/>
  <c r="BG303" i="4"/>
  <c r="BF303" i="4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Q303" i="4"/>
  <c r="AP303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303" i="4"/>
  <c r="CJ302" i="4"/>
  <c r="CI302" i="4"/>
  <c r="CH302" i="4"/>
  <c r="CG302" i="4"/>
  <c r="CF302" i="4"/>
  <c r="CE302" i="4"/>
  <c r="CD302" i="4"/>
  <c r="CC302" i="4"/>
  <c r="CB302" i="4"/>
  <c r="CA302" i="4"/>
  <c r="BZ302" i="4"/>
  <c r="BY302" i="4"/>
  <c r="BX302" i="4"/>
  <c r="BV302" i="4"/>
  <c r="BU302" i="4"/>
  <c r="BT302" i="4"/>
  <c r="BQ302" i="4"/>
  <c r="BP302" i="4"/>
  <c r="BO302" i="4"/>
  <c r="BN302" i="4"/>
  <c r="BM302" i="4"/>
  <c r="BL302" i="4"/>
  <c r="BK302" i="4"/>
  <c r="BJ302" i="4"/>
  <c r="BI302" i="4"/>
  <c r="BH302" i="4"/>
  <c r="BG302" i="4"/>
  <c r="BF302" i="4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AS302" i="4"/>
  <c r="AR302" i="4"/>
  <c r="AQ302" i="4"/>
  <c r="AP302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302" i="4"/>
  <c r="CJ301" i="4"/>
  <c r="CI301" i="4"/>
  <c r="CH301" i="4"/>
  <c r="CG301" i="4"/>
  <c r="CF301" i="4"/>
  <c r="CE301" i="4"/>
  <c r="CD301" i="4"/>
  <c r="CC301" i="4"/>
  <c r="CB301" i="4"/>
  <c r="CA301" i="4"/>
  <c r="BZ301" i="4"/>
  <c r="BY301" i="4"/>
  <c r="BX301" i="4"/>
  <c r="BV301" i="4"/>
  <c r="BU301" i="4"/>
  <c r="BT301" i="4"/>
  <c r="BQ301" i="4"/>
  <c r="BP301" i="4"/>
  <c r="BO301" i="4"/>
  <c r="BN301" i="4"/>
  <c r="BM301" i="4"/>
  <c r="BL301" i="4"/>
  <c r="BK301" i="4"/>
  <c r="BJ301" i="4"/>
  <c r="BI301" i="4"/>
  <c r="BH301" i="4"/>
  <c r="BG301" i="4"/>
  <c r="BF301" i="4"/>
  <c r="BE301" i="4"/>
  <c r="BD301" i="4"/>
  <c r="BC301" i="4"/>
  <c r="BB301" i="4"/>
  <c r="BA301" i="4"/>
  <c r="AZ301" i="4"/>
  <c r="AY301" i="4"/>
  <c r="AX301" i="4"/>
  <c r="AW301" i="4"/>
  <c r="AV301" i="4"/>
  <c r="AU301" i="4"/>
  <c r="AT301" i="4"/>
  <c r="AS301" i="4"/>
  <c r="AR301" i="4"/>
  <c r="AQ301" i="4"/>
  <c r="AP301" i="4"/>
  <c r="AO301" i="4"/>
  <c r="AN301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Z301" i="4"/>
  <c r="Y301" i="4"/>
  <c r="X301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301" i="4"/>
  <c r="CJ300" i="4"/>
  <c r="CI300" i="4"/>
  <c r="CH300" i="4"/>
  <c r="CG300" i="4"/>
  <c r="CF300" i="4"/>
  <c r="CE300" i="4"/>
  <c r="CD300" i="4"/>
  <c r="CC300" i="4"/>
  <c r="CB300" i="4"/>
  <c r="CA300" i="4"/>
  <c r="BZ300" i="4"/>
  <c r="BY300" i="4"/>
  <c r="BX300" i="4"/>
  <c r="BV300" i="4"/>
  <c r="BU300" i="4"/>
  <c r="BT300" i="4"/>
  <c r="BQ300" i="4"/>
  <c r="BP300" i="4"/>
  <c r="BO300" i="4"/>
  <c r="BN300" i="4"/>
  <c r="BM300" i="4"/>
  <c r="BL300" i="4"/>
  <c r="BK300" i="4"/>
  <c r="BJ300" i="4"/>
  <c r="BI300" i="4"/>
  <c r="BH300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Q300" i="4"/>
  <c r="AP300" i="4"/>
  <c r="AO300" i="4"/>
  <c r="AN300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CJ299" i="4"/>
  <c r="CI299" i="4"/>
  <c r="CH299" i="4"/>
  <c r="CG299" i="4"/>
  <c r="CF299" i="4"/>
  <c r="CE299" i="4"/>
  <c r="CD299" i="4"/>
  <c r="CC299" i="4"/>
  <c r="CB299" i="4"/>
  <c r="CA299" i="4"/>
  <c r="BZ299" i="4"/>
  <c r="BY299" i="4"/>
  <c r="BX299" i="4"/>
  <c r="BV299" i="4"/>
  <c r="BU299" i="4"/>
  <c r="BT299" i="4"/>
  <c r="BQ299" i="4"/>
  <c r="BP299" i="4"/>
  <c r="BO299" i="4"/>
  <c r="BN299" i="4"/>
  <c r="BM299" i="4"/>
  <c r="BL299" i="4"/>
  <c r="BK299" i="4"/>
  <c r="BJ299" i="4"/>
  <c r="BI299" i="4"/>
  <c r="BH299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CJ298" i="4"/>
  <c r="CI298" i="4"/>
  <c r="CH298" i="4"/>
  <c r="CG298" i="4"/>
  <c r="CF298" i="4"/>
  <c r="CE298" i="4"/>
  <c r="CD298" i="4"/>
  <c r="CC298" i="4"/>
  <c r="CB298" i="4"/>
  <c r="CA298" i="4"/>
  <c r="BZ298" i="4"/>
  <c r="BY298" i="4"/>
  <c r="BX298" i="4"/>
  <c r="BV298" i="4"/>
  <c r="BU298" i="4"/>
  <c r="BT298" i="4"/>
  <c r="BQ298" i="4"/>
  <c r="BP298" i="4"/>
  <c r="BO298" i="4"/>
  <c r="BN298" i="4"/>
  <c r="BM298" i="4"/>
  <c r="BL298" i="4"/>
  <c r="BK298" i="4"/>
  <c r="BJ298" i="4"/>
  <c r="BI298" i="4"/>
  <c r="BH298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Q298" i="4"/>
  <c r="AP298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CJ297" i="4"/>
  <c r="CI297" i="4"/>
  <c r="CH297" i="4"/>
  <c r="CG297" i="4"/>
  <c r="CF297" i="4"/>
  <c r="CE297" i="4"/>
  <c r="CD297" i="4"/>
  <c r="CC297" i="4"/>
  <c r="CB297" i="4"/>
  <c r="CA297" i="4"/>
  <c r="BZ297" i="4"/>
  <c r="BY297" i="4"/>
  <c r="BX297" i="4"/>
  <c r="BV297" i="4"/>
  <c r="BU297" i="4"/>
  <c r="BT297" i="4"/>
  <c r="BQ297" i="4"/>
  <c r="BP297" i="4"/>
  <c r="BO297" i="4"/>
  <c r="BN297" i="4"/>
  <c r="BM297" i="4"/>
  <c r="BL297" i="4"/>
  <c r="BK297" i="4"/>
  <c r="BJ297" i="4"/>
  <c r="BI297" i="4"/>
  <c r="BH297" i="4"/>
  <c r="BG297" i="4"/>
  <c r="BF297" i="4"/>
  <c r="BE297" i="4"/>
  <c r="BD297" i="4"/>
  <c r="BC297" i="4"/>
  <c r="BB297" i="4"/>
  <c r="BA297" i="4"/>
  <c r="AZ297" i="4"/>
  <c r="AY297" i="4"/>
  <c r="AX297" i="4"/>
  <c r="AW297" i="4"/>
  <c r="AV297" i="4"/>
  <c r="AU297" i="4"/>
  <c r="AT297" i="4"/>
  <c r="AS297" i="4"/>
  <c r="AR297" i="4"/>
  <c r="AQ297" i="4"/>
  <c r="AP297" i="4"/>
  <c r="AO297" i="4"/>
  <c r="AN297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CJ296" i="4"/>
  <c r="CI296" i="4"/>
  <c r="CH296" i="4"/>
  <c r="CG296" i="4"/>
  <c r="CF296" i="4"/>
  <c r="CE296" i="4"/>
  <c r="CD296" i="4"/>
  <c r="CC296" i="4"/>
  <c r="CB296" i="4"/>
  <c r="CA296" i="4"/>
  <c r="BZ296" i="4"/>
  <c r="BY296" i="4"/>
  <c r="BX296" i="4"/>
  <c r="BV296" i="4"/>
  <c r="BU296" i="4"/>
  <c r="BT296" i="4"/>
  <c r="BQ296" i="4"/>
  <c r="BP296" i="4"/>
  <c r="BO296" i="4"/>
  <c r="BN296" i="4"/>
  <c r="BM296" i="4"/>
  <c r="BL296" i="4"/>
  <c r="BK296" i="4"/>
  <c r="BJ296" i="4"/>
  <c r="BI296" i="4"/>
  <c r="BH296" i="4"/>
  <c r="BG296" i="4"/>
  <c r="BF296" i="4"/>
  <c r="BE296" i="4"/>
  <c r="BD296" i="4"/>
  <c r="BC296" i="4"/>
  <c r="BB296" i="4"/>
  <c r="BA296" i="4"/>
  <c r="AZ296" i="4"/>
  <c r="AY296" i="4"/>
  <c r="AX296" i="4"/>
  <c r="AW296" i="4"/>
  <c r="AV296" i="4"/>
  <c r="AU296" i="4"/>
  <c r="AT296" i="4"/>
  <c r="AS296" i="4"/>
  <c r="AR296" i="4"/>
  <c r="AQ296" i="4"/>
  <c r="AP296" i="4"/>
  <c r="AO296" i="4"/>
  <c r="AN296" i="4"/>
  <c r="AM296" i="4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296" i="4"/>
  <c r="CJ295" i="4"/>
  <c r="CI295" i="4"/>
  <c r="CH295" i="4"/>
  <c r="CG295" i="4"/>
  <c r="CF295" i="4"/>
  <c r="CE295" i="4"/>
  <c r="CD295" i="4"/>
  <c r="CC295" i="4"/>
  <c r="CB295" i="4"/>
  <c r="CA295" i="4"/>
  <c r="BZ295" i="4"/>
  <c r="BY295" i="4"/>
  <c r="BX295" i="4"/>
  <c r="BV295" i="4"/>
  <c r="BU295" i="4"/>
  <c r="BT295" i="4"/>
  <c r="BQ295" i="4"/>
  <c r="BP295" i="4"/>
  <c r="BO295" i="4"/>
  <c r="BN295" i="4"/>
  <c r="BM295" i="4"/>
  <c r="BL295" i="4"/>
  <c r="BK295" i="4"/>
  <c r="BJ295" i="4"/>
  <c r="BI295" i="4"/>
  <c r="BH295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AQ295" i="4"/>
  <c r="AP295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CJ294" i="4"/>
  <c r="CI294" i="4"/>
  <c r="CH294" i="4"/>
  <c r="CG294" i="4"/>
  <c r="CF294" i="4"/>
  <c r="CE294" i="4"/>
  <c r="CD294" i="4"/>
  <c r="CC294" i="4"/>
  <c r="CB294" i="4"/>
  <c r="CA294" i="4"/>
  <c r="BZ294" i="4"/>
  <c r="BY294" i="4"/>
  <c r="BX294" i="4"/>
  <c r="BV294" i="4"/>
  <c r="BU294" i="4"/>
  <c r="BT294" i="4"/>
  <c r="BQ294" i="4"/>
  <c r="BP294" i="4"/>
  <c r="BO294" i="4"/>
  <c r="BN294" i="4"/>
  <c r="BM294" i="4"/>
  <c r="BL294" i="4"/>
  <c r="BK294" i="4"/>
  <c r="BJ294" i="4"/>
  <c r="BI294" i="4"/>
  <c r="BH294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CJ293" i="4"/>
  <c r="CI293" i="4"/>
  <c r="CH293" i="4"/>
  <c r="CG293" i="4"/>
  <c r="CF293" i="4"/>
  <c r="CE293" i="4"/>
  <c r="CD293" i="4"/>
  <c r="CC293" i="4"/>
  <c r="CB293" i="4"/>
  <c r="CA293" i="4"/>
  <c r="BZ293" i="4"/>
  <c r="BY293" i="4"/>
  <c r="BX293" i="4"/>
  <c r="BV293" i="4"/>
  <c r="BU293" i="4"/>
  <c r="BT293" i="4"/>
  <c r="BQ293" i="4"/>
  <c r="BP293" i="4"/>
  <c r="BO293" i="4"/>
  <c r="BN293" i="4"/>
  <c r="BM293" i="4"/>
  <c r="BL293" i="4"/>
  <c r="BK293" i="4"/>
  <c r="BJ293" i="4"/>
  <c r="BI293" i="4"/>
  <c r="BH293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AQ293" i="4"/>
  <c r="AP293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293" i="4"/>
  <c r="CJ292" i="4"/>
  <c r="CI292" i="4"/>
  <c r="CH292" i="4"/>
  <c r="CG292" i="4"/>
  <c r="CF292" i="4"/>
  <c r="CE292" i="4"/>
  <c r="CD292" i="4"/>
  <c r="CC292" i="4"/>
  <c r="CB292" i="4"/>
  <c r="CA292" i="4"/>
  <c r="BZ292" i="4"/>
  <c r="BY292" i="4"/>
  <c r="BX292" i="4"/>
  <c r="BV292" i="4"/>
  <c r="BU292" i="4"/>
  <c r="BT292" i="4"/>
  <c r="BQ292" i="4"/>
  <c r="BP292" i="4"/>
  <c r="BO292" i="4"/>
  <c r="BN292" i="4"/>
  <c r="BM292" i="4"/>
  <c r="BL292" i="4"/>
  <c r="BK292" i="4"/>
  <c r="BJ292" i="4"/>
  <c r="BI292" i="4"/>
  <c r="BH292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AQ292" i="4"/>
  <c r="AP292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CJ291" i="4"/>
  <c r="CI291" i="4"/>
  <c r="CH291" i="4"/>
  <c r="CG291" i="4"/>
  <c r="CF291" i="4"/>
  <c r="CE291" i="4"/>
  <c r="CD291" i="4"/>
  <c r="CC291" i="4"/>
  <c r="CB291" i="4"/>
  <c r="CA291" i="4"/>
  <c r="BZ291" i="4"/>
  <c r="BY291" i="4"/>
  <c r="BX291" i="4"/>
  <c r="BV291" i="4"/>
  <c r="BU291" i="4"/>
  <c r="BT291" i="4"/>
  <c r="BQ291" i="4"/>
  <c r="BP291" i="4"/>
  <c r="BO291" i="4"/>
  <c r="BN291" i="4"/>
  <c r="BM291" i="4"/>
  <c r="BL291" i="4"/>
  <c r="BK291" i="4"/>
  <c r="BJ291" i="4"/>
  <c r="BI291" i="4"/>
  <c r="BH291" i="4"/>
  <c r="BG291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E291" i="4"/>
  <c r="D291" i="4"/>
  <c r="C291" i="4"/>
  <c r="B291" i="4"/>
  <c r="A291" i="4"/>
  <c r="CJ290" i="4"/>
  <c r="CI290" i="4"/>
  <c r="CH290" i="4"/>
  <c r="CG290" i="4"/>
  <c r="CF290" i="4"/>
  <c r="CE290" i="4"/>
  <c r="CD290" i="4"/>
  <c r="CC290" i="4"/>
  <c r="CB290" i="4"/>
  <c r="CA290" i="4"/>
  <c r="BZ290" i="4"/>
  <c r="BY290" i="4"/>
  <c r="BX290" i="4"/>
  <c r="BV290" i="4"/>
  <c r="BU290" i="4"/>
  <c r="BT290" i="4"/>
  <c r="BQ290" i="4"/>
  <c r="BP290" i="4"/>
  <c r="BO290" i="4"/>
  <c r="BN290" i="4"/>
  <c r="BM290" i="4"/>
  <c r="BL290" i="4"/>
  <c r="BK290" i="4"/>
  <c r="BJ290" i="4"/>
  <c r="BI290" i="4"/>
  <c r="BH290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CJ289" i="4"/>
  <c r="CI289" i="4"/>
  <c r="CH289" i="4"/>
  <c r="CG289" i="4"/>
  <c r="CF289" i="4"/>
  <c r="CE289" i="4"/>
  <c r="CD289" i="4"/>
  <c r="CC289" i="4"/>
  <c r="CB289" i="4"/>
  <c r="CA289" i="4"/>
  <c r="BZ289" i="4"/>
  <c r="BY289" i="4"/>
  <c r="BX289" i="4"/>
  <c r="BV289" i="4"/>
  <c r="BU289" i="4"/>
  <c r="BT289" i="4"/>
  <c r="BQ289" i="4"/>
  <c r="BP289" i="4"/>
  <c r="BO289" i="4"/>
  <c r="BN289" i="4"/>
  <c r="BM289" i="4"/>
  <c r="BL289" i="4"/>
  <c r="BK289" i="4"/>
  <c r="BJ289" i="4"/>
  <c r="BI289" i="4"/>
  <c r="BH289" i="4"/>
  <c r="BG289" i="4"/>
  <c r="BF289" i="4"/>
  <c r="BE289" i="4"/>
  <c r="BD289" i="4"/>
  <c r="BC289" i="4"/>
  <c r="BB289" i="4"/>
  <c r="BA289" i="4"/>
  <c r="AZ289" i="4"/>
  <c r="AY289" i="4"/>
  <c r="AX289" i="4"/>
  <c r="AW289" i="4"/>
  <c r="AV289" i="4"/>
  <c r="AU289" i="4"/>
  <c r="AT289" i="4"/>
  <c r="AS289" i="4"/>
  <c r="AR289" i="4"/>
  <c r="AQ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CJ288" i="4"/>
  <c r="CI288" i="4"/>
  <c r="CH288" i="4"/>
  <c r="CG288" i="4"/>
  <c r="CF288" i="4"/>
  <c r="CE288" i="4"/>
  <c r="CD288" i="4"/>
  <c r="CC288" i="4"/>
  <c r="CB288" i="4"/>
  <c r="CA288" i="4"/>
  <c r="BZ288" i="4"/>
  <c r="BY288" i="4"/>
  <c r="BX288" i="4"/>
  <c r="BV288" i="4"/>
  <c r="BU288" i="4"/>
  <c r="BT288" i="4"/>
  <c r="BQ288" i="4"/>
  <c r="BP288" i="4"/>
  <c r="BO288" i="4"/>
  <c r="BN288" i="4"/>
  <c r="BM288" i="4"/>
  <c r="BL288" i="4"/>
  <c r="BK288" i="4"/>
  <c r="BJ288" i="4"/>
  <c r="BI288" i="4"/>
  <c r="BH288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288" i="4"/>
  <c r="CJ287" i="4"/>
  <c r="CI287" i="4"/>
  <c r="CH287" i="4"/>
  <c r="CG287" i="4"/>
  <c r="CF287" i="4"/>
  <c r="CE287" i="4"/>
  <c r="CD287" i="4"/>
  <c r="CC287" i="4"/>
  <c r="CB287" i="4"/>
  <c r="CA287" i="4"/>
  <c r="BZ287" i="4"/>
  <c r="BY287" i="4"/>
  <c r="BX287" i="4"/>
  <c r="BV287" i="4"/>
  <c r="BU287" i="4"/>
  <c r="BT287" i="4"/>
  <c r="BQ287" i="4"/>
  <c r="BP287" i="4"/>
  <c r="BO287" i="4"/>
  <c r="BN287" i="4"/>
  <c r="BM287" i="4"/>
  <c r="BL287" i="4"/>
  <c r="BK287" i="4"/>
  <c r="BJ287" i="4"/>
  <c r="BI287" i="4"/>
  <c r="BH287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V286" i="4"/>
  <c r="U286" i="4"/>
  <c r="CJ285" i="4"/>
  <c r="CI285" i="4"/>
  <c r="CH285" i="4"/>
  <c r="CG285" i="4"/>
  <c r="CF285" i="4"/>
  <c r="CE285" i="4"/>
  <c r="CD285" i="4"/>
  <c r="CC285" i="4"/>
  <c r="CB285" i="4"/>
  <c r="CA285" i="4"/>
  <c r="BZ285" i="4"/>
  <c r="BY285" i="4"/>
  <c r="BX285" i="4"/>
  <c r="BV285" i="4"/>
  <c r="BU285" i="4"/>
  <c r="BT285" i="4"/>
  <c r="BQ285" i="4"/>
  <c r="BP285" i="4"/>
  <c r="BO285" i="4"/>
  <c r="BN285" i="4"/>
  <c r="BM285" i="4"/>
  <c r="BL285" i="4"/>
  <c r="BK285" i="4"/>
  <c r="BJ285" i="4"/>
  <c r="BI285" i="4"/>
  <c r="BH285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285" i="4"/>
  <c r="CJ284" i="4"/>
  <c r="CI284" i="4"/>
  <c r="CH284" i="4"/>
  <c r="CG284" i="4"/>
  <c r="CF284" i="4"/>
  <c r="CE284" i="4"/>
  <c r="CD284" i="4"/>
  <c r="CC284" i="4"/>
  <c r="CB284" i="4"/>
  <c r="CA284" i="4"/>
  <c r="BZ284" i="4"/>
  <c r="BY284" i="4"/>
  <c r="BX284" i="4"/>
  <c r="BV284" i="4"/>
  <c r="BU284" i="4"/>
  <c r="BT284" i="4"/>
  <c r="BQ284" i="4"/>
  <c r="BP284" i="4"/>
  <c r="BO284" i="4"/>
  <c r="BN284" i="4"/>
  <c r="BM284" i="4"/>
  <c r="BL284" i="4"/>
  <c r="BK284" i="4"/>
  <c r="BJ284" i="4"/>
  <c r="BI284" i="4"/>
  <c r="BH284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CJ283" i="4"/>
  <c r="CI283" i="4"/>
  <c r="CH283" i="4"/>
  <c r="CG283" i="4"/>
  <c r="CF283" i="4"/>
  <c r="CE283" i="4"/>
  <c r="CD283" i="4"/>
  <c r="CC283" i="4"/>
  <c r="CB283" i="4"/>
  <c r="CA283" i="4"/>
  <c r="BZ283" i="4"/>
  <c r="BY283" i="4"/>
  <c r="BX283" i="4"/>
  <c r="BV283" i="4"/>
  <c r="BU283" i="4"/>
  <c r="BT283" i="4"/>
  <c r="BQ283" i="4"/>
  <c r="BP283" i="4"/>
  <c r="BO283" i="4"/>
  <c r="BN283" i="4"/>
  <c r="BM283" i="4"/>
  <c r="BL283" i="4"/>
  <c r="BK283" i="4"/>
  <c r="BJ283" i="4"/>
  <c r="BI283" i="4"/>
  <c r="BH283" i="4"/>
  <c r="BG283" i="4"/>
  <c r="BF283" i="4"/>
  <c r="BE283" i="4"/>
  <c r="BD283" i="4"/>
  <c r="BC283" i="4"/>
  <c r="BB283" i="4"/>
  <c r="BA283" i="4"/>
  <c r="AZ283" i="4"/>
  <c r="AY283" i="4"/>
  <c r="AX283" i="4"/>
  <c r="AW283" i="4"/>
  <c r="AV283" i="4"/>
  <c r="AU283" i="4"/>
  <c r="AT283" i="4"/>
  <c r="AS283" i="4"/>
  <c r="AR283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CJ282" i="4"/>
  <c r="CI282" i="4"/>
  <c r="CH282" i="4"/>
  <c r="CG282" i="4"/>
  <c r="CF282" i="4"/>
  <c r="CE282" i="4"/>
  <c r="CD282" i="4"/>
  <c r="CC282" i="4"/>
  <c r="CB282" i="4"/>
  <c r="CA282" i="4"/>
  <c r="BZ282" i="4"/>
  <c r="BY282" i="4"/>
  <c r="BX282" i="4"/>
  <c r="BV282" i="4"/>
  <c r="BU282" i="4"/>
  <c r="BT282" i="4"/>
  <c r="BQ282" i="4"/>
  <c r="BP282" i="4"/>
  <c r="BO282" i="4"/>
  <c r="BN282" i="4"/>
  <c r="BM282" i="4"/>
  <c r="BL282" i="4"/>
  <c r="BK282" i="4"/>
  <c r="BJ282" i="4"/>
  <c r="BI282" i="4"/>
  <c r="BH282" i="4"/>
  <c r="BG282" i="4"/>
  <c r="BF282" i="4"/>
  <c r="BE282" i="4"/>
  <c r="BD282" i="4"/>
  <c r="BC282" i="4"/>
  <c r="BB282" i="4"/>
  <c r="BA282" i="4"/>
  <c r="AZ282" i="4"/>
  <c r="AY282" i="4"/>
  <c r="AX282" i="4"/>
  <c r="AW282" i="4"/>
  <c r="AV282" i="4"/>
  <c r="AU282" i="4"/>
  <c r="AT282" i="4"/>
  <c r="AS282" i="4"/>
  <c r="AR282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282" i="4"/>
  <c r="CJ281" i="4"/>
  <c r="CI281" i="4"/>
  <c r="CH281" i="4"/>
  <c r="CG281" i="4"/>
  <c r="CF281" i="4"/>
  <c r="CE281" i="4"/>
  <c r="CD281" i="4"/>
  <c r="CC281" i="4"/>
  <c r="CB281" i="4"/>
  <c r="CA281" i="4"/>
  <c r="BZ281" i="4"/>
  <c r="BY281" i="4"/>
  <c r="BX281" i="4"/>
  <c r="BV281" i="4"/>
  <c r="BU281" i="4"/>
  <c r="BT281" i="4"/>
  <c r="BQ281" i="4"/>
  <c r="BP281" i="4"/>
  <c r="BO281" i="4"/>
  <c r="BN281" i="4"/>
  <c r="BM281" i="4"/>
  <c r="BL281" i="4"/>
  <c r="BK281" i="4"/>
  <c r="BJ281" i="4"/>
  <c r="BI281" i="4"/>
  <c r="BH281" i="4"/>
  <c r="BG281" i="4"/>
  <c r="BF281" i="4"/>
  <c r="BE281" i="4"/>
  <c r="BD281" i="4"/>
  <c r="BC281" i="4"/>
  <c r="BB281" i="4"/>
  <c r="BA281" i="4"/>
  <c r="AZ281" i="4"/>
  <c r="AY281" i="4"/>
  <c r="AX281" i="4"/>
  <c r="AW281" i="4"/>
  <c r="AV281" i="4"/>
  <c r="AU281" i="4"/>
  <c r="AT281" i="4"/>
  <c r="AS281" i="4"/>
  <c r="AR281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CJ280" i="4"/>
  <c r="CI280" i="4"/>
  <c r="CH280" i="4"/>
  <c r="CG280" i="4"/>
  <c r="CF280" i="4"/>
  <c r="CE280" i="4"/>
  <c r="CD280" i="4"/>
  <c r="CC280" i="4"/>
  <c r="CB280" i="4"/>
  <c r="CA280" i="4"/>
  <c r="BZ280" i="4"/>
  <c r="BY280" i="4"/>
  <c r="BX280" i="4"/>
  <c r="BV280" i="4"/>
  <c r="BU280" i="4"/>
  <c r="BT280" i="4"/>
  <c r="BQ280" i="4"/>
  <c r="BP280" i="4"/>
  <c r="BO280" i="4"/>
  <c r="BN280" i="4"/>
  <c r="BM280" i="4"/>
  <c r="BL280" i="4"/>
  <c r="BK280" i="4"/>
  <c r="BJ280" i="4"/>
  <c r="BI280" i="4"/>
  <c r="BH280" i="4"/>
  <c r="BG280" i="4"/>
  <c r="BF280" i="4"/>
  <c r="BE280" i="4"/>
  <c r="BD280" i="4"/>
  <c r="BC280" i="4"/>
  <c r="BB280" i="4"/>
  <c r="BA280" i="4"/>
  <c r="AZ280" i="4"/>
  <c r="AY280" i="4"/>
  <c r="AX280" i="4"/>
  <c r="AW280" i="4"/>
  <c r="AV280" i="4"/>
  <c r="AU280" i="4"/>
  <c r="AT280" i="4"/>
  <c r="AS280" i="4"/>
  <c r="AR280" i="4"/>
  <c r="AQ280" i="4"/>
  <c r="AP280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280" i="4"/>
  <c r="CJ279" i="4"/>
  <c r="CI279" i="4"/>
  <c r="CH279" i="4"/>
  <c r="CG279" i="4"/>
  <c r="CF279" i="4"/>
  <c r="CE279" i="4"/>
  <c r="CD279" i="4"/>
  <c r="CC279" i="4"/>
  <c r="CB279" i="4"/>
  <c r="CA279" i="4"/>
  <c r="BZ279" i="4"/>
  <c r="BY279" i="4"/>
  <c r="BX279" i="4"/>
  <c r="BV279" i="4"/>
  <c r="BU279" i="4"/>
  <c r="BT279" i="4"/>
  <c r="BQ279" i="4"/>
  <c r="BP279" i="4"/>
  <c r="BO279" i="4"/>
  <c r="BN279" i="4"/>
  <c r="BM279" i="4"/>
  <c r="BL279" i="4"/>
  <c r="BK279" i="4"/>
  <c r="BJ279" i="4"/>
  <c r="BI279" i="4"/>
  <c r="BH279" i="4"/>
  <c r="BG279" i="4"/>
  <c r="BF279" i="4"/>
  <c r="BE279" i="4"/>
  <c r="BD279" i="4"/>
  <c r="BC279" i="4"/>
  <c r="BB279" i="4"/>
  <c r="BA279" i="4"/>
  <c r="AZ279" i="4"/>
  <c r="AY279" i="4"/>
  <c r="AX279" i="4"/>
  <c r="AW279" i="4"/>
  <c r="AV279" i="4"/>
  <c r="AU279" i="4"/>
  <c r="AT279" i="4"/>
  <c r="AS279" i="4"/>
  <c r="AR279" i="4"/>
  <c r="AQ279" i="4"/>
  <c r="AP279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279" i="4"/>
  <c r="CJ278" i="4"/>
  <c r="CI278" i="4"/>
  <c r="CH278" i="4"/>
  <c r="CG278" i="4"/>
  <c r="CF278" i="4"/>
  <c r="CE278" i="4"/>
  <c r="CD278" i="4"/>
  <c r="CC278" i="4"/>
  <c r="CB278" i="4"/>
  <c r="CA278" i="4"/>
  <c r="BZ278" i="4"/>
  <c r="BY278" i="4"/>
  <c r="BX278" i="4"/>
  <c r="BV278" i="4"/>
  <c r="BU278" i="4"/>
  <c r="BT278" i="4"/>
  <c r="BQ278" i="4"/>
  <c r="BP278" i="4"/>
  <c r="BO278" i="4"/>
  <c r="BN278" i="4"/>
  <c r="BM278" i="4"/>
  <c r="BL278" i="4"/>
  <c r="BK278" i="4"/>
  <c r="BJ278" i="4"/>
  <c r="BI278" i="4"/>
  <c r="BH278" i="4"/>
  <c r="BG278" i="4"/>
  <c r="BF278" i="4"/>
  <c r="BE278" i="4"/>
  <c r="BD278" i="4"/>
  <c r="BC278" i="4"/>
  <c r="BB278" i="4"/>
  <c r="BA278" i="4"/>
  <c r="AZ278" i="4"/>
  <c r="AY278" i="4"/>
  <c r="AX278" i="4"/>
  <c r="AW278" i="4"/>
  <c r="AV278" i="4"/>
  <c r="AU278" i="4"/>
  <c r="AT278" i="4"/>
  <c r="AS278" i="4"/>
  <c r="AR278" i="4"/>
  <c r="AQ278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CJ277" i="4"/>
  <c r="CI277" i="4"/>
  <c r="CH277" i="4"/>
  <c r="CG277" i="4"/>
  <c r="CF277" i="4"/>
  <c r="CE277" i="4"/>
  <c r="CD277" i="4"/>
  <c r="CC277" i="4"/>
  <c r="CB277" i="4"/>
  <c r="CA277" i="4"/>
  <c r="BZ277" i="4"/>
  <c r="BY277" i="4"/>
  <c r="BX277" i="4"/>
  <c r="BV277" i="4"/>
  <c r="BU277" i="4"/>
  <c r="BT277" i="4"/>
  <c r="BQ277" i="4"/>
  <c r="BP277" i="4"/>
  <c r="BO277" i="4"/>
  <c r="BN277" i="4"/>
  <c r="BM277" i="4"/>
  <c r="BL277" i="4"/>
  <c r="BK277" i="4"/>
  <c r="BJ277" i="4"/>
  <c r="BI277" i="4"/>
  <c r="BH277" i="4"/>
  <c r="BG277" i="4"/>
  <c r="BF277" i="4"/>
  <c r="BE277" i="4"/>
  <c r="BD277" i="4"/>
  <c r="BC277" i="4"/>
  <c r="BB277" i="4"/>
  <c r="BA277" i="4"/>
  <c r="AZ277" i="4"/>
  <c r="AY277" i="4"/>
  <c r="AX277" i="4"/>
  <c r="AW277" i="4"/>
  <c r="AV277" i="4"/>
  <c r="AU277" i="4"/>
  <c r="AT277" i="4"/>
  <c r="AS277" i="4"/>
  <c r="AR277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277" i="4"/>
  <c r="CJ276" i="4"/>
  <c r="CI276" i="4"/>
  <c r="CH276" i="4"/>
  <c r="CG276" i="4"/>
  <c r="CF276" i="4"/>
  <c r="CE276" i="4"/>
  <c r="CD276" i="4"/>
  <c r="CC276" i="4"/>
  <c r="CB276" i="4"/>
  <c r="CA276" i="4"/>
  <c r="BZ276" i="4"/>
  <c r="BY276" i="4"/>
  <c r="BX276" i="4"/>
  <c r="BV276" i="4"/>
  <c r="BU276" i="4"/>
  <c r="BT276" i="4"/>
  <c r="BQ276" i="4"/>
  <c r="BP276" i="4"/>
  <c r="BO276" i="4"/>
  <c r="BN276" i="4"/>
  <c r="BM276" i="4"/>
  <c r="BL276" i="4"/>
  <c r="BK276" i="4"/>
  <c r="BJ276" i="4"/>
  <c r="BI276" i="4"/>
  <c r="BH276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R276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CJ275" i="4"/>
  <c r="CI275" i="4"/>
  <c r="CH275" i="4"/>
  <c r="CG275" i="4"/>
  <c r="CF275" i="4"/>
  <c r="CE275" i="4"/>
  <c r="CD275" i="4"/>
  <c r="CC275" i="4"/>
  <c r="CB275" i="4"/>
  <c r="CA275" i="4"/>
  <c r="BZ275" i="4"/>
  <c r="BY275" i="4"/>
  <c r="BX275" i="4"/>
  <c r="BV275" i="4"/>
  <c r="BU275" i="4"/>
  <c r="BT275" i="4"/>
  <c r="BQ275" i="4"/>
  <c r="BP275" i="4"/>
  <c r="BO275" i="4"/>
  <c r="BN275" i="4"/>
  <c r="BM275" i="4"/>
  <c r="BL275" i="4"/>
  <c r="BK275" i="4"/>
  <c r="BJ275" i="4"/>
  <c r="BI275" i="4"/>
  <c r="BH275" i="4"/>
  <c r="BG275" i="4"/>
  <c r="BF275" i="4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CJ274" i="4"/>
  <c r="CI274" i="4"/>
  <c r="CH274" i="4"/>
  <c r="CG274" i="4"/>
  <c r="CF274" i="4"/>
  <c r="CE274" i="4"/>
  <c r="CD274" i="4"/>
  <c r="CC274" i="4"/>
  <c r="CB274" i="4"/>
  <c r="CA274" i="4"/>
  <c r="BZ274" i="4"/>
  <c r="BY274" i="4"/>
  <c r="BX274" i="4"/>
  <c r="BV274" i="4"/>
  <c r="BU274" i="4"/>
  <c r="BT274" i="4"/>
  <c r="BQ274" i="4"/>
  <c r="BP274" i="4"/>
  <c r="BO274" i="4"/>
  <c r="BN274" i="4"/>
  <c r="BM274" i="4"/>
  <c r="BL274" i="4"/>
  <c r="BK274" i="4"/>
  <c r="BJ274" i="4"/>
  <c r="BI274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CJ273" i="4"/>
  <c r="CI273" i="4"/>
  <c r="CH273" i="4"/>
  <c r="CG273" i="4"/>
  <c r="CF273" i="4"/>
  <c r="CE273" i="4"/>
  <c r="CD273" i="4"/>
  <c r="CC273" i="4"/>
  <c r="CB273" i="4"/>
  <c r="CA273" i="4"/>
  <c r="BZ273" i="4"/>
  <c r="BY273" i="4"/>
  <c r="BX273" i="4"/>
  <c r="BV273" i="4"/>
  <c r="BU273" i="4"/>
  <c r="BT273" i="4"/>
  <c r="BQ273" i="4"/>
  <c r="BP273" i="4"/>
  <c r="BO273" i="4"/>
  <c r="BN273" i="4"/>
  <c r="BM273" i="4"/>
  <c r="BL273" i="4"/>
  <c r="BK273" i="4"/>
  <c r="BJ273" i="4"/>
  <c r="BI273" i="4"/>
  <c r="BH273" i="4"/>
  <c r="BG273" i="4"/>
  <c r="BF273" i="4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CJ272" i="4"/>
  <c r="CI272" i="4"/>
  <c r="CH272" i="4"/>
  <c r="CG272" i="4"/>
  <c r="CF272" i="4"/>
  <c r="CE272" i="4"/>
  <c r="CD272" i="4"/>
  <c r="CC272" i="4"/>
  <c r="CB272" i="4"/>
  <c r="CA272" i="4"/>
  <c r="BZ272" i="4"/>
  <c r="BY272" i="4"/>
  <c r="BX272" i="4"/>
  <c r="BV272" i="4"/>
  <c r="BU272" i="4"/>
  <c r="BT272" i="4"/>
  <c r="BQ272" i="4"/>
  <c r="BP272" i="4"/>
  <c r="BO272" i="4"/>
  <c r="BN272" i="4"/>
  <c r="BM272" i="4"/>
  <c r="BL272" i="4"/>
  <c r="BK272" i="4"/>
  <c r="BJ272" i="4"/>
  <c r="BI272" i="4"/>
  <c r="BH272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CJ271" i="4"/>
  <c r="CI271" i="4"/>
  <c r="CH271" i="4"/>
  <c r="CG271" i="4"/>
  <c r="CF271" i="4"/>
  <c r="CE271" i="4"/>
  <c r="CD271" i="4"/>
  <c r="CC271" i="4"/>
  <c r="CB271" i="4"/>
  <c r="CA271" i="4"/>
  <c r="BZ271" i="4"/>
  <c r="BY271" i="4"/>
  <c r="BX271" i="4"/>
  <c r="BV271" i="4"/>
  <c r="BU271" i="4"/>
  <c r="BT271" i="4"/>
  <c r="BQ271" i="4"/>
  <c r="BP271" i="4"/>
  <c r="BO271" i="4"/>
  <c r="BN271" i="4"/>
  <c r="BM271" i="4"/>
  <c r="BL271" i="4"/>
  <c r="BK271" i="4"/>
  <c r="BJ271" i="4"/>
  <c r="BI271" i="4"/>
  <c r="BH271" i="4"/>
  <c r="BG271" i="4"/>
  <c r="BF271" i="4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CJ270" i="4"/>
  <c r="CI270" i="4"/>
  <c r="CH270" i="4"/>
  <c r="CG270" i="4"/>
  <c r="CF270" i="4"/>
  <c r="CE270" i="4"/>
  <c r="CD270" i="4"/>
  <c r="CC270" i="4"/>
  <c r="CB270" i="4"/>
  <c r="CA270" i="4"/>
  <c r="BZ270" i="4"/>
  <c r="BY270" i="4"/>
  <c r="BX270" i="4"/>
  <c r="BV270" i="4"/>
  <c r="BU270" i="4"/>
  <c r="BT270" i="4"/>
  <c r="BQ270" i="4"/>
  <c r="BP270" i="4"/>
  <c r="BO270" i="4"/>
  <c r="BN270" i="4"/>
  <c r="BM270" i="4"/>
  <c r="BL270" i="4"/>
  <c r="BK270" i="4"/>
  <c r="BJ270" i="4"/>
  <c r="BI270" i="4"/>
  <c r="BH270" i="4"/>
  <c r="BG270" i="4"/>
  <c r="BF270" i="4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CJ269" i="4"/>
  <c r="CI269" i="4"/>
  <c r="CH269" i="4"/>
  <c r="CG269" i="4"/>
  <c r="CF269" i="4"/>
  <c r="CE269" i="4"/>
  <c r="CD269" i="4"/>
  <c r="CC269" i="4"/>
  <c r="CB269" i="4"/>
  <c r="CA269" i="4"/>
  <c r="BZ269" i="4"/>
  <c r="BY269" i="4"/>
  <c r="BX269" i="4"/>
  <c r="BV269" i="4"/>
  <c r="BU269" i="4"/>
  <c r="BT269" i="4"/>
  <c r="BQ269" i="4"/>
  <c r="BP269" i="4"/>
  <c r="BO269" i="4"/>
  <c r="BN269" i="4"/>
  <c r="BM269" i="4"/>
  <c r="BL269" i="4"/>
  <c r="BK269" i="4"/>
  <c r="BJ269" i="4"/>
  <c r="BI269" i="4"/>
  <c r="BH269" i="4"/>
  <c r="BG269" i="4"/>
  <c r="BF269" i="4"/>
  <c r="BE269" i="4"/>
  <c r="BD269" i="4"/>
  <c r="BC269" i="4"/>
  <c r="BB269" i="4"/>
  <c r="BA269" i="4"/>
  <c r="AZ269" i="4"/>
  <c r="AY269" i="4"/>
  <c r="AX269" i="4"/>
  <c r="AW269" i="4"/>
  <c r="AV269" i="4"/>
  <c r="AU269" i="4"/>
  <c r="AT269" i="4"/>
  <c r="AS269" i="4"/>
  <c r="AR269" i="4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CJ268" i="4"/>
  <c r="CI268" i="4"/>
  <c r="CH268" i="4"/>
  <c r="CG268" i="4"/>
  <c r="CF268" i="4"/>
  <c r="CE268" i="4"/>
  <c r="CD268" i="4"/>
  <c r="CC268" i="4"/>
  <c r="CB268" i="4"/>
  <c r="CA268" i="4"/>
  <c r="BZ268" i="4"/>
  <c r="BY268" i="4"/>
  <c r="BX268" i="4"/>
  <c r="BV268" i="4"/>
  <c r="BU268" i="4"/>
  <c r="BT268" i="4"/>
  <c r="BQ268" i="4"/>
  <c r="BP268" i="4"/>
  <c r="BO268" i="4"/>
  <c r="BN268" i="4"/>
  <c r="BM268" i="4"/>
  <c r="BL268" i="4"/>
  <c r="BK268" i="4"/>
  <c r="BJ268" i="4"/>
  <c r="BI268" i="4"/>
  <c r="BH268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CJ267" i="4"/>
  <c r="CI267" i="4"/>
  <c r="CH267" i="4"/>
  <c r="CG267" i="4"/>
  <c r="CF267" i="4"/>
  <c r="CE267" i="4"/>
  <c r="CD267" i="4"/>
  <c r="CC267" i="4"/>
  <c r="CB267" i="4"/>
  <c r="CA267" i="4"/>
  <c r="BZ267" i="4"/>
  <c r="BY267" i="4"/>
  <c r="BX267" i="4"/>
  <c r="BV267" i="4"/>
  <c r="BU267" i="4"/>
  <c r="BT267" i="4"/>
  <c r="BQ267" i="4"/>
  <c r="BP267" i="4"/>
  <c r="BO267" i="4"/>
  <c r="BN267" i="4"/>
  <c r="BM267" i="4"/>
  <c r="BL267" i="4"/>
  <c r="BK267" i="4"/>
  <c r="BJ267" i="4"/>
  <c r="BI267" i="4"/>
  <c r="BH267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CJ266" i="4"/>
  <c r="CI266" i="4"/>
  <c r="CH266" i="4"/>
  <c r="CG266" i="4"/>
  <c r="CF266" i="4"/>
  <c r="CE266" i="4"/>
  <c r="CD266" i="4"/>
  <c r="CC266" i="4"/>
  <c r="CB266" i="4"/>
  <c r="CA266" i="4"/>
  <c r="BZ266" i="4"/>
  <c r="BY266" i="4"/>
  <c r="BX266" i="4"/>
  <c r="BV266" i="4"/>
  <c r="BU266" i="4"/>
  <c r="BT266" i="4"/>
  <c r="BQ266" i="4"/>
  <c r="BP266" i="4"/>
  <c r="BO266" i="4"/>
  <c r="BN266" i="4"/>
  <c r="BM266" i="4"/>
  <c r="BL266" i="4"/>
  <c r="BK266" i="4"/>
  <c r="BJ266" i="4"/>
  <c r="BI266" i="4"/>
  <c r="BH266" i="4"/>
  <c r="BG266" i="4"/>
  <c r="BF266" i="4"/>
  <c r="BE266" i="4"/>
  <c r="BD266" i="4"/>
  <c r="BC266" i="4"/>
  <c r="BB266" i="4"/>
  <c r="BA266" i="4"/>
  <c r="AZ266" i="4"/>
  <c r="AY266" i="4"/>
  <c r="AX266" i="4"/>
  <c r="AW266" i="4"/>
  <c r="AV266" i="4"/>
  <c r="AU266" i="4"/>
  <c r="AT266" i="4"/>
  <c r="AS266" i="4"/>
  <c r="AR266" i="4"/>
  <c r="AQ266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CJ265" i="4"/>
  <c r="CI265" i="4"/>
  <c r="CH265" i="4"/>
  <c r="CG265" i="4"/>
  <c r="CF265" i="4"/>
  <c r="CE265" i="4"/>
  <c r="CD265" i="4"/>
  <c r="CC265" i="4"/>
  <c r="CB265" i="4"/>
  <c r="CA265" i="4"/>
  <c r="BZ265" i="4"/>
  <c r="BY265" i="4"/>
  <c r="BX265" i="4"/>
  <c r="BV265" i="4"/>
  <c r="BU265" i="4"/>
  <c r="BT265" i="4"/>
  <c r="BQ265" i="4"/>
  <c r="BP265" i="4"/>
  <c r="BO265" i="4"/>
  <c r="BN265" i="4"/>
  <c r="BM265" i="4"/>
  <c r="BL265" i="4"/>
  <c r="BK265" i="4"/>
  <c r="BJ265" i="4"/>
  <c r="BI265" i="4"/>
  <c r="BH265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AU265" i="4"/>
  <c r="AT265" i="4"/>
  <c r="AS265" i="4"/>
  <c r="AR265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CJ264" i="4"/>
  <c r="CI264" i="4"/>
  <c r="CH264" i="4"/>
  <c r="CG264" i="4"/>
  <c r="CF264" i="4"/>
  <c r="CE264" i="4"/>
  <c r="CD264" i="4"/>
  <c r="CC264" i="4"/>
  <c r="CB264" i="4"/>
  <c r="CA264" i="4"/>
  <c r="BZ264" i="4"/>
  <c r="BY264" i="4"/>
  <c r="BX264" i="4"/>
  <c r="BV264" i="4"/>
  <c r="BU264" i="4"/>
  <c r="BT264" i="4"/>
  <c r="BQ264" i="4"/>
  <c r="BP264" i="4"/>
  <c r="BO264" i="4"/>
  <c r="BN264" i="4"/>
  <c r="BM264" i="4"/>
  <c r="BL264" i="4"/>
  <c r="BK264" i="4"/>
  <c r="BJ264" i="4"/>
  <c r="BI264" i="4"/>
  <c r="BH264" i="4"/>
  <c r="BG264" i="4"/>
  <c r="BF264" i="4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AS264" i="4"/>
  <c r="AR264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CJ263" i="4"/>
  <c r="CI263" i="4"/>
  <c r="CH263" i="4"/>
  <c r="CG263" i="4"/>
  <c r="CF263" i="4"/>
  <c r="CE263" i="4"/>
  <c r="CD263" i="4"/>
  <c r="CC263" i="4"/>
  <c r="CB263" i="4"/>
  <c r="CA263" i="4"/>
  <c r="BZ263" i="4"/>
  <c r="BY263" i="4"/>
  <c r="BX263" i="4"/>
  <c r="BW263" i="4"/>
  <c r="BV263" i="4"/>
  <c r="BU263" i="4"/>
  <c r="BT263" i="4"/>
  <c r="BP263" i="4"/>
  <c r="BO263" i="4"/>
  <c r="BN263" i="4"/>
  <c r="BM263" i="4"/>
  <c r="BL263" i="4"/>
  <c r="BK263" i="4"/>
  <c r="BJ263" i="4"/>
  <c r="BI263" i="4"/>
  <c r="BH263" i="4"/>
  <c r="BG263" i="4"/>
  <c r="BF263" i="4"/>
  <c r="BE263" i="4"/>
  <c r="BD263" i="4"/>
  <c r="BC263" i="4"/>
  <c r="BB263" i="4"/>
  <c r="BA263" i="4"/>
  <c r="AZ263" i="4"/>
  <c r="AY263" i="4"/>
  <c r="AX263" i="4"/>
  <c r="AW263" i="4"/>
  <c r="AV263" i="4"/>
  <c r="AU263" i="4"/>
  <c r="AT263" i="4"/>
  <c r="AS263" i="4"/>
  <c r="AR263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CJ262" i="4"/>
  <c r="CI262" i="4"/>
  <c r="CH262" i="4"/>
  <c r="CG262" i="4"/>
  <c r="CF262" i="4"/>
  <c r="CE262" i="4"/>
  <c r="CD262" i="4"/>
  <c r="CC262" i="4"/>
  <c r="CB262" i="4"/>
  <c r="CA262" i="4"/>
  <c r="BZ262" i="4"/>
  <c r="BY262" i="4"/>
  <c r="BX262" i="4"/>
  <c r="BW262" i="4"/>
  <c r="BV262" i="4"/>
  <c r="BU262" i="4"/>
  <c r="BT262" i="4"/>
  <c r="BP262" i="4"/>
  <c r="BO262" i="4"/>
  <c r="BN262" i="4"/>
  <c r="BM262" i="4"/>
  <c r="BL262" i="4"/>
  <c r="BK262" i="4"/>
  <c r="BJ262" i="4"/>
  <c r="BI262" i="4"/>
  <c r="BH262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AU262" i="4"/>
  <c r="AT262" i="4"/>
  <c r="AS262" i="4"/>
  <c r="AR262" i="4"/>
  <c r="AQ262" i="4"/>
  <c r="AP262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CJ261" i="4"/>
  <c r="CI261" i="4"/>
  <c r="CH261" i="4"/>
  <c r="CG261" i="4"/>
  <c r="CF261" i="4"/>
  <c r="CE261" i="4"/>
  <c r="CD261" i="4"/>
  <c r="CC261" i="4"/>
  <c r="CB261" i="4"/>
  <c r="CA261" i="4"/>
  <c r="BZ261" i="4"/>
  <c r="BY261" i="4"/>
  <c r="BX261" i="4"/>
  <c r="BW261" i="4"/>
  <c r="BV261" i="4"/>
  <c r="BU261" i="4"/>
  <c r="BT261" i="4"/>
  <c r="BP261" i="4"/>
  <c r="BO261" i="4"/>
  <c r="BN261" i="4"/>
  <c r="BM261" i="4"/>
  <c r="BL261" i="4"/>
  <c r="BK261" i="4"/>
  <c r="BJ261" i="4"/>
  <c r="BI261" i="4"/>
  <c r="BH261" i="4"/>
  <c r="BG261" i="4"/>
  <c r="BF261" i="4"/>
  <c r="BE261" i="4"/>
  <c r="BD261" i="4"/>
  <c r="BC261" i="4"/>
  <c r="BB261" i="4"/>
  <c r="BA261" i="4"/>
  <c r="AZ261" i="4"/>
  <c r="AY261" i="4"/>
  <c r="AX261" i="4"/>
  <c r="AW261" i="4"/>
  <c r="AV261" i="4"/>
  <c r="AU261" i="4"/>
  <c r="AT261" i="4"/>
  <c r="AS261" i="4"/>
  <c r="AR261" i="4"/>
  <c r="AQ261" i="4"/>
  <c r="AP261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CJ260" i="4"/>
  <c r="CI260" i="4"/>
  <c r="CH260" i="4"/>
  <c r="CG260" i="4"/>
  <c r="CF260" i="4"/>
  <c r="CE260" i="4"/>
  <c r="CD260" i="4"/>
  <c r="CC260" i="4"/>
  <c r="CB260" i="4"/>
  <c r="CA260" i="4"/>
  <c r="BZ260" i="4"/>
  <c r="BY260" i="4"/>
  <c r="BX260" i="4"/>
  <c r="BW260" i="4"/>
  <c r="BV260" i="4"/>
  <c r="BU260" i="4"/>
  <c r="BT260" i="4"/>
  <c r="BP260" i="4"/>
  <c r="BO260" i="4"/>
  <c r="BN260" i="4"/>
  <c r="BM260" i="4"/>
  <c r="BL260" i="4"/>
  <c r="BK260" i="4"/>
  <c r="BJ260" i="4"/>
  <c r="BI260" i="4"/>
  <c r="BH260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R260" i="4"/>
  <c r="AQ260" i="4"/>
  <c r="AP260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CJ259" i="4"/>
  <c r="CI259" i="4"/>
  <c r="CH259" i="4"/>
  <c r="CG259" i="4"/>
  <c r="CF259" i="4"/>
  <c r="CE259" i="4"/>
  <c r="CD259" i="4"/>
  <c r="CC259" i="4"/>
  <c r="CB259" i="4"/>
  <c r="CA259" i="4"/>
  <c r="BZ259" i="4"/>
  <c r="BY259" i="4"/>
  <c r="BX259" i="4"/>
  <c r="BW259" i="4"/>
  <c r="BV259" i="4"/>
  <c r="BU259" i="4"/>
  <c r="BT259" i="4"/>
  <c r="BP259" i="4"/>
  <c r="BO259" i="4"/>
  <c r="BN259" i="4"/>
  <c r="BM259" i="4"/>
  <c r="BL259" i="4"/>
  <c r="BK259" i="4"/>
  <c r="BJ259" i="4"/>
  <c r="BI259" i="4"/>
  <c r="BH259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CJ258" i="4"/>
  <c r="CI258" i="4"/>
  <c r="CH258" i="4"/>
  <c r="CG258" i="4"/>
  <c r="CF258" i="4"/>
  <c r="CE258" i="4"/>
  <c r="CD258" i="4"/>
  <c r="CC258" i="4"/>
  <c r="CB258" i="4"/>
  <c r="CA258" i="4"/>
  <c r="BZ258" i="4"/>
  <c r="BY258" i="4"/>
  <c r="BX258" i="4"/>
  <c r="BW258" i="4"/>
  <c r="BV258" i="4"/>
  <c r="BU258" i="4"/>
  <c r="BT258" i="4"/>
  <c r="BP258" i="4"/>
  <c r="BO258" i="4"/>
  <c r="BN258" i="4"/>
  <c r="BM258" i="4"/>
  <c r="BL258" i="4"/>
  <c r="BK258" i="4"/>
  <c r="BJ258" i="4"/>
  <c r="BI258" i="4"/>
  <c r="BH258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CJ257" i="4"/>
  <c r="CI257" i="4"/>
  <c r="CH257" i="4"/>
  <c r="CG257" i="4"/>
  <c r="CF257" i="4"/>
  <c r="CE257" i="4"/>
  <c r="CD257" i="4"/>
  <c r="CC257" i="4"/>
  <c r="CB257" i="4"/>
  <c r="CA257" i="4"/>
  <c r="BZ257" i="4"/>
  <c r="BY257" i="4"/>
  <c r="BX257" i="4"/>
  <c r="BW257" i="4"/>
  <c r="BV257" i="4"/>
  <c r="BU257" i="4"/>
  <c r="BT257" i="4"/>
  <c r="BP257" i="4"/>
  <c r="BO257" i="4"/>
  <c r="BN257" i="4"/>
  <c r="BM257" i="4"/>
  <c r="BL257" i="4"/>
  <c r="BK257" i="4"/>
  <c r="BJ257" i="4"/>
  <c r="BI257" i="4"/>
  <c r="BH257" i="4"/>
  <c r="BG257" i="4"/>
  <c r="BF257" i="4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/>
  <c r="AR257" i="4"/>
  <c r="AQ257" i="4"/>
  <c r="AP257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CJ256" i="4"/>
  <c r="CI256" i="4"/>
  <c r="CH256" i="4"/>
  <c r="CG256" i="4"/>
  <c r="CF256" i="4"/>
  <c r="CE256" i="4"/>
  <c r="CD256" i="4"/>
  <c r="CC256" i="4"/>
  <c r="CB256" i="4"/>
  <c r="CA256" i="4"/>
  <c r="BZ256" i="4"/>
  <c r="BY256" i="4"/>
  <c r="BX256" i="4"/>
  <c r="BW256" i="4"/>
  <c r="BV256" i="4"/>
  <c r="BU256" i="4"/>
  <c r="BT256" i="4"/>
  <c r="BP256" i="4"/>
  <c r="BO256" i="4"/>
  <c r="BN256" i="4"/>
  <c r="BM256" i="4"/>
  <c r="BL256" i="4"/>
  <c r="BK256" i="4"/>
  <c r="BJ256" i="4"/>
  <c r="BI256" i="4"/>
  <c r="BH256" i="4"/>
  <c r="BG256" i="4"/>
  <c r="BF256" i="4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256" i="4"/>
  <c r="CJ255" i="4"/>
  <c r="CI255" i="4"/>
  <c r="CH255" i="4"/>
  <c r="CG255" i="4"/>
  <c r="CF255" i="4"/>
  <c r="CE255" i="4"/>
  <c r="CD255" i="4"/>
  <c r="CC255" i="4"/>
  <c r="CB255" i="4"/>
  <c r="CA255" i="4"/>
  <c r="BZ255" i="4"/>
  <c r="BY255" i="4"/>
  <c r="BX255" i="4"/>
  <c r="BW255" i="4"/>
  <c r="BV255" i="4"/>
  <c r="BU255" i="4"/>
  <c r="BT255" i="4"/>
  <c r="BP255" i="4"/>
  <c r="BO255" i="4"/>
  <c r="BN255" i="4"/>
  <c r="BM255" i="4"/>
  <c r="BL255" i="4"/>
  <c r="BK255" i="4"/>
  <c r="BJ255" i="4"/>
  <c r="BI255" i="4"/>
  <c r="BH255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255" i="4"/>
  <c r="CJ254" i="4"/>
  <c r="CI254" i="4"/>
  <c r="CH254" i="4"/>
  <c r="CG254" i="4"/>
  <c r="CF254" i="4"/>
  <c r="CE254" i="4"/>
  <c r="CD254" i="4"/>
  <c r="CC254" i="4"/>
  <c r="CB254" i="4"/>
  <c r="CA254" i="4"/>
  <c r="BZ254" i="4"/>
  <c r="BY254" i="4"/>
  <c r="BX254" i="4"/>
  <c r="BW254" i="4"/>
  <c r="BV254" i="4"/>
  <c r="BU254" i="4"/>
  <c r="BT254" i="4"/>
  <c r="BP254" i="4"/>
  <c r="BO254" i="4"/>
  <c r="BN254" i="4"/>
  <c r="BM254" i="4"/>
  <c r="BL254" i="4"/>
  <c r="BK254" i="4"/>
  <c r="BJ254" i="4"/>
  <c r="BI254" i="4"/>
  <c r="BH254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AQ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CJ253" i="4"/>
  <c r="CI253" i="4"/>
  <c r="CH253" i="4"/>
  <c r="CG253" i="4"/>
  <c r="CF253" i="4"/>
  <c r="CE253" i="4"/>
  <c r="CD253" i="4"/>
  <c r="CC253" i="4"/>
  <c r="CB253" i="4"/>
  <c r="CA253" i="4"/>
  <c r="BZ253" i="4"/>
  <c r="BY253" i="4"/>
  <c r="BX253" i="4"/>
  <c r="BW253" i="4"/>
  <c r="BV253" i="4"/>
  <c r="BU253" i="4"/>
  <c r="BT253" i="4"/>
  <c r="BP253" i="4"/>
  <c r="BO253" i="4"/>
  <c r="BN253" i="4"/>
  <c r="BM253" i="4"/>
  <c r="BL253" i="4"/>
  <c r="BK253" i="4"/>
  <c r="BJ253" i="4"/>
  <c r="BI253" i="4"/>
  <c r="BH253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253" i="4"/>
  <c r="CJ252" i="4"/>
  <c r="CI252" i="4"/>
  <c r="CH252" i="4"/>
  <c r="CG252" i="4"/>
  <c r="CF252" i="4"/>
  <c r="CE252" i="4"/>
  <c r="CD252" i="4"/>
  <c r="CC252" i="4"/>
  <c r="CB252" i="4"/>
  <c r="CA252" i="4"/>
  <c r="BZ252" i="4"/>
  <c r="BY252" i="4"/>
  <c r="BX252" i="4"/>
  <c r="BW252" i="4"/>
  <c r="BV252" i="4"/>
  <c r="BU252" i="4"/>
  <c r="BT252" i="4"/>
  <c r="BP252" i="4"/>
  <c r="BO252" i="4"/>
  <c r="BN252" i="4"/>
  <c r="BM252" i="4"/>
  <c r="BL252" i="4"/>
  <c r="BK252" i="4"/>
  <c r="BJ252" i="4"/>
  <c r="BI252" i="4"/>
  <c r="BH252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CJ251" i="4"/>
  <c r="CI251" i="4"/>
  <c r="CH251" i="4"/>
  <c r="CG251" i="4"/>
  <c r="CF251" i="4"/>
  <c r="CE251" i="4"/>
  <c r="CD251" i="4"/>
  <c r="CC251" i="4"/>
  <c r="CB251" i="4"/>
  <c r="CA251" i="4"/>
  <c r="BZ251" i="4"/>
  <c r="BY251" i="4"/>
  <c r="BX251" i="4"/>
  <c r="BW251" i="4"/>
  <c r="BV251" i="4"/>
  <c r="BU251" i="4"/>
  <c r="BT251" i="4"/>
  <c r="BP251" i="4"/>
  <c r="BO251" i="4"/>
  <c r="BN251" i="4"/>
  <c r="BM251" i="4"/>
  <c r="BL251" i="4"/>
  <c r="BK251" i="4"/>
  <c r="BJ251" i="4"/>
  <c r="BI251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CJ250" i="4"/>
  <c r="CI250" i="4"/>
  <c r="CH250" i="4"/>
  <c r="CG250" i="4"/>
  <c r="CF250" i="4"/>
  <c r="CE250" i="4"/>
  <c r="CD250" i="4"/>
  <c r="CC250" i="4"/>
  <c r="CB250" i="4"/>
  <c r="CA250" i="4"/>
  <c r="BZ250" i="4"/>
  <c r="BY250" i="4"/>
  <c r="BX250" i="4"/>
  <c r="BW250" i="4"/>
  <c r="BV250" i="4"/>
  <c r="BU250" i="4"/>
  <c r="BT250" i="4"/>
  <c r="BP250" i="4"/>
  <c r="BO250" i="4"/>
  <c r="BN250" i="4"/>
  <c r="BM250" i="4"/>
  <c r="BL250" i="4"/>
  <c r="BK250" i="4"/>
  <c r="BJ250" i="4"/>
  <c r="BI250" i="4"/>
  <c r="BH250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CJ249" i="4"/>
  <c r="CI249" i="4"/>
  <c r="CH249" i="4"/>
  <c r="CG249" i="4"/>
  <c r="CF249" i="4"/>
  <c r="CE249" i="4"/>
  <c r="CD249" i="4"/>
  <c r="CC249" i="4"/>
  <c r="CB249" i="4"/>
  <c r="CA249" i="4"/>
  <c r="BZ249" i="4"/>
  <c r="BY249" i="4"/>
  <c r="BX249" i="4"/>
  <c r="BW249" i="4"/>
  <c r="BV249" i="4"/>
  <c r="BU249" i="4"/>
  <c r="BT249" i="4"/>
  <c r="BP249" i="4"/>
  <c r="BO249" i="4"/>
  <c r="BN249" i="4"/>
  <c r="BM249" i="4"/>
  <c r="BL249" i="4"/>
  <c r="BK249" i="4"/>
  <c r="BJ249" i="4"/>
  <c r="BI249" i="4"/>
  <c r="BH249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CJ248" i="4"/>
  <c r="CI248" i="4"/>
  <c r="CH248" i="4"/>
  <c r="CG248" i="4"/>
  <c r="CF248" i="4"/>
  <c r="CE248" i="4"/>
  <c r="CD248" i="4"/>
  <c r="CC248" i="4"/>
  <c r="CB248" i="4"/>
  <c r="CA248" i="4"/>
  <c r="BZ248" i="4"/>
  <c r="BY248" i="4"/>
  <c r="BX248" i="4"/>
  <c r="BW248" i="4"/>
  <c r="BV248" i="4"/>
  <c r="BU248" i="4"/>
  <c r="BT248" i="4"/>
  <c r="BP248" i="4"/>
  <c r="BO248" i="4"/>
  <c r="BN248" i="4"/>
  <c r="BM248" i="4"/>
  <c r="BL248" i="4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248" i="4"/>
  <c r="CJ247" i="4"/>
  <c r="CI247" i="4"/>
  <c r="CH247" i="4"/>
  <c r="CG247" i="4"/>
  <c r="CF247" i="4"/>
  <c r="CE247" i="4"/>
  <c r="CD247" i="4"/>
  <c r="CC247" i="4"/>
  <c r="CB247" i="4"/>
  <c r="CA247" i="4"/>
  <c r="BZ247" i="4"/>
  <c r="BY247" i="4"/>
  <c r="BX247" i="4"/>
  <c r="BW247" i="4"/>
  <c r="BV247" i="4"/>
  <c r="BU247" i="4"/>
  <c r="BT247" i="4"/>
  <c r="BP247" i="4"/>
  <c r="BO247" i="4"/>
  <c r="BN247" i="4"/>
  <c r="BM247" i="4"/>
  <c r="BL247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CJ246" i="4"/>
  <c r="CI246" i="4"/>
  <c r="CH246" i="4"/>
  <c r="CG246" i="4"/>
  <c r="CF246" i="4"/>
  <c r="CE246" i="4"/>
  <c r="CD246" i="4"/>
  <c r="CC246" i="4"/>
  <c r="CB246" i="4"/>
  <c r="CA246" i="4"/>
  <c r="BZ246" i="4"/>
  <c r="BY246" i="4"/>
  <c r="BX246" i="4"/>
  <c r="BW246" i="4"/>
  <c r="BV246" i="4"/>
  <c r="BU246" i="4"/>
  <c r="BT246" i="4"/>
  <c r="BP246" i="4"/>
  <c r="BO246" i="4"/>
  <c r="BN246" i="4"/>
  <c r="BM246" i="4"/>
  <c r="BL246" i="4"/>
  <c r="BK246" i="4"/>
  <c r="BJ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CJ245" i="4"/>
  <c r="CI245" i="4"/>
  <c r="CH245" i="4"/>
  <c r="CG245" i="4"/>
  <c r="CF245" i="4"/>
  <c r="CE245" i="4"/>
  <c r="CD245" i="4"/>
  <c r="CC245" i="4"/>
  <c r="CB245" i="4"/>
  <c r="CA245" i="4"/>
  <c r="BZ245" i="4"/>
  <c r="BY245" i="4"/>
  <c r="BX245" i="4"/>
  <c r="BW245" i="4"/>
  <c r="BV245" i="4"/>
  <c r="BU245" i="4"/>
  <c r="BT245" i="4"/>
  <c r="BP245" i="4"/>
  <c r="BO245" i="4"/>
  <c r="BN245" i="4"/>
  <c r="BM245" i="4"/>
  <c r="BL245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CJ244" i="4"/>
  <c r="CI244" i="4"/>
  <c r="CH244" i="4"/>
  <c r="CG244" i="4"/>
  <c r="CF244" i="4"/>
  <c r="CE244" i="4"/>
  <c r="CD244" i="4"/>
  <c r="CC244" i="4"/>
  <c r="CB244" i="4"/>
  <c r="CA244" i="4"/>
  <c r="BZ244" i="4"/>
  <c r="BY244" i="4"/>
  <c r="BX244" i="4"/>
  <c r="BW244" i="4"/>
  <c r="BV244" i="4"/>
  <c r="BU244" i="4"/>
  <c r="BT244" i="4"/>
  <c r="BP244" i="4"/>
  <c r="BO244" i="4"/>
  <c r="BN244" i="4"/>
  <c r="BM244" i="4"/>
  <c r="BL244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CJ243" i="4"/>
  <c r="CI243" i="4"/>
  <c r="CH243" i="4"/>
  <c r="CG243" i="4"/>
  <c r="CF243" i="4"/>
  <c r="CE243" i="4"/>
  <c r="CD243" i="4"/>
  <c r="CC243" i="4"/>
  <c r="CB243" i="4"/>
  <c r="CA243" i="4"/>
  <c r="BZ243" i="4"/>
  <c r="BY243" i="4"/>
  <c r="BX243" i="4"/>
  <c r="BW243" i="4"/>
  <c r="BV243" i="4"/>
  <c r="BU243" i="4"/>
  <c r="BT243" i="4"/>
  <c r="BP243" i="4"/>
  <c r="BO243" i="4"/>
  <c r="BN243" i="4"/>
  <c r="BM243" i="4"/>
  <c r="BL243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CJ242" i="4"/>
  <c r="CI242" i="4"/>
  <c r="CH242" i="4"/>
  <c r="CG242" i="4"/>
  <c r="CF242" i="4"/>
  <c r="CE242" i="4"/>
  <c r="CD242" i="4"/>
  <c r="CC242" i="4"/>
  <c r="CB242" i="4"/>
  <c r="CA242" i="4"/>
  <c r="BZ242" i="4"/>
  <c r="BY242" i="4"/>
  <c r="BX242" i="4"/>
  <c r="BW242" i="4"/>
  <c r="BV242" i="4"/>
  <c r="BU242" i="4"/>
  <c r="BT242" i="4"/>
  <c r="BP242" i="4"/>
  <c r="BO242" i="4"/>
  <c r="BN242" i="4"/>
  <c r="BM242" i="4"/>
  <c r="BL242" i="4"/>
  <c r="BK242" i="4"/>
  <c r="BJ242" i="4"/>
  <c r="BI242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CJ241" i="4"/>
  <c r="CI241" i="4"/>
  <c r="CH241" i="4"/>
  <c r="CG241" i="4"/>
  <c r="CF241" i="4"/>
  <c r="CE241" i="4"/>
  <c r="CD241" i="4"/>
  <c r="CC241" i="4"/>
  <c r="CB241" i="4"/>
  <c r="CA241" i="4"/>
  <c r="BZ241" i="4"/>
  <c r="BY241" i="4"/>
  <c r="BX241" i="4"/>
  <c r="BW241" i="4"/>
  <c r="BV241" i="4"/>
  <c r="BU241" i="4"/>
  <c r="BT241" i="4"/>
  <c r="BP241" i="4"/>
  <c r="BO241" i="4"/>
  <c r="BN241" i="4"/>
  <c r="BM241" i="4"/>
  <c r="BL241" i="4"/>
  <c r="BK241" i="4"/>
  <c r="BJ241" i="4"/>
  <c r="BI241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CJ240" i="4"/>
  <c r="CI240" i="4"/>
  <c r="CH240" i="4"/>
  <c r="CG240" i="4"/>
  <c r="CF240" i="4"/>
  <c r="CE240" i="4"/>
  <c r="CD240" i="4"/>
  <c r="CC240" i="4"/>
  <c r="CB240" i="4"/>
  <c r="CA240" i="4"/>
  <c r="BZ240" i="4"/>
  <c r="BY240" i="4"/>
  <c r="BX240" i="4"/>
  <c r="BW240" i="4"/>
  <c r="BV240" i="4"/>
  <c r="BU240" i="4"/>
  <c r="BT240" i="4"/>
  <c r="BP240" i="4"/>
  <c r="BO240" i="4"/>
  <c r="BN240" i="4"/>
  <c r="BM240" i="4"/>
  <c r="BL240" i="4"/>
  <c r="BK240" i="4"/>
  <c r="BJ240" i="4"/>
  <c r="BI240" i="4"/>
  <c r="BH240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CJ239" i="4"/>
  <c r="CI239" i="4"/>
  <c r="CH239" i="4"/>
  <c r="CG239" i="4"/>
  <c r="CF239" i="4"/>
  <c r="CE239" i="4"/>
  <c r="CD239" i="4"/>
  <c r="CC239" i="4"/>
  <c r="CB239" i="4"/>
  <c r="CA239" i="4"/>
  <c r="BZ239" i="4"/>
  <c r="BY239" i="4"/>
  <c r="BX239" i="4"/>
  <c r="BW239" i="4"/>
  <c r="BV239" i="4"/>
  <c r="BU239" i="4"/>
  <c r="BT239" i="4"/>
  <c r="BP239" i="4"/>
  <c r="BO239" i="4"/>
  <c r="BN239" i="4"/>
  <c r="BM239" i="4"/>
  <c r="BL239" i="4"/>
  <c r="BK239" i="4"/>
  <c r="BJ239" i="4"/>
  <c r="BI239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CJ238" i="4"/>
  <c r="CI238" i="4"/>
  <c r="CH238" i="4"/>
  <c r="CG238" i="4"/>
  <c r="CF238" i="4"/>
  <c r="CE238" i="4"/>
  <c r="CD238" i="4"/>
  <c r="CC238" i="4"/>
  <c r="CB238" i="4"/>
  <c r="CA238" i="4"/>
  <c r="BZ238" i="4"/>
  <c r="BY238" i="4"/>
  <c r="BX238" i="4"/>
  <c r="BW238" i="4"/>
  <c r="BV238" i="4"/>
  <c r="BU238" i="4"/>
  <c r="BT238" i="4"/>
  <c r="BP238" i="4"/>
  <c r="BO238" i="4"/>
  <c r="BN238" i="4"/>
  <c r="BM238" i="4"/>
  <c r="BL238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CJ237" i="4"/>
  <c r="CI237" i="4"/>
  <c r="CH237" i="4"/>
  <c r="CG237" i="4"/>
  <c r="CF237" i="4"/>
  <c r="CE237" i="4"/>
  <c r="CD237" i="4"/>
  <c r="CC237" i="4"/>
  <c r="CB237" i="4"/>
  <c r="CA237" i="4"/>
  <c r="BZ237" i="4"/>
  <c r="BY237" i="4"/>
  <c r="BX237" i="4"/>
  <c r="BW237" i="4"/>
  <c r="BV237" i="4"/>
  <c r="BU237" i="4"/>
  <c r="BT237" i="4"/>
  <c r="BP237" i="4"/>
  <c r="BO237" i="4"/>
  <c r="BN237" i="4"/>
  <c r="BM237" i="4"/>
  <c r="BL237" i="4"/>
  <c r="BK237" i="4"/>
  <c r="BJ237" i="4"/>
  <c r="BI237" i="4"/>
  <c r="BH237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CJ236" i="4"/>
  <c r="CI236" i="4"/>
  <c r="CH236" i="4"/>
  <c r="CG236" i="4"/>
  <c r="CF236" i="4"/>
  <c r="CE236" i="4"/>
  <c r="CD236" i="4"/>
  <c r="CC236" i="4"/>
  <c r="CB236" i="4"/>
  <c r="CA236" i="4"/>
  <c r="BZ236" i="4"/>
  <c r="BY236" i="4"/>
  <c r="BX236" i="4"/>
  <c r="BW236" i="4"/>
  <c r="BV236" i="4"/>
  <c r="BU236" i="4"/>
  <c r="BT236" i="4"/>
  <c r="BP236" i="4"/>
  <c r="BO236" i="4"/>
  <c r="BN236" i="4"/>
  <c r="BM236" i="4"/>
  <c r="BL236" i="4"/>
  <c r="BK236" i="4"/>
  <c r="BJ236" i="4"/>
  <c r="BI236" i="4"/>
  <c r="BH236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CJ235" i="4"/>
  <c r="CI235" i="4"/>
  <c r="CH235" i="4"/>
  <c r="CG235" i="4"/>
  <c r="CF235" i="4"/>
  <c r="CE235" i="4"/>
  <c r="CD235" i="4"/>
  <c r="CC235" i="4"/>
  <c r="CB235" i="4"/>
  <c r="CA235" i="4"/>
  <c r="BZ235" i="4"/>
  <c r="BY235" i="4"/>
  <c r="BX235" i="4"/>
  <c r="BW235" i="4"/>
  <c r="BV235" i="4"/>
  <c r="BU235" i="4"/>
  <c r="BT235" i="4"/>
  <c r="BP235" i="4"/>
  <c r="BO235" i="4"/>
  <c r="BN235" i="4"/>
  <c r="BM235" i="4"/>
  <c r="BL235" i="4"/>
  <c r="BK235" i="4"/>
  <c r="BJ235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CJ234" i="4"/>
  <c r="CI234" i="4"/>
  <c r="CH234" i="4"/>
  <c r="CG234" i="4"/>
  <c r="CF234" i="4"/>
  <c r="CE234" i="4"/>
  <c r="CD234" i="4"/>
  <c r="CC234" i="4"/>
  <c r="CB234" i="4"/>
  <c r="CA234" i="4"/>
  <c r="BZ234" i="4"/>
  <c r="BY234" i="4"/>
  <c r="BX234" i="4"/>
  <c r="BW234" i="4"/>
  <c r="BV234" i="4"/>
  <c r="BU234" i="4"/>
  <c r="BT234" i="4"/>
  <c r="BP234" i="4"/>
  <c r="BO234" i="4"/>
  <c r="BN234" i="4"/>
  <c r="BM234" i="4"/>
  <c r="BL234" i="4"/>
  <c r="BK234" i="4"/>
  <c r="BJ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CJ233" i="4"/>
  <c r="CI233" i="4"/>
  <c r="CH233" i="4"/>
  <c r="CG233" i="4"/>
  <c r="CF233" i="4"/>
  <c r="CE233" i="4"/>
  <c r="CD233" i="4"/>
  <c r="CC233" i="4"/>
  <c r="CB233" i="4"/>
  <c r="CA233" i="4"/>
  <c r="BZ233" i="4"/>
  <c r="BY233" i="4"/>
  <c r="BX233" i="4"/>
  <c r="BW233" i="4"/>
  <c r="BV233" i="4"/>
  <c r="BU233" i="4"/>
  <c r="BT233" i="4"/>
  <c r="BP233" i="4"/>
  <c r="BO233" i="4"/>
  <c r="BN233" i="4"/>
  <c r="BM233" i="4"/>
  <c r="BL233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CJ232" i="4"/>
  <c r="CI232" i="4"/>
  <c r="CH232" i="4"/>
  <c r="CG232" i="4"/>
  <c r="CF232" i="4"/>
  <c r="CE232" i="4"/>
  <c r="CD232" i="4"/>
  <c r="CC232" i="4"/>
  <c r="CB232" i="4"/>
  <c r="CA232" i="4"/>
  <c r="BZ232" i="4"/>
  <c r="BY232" i="4"/>
  <c r="BX232" i="4"/>
  <c r="BW232" i="4"/>
  <c r="BV232" i="4"/>
  <c r="BU232" i="4"/>
  <c r="BT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CJ231" i="4"/>
  <c r="CI231" i="4"/>
  <c r="CH231" i="4"/>
  <c r="CG231" i="4"/>
  <c r="CF231" i="4"/>
  <c r="CE231" i="4"/>
  <c r="CD231" i="4"/>
  <c r="CC231" i="4"/>
  <c r="CB231" i="4"/>
  <c r="CA231" i="4"/>
  <c r="BZ231" i="4"/>
  <c r="BY231" i="4"/>
  <c r="BX231" i="4"/>
  <c r="BW231" i="4"/>
  <c r="BV231" i="4"/>
  <c r="BU231" i="4"/>
  <c r="BT231" i="4"/>
  <c r="BP231" i="4"/>
  <c r="BO231" i="4"/>
  <c r="BN231" i="4"/>
  <c r="BM231" i="4"/>
  <c r="BL231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CJ230" i="4"/>
  <c r="CI230" i="4"/>
  <c r="CH230" i="4"/>
  <c r="CG230" i="4"/>
  <c r="CF230" i="4"/>
  <c r="CE230" i="4"/>
  <c r="CD230" i="4"/>
  <c r="CC230" i="4"/>
  <c r="CB230" i="4"/>
  <c r="CA230" i="4"/>
  <c r="BZ230" i="4"/>
  <c r="BY230" i="4"/>
  <c r="BX230" i="4"/>
  <c r="BW230" i="4"/>
  <c r="BV230" i="4"/>
  <c r="BU230" i="4"/>
  <c r="BT230" i="4"/>
  <c r="BP230" i="4"/>
  <c r="BO230" i="4"/>
  <c r="BN230" i="4"/>
  <c r="BM230" i="4"/>
  <c r="BL230" i="4"/>
  <c r="BK230" i="4"/>
  <c r="BJ230" i="4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CJ229" i="4"/>
  <c r="CI229" i="4"/>
  <c r="CH229" i="4"/>
  <c r="CG229" i="4"/>
  <c r="CF229" i="4"/>
  <c r="CE229" i="4"/>
  <c r="CD229" i="4"/>
  <c r="CC229" i="4"/>
  <c r="CB229" i="4"/>
  <c r="CA229" i="4"/>
  <c r="BZ229" i="4"/>
  <c r="BY229" i="4"/>
  <c r="BX229" i="4"/>
  <c r="BW229" i="4"/>
  <c r="BV229" i="4"/>
  <c r="BU229" i="4"/>
  <c r="BT229" i="4"/>
  <c r="BP229" i="4"/>
  <c r="BO229" i="4"/>
  <c r="BN229" i="4"/>
  <c r="BM229" i="4"/>
  <c r="BL229" i="4"/>
  <c r="BK229" i="4"/>
  <c r="BJ229" i="4"/>
  <c r="BI229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CJ228" i="4"/>
  <c r="CI228" i="4"/>
  <c r="CH228" i="4"/>
  <c r="CG228" i="4"/>
  <c r="CF228" i="4"/>
  <c r="CE228" i="4"/>
  <c r="CD228" i="4"/>
  <c r="CC228" i="4"/>
  <c r="CB228" i="4"/>
  <c r="CA228" i="4"/>
  <c r="BZ228" i="4"/>
  <c r="BY228" i="4"/>
  <c r="BX228" i="4"/>
  <c r="BW228" i="4"/>
  <c r="BV228" i="4"/>
  <c r="BU228" i="4"/>
  <c r="BT228" i="4"/>
  <c r="BP228" i="4"/>
  <c r="BO228" i="4"/>
  <c r="BN228" i="4"/>
  <c r="BM228" i="4"/>
  <c r="BL228" i="4"/>
  <c r="BK228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CJ227" i="4"/>
  <c r="CI227" i="4"/>
  <c r="CH227" i="4"/>
  <c r="CG227" i="4"/>
  <c r="CF227" i="4"/>
  <c r="CE227" i="4"/>
  <c r="CD227" i="4"/>
  <c r="CC227" i="4"/>
  <c r="CB227" i="4"/>
  <c r="CA227" i="4"/>
  <c r="BZ227" i="4"/>
  <c r="BY227" i="4"/>
  <c r="BX227" i="4"/>
  <c r="BW227" i="4"/>
  <c r="BV227" i="4"/>
  <c r="BU227" i="4"/>
  <c r="BT227" i="4"/>
  <c r="BP227" i="4"/>
  <c r="BO227" i="4"/>
  <c r="BN227" i="4"/>
  <c r="BM227" i="4"/>
  <c r="BL227" i="4"/>
  <c r="BK227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CJ226" i="4"/>
  <c r="CI226" i="4"/>
  <c r="CH226" i="4"/>
  <c r="CG226" i="4"/>
  <c r="CF226" i="4"/>
  <c r="CE226" i="4"/>
  <c r="CD226" i="4"/>
  <c r="CC226" i="4"/>
  <c r="CB226" i="4"/>
  <c r="CA226" i="4"/>
  <c r="BZ226" i="4"/>
  <c r="BY226" i="4"/>
  <c r="BX226" i="4"/>
  <c r="BW226" i="4"/>
  <c r="BV226" i="4"/>
  <c r="BU226" i="4"/>
  <c r="BT226" i="4"/>
  <c r="BP226" i="4"/>
  <c r="BO226" i="4"/>
  <c r="BN226" i="4"/>
  <c r="BM226" i="4"/>
  <c r="BL226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CJ225" i="4"/>
  <c r="CI225" i="4"/>
  <c r="CH225" i="4"/>
  <c r="CG225" i="4"/>
  <c r="CF225" i="4"/>
  <c r="CE225" i="4"/>
  <c r="CD225" i="4"/>
  <c r="CC225" i="4"/>
  <c r="CB225" i="4"/>
  <c r="CA225" i="4"/>
  <c r="BZ225" i="4"/>
  <c r="BY225" i="4"/>
  <c r="BX225" i="4"/>
  <c r="BW225" i="4"/>
  <c r="BV225" i="4"/>
  <c r="BU225" i="4"/>
  <c r="BT225" i="4"/>
  <c r="BP225" i="4"/>
  <c r="BO225" i="4"/>
  <c r="BN225" i="4"/>
  <c r="BM225" i="4"/>
  <c r="BL225" i="4"/>
  <c r="BK225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CJ224" i="4"/>
  <c r="CI224" i="4"/>
  <c r="CH224" i="4"/>
  <c r="CG224" i="4"/>
  <c r="CF224" i="4"/>
  <c r="CE224" i="4"/>
  <c r="CD224" i="4"/>
  <c r="CC224" i="4"/>
  <c r="CB224" i="4"/>
  <c r="CA224" i="4"/>
  <c r="BZ224" i="4"/>
  <c r="BY224" i="4"/>
  <c r="BX224" i="4"/>
  <c r="BW224" i="4"/>
  <c r="BV224" i="4"/>
  <c r="BU224" i="4"/>
  <c r="BT224" i="4"/>
  <c r="BP224" i="4"/>
  <c r="BO224" i="4"/>
  <c r="BN224" i="4"/>
  <c r="BM224" i="4"/>
  <c r="BL224" i="4"/>
  <c r="BK224" i="4"/>
  <c r="BJ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CJ223" i="4"/>
  <c r="CI223" i="4"/>
  <c r="CH223" i="4"/>
  <c r="CG223" i="4"/>
  <c r="CF223" i="4"/>
  <c r="CE223" i="4"/>
  <c r="CD223" i="4"/>
  <c r="CC223" i="4"/>
  <c r="CB223" i="4"/>
  <c r="CA223" i="4"/>
  <c r="BZ223" i="4"/>
  <c r="BY223" i="4"/>
  <c r="BX223" i="4"/>
  <c r="BW223" i="4"/>
  <c r="BV223" i="4"/>
  <c r="BU223" i="4"/>
  <c r="BT223" i="4"/>
  <c r="BP223" i="4"/>
  <c r="BO223" i="4"/>
  <c r="BN223" i="4"/>
  <c r="BM223" i="4"/>
  <c r="BL223" i="4"/>
  <c r="BK223" i="4"/>
  <c r="BJ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CJ222" i="4"/>
  <c r="CI222" i="4"/>
  <c r="CH222" i="4"/>
  <c r="CG222" i="4"/>
  <c r="CF222" i="4"/>
  <c r="CE222" i="4"/>
  <c r="CD222" i="4"/>
  <c r="CC222" i="4"/>
  <c r="CB222" i="4"/>
  <c r="CA222" i="4"/>
  <c r="BZ222" i="4"/>
  <c r="BY222" i="4"/>
  <c r="BX222" i="4"/>
  <c r="BW222" i="4"/>
  <c r="BV222" i="4"/>
  <c r="BU222" i="4"/>
  <c r="BT222" i="4"/>
  <c r="BP222" i="4"/>
  <c r="BO222" i="4"/>
  <c r="BN222" i="4"/>
  <c r="BM222" i="4"/>
  <c r="BL222" i="4"/>
  <c r="BK222" i="4"/>
  <c r="BJ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222" i="4"/>
  <c r="CJ221" i="4"/>
  <c r="CI221" i="4"/>
  <c r="CH221" i="4"/>
  <c r="CG221" i="4"/>
  <c r="CF221" i="4"/>
  <c r="CE221" i="4"/>
  <c r="CD221" i="4"/>
  <c r="CC221" i="4"/>
  <c r="CB221" i="4"/>
  <c r="CA221" i="4"/>
  <c r="BZ221" i="4"/>
  <c r="BY221" i="4"/>
  <c r="BX221" i="4"/>
  <c r="BW221" i="4"/>
  <c r="BV221" i="4"/>
  <c r="BU221" i="4"/>
  <c r="BT221" i="4"/>
  <c r="BP221" i="4"/>
  <c r="BO221" i="4"/>
  <c r="BN221" i="4"/>
  <c r="BM221" i="4"/>
  <c r="BL221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CJ220" i="4"/>
  <c r="CI220" i="4"/>
  <c r="CH220" i="4"/>
  <c r="CG220" i="4"/>
  <c r="CF220" i="4"/>
  <c r="CE220" i="4"/>
  <c r="CD220" i="4"/>
  <c r="CC220" i="4"/>
  <c r="CB220" i="4"/>
  <c r="CA220" i="4"/>
  <c r="BZ220" i="4"/>
  <c r="BY220" i="4"/>
  <c r="BX220" i="4"/>
  <c r="BW220" i="4"/>
  <c r="BV220" i="4"/>
  <c r="BU220" i="4"/>
  <c r="BT220" i="4"/>
  <c r="BP220" i="4"/>
  <c r="BO220" i="4"/>
  <c r="BN220" i="4"/>
  <c r="BM220" i="4"/>
  <c r="BL220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220" i="4"/>
  <c r="CJ219" i="4"/>
  <c r="CI219" i="4"/>
  <c r="CH219" i="4"/>
  <c r="CG219" i="4"/>
  <c r="CF219" i="4"/>
  <c r="CE219" i="4"/>
  <c r="CD219" i="4"/>
  <c r="CC219" i="4"/>
  <c r="CB219" i="4"/>
  <c r="CA219" i="4"/>
  <c r="BZ219" i="4"/>
  <c r="BY219" i="4"/>
  <c r="BX219" i="4"/>
  <c r="BW219" i="4"/>
  <c r="BV219" i="4"/>
  <c r="BU219" i="4"/>
  <c r="BT219" i="4"/>
  <c r="BP219" i="4"/>
  <c r="BO219" i="4"/>
  <c r="BN219" i="4"/>
  <c r="BM219" i="4"/>
  <c r="BL219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219" i="4"/>
  <c r="CJ218" i="4"/>
  <c r="CI218" i="4"/>
  <c r="CH218" i="4"/>
  <c r="CG218" i="4"/>
  <c r="CF218" i="4"/>
  <c r="CE218" i="4"/>
  <c r="CD218" i="4"/>
  <c r="CC218" i="4"/>
  <c r="CB218" i="4"/>
  <c r="CA218" i="4"/>
  <c r="BZ218" i="4"/>
  <c r="BY218" i="4"/>
  <c r="BX218" i="4"/>
  <c r="BW218" i="4"/>
  <c r="BV218" i="4"/>
  <c r="BU218" i="4"/>
  <c r="BT218" i="4"/>
  <c r="BP218" i="4"/>
  <c r="BO218" i="4"/>
  <c r="BN218" i="4"/>
  <c r="BM218" i="4"/>
  <c r="BL218" i="4"/>
  <c r="BK218" i="4"/>
  <c r="BJ218" i="4"/>
  <c r="BI218" i="4"/>
  <c r="BH218" i="4"/>
  <c r="BG218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CJ217" i="4"/>
  <c r="CI217" i="4"/>
  <c r="CH217" i="4"/>
  <c r="CG217" i="4"/>
  <c r="CF217" i="4"/>
  <c r="CE217" i="4"/>
  <c r="CD217" i="4"/>
  <c r="CC217" i="4"/>
  <c r="CB217" i="4"/>
  <c r="CA217" i="4"/>
  <c r="BZ217" i="4"/>
  <c r="BY217" i="4"/>
  <c r="BX217" i="4"/>
  <c r="BW217" i="4"/>
  <c r="BV217" i="4"/>
  <c r="BU217" i="4"/>
  <c r="BT217" i="4"/>
  <c r="BP217" i="4"/>
  <c r="BO217" i="4"/>
  <c r="BN217" i="4"/>
  <c r="BM217" i="4"/>
  <c r="BL217" i="4"/>
  <c r="BK217" i="4"/>
  <c r="BJ217" i="4"/>
  <c r="BI217" i="4"/>
  <c r="BH217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CJ216" i="4"/>
  <c r="CI216" i="4"/>
  <c r="CH216" i="4"/>
  <c r="CG216" i="4"/>
  <c r="CF216" i="4"/>
  <c r="CE216" i="4"/>
  <c r="CD216" i="4"/>
  <c r="CC216" i="4"/>
  <c r="CB216" i="4"/>
  <c r="CA216" i="4"/>
  <c r="BZ216" i="4"/>
  <c r="BY216" i="4"/>
  <c r="BX216" i="4"/>
  <c r="BW216" i="4"/>
  <c r="BV216" i="4"/>
  <c r="BU216" i="4"/>
  <c r="BT216" i="4"/>
  <c r="BP216" i="4"/>
  <c r="BO216" i="4"/>
  <c r="BN216" i="4"/>
  <c r="BM216" i="4"/>
  <c r="BL216" i="4"/>
  <c r="BK216" i="4"/>
  <c r="BJ216" i="4"/>
  <c r="BI216" i="4"/>
  <c r="BH216" i="4"/>
  <c r="BG216" i="4"/>
  <c r="BF216" i="4"/>
  <c r="BE216" i="4"/>
  <c r="BD216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CJ215" i="4"/>
  <c r="CI215" i="4"/>
  <c r="CH215" i="4"/>
  <c r="CG215" i="4"/>
  <c r="CF215" i="4"/>
  <c r="CE215" i="4"/>
  <c r="CD215" i="4"/>
  <c r="CC215" i="4"/>
  <c r="CB215" i="4"/>
  <c r="CA215" i="4"/>
  <c r="BZ215" i="4"/>
  <c r="BY215" i="4"/>
  <c r="BX215" i="4"/>
  <c r="BW215" i="4"/>
  <c r="BV215" i="4"/>
  <c r="BU215" i="4"/>
  <c r="BT215" i="4"/>
  <c r="BP215" i="4"/>
  <c r="BO215" i="4"/>
  <c r="BN215" i="4"/>
  <c r="BM215" i="4"/>
  <c r="BL215" i="4"/>
  <c r="BK215" i="4"/>
  <c r="BJ215" i="4"/>
  <c r="BI215" i="4"/>
  <c r="BH215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CJ214" i="4"/>
  <c r="CI214" i="4"/>
  <c r="CH214" i="4"/>
  <c r="CG214" i="4"/>
  <c r="CF214" i="4"/>
  <c r="CE214" i="4"/>
  <c r="CD214" i="4"/>
  <c r="CC214" i="4"/>
  <c r="CB214" i="4"/>
  <c r="CA214" i="4"/>
  <c r="BZ214" i="4"/>
  <c r="BY214" i="4"/>
  <c r="BX214" i="4"/>
  <c r="BW214" i="4"/>
  <c r="BV214" i="4"/>
  <c r="BU214" i="4"/>
  <c r="BT214" i="4"/>
  <c r="BP214" i="4"/>
  <c r="BO214" i="4"/>
  <c r="BN214" i="4"/>
  <c r="BM214" i="4"/>
  <c r="BL214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CJ213" i="4"/>
  <c r="CI213" i="4"/>
  <c r="CH213" i="4"/>
  <c r="CG213" i="4"/>
  <c r="CF213" i="4"/>
  <c r="CE213" i="4"/>
  <c r="CD213" i="4"/>
  <c r="CC213" i="4"/>
  <c r="CB213" i="4"/>
  <c r="CA213" i="4"/>
  <c r="BZ213" i="4"/>
  <c r="BY213" i="4"/>
  <c r="BX213" i="4"/>
  <c r="BW213" i="4"/>
  <c r="BV213" i="4"/>
  <c r="BU213" i="4"/>
  <c r="BT213" i="4"/>
  <c r="BP213" i="4"/>
  <c r="BO213" i="4"/>
  <c r="BN213" i="4"/>
  <c r="BM213" i="4"/>
  <c r="BL213" i="4"/>
  <c r="BK213" i="4"/>
  <c r="BJ213" i="4"/>
  <c r="BI213" i="4"/>
  <c r="BH213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CJ212" i="4"/>
  <c r="CI212" i="4"/>
  <c r="CH212" i="4"/>
  <c r="CG212" i="4"/>
  <c r="CF212" i="4"/>
  <c r="CE212" i="4"/>
  <c r="CD212" i="4"/>
  <c r="CC212" i="4"/>
  <c r="CB212" i="4"/>
  <c r="CA212" i="4"/>
  <c r="BZ212" i="4"/>
  <c r="BY212" i="4"/>
  <c r="BX212" i="4"/>
  <c r="BW212" i="4"/>
  <c r="BV212" i="4"/>
  <c r="BU212" i="4"/>
  <c r="BT212" i="4"/>
  <c r="BP212" i="4"/>
  <c r="BO212" i="4"/>
  <c r="BN212" i="4"/>
  <c r="BM212" i="4"/>
  <c r="BL212" i="4"/>
  <c r="BK212" i="4"/>
  <c r="BJ212" i="4"/>
  <c r="BI212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CJ211" i="4"/>
  <c r="CI211" i="4"/>
  <c r="CH211" i="4"/>
  <c r="CG211" i="4"/>
  <c r="CF211" i="4"/>
  <c r="CE211" i="4"/>
  <c r="CD211" i="4"/>
  <c r="CC211" i="4"/>
  <c r="CB211" i="4"/>
  <c r="CA211" i="4"/>
  <c r="BZ211" i="4"/>
  <c r="BY211" i="4"/>
  <c r="BX211" i="4"/>
  <c r="BW211" i="4"/>
  <c r="BV211" i="4"/>
  <c r="BU211" i="4"/>
  <c r="BT211" i="4"/>
  <c r="BP211" i="4"/>
  <c r="BO211" i="4"/>
  <c r="BN211" i="4"/>
  <c r="BM211" i="4"/>
  <c r="BL211" i="4"/>
  <c r="BK211" i="4"/>
  <c r="BJ211" i="4"/>
  <c r="BI211" i="4"/>
  <c r="BH211" i="4"/>
  <c r="BG211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CJ210" i="4"/>
  <c r="CI210" i="4"/>
  <c r="CH210" i="4"/>
  <c r="CG210" i="4"/>
  <c r="CF210" i="4"/>
  <c r="CE210" i="4"/>
  <c r="CD210" i="4"/>
  <c r="CC210" i="4"/>
  <c r="CB210" i="4"/>
  <c r="CA210" i="4"/>
  <c r="BZ210" i="4"/>
  <c r="BY210" i="4"/>
  <c r="BX210" i="4"/>
  <c r="BW210" i="4"/>
  <c r="BV210" i="4"/>
  <c r="BU210" i="4"/>
  <c r="BT210" i="4"/>
  <c r="BP210" i="4"/>
  <c r="BO210" i="4"/>
  <c r="BN210" i="4"/>
  <c r="BM210" i="4"/>
  <c r="BL210" i="4"/>
  <c r="BK210" i="4"/>
  <c r="BJ210" i="4"/>
  <c r="BI210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CJ209" i="4"/>
  <c r="CI209" i="4"/>
  <c r="CH209" i="4"/>
  <c r="CG209" i="4"/>
  <c r="CF209" i="4"/>
  <c r="CE209" i="4"/>
  <c r="CD209" i="4"/>
  <c r="CC209" i="4"/>
  <c r="CB209" i="4"/>
  <c r="CA209" i="4"/>
  <c r="BZ209" i="4"/>
  <c r="BY209" i="4"/>
  <c r="BX209" i="4"/>
  <c r="BW209" i="4"/>
  <c r="BV209" i="4"/>
  <c r="BU209" i="4"/>
  <c r="BT209" i="4"/>
  <c r="BP209" i="4"/>
  <c r="BO209" i="4"/>
  <c r="BN209" i="4"/>
  <c r="BM209" i="4"/>
  <c r="BL209" i="4"/>
  <c r="BK209" i="4"/>
  <c r="BJ209" i="4"/>
  <c r="BI209" i="4"/>
  <c r="BH209" i="4"/>
  <c r="BG209" i="4"/>
  <c r="BF209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CJ208" i="4"/>
  <c r="CI208" i="4"/>
  <c r="CH208" i="4"/>
  <c r="CG208" i="4"/>
  <c r="CF208" i="4"/>
  <c r="CE208" i="4"/>
  <c r="CD208" i="4"/>
  <c r="CC208" i="4"/>
  <c r="CB208" i="4"/>
  <c r="CA208" i="4"/>
  <c r="BZ208" i="4"/>
  <c r="BY208" i="4"/>
  <c r="BX208" i="4"/>
  <c r="BW208" i="4"/>
  <c r="BV208" i="4"/>
  <c r="BU208" i="4"/>
  <c r="BT208" i="4"/>
  <c r="BP208" i="4"/>
  <c r="BO208" i="4"/>
  <c r="BN208" i="4"/>
  <c r="BM208" i="4"/>
  <c r="BL208" i="4"/>
  <c r="BK208" i="4"/>
  <c r="BJ208" i="4"/>
  <c r="BI208" i="4"/>
  <c r="BH208" i="4"/>
  <c r="BG208" i="4"/>
  <c r="BF208" i="4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CJ207" i="4"/>
  <c r="CI207" i="4"/>
  <c r="CH207" i="4"/>
  <c r="CG207" i="4"/>
  <c r="CF207" i="4"/>
  <c r="CE207" i="4"/>
  <c r="CD207" i="4"/>
  <c r="CC207" i="4"/>
  <c r="CB207" i="4"/>
  <c r="CA207" i="4"/>
  <c r="BZ207" i="4"/>
  <c r="BY207" i="4"/>
  <c r="BX207" i="4"/>
  <c r="BW207" i="4"/>
  <c r="BV207" i="4"/>
  <c r="BU207" i="4"/>
  <c r="BT207" i="4"/>
  <c r="BP207" i="4"/>
  <c r="BO207" i="4"/>
  <c r="BN207" i="4"/>
  <c r="BM207" i="4"/>
  <c r="BL207" i="4"/>
  <c r="BK207" i="4"/>
  <c r="BJ207" i="4"/>
  <c r="BI207" i="4"/>
  <c r="BH207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CJ206" i="4"/>
  <c r="CI206" i="4"/>
  <c r="CH206" i="4"/>
  <c r="CG206" i="4"/>
  <c r="CF206" i="4"/>
  <c r="CE206" i="4"/>
  <c r="CD206" i="4"/>
  <c r="CC206" i="4"/>
  <c r="CB206" i="4"/>
  <c r="CA206" i="4"/>
  <c r="BZ206" i="4"/>
  <c r="BY206" i="4"/>
  <c r="BX206" i="4"/>
  <c r="BW206" i="4"/>
  <c r="BV206" i="4"/>
  <c r="BU206" i="4"/>
  <c r="BT206" i="4"/>
  <c r="BP206" i="4"/>
  <c r="BO206" i="4"/>
  <c r="BN206" i="4"/>
  <c r="BM206" i="4"/>
  <c r="BL206" i="4"/>
  <c r="BK206" i="4"/>
  <c r="BJ206" i="4"/>
  <c r="BI206" i="4"/>
  <c r="BH206" i="4"/>
  <c r="BG206" i="4"/>
  <c r="BF206" i="4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CJ205" i="4"/>
  <c r="CI205" i="4"/>
  <c r="CH205" i="4"/>
  <c r="CG205" i="4"/>
  <c r="CF205" i="4"/>
  <c r="CE205" i="4"/>
  <c r="CD205" i="4"/>
  <c r="CC205" i="4"/>
  <c r="CB205" i="4"/>
  <c r="CA205" i="4"/>
  <c r="BZ205" i="4"/>
  <c r="BY205" i="4"/>
  <c r="BX205" i="4"/>
  <c r="BW205" i="4"/>
  <c r="BV205" i="4"/>
  <c r="BU205" i="4"/>
  <c r="BT205" i="4"/>
  <c r="BP205" i="4"/>
  <c r="BO205" i="4"/>
  <c r="BN205" i="4"/>
  <c r="BM205" i="4"/>
  <c r="BL205" i="4"/>
  <c r="BK205" i="4"/>
  <c r="BJ205" i="4"/>
  <c r="BI205" i="4"/>
  <c r="BH205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CJ204" i="4"/>
  <c r="CI204" i="4"/>
  <c r="CH204" i="4"/>
  <c r="CG204" i="4"/>
  <c r="CF204" i="4"/>
  <c r="CE204" i="4"/>
  <c r="CD204" i="4"/>
  <c r="CC204" i="4"/>
  <c r="CB204" i="4"/>
  <c r="CA204" i="4"/>
  <c r="BZ204" i="4"/>
  <c r="BY204" i="4"/>
  <c r="BX204" i="4"/>
  <c r="BW204" i="4"/>
  <c r="BV204" i="4"/>
  <c r="BU204" i="4"/>
  <c r="BT204" i="4"/>
  <c r="BP204" i="4"/>
  <c r="BO204" i="4"/>
  <c r="BN204" i="4"/>
  <c r="BM204" i="4"/>
  <c r="BL204" i="4"/>
  <c r="BK204" i="4"/>
  <c r="BJ204" i="4"/>
  <c r="BI204" i="4"/>
  <c r="BH204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CJ203" i="4"/>
  <c r="CI203" i="4"/>
  <c r="CH203" i="4"/>
  <c r="CG203" i="4"/>
  <c r="CF203" i="4"/>
  <c r="CE203" i="4"/>
  <c r="CD203" i="4"/>
  <c r="CC203" i="4"/>
  <c r="CB203" i="4"/>
  <c r="CA203" i="4"/>
  <c r="BZ203" i="4"/>
  <c r="BY203" i="4"/>
  <c r="BX203" i="4"/>
  <c r="BW203" i="4"/>
  <c r="BV203" i="4"/>
  <c r="BU203" i="4"/>
  <c r="BT203" i="4"/>
  <c r="BP203" i="4"/>
  <c r="BO203" i="4"/>
  <c r="BN203" i="4"/>
  <c r="BM203" i="4"/>
  <c r="BL203" i="4"/>
  <c r="BK203" i="4"/>
  <c r="BJ203" i="4"/>
  <c r="BI203" i="4"/>
  <c r="BH203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CJ202" i="4"/>
  <c r="CI202" i="4"/>
  <c r="CH202" i="4"/>
  <c r="CG202" i="4"/>
  <c r="CF202" i="4"/>
  <c r="CE202" i="4"/>
  <c r="CD202" i="4"/>
  <c r="CC202" i="4"/>
  <c r="CB202" i="4"/>
  <c r="CA202" i="4"/>
  <c r="BZ202" i="4"/>
  <c r="BY202" i="4"/>
  <c r="BX202" i="4"/>
  <c r="BW202" i="4"/>
  <c r="BV202" i="4"/>
  <c r="BU202" i="4"/>
  <c r="BT202" i="4"/>
  <c r="BP202" i="4"/>
  <c r="BO202" i="4"/>
  <c r="BN202" i="4"/>
  <c r="BM202" i="4"/>
  <c r="BL202" i="4"/>
  <c r="BK202" i="4"/>
  <c r="BJ202" i="4"/>
  <c r="BI202" i="4"/>
  <c r="BH202" i="4"/>
  <c r="BG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CJ201" i="4"/>
  <c r="CI201" i="4"/>
  <c r="CH201" i="4"/>
  <c r="CG201" i="4"/>
  <c r="CF201" i="4"/>
  <c r="CE201" i="4"/>
  <c r="CD201" i="4"/>
  <c r="CC201" i="4"/>
  <c r="CB201" i="4"/>
  <c r="CA201" i="4"/>
  <c r="BZ201" i="4"/>
  <c r="BY201" i="4"/>
  <c r="BX201" i="4"/>
  <c r="BW201" i="4"/>
  <c r="BV201" i="4"/>
  <c r="BU201" i="4"/>
  <c r="BT201" i="4"/>
  <c r="BP201" i="4"/>
  <c r="BO201" i="4"/>
  <c r="BN201" i="4"/>
  <c r="BM201" i="4"/>
  <c r="BL201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CJ200" i="4"/>
  <c r="CI200" i="4"/>
  <c r="CH200" i="4"/>
  <c r="CG200" i="4"/>
  <c r="CF200" i="4"/>
  <c r="CE200" i="4"/>
  <c r="CD200" i="4"/>
  <c r="CC200" i="4"/>
  <c r="CB200" i="4"/>
  <c r="CA200" i="4"/>
  <c r="BZ200" i="4"/>
  <c r="BY200" i="4"/>
  <c r="BX200" i="4"/>
  <c r="BW200" i="4"/>
  <c r="BV200" i="4"/>
  <c r="BU200" i="4"/>
  <c r="BT200" i="4"/>
  <c r="BP200" i="4"/>
  <c r="BO200" i="4"/>
  <c r="BN200" i="4"/>
  <c r="BM200" i="4"/>
  <c r="BL200" i="4"/>
  <c r="BK200" i="4"/>
  <c r="BJ200" i="4"/>
  <c r="BI200" i="4"/>
  <c r="BH200" i="4"/>
  <c r="BG200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CJ199" i="4"/>
  <c r="CI199" i="4"/>
  <c r="CH199" i="4"/>
  <c r="CG199" i="4"/>
  <c r="CF199" i="4"/>
  <c r="CE199" i="4"/>
  <c r="CD199" i="4"/>
  <c r="CC199" i="4"/>
  <c r="CB199" i="4"/>
  <c r="CA199" i="4"/>
  <c r="BZ199" i="4"/>
  <c r="BY199" i="4"/>
  <c r="BX199" i="4"/>
  <c r="BW199" i="4"/>
  <c r="BV199" i="4"/>
  <c r="BU199" i="4"/>
  <c r="BT199" i="4"/>
  <c r="BP199" i="4"/>
  <c r="BO199" i="4"/>
  <c r="BN199" i="4"/>
  <c r="BM199" i="4"/>
  <c r="BL199" i="4"/>
  <c r="BK199" i="4"/>
  <c r="BJ199" i="4"/>
  <c r="BI199" i="4"/>
  <c r="BH199" i="4"/>
  <c r="BG199" i="4"/>
  <c r="BF199" i="4"/>
  <c r="BE199" i="4"/>
  <c r="BD199" i="4"/>
  <c r="BC199" i="4"/>
  <c r="BB199" i="4"/>
  <c r="BA199" i="4"/>
  <c r="AZ199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CJ198" i="4"/>
  <c r="CI198" i="4"/>
  <c r="CH198" i="4"/>
  <c r="CG198" i="4"/>
  <c r="CF198" i="4"/>
  <c r="CE198" i="4"/>
  <c r="CD198" i="4"/>
  <c r="CC198" i="4"/>
  <c r="CB198" i="4"/>
  <c r="CA198" i="4"/>
  <c r="BZ198" i="4"/>
  <c r="BY198" i="4"/>
  <c r="BX198" i="4"/>
  <c r="BW198" i="4"/>
  <c r="BV198" i="4"/>
  <c r="BU198" i="4"/>
  <c r="BT198" i="4"/>
  <c r="BP198" i="4"/>
  <c r="BO198" i="4"/>
  <c r="BN198" i="4"/>
  <c r="BM198" i="4"/>
  <c r="BL198" i="4"/>
  <c r="BK198" i="4"/>
  <c r="BJ198" i="4"/>
  <c r="BI198" i="4"/>
  <c r="BH198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CJ197" i="4"/>
  <c r="CI197" i="4"/>
  <c r="CH197" i="4"/>
  <c r="CG197" i="4"/>
  <c r="CF197" i="4"/>
  <c r="CE197" i="4"/>
  <c r="CD197" i="4"/>
  <c r="CC197" i="4"/>
  <c r="CB197" i="4"/>
  <c r="CA197" i="4"/>
  <c r="BZ197" i="4"/>
  <c r="BY197" i="4"/>
  <c r="BX197" i="4"/>
  <c r="BW197" i="4"/>
  <c r="BV197" i="4"/>
  <c r="BU197" i="4"/>
  <c r="BT197" i="4"/>
  <c r="BP197" i="4"/>
  <c r="BO197" i="4"/>
  <c r="BN197" i="4"/>
  <c r="BM197" i="4"/>
  <c r="BL197" i="4"/>
  <c r="BK197" i="4"/>
  <c r="BJ197" i="4"/>
  <c r="BI197" i="4"/>
  <c r="BH197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CJ196" i="4"/>
  <c r="CI196" i="4"/>
  <c r="CH196" i="4"/>
  <c r="CG196" i="4"/>
  <c r="CF196" i="4"/>
  <c r="CE196" i="4"/>
  <c r="CD196" i="4"/>
  <c r="CC196" i="4"/>
  <c r="CB196" i="4"/>
  <c r="CA196" i="4"/>
  <c r="BZ196" i="4"/>
  <c r="BY196" i="4"/>
  <c r="BX196" i="4"/>
  <c r="BW196" i="4"/>
  <c r="BV196" i="4"/>
  <c r="BU196" i="4"/>
  <c r="BT196" i="4"/>
  <c r="BP196" i="4"/>
  <c r="BO196" i="4"/>
  <c r="BN196" i="4"/>
  <c r="BM196" i="4"/>
  <c r="BL196" i="4"/>
  <c r="BK196" i="4"/>
  <c r="BJ196" i="4"/>
  <c r="BI196" i="4"/>
  <c r="BH196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CJ195" i="4"/>
  <c r="CI195" i="4"/>
  <c r="CH195" i="4"/>
  <c r="CG195" i="4"/>
  <c r="CF195" i="4"/>
  <c r="CE195" i="4"/>
  <c r="CD195" i="4"/>
  <c r="CC195" i="4"/>
  <c r="CB195" i="4"/>
  <c r="CA195" i="4"/>
  <c r="BZ195" i="4"/>
  <c r="BY195" i="4"/>
  <c r="BX195" i="4"/>
  <c r="BW195" i="4"/>
  <c r="BV195" i="4"/>
  <c r="BU195" i="4"/>
  <c r="BT195" i="4"/>
  <c r="BP195" i="4"/>
  <c r="BO195" i="4"/>
  <c r="BN195" i="4"/>
  <c r="BM195" i="4"/>
  <c r="BL195" i="4"/>
  <c r="BK195" i="4"/>
  <c r="BJ195" i="4"/>
  <c r="BI195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CJ194" i="4"/>
  <c r="CI194" i="4"/>
  <c r="CH194" i="4"/>
  <c r="CG194" i="4"/>
  <c r="CF194" i="4"/>
  <c r="CE194" i="4"/>
  <c r="CD194" i="4"/>
  <c r="CC194" i="4"/>
  <c r="CB194" i="4"/>
  <c r="CA194" i="4"/>
  <c r="BZ194" i="4"/>
  <c r="BY194" i="4"/>
  <c r="BX194" i="4"/>
  <c r="BW194" i="4"/>
  <c r="BV194" i="4"/>
  <c r="BU194" i="4"/>
  <c r="BT194" i="4"/>
  <c r="BP194" i="4"/>
  <c r="BO194" i="4"/>
  <c r="BN194" i="4"/>
  <c r="BM194" i="4"/>
  <c r="BL194" i="4"/>
  <c r="BK194" i="4"/>
  <c r="BJ194" i="4"/>
  <c r="BI194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CJ193" i="4"/>
  <c r="CI193" i="4"/>
  <c r="CH193" i="4"/>
  <c r="CG193" i="4"/>
  <c r="CF193" i="4"/>
  <c r="CE193" i="4"/>
  <c r="CD193" i="4"/>
  <c r="CC193" i="4"/>
  <c r="CB193" i="4"/>
  <c r="CA193" i="4"/>
  <c r="BZ193" i="4"/>
  <c r="BY193" i="4"/>
  <c r="BX193" i="4"/>
  <c r="BW193" i="4"/>
  <c r="BV193" i="4"/>
  <c r="BU193" i="4"/>
  <c r="BT193" i="4"/>
  <c r="BP193" i="4"/>
  <c r="BO193" i="4"/>
  <c r="BN193" i="4"/>
  <c r="BM193" i="4"/>
  <c r="BL193" i="4"/>
  <c r="BK193" i="4"/>
  <c r="BJ193" i="4"/>
  <c r="BI193" i="4"/>
  <c r="BH193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CJ192" i="4"/>
  <c r="CI192" i="4"/>
  <c r="CH192" i="4"/>
  <c r="CG192" i="4"/>
  <c r="CF192" i="4"/>
  <c r="CE192" i="4"/>
  <c r="CD192" i="4"/>
  <c r="CC192" i="4"/>
  <c r="CB192" i="4"/>
  <c r="CA192" i="4"/>
  <c r="BZ192" i="4"/>
  <c r="BY192" i="4"/>
  <c r="BX192" i="4"/>
  <c r="BW192" i="4"/>
  <c r="BV192" i="4"/>
  <c r="BU192" i="4"/>
  <c r="BT192" i="4"/>
  <c r="BP192" i="4"/>
  <c r="BO192" i="4"/>
  <c r="BN192" i="4"/>
  <c r="BM192" i="4"/>
  <c r="BL192" i="4"/>
  <c r="BK192" i="4"/>
  <c r="BJ192" i="4"/>
  <c r="BI192" i="4"/>
  <c r="BH192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CJ191" i="4"/>
  <c r="CI191" i="4"/>
  <c r="CH191" i="4"/>
  <c r="CG191" i="4"/>
  <c r="CF191" i="4"/>
  <c r="CE191" i="4"/>
  <c r="CD191" i="4"/>
  <c r="CC191" i="4"/>
  <c r="CB191" i="4"/>
  <c r="CA191" i="4"/>
  <c r="BZ191" i="4"/>
  <c r="BY191" i="4"/>
  <c r="BX191" i="4"/>
  <c r="BW191" i="4"/>
  <c r="BV191" i="4"/>
  <c r="BU191" i="4"/>
  <c r="BT191" i="4"/>
  <c r="BP191" i="4"/>
  <c r="BO191" i="4"/>
  <c r="BN191" i="4"/>
  <c r="BM191" i="4"/>
  <c r="BL191" i="4"/>
  <c r="BK191" i="4"/>
  <c r="BJ191" i="4"/>
  <c r="BI191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CJ190" i="4"/>
  <c r="CI190" i="4"/>
  <c r="CH190" i="4"/>
  <c r="CG190" i="4"/>
  <c r="CF190" i="4"/>
  <c r="CE190" i="4"/>
  <c r="CD190" i="4"/>
  <c r="CC190" i="4"/>
  <c r="CB190" i="4"/>
  <c r="CA190" i="4"/>
  <c r="BZ190" i="4"/>
  <c r="BY190" i="4"/>
  <c r="BX190" i="4"/>
  <c r="BW190" i="4"/>
  <c r="BV190" i="4"/>
  <c r="BU190" i="4"/>
  <c r="BT190" i="4"/>
  <c r="BP190" i="4"/>
  <c r="BO190" i="4"/>
  <c r="BN190" i="4"/>
  <c r="BM190" i="4"/>
  <c r="BL190" i="4"/>
  <c r="BK190" i="4"/>
  <c r="BJ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CJ189" i="4"/>
  <c r="CI189" i="4"/>
  <c r="CH189" i="4"/>
  <c r="CG189" i="4"/>
  <c r="CF189" i="4"/>
  <c r="CE189" i="4"/>
  <c r="CD189" i="4"/>
  <c r="CC189" i="4"/>
  <c r="CB189" i="4"/>
  <c r="CA189" i="4"/>
  <c r="BZ189" i="4"/>
  <c r="BY189" i="4"/>
  <c r="BX189" i="4"/>
  <c r="BW189" i="4"/>
  <c r="BV189" i="4"/>
  <c r="BU189" i="4"/>
  <c r="BT189" i="4"/>
  <c r="BP189" i="4"/>
  <c r="BO189" i="4"/>
  <c r="BN189" i="4"/>
  <c r="BM189" i="4"/>
  <c r="BL189" i="4"/>
  <c r="BK189" i="4"/>
  <c r="BJ189" i="4"/>
  <c r="BI189" i="4"/>
  <c r="BH189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CJ188" i="4"/>
  <c r="CI188" i="4"/>
  <c r="CH188" i="4"/>
  <c r="CG188" i="4"/>
  <c r="CF188" i="4"/>
  <c r="CE188" i="4"/>
  <c r="CD188" i="4"/>
  <c r="CC188" i="4"/>
  <c r="CB188" i="4"/>
  <c r="CA188" i="4"/>
  <c r="BZ188" i="4"/>
  <c r="BY188" i="4"/>
  <c r="BX188" i="4"/>
  <c r="BW188" i="4"/>
  <c r="BV188" i="4"/>
  <c r="BU188" i="4"/>
  <c r="BT188" i="4"/>
  <c r="BP188" i="4"/>
  <c r="BO188" i="4"/>
  <c r="BN188" i="4"/>
  <c r="BM188" i="4"/>
  <c r="BL188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CJ187" i="4"/>
  <c r="CI187" i="4"/>
  <c r="CH187" i="4"/>
  <c r="CG187" i="4"/>
  <c r="CF187" i="4"/>
  <c r="CE187" i="4"/>
  <c r="CD187" i="4"/>
  <c r="CC187" i="4"/>
  <c r="CB187" i="4"/>
  <c r="CA187" i="4"/>
  <c r="BZ187" i="4"/>
  <c r="BY187" i="4"/>
  <c r="BX187" i="4"/>
  <c r="BW187" i="4"/>
  <c r="BV187" i="4"/>
  <c r="BU187" i="4"/>
  <c r="BT187" i="4"/>
  <c r="BP187" i="4"/>
  <c r="BO187" i="4"/>
  <c r="BN187" i="4"/>
  <c r="BM187" i="4"/>
  <c r="BL187" i="4"/>
  <c r="BK187" i="4"/>
  <c r="BJ187" i="4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CJ186" i="4"/>
  <c r="CI186" i="4"/>
  <c r="CH186" i="4"/>
  <c r="CG186" i="4"/>
  <c r="CF186" i="4"/>
  <c r="CE186" i="4"/>
  <c r="CD186" i="4"/>
  <c r="CC186" i="4"/>
  <c r="CB186" i="4"/>
  <c r="CA186" i="4"/>
  <c r="BZ186" i="4"/>
  <c r="BY186" i="4"/>
  <c r="BX186" i="4"/>
  <c r="BW186" i="4"/>
  <c r="BV186" i="4"/>
  <c r="BU186" i="4"/>
  <c r="BT186" i="4"/>
  <c r="BP186" i="4"/>
  <c r="BO186" i="4"/>
  <c r="BN186" i="4"/>
  <c r="BM186" i="4"/>
  <c r="BL186" i="4"/>
  <c r="BK186" i="4"/>
  <c r="BJ186" i="4"/>
  <c r="BI186" i="4"/>
  <c r="BH186" i="4"/>
  <c r="BG186" i="4"/>
  <c r="BF186" i="4"/>
  <c r="BE186" i="4"/>
  <c r="BD186" i="4"/>
  <c r="BC186" i="4"/>
  <c r="BB186" i="4"/>
  <c r="BA186" i="4"/>
  <c r="AZ186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CJ185" i="4"/>
  <c r="CI185" i="4"/>
  <c r="CH185" i="4"/>
  <c r="CG185" i="4"/>
  <c r="CF185" i="4"/>
  <c r="CE185" i="4"/>
  <c r="CD185" i="4"/>
  <c r="CC185" i="4"/>
  <c r="CB185" i="4"/>
  <c r="CA185" i="4"/>
  <c r="BZ185" i="4"/>
  <c r="BY185" i="4"/>
  <c r="BX185" i="4"/>
  <c r="BW185" i="4"/>
  <c r="BV185" i="4"/>
  <c r="BU185" i="4"/>
  <c r="BT185" i="4"/>
  <c r="BP185" i="4"/>
  <c r="BO185" i="4"/>
  <c r="BN185" i="4"/>
  <c r="BM185" i="4"/>
  <c r="BL185" i="4"/>
  <c r="BK185" i="4"/>
  <c r="BJ185" i="4"/>
  <c r="BI185" i="4"/>
  <c r="BH185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CJ184" i="4"/>
  <c r="CI184" i="4"/>
  <c r="CH184" i="4"/>
  <c r="CG184" i="4"/>
  <c r="CF184" i="4"/>
  <c r="CE184" i="4"/>
  <c r="CD184" i="4"/>
  <c r="CC184" i="4"/>
  <c r="CB184" i="4"/>
  <c r="CA184" i="4"/>
  <c r="BZ184" i="4"/>
  <c r="BY184" i="4"/>
  <c r="BX184" i="4"/>
  <c r="BW184" i="4"/>
  <c r="BV184" i="4"/>
  <c r="BU184" i="4"/>
  <c r="BT184" i="4"/>
  <c r="BP184" i="4"/>
  <c r="BO184" i="4"/>
  <c r="BN184" i="4"/>
  <c r="BM184" i="4"/>
  <c r="BL184" i="4"/>
  <c r="BK184" i="4"/>
  <c r="BJ184" i="4"/>
  <c r="BI184" i="4"/>
  <c r="BH184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CJ183" i="4"/>
  <c r="CI183" i="4"/>
  <c r="CH183" i="4"/>
  <c r="CG183" i="4"/>
  <c r="CF183" i="4"/>
  <c r="CE183" i="4"/>
  <c r="CD183" i="4"/>
  <c r="CC183" i="4"/>
  <c r="CB183" i="4"/>
  <c r="CA183" i="4"/>
  <c r="BZ183" i="4"/>
  <c r="BY183" i="4"/>
  <c r="BX183" i="4"/>
  <c r="BW183" i="4"/>
  <c r="BV183" i="4"/>
  <c r="BU183" i="4"/>
  <c r="BT183" i="4"/>
  <c r="BP183" i="4"/>
  <c r="BO183" i="4"/>
  <c r="BN183" i="4"/>
  <c r="BM183" i="4"/>
  <c r="BL183" i="4"/>
  <c r="BK183" i="4"/>
  <c r="BJ183" i="4"/>
  <c r="BI183" i="4"/>
  <c r="BH183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CJ182" i="4"/>
  <c r="CI182" i="4"/>
  <c r="CH182" i="4"/>
  <c r="CG182" i="4"/>
  <c r="CF182" i="4"/>
  <c r="CE182" i="4"/>
  <c r="CD182" i="4"/>
  <c r="CC182" i="4"/>
  <c r="CB182" i="4"/>
  <c r="CA182" i="4"/>
  <c r="BZ182" i="4"/>
  <c r="BY182" i="4"/>
  <c r="BX182" i="4"/>
  <c r="BW182" i="4"/>
  <c r="BV182" i="4"/>
  <c r="BU182" i="4"/>
  <c r="BT182" i="4"/>
  <c r="BP182" i="4"/>
  <c r="BO182" i="4"/>
  <c r="BN182" i="4"/>
  <c r="BM182" i="4"/>
  <c r="BL182" i="4"/>
  <c r="BK182" i="4"/>
  <c r="BJ182" i="4"/>
  <c r="BI182" i="4"/>
  <c r="BH182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CJ181" i="4"/>
  <c r="CI181" i="4"/>
  <c r="CH181" i="4"/>
  <c r="CG181" i="4"/>
  <c r="CF181" i="4"/>
  <c r="CE181" i="4"/>
  <c r="CD181" i="4"/>
  <c r="CC181" i="4"/>
  <c r="CB181" i="4"/>
  <c r="CA181" i="4"/>
  <c r="BZ181" i="4"/>
  <c r="BY181" i="4"/>
  <c r="BX181" i="4"/>
  <c r="BW181" i="4"/>
  <c r="BV181" i="4"/>
  <c r="BU181" i="4"/>
  <c r="BT181" i="4"/>
  <c r="BP181" i="4"/>
  <c r="BO181" i="4"/>
  <c r="BN181" i="4"/>
  <c r="BM181" i="4"/>
  <c r="BL181" i="4"/>
  <c r="BK181" i="4"/>
  <c r="BJ181" i="4"/>
  <c r="BI181" i="4"/>
  <c r="BH181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CJ180" i="4"/>
  <c r="CI180" i="4"/>
  <c r="CH180" i="4"/>
  <c r="CG180" i="4"/>
  <c r="CF180" i="4"/>
  <c r="CE180" i="4"/>
  <c r="CD180" i="4"/>
  <c r="CC180" i="4"/>
  <c r="CB180" i="4"/>
  <c r="CA180" i="4"/>
  <c r="BZ180" i="4"/>
  <c r="BY180" i="4"/>
  <c r="BX180" i="4"/>
  <c r="BW180" i="4"/>
  <c r="BV180" i="4"/>
  <c r="BU180" i="4"/>
  <c r="BT180" i="4"/>
  <c r="BP180" i="4"/>
  <c r="BO180" i="4"/>
  <c r="BN180" i="4"/>
  <c r="BM180" i="4"/>
  <c r="BL180" i="4"/>
  <c r="BK180" i="4"/>
  <c r="BJ180" i="4"/>
  <c r="BI180" i="4"/>
  <c r="BH180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CJ179" i="4"/>
  <c r="CI179" i="4"/>
  <c r="CH179" i="4"/>
  <c r="CG179" i="4"/>
  <c r="CF179" i="4"/>
  <c r="CE179" i="4"/>
  <c r="CD179" i="4"/>
  <c r="CC179" i="4"/>
  <c r="CB179" i="4"/>
  <c r="CA179" i="4"/>
  <c r="BZ179" i="4"/>
  <c r="BY179" i="4"/>
  <c r="BX179" i="4"/>
  <c r="BW179" i="4"/>
  <c r="BV179" i="4"/>
  <c r="BU179" i="4"/>
  <c r="BT179" i="4"/>
  <c r="BP179" i="4"/>
  <c r="BO179" i="4"/>
  <c r="BN179" i="4"/>
  <c r="BM179" i="4"/>
  <c r="BL179" i="4"/>
  <c r="BK179" i="4"/>
  <c r="BJ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CJ178" i="4"/>
  <c r="CI178" i="4"/>
  <c r="CH178" i="4"/>
  <c r="CG178" i="4"/>
  <c r="CF178" i="4"/>
  <c r="CE178" i="4"/>
  <c r="CD178" i="4"/>
  <c r="CC178" i="4"/>
  <c r="CB178" i="4"/>
  <c r="CA178" i="4"/>
  <c r="BZ178" i="4"/>
  <c r="BY178" i="4"/>
  <c r="BX178" i="4"/>
  <c r="BW178" i="4"/>
  <c r="BV178" i="4"/>
  <c r="BU178" i="4"/>
  <c r="BT178" i="4"/>
  <c r="BP178" i="4"/>
  <c r="BO178" i="4"/>
  <c r="BN178" i="4"/>
  <c r="BM178" i="4"/>
  <c r="BL178" i="4"/>
  <c r="BK178" i="4"/>
  <c r="BJ178" i="4"/>
  <c r="BI178" i="4"/>
  <c r="BH178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CJ177" i="4"/>
  <c r="CI177" i="4"/>
  <c r="CH177" i="4"/>
  <c r="CG177" i="4"/>
  <c r="CF177" i="4"/>
  <c r="CE177" i="4"/>
  <c r="CD177" i="4"/>
  <c r="CC177" i="4"/>
  <c r="CB177" i="4"/>
  <c r="CA177" i="4"/>
  <c r="BZ177" i="4"/>
  <c r="BY177" i="4"/>
  <c r="BX177" i="4"/>
  <c r="BW177" i="4"/>
  <c r="BV177" i="4"/>
  <c r="BU177" i="4"/>
  <c r="BT177" i="4"/>
  <c r="BP177" i="4"/>
  <c r="BO177" i="4"/>
  <c r="BN177" i="4"/>
  <c r="BM177" i="4"/>
  <c r="BL177" i="4"/>
  <c r="BK177" i="4"/>
  <c r="BJ177" i="4"/>
  <c r="BI177" i="4"/>
  <c r="BH177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CJ176" i="4"/>
  <c r="CI176" i="4"/>
  <c r="CH176" i="4"/>
  <c r="CG176" i="4"/>
  <c r="CF176" i="4"/>
  <c r="CE176" i="4"/>
  <c r="CD176" i="4"/>
  <c r="CC176" i="4"/>
  <c r="CB176" i="4"/>
  <c r="CA176" i="4"/>
  <c r="BZ176" i="4"/>
  <c r="BY176" i="4"/>
  <c r="BX176" i="4"/>
  <c r="BW176" i="4"/>
  <c r="BV176" i="4"/>
  <c r="BU176" i="4"/>
  <c r="BT176" i="4"/>
  <c r="BP176" i="4"/>
  <c r="BO176" i="4"/>
  <c r="BN176" i="4"/>
  <c r="BM176" i="4"/>
  <c r="BL176" i="4"/>
  <c r="BK176" i="4"/>
  <c r="BJ176" i="4"/>
  <c r="BI176" i="4"/>
  <c r="BH176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CJ175" i="4"/>
  <c r="CI175" i="4"/>
  <c r="CH175" i="4"/>
  <c r="CG175" i="4"/>
  <c r="CF175" i="4"/>
  <c r="CE175" i="4"/>
  <c r="CD175" i="4"/>
  <c r="CC175" i="4"/>
  <c r="CB175" i="4"/>
  <c r="CA175" i="4"/>
  <c r="BZ175" i="4"/>
  <c r="BY175" i="4"/>
  <c r="BX175" i="4"/>
  <c r="BW175" i="4"/>
  <c r="BV175" i="4"/>
  <c r="BU175" i="4"/>
  <c r="BT175" i="4"/>
  <c r="BP175" i="4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CJ174" i="4"/>
  <c r="CI174" i="4"/>
  <c r="CH174" i="4"/>
  <c r="CG174" i="4"/>
  <c r="CF174" i="4"/>
  <c r="CE174" i="4"/>
  <c r="CD174" i="4"/>
  <c r="CC174" i="4"/>
  <c r="CB174" i="4"/>
  <c r="CA174" i="4"/>
  <c r="BZ174" i="4"/>
  <c r="BY174" i="4"/>
  <c r="BX174" i="4"/>
  <c r="BW174" i="4"/>
  <c r="BV174" i="4"/>
  <c r="BU174" i="4"/>
  <c r="BT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CJ173" i="4"/>
  <c r="CI173" i="4"/>
  <c r="CH173" i="4"/>
  <c r="CG173" i="4"/>
  <c r="CF173" i="4"/>
  <c r="CE173" i="4"/>
  <c r="CD173" i="4"/>
  <c r="CC173" i="4"/>
  <c r="CB173" i="4"/>
  <c r="CA173" i="4"/>
  <c r="BZ173" i="4"/>
  <c r="BY173" i="4"/>
  <c r="BX173" i="4"/>
  <c r="BW173" i="4"/>
  <c r="BV173" i="4"/>
  <c r="BU173" i="4"/>
  <c r="BT173" i="4"/>
  <c r="BP173" i="4"/>
  <c r="BO173" i="4"/>
  <c r="BN173" i="4"/>
  <c r="BM173" i="4"/>
  <c r="BL173" i="4"/>
  <c r="BK173" i="4"/>
  <c r="BJ173" i="4"/>
  <c r="BI173" i="4"/>
  <c r="BH173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CJ172" i="4"/>
  <c r="CI172" i="4"/>
  <c r="CH172" i="4"/>
  <c r="CG172" i="4"/>
  <c r="CF172" i="4"/>
  <c r="CE172" i="4"/>
  <c r="CD172" i="4"/>
  <c r="CC172" i="4"/>
  <c r="CB172" i="4"/>
  <c r="CA172" i="4"/>
  <c r="BZ172" i="4"/>
  <c r="BY172" i="4"/>
  <c r="BX172" i="4"/>
  <c r="BW172" i="4"/>
  <c r="BV172" i="4"/>
  <c r="BU172" i="4"/>
  <c r="BT172" i="4"/>
  <c r="BP172" i="4"/>
  <c r="BO172" i="4"/>
  <c r="BN172" i="4"/>
  <c r="BM172" i="4"/>
  <c r="BL172" i="4"/>
  <c r="BK172" i="4"/>
  <c r="BJ172" i="4"/>
  <c r="BI172" i="4"/>
  <c r="BH172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CJ171" i="4"/>
  <c r="CI171" i="4"/>
  <c r="CH171" i="4"/>
  <c r="CG171" i="4"/>
  <c r="CF171" i="4"/>
  <c r="CE171" i="4"/>
  <c r="CD171" i="4"/>
  <c r="CC171" i="4"/>
  <c r="CB171" i="4"/>
  <c r="CA171" i="4"/>
  <c r="BZ171" i="4"/>
  <c r="BY171" i="4"/>
  <c r="BX171" i="4"/>
  <c r="BW171" i="4"/>
  <c r="BV171" i="4"/>
  <c r="BU171" i="4"/>
  <c r="BT171" i="4"/>
  <c r="BP171" i="4"/>
  <c r="BO171" i="4"/>
  <c r="BN171" i="4"/>
  <c r="BM171" i="4"/>
  <c r="BL171" i="4"/>
  <c r="BK171" i="4"/>
  <c r="BJ171" i="4"/>
  <c r="BI171" i="4"/>
  <c r="BH171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CJ170" i="4"/>
  <c r="CI170" i="4"/>
  <c r="CH170" i="4"/>
  <c r="CG170" i="4"/>
  <c r="CF170" i="4"/>
  <c r="CE170" i="4"/>
  <c r="CD170" i="4"/>
  <c r="CC170" i="4"/>
  <c r="CB170" i="4"/>
  <c r="CA170" i="4"/>
  <c r="BZ170" i="4"/>
  <c r="BY170" i="4"/>
  <c r="BX170" i="4"/>
  <c r="BW170" i="4"/>
  <c r="BV170" i="4"/>
  <c r="BU170" i="4"/>
  <c r="BT170" i="4"/>
  <c r="BP170" i="4"/>
  <c r="BO170" i="4"/>
  <c r="BN170" i="4"/>
  <c r="BM170" i="4"/>
  <c r="BL170" i="4"/>
  <c r="BK170" i="4"/>
  <c r="BJ170" i="4"/>
  <c r="BI170" i="4"/>
  <c r="BH170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CJ169" i="4"/>
  <c r="CI169" i="4"/>
  <c r="CH169" i="4"/>
  <c r="CG169" i="4"/>
  <c r="CF169" i="4"/>
  <c r="CE169" i="4"/>
  <c r="CD169" i="4"/>
  <c r="CC169" i="4"/>
  <c r="CB169" i="4"/>
  <c r="CA169" i="4"/>
  <c r="BZ169" i="4"/>
  <c r="BY169" i="4"/>
  <c r="BX169" i="4"/>
  <c r="BW169" i="4"/>
  <c r="BV169" i="4"/>
  <c r="BU169" i="4"/>
  <c r="BT169" i="4"/>
  <c r="BP169" i="4"/>
  <c r="BO169" i="4"/>
  <c r="BN169" i="4"/>
  <c r="BM169" i="4"/>
  <c r="BL169" i="4"/>
  <c r="BK169" i="4"/>
  <c r="BJ169" i="4"/>
  <c r="BI169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CJ168" i="4"/>
  <c r="CI168" i="4"/>
  <c r="CH168" i="4"/>
  <c r="CG168" i="4"/>
  <c r="CF168" i="4"/>
  <c r="CE168" i="4"/>
  <c r="CD168" i="4"/>
  <c r="CC168" i="4"/>
  <c r="CB168" i="4"/>
  <c r="CA168" i="4"/>
  <c r="BZ168" i="4"/>
  <c r="BY168" i="4"/>
  <c r="BX168" i="4"/>
  <c r="BW168" i="4"/>
  <c r="BV168" i="4"/>
  <c r="BU168" i="4"/>
  <c r="BT168" i="4"/>
  <c r="BP168" i="4"/>
  <c r="BO168" i="4"/>
  <c r="BN168" i="4"/>
  <c r="BM168" i="4"/>
  <c r="BL168" i="4"/>
  <c r="BK168" i="4"/>
  <c r="BJ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CJ167" i="4"/>
  <c r="CI167" i="4"/>
  <c r="CH167" i="4"/>
  <c r="CG167" i="4"/>
  <c r="CF167" i="4"/>
  <c r="CE167" i="4"/>
  <c r="CD167" i="4"/>
  <c r="CC167" i="4"/>
  <c r="CB167" i="4"/>
  <c r="CA167" i="4"/>
  <c r="BZ167" i="4"/>
  <c r="BY167" i="4"/>
  <c r="BX167" i="4"/>
  <c r="BW167" i="4"/>
  <c r="BV167" i="4"/>
  <c r="BU167" i="4"/>
  <c r="BT167" i="4"/>
  <c r="BP167" i="4"/>
  <c r="BO167" i="4"/>
  <c r="BN167" i="4"/>
  <c r="BM167" i="4"/>
  <c r="BL167" i="4"/>
  <c r="BK167" i="4"/>
  <c r="BJ167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CJ166" i="4"/>
  <c r="CI166" i="4"/>
  <c r="CH166" i="4"/>
  <c r="CG166" i="4"/>
  <c r="CF166" i="4"/>
  <c r="CE166" i="4"/>
  <c r="CD166" i="4"/>
  <c r="CC166" i="4"/>
  <c r="CB166" i="4"/>
  <c r="CA166" i="4"/>
  <c r="BZ166" i="4"/>
  <c r="BY166" i="4"/>
  <c r="BX166" i="4"/>
  <c r="BW166" i="4"/>
  <c r="BV166" i="4"/>
  <c r="BU166" i="4"/>
  <c r="BT166" i="4"/>
  <c r="BP166" i="4"/>
  <c r="BO166" i="4"/>
  <c r="BN166" i="4"/>
  <c r="BM166" i="4"/>
  <c r="BL166" i="4"/>
  <c r="BK166" i="4"/>
  <c r="BJ166" i="4"/>
  <c r="BI166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CJ165" i="4"/>
  <c r="CI165" i="4"/>
  <c r="CH165" i="4"/>
  <c r="CG165" i="4"/>
  <c r="CF165" i="4"/>
  <c r="CE165" i="4"/>
  <c r="CD165" i="4"/>
  <c r="CC165" i="4"/>
  <c r="CB165" i="4"/>
  <c r="CA165" i="4"/>
  <c r="BZ165" i="4"/>
  <c r="BY165" i="4"/>
  <c r="BX165" i="4"/>
  <c r="BW165" i="4"/>
  <c r="BV165" i="4"/>
  <c r="BU165" i="4"/>
  <c r="BT165" i="4"/>
  <c r="BP165" i="4"/>
  <c r="BO165" i="4"/>
  <c r="BN165" i="4"/>
  <c r="BM165" i="4"/>
  <c r="BL165" i="4"/>
  <c r="BK165" i="4"/>
  <c r="BJ165" i="4"/>
  <c r="BI165" i="4"/>
  <c r="BH165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F165" i="4"/>
  <c r="E165" i="4"/>
  <c r="D165" i="4"/>
  <c r="C165" i="4"/>
  <c r="B165" i="4"/>
  <c r="A165" i="4"/>
  <c r="CJ164" i="4"/>
  <c r="CI164" i="4"/>
  <c r="CH164" i="4"/>
  <c r="CG164" i="4"/>
  <c r="CF164" i="4"/>
  <c r="CE164" i="4"/>
  <c r="CD164" i="4"/>
  <c r="CC164" i="4"/>
  <c r="CB164" i="4"/>
  <c r="CA164" i="4"/>
  <c r="BZ164" i="4"/>
  <c r="BY164" i="4"/>
  <c r="BX164" i="4"/>
  <c r="BV164" i="4"/>
  <c r="BU164" i="4"/>
  <c r="BT164" i="4"/>
  <c r="BR164" i="4"/>
  <c r="BQ164" i="4"/>
  <c r="BP164" i="4"/>
  <c r="BO164" i="4"/>
  <c r="BN164" i="4"/>
  <c r="BM164" i="4"/>
  <c r="BL164" i="4"/>
  <c r="BK164" i="4"/>
  <c r="BJ164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CJ163" i="4"/>
  <c r="CI163" i="4"/>
  <c r="CH163" i="4"/>
  <c r="CG163" i="4"/>
  <c r="CF163" i="4"/>
  <c r="CE163" i="4"/>
  <c r="CD163" i="4"/>
  <c r="CC163" i="4"/>
  <c r="CB163" i="4"/>
  <c r="CA163" i="4"/>
  <c r="BZ163" i="4"/>
  <c r="BY163" i="4"/>
  <c r="BX163" i="4"/>
  <c r="BV163" i="4"/>
  <c r="BU163" i="4"/>
  <c r="BT163" i="4"/>
  <c r="BR163" i="4"/>
  <c r="BQ163" i="4"/>
  <c r="BP163" i="4"/>
  <c r="BO163" i="4"/>
  <c r="BN163" i="4"/>
  <c r="BM163" i="4"/>
  <c r="BL163" i="4"/>
  <c r="BK163" i="4"/>
  <c r="BJ163" i="4"/>
  <c r="BI163" i="4"/>
  <c r="BH163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CJ162" i="4"/>
  <c r="CI162" i="4"/>
  <c r="CH162" i="4"/>
  <c r="CG162" i="4"/>
  <c r="CF162" i="4"/>
  <c r="CE162" i="4"/>
  <c r="CD162" i="4"/>
  <c r="CC162" i="4"/>
  <c r="CB162" i="4"/>
  <c r="CA162" i="4"/>
  <c r="BZ162" i="4"/>
  <c r="BY162" i="4"/>
  <c r="BX162" i="4"/>
  <c r="BV162" i="4"/>
  <c r="BU162" i="4"/>
  <c r="BT162" i="4"/>
  <c r="BR162" i="4"/>
  <c r="BQ162" i="4"/>
  <c r="BP162" i="4"/>
  <c r="BO162" i="4"/>
  <c r="BN162" i="4"/>
  <c r="BM162" i="4"/>
  <c r="BL162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CJ161" i="4"/>
  <c r="CI161" i="4"/>
  <c r="CH161" i="4"/>
  <c r="CG161" i="4"/>
  <c r="CF161" i="4"/>
  <c r="CE161" i="4"/>
  <c r="CD161" i="4"/>
  <c r="CC161" i="4"/>
  <c r="CB161" i="4"/>
  <c r="CA161" i="4"/>
  <c r="BZ161" i="4"/>
  <c r="BY161" i="4"/>
  <c r="BX161" i="4"/>
  <c r="BV161" i="4"/>
  <c r="BU161" i="4"/>
  <c r="BT161" i="4"/>
  <c r="BR161" i="4"/>
  <c r="BQ161" i="4"/>
  <c r="BP161" i="4"/>
  <c r="BO161" i="4"/>
  <c r="BN161" i="4"/>
  <c r="BM161" i="4"/>
  <c r="BL161" i="4"/>
  <c r="BK161" i="4"/>
  <c r="BJ161" i="4"/>
  <c r="BI161" i="4"/>
  <c r="BH161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CJ160" i="4"/>
  <c r="CI160" i="4"/>
  <c r="CH160" i="4"/>
  <c r="CG160" i="4"/>
  <c r="CF160" i="4"/>
  <c r="CE160" i="4"/>
  <c r="CD160" i="4"/>
  <c r="CC160" i="4"/>
  <c r="CB160" i="4"/>
  <c r="CA160" i="4"/>
  <c r="BZ160" i="4"/>
  <c r="BY160" i="4"/>
  <c r="BX160" i="4"/>
  <c r="BV160" i="4"/>
  <c r="BU160" i="4"/>
  <c r="BT160" i="4"/>
  <c r="BR160" i="4"/>
  <c r="BQ160" i="4"/>
  <c r="BP160" i="4"/>
  <c r="BO160" i="4"/>
  <c r="BN160" i="4"/>
  <c r="BM160" i="4"/>
  <c r="BL160" i="4"/>
  <c r="BK160" i="4"/>
  <c r="BJ160" i="4"/>
  <c r="BI160" i="4"/>
  <c r="BH160" i="4"/>
  <c r="BG160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CJ159" i="4"/>
  <c r="CI159" i="4"/>
  <c r="CH159" i="4"/>
  <c r="CG159" i="4"/>
  <c r="CF159" i="4"/>
  <c r="CE159" i="4"/>
  <c r="CD159" i="4"/>
  <c r="CC159" i="4"/>
  <c r="CB159" i="4"/>
  <c r="CA159" i="4"/>
  <c r="BZ159" i="4"/>
  <c r="BY159" i="4"/>
  <c r="BX159" i="4"/>
  <c r="BV159" i="4"/>
  <c r="BU159" i="4"/>
  <c r="BT159" i="4"/>
  <c r="BR159" i="4"/>
  <c r="BQ159" i="4"/>
  <c r="BP159" i="4"/>
  <c r="BO159" i="4"/>
  <c r="BN159" i="4"/>
  <c r="BM159" i="4"/>
  <c r="BL159" i="4"/>
  <c r="BK159" i="4"/>
  <c r="BJ159" i="4"/>
  <c r="BI159" i="4"/>
  <c r="BH159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CJ158" i="4"/>
  <c r="CI158" i="4"/>
  <c r="CH158" i="4"/>
  <c r="CG158" i="4"/>
  <c r="CF158" i="4"/>
  <c r="CE158" i="4"/>
  <c r="CD158" i="4"/>
  <c r="CC158" i="4"/>
  <c r="CB158" i="4"/>
  <c r="CA158" i="4"/>
  <c r="BZ158" i="4"/>
  <c r="BY158" i="4"/>
  <c r="BX158" i="4"/>
  <c r="BV158" i="4"/>
  <c r="BU158" i="4"/>
  <c r="BT158" i="4"/>
  <c r="BR158" i="4"/>
  <c r="BQ158" i="4"/>
  <c r="BP158" i="4"/>
  <c r="BO158" i="4"/>
  <c r="BN158" i="4"/>
  <c r="BM158" i="4"/>
  <c r="BL158" i="4"/>
  <c r="BK158" i="4"/>
  <c r="BJ158" i="4"/>
  <c r="BI158" i="4"/>
  <c r="BH158" i="4"/>
  <c r="BG158" i="4"/>
  <c r="BF158" i="4"/>
  <c r="BE158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CJ157" i="4"/>
  <c r="CI157" i="4"/>
  <c r="CH157" i="4"/>
  <c r="CG157" i="4"/>
  <c r="CF157" i="4"/>
  <c r="CE157" i="4"/>
  <c r="CD157" i="4"/>
  <c r="CC157" i="4"/>
  <c r="CB157" i="4"/>
  <c r="CA157" i="4"/>
  <c r="BZ157" i="4"/>
  <c r="BY157" i="4"/>
  <c r="BX157" i="4"/>
  <c r="BV157" i="4"/>
  <c r="BU157" i="4"/>
  <c r="BT157" i="4"/>
  <c r="BR157" i="4"/>
  <c r="BQ157" i="4"/>
  <c r="BP157" i="4"/>
  <c r="BO157" i="4"/>
  <c r="BN157" i="4"/>
  <c r="BM157" i="4"/>
  <c r="BL157" i="4"/>
  <c r="BK157" i="4"/>
  <c r="BJ157" i="4"/>
  <c r="BI157" i="4"/>
  <c r="BH157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CJ156" i="4"/>
  <c r="CI156" i="4"/>
  <c r="CH156" i="4"/>
  <c r="CG156" i="4"/>
  <c r="CF156" i="4"/>
  <c r="CE156" i="4"/>
  <c r="CD156" i="4"/>
  <c r="CC156" i="4"/>
  <c r="CB156" i="4"/>
  <c r="CA156" i="4"/>
  <c r="BZ156" i="4"/>
  <c r="BY156" i="4"/>
  <c r="BX156" i="4"/>
  <c r="BV156" i="4"/>
  <c r="BU156" i="4"/>
  <c r="BT156" i="4"/>
  <c r="BR156" i="4"/>
  <c r="BQ156" i="4"/>
  <c r="BP156" i="4"/>
  <c r="BO156" i="4"/>
  <c r="BN156" i="4"/>
  <c r="BM156" i="4"/>
  <c r="BL156" i="4"/>
  <c r="BK156" i="4"/>
  <c r="BJ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E156" i="4"/>
  <c r="D156" i="4"/>
  <c r="C156" i="4"/>
  <c r="B156" i="4"/>
  <c r="A156" i="4"/>
  <c r="CJ155" i="4"/>
  <c r="CI155" i="4"/>
  <c r="CH155" i="4"/>
  <c r="CG155" i="4"/>
  <c r="CF155" i="4"/>
  <c r="CE155" i="4"/>
  <c r="CD155" i="4"/>
  <c r="CC155" i="4"/>
  <c r="CB155" i="4"/>
  <c r="CA155" i="4"/>
  <c r="BZ155" i="4"/>
  <c r="BY155" i="4"/>
  <c r="BX155" i="4"/>
  <c r="BV155" i="4"/>
  <c r="BU155" i="4"/>
  <c r="BT155" i="4"/>
  <c r="BR155" i="4"/>
  <c r="BQ155" i="4"/>
  <c r="BP155" i="4"/>
  <c r="BO155" i="4"/>
  <c r="BN155" i="4"/>
  <c r="BM155" i="4"/>
  <c r="BL155" i="4"/>
  <c r="BK155" i="4"/>
  <c r="BJ155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CJ154" i="4"/>
  <c r="CI154" i="4"/>
  <c r="CH154" i="4"/>
  <c r="CG154" i="4"/>
  <c r="CF154" i="4"/>
  <c r="CE154" i="4"/>
  <c r="CD154" i="4"/>
  <c r="CC154" i="4"/>
  <c r="CB154" i="4"/>
  <c r="CA154" i="4"/>
  <c r="BZ154" i="4"/>
  <c r="BY154" i="4"/>
  <c r="BX154" i="4"/>
  <c r="BV154" i="4"/>
  <c r="BU154" i="4"/>
  <c r="BT154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CJ153" i="4"/>
  <c r="CI153" i="4"/>
  <c r="CH153" i="4"/>
  <c r="CG153" i="4"/>
  <c r="CF153" i="4"/>
  <c r="CE153" i="4"/>
  <c r="CD153" i="4"/>
  <c r="CC153" i="4"/>
  <c r="CB153" i="4"/>
  <c r="CA153" i="4"/>
  <c r="BZ153" i="4"/>
  <c r="BY153" i="4"/>
  <c r="BX153" i="4"/>
  <c r="BV153" i="4"/>
  <c r="BU153" i="4"/>
  <c r="BT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CJ152" i="4"/>
  <c r="CI152" i="4"/>
  <c r="CH152" i="4"/>
  <c r="CG152" i="4"/>
  <c r="CF152" i="4"/>
  <c r="CE152" i="4"/>
  <c r="CD152" i="4"/>
  <c r="CC152" i="4"/>
  <c r="CB152" i="4"/>
  <c r="CA152" i="4"/>
  <c r="BZ152" i="4"/>
  <c r="BY152" i="4"/>
  <c r="BX152" i="4"/>
  <c r="BV152" i="4"/>
  <c r="BU152" i="4"/>
  <c r="BT152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CJ151" i="4"/>
  <c r="CI151" i="4"/>
  <c r="CH151" i="4"/>
  <c r="CG151" i="4"/>
  <c r="CF151" i="4"/>
  <c r="CE151" i="4"/>
  <c r="CD151" i="4"/>
  <c r="CC151" i="4"/>
  <c r="CB151" i="4"/>
  <c r="CA151" i="4"/>
  <c r="BZ151" i="4"/>
  <c r="BY151" i="4"/>
  <c r="BX151" i="4"/>
  <c r="BV151" i="4"/>
  <c r="BU151" i="4"/>
  <c r="BT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CJ150" i="4"/>
  <c r="CI150" i="4"/>
  <c r="CH150" i="4"/>
  <c r="CG150" i="4"/>
  <c r="CF150" i="4"/>
  <c r="CE150" i="4"/>
  <c r="CD150" i="4"/>
  <c r="CC150" i="4"/>
  <c r="CB150" i="4"/>
  <c r="CA150" i="4"/>
  <c r="BZ150" i="4"/>
  <c r="BY150" i="4"/>
  <c r="BX150" i="4"/>
  <c r="BV150" i="4"/>
  <c r="BU150" i="4"/>
  <c r="BT150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F150" i="4"/>
  <c r="E150" i="4"/>
  <c r="D150" i="4"/>
  <c r="C150" i="4"/>
  <c r="B150" i="4"/>
  <c r="A150" i="4"/>
  <c r="CJ149" i="4"/>
  <c r="CI149" i="4"/>
  <c r="CH149" i="4"/>
  <c r="CG149" i="4"/>
  <c r="CF149" i="4"/>
  <c r="CE149" i="4"/>
  <c r="CD149" i="4"/>
  <c r="CC149" i="4"/>
  <c r="CB149" i="4"/>
  <c r="CA149" i="4"/>
  <c r="BZ149" i="4"/>
  <c r="BY149" i="4"/>
  <c r="BX149" i="4"/>
  <c r="BV149" i="4"/>
  <c r="BU149" i="4"/>
  <c r="BT149" i="4"/>
  <c r="BR149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F149" i="4"/>
  <c r="E149" i="4"/>
  <c r="D149" i="4"/>
  <c r="C149" i="4"/>
  <c r="B149" i="4"/>
  <c r="A149" i="4"/>
  <c r="CJ148" i="4"/>
  <c r="CI148" i="4"/>
  <c r="CH148" i="4"/>
  <c r="CG148" i="4"/>
  <c r="CF148" i="4"/>
  <c r="CE148" i="4"/>
  <c r="CD148" i="4"/>
  <c r="CC148" i="4"/>
  <c r="CB148" i="4"/>
  <c r="CA148" i="4"/>
  <c r="BZ148" i="4"/>
  <c r="BY148" i="4"/>
  <c r="BX148" i="4"/>
  <c r="BV148" i="4"/>
  <c r="BU148" i="4"/>
  <c r="BT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CJ147" i="4"/>
  <c r="CI147" i="4"/>
  <c r="CH147" i="4"/>
  <c r="CG147" i="4"/>
  <c r="CF147" i="4"/>
  <c r="CE147" i="4"/>
  <c r="CD147" i="4"/>
  <c r="CC147" i="4"/>
  <c r="CB147" i="4"/>
  <c r="CA147" i="4"/>
  <c r="BZ147" i="4"/>
  <c r="BY147" i="4"/>
  <c r="BX147" i="4"/>
  <c r="BV147" i="4"/>
  <c r="BU147" i="4"/>
  <c r="BT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CJ146" i="4"/>
  <c r="CI146" i="4"/>
  <c r="CH146" i="4"/>
  <c r="CG146" i="4"/>
  <c r="CF146" i="4"/>
  <c r="CE146" i="4"/>
  <c r="CD146" i="4"/>
  <c r="CC146" i="4"/>
  <c r="CB146" i="4"/>
  <c r="CA146" i="4"/>
  <c r="BZ146" i="4"/>
  <c r="BY146" i="4"/>
  <c r="BX146" i="4"/>
  <c r="BV146" i="4"/>
  <c r="BU146" i="4"/>
  <c r="BT146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CJ145" i="4"/>
  <c r="CI145" i="4"/>
  <c r="CH145" i="4"/>
  <c r="CG145" i="4"/>
  <c r="CF145" i="4"/>
  <c r="CE145" i="4"/>
  <c r="CD145" i="4"/>
  <c r="CC145" i="4"/>
  <c r="CB145" i="4"/>
  <c r="CA145" i="4"/>
  <c r="BZ145" i="4"/>
  <c r="BY145" i="4"/>
  <c r="BX145" i="4"/>
  <c r="BV145" i="4"/>
  <c r="BU145" i="4"/>
  <c r="BT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E145" i="4"/>
  <c r="D145" i="4"/>
  <c r="C145" i="4"/>
  <c r="B145" i="4"/>
  <c r="A145" i="4"/>
  <c r="CJ144" i="4"/>
  <c r="CI144" i="4"/>
  <c r="CH144" i="4"/>
  <c r="CG144" i="4"/>
  <c r="CF144" i="4"/>
  <c r="CE144" i="4"/>
  <c r="CD144" i="4"/>
  <c r="CC144" i="4"/>
  <c r="CB144" i="4"/>
  <c r="CA144" i="4"/>
  <c r="BZ144" i="4"/>
  <c r="BY144" i="4"/>
  <c r="BX144" i="4"/>
  <c r="BV144" i="4"/>
  <c r="BU144" i="4"/>
  <c r="BT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CJ143" i="4"/>
  <c r="CI143" i="4"/>
  <c r="CH143" i="4"/>
  <c r="CG143" i="4"/>
  <c r="CF143" i="4"/>
  <c r="CE143" i="4"/>
  <c r="CD143" i="4"/>
  <c r="CC143" i="4"/>
  <c r="CB143" i="4"/>
  <c r="CA143" i="4"/>
  <c r="BZ143" i="4"/>
  <c r="BY143" i="4"/>
  <c r="BX143" i="4"/>
  <c r="BV143" i="4"/>
  <c r="BU143" i="4"/>
  <c r="BT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CJ142" i="4"/>
  <c r="CI142" i="4"/>
  <c r="CH142" i="4"/>
  <c r="CG142" i="4"/>
  <c r="CF142" i="4"/>
  <c r="CE142" i="4"/>
  <c r="CD142" i="4"/>
  <c r="CC142" i="4"/>
  <c r="CB142" i="4"/>
  <c r="CA142" i="4"/>
  <c r="BZ142" i="4"/>
  <c r="BY142" i="4"/>
  <c r="BX142" i="4"/>
  <c r="BV142" i="4"/>
  <c r="BU142" i="4"/>
  <c r="BT142" i="4"/>
  <c r="BR142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CJ141" i="4"/>
  <c r="CI141" i="4"/>
  <c r="CH141" i="4"/>
  <c r="CG141" i="4"/>
  <c r="CF141" i="4"/>
  <c r="CE141" i="4"/>
  <c r="CD141" i="4"/>
  <c r="CC141" i="4"/>
  <c r="CB141" i="4"/>
  <c r="CA141" i="4"/>
  <c r="BZ141" i="4"/>
  <c r="BY141" i="4"/>
  <c r="BX141" i="4"/>
  <c r="BV141" i="4"/>
  <c r="BU141" i="4"/>
  <c r="BT141" i="4"/>
  <c r="BR141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CJ140" i="4"/>
  <c r="CI140" i="4"/>
  <c r="CH140" i="4"/>
  <c r="CG140" i="4"/>
  <c r="CF140" i="4"/>
  <c r="CE140" i="4"/>
  <c r="CD140" i="4"/>
  <c r="CC140" i="4"/>
  <c r="CB140" i="4"/>
  <c r="CA140" i="4"/>
  <c r="BZ140" i="4"/>
  <c r="BY140" i="4"/>
  <c r="BX140" i="4"/>
  <c r="BV140" i="4"/>
  <c r="BU140" i="4"/>
  <c r="BT140" i="4"/>
  <c r="BR140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CJ139" i="4"/>
  <c r="CI139" i="4"/>
  <c r="CH139" i="4"/>
  <c r="CG139" i="4"/>
  <c r="CF139" i="4"/>
  <c r="CE139" i="4"/>
  <c r="CD139" i="4"/>
  <c r="CC139" i="4"/>
  <c r="CB139" i="4"/>
  <c r="CA139" i="4"/>
  <c r="BZ139" i="4"/>
  <c r="BY139" i="4"/>
  <c r="BX139" i="4"/>
  <c r="BV139" i="4"/>
  <c r="BU139" i="4"/>
  <c r="BT139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CJ138" i="4"/>
  <c r="CI138" i="4"/>
  <c r="CH138" i="4"/>
  <c r="CG138" i="4"/>
  <c r="CF138" i="4"/>
  <c r="CE138" i="4"/>
  <c r="CD138" i="4"/>
  <c r="CC138" i="4"/>
  <c r="CB138" i="4"/>
  <c r="CA138" i="4"/>
  <c r="BZ138" i="4"/>
  <c r="BY138" i="4"/>
  <c r="BX138" i="4"/>
  <c r="BV138" i="4"/>
  <c r="BU138" i="4"/>
  <c r="BT138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CJ137" i="4"/>
  <c r="CI137" i="4"/>
  <c r="CH137" i="4"/>
  <c r="CG137" i="4"/>
  <c r="CF137" i="4"/>
  <c r="CE137" i="4"/>
  <c r="CD137" i="4"/>
  <c r="CC137" i="4"/>
  <c r="CB137" i="4"/>
  <c r="CA137" i="4"/>
  <c r="BZ137" i="4"/>
  <c r="BY137" i="4"/>
  <c r="BX137" i="4"/>
  <c r="BV137" i="4"/>
  <c r="BU137" i="4"/>
  <c r="BT137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CJ136" i="4"/>
  <c r="CI136" i="4"/>
  <c r="CH136" i="4"/>
  <c r="CG136" i="4"/>
  <c r="CF136" i="4"/>
  <c r="CE136" i="4"/>
  <c r="CD136" i="4"/>
  <c r="CC136" i="4"/>
  <c r="CB136" i="4"/>
  <c r="CA136" i="4"/>
  <c r="BZ136" i="4"/>
  <c r="BY136" i="4"/>
  <c r="BX136" i="4"/>
  <c r="BV136" i="4"/>
  <c r="BU136" i="4"/>
  <c r="BT136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V135" i="4"/>
  <c r="BU135" i="4"/>
  <c r="BT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CJ134" i="4"/>
  <c r="CI134" i="4"/>
  <c r="CH134" i="4"/>
  <c r="CG134" i="4"/>
  <c r="CF134" i="4"/>
  <c r="CE134" i="4"/>
  <c r="CD134" i="4"/>
  <c r="CC134" i="4"/>
  <c r="CB134" i="4"/>
  <c r="CA134" i="4"/>
  <c r="BZ134" i="4"/>
  <c r="BY134" i="4"/>
  <c r="BX134" i="4"/>
  <c r="BV134" i="4"/>
  <c r="BU134" i="4"/>
  <c r="BT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CJ133" i="4"/>
  <c r="CI133" i="4"/>
  <c r="CH133" i="4"/>
  <c r="CG133" i="4"/>
  <c r="CF133" i="4"/>
  <c r="CE133" i="4"/>
  <c r="CD133" i="4"/>
  <c r="CC133" i="4"/>
  <c r="CB133" i="4"/>
  <c r="CA133" i="4"/>
  <c r="BZ133" i="4"/>
  <c r="BY133" i="4"/>
  <c r="BX133" i="4"/>
  <c r="BV133" i="4"/>
  <c r="BU133" i="4"/>
  <c r="BT133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V132" i="4"/>
  <c r="BU132" i="4"/>
  <c r="BT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CJ131" i="4"/>
  <c r="CI131" i="4"/>
  <c r="CH131" i="4"/>
  <c r="CG131" i="4"/>
  <c r="CF131" i="4"/>
  <c r="CE131" i="4"/>
  <c r="CD131" i="4"/>
  <c r="CC131" i="4"/>
  <c r="CB131" i="4"/>
  <c r="CA131" i="4"/>
  <c r="BZ131" i="4"/>
  <c r="BY131" i="4"/>
  <c r="BX131" i="4"/>
  <c r="BV131" i="4"/>
  <c r="BU131" i="4"/>
  <c r="BT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F131" i="4"/>
  <c r="E131" i="4"/>
  <c r="D131" i="4"/>
  <c r="C131" i="4"/>
  <c r="B131" i="4"/>
  <c r="A131" i="4"/>
  <c r="CJ130" i="4"/>
  <c r="CI130" i="4"/>
  <c r="CH130" i="4"/>
  <c r="CG130" i="4"/>
  <c r="CF130" i="4"/>
  <c r="CE130" i="4"/>
  <c r="CD130" i="4"/>
  <c r="CC130" i="4"/>
  <c r="CB130" i="4"/>
  <c r="CA130" i="4"/>
  <c r="BZ130" i="4"/>
  <c r="BY130" i="4"/>
  <c r="BX130" i="4"/>
  <c r="BV130" i="4"/>
  <c r="BU130" i="4"/>
  <c r="BT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CJ129" i="4"/>
  <c r="CI129" i="4"/>
  <c r="CH129" i="4"/>
  <c r="CG129" i="4"/>
  <c r="CF129" i="4"/>
  <c r="CE129" i="4"/>
  <c r="CD129" i="4"/>
  <c r="CC129" i="4"/>
  <c r="CB129" i="4"/>
  <c r="CA129" i="4"/>
  <c r="BZ129" i="4"/>
  <c r="BY129" i="4"/>
  <c r="BX129" i="4"/>
  <c r="BV129" i="4"/>
  <c r="BU129" i="4"/>
  <c r="BT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CJ128" i="4"/>
  <c r="CI128" i="4"/>
  <c r="CH128" i="4"/>
  <c r="CG128" i="4"/>
  <c r="CF128" i="4"/>
  <c r="CE128" i="4"/>
  <c r="CD128" i="4"/>
  <c r="CC128" i="4"/>
  <c r="CB128" i="4"/>
  <c r="CA128" i="4"/>
  <c r="BZ128" i="4"/>
  <c r="BY128" i="4"/>
  <c r="BX128" i="4"/>
  <c r="BV128" i="4"/>
  <c r="BU128" i="4"/>
  <c r="BT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CJ127" i="4"/>
  <c r="CI127" i="4"/>
  <c r="CH127" i="4"/>
  <c r="CG127" i="4"/>
  <c r="CF127" i="4"/>
  <c r="CE127" i="4"/>
  <c r="CD127" i="4"/>
  <c r="CC127" i="4"/>
  <c r="CB127" i="4"/>
  <c r="CA127" i="4"/>
  <c r="BZ127" i="4"/>
  <c r="BY127" i="4"/>
  <c r="BX127" i="4"/>
  <c r="BV127" i="4"/>
  <c r="BU127" i="4"/>
  <c r="BT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V126" i="4"/>
  <c r="BU126" i="4"/>
  <c r="BT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V125" i="4"/>
  <c r="BU125" i="4"/>
  <c r="BT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V124" i="4"/>
  <c r="BU124" i="4"/>
  <c r="BT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V123" i="4"/>
  <c r="BU123" i="4"/>
  <c r="BT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V122" i="4"/>
  <c r="BU122" i="4"/>
  <c r="BT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V121" i="4"/>
  <c r="BU121" i="4"/>
  <c r="BT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V120" i="4"/>
  <c r="BU120" i="4"/>
  <c r="BT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V119" i="4"/>
  <c r="BU119" i="4"/>
  <c r="BT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V118" i="4"/>
  <c r="BU118" i="4"/>
  <c r="BT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V117" i="4"/>
  <c r="BU117" i="4"/>
  <c r="BT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V116" i="4"/>
  <c r="BU116" i="4"/>
  <c r="BT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V115" i="4"/>
  <c r="BU115" i="4"/>
  <c r="BT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V114" i="4"/>
  <c r="BU114" i="4"/>
  <c r="BT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V113" i="4"/>
  <c r="BU113" i="4"/>
  <c r="BT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V112" i="4"/>
  <c r="BU112" i="4"/>
  <c r="BT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V111" i="4"/>
  <c r="BU111" i="4"/>
  <c r="BT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V110" i="4"/>
  <c r="BU110" i="4"/>
  <c r="BT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V109" i="4"/>
  <c r="BU109" i="4"/>
  <c r="BT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V108" i="4"/>
  <c r="BU108" i="4"/>
  <c r="BT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V107" i="4"/>
  <c r="BU107" i="4"/>
  <c r="BT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V106" i="4"/>
  <c r="BU106" i="4"/>
  <c r="BT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V105" i="4"/>
  <c r="BU105" i="4"/>
  <c r="BT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V104" i="4"/>
  <c r="BU104" i="4"/>
  <c r="BT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V103" i="4"/>
  <c r="BU103" i="4"/>
  <c r="BT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V102" i="4"/>
  <c r="BU102" i="4"/>
  <c r="BT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V101" i="4"/>
  <c r="BU101" i="4"/>
  <c r="BT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V100" i="4"/>
  <c r="BU100" i="4"/>
  <c r="BT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V99" i="4"/>
  <c r="BU99" i="4"/>
  <c r="BT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V98" i="4"/>
  <c r="BU98" i="4"/>
  <c r="BT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V97" i="4"/>
  <c r="BU97" i="4"/>
  <c r="BT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V96" i="4"/>
  <c r="BU96" i="4"/>
  <c r="BT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V95" i="4"/>
  <c r="BT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V94" i="4"/>
  <c r="BT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V93" i="4"/>
  <c r="BT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V92" i="4"/>
  <c r="BT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V91" i="4"/>
  <c r="BT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V90" i="4"/>
  <c r="BT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V89" i="4"/>
  <c r="BT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V88" i="4"/>
  <c r="BT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V87" i="4"/>
  <c r="BT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V86" i="4"/>
  <c r="BT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V85" i="4"/>
  <c r="BT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V84" i="4"/>
  <c r="BT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V83" i="4"/>
  <c r="BT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V82" i="4"/>
  <c r="BT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V81" i="4"/>
  <c r="BT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V80" i="4"/>
  <c r="BT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V79" i="4"/>
  <c r="BT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V78" i="4"/>
  <c r="BT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V77" i="4"/>
  <c r="BT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F77" i="4"/>
  <c r="E77" i="4"/>
  <c r="D77" i="4"/>
  <c r="C77" i="4"/>
  <c r="B77" i="4"/>
  <c r="A77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V76" i="4"/>
  <c r="BT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V75" i="4"/>
  <c r="BT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V74" i="4"/>
  <c r="BT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F68" i="4"/>
  <c r="E68" i="4"/>
  <c r="D68" i="4"/>
  <c r="C68" i="4"/>
  <c r="B68" i="4"/>
  <c r="A68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F57" i="4"/>
  <c r="E57" i="4"/>
  <c r="D57" i="4"/>
  <c r="C57" i="4"/>
  <c r="B57" i="4"/>
  <c r="A57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X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F41" i="4"/>
  <c r="E41" i="4"/>
  <c r="D41" i="4"/>
  <c r="C41" i="4"/>
  <c r="B41" i="4"/>
  <c r="A41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F9" i="4"/>
  <c r="E9" i="4"/>
  <c r="D9" i="4"/>
  <c r="C9" i="4"/>
  <c r="B9" i="4"/>
  <c r="A9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F8" i="4"/>
  <c r="E8" i="4"/>
  <c r="D8" i="4"/>
  <c r="C8" i="4"/>
  <c r="B8" i="4"/>
  <c r="A8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U2" i="4"/>
  <c r="S2" i="4"/>
  <c r="Q2" i="4"/>
  <c r="O2" i="4"/>
  <c r="M2" i="4"/>
  <c r="K2" i="4"/>
  <c r="I2" i="4"/>
  <c r="F2" i="4"/>
  <c r="D2" i="4"/>
  <c r="A2" i="4"/>
  <c r="CX1" i="4"/>
  <c r="CU1" i="4"/>
  <c r="CP1" i="4"/>
  <c r="CM1" i="4"/>
  <c r="CH1" i="4"/>
  <c r="CE1" i="4"/>
  <c r="BZ1" i="4"/>
  <c r="BW1" i="4"/>
  <c r="BR1" i="4"/>
  <c r="BO1" i="4"/>
  <c r="BJ1" i="4"/>
  <c r="BG1" i="4"/>
  <c r="BB1" i="4"/>
  <c r="AY1" i="4"/>
  <c r="AT1" i="4"/>
  <c r="AQ1" i="4"/>
  <c r="AL1" i="4"/>
  <c r="AI1" i="4"/>
  <c r="AD1" i="4"/>
  <c r="AA1" i="4"/>
  <c r="V1" i="4"/>
  <c r="S1" i="4"/>
  <c r="N1" i="4"/>
  <c r="K1" i="4"/>
  <c r="F1" i="4"/>
  <c r="C1" i="4"/>
  <c r="A1" i="4" a="1"/>
  <c r="CY1" i="4" s="1"/>
  <c r="A1" i="4" l="1"/>
  <c r="H1" i="4"/>
  <c r="P1" i="4"/>
  <c r="X1" i="4"/>
  <c r="AF1" i="4"/>
  <c r="AN1" i="4"/>
  <c r="AV1" i="4"/>
  <c r="BD1" i="4"/>
  <c r="BL1" i="4"/>
  <c r="BT1" i="4"/>
  <c r="CB1" i="4"/>
  <c r="CJ1" i="4"/>
  <c r="CR1" i="4"/>
  <c r="F1" i="7"/>
  <c r="N1" i="7"/>
  <c r="V1" i="7"/>
  <c r="AD1" i="7"/>
  <c r="AL1" i="7"/>
  <c r="AT1" i="7"/>
  <c r="BB1" i="7"/>
  <c r="BJ1" i="7"/>
  <c r="BR1" i="7"/>
  <c r="BZ1" i="7"/>
  <c r="CH1" i="7"/>
  <c r="CP1" i="7"/>
  <c r="CX1" i="7"/>
  <c r="I1" i="4"/>
  <c r="Q1" i="4"/>
  <c r="Y1" i="4"/>
  <c r="AG1" i="4"/>
  <c r="AO1" i="4"/>
  <c r="AW1" i="4"/>
  <c r="BE1" i="4"/>
  <c r="BM1" i="4"/>
  <c r="BU1" i="4"/>
  <c r="CC1" i="4"/>
  <c r="CK1" i="4"/>
  <c r="CS1" i="4"/>
  <c r="G1" i="7"/>
  <c r="O1" i="7"/>
  <c r="W1" i="7"/>
  <c r="AE1" i="7"/>
  <c r="AM1" i="7"/>
  <c r="AU1" i="7"/>
  <c r="BC1" i="7"/>
  <c r="BK1" i="7"/>
  <c r="BS1" i="7"/>
  <c r="CA1" i="7"/>
  <c r="CI1" i="7"/>
  <c r="CQ1" i="7"/>
  <c r="B1" i="4"/>
  <c r="J1" i="4"/>
  <c r="R1" i="4"/>
  <c r="Z1" i="4"/>
  <c r="AH1" i="4"/>
  <c r="AP1" i="4"/>
  <c r="AX1" i="4"/>
  <c r="BF1" i="4"/>
  <c r="BN1" i="4"/>
  <c r="BV1" i="4"/>
  <c r="CD1" i="4"/>
  <c r="CL1" i="4"/>
  <c r="CT1" i="4"/>
  <c r="A1" i="7"/>
  <c r="H1" i="7"/>
  <c r="P1" i="7"/>
  <c r="X1" i="7"/>
  <c r="AF1" i="7"/>
  <c r="AN1" i="7"/>
  <c r="AV1" i="7"/>
  <c r="BD1" i="7"/>
  <c r="BL1" i="7"/>
  <c r="BT1" i="7"/>
  <c r="CB1" i="7"/>
  <c r="CJ1" i="7"/>
  <c r="CR1" i="7"/>
  <c r="I1" i="7"/>
  <c r="Q1" i="7"/>
  <c r="Y1" i="7"/>
  <c r="AG1" i="7"/>
  <c r="AO1" i="7"/>
  <c r="AW1" i="7"/>
  <c r="BE1" i="7"/>
  <c r="BM1" i="7"/>
  <c r="BU1" i="7"/>
  <c r="CC1" i="7"/>
  <c r="CK1" i="7"/>
  <c r="CS1" i="7"/>
  <c r="D1" i="4"/>
  <c r="L1" i="4"/>
  <c r="T1" i="4"/>
  <c r="AB1" i="4"/>
  <c r="AJ1" i="4"/>
  <c r="AR1" i="4"/>
  <c r="AZ1" i="4"/>
  <c r="BH1" i="4"/>
  <c r="BP1" i="4"/>
  <c r="BX1" i="4"/>
  <c r="CF1" i="4"/>
  <c r="CN1" i="4"/>
  <c r="CV1" i="4"/>
  <c r="B1" i="7"/>
  <c r="J1" i="7"/>
  <c r="R1" i="7"/>
  <c r="Z1" i="7"/>
  <c r="AH1" i="7"/>
  <c r="AP1" i="7"/>
  <c r="AX1" i="7"/>
  <c r="BF1" i="7"/>
  <c r="BN1" i="7"/>
  <c r="BV1" i="7"/>
  <c r="CD1" i="7"/>
  <c r="CL1" i="7"/>
  <c r="CT1" i="7"/>
  <c r="E1" i="4"/>
  <c r="M1" i="4"/>
  <c r="U1" i="4"/>
  <c r="AC1" i="4"/>
  <c r="AK1" i="4"/>
  <c r="AS1" i="4"/>
  <c r="BA1" i="4"/>
  <c r="BI1" i="4"/>
  <c r="BQ1" i="4"/>
  <c r="BY1" i="4"/>
  <c r="CG1" i="4"/>
  <c r="CO1" i="4"/>
  <c r="CW1" i="4"/>
  <c r="C1" i="7"/>
  <c r="K1" i="7"/>
  <c r="S1" i="7"/>
  <c r="AA1" i="7"/>
  <c r="AI1" i="7"/>
  <c r="AQ1" i="7"/>
  <c r="AY1" i="7"/>
  <c r="BG1" i="7"/>
  <c r="BO1" i="7"/>
  <c r="BW1" i="7"/>
  <c r="CE1" i="7"/>
  <c r="CM1" i="7"/>
  <c r="CU1" i="7"/>
  <c r="G1" i="4"/>
  <c r="O1" i="4"/>
  <c r="W1" i="4"/>
  <c r="AE1" i="4"/>
  <c r="AM1" i="4"/>
  <c r="AU1" i="4"/>
  <c r="BC1" i="4"/>
  <c r="BK1" i="4"/>
  <c r="BS1" i="4"/>
  <c r="CA1" i="4"/>
  <c r="CI1" i="4"/>
  <c r="CQ1" i="4"/>
  <c r="E1" i="7"/>
  <c r="M1" i="7"/>
  <c r="U1" i="7"/>
  <c r="AC1" i="7"/>
  <c r="AK1" i="7"/>
  <c r="AS1" i="7"/>
  <c r="BA1" i="7"/>
  <c r="BI1" i="7"/>
  <c r="BQ1" i="7"/>
  <c r="BY1" i="7"/>
  <c r="CG1" i="7"/>
  <c r="CO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tc={0ecc4e88-849c-43bf-8e99-2a0c6bb87001}</author>
    <author>tc={6f619f9f-4708-41a8-a1cb-587b3404183c}</author>
  </authors>
  <commentList>
    <comment ref="D95" authorId="0" shapeId="0" xr:uid="{00000000-0006-0000-0300-000001000000}">
      <text>
        <r>
          <rPr>
            <sz val="10"/>
            <color rgb="FF000000"/>
            <rFont val="Arial"/>
            <scheme val="minor"/>
          </rPr>
          <t>ALLOWED HIM FOR MEDICAL TYFOID SO FOR LONG REST</t>
        </r>
      </text>
    </comment>
    <comment ref="D272" authorId="0" shapeId="0" xr:uid="{00000000-0006-0000-0300-000002000000}">
      <text>
        <r>
          <rPr>
            <sz val="10"/>
            <color rgb="FF000000"/>
            <rFont val="Arial"/>
            <scheme val="minor"/>
          </rPr>
          <t>ACCIDENT SO WILL NOT COME FOR VIVA AND NOT FOR UNI EXAM.</t>
        </r>
      </text>
    </comment>
    <comment ref="D478" authorId="1" shapeId="0" xr:uid="{0ECC4E88-849C-43BF-8E99-2A0C6BB8700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 and fracture so taken leave for 1.5 month</t>
      </text>
    </comment>
    <comment ref="D534" authorId="2" shapeId="0" xr:uid="{6F619F9F-4708-41A8-A1CB-587B3404183C}">
      <text>
        <t>[Threaded comment]
Your version of Excel allows you to read this threaded comment; however, any edits to it will get removed if the file is opened in a newer version of Excel. Learn more: https://go.microsoft.com/fwlink/?linkid=870924
Comment:
    DO SPECIAL PERMISSION FOR 3 DAYS FOR IELTS CLASS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tc={eb28cbba-1121-4de0-8087-3a7d0f325b8c}</author>
    <author>tc={34484e44-632f-46f1-b93e-3335ffa35f85}</author>
    <author>tc={c09c9d81-ac1f-4c03-9e74-35b5e05ec8f4}</author>
    <author/>
  </authors>
  <commentList>
    <comment ref="D423" authorId="0" shapeId="0" xr:uid="{EB28CBBA-1121-4DE0-8087-3A7D0F325B8C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detain</t>
      </text>
    </comment>
    <comment ref="D424" authorId="1" shapeId="0" xr:uid="{34484E44-632F-46F1-B93E-3335FFA35F85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detain</t>
      </text>
    </comment>
    <comment ref="D452" authorId="2" shapeId="0" xr:uid="{C09C9D81-AC1F-4C03-9E74-35B5E05EC8F4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detain</t>
      </text>
    </comment>
    <comment ref="D457" authorId="3" shapeId="0" xr:uid="{00000000-0006-0000-0600-000001000000}">
      <text>
        <r>
          <rPr>
            <sz val="10"/>
            <color rgb="FF000000"/>
            <rFont val="Arial"/>
            <scheme val="minor"/>
          </rPr>
          <t>mameru hovathi 4 divas 3 feb to 7 feb raja par chhe</t>
        </r>
      </text>
    </comment>
  </commentList>
</comments>
</file>

<file path=xl/sharedStrings.xml><?xml version="1.0" encoding="utf-8"?>
<sst xmlns="http://schemas.openxmlformats.org/spreadsheetml/2006/main" count="5215" uniqueCount="2118">
  <si>
    <t>Batch</t>
  </si>
  <si>
    <t>Class</t>
  </si>
  <si>
    <t>Name</t>
  </si>
  <si>
    <t>A</t>
  </si>
  <si>
    <t>B</t>
  </si>
  <si>
    <t>C</t>
  </si>
  <si>
    <t>PATEL DEEP RAMESHBHAI</t>
  </si>
  <si>
    <t>ITA</t>
  </si>
  <si>
    <t>ITB</t>
  </si>
  <si>
    <t>ITC</t>
  </si>
  <si>
    <t>end</t>
  </si>
  <si>
    <t>Enrollment</t>
  </si>
  <si>
    <t>T1</t>
  </si>
  <si>
    <t>T2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</si>
  <si>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</si>
  <si>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</si>
  <si>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</si>
  <si>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</si>
  <si>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</si>
  <si>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</si>
  <si>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</si>
  <si>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</si>
  <si>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</si>
  <si>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</si>
  <si>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TOTAL(P)</t>
  </si>
  <si>
    <t>A1</t>
  </si>
  <si>
    <t>A2</t>
  </si>
  <si>
    <t>A3</t>
  </si>
  <si>
    <t>A4</t>
  </si>
  <si>
    <t>A5</t>
  </si>
  <si>
    <t>TOTAL (A)</t>
  </si>
  <si>
    <t>AB</t>
  </si>
  <si>
    <t>JAVA</t>
  </si>
  <si>
    <t>PHP-CGM</t>
  </si>
  <si>
    <t>CPT</t>
  </si>
  <si>
    <t>Python</t>
  </si>
  <si>
    <t>NS</t>
  </si>
  <si>
    <t>23291341047</t>
  </si>
  <si>
    <t>MID1</t>
  </si>
  <si>
    <t>P11</t>
  </si>
  <si>
    <t>P12</t>
  </si>
  <si>
    <t>P13</t>
  </si>
  <si>
    <t>P14</t>
  </si>
  <si>
    <t>P15</t>
  </si>
  <si>
    <t>P16</t>
  </si>
  <si>
    <t>NS MID1</t>
  </si>
  <si>
    <t>22291341020</t>
  </si>
  <si>
    <t>DHRUV PRAVINBHAI PATEL</t>
  </si>
  <si>
    <t>22291341121</t>
  </si>
  <si>
    <t>PATEL YASVI SHAILESHKUMAR</t>
  </si>
  <si>
    <t>detain</t>
  </si>
  <si>
    <t>23291341001</t>
  </si>
  <si>
    <t>ACHARYA DHRUV RAJENDRAKUMAR</t>
  </si>
  <si>
    <t>23291341006</t>
  </si>
  <si>
    <t>BAROT KRISH RAJESHKUMAR</t>
  </si>
  <si>
    <t>23291341007</t>
  </si>
  <si>
    <t>BAROT TANISHK BHUPENDRAKUMAR</t>
  </si>
  <si>
    <t>23291341012</t>
  </si>
  <si>
    <t>BHAVSAR URVIBEN ASHISHKUMAR</t>
  </si>
  <si>
    <t>23291341018</t>
  </si>
  <si>
    <t>CHAUDHARY MEHUL PAWANKUMAR</t>
  </si>
  <si>
    <t>23291341019</t>
  </si>
  <si>
    <t>CHAUDHARY SAGAR BHAGVANBHAI</t>
  </si>
  <si>
    <t>23291341021</t>
  </si>
  <si>
    <t>CHHUNCHHA MAULI ABHAYKUMAR</t>
  </si>
  <si>
    <t>23291341025</t>
  </si>
  <si>
    <t>DAVE HETVI BHAVESHKUMAR</t>
  </si>
  <si>
    <t>23291341027</t>
  </si>
  <si>
    <t>DAVE VED BHAGYEN</t>
  </si>
  <si>
    <t>23291341029</t>
  </si>
  <si>
    <t>DEVAM VARA</t>
  </si>
  <si>
    <t>23291341036</t>
  </si>
  <si>
    <t>GANDHI TANISH RAKESHKUMAR</t>
  </si>
  <si>
    <t>23291341049</t>
  </si>
  <si>
    <t>KANASAGARA HET AMITKUMAR</t>
  </si>
  <si>
    <t>23291341056</t>
  </si>
  <si>
    <t>MEER ARBAJBHAI PANKULBHAI</t>
  </si>
  <si>
    <t>23291341057</t>
  </si>
  <si>
    <t>MEGH PATEL</t>
  </si>
  <si>
    <t>23291341058</t>
  </si>
  <si>
    <t>MEHTA KAVYA PRANAVKUMAR</t>
  </si>
  <si>
    <t xml:space="preserve">                    </t>
  </si>
  <si>
    <t>23291341060</t>
  </si>
  <si>
    <t>MEVADA PURV NIRAVBHAI</t>
  </si>
  <si>
    <t>23291341064</t>
  </si>
  <si>
    <t>NAMRA AMITBHAI KHAMAR</t>
  </si>
  <si>
    <t>23291341067</t>
  </si>
  <si>
    <t>NAYAK KUSH CHANDRAKANT</t>
  </si>
  <si>
    <t>23291341070</t>
  </si>
  <si>
    <t>PADHIYAR HETANG BHAVESHBHAI</t>
  </si>
  <si>
    <t>23291341072</t>
  </si>
  <si>
    <t>PARMAR JIGAR RAMESHBHAI</t>
  </si>
  <si>
    <t>23291341073</t>
  </si>
  <si>
    <t>PARMAR RAJAN DIVYAKANT</t>
  </si>
  <si>
    <t>23291341075</t>
  </si>
  <si>
    <t>PATADIYA PARNA DEVENBHAI</t>
  </si>
  <si>
    <t>23291341076</t>
  </si>
  <si>
    <t>PATEL ADITI SHAILESHKUMAR</t>
  </si>
  <si>
    <t>23291341078</t>
  </si>
  <si>
    <t>PATEL ARYA BAKULESHBHAI</t>
  </si>
  <si>
    <t>23291341080</t>
  </si>
  <si>
    <t>PATEL DARSH PRAVINKUMAR</t>
  </si>
  <si>
    <t>23291341085</t>
  </si>
  <si>
    <t>PATEL GRACY VIPULKUMAR</t>
  </si>
  <si>
    <t>23291341091</t>
  </si>
  <si>
    <t>PATEL JALPAN BHARATKUMAR</t>
  </si>
  <si>
    <t>23291341093</t>
  </si>
  <si>
    <t>PATEL KAVYA VIPULKUMAR</t>
  </si>
  <si>
    <t>23291341094</t>
  </si>
  <si>
    <t>PATEL KHUSHI DHARMENDRAKUMAR</t>
  </si>
  <si>
    <t>23291341095</t>
  </si>
  <si>
    <t>PATEL KRIMA PANKAJKUMAR</t>
  </si>
  <si>
    <t>23291341096</t>
  </si>
  <si>
    <t>PATEL KRISH BHARATBHAI</t>
  </si>
  <si>
    <t>23291341097</t>
  </si>
  <si>
    <t>PATEL KRISHABEN KINJALKUMAR</t>
  </si>
  <si>
    <t>23291341099</t>
  </si>
  <si>
    <t>PATEL MAITRI SHAILESHBHAI</t>
  </si>
  <si>
    <t>23291341102</t>
  </si>
  <si>
    <t>PATEL MANAV UTSAVKUMAR</t>
  </si>
  <si>
    <t>23291341105</t>
  </si>
  <si>
    <t>PATEL MANTHAN JIGNESHBHAI</t>
  </si>
  <si>
    <t>23291341109</t>
  </si>
  <si>
    <t>PATEL NEHA NARANBHAI</t>
  </si>
  <si>
    <t>23291341110</t>
  </si>
  <si>
    <t>PATEL NILAXI ALPESHLUMAR</t>
  </si>
  <si>
    <t>23291341111</t>
  </si>
  <si>
    <t>PATEL NISARG BHAVESHKUMAR</t>
  </si>
  <si>
    <t>23291341114</t>
  </si>
  <si>
    <t>PATEL PRACHI JAYESHKUMAR</t>
  </si>
  <si>
    <t>23291341115</t>
  </si>
  <si>
    <t>PATEL PRINCE KAMLESHKUMAR</t>
  </si>
  <si>
    <t>23291341117</t>
  </si>
  <si>
    <t>PATEL PRIYAMKUMAR VINODBHAI</t>
  </si>
  <si>
    <t>23291341118</t>
  </si>
  <si>
    <t>PATEL RUDRAKSH SANJAYBHAI</t>
  </si>
  <si>
    <t>23291341123</t>
  </si>
  <si>
    <t>PATEL TAKSH DHARMENDRAKUMAR</t>
  </si>
  <si>
    <t>23291341124</t>
  </si>
  <si>
    <t>PATEL TIRTH BHARATKUMAR</t>
  </si>
  <si>
    <t>23291341125</t>
  </si>
  <si>
    <t>PATEL TITHI BHARATKUMAR</t>
  </si>
  <si>
    <t>23291341127</t>
  </si>
  <si>
    <t>PATEL VED MUKESHBHAI</t>
  </si>
  <si>
    <t>23291341129</t>
  </si>
  <si>
    <t>PATEL YASHVI SURESHBHAI</t>
  </si>
  <si>
    <t>23291341130</t>
  </si>
  <si>
    <t>PATEL YOGI DINESHCHANDRA</t>
  </si>
  <si>
    <t>23291341132</t>
  </si>
  <si>
    <t>PRAJAPATI DAKSH MUKESHBHAI</t>
  </si>
  <si>
    <t>23291341135</t>
  </si>
  <si>
    <t>PRAJAPATI NENCY VISHNUBHAI</t>
  </si>
  <si>
    <t>23291341139</t>
  </si>
  <si>
    <t>RABARI DEVKUMAR GEMARBHAI</t>
  </si>
  <si>
    <t>23291341145</t>
  </si>
  <si>
    <t>RATHOD DASHARATH RAJUBHAI</t>
  </si>
  <si>
    <t>23291341146</t>
  </si>
  <si>
    <t>RATHOD SUHANI</t>
  </si>
  <si>
    <t>23291341149</t>
  </si>
  <si>
    <t>RAVAL YADITI VINODBHAI</t>
  </si>
  <si>
    <t>23291341150</t>
  </si>
  <si>
    <t>RAVAT KRUNAL VININDRAKUMAR</t>
  </si>
  <si>
    <t>23291341153</t>
  </si>
  <si>
    <t>SADHU SAHIL SUNILKUMAR</t>
  </si>
  <si>
    <t>23291341158</t>
  </si>
  <si>
    <t>SUTHAR DHYAN SUNIL</t>
  </si>
  <si>
    <t>23291341165</t>
  </si>
  <si>
    <t>TRIVEDI JAINISH KAUMITKUMAR</t>
  </si>
  <si>
    <t>23291341168</t>
  </si>
  <si>
    <t>VAGHARI MAULIK JAGDISHBHAI</t>
  </si>
  <si>
    <t>23291341169</t>
  </si>
  <si>
    <t>VAGHELA RIYABEN DINESHBHAI</t>
  </si>
  <si>
    <t>23291341170</t>
  </si>
  <si>
    <t>VANSFODA DEVRAJ ANANDBHAI</t>
  </si>
  <si>
    <t>23291341172</t>
  </si>
  <si>
    <t>VISHWAKARMA KAJAL SANTOSHKUMAR</t>
  </si>
  <si>
    <t>23291341175</t>
  </si>
  <si>
    <t>ZINZUWADIA KETUL RAMESHBHAI</t>
  </si>
  <si>
    <t>23291341182</t>
  </si>
  <si>
    <t>PATEL DIRG GOVINDBHAI</t>
  </si>
  <si>
    <t>23291341184</t>
  </si>
  <si>
    <t>PATEL ARYABEN SANJAYKUMAR</t>
  </si>
  <si>
    <t>23291341187</t>
  </si>
  <si>
    <t>PATEL KRISH ALPESHKUMAR</t>
  </si>
  <si>
    <t>23291341190</t>
  </si>
  <si>
    <t>PATEL RIYA RAJENDRABHAI</t>
  </si>
  <si>
    <t>23291341192</t>
  </si>
  <si>
    <t>SALVI KRISH GANESHBHAI</t>
  </si>
  <si>
    <t>23291341193</t>
  </si>
  <si>
    <t>SUTHAR TAKSH BHAVESHBHAI</t>
  </si>
  <si>
    <t>22291341062</t>
  </si>
  <si>
    <t>PATEL DELSY RAKESHKUMAR</t>
  </si>
  <si>
    <t>22291341105</t>
  </si>
  <si>
    <t>PATEL SHREY SUNILKUMAR</t>
  </si>
  <si>
    <t>23291341002</t>
  </si>
  <si>
    <t>ADARSH KUMAR</t>
  </si>
  <si>
    <t>23291341003</t>
  </si>
  <si>
    <t>ADITYA BHARAT KUMAR CHAUDHARI</t>
  </si>
  <si>
    <t>23291341004</t>
  </si>
  <si>
    <t>AJMERI AARIN</t>
  </si>
  <si>
    <t>23291341005</t>
  </si>
  <si>
    <t>ARNAV PARIHAR</t>
  </si>
  <si>
    <t>23291341008</t>
  </si>
  <si>
    <t>BATHANI MAHEK AMITKUMAR</t>
  </si>
  <si>
    <t>23291341009</t>
  </si>
  <si>
    <t>BATHANI TULSI VALLABHBHAI</t>
  </si>
  <si>
    <t>23291341010</t>
  </si>
  <si>
    <t>BHABHOR VANDANABEN VINODBHAI</t>
  </si>
  <si>
    <t>23291341011</t>
  </si>
  <si>
    <t>BHANDERI JAYKUMAR PANKAJBHAI</t>
  </si>
  <si>
    <t>23291341014</t>
  </si>
  <si>
    <t>CHANIYARA NEET BHAVESH</t>
  </si>
  <si>
    <t>23291341015</t>
  </si>
  <si>
    <t>CHAUAHDARY IRVIN PRAVINBHAI</t>
  </si>
  <si>
    <t>23291341016</t>
  </si>
  <si>
    <t>CHAUDHARI AYUSH JASHVANTBHAI</t>
  </si>
  <si>
    <t>23291341017</t>
  </si>
  <si>
    <t>CHAUDHARY DHYEY BHIKHABHAI</t>
  </si>
  <si>
    <t>23291341022</t>
  </si>
  <si>
    <t>CHUDASAMA DHARMESH JITUBHAI</t>
  </si>
  <si>
    <t>23291341023</t>
  </si>
  <si>
    <t>DALSANIYA BRIJ MANOJBHAI</t>
  </si>
  <si>
    <t>23291341024</t>
  </si>
  <si>
    <t>DARJI AASTHA PARAGBHAI</t>
  </si>
  <si>
    <t>23291341026</t>
  </si>
  <si>
    <t>DAVE JHANVI JAYESHKUMAR</t>
  </si>
  <si>
    <t>23291341031</t>
  </si>
  <si>
    <t>DEVDHA JASODABEN SUMABHAI</t>
  </si>
  <si>
    <t>23291341032</t>
  </si>
  <si>
    <t>DEYAAN GANDHI</t>
  </si>
  <si>
    <t>23291341033</t>
  </si>
  <si>
    <t>DHODI AVANIKUMARI RAJESHBHAI</t>
  </si>
  <si>
    <t>23291341034</t>
  </si>
  <si>
    <t>GAJJAR NANDANI SHAILESHBHAI</t>
  </si>
  <si>
    <t>23291341035</t>
  </si>
  <si>
    <t>GAMETI KRISHNABEN RAMABHAI</t>
  </si>
  <si>
    <t>23291341037</t>
  </si>
  <si>
    <t>GANVIT NITINBHAI RAMESHBHAI</t>
  </si>
  <si>
    <t>23291341039</t>
  </si>
  <si>
    <t>GAVALI HETALBEN UMESHBHAI</t>
  </si>
  <si>
    <t>23291341040</t>
  </si>
  <si>
    <t>GAVLI NAYNABEN BHAVURAMBHAI</t>
  </si>
  <si>
    <t>23291341042</t>
  </si>
  <si>
    <t>GOSWAMI DIVYA NARESHBHARTHI</t>
  </si>
  <si>
    <t>23291341044</t>
  </si>
  <si>
    <t>JANI NAISHADH RAKESHKUMAR</t>
  </si>
  <si>
    <t>23291341046</t>
  </si>
  <si>
    <t>JOSHI VYOM HITENKUMAR</t>
  </si>
  <si>
    <t>23291341048</t>
  </si>
  <si>
    <t>KALARIYA PRITHAL RAJAN</t>
  </si>
  <si>
    <t>23291341050</t>
  </si>
  <si>
    <t>KANTARIYA JAY DINESHBHAI</t>
  </si>
  <si>
    <t>23291341051</t>
  </si>
  <si>
    <t>KARDANI DHARMKUMAR JITESHBHAI</t>
  </si>
  <si>
    <t>23291341053</t>
  </si>
  <si>
    <t>MAHESHWARI PARTH ARVINDBHAI</t>
  </si>
  <si>
    <t>23291341054</t>
  </si>
  <si>
    <t>MAKAVANA TEJ SHANTIBHAI</t>
  </si>
  <si>
    <t>23291341055</t>
  </si>
  <si>
    <t>MANSURI ARSH RAJMAHMAD</t>
  </si>
  <si>
    <t>23291341059</t>
  </si>
  <si>
    <t>MEVADA MAHI JIGARKUMAR</t>
  </si>
  <si>
    <t>23291341061</t>
  </si>
  <si>
    <t>MILI ATULBHAI RUDANI</t>
  </si>
  <si>
    <t>23291341062</t>
  </si>
  <si>
    <t>MINSARIYA AZAD ALNUR</t>
  </si>
  <si>
    <t>23291341063</t>
  </si>
  <si>
    <t>MODI HETAVI JIGESH</t>
  </si>
  <si>
    <t>23291341065</t>
  </si>
  <si>
    <t>NANDHA KAVY PARESHBHAI</t>
  </si>
  <si>
    <t>23291341066</t>
  </si>
  <si>
    <t>NAYAK DEVANGKUMAR CHANDANKUMAR</t>
  </si>
  <si>
    <t>23291341068</t>
  </si>
  <si>
    <t>NAYAK RUDRA JAYESHBHAI</t>
  </si>
  <si>
    <t>23291341069</t>
  </si>
  <si>
    <t>OZA YESHA HEMANTKUMAR</t>
  </si>
  <si>
    <t>23291341071</t>
  </si>
  <si>
    <t>PANCHAL KHUSHI NIRANJANKUMAR</t>
  </si>
  <si>
    <t>23291341074</t>
  </si>
  <si>
    <t>PARMAR VRAJ SATISHKUMAR</t>
  </si>
  <si>
    <t>23291341077</t>
  </si>
  <si>
    <t>PATEL ARPI ALPESH</t>
  </si>
  <si>
    <t>23291341081</t>
  </si>
  <si>
    <t>PATEL DEV DINESHKUMAR</t>
  </si>
  <si>
    <t>23291341082</t>
  </si>
  <si>
    <t>PATEL DRASHTI SUNIL</t>
  </si>
  <si>
    <t>23291341084</t>
  </si>
  <si>
    <t>PATEL GARV KIRTIBHAI</t>
  </si>
  <si>
    <t>23291341086</t>
  </si>
  <si>
    <t>PATEL HARSHKUMAR MUKESHBHAI</t>
  </si>
  <si>
    <t>23291341087</t>
  </si>
  <si>
    <t>PATEL HEER RITESHKUMAR</t>
  </si>
  <si>
    <t>23291341088</t>
  </si>
  <si>
    <t>PATEL HENSIBEN SANJAYKUMAR</t>
  </si>
  <si>
    <t>23291341089</t>
  </si>
  <si>
    <t>PATEL HET AMITKUMAR</t>
  </si>
  <si>
    <t>23291341098</t>
  </si>
  <si>
    <t>PATEL KRUTIKKUMAR KALPESHBHAI</t>
  </si>
  <si>
    <t>23291341103</t>
  </si>
  <si>
    <t>PATEL MANAVKUMAR DHIRENBHAI</t>
  </si>
  <si>
    <t>23291341107</t>
  </si>
  <si>
    <t>PATEL MIHIRKUMAR JIGNESHKUMAR</t>
  </si>
  <si>
    <t>23291341112</t>
  </si>
  <si>
    <t>PATEL PAL KIRITBHAI</t>
  </si>
  <si>
    <t>23291341113</t>
  </si>
  <si>
    <t>PATEL PINALBEN HARISHBHAI</t>
  </si>
  <si>
    <t>23291341116</t>
  </si>
  <si>
    <t>PATEL PRINS ASHOKKUMAR</t>
  </si>
  <si>
    <t>23291341119</t>
  </si>
  <si>
    <t>PATEL RUSHABH RAKESHBHAI</t>
  </si>
  <si>
    <t>23291341120</t>
  </si>
  <si>
    <t>PATEL RUTVI VASUDEVBHAI</t>
  </si>
  <si>
    <t>23291341121</t>
  </si>
  <si>
    <t>PATEL SHWET ALPESHKUMAR</t>
  </si>
  <si>
    <t>23291341122</t>
  </si>
  <si>
    <t>PATEL SMITKUMAR NILESHBHAI</t>
  </si>
  <si>
    <t>23291341126</t>
  </si>
  <si>
    <t>PATEL TWINKALBEN TAPESHBHAI</t>
  </si>
  <si>
    <t>23291341128</t>
  </si>
  <si>
    <t>PATEL VISHVA NAVINCHANDRA</t>
  </si>
  <si>
    <t>23291341131</t>
  </si>
  <si>
    <t>PATEL YUG RAKESHKUMAR</t>
  </si>
  <si>
    <t>23291341133</t>
  </si>
  <si>
    <t>PRAJAPATI KRISH KALPESHKUMAR</t>
  </si>
  <si>
    <t>23291341136</t>
  </si>
  <si>
    <t>PRAJAPATI OM PRAKASHBHAI</t>
  </si>
  <si>
    <t>23291341138</t>
  </si>
  <si>
    <t>PRAJAPATI VIPAL KANUBHAI</t>
  </si>
  <si>
    <t>23291341143</t>
  </si>
  <si>
    <t>RAJPUT KHODABHAI DILIPBHAI</t>
  </si>
  <si>
    <t>23291341144</t>
  </si>
  <si>
    <t>RAMI DHAVAL KIRANBHAI</t>
  </si>
  <si>
    <t>23291341152</t>
  </si>
  <si>
    <t>Roshan pandit</t>
  </si>
  <si>
    <t>23291341155</t>
  </si>
  <si>
    <t>SHERASIYA NOFIL YUNUSHBHAI</t>
  </si>
  <si>
    <t>23291341156</t>
  </si>
  <si>
    <t>SHERASIYA SEHJAD</t>
  </si>
  <si>
    <t>23291341159</t>
  </si>
  <si>
    <t>SUTHAR VED MANISHKUMAR</t>
  </si>
  <si>
    <t>23291341160</t>
  </si>
  <si>
    <t>TADVI EKTABEN MUKESHBHAI</t>
  </si>
  <si>
    <t>23291341161</t>
  </si>
  <si>
    <t>TADVI MANSIBEN MUKESHBHAI</t>
  </si>
  <si>
    <t>23291341163</t>
  </si>
  <si>
    <t>THAKOR PRAKASH RAJUJI</t>
  </si>
  <si>
    <t>23291341164</t>
  </si>
  <si>
    <t>TOMAR RAJVEERSINGH PANKAJSINGH</t>
  </si>
  <si>
    <t>23291341166</t>
  </si>
  <si>
    <t>VADHEL AKASH BALUBHAI</t>
  </si>
  <si>
    <t>23291341167</t>
  </si>
  <si>
    <t>VADHEL NILESHBHAI RAJUBHAI</t>
  </si>
  <si>
    <t>23291341173</t>
  </si>
  <si>
    <t>VRAJ DINESH PAREKH</t>
  </si>
  <si>
    <t>23291341176</t>
  </si>
  <si>
    <t>HET YOGESH PATEL</t>
  </si>
  <si>
    <t>23291341180</t>
  </si>
  <si>
    <t>JOSHI YATRI HARSHKUMAR</t>
  </si>
  <si>
    <t>23291341181</t>
  </si>
  <si>
    <t>MODI ARYAN YASHVANTKUMAR</t>
  </si>
  <si>
    <t>23291341183</t>
  </si>
  <si>
    <t>PATEL ADITI PRAVINBHAI</t>
  </si>
  <si>
    <t>23291341185</t>
  </si>
  <si>
    <t>PATEL HERIN PRAKASHKUMAR</t>
  </si>
  <si>
    <t>23291341186</t>
  </si>
  <si>
    <t>PATEL KARMKUMAR DASHRATHBHAI</t>
  </si>
  <si>
    <t>23291341188</t>
  </si>
  <si>
    <t>PATEL PRIYA KAMLESHKUMAR</t>
  </si>
  <si>
    <t>23291341191</t>
  </si>
  <si>
    <t>RAVAL KASHISH PARAGKUMAR</t>
  </si>
  <si>
    <t>24291342001</t>
  </si>
  <si>
    <t>PRAJAPATI SARTHAK PARESHBHAI</t>
  </si>
  <si>
    <t>22171341157</t>
  </si>
  <si>
    <t>PERCEPTION VUSUMUZI</t>
  </si>
  <si>
    <t>22171341186</t>
  </si>
  <si>
    <t>SOLANKI DIVYA JITUBHAI</t>
  </si>
  <si>
    <t>23171341001</t>
  </si>
  <si>
    <t>ACHARYA KRISHNA HITESHKUMAR</t>
  </si>
  <si>
    <t>23171341003</t>
  </si>
  <si>
    <t>AMIN PRAYAG GIRISHKUMAR</t>
  </si>
  <si>
    <t>23171341011</t>
  </si>
  <si>
    <t>BHANUSHALI KRISH SHANTILAL</t>
  </si>
  <si>
    <t>23171341015</t>
  </si>
  <si>
    <t>CHAUDHARI MITESHKUMAR RATUBHAI</t>
  </si>
  <si>
    <t>23171341016</t>
  </si>
  <si>
    <t>CHAUDHARI MOHIT MAHESHBHAI</t>
  </si>
  <si>
    <t>23171341021</t>
  </si>
  <si>
    <t>CHOLERA RAJ UDAYBHAI</t>
  </si>
  <si>
    <t>23171341022</t>
  </si>
  <si>
    <t>DARJI DIVY MANISHKUMAR</t>
  </si>
  <si>
    <t>23171341026</t>
  </si>
  <si>
    <t>DEVAM JAYRAMBHAI DESAI</t>
  </si>
  <si>
    <t>23171341027</t>
  </si>
  <si>
    <t>DEVANGI GAJJAR</t>
  </si>
  <si>
    <t>23171341028</t>
  </si>
  <si>
    <t>DEVEN AMITKUMAR PATEL</t>
  </si>
  <si>
    <t>23171341031</t>
  </si>
  <si>
    <t>GAJJAR DAKSH PRAVINKUMAR</t>
  </si>
  <si>
    <t>23171341035</t>
  </si>
  <si>
    <t>JADHAV PRAPTI LIRIL</t>
  </si>
  <si>
    <t>23171341036</t>
  </si>
  <si>
    <t>JANI RITESH BHARATKUMAR</t>
  </si>
  <si>
    <t>23171341038</t>
  </si>
  <si>
    <t>JOSHI HEET MAHESHKUMAR</t>
  </si>
  <si>
    <t>23171341044</t>
  </si>
  <si>
    <t>KRITIKA AGARWAL</t>
  </si>
  <si>
    <t>23171341045</t>
  </si>
  <si>
    <t>LIMBACHIYA SHREYA SAMIRKUMAR</t>
  </si>
  <si>
    <t>23171341048</t>
  </si>
  <si>
    <t>MEHTA ANAMIKA JANAKBHAI</t>
  </si>
  <si>
    <t>23171341049</t>
  </si>
  <si>
    <t>MEHTA ARCHIE YAGNESHBHAI</t>
  </si>
  <si>
    <t>23171341052</t>
  </si>
  <si>
    <t>MISTRI RUSHI BHAVESHKUMAR</t>
  </si>
  <si>
    <t>23171341054</t>
  </si>
  <si>
    <t>MODI AAYUSH VALKESHBHAI</t>
  </si>
  <si>
    <t>23171341056</t>
  </si>
  <si>
    <t>MODI PRIYANSHU BHAVESHKUMAR</t>
  </si>
  <si>
    <t>23171341057</t>
  </si>
  <si>
    <t>NAMRA BHAVINKUMAR DESAI</t>
  </si>
  <si>
    <t>23171341061</t>
  </si>
  <si>
    <t>PANCHAL JAINEE HITESHKUMAR</t>
  </si>
  <si>
    <t>23171341064</t>
  </si>
  <si>
    <t>PARIN DINESHBHAI SUTARIYA</t>
  </si>
  <si>
    <t>23171341070</t>
  </si>
  <si>
    <t>PATEL ANSHKUMAR JITENDRABHAI</t>
  </si>
  <si>
    <t>23171341074</t>
  </si>
  <si>
    <t>PATEL ARYANKUMAR KANUBHAI</t>
  </si>
  <si>
    <t>23171341075</t>
  </si>
  <si>
    <t>PATEL BHAVY NALINBHAI</t>
  </si>
  <si>
    <t>23171341076</t>
  </si>
  <si>
    <t>PATEL CHINTAN PRAVINBHAI</t>
  </si>
  <si>
    <t>23171341077</t>
  </si>
  <si>
    <t>PATEL DAKSH MAHENDRAKUMAR</t>
  </si>
  <si>
    <t>23171341078</t>
  </si>
  <si>
    <t>23171341079</t>
  </si>
  <si>
    <t>PATEL DEV ASHVINBHAI</t>
  </si>
  <si>
    <t>23171341080</t>
  </si>
  <si>
    <t>PATEL DHARMIK DIPAKKUMAR</t>
  </si>
  <si>
    <t>23171341081</t>
  </si>
  <si>
    <t>PATEL DHYANI RAKESHKUMAR</t>
  </si>
  <si>
    <t>23171341082</t>
  </si>
  <si>
    <t>PATEL FRENA ALPESHKUMAR</t>
  </si>
  <si>
    <t>23171341085</t>
  </si>
  <si>
    <t>PATEL HARSH PRAVINBHAI</t>
  </si>
  <si>
    <t>23171341087</t>
  </si>
  <si>
    <t>PATEL HET JAYESHKUMAR</t>
  </si>
  <si>
    <t>23171341089</t>
  </si>
  <si>
    <t>PATEL HETARTH DHARMESHBHAI</t>
  </si>
  <si>
    <t>23171341090</t>
  </si>
  <si>
    <t>PATEL HETVI JAGDISHBHAI</t>
  </si>
  <si>
    <t>23171341094</t>
  </si>
  <si>
    <t>PATEL JIL ARVINDBHAI</t>
  </si>
  <si>
    <t>23171341096</t>
  </si>
  <si>
    <t>PATEL KARTAVI DHARMESHBHAI</t>
  </si>
  <si>
    <t>23171341098</t>
  </si>
  <si>
    <t>PATEL KRISH MAHESHBHAI</t>
  </si>
  <si>
    <t>23171341099</t>
  </si>
  <si>
    <t>PATEL KRISH MAHESHKUMAR</t>
  </si>
  <si>
    <t>23171341100</t>
  </si>
  <si>
    <t>PATEL KRISHKUMAR</t>
  </si>
  <si>
    <t>23171341101</t>
  </si>
  <si>
    <t>PATEL KUSH NILESH</t>
  </si>
  <si>
    <t>23171341103</t>
  </si>
  <si>
    <t>PATEL MAHIR SANJAYKUMAR</t>
  </si>
  <si>
    <t>23171341105</t>
  </si>
  <si>
    <t>PATEL MEETKUMAR VASANTKUMAR</t>
  </si>
  <si>
    <t>23171341106</t>
  </si>
  <si>
    <t>PATEL NIJ YOGESHKUMAR</t>
  </si>
  <si>
    <t>23171341108</t>
  </si>
  <si>
    <t>PATEL NIRMAL RAJESHKUMAR</t>
  </si>
  <si>
    <t>23171341111</t>
  </si>
  <si>
    <t>PATEL PREYASI NILESHKUMAR</t>
  </si>
  <si>
    <t>23171341113</t>
  </si>
  <si>
    <t>PATEL PRINCE PRAKASHBHAI</t>
  </si>
  <si>
    <t>23171341115</t>
  </si>
  <si>
    <t>PATEL PURVAM ASHISHKUMAR</t>
  </si>
  <si>
    <t>23171341116</t>
  </si>
  <si>
    <t>PATEL RIYABEN VINODKUMAR</t>
  </si>
  <si>
    <t>23171341117</t>
  </si>
  <si>
    <t>PATEL RUDRA CHAITANYAKUMAR</t>
  </si>
  <si>
    <t>23171341124</t>
  </si>
  <si>
    <t>PATEL SMIT JAGDISHBHAI</t>
  </si>
  <si>
    <t>23171341125</t>
  </si>
  <si>
    <t>PATEL SMIT SANJAYKUMAR</t>
  </si>
  <si>
    <t>23171341126</t>
  </si>
  <si>
    <t>PATEL SOHAMKUMAR MANISHKUMAR</t>
  </si>
  <si>
    <t>23171341127</t>
  </si>
  <si>
    <t>PATEL SRUSHTI RASIKKUMAR</t>
  </si>
  <si>
    <t>23171341129</t>
  </si>
  <si>
    <t>PATEL TIRTH ALPESHKUMAR</t>
  </si>
  <si>
    <t>23171341133</t>
  </si>
  <si>
    <t>PATEL TUSHARKUMAR VASANTLAL</t>
  </si>
  <si>
    <t>23171341134</t>
  </si>
  <si>
    <t>PATEL URVAKUMAR DIPAKBHAI</t>
  </si>
  <si>
    <t>23171341135</t>
  </si>
  <si>
    <t>PATEL VED SURESHBHAI</t>
  </si>
  <si>
    <t>23171341136</t>
  </si>
  <si>
    <t>PATEL VEDANT SANJAYBHAI</t>
  </si>
  <si>
    <t>23171341137</t>
  </si>
  <si>
    <t>PATEL YASHIKA PRAKASHBHAI</t>
  </si>
  <si>
    <t>23171341140</t>
  </si>
  <si>
    <t>PRAJAPATI DHRUVI CHANDRAKANT</t>
  </si>
  <si>
    <t>23171341142</t>
  </si>
  <si>
    <t>PRAJAPATI DIPAKBHAI BHARATBHAI</t>
  </si>
  <si>
    <t>23171341147</t>
  </si>
  <si>
    <t>PRAJAPATI SUJAL MANISHKUMAR</t>
  </si>
  <si>
    <t>23171341150</t>
  </si>
  <si>
    <t>RATHOD NAYAN KANJIBHAI</t>
  </si>
  <si>
    <t>23171341152</t>
  </si>
  <si>
    <t>RATHOD NIYATI JITENDRABHAI</t>
  </si>
  <si>
    <t>23171341157</t>
  </si>
  <si>
    <t>RAVAL KARANKUMAR DASHARATHBHAI</t>
  </si>
  <si>
    <t>23171341159</t>
  </si>
  <si>
    <t>RAVAL NEEL MITESHRAY</t>
  </si>
  <si>
    <t>23171341165</t>
  </si>
  <si>
    <t>RAVAL SUDHIR LALABHAI</t>
  </si>
  <si>
    <t>23171341172</t>
  </si>
  <si>
    <t>SACHI RAGHUVIR PATEL</t>
  </si>
  <si>
    <t>23171341175</t>
  </si>
  <si>
    <t>SATHVARA NEEL ASHISH</t>
  </si>
  <si>
    <t>23171341176</t>
  </si>
  <si>
    <t>SHAAN YOGESHKUMAR PATEL</t>
  </si>
  <si>
    <t>23171341178</t>
  </si>
  <si>
    <t>SHAH HET MAYURKUMAR</t>
  </si>
  <si>
    <t>23171341179</t>
  </si>
  <si>
    <t>SHAH JAINAMKUMAR DHAVALKUMAR</t>
  </si>
  <si>
    <t>23171341180</t>
  </si>
  <si>
    <t>SHAH VED SHASHIKANT</t>
  </si>
  <si>
    <t>23171341181</t>
  </si>
  <si>
    <t>SHIHORA DIP BHARATBHAI</t>
  </si>
  <si>
    <t>23171341182</t>
  </si>
  <si>
    <t>SHREY ARVIND BHAI VAISHNAV</t>
  </si>
  <si>
    <t>23171341183</t>
  </si>
  <si>
    <t>SINGH ROSHANI NEERAJ</t>
  </si>
  <si>
    <t>23171341185</t>
  </si>
  <si>
    <t>SOLANKI MAITRA RITESHBHAI</t>
  </si>
  <si>
    <t>23171341186</t>
  </si>
  <si>
    <t>SONI TIRTHA MAYANKKUMAR</t>
  </si>
  <si>
    <t>23171341187</t>
  </si>
  <si>
    <t>SUKHADIYA DHARMIK KALPESHKUMAR</t>
  </si>
  <si>
    <t>23171341188</t>
  </si>
  <si>
    <t>SUKHADIYA DHRUV BIRENKUMAR</t>
  </si>
  <si>
    <t>23171341189</t>
  </si>
  <si>
    <t>SUKHADIYA HARSHVARDHAN JIGARBHAI</t>
  </si>
  <si>
    <t>23171341191</t>
  </si>
  <si>
    <t>SUTHAR JAINIL HITESHKUMAR</t>
  </si>
  <si>
    <t>23171341192</t>
  </si>
  <si>
    <t>SUTHAR JAYESH JAGADISHBHAI</t>
  </si>
  <si>
    <t>23171341193</t>
  </si>
  <si>
    <t>SUTHAR VANSH HASMUKHBHAI</t>
  </si>
  <si>
    <t>23171341195</t>
  </si>
  <si>
    <t>THAKKAR PRANSHU VASANTKUMAR</t>
  </si>
  <si>
    <t>23171341197</t>
  </si>
  <si>
    <t>VAINSH DRUMIT RAJESHBHAI</t>
  </si>
  <si>
    <t>23171341198</t>
  </si>
  <si>
    <t>VIRANI DHYEY DIPAK</t>
  </si>
  <si>
    <t>23171341200</t>
  </si>
  <si>
    <t>VYAS YUVRAJ RAJESHKUMAR</t>
  </si>
  <si>
    <t>23171341201</t>
  </si>
  <si>
    <t>ZALA RAJVIRSINGH PRADHUMANSINGH</t>
  </si>
  <si>
    <t>23171341203</t>
  </si>
  <si>
    <t>DHRUV AJAYKUMAR BAROT</t>
  </si>
  <si>
    <t>23171341205</t>
  </si>
  <si>
    <t>PATEL VRAJKUMAR HITESHKUMAR</t>
  </si>
  <si>
    <t>23171341206</t>
  </si>
  <si>
    <t>PANDIT JAY DAXESHBHAI</t>
  </si>
  <si>
    <t>24171342001</t>
  </si>
  <si>
    <t>MANSURI AYAN JAKIRHUSEN</t>
  </si>
  <si>
    <t>D</t>
  </si>
  <si>
    <t>22171341115</t>
  </si>
  <si>
    <t>PATEL MEET RAJKUMAR</t>
  </si>
  <si>
    <t>23171341002</t>
  </si>
  <si>
    <t>AGHERA ANJAN ATULKUMAR</t>
  </si>
  <si>
    <t>23171341004</t>
  </si>
  <si>
    <t>ARYAN MODI</t>
  </si>
  <si>
    <t>23171341005</t>
  </si>
  <si>
    <t>BAKARANIYA SMIT RAKESHBHAI</t>
  </si>
  <si>
    <t>23171341006</t>
  </si>
  <si>
    <t>BAMANA ANKUR POPATBHAI</t>
  </si>
  <si>
    <t>23171341007</t>
  </si>
  <si>
    <t>BAPODARA SIDDHARTH MALDEBHAI</t>
  </si>
  <si>
    <t>23171341008</t>
  </si>
  <si>
    <t>BAROT JAY AJAYKUMAR</t>
  </si>
  <si>
    <t>23171341010</t>
  </si>
  <si>
    <t>BHAGAT HARSHIL SANJAYKUMAR</t>
  </si>
  <si>
    <t>23171341012</t>
  </si>
  <si>
    <t>BHATIA KUNAL MANISH</t>
  </si>
  <si>
    <t>23171341013</t>
  </si>
  <si>
    <t>BHAVSAR HIT DIPAKKUMAR</t>
  </si>
  <si>
    <t>23171341014</t>
  </si>
  <si>
    <t>CHAUDHARI KRISH DHIRAJKUMAR</t>
  </si>
  <si>
    <t>23171341017</t>
  </si>
  <si>
    <t>CHAUDHARI SUJAL ASHOKBHAI</t>
  </si>
  <si>
    <t>23171341018</t>
  </si>
  <si>
    <t>CHAUDHARY DEVRAJ PIYUSHBHAI</t>
  </si>
  <si>
    <t>23171341023</t>
  </si>
  <si>
    <t>DAVE JESAL MEHUL</t>
  </si>
  <si>
    <t>23171341025</t>
  </si>
  <si>
    <t>DESAI KASHISH DINESHBHAI</t>
  </si>
  <si>
    <t>23171341029</t>
  </si>
  <si>
    <t>DHODIYA DHRUVESHKUMAR HITESHKUMAR</t>
  </si>
  <si>
    <t>23171341032</t>
  </si>
  <si>
    <t>GAMIT ALINKUMAR SUNILBHAI</t>
  </si>
  <si>
    <t>23171341033</t>
  </si>
  <si>
    <t>GULSHAN E FATHIMA</t>
  </si>
  <si>
    <t>23171341037</t>
  </si>
  <si>
    <t>JEETKUMAR PAVAR</t>
  </si>
  <si>
    <t>23171341039</t>
  </si>
  <si>
    <t>JOSHI PREM RAJESHKUMAR</t>
  </si>
  <si>
    <t>23171341041</t>
  </si>
  <si>
    <t>KANSARA HARDI PANKAJKUMAR</t>
  </si>
  <si>
    <t>23171341042</t>
  </si>
  <si>
    <t>KAVYA SHAH</t>
  </si>
  <si>
    <t>23171341051</t>
  </si>
  <si>
    <t>MEVADA SHREYKUMAR ARVINDBHAI</t>
  </si>
  <si>
    <t>23171341053</t>
  </si>
  <si>
    <t>MISTRY HARSH RAJANIKANT</t>
  </si>
  <si>
    <t>23171341062</t>
  </si>
  <si>
    <t>PANCHANI AYUSH RAJNIKANT</t>
  </si>
  <si>
    <t>23171341063</t>
  </si>
  <si>
    <t>PANCHOLA PRINCEKUMAR VINODBHAI</t>
  </si>
  <si>
    <t>23171341066</t>
  </si>
  <si>
    <t>PARMAR SANJAYBHAI MANABHAI</t>
  </si>
  <si>
    <t>23171341068</t>
  </si>
  <si>
    <t>PATEL ANJAL MITULKUMAR</t>
  </si>
  <si>
    <t>23171341069</t>
  </si>
  <si>
    <t>PATEL ANSHKUMAR ASHVINBHAI</t>
  </si>
  <si>
    <t>23171341071</t>
  </si>
  <si>
    <t>PATEL ARCHI KALPESHBHAI</t>
  </si>
  <si>
    <t>23171341072</t>
  </si>
  <si>
    <t>PATEL AROHI AJITKUMAR</t>
  </si>
  <si>
    <t>23171341073</t>
  </si>
  <si>
    <t>Patel aryan chandrakantbhai</t>
  </si>
  <si>
    <t>23171341083</t>
  </si>
  <si>
    <t>PATEL HANI JAYESHKUMAR</t>
  </si>
  <si>
    <t>23171341086</t>
  </si>
  <si>
    <t>PATEL HENIL PRADIPKUMAR</t>
  </si>
  <si>
    <t>23171341088</t>
  </si>
  <si>
    <t>PATEL HET NILESHKUMAR</t>
  </si>
  <si>
    <t>23171341091</t>
  </si>
  <si>
    <t>PATEL JAINAM ANILKUMAR</t>
  </si>
  <si>
    <t>23171341093</t>
  </si>
  <si>
    <t>PATEL JENIS ALPESHKUMAR</t>
  </si>
  <si>
    <t>23171341097</t>
  </si>
  <si>
    <t>PATEL KAVAN SHAILESHKUMAR</t>
  </si>
  <si>
    <t>23171341102</t>
  </si>
  <si>
    <t>PATEL MAHI SANJAYBHAI</t>
  </si>
  <si>
    <t>23171341104</t>
  </si>
  <si>
    <t>PATEL MARYA MANUBHAI</t>
  </si>
  <si>
    <t>23171341114</t>
  </si>
  <si>
    <t>PATEL PRITKUMAR RAJESHKUMAR</t>
  </si>
  <si>
    <t>23171341119</t>
  </si>
  <si>
    <t>PATEL SAKSHI JAYESHKUMAR</t>
  </si>
  <si>
    <t>23171341120</t>
  </si>
  <si>
    <t>PATEL SAUMYA KIRITBHAI</t>
  </si>
  <si>
    <t>23171341121</t>
  </si>
  <si>
    <t>PATEL SHREY SUNILBHAI</t>
  </si>
  <si>
    <t>23171341122</t>
  </si>
  <si>
    <t>PATEL SHUBHAM KANUBHAI</t>
  </si>
  <si>
    <t>23171341128</t>
  </si>
  <si>
    <t>PATEL TANVIBEN ATULBHAI</t>
  </si>
  <si>
    <t>23171341130</t>
  </si>
  <si>
    <t>PATEL TIRTH JAGDISHKUMAR</t>
  </si>
  <si>
    <t>23171341131</t>
  </si>
  <si>
    <t>PATEL TITHIBEN KAUSHIKBHAI</t>
  </si>
  <si>
    <t>23171341132</t>
  </si>
  <si>
    <t>PATEL TRUSHIL NILESHKUMAR</t>
  </si>
  <si>
    <t>23171341138</t>
  </si>
  <si>
    <t>PATEL YATI NIKUNJKUMAR</t>
  </si>
  <si>
    <t>23171341139</t>
  </si>
  <si>
    <t>PATEL YUG ISHVARBHAI</t>
  </si>
  <si>
    <t>23171341141</t>
  </si>
  <si>
    <t>PRAJAPATI DHRUVIK SURESHBHAI</t>
  </si>
  <si>
    <t>23171341143</t>
  </si>
  <si>
    <t>PRAJAPATI HET SHAILESHKUMAR</t>
  </si>
  <si>
    <t>23171341146</t>
  </si>
  <si>
    <t>PRAJAPATI SAUMY SATISHKUMAR</t>
  </si>
  <si>
    <t>23171341149</t>
  </si>
  <si>
    <t>RANA PRATHAPSINH PRAVEENSINH</t>
  </si>
  <si>
    <t>23171341151</t>
  </si>
  <si>
    <t>RATHOD NIRAV MAHESHBHAI</t>
  </si>
  <si>
    <t>23171341156</t>
  </si>
  <si>
    <t>RAVAL KARANBHAI MAHESHBHAI</t>
  </si>
  <si>
    <t>23171341163</t>
  </si>
  <si>
    <t>RAVAL SAMIKSHABEN SURESHBHAI</t>
  </si>
  <si>
    <t>23171341166</t>
  </si>
  <si>
    <t>RAVAL SUHANI BHARATBHAI</t>
  </si>
  <si>
    <t>23171341169</t>
  </si>
  <si>
    <t>RAVAL VATSAL ALOKKUMAR</t>
  </si>
  <si>
    <t>23171341170</t>
  </si>
  <si>
    <t>RAVAL VISHESH JAYESHKUMAR</t>
  </si>
  <si>
    <t>23171341173</t>
  </si>
  <si>
    <t>SACHIN KUMAR</t>
  </si>
  <si>
    <t>23171341174</t>
  </si>
  <si>
    <t>SAIYAD JUNERABANU MOHMEDANISH</t>
  </si>
  <si>
    <t>23171341177</t>
  </si>
  <si>
    <t>SHAH HARSHIL SANJIVBHAI</t>
  </si>
  <si>
    <t>23171341199</t>
  </si>
  <si>
    <t>VYAS SHARADKUMAR MUKESHKUMAR</t>
  </si>
  <si>
    <t>23171341202</t>
  </si>
  <si>
    <t>ZALAVADIYA MANTRA CHANDRESHKUMAR</t>
  </si>
  <si>
    <t>21291371008</t>
  </si>
  <si>
    <t>DESAI RUDRA GAJENDRAKUMAR</t>
  </si>
  <si>
    <t>22291371005</t>
  </si>
  <si>
    <t>BIND VED SURAJKUMAR</t>
  </si>
  <si>
    <t>22291371050</t>
  </si>
  <si>
    <t>PATEL DAKSH VISHALBHAI</t>
  </si>
  <si>
    <t>22291371051</t>
  </si>
  <si>
    <t>PATEL DAMAN MITESHBHAI</t>
  </si>
  <si>
    <t>22291371090</t>
  </si>
  <si>
    <t>PATEL RAJKUMAR BIPINBHAI</t>
  </si>
  <si>
    <t>22291371103</t>
  </si>
  <si>
    <t>PATEL VED VIKRAMBHAI</t>
  </si>
  <si>
    <t>A B</t>
  </si>
  <si>
    <t>22291371141</t>
  </si>
  <si>
    <t>SEZAN ISRAIL VAGADIYA</t>
  </si>
  <si>
    <t>22291371146</t>
  </si>
  <si>
    <t>PATEL ARYA ALPESHBHAI</t>
  </si>
  <si>
    <t>22291371153</t>
  </si>
  <si>
    <t>VIJAPURA TOSIF ASIFBHAI</t>
  </si>
  <si>
    <t>23291371001</t>
  </si>
  <si>
    <t>BABI ISRABANU NASIRKHAN</t>
  </si>
  <si>
    <t>23291371006</t>
  </si>
  <si>
    <t>BHATT SHLOK JIGARKUMAR</t>
  </si>
  <si>
    <t>23291371008</t>
  </si>
  <si>
    <t>BRAHMBHATT NIL JIGNESHKUMAR</t>
  </si>
  <si>
    <t>23291371009</t>
  </si>
  <si>
    <t>CHAUDHARI DAXKUMAR KANTILAL</t>
  </si>
  <si>
    <t>23291371010</t>
  </si>
  <si>
    <t>CHAUDHARI PANKTI VISHALKUMAR</t>
  </si>
  <si>
    <t>23291371011</t>
  </si>
  <si>
    <t>CHAUDHARI PRITKUMAR RAJUBHAI</t>
  </si>
  <si>
    <t>23291371014</t>
  </si>
  <si>
    <t>CHAUHAN ALOKSINH PARAKRAMSINH</t>
  </si>
  <si>
    <t>23291371015</t>
  </si>
  <si>
    <t>CHAUHAN MANVENDRASINH JAYDIPSINH</t>
  </si>
  <si>
    <t>23291371019</t>
  </si>
  <si>
    <t>DABHI DIVY JASHVANTBHAI</t>
  </si>
  <si>
    <t>23291371020</t>
  </si>
  <si>
    <t>DANTANI ROSHANIBEN VERSHIBHAI</t>
  </si>
  <si>
    <t>23291371021</t>
  </si>
  <si>
    <t>DARJI KUSH RAMESHBHAIJ</t>
  </si>
  <si>
    <t>23291371022</t>
  </si>
  <si>
    <t>DARJI PRINCEKUMAR ASHOKBHAI</t>
  </si>
  <si>
    <t>23291371031</t>
  </si>
  <si>
    <t>GOSWAMI URVISHGIRI JITENDRAGIRI</t>
  </si>
  <si>
    <t>23291371033</t>
  </si>
  <si>
    <t>JOSHI DEVKUMAR MAHESHBHAI</t>
  </si>
  <si>
    <t>23291371034</t>
  </si>
  <si>
    <t>JOSHI MOKSHANG ANANDKUMAR</t>
  </si>
  <si>
    <t>23291371035</t>
  </si>
  <si>
    <t>KAKANI OM SHAILESHBHAI</t>
  </si>
  <si>
    <t>23291371037</t>
  </si>
  <si>
    <t>LIMBACHIYA AYUSH JASMIRKUMAR</t>
  </si>
  <si>
    <t>23291371038</t>
  </si>
  <si>
    <t>LUHARIYA AVISHKUMAR LALAJIBHAI</t>
  </si>
  <si>
    <t>23291371041</t>
  </si>
  <si>
    <t>MANSURI MAHIR ALTAFHUSEN</t>
  </si>
  <si>
    <t>23291371042</t>
  </si>
  <si>
    <t>MANSURI RAIYAN USMANGANI</t>
  </si>
  <si>
    <t>23291371043</t>
  </si>
  <si>
    <t>MANSURI ZIDANBHAI SARAHBANU</t>
  </si>
  <si>
    <t>23291371045</t>
  </si>
  <si>
    <t>MODI LAKSHYA NILESHKUMAR</t>
  </si>
  <si>
    <t>23291371046</t>
  </si>
  <si>
    <t>NAFISHA VOHRA</t>
  </si>
  <si>
    <t>23291371047</t>
  </si>
  <si>
    <t>PANCHAL DEVANGIBEN VIJAYKUMAR</t>
  </si>
  <si>
    <t>23291371048</t>
  </si>
  <si>
    <t>PANCHAL MESHWA MAHESHBHAI</t>
  </si>
  <si>
    <t>23291371050</t>
  </si>
  <si>
    <t>PANCHAL TRUSHTIBEN ANITKUMAR</t>
  </si>
  <si>
    <t>23291371051</t>
  </si>
  <si>
    <t>PANDYA NISHANT HARSHADBHAI</t>
  </si>
  <si>
    <t>23291371054</t>
  </si>
  <si>
    <t>PARMAR KARANSINH BALVANTSINH</t>
  </si>
  <si>
    <t>23291371063</t>
  </si>
  <si>
    <t>PATEL AYUSHIBEN ALPESHKUMAR</t>
  </si>
  <si>
    <t>23291371066</t>
  </si>
  <si>
    <t>PATEL DAKSH MAHESHBHAI</t>
  </si>
  <si>
    <t>23291371069</t>
  </si>
  <si>
    <t>PATEL DEV LALITKUMAR</t>
  </si>
  <si>
    <t>23291371072</t>
  </si>
  <si>
    <t>PATEL DHRUVKUMAR DWARKABHAI</t>
  </si>
  <si>
    <t>23291371073</t>
  </si>
  <si>
    <t>PATEL DHRUVKUMAR HASMUKHBHAI</t>
  </si>
  <si>
    <t>23291371074</t>
  </si>
  <si>
    <t>PATEL DHYAN ROHITKUMAR</t>
  </si>
  <si>
    <t>23291371077</t>
  </si>
  <si>
    <t>PATEL HEMIL DIPAKKUMAR</t>
  </si>
  <si>
    <t>23291371078</t>
  </si>
  <si>
    <t>PATEL HETKUMAR VIPULBHAI</t>
  </si>
  <si>
    <t>23291371079</t>
  </si>
  <si>
    <t>PATEL JELAMBEN JAYPRAKASH</t>
  </si>
  <si>
    <t>23291371081</t>
  </si>
  <si>
    <t>PATEL KAVYA JAYANTIBHAI</t>
  </si>
  <si>
    <t>23291371082</t>
  </si>
  <si>
    <t>23291371086</t>
  </si>
  <si>
    <t>PATEL MAN BHARATKUMAR</t>
  </si>
  <si>
    <t>23291371088</t>
  </si>
  <si>
    <t>PATEL MESHVA KETANBHAI</t>
  </si>
  <si>
    <t>23291371089</t>
  </si>
  <si>
    <t>PATEL NETRA AMITKUMAR</t>
  </si>
  <si>
    <t>23291371090</t>
  </si>
  <si>
    <t>PATEL NIMESHKUMAR VISHNUBHAI</t>
  </si>
  <si>
    <t>23291371094</t>
  </si>
  <si>
    <t>PATEL PRIT ANILKUMAR</t>
  </si>
  <si>
    <t>23291371095</t>
  </si>
  <si>
    <t>PATEL RAJ SANDIPKUMAR</t>
  </si>
  <si>
    <t>23291371098</t>
  </si>
  <si>
    <t>PATEL SAKSHAM RAKESHKUMAR</t>
  </si>
  <si>
    <t>23291371100</t>
  </si>
  <si>
    <t>PATEL SMIT SHAILESHKUMAR</t>
  </si>
  <si>
    <t>23291371104</t>
  </si>
  <si>
    <t>PATEL TAKSH ASHVINKUMAR</t>
  </si>
  <si>
    <t>23291371108</t>
  </si>
  <si>
    <t>PATEL TULSI DHARMENDRABHAI</t>
  </si>
  <si>
    <t>23291371111</t>
  </si>
  <si>
    <t>PATEL YUG PRAVINBHAI</t>
  </si>
  <si>
    <t>23291371112</t>
  </si>
  <si>
    <t>PATEL ZEEL BHARATBHAI</t>
  </si>
  <si>
    <t>23291371113</t>
  </si>
  <si>
    <t>PATHAN KASHIFKHAN SHARIFKHAN</t>
  </si>
  <si>
    <t>23291371114</t>
  </si>
  <si>
    <t>PATHAN MOHAMMADSHAD JABIRKHAN</t>
  </si>
  <si>
    <t>23291371118</t>
  </si>
  <si>
    <t>PUROHIT JEET</t>
  </si>
  <si>
    <t>23291371119</t>
  </si>
  <si>
    <t>PURVI SANKHLA</t>
  </si>
  <si>
    <t>23291371120</t>
  </si>
  <si>
    <t>RAJ KANUBHAI DESAI</t>
  </si>
  <si>
    <t>23291371121</t>
  </si>
  <si>
    <t>RAKSHE SHREYA HANMANT</t>
  </si>
  <si>
    <t>23291371122</t>
  </si>
  <si>
    <t>RATHOD ANUSHKA BIPINSINH</t>
  </si>
  <si>
    <t>23291371127</t>
  </si>
  <si>
    <t>RATHWA KRUPABEN RAMANBHAI</t>
  </si>
  <si>
    <t>23291371129</t>
  </si>
  <si>
    <t>RAVAL HET ATULBHAI</t>
  </si>
  <si>
    <t>23291371130</t>
  </si>
  <si>
    <t>RAVAL OM ALPESHBHAI</t>
  </si>
  <si>
    <t>23291371131</t>
  </si>
  <si>
    <t>RUDRA HIRENDRA PATEL</t>
  </si>
  <si>
    <t>23291371133</t>
  </si>
  <si>
    <t>SENMA AMISHA SOMABHAI</t>
  </si>
  <si>
    <t>23291371136</t>
  </si>
  <si>
    <t>SHEKH MAHAMMADTIF MAHAMMADARIF</t>
  </si>
  <si>
    <t>23291371139</t>
  </si>
  <si>
    <t>SHUKAL TIRTH SUNILBHAI</t>
  </si>
  <si>
    <t>23291371143</t>
  </si>
  <si>
    <t>SONI CHAITANYA KALPESHKUMAR</t>
  </si>
  <si>
    <t>23291371144</t>
  </si>
  <si>
    <t>SUKHADIYA KRISHA KRUNALKUMAR</t>
  </si>
  <si>
    <t>23291371146</t>
  </si>
  <si>
    <t>THAKER RUGVED TEJASKUMAR</t>
  </si>
  <si>
    <t>23291371147</t>
  </si>
  <si>
    <t>THAKOR RAVIKUMAR JAVANJI</t>
  </si>
  <si>
    <t>23291371149</t>
  </si>
  <si>
    <t>THAKOR URVESHJI LALUJI</t>
  </si>
  <si>
    <t>23291371150</t>
  </si>
  <si>
    <t>UTPAL PATEL</t>
  </si>
  <si>
    <t>23291371151</t>
  </si>
  <si>
    <t>VAGHELA KAUSHIK MADHAVBHAI</t>
  </si>
  <si>
    <t>23291371153</t>
  </si>
  <si>
    <t>VYAS KAVYA UTPALKUMAR</t>
  </si>
  <si>
    <t>23291371155</t>
  </si>
  <si>
    <t>CHANDRA  KANT YADAV</t>
  </si>
  <si>
    <t>23291371157</t>
  </si>
  <si>
    <t>MEMAN MOSHAHIL MAHAMMAD HANIF</t>
  </si>
  <si>
    <t>23291371159</t>
  </si>
  <si>
    <t>PATEL ABHI NAYANKUMAR</t>
  </si>
  <si>
    <t>23291371161</t>
  </si>
  <si>
    <t>PATEL DHVANIT PRAKASHKUMAR</t>
  </si>
  <si>
    <t>23291371162</t>
  </si>
  <si>
    <t>PATEL MAHIR JIGARBHAI</t>
  </si>
  <si>
    <t>23291371163</t>
  </si>
  <si>
    <t>PATEL VARSHIL CHETANKUMAR</t>
  </si>
  <si>
    <t>22291371094</t>
  </si>
  <si>
    <t>PATEL SHIVAM DINESHLUMAR</t>
  </si>
  <si>
    <t>22291371107</t>
  </si>
  <si>
    <t>PATEL YASHKUMAR MUKESHBHAI</t>
  </si>
  <si>
    <t>23291371002</t>
  </si>
  <si>
    <t>BAROT HARI VIKRAMBHAI</t>
  </si>
  <si>
    <t>23291371003</t>
  </si>
  <si>
    <t>BAROT SHUBHAM JAYESHKUMAR</t>
  </si>
  <si>
    <t>Ab</t>
  </si>
  <si>
    <t>23291371005</t>
  </si>
  <si>
    <t>BHALODIYA YUG DINESHBHAI</t>
  </si>
  <si>
    <t>23291371012</t>
  </si>
  <si>
    <t>CHAUDHARY ARYAN JITENDRABHAI</t>
  </si>
  <si>
    <t>23291371013</t>
  </si>
  <si>
    <t>CHAUDHARY NEEV TARESHBHAI</t>
  </si>
  <si>
    <t>23291371017</t>
  </si>
  <si>
    <t>CHAUHAN RUDRASINH SANJAYSINH</t>
  </si>
  <si>
    <t>23291371024</t>
  </si>
  <si>
    <t>DESHMUKH RUTUJA SANTOSH</t>
  </si>
  <si>
    <t>23291371026</t>
  </si>
  <si>
    <t>GADHAVI MAYANKDAN RANJITDAN</t>
  </si>
  <si>
    <t>23291371028</t>
  </si>
  <si>
    <t>GHANCHI HARESHBHAI KARSHANBHAI</t>
  </si>
  <si>
    <t>23291371029</t>
  </si>
  <si>
    <t>GOSAI JAYDEEPGIRI VISHWAJITGIRI</t>
  </si>
  <si>
    <t>23291371030</t>
  </si>
  <si>
    <t>GOSWAMI JAINISH SHAILESHGIRI</t>
  </si>
  <si>
    <t>23291371036</t>
  </si>
  <si>
    <t>KANSARA TILAK KISHORBHAI</t>
  </si>
  <si>
    <t>23291371040</t>
  </si>
  <si>
    <t>MAKWANA SMIT KANUBHAI</t>
  </si>
  <si>
    <t>23291371053</t>
  </si>
  <si>
    <t>PARMAR GNANESH SANJAYKUMAR</t>
  </si>
  <si>
    <t>23291371055</t>
  </si>
  <si>
    <t>PARMAR MAHI GIRISHKUMAR</t>
  </si>
  <si>
    <t>23291371061</t>
  </si>
  <si>
    <t>PATEL ARYAN MITESHBHAI</t>
  </si>
  <si>
    <t>23291371062</t>
  </si>
  <si>
    <t>PATEL ARYANKUMAR LAXMANBHAI</t>
  </si>
  <si>
    <t>23291371065</t>
  </si>
  <si>
    <t>PATEL DAKSH GIRISHBHAI</t>
  </si>
  <si>
    <t>23291371067</t>
  </si>
  <si>
    <t>PATEL DAKSH MUKESHKUMAR</t>
  </si>
  <si>
    <t>23291371068</t>
  </si>
  <si>
    <t>PATEL DAX BHARATBHAI</t>
  </si>
  <si>
    <t>23291371071</t>
  </si>
  <si>
    <t>PATEL DEV SANJAYKUMAR</t>
  </si>
  <si>
    <t>23291371076</t>
  </si>
  <si>
    <t>PATEL FENIL PRAKASHBHAI</t>
  </si>
  <si>
    <t>23291371080</t>
  </si>
  <si>
    <t>PATEL JILKUMAR RAJESHBHAI</t>
  </si>
  <si>
    <t>23291371083</t>
  </si>
  <si>
    <t>PATEL KRISH SAMIRKUMAR</t>
  </si>
  <si>
    <t>23291371087</t>
  </si>
  <si>
    <t>PATEL MEETKUMAR SHAILESHKUMAR</t>
  </si>
  <si>
    <t>23291371092</t>
  </si>
  <si>
    <t>PATEL PARTH ASHOKBHAI</t>
  </si>
  <si>
    <t>23291371093</t>
  </si>
  <si>
    <t>PATEL PRANSHU SURESHBHAI</t>
  </si>
  <si>
    <t>23291371099</t>
  </si>
  <si>
    <t>PATEL SHREY MAHESHBHAI</t>
  </si>
  <si>
    <t>23291371101</t>
  </si>
  <si>
    <t>PATEL SOHAMKUMAR ANILBHAI</t>
  </si>
  <si>
    <t>23291371102</t>
  </si>
  <si>
    <t>PATEL SPARSH HIMANSHUBHAI</t>
  </si>
  <si>
    <t>23291371105</t>
  </si>
  <si>
    <t>PATEL TANVI PANKAJKUMAR</t>
  </si>
  <si>
    <t>23291371106</t>
  </si>
  <si>
    <t>PATEL TIRTH RAKESHKUMAR</t>
  </si>
  <si>
    <t>23291371107</t>
  </si>
  <si>
    <t>PATEL TIRTH SANJAYKUMAR</t>
  </si>
  <si>
    <t>23291371109</t>
  </si>
  <si>
    <t>PATEL YAGN ANILKUMAR</t>
  </si>
  <si>
    <t>23291371110</t>
  </si>
  <si>
    <t>PATEL YUG GOPALBHAI</t>
  </si>
  <si>
    <t>23291371116</t>
  </si>
  <si>
    <t>PRAJAPATI PRATHAM MEHULKUMAR</t>
  </si>
  <si>
    <t>23291371117</t>
  </si>
  <si>
    <t>PRAJAPATI VEDANTKUMAR KIRTANBHAI</t>
  </si>
  <si>
    <t>23291371128</t>
  </si>
  <si>
    <t>RAVAL HARSHKUMAR SHAILESHBHAI</t>
  </si>
  <si>
    <t>23291371134</t>
  </si>
  <si>
    <t>SHAH SHYAM PARESH</t>
  </si>
  <si>
    <t>23291371137</t>
  </si>
  <si>
    <t>SHEKH MAHMADZUBER MAHMADASLAM</t>
  </si>
  <si>
    <t>23291371138</t>
  </si>
  <si>
    <t>SHRIMALI TAKSHKUMAR SANJAYBHAI</t>
  </si>
  <si>
    <t>23291371140</t>
  </si>
  <si>
    <t>SOLANKI MITESHKUMAR SAVDANBHAI</t>
  </si>
  <si>
    <t>23291371141</t>
  </si>
  <si>
    <t>SOLANKI NEEL JIVABHAI</t>
  </si>
  <si>
    <t>23291371142</t>
  </si>
  <si>
    <t>SOLANKI PIYUSHBHAI NARBHABHAI</t>
  </si>
  <si>
    <t>22171371137</t>
  </si>
  <si>
    <t>SUNASARA MOHAMMAD HAADI ALIAKBAR</t>
  </si>
  <si>
    <t>23171371003</t>
  </si>
  <si>
    <t>BAHELIM ROHANKHAN MAHAMMADARIF</t>
  </si>
  <si>
    <t>23171371008</t>
  </si>
  <si>
    <t>CHAUDHARY HETANGKUMAR RAKESHBHAI</t>
  </si>
  <si>
    <t>23171371010</t>
  </si>
  <si>
    <t>CHAUDHARY VAISHIL GOVINDBHAI</t>
  </si>
  <si>
    <t>23171371015</t>
  </si>
  <si>
    <t>DARJI VRAJ PRAKASHKUMAR</t>
  </si>
  <si>
    <t>23171371016</t>
  </si>
  <si>
    <t>DAVE DEV KALPESHKUMAR</t>
  </si>
  <si>
    <t>23171371017</t>
  </si>
  <si>
    <t>DAVE TRUSHA MITESHKUMAR</t>
  </si>
  <si>
    <t>23171371022</t>
  </si>
  <si>
    <t>GOSWAMI DEEPGIRI DINESHGIRI</t>
  </si>
  <si>
    <t>23171371024</t>
  </si>
  <si>
    <t>GOSWAMI RUDRAPURI ALPESHPURI</t>
  </si>
  <si>
    <t>23171371025</t>
  </si>
  <si>
    <t>GOSWAMI VANSHIKA CHETANGIRI</t>
  </si>
  <si>
    <t>23171371026</t>
  </si>
  <si>
    <t>JADAV JEET RAVINDRAKUMAR</t>
  </si>
  <si>
    <t>23171371027</t>
  </si>
  <si>
    <t>JANI KELVIN HITESHKUMAR</t>
  </si>
  <si>
    <t>23171371029</t>
  </si>
  <si>
    <t>JOSHI HRITIK SACHINBHAI</t>
  </si>
  <si>
    <t>23171371036</t>
  </si>
  <si>
    <t>MALAVIYA DEVANSHI SHAILESHKUMAR</t>
  </si>
  <si>
    <t>23171371039</t>
  </si>
  <si>
    <t>MANSURI ZIYAN ANISAHEMAD</t>
  </si>
  <si>
    <t>23171371040</t>
  </si>
  <si>
    <t>MASI FAIZMAHAMMAD HASANABBAS</t>
  </si>
  <si>
    <t>23171371041</t>
  </si>
  <si>
    <t>MEMON MOHAMMAD JAKIRBHAI</t>
  </si>
  <si>
    <t>23171371042</t>
  </si>
  <si>
    <t>MISTRY JAY NIRAVKUMAR</t>
  </si>
  <si>
    <t>23171371043</t>
  </si>
  <si>
    <t>MITANSHU SHAH</t>
  </si>
  <si>
    <t>23171371044</t>
  </si>
  <si>
    <t>NAGORI NIZAMUDDIN NURMOHAMMAD</t>
  </si>
  <si>
    <t>23171371045</t>
  </si>
  <si>
    <t>LEUVA NAMRA DISHANT</t>
  </si>
  <si>
    <t>23171371048</t>
  </si>
  <si>
    <t>NEELKUMAR CHIRAGBHAI PATEL</t>
  </si>
  <si>
    <t>23171371053</t>
  </si>
  <si>
    <t>PAREKH PRIYANKKUMAR YOGESHKUMAR</t>
  </si>
  <si>
    <t>23171371054</t>
  </si>
  <si>
    <t>PARMAR RAJVIBEN BHARATBHAI</t>
  </si>
  <si>
    <t>23171371057</t>
  </si>
  <si>
    <t>PATEL ARYAN GIRISHBHAI</t>
  </si>
  <si>
    <t>23171371058</t>
  </si>
  <si>
    <t>PATEL ARYAN MANISHKUMAR</t>
  </si>
  <si>
    <t>23171371063</t>
  </si>
  <si>
    <t>PATEL DARSHAN VIKRAMKUMAR</t>
  </si>
  <si>
    <t>23171371064</t>
  </si>
  <si>
    <t>PATEL DATT HARSHADBHAI</t>
  </si>
  <si>
    <t>23171371066</t>
  </si>
  <si>
    <t>PATEL DEVKUMAR DINESHBHAI</t>
  </si>
  <si>
    <t>23171371067</t>
  </si>
  <si>
    <t>PATEL DEVKUMAR RAMESHBHAI</t>
  </si>
  <si>
    <t>23171371068</t>
  </si>
  <si>
    <t>PATEL DHRITI ASHOK</t>
  </si>
  <si>
    <t>23171371069</t>
  </si>
  <si>
    <t>PATEL DHRUV MAHESHBHAI</t>
  </si>
  <si>
    <t>23171371074</t>
  </si>
  <si>
    <t>PATEL DIVYA VIPUL</t>
  </si>
  <si>
    <t>23171371075</t>
  </si>
  <si>
    <t>PATEL DIYABEN VIPULKUMAR</t>
  </si>
  <si>
    <t>23171371076</t>
  </si>
  <si>
    <t>PATEL DVIJA BHAVESHKUMAR</t>
  </si>
  <si>
    <t>23171371077</t>
  </si>
  <si>
    <t>PATEL GAUTAMKUMAR RAJUBHAI</t>
  </si>
  <si>
    <t>23171371080</t>
  </si>
  <si>
    <t>PATEL HENIL KIRANBHAI</t>
  </si>
  <si>
    <t>23171371081</t>
  </si>
  <si>
    <t>PATEL HENIL SANJAYKUMAR</t>
  </si>
  <si>
    <t>23171371083</t>
  </si>
  <si>
    <t>PATEL HET BHARATKUMAR</t>
  </si>
  <si>
    <t>23171371084</t>
  </si>
  <si>
    <t>PATEL HETKUMAR NILESHBHAI</t>
  </si>
  <si>
    <t>23171371090</t>
  </si>
  <si>
    <t>PATEL JAYKUMAR PRAKASHCHANDRA</t>
  </si>
  <si>
    <t>23171371093</t>
  </si>
  <si>
    <t>PATEL KRISH YOGESHKUMAR</t>
  </si>
  <si>
    <t>23171371094</t>
  </si>
  <si>
    <t>PATEL MAHIR ROHITKUMAR</t>
  </si>
  <si>
    <t>23171371095</t>
  </si>
  <si>
    <t>PATEL MANTHAN RAJENDRAKUMAR</t>
  </si>
  <si>
    <t>23171371096</t>
  </si>
  <si>
    <t>PATEL MASOOM BHAVESH</t>
  </si>
  <si>
    <t>23171371099</t>
  </si>
  <si>
    <t>PATEL NENS SURESHKUMAR</t>
  </si>
  <si>
    <t>23171371101</t>
  </si>
  <si>
    <t>PATEL PARAM DINESHBHAI</t>
  </si>
  <si>
    <t>23171371106</t>
  </si>
  <si>
    <t>PATEL RUSHI KAMLESHBHAI</t>
  </si>
  <si>
    <t>23171371107</t>
  </si>
  <si>
    <t>PATEL SHABD PANKAJKUMAR</t>
  </si>
  <si>
    <t>23171371108</t>
  </si>
  <si>
    <t>PATEL SHLOK SANJAYKUMAR</t>
  </si>
  <si>
    <t>23171371109</t>
  </si>
  <si>
    <t>PATEL SMIT ASHOKBHAI</t>
  </si>
  <si>
    <t>23171371110</t>
  </si>
  <si>
    <t>PATEL SMIT RAJESHBHAI</t>
  </si>
  <si>
    <t>23171371114</t>
  </si>
  <si>
    <t>PATEL SOHAM RAJUBHAI</t>
  </si>
  <si>
    <t>23171371115</t>
  </si>
  <si>
    <t>PATEL SUCHIBEN RAKESHKUMAR</t>
  </si>
  <si>
    <t>23171371116</t>
  </si>
  <si>
    <t>PATEL TIRTH BALDEVBHAI</t>
  </si>
  <si>
    <t>23171371118</t>
  </si>
  <si>
    <t>PATEL VAIDIKA BHARATBHAI</t>
  </si>
  <si>
    <t>23171371119</t>
  </si>
  <si>
    <t>PATEL VEDKUMAR VIMALBHAI</t>
  </si>
  <si>
    <t>23171371120</t>
  </si>
  <si>
    <t>PATEL VRAJ JAYESHKUMAR</t>
  </si>
  <si>
    <t>23171371121</t>
  </si>
  <si>
    <t>PATEL YASHKUMAR PARESHKUMAR</t>
  </si>
  <si>
    <t>23171371122</t>
  </si>
  <si>
    <t>PATEL YUG DIPAKKUMAR</t>
  </si>
  <si>
    <t>23171371123</t>
  </si>
  <si>
    <t>PATEL YUGKUMAR PARESHKUMAR</t>
  </si>
  <si>
    <t>23171371124</t>
  </si>
  <si>
    <t>PATEL YUGKUMAR RAKESHBHAI</t>
  </si>
  <si>
    <t>23171371125</t>
  </si>
  <si>
    <t>PRADIPKUMAR LAXMANJI THAKOR</t>
  </si>
  <si>
    <t>23171371126</t>
  </si>
  <si>
    <t>PRAJAPATI ANSH KIRTIKUMAR</t>
  </si>
  <si>
    <t>23171371127</t>
  </si>
  <si>
    <t>PRAJAPATI ASHVINI RAJUBHAI</t>
  </si>
  <si>
    <t>23171371128</t>
  </si>
  <si>
    <t>PRAJAPATI KRISH RAMESHBHAI</t>
  </si>
  <si>
    <t>23171371129</t>
  </si>
  <si>
    <t>PRAJAPATI MEGH HIMANSHU</t>
  </si>
  <si>
    <t>23171371130</t>
  </si>
  <si>
    <t>PRAJAPATI MIHIRKUMAR JAGADISHKUMAR</t>
  </si>
  <si>
    <t>23171371131</t>
  </si>
  <si>
    <t>PRAJAPATI PARIMAL SHAILESHBHAI</t>
  </si>
  <si>
    <t>23171371133</t>
  </si>
  <si>
    <t>PRAJAPATI PRINCY VIKRAMKUMAR</t>
  </si>
  <si>
    <t>23171371134</t>
  </si>
  <si>
    <t>PRAJAPATI TIRTH DASHRATHBHAI</t>
  </si>
  <si>
    <t>23171371135</t>
  </si>
  <si>
    <t>PRAJAPATI YASH AMITKUMAR</t>
  </si>
  <si>
    <t>23171371136</t>
  </si>
  <si>
    <t>PRINCE NARENDRABHAI PATEL</t>
  </si>
  <si>
    <t>23171371137</t>
  </si>
  <si>
    <t>PUJARA KUNJ NIKULBHAI</t>
  </si>
  <si>
    <t>23171371138</t>
  </si>
  <si>
    <t>RABARI PRAKASHKUMAR GAJAJI</t>
  </si>
  <si>
    <t>23171371139</t>
  </si>
  <si>
    <t>RATHOD JAYRAJSINH FULCHANDSINH</t>
  </si>
  <si>
    <t>23171371140</t>
  </si>
  <si>
    <t>RAVAL BANSI MUKESHKUMAR</t>
  </si>
  <si>
    <t>23171371141</t>
  </si>
  <si>
    <t>RAVAL DHRUVKUMAR VISHNUBHAI</t>
  </si>
  <si>
    <t>23171371142</t>
  </si>
  <si>
    <t>RAVAL KISHANKUMAR BHARATBHAI</t>
  </si>
  <si>
    <t>23171371143</t>
  </si>
  <si>
    <t>RAVAL MEET SURESHBHAI</t>
  </si>
  <si>
    <t>23171371144</t>
  </si>
  <si>
    <t>RAVAL NEEL GHANSHYAMBHAI</t>
  </si>
  <si>
    <t>23171371145</t>
  </si>
  <si>
    <t>RAVAL RUDRA NILESHBHAI</t>
  </si>
  <si>
    <t>23171371146</t>
  </si>
  <si>
    <t>RAVAL SUMIT KHODABHAI</t>
  </si>
  <si>
    <t>`10</t>
  </si>
  <si>
    <t>23171371147</t>
  </si>
  <si>
    <t>RAVAL VISHALKUMAR ROHITBHAI</t>
  </si>
  <si>
    <t>23171371148</t>
  </si>
  <si>
    <t>RAVAL YASH RAJUBHAI</t>
  </si>
  <si>
    <t>23171371149</t>
  </si>
  <si>
    <t>RUTURAJSINH RATHOD</t>
  </si>
  <si>
    <t>23171371150</t>
  </si>
  <si>
    <t>SATHVARA DHRUV MUKESHKUMAR</t>
  </si>
  <si>
    <t>23171371151</t>
  </si>
  <si>
    <t>SAXENA KUSH BHARATBHAI</t>
  </si>
  <si>
    <t>23171371152</t>
  </si>
  <si>
    <t>SHARMA NIVANGI JIGNESHBHAI</t>
  </si>
  <si>
    <t>23171371154</t>
  </si>
  <si>
    <t>SOLANKI KEVAL NARESHBHAI</t>
  </si>
  <si>
    <t>23171371155</t>
  </si>
  <si>
    <t>SOLANKI VISHESH KHODABHAI</t>
  </si>
  <si>
    <t>23171371156</t>
  </si>
  <si>
    <t>SONI MOKSH ALPESHKUMAR</t>
  </si>
  <si>
    <t>23171371157</t>
  </si>
  <si>
    <t>SONI PURVANSHUKUMAR KETANKUMAR</t>
  </si>
  <si>
    <t>23171371159</t>
  </si>
  <si>
    <t>THAKKAR AADI KAMLESHKUMAR</t>
  </si>
  <si>
    <t>23171371160</t>
  </si>
  <si>
    <t>THAKOR JAYDEEPJI DHARMENDRAJI</t>
  </si>
  <si>
    <t>23171371161</t>
  </si>
  <si>
    <t>THAKOR KRISH LALAJI</t>
  </si>
  <si>
    <t>23171371162</t>
  </si>
  <si>
    <t>THAKOR KUNJALSINH PARESHJI</t>
  </si>
  <si>
    <t>23171371164</t>
  </si>
  <si>
    <t>THAKOR NIRMAL VIJAYJI</t>
  </si>
  <si>
    <t>23171371165</t>
  </si>
  <si>
    <t>THAKOR RADHIKA VIKRAMJI</t>
  </si>
  <si>
    <t>23171371166</t>
  </si>
  <si>
    <t>THAKOR RAKESHKUMAR BADARJI</t>
  </si>
  <si>
    <t>23171371167</t>
  </si>
  <si>
    <t>THAKOR SEJALBEN BADARJI</t>
  </si>
  <si>
    <t>23171371168</t>
  </si>
  <si>
    <t>THAKOR VIJAY ASHOKJI</t>
  </si>
  <si>
    <t>23171371171</t>
  </si>
  <si>
    <t>VORA HARSHIL MAHESHBHAI</t>
  </si>
  <si>
    <t>23171371172</t>
  </si>
  <si>
    <t>YADAV PRASIDDHKUMAR</t>
  </si>
  <si>
    <t>23171371173</t>
  </si>
  <si>
    <t>YAGNIK KEVIN JAYESHKUMAR</t>
  </si>
  <si>
    <t>23171371176</t>
  </si>
  <si>
    <t>RABARI RUDRA VIRAMBHAI</t>
  </si>
  <si>
    <t>23171371178</t>
  </si>
  <si>
    <t>MEWADA NISARG RAKESHKUMAR</t>
  </si>
  <si>
    <t>23171371181</t>
  </si>
  <si>
    <t>KUDZAI GRACIOUS</t>
  </si>
  <si>
    <t>24171372001</t>
  </si>
  <si>
    <t>PRAJAPATI DIVY ALPESHKUMAR</t>
  </si>
  <si>
    <t>ITD</t>
  </si>
  <si>
    <t>22171371017</t>
  </si>
  <si>
    <t>DARJI HARSH JAGDISHBHAI</t>
  </si>
  <si>
    <t>23171371001</t>
  </si>
  <si>
    <t>AJMERI DANISHBHAI ANAVRBHAI</t>
  </si>
  <si>
    <t>23171371002</t>
  </si>
  <si>
    <t>ARYA PATEL</t>
  </si>
  <si>
    <t>23171371005</t>
  </si>
  <si>
    <t>BAROT DHVANI VIVEKKUMAR</t>
  </si>
  <si>
    <t>23171371006</t>
  </si>
  <si>
    <t>BAROT NIYATI JIGARKUMAR</t>
  </si>
  <si>
    <t>23171371007</t>
  </si>
  <si>
    <t>BAROT VEDANG RAJKUMAR</t>
  </si>
  <si>
    <t>23171371009</t>
  </si>
  <si>
    <t>CHAUDHARY MAHENDRA BHALABHAI</t>
  </si>
  <si>
    <t>23171371011</t>
  </si>
  <si>
    <t>CHAUHAN OM BIRENKUMAR</t>
  </si>
  <si>
    <t>23171371013</t>
  </si>
  <si>
    <t>DABGAR MANTHANKUMAR MANISHABEN</t>
  </si>
  <si>
    <t>23171371014</t>
  </si>
  <si>
    <t>DARJI JAY MANOJKUMAR</t>
  </si>
  <si>
    <t>23171371018</t>
  </si>
  <si>
    <t>DETROJA PRINCE DENISHBHAI</t>
  </si>
  <si>
    <t>23171371020</t>
  </si>
  <si>
    <t>DODIYA DIXIT NITESHBHAI</t>
  </si>
  <si>
    <t>23171371023</t>
  </si>
  <si>
    <t>GOSWAMI RAJVEER UJJAVALBHARTHI</t>
  </si>
  <si>
    <t>23171371030</t>
  </si>
  <si>
    <t>KADIYA KRISHKUMAR JAGDISHBHAI</t>
  </si>
  <si>
    <t>23171371031</t>
  </si>
  <si>
    <t>KADIYA NEELKUMAR ALPESHBHAI</t>
  </si>
  <si>
    <t>23171371033</t>
  </si>
  <si>
    <t>KALATHIYA VED NILESHBHAI</t>
  </si>
  <si>
    <t>23171371037</t>
  </si>
  <si>
    <t>MANAN KAPIL</t>
  </si>
  <si>
    <t>23171371046</t>
  </si>
  <si>
    <t>NAYAK HANI ROHITKUMAR</t>
  </si>
  <si>
    <t>23171371049</t>
  </si>
  <si>
    <t>PANCHAL DHRUV JAYESHBHAI</t>
  </si>
  <si>
    <t>23171371050</t>
  </si>
  <si>
    <t>PANCHAL PRINCE MAHESHBHAI</t>
  </si>
  <si>
    <t>23171371051</t>
  </si>
  <si>
    <t>PANDIT KRISH PARESHBHAI</t>
  </si>
  <si>
    <t>23171371055</t>
  </si>
  <si>
    <t>PARMAR VANSH RAKESHKUMAR</t>
  </si>
  <si>
    <t>23171371059</t>
  </si>
  <si>
    <t>PATEL AVIKUMAR MANISHBHAI</t>
  </si>
  <si>
    <t>23171371060</t>
  </si>
  <si>
    <t>PATEL BANSIL NARENDRAKUMAR</t>
  </si>
  <si>
    <t>10</t>
  </si>
  <si>
    <t>23171371061</t>
  </si>
  <si>
    <t>PATEL BHAVYA RAKESHKUMAR</t>
  </si>
  <si>
    <t>23171371065</t>
  </si>
  <si>
    <t>PATEL DEEP CHANDRAKANT</t>
  </si>
  <si>
    <t>23171371070</t>
  </si>
  <si>
    <t>PATEL DHRUV PRAVINBHAI</t>
  </si>
  <si>
    <t>23171371071</t>
  </si>
  <si>
    <t>PATEL DHRUV SURESHBHAI</t>
  </si>
  <si>
    <t>23171371078</t>
  </si>
  <si>
    <t>PATEL HARMI VISHNUBHAI</t>
  </si>
  <si>
    <t>23171371079</t>
  </si>
  <si>
    <t>PATEL HEER</t>
  </si>
  <si>
    <t>23171371082</t>
  </si>
  <si>
    <t>PATEL HET ASHISHKUMAR</t>
  </si>
  <si>
    <t>23171371085</t>
  </si>
  <si>
    <t>PATEL HETKUMAR SHAILESHKUMAR</t>
  </si>
  <si>
    <t>23171371086</t>
  </si>
  <si>
    <t>PATEL HETUL BHAVESHKUMAR</t>
  </si>
  <si>
    <t>23171371089</t>
  </si>
  <si>
    <t>PATEL JAY BHARATBHAI</t>
  </si>
  <si>
    <t>23171371091</t>
  </si>
  <si>
    <t>PATEL JEELKUMAR PRESHBHAI</t>
  </si>
  <si>
    <t>23171371092</t>
  </si>
  <si>
    <t>PATEL KAVAN PARESHBHAI</t>
  </si>
  <si>
    <t>23171371097</t>
  </si>
  <si>
    <t>PATEL MEETKUMAR VISHNUBHAI</t>
  </si>
  <si>
    <t>23171371098</t>
  </si>
  <si>
    <t>PATEL MEGHKUMAR PRAKASHKUMAR</t>
  </si>
  <si>
    <t>23171371100</t>
  </si>
  <si>
    <t>PATEL NIRAV HITESHKUMAR</t>
  </si>
  <si>
    <t>23171371102</t>
  </si>
  <si>
    <t>PATEL PRINCEKUMAR PANKAJBHAI</t>
  </si>
  <si>
    <t>23171371103</t>
  </si>
  <si>
    <t>PATEL PRIYANSHU TARUNKUMAR</t>
  </si>
  <si>
    <t>23171371105</t>
  </si>
  <si>
    <t>PATEL RUDRA DINESHBHAI</t>
  </si>
  <si>
    <t>23171371111</t>
  </si>
  <si>
    <t>PATEL SMIT VASUBHAI</t>
  </si>
  <si>
    <t>23171371112</t>
  </si>
  <si>
    <t>PATEL SMITKUMAR MAHENDRAKUMAR</t>
  </si>
  <si>
    <t>23171371113</t>
  </si>
  <si>
    <t>PATEL SNEH PIYUSHKUMAR</t>
  </si>
  <si>
    <t>23171371117</t>
  </si>
  <si>
    <t>PATEL UTSAV DIPAK</t>
  </si>
  <si>
    <t>23171371153</t>
  </si>
  <si>
    <t>SOLANKI DEVRAMBHAI DUDABHAI</t>
  </si>
  <si>
    <t>23171371158</t>
  </si>
  <si>
    <t>SONI TANISHA MANISHBHAI</t>
  </si>
  <si>
    <t>23171371169</t>
  </si>
  <si>
    <t>TRIVEDI HEER HARPRAKASH</t>
  </si>
  <si>
    <t>23171371174</t>
  </si>
  <si>
    <t>YOGI KRUNAL SHANKARBHAI</t>
  </si>
  <si>
    <t>23171371179</t>
  </si>
  <si>
    <t>PATEL HAPPY NARENDRABHAI</t>
  </si>
  <si>
    <t>23171371182</t>
  </si>
  <si>
    <t>PATEL DHRUVIBEN DINESHKUMAR</t>
  </si>
  <si>
    <t>February 49, 05:15 PM : 170158</t>
  </si>
  <si>
    <t>February 49, 05:16 PM : 170158</t>
  </si>
  <si>
    <t>February 49, 05:17 PM : 170158</t>
  </si>
  <si>
    <t>February 49, 05:18 PM : 170158</t>
  </si>
  <si>
    <t>February 50, 08:37 AM : 170158</t>
  </si>
  <si>
    <t>February 50, 08:38 AM : 170158</t>
  </si>
  <si>
    <t>February 50, 08:39 AM : 170158</t>
  </si>
  <si>
    <t>February 50, 09:26 AM : 170158</t>
  </si>
  <si>
    <t>February 50, 09:27 AM : 170158</t>
  </si>
  <si>
    <t>February 50, 09:28 AM : 170158</t>
  </si>
  <si>
    <t>February 50, 09:29 AM : 170158</t>
  </si>
  <si>
    <t>February 50, 09:30 AM : 170158</t>
  </si>
  <si>
    <t>February 50, 09:31 AM : 170158</t>
  </si>
  <si>
    <t>February 50, 09:32 AM : 170158</t>
  </si>
  <si>
    <t>February 50, 09:33 AM : 170158</t>
  </si>
  <si>
    <t>February 50, 11:45 AM : 170158</t>
  </si>
  <si>
    <t>February 50, 12:46 PM : 170158</t>
  </si>
  <si>
    <t>February 50, 12:47 PM : 170263</t>
  </si>
  <si>
    <t>February 50, 12:47 PM : 170158</t>
  </si>
  <si>
    <t>February 50, 12:48 PM : 170158</t>
  </si>
  <si>
    <t>February 50, 12:48 PM : 170263</t>
  </si>
  <si>
    <t>February 50, 12:49 PM : 170158</t>
  </si>
  <si>
    <t>February 50, 12:49 PM : 170263</t>
  </si>
  <si>
    <t>February 50, 12:50 PM : 170263</t>
  </si>
  <si>
    <t>February 50, 12:51 PM : 170263</t>
  </si>
  <si>
    <t>February 50, 12:53 PM : 170263</t>
  </si>
  <si>
    <t>February 50, 12:54 PM : 170263</t>
  </si>
  <si>
    <t>February 50, 12:55 PM : 170263</t>
  </si>
  <si>
    <t>February 50, 12:56 PM : 170263</t>
  </si>
  <si>
    <t>February 50, 12:57 PM : 170263</t>
  </si>
  <si>
    <t>February 50, 12:58 PM : 170263</t>
  </si>
  <si>
    <t>February 50, 12:59 PM : 170263</t>
  </si>
  <si>
    <t>February 50, 01:00 PM : 170263</t>
  </si>
  <si>
    <t>February 50, 01:01 PM : 170263</t>
  </si>
  <si>
    <t>February 50, 01:02 PM : 170263</t>
  </si>
  <si>
    <t>February 50, 01:03 PM : 170263</t>
  </si>
  <si>
    <t>February 50, 01:04 PM : 170263</t>
  </si>
  <si>
    <t>February 50, 01:17 PM : 170263</t>
  </si>
  <si>
    <t>February 50, 02:04 PM : 170158</t>
  </si>
  <si>
    <t>February 50, 03:42 PM : 170158</t>
  </si>
  <si>
    <t>February 50, 03:43 PM : 170158</t>
  </si>
  <si>
    <t>February 50, 03:44 PM : 170158</t>
  </si>
  <si>
    <t>February 50, 04:12 PM : 170158</t>
  </si>
  <si>
    <t>February 50, 04:13 PM : 170158</t>
  </si>
  <si>
    <t>February 50, 05:11 PM : 170158</t>
  </si>
  <si>
    <t>February 50, 05:12 PM : 170158</t>
  </si>
  <si>
    <t>February 50, 05:18 PM : 170158</t>
  </si>
  <si>
    <t>February 51, 04:49 PM : 170158</t>
  </si>
  <si>
    <t>February 51, 04:50 PM : 170158</t>
  </si>
  <si>
    <t>February 51, 04:51 PM : 170158</t>
  </si>
  <si>
    <t>February 51, 04:52 PM : 170158</t>
  </si>
  <si>
    <t>February 52, 12:37 PM : 290112</t>
  </si>
  <si>
    <t>February 52, 12:41 PM : 290112</t>
  </si>
  <si>
    <t>February 52, 12:47 PM : 290112</t>
  </si>
  <si>
    <t>February 52, 12:48 PM : 290112</t>
  </si>
  <si>
    <t>February 52, 01:50 PM : 290112</t>
  </si>
  <si>
    <t>February 52, 08:23 PM : 170290</t>
  </si>
  <si>
    <t>February 52, 08:24 PM : 170290</t>
  </si>
  <si>
    <t>February 52, 08:25 PM : 170290</t>
  </si>
  <si>
    <t>February 52, 08:26 PM : 170290</t>
  </si>
  <si>
    <t>February 52, 08:27 PM : 170290</t>
  </si>
  <si>
    <t>February 52, 08:28 PM : 170290</t>
  </si>
  <si>
    <t>February 52, 08:29 PM : 170290</t>
  </si>
  <si>
    <t>February 52, 08:30 PM : 170290</t>
  </si>
  <si>
    <t>February 52, 08:31 PM : 170290</t>
  </si>
  <si>
    <t>February 52, 08:32 PM : 170290</t>
  </si>
  <si>
    <t>February 52, 08:33 PM : 170290</t>
  </si>
  <si>
    <t>February 55, 03:48 PM : 170158</t>
  </si>
  <si>
    <t>February 55, 03:49 PM : 170158</t>
  </si>
  <si>
    <t>February 55, 03:50 PM : 170158</t>
  </si>
  <si>
    <t>February 55, 03:51 PM : 170158</t>
  </si>
  <si>
    <t>February 55, 03:52 PM : 170158</t>
  </si>
  <si>
    <t>February 55, 03:53 PM : 170158</t>
  </si>
  <si>
    <t>February 55, 03:54 PM : 170158</t>
  </si>
  <si>
    <t>February 55, 03:55 PM : 170158</t>
  </si>
  <si>
    <t>February 55, 03:56 PM : 170158</t>
  </si>
  <si>
    <t>February 55, 03:57 PM : 170158</t>
  </si>
  <si>
    <t>February 55, 03:58 PM : 170158</t>
  </si>
  <si>
    <t>February 55, 03:59 PM : 170158</t>
  </si>
  <si>
    <t>February 55, 04:02 PM : 170158</t>
  </si>
  <si>
    <t>February 55, 04:03 PM : 170158</t>
  </si>
  <si>
    <t>February 55, 04:04 PM : 170158</t>
  </si>
  <si>
    <t>February 55, 04:07 PM : 170158</t>
  </si>
  <si>
    <t>February 55, 04:08 PM : 170158</t>
  </si>
  <si>
    <t>February 55, 04:09 PM : 170158</t>
  </si>
  <si>
    <t>February 55, 04:10 PM : 170158</t>
  </si>
  <si>
    <t>February 55, 04:11 PM : 170158</t>
  </si>
  <si>
    <t>February 55, 04:12 PM : 170158</t>
  </si>
  <si>
    <t>February 55, 04:13 PM : 170158</t>
  </si>
  <si>
    <t>February 56, 03:09 PM : 170284</t>
  </si>
  <si>
    <t>February 56, 03:10 PM : 170284</t>
  </si>
  <si>
    <t>February 56, 03:11 PM : 170284</t>
  </si>
  <si>
    <t>February 56, 03:12 PM : 170284</t>
  </si>
  <si>
    <t>February 56, 03:13 PM : 170284</t>
  </si>
  <si>
    <t>February 56, 03:14 PM : 170284</t>
  </si>
  <si>
    <t>February 56, 03:15 PM : 170284</t>
  </si>
  <si>
    <t>February 56, 03:16 PM : 170284</t>
  </si>
  <si>
    <t>February 56, 03:17 PM : 170284</t>
  </si>
  <si>
    <t>February 56, 03:18 PM : 170284</t>
  </si>
  <si>
    <t>February 56, 03:20 PM : 170284</t>
  </si>
  <si>
    <t>February 56, 03:22 PM : 170284</t>
  </si>
  <si>
    <t>February 56, 03:23 PM : 170284</t>
  </si>
  <si>
    <t>February 56, 03:24 PM : 170284</t>
  </si>
  <si>
    <t>February 56, 03:25 PM : 170284</t>
  </si>
  <si>
    <t>February 56, 03:34 PM : 170284</t>
  </si>
  <si>
    <t>February 56, 03:35 PM : 170284</t>
  </si>
  <si>
    <t>February 56, 03:36 PM : 170284</t>
  </si>
  <si>
    <t>February 56, 03:37 PM : 170284</t>
  </si>
  <si>
    <t>February 56, 03:38 PM : 170284</t>
  </si>
  <si>
    <t>February 56, 03:39 PM : 170284</t>
  </si>
  <si>
    <t>February 56, 03:40 PM : 170284</t>
  </si>
  <si>
    <t>February 56, 03:44 PM : 170284</t>
  </si>
  <si>
    <t>February 56, 03:45 PM : 170284</t>
  </si>
  <si>
    <t>February 56, 03:47 PM : 170284</t>
  </si>
  <si>
    <t>February 56, 03:48 PM : 170284</t>
  </si>
  <si>
    <t>February 57, 08:26 AM : 170158</t>
  </si>
  <si>
    <t>February 57, 08:27 AM : 170158</t>
  </si>
  <si>
    <t>February 57, 08:29 AM : 170158</t>
  </si>
  <si>
    <t>February 57, 08:30 AM : 170158</t>
  </si>
  <si>
    <t>February 57, 08:32 AM : 170158</t>
  </si>
  <si>
    <t>February 57, 08:33 AM : 170158</t>
  </si>
  <si>
    <t>February 57, 08:38 AM : 170158</t>
  </si>
  <si>
    <t>February 57, 08:39 AM : 170158</t>
  </si>
  <si>
    <t>February 57, 08:42 AM : 170158</t>
  </si>
  <si>
    <t>February 57, 08:43 AM : 170158</t>
  </si>
  <si>
    <t>February 57, 08:44 AM : 170158</t>
  </si>
  <si>
    <t>February 57, 08:45 AM : 170158</t>
  </si>
  <si>
    <t>February 57, 08:46 AM : 170158</t>
  </si>
  <si>
    <t>February 57, 08:47 AM : 170158</t>
  </si>
  <si>
    <t>February 57, 08:48 AM : 170158</t>
  </si>
  <si>
    <t>February 57, 08:49 AM : 170158</t>
  </si>
  <si>
    <t>February 57, 08:50 AM : 170158</t>
  </si>
  <si>
    <t>February 58, 10:55 AM : 290112</t>
  </si>
  <si>
    <t>February 58, 12:14 PM : 170158</t>
  </si>
  <si>
    <t>February 58, 12:15 PM : 170158</t>
  </si>
  <si>
    <t>February 58, 12:17 PM : 170158</t>
  </si>
  <si>
    <t>February 58, 12:18 PM : 170158</t>
  </si>
  <si>
    <t>February 58, 12:19 PM : 170158</t>
  </si>
  <si>
    <t>February 58, 12:20 PM : 170158</t>
  </si>
  <si>
    <t>February 58, 12:21 PM : 170158</t>
  </si>
  <si>
    <t>February 58, 12:22 PM : 170158</t>
  </si>
  <si>
    <t>February 58, 12:24 PM : 170158</t>
  </si>
  <si>
    <t>February 58, 04:35 PM : 170158</t>
  </si>
  <si>
    <t>February 58, 04:36 PM : 170158</t>
  </si>
  <si>
    <t>February 58, 05:17 PM : 170259</t>
  </si>
  <si>
    <t>February 58, 05:18 PM : 170259</t>
  </si>
  <si>
    <t>February 58, 05:19 PM : 170259</t>
  </si>
  <si>
    <t>February 59, 09:47 AM : 170158</t>
  </si>
  <si>
    <t>February 59, 09:53 AM : 170158</t>
  </si>
  <si>
    <t>February 59, 09:54 AM : 170158</t>
  </si>
  <si>
    <t>February 59, 09:55 AM : 170158</t>
  </si>
  <si>
    <t>February 59, 09:56 AM : 170158</t>
  </si>
  <si>
    <t>February 59, 09:57 AM : 170158</t>
  </si>
  <si>
    <t>February 59, 09:58 AM : 170158</t>
  </si>
  <si>
    <t>February 59, 09:59 AM : 170158</t>
  </si>
  <si>
    <t>February 59, 10:00 AM : 170158</t>
  </si>
  <si>
    <t>February 59, 10:31 AM : 170284</t>
  </si>
  <si>
    <t>February 59, 10:32 AM : 170284</t>
  </si>
  <si>
    <t>February 59, 10:33 AM : 170284</t>
  </si>
  <si>
    <t>February 59, 10:34 AM : 170284</t>
  </si>
  <si>
    <t>February 59, 10:35 AM : 170284</t>
  </si>
  <si>
    <t>February 59, 10:53 AM : 170284</t>
  </si>
  <si>
    <t>February 59, 10:54 AM : 170284</t>
  </si>
  <si>
    <t>February 59, 10:57 AM : 170284</t>
  </si>
  <si>
    <t>February 59, 10:58 AM : 170284</t>
  </si>
  <si>
    <t>February 59, 11:10 AM : 170284</t>
  </si>
  <si>
    <t>February 59, 11:11 AM : 170284</t>
  </si>
  <si>
    <t>February 59, 11:27 AM : 170284</t>
  </si>
  <si>
    <t>February 59, 11:30 AM : 170284</t>
  </si>
  <si>
    <t>February 59, 01:46 PM : 170290</t>
  </si>
  <si>
    <t>February 59, 01:47 PM : 170290</t>
  </si>
  <si>
    <t>February 59, 01:48 PM : 170290</t>
  </si>
  <si>
    <t>February 59, 01:48 PM : 170259</t>
  </si>
  <si>
    <t>February 59, 01:51 PM : 170259</t>
  </si>
  <si>
    <t>February 59, 01:52 PM : 170259</t>
  </si>
  <si>
    <t>February 59, 01:53 PM : 170259</t>
  </si>
  <si>
    <t>February 59, 01:54 PM : 170259</t>
  </si>
  <si>
    <t>February 59, 01:55 PM : 170259</t>
  </si>
  <si>
    <t>February 59, 01:56 PM : 170259</t>
  </si>
  <si>
    <t>February 59, 01:58 PM : 170259</t>
  </si>
  <si>
    <t>February 59, 01:58 PM : 170290</t>
  </si>
  <si>
    <t>February 59, 01:59 PM : 170290</t>
  </si>
  <si>
    <t>March 62, 04:13 PM : 170284</t>
  </si>
  <si>
    <t>March 63, 01:49 PM : 170290</t>
  </si>
  <si>
    <t>March 63, 03:27 PM : 170284</t>
  </si>
  <si>
    <t>March 63, 03:34 PM : 170284</t>
  </si>
  <si>
    <t>March 63, 03:35 PM : 170284</t>
  </si>
  <si>
    <t>March 63, 03:36 PM : 170284</t>
  </si>
  <si>
    <t>March 63, 03:37 PM : 170284</t>
  </si>
  <si>
    <t>March 63, 03:38 PM : 170284</t>
  </si>
  <si>
    <t>March 63, 03:39 PM : 170284</t>
  </si>
  <si>
    <t>March 63, 03:40 PM : 170284</t>
  </si>
  <si>
    <t>March 63, 03:43 PM : 170284</t>
  </si>
  <si>
    <t>March 63, 03:44 PM : 170284</t>
  </si>
  <si>
    <t>March 63, 03:45 PM : 170284</t>
  </si>
  <si>
    <t>March 63, 03:46 PM : 170284</t>
  </si>
  <si>
    <t>March 63, 03:47 PM : 170284</t>
  </si>
  <si>
    <t>March 63, 03:52 PM : 170284</t>
  </si>
  <si>
    <t>March 63, 03:53 PM : 170284</t>
  </si>
  <si>
    <t>March 63, 03:54 PM : 170284</t>
  </si>
  <si>
    <t>March 64, 02:39 PM : 290351</t>
  </si>
  <si>
    <t>March 64, 02:40 PM : 290351</t>
  </si>
  <si>
    <t>March 64, 02:41 PM : 290351</t>
  </si>
  <si>
    <t>March 64, 02:44 PM : 290351</t>
  </si>
  <si>
    <t>March 64, 02:45 PM : 290351</t>
  </si>
  <si>
    <t>March 64, 02:46 PM : 290351</t>
  </si>
  <si>
    <t>March 64, 02:47 PM : 290351</t>
  </si>
  <si>
    <t>March 64, 02:48 PM : 290351</t>
  </si>
  <si>
    <t>March 64, 02:49 PM : 290351</t>
  </si>
  <si>
    <t>March 64, 02:50 PM : 290351</t>
  </si>
  <si>
    <t>March 64, 02:51 PM : 290351</t>
  </si>
  <si>
    <t>March 64, 02:52 PM : 290351</t>
  </si>
  <si>
    <t>March 64, 02:53 PM : 290351</t>
  </si>
  <si>
    <t>March 64, 02:54 PM : 290351</t>
  </si>
  <si>
    <t>March 64, 03:00 PM : 290351</t>
  </si>
  <si>
    <t>March 64, 03:02 PM : 290351</t>
  </si>
  <si>
    <t>March 64, 03:03 PM : 290351</t>
  </si>
  <si>
    <t>March 64, 03:25 PM : 290351</t>
  </si>
  <si>
    <t>March 64, 03:26 PM : 290351</t>
  </si>
  <si>
    <t>March 64, 03:36 PM : 290351</t>
  </si>
  <si>
    <t>March 64, 03:38 PM : 290351</t>
  </si>
  <si>
    <t>March 65, 10:31 AM : 170284</t>
  </si>
  <si>
    <t>March 65, 10:35 AM : 170284</t>
  </si>
  <si>
    <t>March 65, 10:52 AM : 170284</t>
  </si>
  <si>
    <t>March 65, 11:03 AM : 170284</t>
  </si>
  <si>
    <t>March 65, 11:04 AM : 170284</t>
  </si>
  <si>
    <t>March 65, 11:05 AM : 170284</t>
  </si>
  <si>
    <t>March 65, 11:06 AM : 170284</t>
  </si>
  <si>
    <t>March 65, 11:07 AM : 170284</t>
  </si>
  <si>
    <t>March 65, 11:08 AM : 170284</t>
  </si>
  <si>
    <t>March 65, 11:09 AM : 170284</t>
  </si>
  <si>
    <t>March 65, 11:10 AM : 170284</t>
  </si>
  <si>
    <t>March 65, 11:11 AM : 170284</t>
  </si>
  <si>
    <t>March 65, 11:12 AM : 170284</t>
  </si>
  <si>
    <t>March 65, 11:13 AM : 170284</t>
  </si>
  <si>
    <t>March 65, 11:14 AM : 170284</t>
  </si>
  <si>
    <t>March 65, 11:15 AM : 170284</t>
  </si>
  <si>
    <t>March 65, 11:16 AM : 170284</t>
  </si>
  <si>
    <t>March 65, 11:17 AM : 170284</t>
  </si>
  <si>
    <t>March 65, 11:18 AM : 170284</t>
  </si>
  <si>
    <t>March 65, 11:19 AM : 170284</t>
  </si>
  <si>
    <t>March 65, 11:36 AM : 170284</t>
  </si>
  <si>
    <t>March 65, 11:37 AM : 170284</t>
  </si>
  <si>
    <t>March 65, 11:38 AM : 170284</t>
  </si>
  <si>
    <t>March 65, 11:39 AM : 170284</t>
  </si>
  <si>
    <t>March 65, 11:40 AM : 170284</t>
  </si>
  <si>
    <t>March 65, 11:41 AM : 170284</t>
  </si>
  <si>
    <t>March 65, 11:42 AM : 170284</t>
  </si>
  <si>
    <t>March 65, 11:43 AM : 170284</t>
  </si>
  <si>
    <t>March 65, 11:44 AM : 170284</t>
  </si>
  <si>
    <t>March 65, 11:45 AM : 170284</t>
  </si>
  <si>
    <t>March 65, 11:46 AM : 170284</t>
  </si>
  <si>
    <t>March 65, 11:47 AM : 170284</t>
  </si>
  <si>
    <t>March 65, 11:48 AM : 170284</t>
  </si>
  <si>
    <t>March 65, 11:49 AM : 170284</t>
  </si>
  <si>
    <t>March 65, 11:50 AM : 170284</t>
  </si>
  <si>
    <t>March 65, 11:51 AM : 170284</t>
  </si>
  <si>
    <t>March 65, 11:52 AM : 170284</t>
  </si>
  <si>
    <t>March 65, 11:53 AM : 170284</t>
  </si>
  <si>
    <t>March 65, 11:54 AM : 170284</t>
  </si>
  <si>
    <t>March 65, 03:25 PM : 170284</t>
  </si>
  <si>
    <t>March 65, 03:26 PM : 170284</t>
  </si>
  <si>
    <t>March 65, 03:27 PM : 170284</t>
  </si>
  <si>
    <t>March 65, 03:28 PM : 170284</t>
  </si>
  <si>
    <t>March 65, 03:29 PM : 170284</t>
  </si>
  <si>
    <t>March 65, 03:30 PM : 170284</t>
  </si>
  <si>
    <t>March 65, 03:31 PM : 170284</t>
  </si>
  <si>
    <t>March 65, 03:32 PM : 170284</t>
  </si>
  <si>
    <t>March 65, 03:33 PM : 170284</t>
  </si>
  <si>
    <t>March 65, 04:18 PM : 170284</t>
  </si>
  <si>
    <t>March 65, 04:19 PM : 170284</t>
  </si>
  <si>
    <t>March 65, 04:25 PM : 170284</t>
  </si>
  <si>
    <t>March 65, 04:31 PM : 170284</t>
  </si>
  <si>
    <t>March 65, 05:03 PM : 170284</t>
  </si>
  <si>
    <t>March 65, 05:11 PM : 170284</t>
  </si>
  <si>
    <t>March 65, 05:16 PM : 170284</t>
  </si>
  <si>
    <t>March 66, 10:18 AM : 170284</t>
  </si>
  <si>
    <t>March 66, 10:19 AM : 170284</t>
  </si>
  <si>
    <t>March 66, 01:16 PM : 170284</t>
  </si>
  <si>
    <t>March 66, 01:17 PM : 170284</t>
  </si>
  <si>
    <t>March 66, 01:18 PM : 170284</t>
  </si>
  <si>
    <t>March 66, 01:21 PM : 170284</t>
  </si>
  <si>
    <t>March 66, 01:40 PM : 170284</t>
  </si>
  <si>
    <t>March 66, 01:42 PM : 170284</t>
  </si>
  <si>
    <t>March 66, 01:51 PM : 170284</t>
  </si>
  <si>
    <t>March 66, 01:52 PM : 170284</t>
  </si>
  <si>
    <t>March 66, 04:01 PM : 170284</t>
  </si>
  <si>
    <t>March 66, 04:02 PM : 170284</t>
  </si>
  <si>
    <t>March 66, 04:03 PM : 170284</t>
  </si>
  <si>
    <t>March 66, 04:04 PM : 170284</t>
  </si>
  <si>
    <t>March 66, 04:05 PM : 170284</t>
  </si>
  <si>
    <t>March 66, 04:11 PM : 170284</t>
  </si>
  <si>
    <t>March 66, 04:16 PM : 170284</t>
  </si>
  <si>
    <t>March 66, 04:17 PM : 170284</t>
  </si>
  <si>
    <t>March 67, 09:51 AM : 170259</t>
  </si>
  <si>
    <t>March 67, 09:53 AM : 170259</t>
  </si>
  <si>
    <t>March 67, 09:54 AM : 170259</t>
  </si>
  <si>
    <t>March 67, 09:55 AM : 170259</t>
  </si>
  <si>
    <t>March 67, 09:56 AM : 170259</t>
  </si>
  <si>
    <t>March 67, 09:57 AM : 170259</t>
  </si>
  <si>
    <t>March 67, 09:59 AM : 170259</t>
  </si>
  <si>
    <t>March 67, 10:00 AM : 170259</t>
  </si>
  <si>
    <t>March 67, 10:01 AM : 170259</t>
  </si>
  <si>
    <t>March 67, 10:03 AM : 170259</t>
  </si>
  <si>
    <t>March 67, 10:05 AM : 170259</t>
  </si>
  <si>
    <t>March 67, 10:06 AM : 170259</t>
  </si>
  <si>
    <t>March 67, 10:07 AM : 170259</t>
  </si>
  <si>
    <t>March 69, 01:05 PM : 290112</t>
  </si>
  <si>
    <t>March 69, 01:06 PM : 290112</t>
  </si>
  <si>
    <t>March 69, 01:49 PM : 170284</t>
  </si>
  <si>
    <t>March 69, 01:50 PM : 170284</t>
  </si>
  <si>
    <t>March 69, 01:51 PM : 170284</t>
  </si>
  <si>
    <t>March 69, 01:52 PM : 170284</t>
  </si>
  <si>
    <t>March 69, 01:53 PM : 170284</t>
  </si>
  <si>
    <t>March 69, 01:54 PM : 170284</t>
  </si>
  <si>
    <t>March 69, 01:55 PM : 170284</t>
  </si>
  <si>
    <t>March 69, 01:56 PM : 170284</t>
  </si>
  <si>
    <t>March 69, 01:57 PM : 170284</t>
  </si>
  <si>
    <t>March 69, 03:11 PM : 170284</t>
  </si>
  <si>
    <t>March 69, 03:12 PM : 170284</t>
  </si>
  <si>
    <t>March 69, 03:13 PM : 170284</t>
  </si>
  <si>
    <t>March 69, 03:14 PM : 170284</t>
  </si>
  <si>
    <t>March 69, 03:15 PM : 170284</t>
  </si>
  <si>
    <t>March 69, 03:16 PM : 170284</t>
  </si>
  <si>
    <t>March 69, 03:17 PM : 170284</t>
  </si>
  <si>
    <t>March 69, 03:29 PM : 170284</t>
  </si>
  <si>
    <t>March 69, 03:30 PM : 170284</t>
  </si>
  <si>
    <t>March 69, 04:35 PM : 170284</t>
  </si>
  <si>
    <t>March 69, 04:36 PM : 170284</t>
  </si>
  <si>
    <t>March 69, 05:10 PM : 170284</t>
  </si>
  <si>
    <t>March 70, 01:09 PM : 170284</t>
  </si>
  <si>
    <t>March 70, 01:11 PM : 170284</t>
  </si>
  <si>
    <t>March 70, 01:12 PM : 170284</t>
  </si>
  <si>
    <t>March 70, 02:49 PM : 170284</t>
  </si>
  <si>
    <t>March 70, 02:50 PM : 170284</t>
  </si>
  <si>
    <t>March 70, 04:04 PM : 170259</t>
  </si>
  <si>
    <t>March 70, 04:05 PM : 170259</t>
  </si>
  <si>
    <t>March 70, 09:53 PM : 170284</t>
  </si>
  <si>
    <t>March 71, 01:16 PM : 170284</t>
  </si>
  <si>
    <t>March 71, 01:17 PM : 170284</t>
  </si>
  <si>
    <t>March 71, 04:10 PM : 170284</t>
  </si>
  <si>
    <t>March 71, 04:12 PM : 290112</t>
  </si>
  <si>
    <t>March 71, 04:12 PM : 170284</t>
  </si>
  <si>
    <t>March 71, 04:13 PM : 290112</t>
  </si>
  <si>
    <t>March 71, 04:14 PM : 290112</t>
  </si>
  <si>
    <t>March 71, 04:15 PM : 290112</t>
  </si>
  <si>
    <t>March 71, 04:19 PM : 290112</t>
  </si>
  <si>
    <t>March 71, 04:20 PM : 290112</t>
  </si>
  <si>
    <t>March 71, 04:23 PM : 170284</t>
  </si>
  <si>
    <t>March 71, 04:24 PM : 170284</t>
  </si>
  <si>
    <t>March 71, 04:25 PM : 170284</t>
  </si>
  <si>
    <t>March 71, 04:27 PM : 170284</t>
  </si>
  <si>
    <t>March 72, 10:29 AM : 170284</t>
  </si>
  <si>
    <t>March 72, 10:30 AM : 170284</t>
  </si>
  <si>
    <t>March 72, 10:31 AM : 170284</t>
  </si>
  <si>
    <t>March 72, 10:33 AM : 170284</t>
  </si>
  <si>
    <t>March 72, 10:34 AM : 170284</t>
  </si>
  <si>
    <t>March 72, 10:35 AM : 170284</t>
  </si>
  <si>
    <t>March 72, 10:44 AM : 170284</t>
  </si>
  <si>
    <t>March 72, 10:48 AM : 170284</t>
  </si>
  <si>
    <t>March 72, 10:49 AM : 170284</t>
  </si>
  <si>
    <t>March 72, 11:26 AM : 170284</t>
  </si>
  <si>
    <t>March 72, 02:43 PM : 170284</t>
  </si>
  <si>
    <t>March 86, 11:32 AM : 170284</t>
  </si>
  <si>
    <t>March 86, 11:33 AM : 170284</t>
  </si>
  <si>
    <t>March 86, 11:34 AM : 170284</t>
  </si>
  <si>
    <t>March 86, 11:35 AM : 170284</t>
  </si>
  <si>
    <t>March 86, 11:36 AM : 170284</t>
  </si>
  <si>
    <t>March 86, 11:38 AM : 170284</t>
  </si>
  <si>
    <t>March 86, 11:42 AM : 170284</t>
  </si>
  <si>
    <t>March 87, 01:28 PM : 170284</t>
  </si>
  <si>
    <t>April 91, 01:03 PM : 170284</t>
  </si>
  <si>
    <t>April 91, 01:04 PM : 170284</t>
  </si>
  <si>
    <t>April 91, 01:05 PM : 170284</t>
  </si>
  <si>
    <t>April 92, 10:26 AM : 290112</t>
  </si>
  <si>
    <t>April 92, 10:27 AM : 290112</t>
  </si>
  <si>
    <t>April 92, 11:26 AM : 170284</t>
  </si>
  <si>
    <t>April 92, 11:47 AM : 170284</t>
  </si>
  <si>
    <t>April 92, 02:14 PM : 170284</t>
  </si>
  <si>
    <t>April 92, 02:25 PM : 170284</t>
  </si>
  <si>
    <t>April 92, 02:27 PM : 170284</t>
  </si>
  <si>
    <t>April 92, 02:28 PM : 170284</t>
  </si>
  <si>
    <t>April 92, 02:29 PM : 170284</t>
  </si>
  <si>
    <t>April 94, 06:50 AM : 170290</t>
  </si>
  <si>
    <t>April 94, 01:17 PM : 170290</t>
  </si>
  <si>
    <t>April 97, 12:07 PM : 170284</t>
  </si>
  <si>
    <t>April 97, 12:08 PM : 170284</t>
  </si>
  <si>
    <t>April 97, 12:09 PM : 170284</t>
  </si>
  <si>
    <t>April 97, 12:25 PM : 170284</t>
  </si>
  <si>
    <t>April 97, 12:39 PM : 170284</t>
  </si>
  <si>
    <t>April 97, 12:40 PM : 170284</t>
  </si>
  <si>
    <t>April 97, 12:41 PM : 170284</t>
  </si>
  <si>
    <t>April 97, 12:50 PM : 170284</t>
  </si>
  <si>
    <t>April 97, 12:51 PM : 170284</t>
  </si>
  <si>
    <t>April 97, 12:52 PM : 170284</t>
  </si>
  <si>
    <t>April 97, 12:53 PM : 170284</t>
  </si>
  <si>
    <t>April 97, 12:54 PM : 170284</t>
  </si>
  <si>
    <t>April 97, 02:32 PM : 170284</t>
  </si>
  <si>
    <t>April 97, 02:33 PM : 170284</t>
  </si>
  <si>
    <t>April 97, 02:41 PM : 170284</t>
  </si>
  <si>
    <t>April 97, 02:42 PM : 170284</t>
  </si>
  <si>
    <t>April 97, 02:43 PM : 170284</t>
  </si>
  <si>
    <t>April 97, 02:46 PM : 170284</t>
  </si>
  <si>
    <t>April 97, 02:47 PM : 170284</t>
  </si>
  <si>
    <t>April 97, 02:48 PM : 170284</t>
  </si>
  <si>
    <t>April 97, 02:49 PM : 170284</t>
  </si>
  <si>
    <t>April 98, 04:35 PM : 170284</t>
  </si>
  <si>
    <t>April 98, 04:36 PM : 170284</t>
  </si>
  <si>
    <t>April 98, 04:37 PM : 170284</t>
  </si>
  <si>
    <t>April 98, 04:38 PM : 170284</t>
  </si>
  <si>
    <t>April 98, 04:39 PM : 170284</t>
  </si>
  <si>
    <t>April 98, 04:40 PM : 170284</t>
  </si>
  <si>
    <t>April 98, 04:41 PM : 170284</t>
  </si>
  <si>
    <t>April 99, 10:31 AM : 290112</t>
  </si>
  <si>
    <t>April 99, 10:34 AM : 290112</t>
  </si>
  <si>
    <t>April 99, 10:45 AM : 290112</t>
  </si>
  <si>
    <t>April 99, 10:46 AM : 290112</t>
  </si>
  <si>
    <t>April 99, 10:47 AM : 290112</t>
  </si>
  <si>
    <t>April 99, 10:50 AM : 290112</t>
  </si>
  <si>
    <t>April 99, 12:44 PM : 170284</t>
  </si>
  <si>
    <t>April 99, 12:45 PM : 170284</t>
  </si>
  <si>
    <t>April 99, 12:49 PM : 170284</t>
  </si>
  <si>
    <t>April 99, 12:50 PM : 170284</t>
  </si>
  <si>
    <t>April 99, 12:51 PM : 170284</t>
  </si>
  <si>
    <t>April 99, 12:52 PM : 170284</t>
  </si>
  <si>
    <t>April 99, 12:53 PM : 170284</t>
  </si>
  <si>
    <t>April 99, 12:54 PM : 170284</t>
  </si>
  <si>
    <t>April 99, 01:17 PM : 170284</t>
  </si>
  <si>
    <t>April 99, 01:18 PM : 170284</t>
  </si>
  <si>
    <t>April 99, 02:57 PM : 170284</t>
  </si>
  <si>
    <t>April 100, 11:19 AM : 170284</t>
  </si>
  <si>
    <t>April 100, 11:20 AM : 170284</t>
  </si>
  <si>
    <t>April 100, 11:21 AM : 170284</t>
  </si>
  <si>
    <t>April 100, 11:22 AM : 170284</t>
  </si>
  <si>
    <t>April 100, 11:23 AM : 170284</t>
  </si>
  <si>
    <t>April 100, 11:24 AM : 170284</t>
  </si>
  <si>
    <t>April 100, 11:25 AM : 170284</t>
  </si>
  <si>
    <t>April 100, 11:30 AM : 170284</t>
  </si>
  <si>
    <t>April 100, 11:31 AM : 170284</t>
  </si>
  <si>
    <t>April 100, 11:32 AM : 170284</t>
  </si>
  <si>
    <t>April 100, 11:33 AM : 170284</t>
  </si>
  <si>
    <t>April 100, 11:34 AM : 170284</t>
  </si>
  <si>
    <t>April 100, 03:42 PM : 170284</t>
  </si>
  <si>
    <t>April 100, 03:43 PM : 170284</t>
  </si>
  <si>
    <t>April 100, 03:44 PM : 170284</t>
  </si>
  <si>
    <t>April 101, 10:41 AM : 170284</t>
  </si>
  <si>
    <t>April 101, 10:42 AM : 170284</t>
  </si>
  <si>
    <t>April 101, 10:43 AM : 170284</t>
  </si>
  <si>
    <t>April 101, 10:44 AM : 170284</t>
  </si>
  <si>
    <t>April 101, 10:45 AM : 170284</t>
  </si>
  <si>
    <t>April 101, 10:48 AM : 170284</t>
  </si>
  <si>
    <t>April 101, 10:49 AM : 170284</t>
  </si>
  <si>
    <t>April 101, 10:50 AM : 170284</t>
  </si>
  <si>
    <t>April 101, 10:52 AM : 170284</t>
  </si>
  <si>
    <t>April 101, 10:53 AM : 170284</t>
  </si>
  <si>
    <t>April 101, 04:03 PM : 170284</t>
  </si>
  <si>
    <t>April 101, 04:05 PM : 170284</t>
  </si>
  <si>
    <t>April 101, 04:22 PM : 170284</t>
  </si>
  <si>
    <t>April 101, 04:23 PM : 170284</t>
  </si>
  <si>
    <t>April 105, 01:23 PM : 170284</t>
  </si>
  <si>
    <t>April 105, 01:24 PM : 170284</t>
  </si>
  <si>
    <t>April 105, 01:25 PM : 170284</t>
  </si>
  <si>
    <t>April 105, 01:26 PM : 170284</t>
  </si>
  <si>
    <t>April 105, 01:27 PM : 170284</t>
  </si>
  <si>
    <t>April 105, 01:28 PM : 170284</t>
  </si>
  <si>
    <t>April 105, 01:31 PM : 170284</t>
  </si>
  <si>
    <t>April 105, 01:32 PM : 170284</t>
  </si>
  <si>
    <t>April 105, 01:33 PM : 170284</t>
  </si>
  <si>
    <t>April 105, 01:43 PM : 170284</t>
  </si>
  <si>
    <t>April 105, 01:48 PM : 170284</t>
  </si>
  <si>
    <t>April 105, 01:49 PM : 170284</t>
  </si>
  <si>
    <t>April 105, 03:42 PM : 170284</t>
  </si>
  <si>
    <t>April 105, 03:44 PM : 170284</t>
  </si>
  <si>
    <t>April 105, 03:50 PM : 170284</t>
  </si>
  <si>
    <t>April 105, 03:51 PM : 170284</t>
  </si>
  <si>
    <t>April 105, 03:52 PM : 170284</t>
  </si>
  <si>
    <t>April 105, 03:53 PM : 170284</t>
  </si>
  <si>
    <t>April 105, 03:54 PM : 170284</t>
  </si>
  <si>
    <t>April 105, 03:55 PM : 170284</t>
  </si>
  <si>
    <t>April 105, 03:56 PM : 170284</t>
  </si>
  <si>
    <t>April 105, 03:57 PM : 170284</t>
  </si>
  <si>
    <t>April 106, 10:23 AM : 290112</t>
  </si>
  <si>
    <t>April 106, 10:24 AM : 290112</t>
  </si>
  <si>
    <t>April 106, 10:25 AM : 290112</t>
  </si>
  <si>
    <t>April 106, 10:26 AM : 290112</t>
  </si>
  <si>
    <t>April 106, 10:27 AM : 290112</t>
  </si>
  <si>
    <t>April 106, 10:28 AM : 290112</t>
  </si>
  <si>
    <t>April 106, 10:29 AM : 290112</t>
  </si>
  <si>
    <t>April 106, 11:14 AM : 290112</t>
  </si>
  <si>
    <t>April 106, 11:17 AM : 290112</t>
  </si>
  <si>
    <t>April 106, 11:18 AM : 290112</t>
  </si>
  <si>
    <t>April 106, 11:46 AM : 170284</t>
  </si>
  <si>
    <t>April 106, 11:47 AM : 170284</t>
  </si>
  <si>
    <t>April 106, 11:48 AM : 170284</t>
  </si>
  <si>
    <t>April 106, 11:49 AM : 170284</t>
  </si>
  <si>
    <t>April 106, 12:01 PM : 170284</t>
  </si>
  <si>
    <t>April 106, 01:54 PM : 170284</t>
  </si>
  <si>
    <t>April 106, 01:59 PM : 170284</t>
  </si>
  <si>
    <t>April 106, 02:00 PM : 170284</t>
  </si>
  <si>
    <t>April 106, 04:21 PM : 290112</t>
  </si>
  <si>
    <t>April 106, 04:22 PM : 290112</t>
  </si>
  <si>
    <t>April 106, 04:23 PM : 290112</t>
  </si>
  <si>
    <t>April 106, 04:24 PM : 290112</t>
  </si>
  <si>
    <t>April 106, 04:26 PM : 290112</t>
  </si>
  <si>
    <t>April 106, 04:27 PM : 290112</t>
  </si>
  <si>
    <t>April 106, 04:28 PM : 290112</t>
  </si>
  <si>
    <t>April 106, 04:29 PM : 290112</t>
  </si>
  <si>
    <t>April 106, 04:46 PM : 290112</t>
  </si>
  <si>
    <t>April 106, 04:47 PM : 290112</t>
  </si>
  <si>
    <t>April 106, 05:13 PM : 170284</t>
  </si>
  <si>
    <t>April 106, 05:14 PM : 170284</t>
  </si>
  <si>
    <t>April 106, 05:15 PM : 170284</t>
  </si>
  <si>
    <t>April 106, 05:16 PM : 170284</t>
  </si>
  <si>
    <t>April 106, 05:17 PM : 170284</t>
  </si>
  <si>
    <t>April 107, 08:27 AM : 170284</t>
  </si>
  <si>
    <t>April 107, 08:28 AM : 170284</t>
  </si>
  <si>
    <t>April 107, 09:24 AM : 170284</t>
  </si>
  <si>
    <t>April 107, 09:26 AM : 170284</t>
  </si>
  <si>
    <t>April 107, 09:28 AM : 170284</t>
  </si>
  <si>
    <t>April 107, 09:29 AM : 170284</t>
  </si>
  <si>
    <t>April 107, 09:30 AM : 170284</t>
  </si>
  <si>
    <t>April 107, 09:31 AM : 170284</t>
  </si>
  <si>
    <t>April 107, 09:32 AM : 170284</t>
  </si>
  <si>
    <t>April 107, 09:33 AM : 170284</t>
  </si>
  <si>
    <t>April 107, 09:34 AM : 170284</t>
  </si>
  <si>
    <t>April 107, 09:35 AM : 170284</t>
  </si>
  <si>
    <t>April 107, 09:37 AM : 170284</t>
  </si>
  <si>
    <t>April 107, 09:38 AM : 170284</t>
  </si>
  <si>
    <t>April 107, 11:32 AM : 170284</t>
  </si>
  <si>
    <t>April 107, 11:33 AM : 170284</t>
  </si>
  <si>
    <t>April 107, 11:38 AM : 170284</t>
  </si>
  <si>
    <t>April 107, 11:41 AM : 170284</t>
  </si>
  <si>
    <t>April 107, 11:42 AM : 170284</t>
  </si>
  <si>
    <t>April 107, 02:47 PM : 170284</t>
  </si>
  <si>
    <t>April 107, 02:48 PM : 170284</t>
  </si>
  <si>
    <t>April 107, 02:52 PM : 170284</t>
  </si>
  <si>
    <t>April 107, 02:54 PM : 170284</t>
  </si>
  <si>
    <t>April 107, 02:55 PM : 170284</t>
  </si>
  <si>
    <t>April 107, 03:43 PM : 170284</t>
  </si>
  <si>
    <t>April 107, 03:44 PM : 170284</t>
  </si>
  <si>
    <t>April 107, 03:45 PM : 170284</t>
  </si>
  <si>
    <t>April 107, 03:46 PM : 170284</t>
  </si>
  <si>
    <t>April 107, 03:47 PM : 170284</t>
  </si>
  <si>
    <t>April 107, 04:01 PM : 170284</t>
  </si>
  <si>
    <t>April 107, 04:02 PM : 170284</t>
  </si>
  <si>
    <t>April 107, 04:35 PM : 170284</t>
  </si>
  <si>
    <t>April 107, 04:36 PM : 170284</t>
  </si>
  <si>
    <t>April 107, 04:37 PM : 170284</t>
  </si>
  <si>
    <t>April 108, 10:36 AM : 170284</t>
  </si>
  <si>
    <t>April 108, 01:11 PM : 170284</t>
  </si>
  <si>
    <t>April 108, 01:12 PM : 170284</t>
  </si>
  <si>
    <t>April 108, 01:13 PM : 170284</t>
  </si>
  <si>
    <t>April 108, 01:52 PM : 170284</t>
  </si>
  <si>
    <t>April 108, 01:53 PM : 170284</t>
  </si>
  <si>
    <t>April 108, 02:29 PM : 290351</t>
  </si>
  <si>
    <t>April 108, 02:30 PM : 290351</t>
  </si>
  <si>
    <t>April 108, 02:31 PM : 290351</t>
  </si>
  <si>
    <t>April 108, 02:32 PM : 290351</t>
  </si>
  <si>
    <t>April 108, 02:33 PM : 290351</t>
  </si>
  <si>
    <t>April 108, 02:34 PM : 290351</t>
  </si>
  <si>
    <t>April 108, 02:35 PM : 290351</t>
  </si>
  <si>
    <t>April 108, 02:36 PM : 290351</t>
  </si>
  <si>
    <t>April 108, 03:44 PM : 290351</t>
  </si>
  <si>
    <t>April 108, 03:45 PM : 290351</t>
  </si>
  <si>
    <t>April 108, 03:46 PM : 290351</t>
  </si>
  <si>
    <t>April 108, 03:47 PM : 290351</t>
  </si>
  <si>
    <t>April 108, 03:52 PM : 290351</t>
  </si>
  <si>
    <t>April 111, 01:02 PM : 290351</t>
  </si>
  <si>
    <t>April 111, 01:03 PM : 290351</t>
  </si>
  <si>
    <t>April 111, 01:07 PM : 290351</t>
  </si>
  <si>
    <t>April 111, 01:11 PM : 170290</t>
  </si>
  <si>
    <t>April 111, 01:11 PM : 170284</t>
  </si>
  <si>
    <t>April 111, 01:12 PM : 170284</t>
  </si>
  <si>
    <t>April 111, 01:14 PM : 290351</t>
  </si>
  <si>
    <t>April 111, 01:15 PM : 290351</t>
  </si>
  <si>
    <t>April 111, 01:18 PM : 170284</t>
  </si>
  <si>
    <t>April 111, 01:19 PM : 170284</t>
  </si>
  <si>
    <t>April 111, 01:21 PM : 170284</t>
  </si>
  <si>
    <t>April 111, 01:23 PM : 170284</t>
  </si>
  <si>
    <t>April 111, 01:35 PM : 170284</t>
  </si>
  <si>
    <t>April 111, 01:36 PM : 170284</t>
  </si>
  <si>
    <t>April 111, 01:37 PM : 170284</t>
  </si>
  <si>
    <t>April 111, 01:44 PM : 170284</t>
  </si>
  <si>
    <t>April 111, 01:45 PM : 170284</t>
  </si>
  <si>
    <t>April 111, 02:13 PM : 170284</t>
  </si>
  <si>
    <t>April 111, 02:14 PM : 170284</t>
  </si>
  <si>
    <t>April 111, 02:15 PM : 170284</t>
  </si>
  <si>
    <t>April 111, 02:16 PM : 170284</t>
  </si>
  <si>
    <t>April 111, 02:17 PM : 170284</t>
  </si>
  <si>
    <t>April 111, 03:35 PM : 170284</t>
  </si>
  <si>
    <t>April 111, 03:36 PM : 170284</t>
  </si>
  <si>
    <t>April 111, 03:37 PM : 170284</t>
  </si>
  <si>
    <t>April 111, 03:38 PM : 170284</t>
  </si>
  <si>
    <t>April 111, 03:39 PM : 170284</t>
  </si>
  <si>
    <t>April 111, 03:55 PM : 170284</t>
  </si>
  <si>
    <t>April 111, 03:56 PM : 170284</t>
  </si>
  <si>
    <t>April 111, 03:57 PM : 170284</t>
  </si>
  <si>
    <t>April 111, 03:58 PM : 170284</t>
  </si>
  <si>
    <t>April 111, 03:59 PM : 170284</t>
  </si>
  <si>
    <t>April 111, 04:00 PM : 170284</t>
  </si>
  <si>
    <t>April 111, 04:01 PM : 170284</t>
  </si>
  <si>
    <t>April 111, 04:03 PM : 170284</t>
  </si>
  <si>
    <t>April 112, 11:20 AM : 170250</t>
  </si>
  <si>
    <t>April 112, 11:59 AM : 170284</t>
  </si>
  <si>
    <t>April 112, 12:00 PM : 170284</t>
  </si>
  <si>
    <t>April 112, 01:24 PM : 170284</t>
  </si>
  <si>
    <t>April 112, 01:25 PM : 170284</t>
  </si>
  <si>
    <t>April 112, 01:29 PM : 170284</t>
  </si>
  <si>
    <t>April 112, 01:30 PM : 170284</t>
  </si>
  <si>
    <t>April 112, 01:35 PM : 170284</t>
  </si>
  <si>
    <t>April 112, 01:36 PM : 170284</t>
  </si>
  <si>
    <t>April 112, 01:38 PM : 170284</t>
  </si>
  <si>
    <t>April 112, 01:41 PM : 170284</t>
  </si>
  <si>
    <t>April 112, 01:42 PM : 170284</t>
  </si>
  <si>
    <t>April 112, 01:43 PM : 170284</t>
  </si>
  <si>
    <t>April 112, 01:44 PM : 170284</t>
  </si>
  <si>
    <t>April 112, 01:45 PM : 170284</t>
  </si>
  <si>
    <t>April 112, 01:46 PM : 170284</t>
  </si>
  <si>
    <t>April 112, 02:20 PM : 170284</t>
  </si>
  <si>
    <t>April 112, 02:21 PM : 170284</t>
  </si>
  <si>
    <t>April 112, 02:22 PM : 170284</t>
  </si>
  <si>
    <t>April 112, 02:25 PM : 170284</t>
  </si>
  <si>
    <t>April 112, 02:26 PM : 170284</t>
  </si>
  <si>
    <t>April 112, 03:35 PM : 170250</t>
  </si>
  <si>
    <t>April 112, 03:36 PM : 170250</t>
  </si>
  <si>
    <t>April 112, 03:37 PM : 170250</t>
  </si>
  <si>
    <t>April 112, 03:38 PM : 170250</t>
  </si>
  <si>
    <t>April 112, 03:39 PM : 170250</t>
  </si>
  <si>
    <t>April 112, 03:40 PM : 170250</t>
  </si>
  <si>
    <t>April 112, 03:41 PM : 170250</t>
  </si>
  <si>
    <t>April 112, 03:42 PM : 170250</t>
  </si>
  <si>
    <t>April 112, 03:43 PM : 170250</t>
  </si>
  <si>
    <t>April 112, 03:45 PM : 170284</t>
  </si>
  <si>
    <t>April 112, 04:44 PM : 170250</t>
  </si>
  <si>
    <t>April 113, 11:41 AM : 170284</t>
  </si>
  <si>
    <t>April 113, 11:42 AM : 170284</t>
  </si>
  <si>
    <t>April 113, 11:43 AM : 170284</t>
  </si>
  <si>
    <t>April 113, 11:44 AM : 170284</t>
  </si>
  <si>
    <t>April 113, 11:45 AM : 170284</t>
  </si>
  <si>
    <t>April 113, 11:46 AM : 170284</t>
  </si>
  <si>
    <t>April 113, 11:48 AM : 170284</t>
  </si>
  <si>
    <t>April 113, 11:52 AM : 170284</t>
  </si>
  <si>
    <t>April 113, 11:53 AM : 170284</t>
  </si>
  <si>
    <t>April 113, 11:54 AM : 170284</t>
  </si>
  <si>
    <t>April 113, 11:55 AM : 170284</t>
  </si>
  <si>
    <t>April 113, 11:56 AM : 170284</t>
  </si>
  <si>
    <t>April 113, 11:57 AM : 170284</t>
  </si>
  <si>
    <t>April 113, 12:49 PM : 170284</t>
  </si>
  <si>
    <t>April 113, 12:50 PM : 170284</t>
  </si>
  <si>
    <t>April 113, 12:51 PM : 170284</t>
  </si>
  <si>
    <t>April 113, 12:52 PM : 170284</t>
  </si>
  <si>
    <t>April 113, 12:54 PM : 170284</t>
  </si>
  <si>
    <t>April 113, 01:00 PM : 170284</t>
  </si>
  <si>
    <t>April 113, 01:01 PM : 170284</t>
  </si>
  <si>
    <t>April 113, 01:02 PM : 170284</t>
  </si>
  <si>
    <t>April 113, 01:03 PM : 170284</t>
  </si>
  <si>
    <t>April 113, 01:04 PM : 170284</t>
  </si>
  <si>
    <t>April 113, 01:07 PM : 170284</t>
  </si>
  <si>
    <t>April 113, 02:08 PM : 170250</t>
  </si>
  <si>
    <t>April 113, 02:09 PM : 170250</t>
  </si>
  <si>
    <t>April 113, 02:16 PM : 170284</t>
  </si>
  <si>
    <t>April 113, 02:17 PM : 170284</t>
  </si>
  <si>
    <t>April 113, 02:22 PM : 170284</t>
  </si>
  <si>
    <t>April 113, 04:09 PM : 290351</t>
  </si>
  <si>
    <t>April 113, 04:10 PM : 290351</t>
  </si>
  <si>
    <t>April 113, 04:11 PM : 290351</t>
  </si>
  <si>
    <t>April 113, 04:12 PM : 290351</t>
  </si>
  <si>
    <t>April 113, 04:13 PM : 290351</t>
  </si>
  <si>
    <t>April 113, 04:15 PM : 290351</t>
  </si>
  <si>
    <t>April 113, 04:16 PM : 290351</t>
  </si>
  <si>
    <t>April 113, 04:17 PM : 290351</t>
  </si>
  <si>
    <t>April 113, 04:18 PM : 290351</t>
  </si>
  <si>
    <t>April 113, 04:30 PM : 170284</t>
  </si>
  <si>
    <t>April 113, 04:31 PM : 170284</t>
  </si>
  <si>
    <t>April 113, 04:32 PM : 170284</t>
  </si>
  <si>
    <t>April 113, 04:33 PM : 170284</t>
  </si>
  <si>
    <t>April 113, 04:34 PM : 170284</t>
  </si>
  <si>
    <t>April 113, 04:35 PM : 170284</t>
  </si>
  <si>
    <t>April 113, 04:36 PM : 170284</t>
  </si>
  <si>
    <t>April 113, 04:37 PM : 170284</t>
  </si>
  <si>
    <t>April 113, 04:38 PM : 170284</t>
  </si>
  <si>
    <t>April 113, 04:39 PM : 170284</t>
  </si>
  <si>
    <t>April 114, 09:24 AM : 170253</t>
  </si>
  <si>
    <t>April 114, 09:27 AM : 170284</t>
  </si>
  <si>
    <t>April 114, 09:28 AM : 170284</t>
  </si>
  <si>
    <t>April 114, 09:29 AM : 170284</t>
  </si>
  <si>
    <t>April 114, 09:30 AM : 170284</t>
  </si>
  <si>
    <t>April 114, 09:32 AM : 170284</t>
  </si>
  <si>
    <t>April 114, 09:33 AM : 170284</t>
  </si>
  <si>
    <t>April 114, 09:34 AM : 170284</t>
  </si>
  <si>
    <t>April 114, 09:36 AM : 170284</t>
  </si>
  <si>
    <t>April 114, 09:38 AM : 170284</t>
  </si>
  <si>
    <t>April 114, 09:39 AM : 170284</t>
  </si>
  <si>
    <t>April 114, 09:40 AM : 170284</t>
  </si>
  <si>
    <t>April 114, 09:41 AM : 170284</t>
  </si>
  <si>
    <t>April 114, 09:43 AM : 170284</t>
  </si>
  <si>
    <t>April 114, 09:44 AM : 170284</t>
  </si>
  <si>
    <t>April 114, 09:45 AM : 170284</t>
  </si>
  <si>
    <t>April 114, 09:46 AM : 170284</t>
  </si>
  <si>
    <t>April 114, 09:47 AM : 170284</t>
  </si>
  <si>
    <t>April 114, 09:48 AM : 170284</t>
  </si>
  <si>
    <t>April 114, 09:49 AM : 170284</t>
  </si>
  <si>
    <t>April 114, 09:53 AM : 170284</t>
  </si>
  <si>
    <t>April 114, 09:54 AM : 170284</t>
  </si>
  <si>
    <t>April 114, 09:55 AM : 170284</t>
  </si>
  <si>
    <t>April 114, 10:27 AM : 170284</t>
  </si>
  <si>
    <t>April 114, 10:28 AM : 170284</t>
  </si>
  <si>
    <t>April 114, 10:29 AM : 170284</t>
  </si>
  <si>
    <t>April 114, 01:24 PM : 170284</t>
  </si>
  <si>
    <t>April 114, 01:25 PM : 170284</t>
  </si>
  <si>
    <t>April 114, 01:26 PM : 170284</t>
  </si>
  <si>
    <t>April 114, 01:27 PM : 170284</t>
  </si>
  <si>
    <t>April 114, 01:30 PM : 170284</t>
  </si>
  <si>
    <t>April 114, 01:31 PM : 170284</t>
  </si>
  <si>
    <t>April 114, 01:32 PM : 170284</t>
  </si>
  <si>
    <t>April 114, 01:42 PM : 170284</t>
  </si>
  <si>
    <t>April 114, 01:48 PM : 170284</t>
  </si>
  <si>
    <t>April 114, 01:59 PM : 170284</t>
  </si>
  <si>
    <t>April 114, 02:41 PM : 170284</t>
  </si>
  <si>
    <t>April 114, 02:46 PM : 170284</t>
  </si>
  <si>
    <t>April 114, 02:47 PM : 170284</t>
  </si>
  <si>
    <t>April 114, 03:22 PM : 170250</t>
  </si>
  <si>
    <t>April 114, 03:23 PM : 170250</t>
  </si>
  <si>
    <t>April 114, 04:12 PM : 170284</t>
  </si>
  <si>
    <t>April 114, 04:14 PM : 170284</t>
  </si>
  <si>
    <t>April 114, 04:15 PM : 170284</t>
  </si>
  <si>
    <t>April 114, 04:16 PM : 170284</t>
  </si>
  <si>
    <t>April 114, 04:17 PM : 170284</t>
  </si>
  <si>
    <t>April 114, 04:18 PM : 170284</t>
  </si>
  <si>
    <t>April 115, 10:10 AM : 170284</t>
  </si>
  <si>
    <t>April 115, 10:25 AM : 170284</t>
  </si>
  <si>
    <t>April 115, 11:08 AM : 170284</t>
  </si>
  <si>
    <t>April 115, 11:09 AM : 170284</t>
  </si>
  <si>
    <t>April 115, 11:10 AM : 170284</t>
  </si>
  <si>
    <t>April 115, 11:11 AM : 170284</t>
  </si>
  <si>
    <t>April 115, 11:12 AM : 170284</t>
  </si>
  <si>
    <t>April 115, 11:13 AM : 170284</t>
  </si>
  <si>
    <t>April 115, 12:44 PM : 170284</t>
  </si>
  <si>
    <t>April 115, 04:09 PM : 170284</t>
  </si>
  <si>
    <t>April 115, 04:10 PM : 170284</t>
  </si>
  <si>
    <t>April 115, 04:11 PM : 170284</t>
  </si>
  <si>
    <t>April 115, 04:12 PM : 170284</t>
  </si>
  <si>
    <t>April 115, 04:13 PM : 170284</t>
  </si>
  <si>
    <t>April 115, 04:14 PM : 170284</t>
  </si>
  <si>
    <t>April 115, 04:15 PM : 170284</t>
  </si>
  <si>
    <t>April 115, 04:16 PM : 170284</t>
  </si>
  <si>
    <t>April 115, 04:18 PM : 170284</t>
  </si>
  <si>
    <t>April 115, 04:19 PM : 170284</t>
  </si>
  <si>
    <t>April 115, 04:20 PM : 170284</t>
  </si>
  <si>
    <t>April 115, 04:21 PM : 170284</t>
  </si>
  <si>
    <t>April 116, 08:17 PM : 170284</t>
  </si>
  <si>
    <t>April 117, 05:54 PM : 170284</t>
  </si>
  <si>
    <t>April 117, 05:55 PM : 170284</t>
  </si>
  <si>
    <t>April 118, 12:44 PM : 170284</t>
  </si>
  <si>
    <t>April 118, 12:46 PM : 170284</t>
  </si>
  <si>
    <t>April 118, 12:47 PM : 170284</t>
  </si>
  <si>
    <t>April 118, 12:49 PM : 170284</t>
  </si>
  <si>
    <t>April 118, 12:50 PM : 170284</t>
  </si>
  <si>
    <t>April 118, 12:51 PM : 170284</t>
  </si>
  <si>
    <t>April 118, 12:52 PM : 170284</t>
  </si>
  <si>
    <t>April 118, 12:53 PM : 170284</t>
  </si>
  <si>
    <t>April 119, 01:33 PM : 170284</t>
  </si>
  <si>
    <t>April 119, 01:34 PM : 170284</t>
  </si>
  <si>
    <t>April 119, 01:35 PM : 170284</t>
  </si>
  <si>
    <t>April 119, 01:37 PM : 170284</t>
  </si>
  <si>
    <t>April 119, 01:45 PM : 170284</t>
  </si>
  <si>
    <t>April 119, 01:46 PM : 170284</t>
  </si>
  <si>
    <t>April 119, 01:48 PM : 170284</t>
  </si>
  <si>
    <t>April 119, 01:49 PM : 170284</t>
  </si>
  <si>
    <t>April 119, 01:51 PM : 170284</t>
  </si>
  <si>
    <t>April 119, 01:52 PM : 170284</t>
  </si>
  <si>
    <t>April 119, 02:17 PM : 170284</t>
  </si>
  <si>
    <t>April 119, 02:19 PM : 170284</t>
  </si>
  <si>
    <t>April 119, 02:20 PM : 170284</t>
  </si>
  <si>
    <t>April 119, 02:21 PM : 170284</t>
  </si>
  <si>
    <t>April 119, 02:23 PM : 170284</t>
  </si>
  <si>
    <t>April 120, 12:17 PM : 170250</t>
  </si>
  <si>
    <t>April 120, 01:49 PM : 170284</t>
  </si>
  <si>
    <t>April 120, 04:07 PM : 170284</t>
  </si>
  <si>
    <t>April 120, 04:09 PM : 170284</t>
  </si>
  <si>
    <t>April 120, 04:10 PM : 170284</t>
  </si>
  <si>
    <t>April 120, 04:11 PM : 170284</t>
  </si>
  <si>
    <t>April 120, 04:12 PM : 170284</t>
  </si>
  <si>
    <t>April 120, 04:43 PM : 170284</t>
  </si>
  <si>
    <t>April 120, 04:44 PM : 170284</t>
  </si>
  <si>
    <t>May 121, 01:59 PM : 170284</t>
  </si>
  <si>
    <t>May 121, 02:00 PM : 170284</t>
  </si>
  <si>
    <t>May 121, 02:42 PM : 170284</t>
  </si>
  <si>
    <t>May 121, 02:47 PM : 170284</t>
  </si>
  <si>
    <t>May 121, 02:52 PM : 170284</t>
  </si>
  <si>
    <t>May 122, 11:10 AM : 170284</t>
  </si>
  <si>
    <t>May 122, 11:11 AM : 170284</t>
  </si>
  <si>
    <t>May 122, 01:30 PM : 170284</t>
  </si>
  <si>
    <t>May 122, 01:31 PM : 170284</t>
  </si>
  <si>
    <t>May 122, 01:32 PM : 170284</t>
  </si>
  <si>
    <t>May 122, 01:35 PM : 170284</t>
  </si>
  <si>
    <t>May 122, 01:36 PM : 170284</t>
  </si>
  <si>
    <t>May 122, 01:39 PM : 170284</t>
  </si>
  <si>
    <t>May 122, 01:40 PM : 170284</t>
  </si>
  <si>
    <t>May 122, 01:42 PM : 170284</t>
  </si>
  <si>
    <t>May 122, 01:44 PM : 170284</t>
  </si>
  <si>
    <t>May 122, 01:45 PM : 170284</t>
  </si>
  <si>
    <t>May 122, 01:46 PM : 170284</t>
  </si>
  <si>
    <t>May 122, 01:48 PM : 170284</t>
  </si>
  <si>
    <t>May 122, 01:49 PM : 170284</t>
  </si>
  <si>
    <t>May 122, 01:50 PM : 170284</t>
  </si>
  <si>
    <t>May 122, 01:52 PM : 170284</t>
  </si>
  <si>
    <t>May 122, 01:53 PM : 170284</t>
  </si>
  <si>
    <t>May 122, 02:09 PM : 170284</t>
  </si>
  <si>
    <t>May 122, 02:10 PM : 170284</t>
  </si>
  <si>
    <t>May 122, 02:11 PM : 170284</t>
  </si>
  <si>
    <t>May 122, 02:12 PM : 170284</t>
  </si>
  <si>
    <t>May 122, 02:13 PM : 170284</t>
  </si>
  <si>
    <t>May 122, 02:22 PM : 170284</t>
  </si>
  <si>
    <t>May 122, 02:23 PM : 170284</t>
  </si>
  <si>
    <t>May 122, 03:30 PM : 170250</t>
  </si>
  <si>
    <t>May 122, 03:31 PM : 170250</t>
  </si>
  <si>
    <t>May 131, 09:34 PM : 170284</t>
  </si>
  <si>
    <t>May 131, 09:35 PM : 170284</t>
  </si>
  <si>
    <t>May 131, 09:36 PM : 170284</t>
  </si>
  <si>
    <t>May 131, 09:37 PM : 170284</t>
  </si>
  <si>
    <t>May 131, 09:38 PM : 170284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</si>
</sst>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3C4043"/>
      <name val="Inconsolata"/>
    </font>
    <font>
      <b/>
      <sz val="10"/>
      <color theme="1"/>
      <name val="Arial"/>
    </font>
    <font>
      <b/>
      <sz val="11"/>
      <color theme="1"/>
      <name val="Arial"/>
      <scheme val="minor"/>
    </font>
    <font>
      <sz val="9"/>
      <color theme="1"/>
      <name val="Arial"/>
    </font>
    <font>
      <sz val="9"/>
      <color theme="1"/>
      <name val="Arial"/>
      <scheme val="minor"/>
    </font>
    <font>
      <sz val="10"/>
      <name val="Arial"/>
    </font>
    <font>
      <b/>
      <sz val="9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rgb="FF434343"/>
      <name val="Roboto"/>
    </font>
    <font>
      <sz val="11"/>
      <color theme="1"/>
      <name val="Inconsolata"/>
    </font>
    <font>
      <sz val="10"/>
      <color rgb="FF000000"/>
      <name val="Lato"/>
    </font>
    <font>
      <sz val="10"/>
      <color rgb="FF000000"/>
      <name val="Arial"/>
      <scheme val="minor"/>
    </font>
    <font>
      <sz val="11"/>
      <color rgb="FF000000"/>
      <name val="Inconsolata"/>
    </font>
    <font>
      <sz val="11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6F8F9"/>
        <bgColor rgb="FFF6F8F9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/>
    <xf numFmtId="0" fontId="1" fillId="2" borderId="0" xfId="0" applyFont="1" applyFill="1"/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3" fillId="2" borderId="0" xfId="0" applyFont="1" applyFill="1"/>
    <xf numFmtId="49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1" fontId="9" fillId="2" borderId="8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1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49" fontId="4" fillId="4" borderId="10" xfId="0" applyNumberFormat="1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2" fillId="2" borderId="1" xfId="0" applyFont="1" applyFill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12" fillId="5" borderId="1" xfId="0" applyFont="1" applyFill="1" applyBorder="1" applyAlignment="1">
      <alignment horizontal="right"/>
    </xf>
    <xf numFmtId="0" fontId="1" fillId="5" borderId="1" xfId="0" applyFont="1" applyFill="1" applyBorder="1"/>
    <xf numFmtId="49" fontId="1" fillId="3" borderId="0" xfId="0" applyNumberFormat="1" applyFont="1" applyFill="1" applyAlignment="1">
      <alignment horizontal="right"/>
    </xf>
    <xf numFmtId="49" fontId="1" fillId="3" borderId="0" xfId="0" applyNumberFormat="1" applyFont="1" applyFill="1"/>
    <xf numFmtId="0" fontId="2" fillId="3" borderId="7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9" xfId="0" applyFont="1" applyBorder="1"/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3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4" fillId="2" borderId="1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" fillId="0" borderId="0" xfId="0" applyFont="1" applyAlignment="1">
      <alignment vertical="top"/>
    </xf>
    <xf numFmtId="0" fontId="17" fillId="2" borderId="1" xfId="0" applyFont="1" applyFill="1" applyBorder="1" applyAlignment="1">
      <alignment horizontal="right"/>
    </xf>
    <xf numFmtId="0" fontId="17" fillId="5" borderId="1" xfId="0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0" xfId="0"/>
    <xf numFmtId="49" fontId="5" fillId="0" borderId="0" xfId="0" applyNumberFormat="1" applyFont="1" applyAlignment="1">
      <alignment vertical="center" wrapText="1"/>
    </xf>
    <xf numFmtId="0" fontId="8" fillId="0" borderId="5" xfId="0" applyFont="1" applyBorder="1"/>
    <xf numFmtId="0" fontId="8" fillId="0" borderId="6" xfId="0" applyFont="1" applyBorder="1"/>
    <xf numFmtId="49" fontId="4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3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65">
    <tableStyle name="5th Evaluation-style" pivot="0" count="2" xr9:uid="{00000000-0011-0000-FFFF-FFFF00000000}">
      <tableStyleElement type="firstRowStripe" dxfId="134"/>
      <tableStyleElement type="secondRowStripe" dxfId="133"/>
    </tableStyle>
    <tableStyle name="5th Evaluation-style 2" pivot="0" count="2" xr9:uid="{00000000-0011-0000-FFFF-FFFF01000000}">
      <tableStyleElement type="firstRowStripe" dxfId="132"/>
      <tableStyleElement type="secondRowStripe" dxfId="131"/>
    </tableStyle>
    <tableStyle name="5th Evaluation-style 3" pivot="0" count="2" xr9:uid="{00000000-0011-0000-FFFF-FFFF02000000}">
      <tableStyleElement type="firstRowStripe" dxfId="130"/>
      <tableStyleElement type="secondRowStripe" dxfId="129"/>
    </tableStyle>
    <tableStyle name="5th Evaluation-style 4" pivot="0" count="2" xr9:uid="{00000000-0011-0000-FFFF-FFFF03000000}">
      <tableStyleElement type="firstRowStripe" dxfId="128"/>
      <tableStyleElement type="secondRowStripe" dxfId="127"/>
    </tableStyle>
    <tableStyle name="5th Evaluation-style 5" pivot="0" count="2" xr9:uid="{00000000-0011-0000-FFFF-FFFF04000000}">
      <tableStyleElement type="firstRowStripe" dxfId="126"/>
      <tableStyleElement type="secondRowStripe" dxfId="125"/>
    </tableStyle>
    <tableStyle name="5th Evaluation-style 6" pivot="0" count="2" xr9:uid="{00000000-0011-0000-FFFF-FFFF05000000}">
      <tableStyleElement type="firstRowStripe" dxfId="124"/>
      <tableStyleElement type="secondRowStripe" dxfId="123"/>
    </tableStyle>
    <tableStyle name="5th Evaluation-style 7" pivot="0" count="2" xr9:uid="{00000000-0011-0000-FFFF-FFFF06000000}">
      <tableStyleElement type="firstRowStripe" dxfId="122"/>
      <tableStyleElement type="secondRowStripe" dxfId="121"/>
    </tableStyle>
    <tableStyle name="5th Evaluation-style 8" pivot="0" count="2" xr9:uid="{00000000-0011-0000-FFFF-FFFF07000000}">
      <tableStyleElement type="firstRowStripe" dxfId="120"/>
      <tableStyleElement type="secondRowStripe" dxfId="119"/>
    </tableStyle>
    <tableStyle name="5th Evaluation-style 9" pivot="0" count="2" xr9:uid="{00000000-0011-0000-FFFF-FFFF08000000}">
      <tableStyleElement type="firstRowStripe" dxfId="118"/>
      <tableStyleElement type="secondRowStripe" dxfId="117"/>
    </tableStyle>
    <tableStyle name="5th Evaluation-style 10" pivot="0" count="2" xr9:uid="{00000000-0011-0000-FFFF-FFFF09000000}">
      <tableStyleElement type="firstRowStripe" dxfId="116"/>
      <tableStyleElement type="secondRowStripe" dxfId="115"/>
    </tableStyle>
    <tableStyle name="5th Evaluation-style 11" pivot="0" count="2" xr9:uid="{00000000-0011-0000-FFFF-FFFF0A000000}">
      <tableStyleElement type="firstRowStripe" dxfId="114"/>
      <tableStyleElement type="secondRowStripe" dxfId="113"/>
    </tableStyle>
    <tableStyle name="5th Evaluation-style 12" pivot="0" count="2" xr9:uid="{00000000-0011-0000-FFFF-FFFF0B000000}">
      <tableStyleElement type="firstRowStripe" dxfId="112"/>
      <tableStyleElement type="secondRowStripe" dxfId="111"/>
    </tableStyle>
    <tableStyle name="5th Evaluation-style 13" pivot="0" count="2" xr9:uid="{00000000-0011-0000-FFFF-FFFF0C000000}">
      <tableStyleElement type="firstRowStripe" dxfId="110"/>
      <tableStyleElement type="secondRowStripe" dxfId="109"/>
    </tableStyle>
    <tableStyle name="5th Evaluation-style 14" pivot="0" count="2" xr9:uid="{00000000-0011-0000-FFFF-FFFF0D000000}">
      <tableStyleElement type="firstRowStripe" dxfId="108"/>
      <tableStyleElement type="secondRowStripe" dxfId="107"/>
    </tableStyle>
    <tableStyle name="Hostel transfer-style" pivot="0" count="2" xr9:uid="{00000000-0011-0000-FFFF-FFFF0E000000}">
      <tableStyleElement type="firstRowStripe" dxfId="106"/>
      <tableStyleElement type="secondRowStripe" dxfId="105"/>
    </tableStyle>
    <tableStyle name="Hostel transfer-style 2" pivot="0" count="2" xr9:uid="{00000000-0011-0000-FFFF-FFFF0F000000}">
      <tableStyleElement type="firstRowStripe" dxfId="104"/>
      <tableStyleElement type="secondRowStripe" dxfId="103"/>
    </tableStyle>
    <tableStyle name="Hostel transfer-style 3" pivot="0" count="2" xr9:uid="{00000000-0011-0000-FFFF-FFFF10000000}">
      <tableStyleElement type="firstRowStripe" dxfId="102"/>
      <tableStyleElement type="secondRowStripe" dxfId="101"/>
    </tableStyle>
    <tableStyle name="Hostel transfer-style 4" pivot="0" count="2" xr9:uid="{00000000-0011-0000-FFFF-FFFF11000000}">
      <tableStyleElement type="firstRowStripe" dxfId="100"/>
      <tableStyleElement type="secondRowStripe" dxfId="99"/>
    </tableStyle>
    <tableStyle name="Hostel transfer-style 5" pivot="0" count="2" xr9:uid="{00000000-0011-0000-FFFF-FFFF12000000}">
      <tableStyleElement type="firstRowStripe" dxfId="98"/>
      <tableStyleElement type="secondRowStripe" dxfId="97"/>
    </tableStyle>
    <tableStyle name="Hostel transfer-style 6" pivot="0" count="2" xr9:uid="{00000000-0011-0000-FFFF-FFFF13000000}">
      <tableStyleElement type="firstRowStripe" dxfId="96"/>
      <tableStyleElement type="secondRowStripe" dxfId="95"/>
    </tableStyle>
    <tableStyle name="Hostel transfer-style 7" pivot="0" count="2" xr9:uid="{00000000-0011-0000-FFFF-FFFF14000000}">
      <tableStyleElement type="firstRowStripe" dxfId="94"/>
      <tableStyleElement type="secondRowStripe" dxfId="93"/>
    </tableStyle>
    <tableStyle name="Hostel transfer-style 8" pivot="0" count="2" xr9:uid="{00000000-0011-0000-FFFF-FFFF15000000}">
      <tableStyleElement type="firstRowStripe" dxfId="92"/>
      <tableStyleElement type="secondRowStripe" dxfId="91"/>
    </tableStyle>
    <tableStyle name="Hostel transfer-style 9" pivot="0" count="2" xr9:uid="{00000000-0011-0000-FFFF-FFFF16000000}">
      <tableStyleElement type="firstRowStripe" dxfId="90"/>
      <tableStyleElement type="secondRowStripe" dxfId="89"/>
    </tableStyle>
    <tableStyle name="Hostel transfer-style 10" pivot="0" count="2" xr9:uid="{00000000-0011-0000-FFFF-FFFF17000000}">
      <tableStyleElement type="firstRowStripe" dxfId="88"/>
      <tableStyleElement type="secondRowStripe" dxfId="87"/>
    </tableStyle>
    <tableStyle name="Hostel transfer-style 11" pivot="0" count="2" xr9:uid="{00000000-0011-0000-FFFF-FFFF18000000}">
      <tableStyleElement type="firstRowStripe" dxfId="86"/>
      <tableStyleElement type="secondRowStripe" dxfId="85"/>
    </tableStyle>
    <tableStyle name="Hostel transfer-style 12" pivot="0" count="2" xr9:uid="{00000000-0011-0000-FFFF-FFFF19000000}">
      <tableStyleElement type="firstRowStripe" dxfId="84"/>
      <tableStyleElement type="secondRowStripe" dxfId="83"/>
    </tableStyle>
    <tableStyle name="Hostel transfer-style 13" pivot="0" count="2" xr9:uid="{00000000-0011-0000-FFFF-FFFF1A000000}">
      <tableStyleElement type="firstRowStripe" dxfId="82"/>
      <tableStyleElement type="secondRowStripe" dxfId="81"/>
    </tableStyle>
    <tableStyle name="Hostel transfer-style 14" pivot="0" count="2" xr9:uid="{00000000-0011-0000-FFFF-FFFF1B000000}">
      <tableStyleElement type="firstRowStripe" dxfId="80"/>
      <tableStyleElement type="secondRowStripe" dxfId="79"/>
    </tableStyle>
    <tableStyle name="Hostel transfer-style 15" pivot="0" count="2" xr9:uid="{00000000-0011-0000-FFFF-FFFF1C000000}">
      <tableStyleElement type="firstRowStripe" dxfId="78"/>
      <tableStyleElement type="secondRowStripe" dxfId="77"/>
    </tableStyle>
    <tableStyle name="Hostel transfer-style 16" pivot="0" count="2" xr9:uid="{00000000-0011-0000-FFFF-FFFF1D000000}">
      <tableStyleElement type="firstRowStripe" dxfId="76"/>
      <tableStyleElement type="secondRowStripe" dxfId="75"/>
    </tableStyle>
    <tableStyle name="Hostel transfer-style 17" pivot="0" count="2" xr9:uid="{00000000-0011-0000-FFFF-FFFF1E000000}">
      <tableStyleElement type="firstRowStripe" dxfId="74"/>
      <tableStyleElement type="secondRowStripe" dxfId="73"/>
    </tableStyle>
    <tableStyle name="Hostel transfer-style 18" pivot="0" count="2" xr9:uid="{00000000-0011-0000-FFFF-FFFF1F000000}">
      <tableStyleElement type="firstRowStripe" dxfId="72"/>
      <tableStyleElement type="secondRowStripe" dxfId="71"/>
    </tableStyle>
    <tableStyle name="Hostel transfer-style 19" pivot="0" count="2" xr9:uid="{00000000-0011-0000-FFFF-FFFF20000000}">
      <tableStyleElement type="firstRowStripe" dxfId="70"/>
      <tableStyleElement type="secondRowStripe" dxfId="69"/>
    </tableStyle>
    <tableStyle name="Hostel transfer-style 20" pivot="0" count="2" xr9:uid="{00000000-0011-0000-FFFF-FFFF21000000}">
      <tableStyleElement type="firstRowStripe" dxfId="68"/>
      <tableStyleElement type="secondRowStripe" dxfId="67"/>
    </tableStyle>
    <tableStyle name="Hostel transfer-style 21" pivot="0" count="2" xr9:uid="{00000000-0011-0000-FFFF-FFFF22000000}">
      <tableStyleElement type="firstRowStripe" dxfId="66"/>
      <tableStyleElement type="secondRowStripe" dxfId="65"/>
    </tableStyle>
    <tableStyle name="Hostel transfer-style 22" pivot="0" count="2" xr9:uid="{00000000-0011-0000-FFFF-FFFF23000000}">
      <tableStyleElement type="firstRowStripe" dxfId="64"/>
      <tableStyleElement type="secondRowStripe" dxfId="63"/>
    </tableStyle>
    <tableStyle name="Hostel transfer-style 23" pivot="0" count="2" xr9:uid="{00000000-0011-0000-FFFF-FFFF24000000}">
      <tableStyleElement type="firstRowStripe" dxfId="62"/>
      <tableStyleElement type="secondRowStripe" dxfId="61"/>
    </tableStyle>
    <tableStyle name="Hostel transfer-style 24" pivot="0" count="2" xr9:uid="{00000000-0011-0000-FFFF-FFFF25000000}">
      <tableStyleElement type="firstRowStripe" dxfId="60"/>
      <tableStyleElement type="secondRowStripe" dxfId="59"/>
    </tableStyle>
    <tableStyle name="Hostel transfer-style 25" pivot="0" count="2" xr9:uid="{00000000-0011-0000-FFFF-FFFF26000000}">
      <tableStyleElement type="firstRowStripe" dxfId="58"/>
      <tableStyleElement type="secondRowStripe" dxfId="57"/>
    </tableStyle>
    <tableStyle name="Hostel transfer-style 26" pivot="0" count="2" xr9:uid="{00000000-0011-0000-FFFF-FFFF27000000}">
      <tableStyleElement type="firstRowStripe" dxfId="56"/>
      <tableStyleElement type="secondRowStripe" dxfId="55"/>
    </tableStyle>
    <tableStyle name="Hostel transfer-style 27" pivot="0" count="2" xr9:uid="{00000000-0011-0000-FFFF-FFFF28000000}">
      <tableStyleElement type="firstRowStripe" dxfId="54"/>
      <tableStyleElement type="secondRowStripe" dxfId="53"/>
    </tableStyle>
    <tableStyle name="Hostel transfer-style 28" pivot="0" count="2" xr9:uid="{00000000-0011-0000-FFFF-FFFF29000000}">
      <tableStyleElement type="firstRowStripe" dxfId="52"/>
      <tableStyleElement type="secondRowStripe" dxfId="51"/>
    </tableStyle>
    <tableStyle name="Hostel transfer-style 29" pivot="0" count="2" xr9:uid="{00000000-0011-0000-FFFF-FFFF2A000000}">
      <tableStyleElement type="firstRowStripe" dxfId="50"/>
      <tableStyleElement type="secondRowStripe" dxfId="49"/>
    </tableStyle>
    <tableStyle name="Hostel transfer-style 30" pivot="0" count="2" xr9:uid="{00000000-0011-0000-FFFF-FFFF2B000000}">
      <tableStyleElement type="firstRowStripe" dxfId="48"/>
      <tableStyleElement type="secondRowStripe" dxfId="47"/>
    </tableStyle>
    <tableStyle name="Hostel transfer-style 31" pivot="0" count="2" xr9:uid="{00000000-0011-0000-FFFF-FFFF2C000000}">
      <tableStyleElement type="firstRowStripe" dxfId="46"/>
      <tableStyleElement type="secondRowStripe" dxfId="45"/>
    </tableStyle>
    <tableStyle name="Hostel transfer-style 32" pivot="0" count="2" xr9:uid="{00000000-0011-0000-FFFF-FFFF2D000000}">
      <tableStyleElement type="firstRowStripe" dxfId="44"/>
      <tableStyleElement type="secondRowStripe" dxfId="43"/>
    </tableStyle>
    <tableStyle name="Hostel transfer-style 33" pivot="0" count="2" xr9:uid="{00000000-0011-0000-FFFF-FFFF2E000000}">
      <tableStyleElement type="firstRowStripe" dxfId="42"/>
      <tableStyleElement type="secondRowStripe" dxfId="41"/>
    </tableStyle>
    <tableStyle name="Hostel transfer-style 34" pivot="0" count="2" xr9:uid="{00000000-0011-0000-FFFF-FFFF2F000000}">
      <tableStyleElement type="firstRowStripe" dxfId="40"/>
      <tableStyleElement type="secondRowStripe" dxfId="39"/>
    </tableStyle>
    <tableStyle name="Hostel transfer-style 35" pivot="0" count="2" xr9:uid="{00000000-0011-0000-FFFF-FFFF30000000}">
      <tableStyleElement type="firstRowStripe" dxfId="38"/>
      <tableStyleElement type="secondRowStripe" dxfId="37"/>
    </tableStyle>
    <tableStyle name="Hostel transfer-style 36" pivot="0" count="2" xr9:uid="{00000000-0011-0000-FFFF-FFFF31000000}">
      <tableStyleElement type="firstRowStripe" dxfId="36"/>
      <tableStyleElement type="secondRowStripe" dxfId="35"/>
    </tableStyle>
    <tableStyle name="Hostel transfer-style 37" pivot="0" count="2" xr9:uid="{00000000-0011-0000-FFFF-FFFF32000000}">
      <tableStyleElement type="firstRowStripe" dxfId="34"/>
      <tableStyleElement type="secondRowStripe" dxfId="33"/>
    </tableStyle>
    <tableStyle name="Hostel transfer-style 38" pivot="0" count="2" xr9:uid="{00000000-0011-0000-FFFF-FFFF33000000}">
      <tableStyleElement type="firstRowStripe" dxfId="32"/>
      <tableStyleElement type="secondRowStripe" dxfId="31"/>
    </tableStyle>
    <tableStyle name="Hostel transfer-style 39" pivot="0" count="2" xr9:uid="{00000000-0011-0000-FFFF-FFFF34000000}">
      <tableStyleElement type="firstRowStripe" dxfId="30"/>
      <tableStyleElement type="secondRowStripe" dxfId="29"/>
    </tableStyle>
    <tableStyle name="Hostel transfer-style 40" pivot="0" count="2" xr9:uid="{00000000-0011-0000-FFFF-FFFF35000000}">
      <tableStyleElement type="firstRowStripe" dxfId="28"/>
      <tableStyleElement type="secondRowStripe" dxfId="27"/>
    </tableStyle>
    <tableStyle name="Hostel transfer-style 41" pivot="0" count="2" xr9:uid="{00000000-0011-0000-FFFF-FFFF36000000}">
      <tableStyleElement type="firstRowStripe" dxfId="26"/>
      <tableStyleElement type="secondRowStripe" dxfId="25"/>
    </tableStyle>
    <tableStyle name="Hostel transfer-style 42" pivot="0" count="2" xr9:uid="{00000000-0011-0000-FFFF-FFFF37000000}">
      <tableStyleElement type="firstRowStripe" dxfId="24"/>
      <tableStyleElement type="secondRowStripe" dxfId="23"/>
    </tableStyle>
    <tableStyle name="Hostel transfer-style 43" pivot="0" count="2" xr9:uid="{00000000-0011-0000-FFFF-FFFF38000000}">
      <tableStyleElement type="firstRowStripe" dxfId="22"/>
      <tableStyleElement type="secondRowStripe" dxfId="21"/>
    </tableStyle>
    <tableStyle name="Hostel transfer-style 44" pivot="0" count="2" xr9:uid="{00000000-0011-0000-FFFF-FFFF39000000}">
      <tableStyleElement type="firstRowStripe" dxfId="20"/>
      <tableStyleElement type="secondRowStripe" dxfId="19"/>
    </tableStyle>
    <tableStyle name="Hostel transfer-style 45" pivot="0" count="2" xr9:uid="{00000000-0011-0000-FFFF-FFFF3A000000}">
      <tableStyleElement type="firstRowStripe" dxfId="18"/>
      <tableStyleElement type="secondRowStripe" dxfId="17"/>
    </tableStyle>
    <tableStyle name="Hostel transfer-style 46" pivot="0" count="2" xr9:uid="{00000000-0011-0000-FFFF-FFFF3B000000}">
      <tableStyleElement type="firstRowStripe" dxfId="16"/>
      <tableStyleElement type="secondRowStripe" dxfId="15"/>
    </tableStyle>
    <tableStyle name="Hostel transfer-style 47" pivot="0" count="2" xr9:uid="{00000000-0011-0000-FFFF-FFFF3C000000}">
      <tableStyleElement type="firstRowStripe" dxfId="14"/>
      <tableStyleElement type="secondRowStripe" dxfId="13"/>
    </tableStyle>
    <tableStyle name="Hostel transfer-style 48" pivot="0" count="2" xr9:uid="{00000000-0011-0000-FFFF-FFFF3D000000}">
      <tableStyleElement type="firstRowStripe" dxfId="12"/>
      <tableStyleElement type="secondRowStripe" dxfId="11"/>
    </tableStyle>
    <tableStyle name="Hostel transfer-style 49" pivot="0" count="2" xr9:uid="{00000000-0011-0000-FFFF-FFFF3E000000}">
      <tableStyleElement type="firstRowStripe" dxfId="10"/>
      <tableStyleElement type="secondRowStripe" dxfId="9"/>
    </tableStyle>
    <tableStyle name="Hostel transfer-style 50" pivot="0" count="2" xr9:uid="{00000000-0011-0000-FFFF-FFFF3F000000}">
      <tableStyleElement type="firstRowStripe" dxfId="8"/>
      <tableStyleElement type="secondRowStripe" dxfId="7"/>
    </tableStyle>
    <tableStyle name="Daily Student Count-style" pivot="0" count="2" xr9:uid="{00000000-0011-0000-FFFF-FFFF40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I PATEL" id="{62957BE4-E4C8-4BDA-870B-C21F3767BDC7}" userId="" providerId="google-sheets"/>
  <person displayName="Bhaskar Patel" id="{3D7AF893-A229-4C40-B67C-2E650E17BBF9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Q4:Q76" headerRowCount="0">
  <tableColumns count="1">
    <tableColumn id="1" xr3:uid="{00000000-0010-0000-0000-000001000000}" name="Column1"/>
  </tableColumns>
  <tableStyleInfo name="5th Evalu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Q4:AQ76" headerRowCount="0">
  <tableColumns count="1">
    <tableColumn id="1" xr3:uid="{00000000-0010-0000-0100-000001000000}" name="Column1"/>
  </tableColumns>
  <tableStyleInfo name="5th Evalu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J4:BJ76" headerRowCount="0">
  <tableColumns count="1">
    <tableColumn id="1" xr3:uid="{00000000-0010-0000-0200-000001000000}" name="Column1"/>
  </tableColumns>
  <tableStyleInfo name="5th Evalu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C4:CC76" headerRowCount="0">
  <tableColumns count="1">
    <tableColumn id="1" xr3:uid="{00000000-0010-0000-0300-000001000000}" name="Column1"/>
  </tableColumns>
  <tableStyleInfo name="5th Evalu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F4:CV76" headerRowCount="0">
  <tableColumns count="1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</tableColumns>
  <tableStyleInfo name="5th Evalu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G546:Q573" headerRowCount="0">
  <tableColumns count="11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</tableColumns>
  <tableStyleInfo name="5th Evalu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Q546:AQ573" headerRowCount="0">
  <tableColumns count="1">
    <tableColumn id="1" xr3:uid="{00000000-0010-0000-0600-000001000000}" name="Column1"/>
  </tableColumns>
  <tableStyleInfo name="5th Evalu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J546:BJ573" headerRowCount="0">
  <tableColumns count="1">
    <tableColumn id="1" xr3:uid="{00000000-0010-0000-0700-000001000000}" name="Column1"/>
  </tableColumns>
  <tableStyleInfo name="5th Evalu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C546:CC573" headerRowCount="0">
  <tableColumns count="1">
    <tableColumn id="1" xr3:uid="{00000000-0010-0000-0800-000001000000}" name="Column1"/>
  </tableColumns>
  <tableStyleInfo name="5th Evaluation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P546:CP573" headerRowCount="0">
  <tableColumns count="1">
    <tableColumn id="1" xr3:uid="{00000000-0010-0000-0900-000001000000}" name="Column1"/>
  </tableColumns>
  <tableStyleInfo name="5th Evaluation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R547:W573" headerRowCount="0">
  <tableColumns count="6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</tableColumns>
  <tableStyleInfo name="5th Evaluation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W547:AW573" headerRowCount="0">
  <tableColumns count="1">
    <tableColumn id="1" xr3:uid="{00000000-0010-0000-0B00-000001000000}" name="Column1"/>
  </tableColumns>
  <tableStyleInfo name="5th Evaluation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P547:BP573" headerRowCount="0">
  <tableColumns count="1">
    <tableColumn id="1" xr3:uid="{00000000-0010-0000-0C00-000001000000}" name="Column1"/>
  </tableColumns>
  <tableStyleInfo name="5th Evaluation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CV547:CV573" headerRowCount="0">
  <tableColumns count="1">
    <tableColumn id="1" xr3:uid="{00000000-0010-0000-0D00-000001000000}" name="Column1"/>
  </tableColumns>
  <tableStyleInfo name="5th Evaluation-style 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78" dT="2025-07-24T06:35:19.00" personId="{3D7AF893-A229-4C40-B67C-2E650E17BBF9}" id="{0ECC4E88-849C-43BF-8E99-2A0C6BB87001}">
    <text>accident and fracture so taken leave for 1.5 month</text>
  </threadedComment>
  <threadedComment ref="D534" dT="2025-07-28T09:46:50.00" personId="{3D7AF893-A229-4C40-B67C-2E650E17BBF9}" id="{6F619F9F-4708-41A8-A1CB-587B3404183C}">
    <text>DO SPECIAL PERMISSION FOR 3 DAYS FOR IELTS CLASS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23" dT="2025-11-26T03:47:59.00" personId="{62957BE4-E4C8-4BDA-870B-C21F3767BDC7}" id="{EB28CBBA-1121-4DE0-8087-3A7D0F325B8C}">
    <text>detain</text>
  </threadedComment>
  <threadedComment ref="D424" dT="2025-11-26T03:52:05.00" personId="{62957BE4-E4C8-4BDA-870B-C21F3767BDC7}" id="{34484E44-632F-46F1-B93E-3335FFA35F85}">
    <text>detain</text>
  </threadedComment>
  <threadedComment ref="D452" dT="2025-11-26T03:51:11.00" personId="{62957BE4-E4C8-4BDA-870B-C21F3767BDC7}" id="{C09C9D81-AC1F-4C03-9E74-35B5E05EC8F4}">
    <text>detain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microsoft.com/office/2017/10/relationships/threadedComment" Target="../threadedComments/threadedComment2.xml"/><Relationship Id="rId2" Type="http://schemas.openxmlformats.org/officeDocument/2006/relationships/table" Target="../tables/table1.xml"/><Relationship Id="rId16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CY65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2.6328125" defaultRowHeight="15.75" customHeight="1" x14ac:dyDescent="0.25"/>
  <cols>
    <col min="1" max="1" width="5.08984375" customWidth="1"/>
    <col min="2" max="2" width="5.90625" customWidth="1"/>
    <col min="3" max="3" width="12.26953125" customWidth="1"/>
    <col min="4" max="4" width="31" customWidth="1"/>
    <col min="5" max="5" width="10.453125" customWidth="1"/>
    <col min="6" max="6" width="11.36328125" customWidth="1"/>
    <col min="7" max="7" width="11.7265625" customWidth="1"/>
    <col min="8" max="8" width="6.453125" customWidth="1"/>
    <col min="9" max="10" width="5.90625" customWidth="1"/>
    <col min="11" max="20" width="5.26953125" customWidth="1"/>
    <col min="21" max="21" width="9.36328125" customWidth="1"/>
    <col min="22" max="23" width="6.26953125" customWidth="1"/>
    <col min="24" max="24" width="9.453125" customWidth="1"/>
    <col min="25" max="56" width="6.26953125" customWidth="1"/>
    <col min="57" max="57" width="6.7265625" customWidth="1"/>
    <col min="58" max="65" width="6.26953125" customWidth="1"/>
    <col min="66" max="66" width="7.90625" customWidth="1"/>
    <col min="67" max="79" width="6.26953125" customWidth="1"/>
    <col min="80" max="80" width="5.453125" customWidth="1"/>
    <col min="81" max="81" width="6.6328125" customWidth="1"/>
    <col min="82" max="103" width="6.26953125" customWidth="1"/>
  </cols>
  <sheetData>
    <row r="1" spans="1:103" ht="12.5" x14ac:dyDescent="0.25">
      <c r="A1" s="26">
        <f t="array" ref="A1:CY1">COLUMN(1:1)-2</f>
        <v>-1</v>
      </c>
      <c r="B1" s="27">
        <v>0</v>
      </c>
      <c r="C1" s="27">
        <v>1</v>
      </c>
      <c r="D1" s="27">
        <v>2</v>
      </c>
      <c r="E1" s="27">
        <v>3</v>
      </c>
      <c r="F1" s="27">
        <v>4</v>
      </c>
      <c r="G1" s="27">
        <v>5</v>
      </c>
      <c r="H1" s="27">
        <v>6</v>
      </c>
      <c r="I1" s="27">
        <v>7</v>
      </c>
      <c r="J1" s="27">
        <v>8</v>
      </c>
      <c r="K1" s="27">
        <v>9</v>
      </c>
      <c r="L1" s="27">
        <v>10</v>
      </c>
      <c r="M1" s="27">
        <v>11</v>
      </c>
      <c r="N1" s="27">
        <v>12</v>
      </c>
      <c r="O1" s="27">
        <v>13</v>
      </c>
      <c r="P1" s="27">
        <v>14</v>
      </c>
      <c r="Q1" s="27">
        <v>15</v>
      </c>
      <c r="R1" s="27">
        <v>16</v>
      </c>
      <c r="S1" s="27">
        <v>17</v>
      </c>
      <c r="T1" s="27">
        <v>18</v>
      </c>
      <c r="U1" s="27">
        <v>19</v>
      </c>
      <c r="V1" s="27">
        <v>20</v>
      </c>
      <c r="W1" s="27">
        <v>21</v>
      </c>
      <c r="X1" s="27">
        <v>22</v>
      </c>
      <c r="Y1" s="27">
        <v>23</v>
      </c>
      <c r="Z1" s="27">
        <v>24</v>
      </c>
      <c r="AA1" s="27">
        <v>25</v>
      </c>
      <c r="AB1" s="27">
        <v>26</v>
      </c>
      <c r="AC1" s="27">
        <v>27</v>
      </c>
      <c r="AD1" s="27">
        <v>28</v>
      </c>
      <c r="AE1" s="27">
        <v>29</v>
      </c>
      <c r="AF1" s="27">
        <v>30</v>
      </c>
      <c r="AG1" s="27">
        <v>31</v>
      </c>
      <c r="AH1" s="27">
        <v>32</v>
      </c>
      <c r="AI1" s="27">
        <v>33</v>
      </c>
      <c r="AJ1" s="27">
        <v>34</v>
      </c>
      <c r="AK1" s="27">
        <v>35</v>
      </c>
      <c r="AL1" s="27">
        <v>36</v>
      </c>
      <c r="AM1" s="27">
        <v>37</v>
      </c>
      <c r="AN1" s="27">
        <v>38</v>
      </c>
      <c r="AO1" s="27">
        <v>39</v>
      </c>
      <c r="AP1" s="27">
        <v>40</v>
      </c>
      <c r="AQ1" s="27">
        <v>41</v>
      </c>
      <c r="AR1" s="27">
        <v>42</v>
      </c>
      <c r="AS1" s="27">
        <v>43</v>
      </c>
      <c r="AT1" s="27">
        <v>44</v>
      </c>
      <c r="AU1" s="27">
        <v>45</v>
      </c>
      <c r="AV1" s="27">
        <v>46</v>
      </c>
      <c r="AW1" s="27">
        <v>47</v>
      </c>
      <c r="AX1" s="27">
        <v>48</v>
      </c>
      <c r="AY1" s="27">
        <v>49</v>
      </c>
      <c r="AZ1" s="27">
        <v>50</v>
      </c>
      <c r="BA1" s="27">
        <v>51</v>
      </c>
      <c r="BB1" s="27">
        <v>52</v>
      </c>
      <c r="BC1" s="27">
        <v>53</v>
      </c>
      <c r="BD1" s="27">
        <v>54</v>
      </c>
      <c r="BE1" s="27">
        <v>55</v>
      </c>
      <c r="BF1" s="27">
        <v>56</v>
      </c>
      <c r="BG1" s="27">
        <v>57</v>
      </c>
      <c r="BH1" s="27">
        <v>58</v>
      </c>
      <c r="BI1" s="27">
        <v>59</v>
      </c>
      <c r="BJ1" s="27">
        <v>60</v>
      </c>
      <c r="BK1" s="27">
        <v>61</v>
      </c>
      <c r="BL1" s="27">
        <v>62</v>
      </c>
      <c r="BM1" s="27">
        <v>63</v>
      </c>
      <c r="BN1" s="27">
        <v>64</v>
      </c>
      <c r="BO1" s="27">
        <v>65</v>
      </c>
      <c r="BP1" s="27">
        <v>66</v>
      </c>
      <c r="BQ1" s="27">
        <v>67</v>
      </c>
      <c r="BR1" s="27">
        <v>68</v>
      </c>
      <c r="BS1" s="27">
        <v>69</v>
      </c>
      <c r="BT1" s="27">
        <v>70</v>
      </c>
      <c r="BU1" s="28">
        <v>71</v>
      </c>
      <c r="BV1" s="28">
        <v>72</v>
      </c>
      <c r="BW1" s="28">
        <v>73</v>
      </c>
      <c r="BX1" s="28">
        <v>74</v>
      </c>
      <c r="BY1" s="28">
        <v>75</v>
      </c>
      <c r="BZ1" s="28">
        <v>76</v>
      </c>
      <c r="CA1" s="27">
        <v>77</v>
      </c>
      <c r="CB1" s="27">
        <v>78</v>
      </c>
      <c r="CC1" s="27">
        <v>79</v>
      </c>
      <c r="CD1" s="27">
        <v>80</v>
      </c>
      <c r="CE1" s="27">
        <v>81</v>
      </c>
      <c r="CF1" s="27">
        <v>82</v>
      </c>
      <c r="CG1" s="27">
        <v>83</v>
      </c>
      <c r="CH1" s="27">
        <v>84</v>
      </c>
      <c r="CI1" s="27">
        <v>85</v>
      </c>
      <c r="CJ1" s="27">
        <v>86</v>
      </c>
      <c r="CK1" s="27">
        <v>87</v>
      </c>
      <c r="CL1" s="27">
        <v>88</v>
      </c>
      <c r="CM1" s="27">
        <v>89</v>
      </c>
      <c r="CN1" s="27">
        <v>90</v>
      </c>
      <c r="CO1" s="27">
        <v>91</v>
      </c>
      <c r="CP1" s="27">
        <v>92</v>
      </c>
      <c r="CQ1" s="27">
        <v>93</v>
      </c>
      <c r="CR1" s="27">
        <v>94</v>
      </c>
      <c r="CS1" s="27">
        <v>95</v>
      </c>
      <c r="CT1" s="27">
        <v>96</v>
      </c>
      <c r="CU1" s="27">
        <v>97</v>
      </c>
      <c r="CV1" s="27">
        <v>98</v>
      </c>
      <c r="CW1" s="27">
        <v>99</v>
      </c>
      <c r="CX1" s="27">
        <v>100</v>
      </c>
      <c r="CY1" s="27">
        <v>101</v>
      </c>
    </row>
    <row r="2" spans="1:103" ht="21.75" customHeight="1" x14ac:dyDescent="0.25">
      <c r="A2" s="22" t="str">
        <f ca="1">IFERROR(__xludf.DUMMYFUNCTION("IMPORTRANGE(""https://docs.google.com/spreadsheets/d/1NKOPWCTOPPXRT8xsDcwOuv7u8L1GRrYzar-Pw45QErY"",""5th!C:CZ"")"),"")</f>
        <v/>
      </c>
      <c r="B2" s="29"/>
      <c r="C2" s="29"/>
      <c r="D2" s="30" t="str">
        <f ca="1">IFERROR(__xludf.DUMMYFUNCTION("""COMPUTED_VALUE"""),"Name")</f>
        <v>Name</v>
      </c>
      <c r="E2" s="29"/>
      <c r="F2" s="29" t="str">
        <f ca="1">IFERROR(__xludf.DUMMYFUNCTION("""COMPUTED_VALUE"""),"Student")</f>
        <v>Student</v>
      </c>
      <c r="G2" s="29"/>
      <c r="H2" s="29"/>
      <c r="I2" s="112" t="str">
        <f ca="1">IFERROR(__xludf.DUMMYFUNCTION("""COMPUTED_VALUE"""),"CPT")</f>
        <v>CPT</v>
      </c>
      <c r="J2" s="111"/>
      <c r="K2" s="112" t="str">
        <f ca="1">IFERROR(__xludf.DUMMYFUNCTION("""COMPUTED_VALUE"""),"NS")</f>
        <v>NS</v>
      </c>
      <c r="L2" s="111"/>
      <c r="M2" s="112" t="str">
        <f ca="1">IFERROR(__xludf.DUMMYFUNCTION("""COMPUTED_VALUE"""),"PHP-CGM")</f>
        <v>PHP-CGM</v>
      </c>
      <c r="N2" s="111"/>
      <c r="O2" s="112" t="str">
        <f ca="1">IFERROR(__xludf.DUMMYFUNCTION("""COMPUTED_VALUE"""),"JAVA")</f>
        <v>JAVA</v>
      </c>
      <c r="P2" s="111"/>
      <c r="Q2" s="112" t="str">
        <f ca="1">IFERROR(__xludf.DUMMYFUNCTION("""COMPUTED_VALUE"""),"Python")</f>
        <v>Python</v>
      </c>
      <c r="R2" s="111"/>
      <c r="S2" s="112" t="str">
        <f ca="1">IFERROR(__xludf.DUMMYFUNCTION("""COMPUTED_VALUE"""),"PRO")</f>
        <v>PRO</v>
      </c>
      <c r="T2" s="111"/>
      <c r="U2" s="30" t="str">
        <f ca="1">IFERROR(__xludf.DUMMYFUNCTION("""COMPUTED_VALUE"""),"INE")</f>
        <v>INE</v>
      </c>
      <c r="V2" s="30"/>
      <c r="W2" s="30" t="str">
        <f ca="1">IFERROR(__xludf.DUMMYFUNCTION("""COMPUTED_VALUE"""),"Followup")</f>
        <v>Followup</v>
      </c>
      <c r="X2" s="30" t="str">
        <f ca="1">IFERROR(__xludf.DUMMYFUNCTION("""COMPUTED_VALUE"""),"14/07/2025")</f>
        <v>14/07/2025</v>
      </c>
      <c r="Y2" s="30" t="str">
        <f ca="1">IFERROR(__xludf.DUMMYFUNCTION("""COMPUTED_VALUE"""),"15/07/2025")</f>
        <v>15/07/2025</v>
      </c>
      <c r="Z2" s="30" t="str">
        <f ca="1">IFERROR(__xludf.DUMMYFUNCTION("""COMPUTED_VALUE"""),"16/07/2025")</f>
        <v>16/07/2025</v>
      </c>
      <c r="AA2" s="30" t="str">
        <f ca="1">IFERROR(__xludf.DUMMYFUNCTION("""COMPUTED_VALUE"""),"17/07/2025")</f>
        <v>17/07/2025</v>
      </c>
      <c r="AB2" s="30" t="str">
        <f ca="1">IFERROR(__xludf.DUMMYFUNCTION("""COMPUTED_VALUE"""),"18/07/2025")</f>
        <v>18/07/2025</v>
      </c>
      <c r="AC2" s="30" t="str">
        <f ca="1">IFERROR(__xludf.DUMMYFUNCTION("""COMPUTED_VALUE"""),"21/07/2025")</f>
        <v>21/07/2025</v>
      </c>
      <c r="AD2" s="30" t="str">
        <f ca="1">IFERROR(__xludf.DUMMYFUNCTION("""COMPUTED_VALUE"""),"22/07/2025")</f>
        <v>22/07/2025</v>
      </c>
      <c r="AE2" s="30" t="str">
        <f ca="1">IFERROR(__xludf.DUMMYFUNCTION("""COMPUTED_VALUE"""),"23/07/2025")</f>
        <v>23/07/2025</v>
      </c>
      <c r="AF2" s="30" t="str">
        <f ca="1">IFERROR(__xludf.DUMMYFUNCTION("""COMPUTED_VALUE"""),"24/07/2025")</f>
        <v>24/07/2025</v>
      </c>
      <c r="AG2" s="30" t="str">
        <f ca="1">IFERROR(__xludf.DUMMYFUNCTION("""COMPUTED_VALUE"""),"25/07/2025")</f>
        <v>25/07/2025</v>
      </c>
      <c r="AH2" s="30" t="str">
        <f ca="1">IFERROR(__xludf.DUMMYFUNCTION("""COMPUTED_VALUE"""),"31/07/2025")</f>
        <v>31/07/2025</v>
      </c>
      <c r="AI2" s="30" t="str">
        <f ca="1">IFERROR(__xludf.DUMMYFUNCTION("""COMPUTED_VALUE"""),"01/08/2025")</f>
        <v>01/08/2025</v>
      </c>
      <c r="AJ2" s="30" t="str">
        <f ca="1">IFERROR(__xludf.DUMMYFUNCTION("""COMPUTED_VALUE"""),"04/08/2025")</f>
        <v>04/08/2025</v>
      </c>
      <c r="AK2" s="30" t="str">
        <f ca="1">IFERROR(__xludf.DUMMYFUNCTION("""COMPUTED_VALUE"""),"05/08/2025")</f>
        <v>05/08/2025</v>
      </c>
      <c r="AL2" s="30" t="str">
        <f ca="1">IFERROR(__xludf.DUMMYFUNCTION("""COMPUTED_VALUE"""),"06/08/2025")</f>
        <v>06/08/2025</v>
      </c>
      <c r="AM2" s="30" t="str">
        <f ca="1">IFERROR(__xludf.DUMMYFUNCTION("""COMPUTED_VALUE"""),"07/08/2025")</f>
        <v>07/08/2025</v>
      </c>
      <c r="AN2" s="30" t="str">
        <f ca="1">IFERROR(__xludf.DUMMYFUNCTION("""COMPUTED_VALUE"""),"08/08/2025")</f>
        <v>08/08/2025</v>
      </c>
      <c r="AO2" s="30" t="str">
        <f ca="1">IFERROR(__xludf.DUMMYFUNCTION("""COMPUTED_VALUE"""),"11/08/2025")</f>
        <v>11/08/2025</v>
      </c>
      <c r="AP2" s="30" t="str">
        <f ca="1">IFERROR(__xludf.DUMMYFUNCTION("""COMPUTED_VALUE"""),"12/08/2025")</f>
        <v>12/08/2025</v>
      </c>
      <c r="AQ2" s="30" t="str">
        <f ca="1">IFERROR(__xludf.DUMMYFUNCTION("""COMPUTED_VALUE"""),"13/08/2025")</f>
        <v>13/08/2025</v>
      </c>
      <c r="AR2" s="30" t="str">
        <f ca="1">IFERROR(__xludf.DUMMYFUNCTION("""COMPUTED_VALUE"""),"14/08/2025")</f>
        <v>14/08/2025</v>
      </c>
      <c r="AS2" s="30" t="str">
        <f ca="1">IFERROR(__xludf.DUMMYFUNCTION("""COMPUTED_VALUE"""),"18/08/2025")</f>
        <v>18/08/2025</v>
      </c>
      <c r="AT2" s="30" t="str">
        <f ca="1">IFERROR(__xludf.DUMMYFUNCTION("""COMPUTED_VALUE"""),"19/08/2025")</f>
        <v>19/08/2025</v>
      </c>
      <c r="AU2" s="30" t="str">
        <f ca="1">IFERROR(__xludf.DUMMYFUNCTION("""COMPUTED_VALUE"""),"20/08/2025")</f>
        <v>20/08/2025</v>
      </c>
      <c r="AV2" s="30" t="str">
        <f ca="1">IFERROR(__xludf.DUMMYFUNCTION("""COMPUTED_VALUE"""),"21/08/2025")</f>
        <v>21/08/2025</v>
      </c>
      <c r="AW2" s="30" t="str">
        <f ca="1">IFERROR(__xludf.DUMMYFUNCTION("""COMPUTED_VALUE"""),"22/08/2025")</f>
        <v>22/08/2025</v>
      </c>
      <c r="AX2" s="30" t="str">
        <f ca="1">IFERROR(__xludf.DUMMYFUNCTION("""COMPUTED_VALUE"""),"25/08/2025")</f>
        <v>25/08/2025</v>
      </c>
      <c r="AY2" s="30" t="str">
        <f ca="1">IFERROR(__xludf.DUMMYFUNCTION("""COMPUTED_VALUE"""),"26/08/2025")</f>
        <v>26/08/2025</v>
      </c>
      <c r="AZ2" s="30" t="str">
        <f ca="1">IFERROR(__xludf.DUMMYFUNCTION("""COMPUTED_VALUE"""),"28/08/2025")</f>
        <v>28/08/2025</v>
      </c>
      <c r="BA2" s="30" t="str">
        <f ca="1">IFERROR(__xludf.DUMMYFUNCTION("""COMPUTED_VALUE"""),"29/08/2025")</f>
        <v>29/08/2025</v>
      </c>
      <c r="BB2" s="30" t="str">
        <f ca="1">IFERROR(__xludf.DUMMYFUNCTION("""COMPUTED_VALUE"""),"01/09/2025")</f>
        <v>01/09/2025</v>
      </c>
      <c r="BC2" s="30" t="str">
        <f ca="1">IFERROR(__xludf.DUMMYFUNCTION("""COMPUTED_VALUE"""),"02/09/2025")</f>
        <v>02/09/2025</v>
      </c>
      <c r="BD2" s="30" t="str">
        <f ca="1">IFERROR(__xludf.DUMMYFUNCTION("""COMPUTED_VALUE"""),"03/09/2025")</f>
        <v>03/09/2025</v>
      </c>
      <c r="BE2" s="30" t="str">
        <f ca="1">IFERROR(__xludf.DUMMYFUNCTION("""COMPUTED_VALUE"""),"04/09/2025")</f>
        <v>04/09/2025</v>
      </c>
      <c r="BF2" s="30" t="str">
        <f ca="1">IFERROR(__xludf.DUMMYFUNCTION("""COMPUTED_VALUE"""),"05/09/2025")</f>
        <v>05/09/2025</v>
      </c>
      <c r="BG2" s="30" t="str">
        <f ca="1">IFERROR(__xludf.DUMMYFUNCTION("""COMPUTED_VALUE"""),"09/09/2025")</f>
        <v>09/09/2025</v>
      </c>
      <c r="BH2" s="30" t="str">
        <f ca="1">IFERROR(__xludf.DUMMYFUNCTION("""COMPUTED_VALUE"""),"10/09/2025")</f>
        <v>10/09/2025</v>
      </c>
      <c r="BI2" s="30" t="str">
        <f ca="1">IFERROR(__xludf.DUMMYFUNCTION("""COMPUTED_VALUE"""),"11/09/2025")</f>
        <v>11/09/2025</v>
      </c>
      <c r="BJ2" s="30" t="str">
        <f ca="1">IFERROR(__xludf.DUMMYFUNCTION("""COMPUTED_VALUE"""),"12/09/2025")</f>
        <v>12/09/2025</v>
      </c>
      <c r="BK2" s="30" t="str">
        <f ca="1">IFERROR(__xludf.DUMMYFUNCTION("""COMPUTED_VALUE"""),"22/09/2025")</f>
        <v>22/09/2025</v>
      </c>
      <c r="BL2" s="30" t="str">
        <f ca="1">IFERROR(__xludf.DUMMYFUNCTION("""COMPUTED_VALUE"""),"23/09/2025")</f>
        <v>23/09/2025</v>
      </c>
      <c r="BM2" s="30" t="str">
        <f ca="1">IFERROR(__xludf.DUMMYFUNCTION("""COMPUTED_VALUE"""),"24/09/2025")</f>
        <v>24/09/2025</v>
      </c>
      <c r="BN2" s="30" t="str">
        <f ca="1">IFERROR(__xludf.DUMMYFUNCTION("""COMPUTED_VALUE"""),"25/09/2025")</f>
        <v>25/09/2025</v>
      </c>
      <c r="BO2" s="30" t="str">
        <f ca="1">IFERROR(__xludf.DUMMYFUNCTION("""COMPUTED_VALUE"""),"26/09/2025")</f>
        <v>26/09/2025</v>
      </c>
      <c r="BP2" s="30" t="str">
        <f ca="1">IFERROR(__xludf.DUMMYFUNCTION("""COMPUTED_VALUE"""),"06/10/2025")</f>
        <v>06/10/2025</v>
      </c>
      <c r="BQ2" s="30" t="str">
        <f ca="1">IFERROR(__xludf.DUMMYFUNCTION("""COMPUTED_VALUE"""),"08/10/2025")</f>
        <v>08/10/2025</v>
      </c>
      <c r="BR2" s="30" t="str">
        <f ca="1">IFERROR(__xludf.DUMMYFUNCTION("""COMPUTED_VALUE"""),"09/10/2025")</f>
        <v>09/10/2025</v>
      </c>
      <c r="BS2" s="30" t="str">
        <f ca="1">IFERROR(__xludf.DUMMYFUNCTION("""COMPUTED_VALUE"""),"10/10/2025")</f>
        <v>10/10/2025</v>
      </c>
      <c r="BT2" s="30" t="str">
        <f ca="1">IFERROR(__xludf.DUMMYFUNCTION("""COMPUTED_VALUE"""),"13/10/2025")</f>
        <v>13/10/2025</v>
      </c>
      <c r="BU2" s="31" t="str">
        <f ca="1">IFERROR(__xludf.DUMMYFUNCTION("""COMPUTED_VALUE"""),"14/10/2025")</f>
        <v>14/10/2025</v>
      </c>
      <c r="BV2" s="31" t="str">
        <f ca="1">IFERROR(__xludf.DUMMYFUNCTION("""COMPUTED_VALUE"""),"03/11/2025")</f>
        <v>03/11/2025</v>
      </c>
      <c r="BW2" s="31" t="str">
        <f ca="1">IFERROR(__xludf.DUMMYFUNCTION("""COMPUTED_VALUE"""),"04/11/2025")</f>
        <v>04/11/2025</v>
      </c>
      <c r="BX2" s="31" t="str">
        <f ca="1">IFERROR(__xludf.DUMMYFUNCTION("""COMPUTED_VALUE"""),"05/11/2025")</f>
        <v>05/11/2025</v>
      </c>
      <c r="BY2" s="31" t="str">
        <f ca="1">IFERROR(__xludf.DUMMYFUNCTION("""COMPUTED_VALUE"""),"06/11/2025")</f>
        <v>06/11/2025</v>
      </c>
      <c r="BZ2" s="31" t="str">
        <f ca="1">IFERROR(__xludf.DUMMYFUNCTION("""COMPUTED_VALUE"""),"07/11/2025")</f>
        <v>07/11/2025</v>
      </c>
      <c r="CA2" s="30" t="str">
        <f ca="1">IFERROR(__xludf.DUMMYFUNCTION("""COMPUTED_VALUE"""),"10/11/2025")</f>
        <v>10/11/2025</v>
      </c>
      <c r="CB2" s="30" t="str">
        <f ca="1">IFERROR(__xludf.DUMMYFUNCTION("""COMPUTED_VALUE"""),"11/11/2025")</f>
        <v>11/11/2025</v>
      </c>
      <c r="CC2" s="30" t="str">
        <f ca="1">IFERROR(__xludf.DUMMYFUNCTION("""COMPUTED_VALUE"""),"12/11/2025")</f>
        <v>12/11/2025</v>
      </c>
      <c r="CD2" s="30" t="str">
        <f ca="1">IFERROR(__xludf.DUMMYFUNCTION("""COMPUTED_VALUE"""),"13/11/2025")</f>
        <v>13/11/2025</v>
      </c>
      <c r="CE2" s="30" t="str">
        <f ca="1">IFERROR(__xludf.DUMMYFUNCTION("""COMPUTED_VALUE"""),"14/11/2025")</f>
        <v>14/11/2025</v>
      </c>
      <c r="CF2" s="30" t="str">
        <f ca="1">IFERROR(__xludf.DUMMYFUNCTION("""COMPUTED_VALUE"""),"17/11/2025")</f>
        <v>17/11/2025</v>
      </c>
      <c r="CG2" s="30" t="str">
        <f ca="1">IFERROR(__xludf.DUMMYFUNCTION("""COMPUTED_VALUE"""),"18/11/2025")</f>
        <v>18/11/2025</v>
      </c>
      <c r="CH2" s="30" t="str">
        <f ca="1">IFERROR(__xludf.DUMMYFUNCTION("""COMPUTED_VALUE"""),"19/11/2025")</f>
        <v>19/11/2025</v>
      </c>
      <c r="CI2" s="30" t="str">
        <f ca="1">IFERROR(__xludf.DUMMYFUNCTION("""COMPUTED_VALUE"""),"20/11/2025")</f>
        <v>20/11/2025</v>
      </c>
      <c r="CJ2" s="30" t="str">
        <f ca="1">IFERROR(__xludf.DUMMYFUNCTION("""COMPUTED_VALUE"""),"21/11/2025")</f>
        <v>21/11/2025</v>
      </c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</row>
    <row r="3" spans="1:103" ht="12.5" x14ac:dyDescent="0.25">
      <c r="A3" s="32" t="str">
        <f ca="1">IFERROR(__xludf.DUMMYFUNCTION("""COMPUTED_VALUE"""),"Batch")</f>
        <v>Batch</v>
      </c>
      <c r="B3" s="32" t="str">
        <f ca="1">IFERROR(__xludf.DUMMYFUNCTION("""COMPUTED_VALUE"""),"Class")</f>
        <v>Class</v>
      </c>
      <c r="C3" s="32" t="str">
        <f ca="1">IFERROR(__xludf.DUMMYFUNCTION("""COMPUTED_VALUE"""),"Enrollment")</f>
        <v>Enrollment</v>
      </c>
      <c r="D3" s="21" t="str">
        <f ca="1">IFERROR(__xludf.DUMMYFUNCTION("""COMPUTED_VALUE"""),"Name")</f>
        <v>Name</v>
      </c>
      <c r="E3" s="32" t="str">
        <f ca="1">IFERROR(__xludf.DUMMYFUNCTION("""COMPUTED_VALUE"""),"Co-Ordinator")</f>
        <v>Co-Ordinator</v>
      </c>
      <c r="F3" s="32" t="str">
        <f ca="1">IFERROR(__xludf.DUMMYFUNCTION("""COMPUTED_VALUE"""),"mobile")</f>
        <v>mobile</v>
      </c>
      <c r="G3" s="32" t="str">
        <f ca="1">IFERROR(__xludf.DUMMYFUNCTION("""COMPUTED_VALUE"""),"mobile")</f>
        <v>mobile</v>
      </c>
      <c r="H3" s="32" t="str">
        <f ca="1">IFERROR(__xludf.DUMMYFUNCTION("""COMPUTED_VALUE"""),"%")</f>
        <v>%</v>
      </c>
      <c r="I3" s="21" t="str">
        <f ca="1">IFERROR(__xludf.DUMMYFUNCTION("""COMPUTED_VALUE"""),"L")</f>
        <v>L</v>
      </c>
      <c r="J3" s="21" t="str">
        <f ca="1">IFERROR(__xludf.DUMMYFUNCTION("""COMPUTED_VALUE"""),"P")</f>
        <v>P</v>
      </c>
      <c r="K3" s="21" t="str">
        <f ca="1">IFERROR(__xludf.DUMMYFUNCTION("""COMPUTED_VALUE"""),"L")</f>
        <v>L</v>
      </c>
      <c r="L3" s="21" t="str">
        <f ca="1">IFERROR(__xludf.DUMMYFUNCTION("""COMPUTED_VALUE"""),"P")</f>
        <v>P</v>
      </c>
      <c r="M3" s="21" t="str">
        <f ca="1">IFERROR(__xludf.DUMMYFUNCTION("""COMPUTED_VALUE"""),"L")</f>
        <v>L</v>
      </c>
      <c r="N3" s="21" t="str">
        <f ca="1">IFERROR(__xludf.DUMMYFUNCTION("""COMPUTED_VALUE"""),"P")</f>
        <v>P</v>
      </c>
      <c r="O3" s="21" t="str">
        <f ca="1">IFERROR(__xludf.DUMMYFUNCTION("""COMPUTED_VALUE"""),"L")</f>
        <v>L</v>
      </c>
      <c r="P3" s="21" t="str">
        <f ca="1">IFERROR(__xludf.DUMMYFUNCTION("""COMPUTED_VALUE"""),"P")</f>
        <v>P</v>
      </c>
      <c r="Q3" s="21" t="str">
        <f ca="1">IFERROR(__xludf.DUMMYFUNCTION("""COMPUTED_VALUE"""),"L")</f>
        <v>L</v>
      </c>
      <c r="R3" s="21" t="str">
        <f ca="1">IFERROR(__xludf.DUMMYFUNCTION("""COMPUTED_VALUE"""),"P")</f>
        <v>P</v>
      </c>
      <c r="S3" s="21" t="str">
        <f ca="1">IFERROR(__xludf.DUMMYFUNCTION("""COMPUTED_VALUE"""),"L")</f>
        <v>L</v>
      </c>
      <c r="T3" s="21" t="str">
        <f ca="1">IFERROR(__xludf.DUMMYFUNCTION("""COMPUTED_VALUE"""),"P")</f>
        <v>P</v>
      </c>
      <c r="U3" s="21" t="str">
        <f ca="1">IFERROR(__xludf.DUMMYFUNCTION("""COMPUTED_VALUE"""),"L")</f>
        <v>L</v>
      </c>
      <c r="V3" s="21" t="str">
        <f ca="1">IFERROR(__xludf.DUMMYFUNCTION("""COMPUTED_VALUE"""),"P")</f>
        <v>P</v>
      </c>
      <c r="W3" s="21" t="str">
        <f ca="1">IFERROR(__xludf.DUMMYFUNCTION("""COMPUTED_VALUE"""),"%")</f>
        <v>%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</row>
    <row r="4" spans="1:103" ht="12.5" x14ac:dyDescent="0.25">
      <c r="A4" s="32">
        <f ca="1">IFERROR(__xludf.DUMMYFUNCTION("""COMPUTED_VALUE"""),1)</f>
        <v>1</v>
      </c>
      <c r="B4" s="32" t="str">
        <f ca="1">IFERROR(__xludf.DUMMYFUNCTION("""COMPUTED_VALUE"""),"A")</f>
        <v>A</v>
      </c>
      <c r="C4" s="32" t="str">
        <f ca="1">IFERROR(__xludf.DUMMYFUNCTION("""COMPUTED_VALUE"""),"22291341020")</f>
        <v>22291341020</v>
      </c>
      <c r="D4" s="21" t="str">
        <f ca="1">IFERROR(__xludf.DUMMYFUNCTION("""COMPUTED_VALUE"""),"DHRUV PRAVINBHAI PATEL")</f>
        <v>DHRUV PRAVINBHAI PATEL</v>
      </c>
      <c r="E4" s="32" t="str">
        <f ca="1">IFERROR(__xludf.DUMMYFUNCTION("""COMPUTED_VALUE"""),"RRP-Mor")</f>
        <v>RRP-Mor</v>
      </c>
      <c r="F4" s="32">
        <f ca="1">IFERROR(__xludf.DUMMYFUNCTION("""COMPUTED_VALUE"""),7016296714)</f>
        <v>7016296714</v>
      </c>
      <c r="G4" s="32">
        <f ca="1">IFERROR(__xludf.DUMMYFUNCTION("""COMPUTED_VALUE"""),9978593559)</f>
        <v>9978593559</v>
      </c>
      <c r="H4" s="33">
        <f ca="1">IFERROR(__xludf.DUMMYFUNCTION("""COMPUTED_VALUE"""),0.359504132231405)</f>
        <v>0.35950413223140498</v>
      </c>
      <c r="I4" s="21">
        <f ca="1">IFERROR(__xludf.DUMMYFUNCTION("""COMPUTED_VALUE"""),0.277777777777777)</f>
        <v>0.27777777777777701</v>
      </c>
      <c r="J4" s="21">
        <f ca="1">IFERROR(__xludf.DUMMYFUNCTION("""COMPUTED_VALUE"""),0.416666666666666)</f>
        <v>0.41666666666666602</v>
      </c>
      <c r="K4" s="21">
        <f ca="1">IFERROR(__xludf.DUMMYFUNCTION("""COMPUTED_VALUE"""),0.352941176470588)</f>
        <v>0.35294117647058798</v>
      </c>
      <c r="L4" s="21">
        <f ca="1">IFERROR(__xludf.DUMMYFUNCTION("""COMPUTED_VALUE"""),0.538461538461538)</f>
        <v>0.53846153846153799</v>
      </c>
      <c r="M4" s="21">
        <f ca="1">IFERROR(__xludf.DUMMYFUNCTION("""COMPUTED_VALUE"""),0.277777777777777)</f>
        <v>0.27777777777777701</v>
      </c>
      <c r="N4" s="21">
        <f ca="1">IFERROR(__xludf.DUMMYFUNCTION("""COMPUTED_VALUE"""),0.4)</f>
        <v>0.4</v>
      </c>
      <c r="O4" s="21">
        <f ca="1">IFERROR(__xludf.DUMMYFUNCTION("""COMPUTED_VALUE"""),0.393939393939393)</f>
        <v>0.39393939393939298</v>
      </c>
      <c r="P4" s="21">
        <f ca="1">IFERROR(__xludf.DUMMYFUNCTION("""COMPUTED_VALUE"""),0.565217391304347)</f>
        <v>0.56521739130434701</v>
      </c>
      <c r="Q4" s="21">
        <f ca="1">IFERROR(__xludf.DUMMYFUNCTION("""COMPUTED_VALUE"""),0)</f>
        <v>0</v>
      </c>
      <c r="R4" s="21">
        <f ca="1">IFERROR(__xludf.DUMMYFUNCTION("""COMPUTED_VALUE"""),0.363636363636363)</f>
        <v>0.36363636363636298</v>
      </c>
      <c r="S4" s="21">
        <f ca="1">IFERROR(__xludf.DUMMYFUNCTION("""COMPUTED_VALUE"""),0.3)</f>
        <v>0.3</v>
      </c>
      <c r="T4" s="21">
        <f ca="1">IFERROR(__xludf.DUMMYFUNCTION("""COMPUTED_VALUE"""),0)</f>
        <v>0</v>
      </c>
      <c r="U4" s="21">
        <f ca="1">IFERROR(__xludf.DUMMYFUNCTION("""COMPUTED_VALUE"""),0.181818181818181)</f>
        <v>0.18181818181818099</v>
      </c>
      <c r="V4" s="21">
        <f ca="1">IFERROR(__xludf.DUMMYFUNCTION("""COMPUTED_VALUE"""),0)</f>
        <v>0</v>
      </c>
      <c r="W4" s="21"/>
      <c r="X4" s="21" t="str">
        <f ca="1">IFERROR(__xludf.DUMMYFUNCTION("""COMPUTED_VALUE"""),"| 1 L PHP-CGM @ | 3 P NS @ | 5 P JAVA @ ")</f>
        <v xml:space="preserve">| 1 L PHP-CGM @ | 3 P NS @ | 5 P JAVA @ </v>
      </c>
      <c r="Y4" s="21" t="str">
        <f ca="1">IFERROR(__xludf.DUMMYFUNCTION("""COMPUTED_VALUE"""),"| 1 P Python @ | 3 L JAVA @ | 4 L CPT @ | 5 P JAVA @ ")</f>
        <v xml:space="preserve">| 1 P Python @ | 3 L JAVA @ | 4 L CPT @ | 5 P JAVA @ </v>
      </c>
      <c r="Z4" s="21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4" s="21" t="str">
        <f ca="1">IFERROR(__xludf.DUMMYFUNCTION("""COMPUTED_VALUE"""),"| 3 L PHP-CGM @ | 4 L NS @ | 1 L INE @ | 5 P PRO @ ")</f>
        <v xml:space="preserve">| 3 L PHP-CGM @ | 4 L NS @ | 1 L INE @ | 5 P PRO @ </v>
      </c>
      <c r="AB4" s="21" t="str">
        <f ca="1">IFERROR(__xludf.DUMMYFUNCTION("""COMPUTED_VALUE"""),"| 1 L CPT @ | 2 L NS @ | 3 P CPT @ | 5 P Python @ ")</f>
        <v xml:space="preserve">| 1 L CPT @ | 2 L NS @ | 3 P CPT @ | 5 P Python @ </v>
      </c>
      <c r="AC4" s="21" t="str">
        <f ca="1">IFERROR(__xludf.DUMMYFUNCTION("""COMPUTED_VALUE"""),"| 1 L PHP-CGM @ | 2 L JAVA @ | 3 P NS @ | 5 P JAVA @ ")</f>
        <v xml:space="preserve">| 1 L PHP-CGM @ | 2 L JAVA @ | 3 P NS @ | 5 P JAVA @ </v>
      </c>
      <c r="AD4" s="21" t="str">
        <f ca="1">IFERROR(__xludf.DUMMYFUNCTION("""COMPUTED_VALUE"""),"| 1 P Python % | 3 L JAVA @ | 4 L CPT % | 5 P JAVA @ ")</f>
        <v xml:space="preserve">| 1 P Python % | 3 L JAVA @ | 4 L CPT % | 5 P JAVA @ </v>
      </c>
      <c r="AE4" s="21" t="str">
        <f ca="1">IFERROR(__xludf.DUMMYFUNCTION("""COMPUTED_VALUE"""),"| 1 P PHP-CGM % | 4 L JAVA % | 3 L NS % | 5 L PHP-CGM @ | 6 L CPT @ ")</f>
        <v xml:space="preserve">| 1 P PHP-CGM % | 4 L JAVA % | 3 L NS % | 5 L PHP-CGM @ | 6 L CPT @ </v>
      </c>
      <c r="AF4" s="21" t="str">
        <f ca="1">IFERROR(__xludf.DUMMYFUNCTION("""COMPUTED_VALUE"""),"| 3 L PHP-CGM @ | 4 L NS % | 5 P PRO @ ")</f>
        <v xml:space="preserve">| 3 L PHP-CGM @ | 4 L NS % | 5 P PRO @ </v>
      </c>
      <c r="AG4" s="21" t="str">
        <f ca="1">IFERROR(__xludf.DUMMYFUNCTION("""COMPUTED_VALUE"""),"| 1 L CPT @ | 2 L NS @ | 3 P CPT @ | 5 P Python @ ")</f>
        <v xml:space="preserve">| 1 L CPT @ | 2 L NS @ | 3 P CPT @ | 5 P Python @ </v>
      </c>
      <c r="AH4" s="21" t="str">
        <f ca="1">IFERROR(__xludf.DUMMYFUNCTION("""COMPUTED_VALUE"""),"| 3 L PHP-CGM @ | 4 L NS @ | 5 L PRO @ ")</f>
        <v xml:space="preserve">| 3 L PHP-CGM @ | 4 L NS @ | 5 L PRO @ </v>
      </c>
      <c r="AI4" s="21" t="str">
        <f ca="1">IFERROR(__xludf.DUMMYFUNCTION("""COMPUTED_VALUE"""),"| 1 L CPT @ | 2 L NS @ | 3 P CPT @ | 5 P Python @ ")</f>
        <v xml:space="preserve">| 1 L CPT @ | 2 L NS @ | 3 P CPT @ | 5 P Python @ </v>
      </c>
      <c r="AJ4" s="21" t="str">
        <f ca="1">IFERROR(__xludf.DUMMYFUNCTION("""COMPUTED_VALUE"""),"| 1 L PHP-CGM % | 2 L JAVA % | 3 P NS % | 5 P JAVA % ")</f>
        <v xml:space="preserve">| 1 L PHP-CGM % | 2 L JAVA % | 3 P NS % | 5 P JAVA % </v>
      </c>
      <c r="AK4" s="21" t="str">
        <f ca="1">IFERROR(__xludf.DUMMYFUNCTION("""COMPUTED_VALUE"""),"| 1 P Python % | 3 L JAVA % | 4 L CPT % | 5 P JAVA @ ")</f>
        <v xml:space="preserve">| 1 P Python % | 3 L JAVA % | 4 L CPT % | 5 P JAVA @ </v>
      </c>
      <c r="AL4" s="21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M4" s="21" t="str">
        <f ca="1">IFERROR(__xludf.DUMMYFUNCTION("""COMPUTED_VALUE"""),"| 1 L INE @ | 4 L NS @ | 3 L PHP-CGM @ | 5 L PRO @ ")</f>
        <v xml:space="preserve">| 1 L INE @ | 4 L NS @ | 3 L PHP-CGM @ | 5 L PRO @ </v>
      </c>
      <c r="AN4" s="21" t="str">
        <f ca="1">IFERROR(__xludf.DUMMYFUNCTION("""COMPUTED_VALUE"""),"| 1 L CPT @ | 2 L NS @ | 3 P CPT @ | 5 P Python @ ")</f>
        <v xml:space="preserve">| 1 L CPT @ | 2 L NS @ | 3 P CPT @ | 5 P Python @ </v>
      </c>
      <c r="AO4" s="21" t="str">
        <f ca="1">IFERROR(__xludf.DUMMYFUNCTION("""COMPUTED_VALUE"""),"| 1 L PHP-CGM % | 2 L JAVA % | 3 P NS % | 5 P JAVA % ")</f>
        <v xml:space="preserve">| 1 L PHP-CGM % | 2 L JAVA % | 3 P NS % | 5 P JAVA % </v>
      </c>
      <c r="AP4" s="21" t="str">
        <f ca="1">IFERROR(__xludf.DUMMYFUNCTION("""COMPUTED_VALUE"""),"| 1 P Python @ | 3 L JAVA % | 4 L CPT % | 5 P JAVA @ ")</f>
        <v xml:space="preserve">| 1 P Python @ | 3 L JAVA % | 4 L CPT % | 5 P JAVA @ </v>
      </c>
      <c r="AQ4" s="21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R4" s="21" t="str">
        <f ca="1">IFERROR(__xludf.DUMMYFUNCTION("""COMPUTED_VALUE"""),"| 1 L INE @ | 3 L PHP-CGM @ | 4 L NS @ | 5 L PRO @ ")</f>
        <v xml:space="preserve">| 1 L INE @ | 3 L PHP-CGM @ | 4 L NS @ | 5 L PRO @ </v>
      </c>
      <c r="AS4" s="21" t="str">
        <f ca="1">IFERROR(__xludf.DUMMYFUNCTION("""COMPUTED_VALUE"""),"| 1 L PHP-CGM % | 2 L JAVA @ | 3 P NS % | 5 P JAVA % ")</f>
        <v xml:space="preserve">| 1 L PHP-CGM % | 2 L JAVA @ | 3 P NS % | 5 P JAVA % </v>
      </c>
      <c r="AT4" s="21" t="str">
        <f ca="1">IFERROR(__xludf.DUMMYFUNCTION("""COMPUTED_VALUE"""),"| 1 P Python @ | 3 L JAVA % | 4 L CPT % | 5 P JAVA % ")</f>
        <v xml:space="preserve">| 1 P Python @ | 3 L JAVA % | 4 L CPT % | 5 P JAVA % </v>
      </c>
      <c r="AU4" s="21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V4" s="21" t="str">
        <f ca="1">IFERROR(__xludf.DUMMYFUNCTION("""COMPUTED_VALUE"""),"| 1 L INE @ | 3 L PHP-CGM @ | 4 L NS @ | 7 L PRO @ ")</f>
        <v xml:space="preserve">| 1 L INE @ | 3 L PHP-CGM @ | 4 L NS @ | 7 L PRO @ </v>
      </c>
      <c r="AW4" s="21" t="str">
        <f ca="1">IFERROR(__xludf.DUMMYFUNCTION("""COMPUTED_VALUE"""),"| 1 L CPT % | 2 L NS % | 3 P CPT % | 5 P Python @ ")</f>
        <v xml:space="preserve">| 1 L CPT % | 2 L NS % | 3 P CPT % | 5 P Python @ </v>
      </c>
      <c r="AX4" s="21" t="str">
        <f ca="1">IFERROR(__xludf.DUMMYFUNCTION("""COMPUTED_VALUE"""),"| 1 L PHP-CGM % | 2 L JAVA % | 3 P NS % | 5 P JAVA % ")</f>
        <v xml:space="preserve">| 1 L PHP-CGM % | 2 L JAVA % | 3 P NS % | 5 P JAVA % </v>
      </c>
      <c r="AY4" s="21" t="str">
        <f ca="1">IFERROR(__xludf.DUMMYFUNCTION("""COMPUTED_VALUE"""),"| 1 P Python @ | 3 L JAVA % | 4 L CPT % | 5 P JAVA % ")</f>
        <v xml:space="preserve">| 1 P Python @ | 3 L JAVA % | 4 L CPT % | 5 P JAVA % </v>
      </c>
      <c r="AZ4" s="21" t="str">
        <f ca="1">IFERROR(__xludf.DUMMYFUNCTION("""COMPUTED_VALUE"""),"| 1 L INE % | 3 L PHP-CGM % | 4 L NS % | 5 L PRO @ ")</f>
        <v xml:space="preserve">| 1 L INE % | 3 L PHP-CGM % | 4 L NS % | 5 L PRO @ </v>
      </c>
      <c r="BA4" s="21" t="str">
        <f ca="1">IFERROR(__xludf.DUMMYFUNCTION("""COMPUTED_VALUE"""),"| 1 L CPT @ | 2 L NS @ | 3 P CPT @ | 5 P Python @ ")</f>
        <v xml:space="preserve">| 1 L CPT @ | 2 L NS @ | 3 P CPT @ | 5 P Python @ </v>
      </c>
      <c r="BB4" s="21" t="str">
        <f ca="1">IFERROR(__xludf.DUMMYFUNCTION("""COMPUTED_VALUE"""),"| 1 L PHP-CGM @ | 2 L JAVA @ | 3 P NS % | 5 P JAVA % ")</f>
        <v xml:space="preserve">| 1 L PHP-CGM @ | 2 L JAVA @ | 3 P NS % | 5 P JAVA % </v>
      </c>
      <c r="BC4" s="21" t="str">
        <f ca="1">IFERROR(__xludf.DUMMYFUNCTION("""COMPUTED_VALUE"""),"| 1 P Python % | 3 L JAVA @ | 4 L CPT @ | 5 P JAVA % ")</f>
        <v xml:space="preserve">| 1 P Python % | 3 L JAVA @ | 4 L CPT @ | 5 P JAVA % </v>
      </c>
      <c r="BD4" s="21" t="str">
        <f ca="1">IFERROR(__xludf.DUMMYFUNCTION("""COMPUTED_VALUE"""),"| 1 P PHP-CGM % | 3 L NS % | 6 L CPT @ | 5 L PHP-CGM @ | 4 L JAVA % ")</f>
        <v xml:space="preserve">| 1 P PHP-CGM % | 3 L NS % | 6 L CPT @ | 5 L PHP-CGM @ | 4 L JAVA % </v>
      </c>
      <c r="BE4" s="21" t="str">
        <f ca="1">IFERROR(__xludf.DUMMYFUNCTION("""COMPUTED_VALUE"""),"| 1 L INE @ | 3 L PHP-CGM @ | 4 L NS @ | 5 L PRO @ ")</f>
        <v xml:space="preserve">| 1 L INE @ | 3 L PHP-CGM @ | 4 L NS @ | 5 L PRO @ </v>
      </c>
      <c r="BF4" s="21" t="str">
        <f ca="1">IFERROR(__xludf.DUMMYFUNCTION("""COMPUTED_VALUE"""),"| 1 L CPT @ | 2 L NS % | 3 P CPT % | 5 P JAVA % ")</f>
        <v xml:space="preserve">| 1 L CPT @ | 2 L NS % | 3 P CPT % | 5 P JAVA % </v>
      </c>
      <c r="BG4" s="21" t="str">
        <f ca="1">IFERROR(__xludf.DUMMYFUNCTION("""COMPUTED_VALUE"""),"| 1 P Python % | 4 L CPT @ | 5 P JAVA % ")</f>
        <v xml:space="preserve">| 1 P Python % | 4 L CPT @ | 5 P JAVA % </v>
      </c>
      <c r="BH4" s="21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4" s="21" t="str">
        <f ca="1">IFERROR(__xludf.DUMMYFUNCTION("""COMPUTED_VALUE"""),"| 1 L INE @ | 3 L PHP-CGM % | 4 L NS % | 5 L PRO % ")</f>
        <v xml:space="preserve">| 1 L INE @ | 3 L PHP-CGM % | 4 L NS % | 5 L PRO % </v>
      </c>
      <c r="BJ4" s="21" t="str">
        <f ca="1">IFERROR(__xludf.DUMMYFUNCTION("""COMPUTED_VALUE"""),"| 1 L CPT @ | 2 L NS @ | 3 P CPT @ | 5 P Python @ ")</f>
        <v xml:space="preserve">| 1 L CPT @ | 2 L NS @ | 3 P CPT @ | 5 P Python @ </v>
      </c>
      <c r="BK4" s="21" t="str">
        <f ca="1">IFERROR(__xludf.DUMMYFUNCTION("""COMPUTED_VALUE"""),"| 1 L PHP-CGM @ | 2 L JAVA @ | 3 P NS @ | 5 P JAVA @ ")</f>
        <v xml:space="preserve">| 1 L PHP-CGM @ | 2 L JAVA @ | 3 P NS @ | 5 P JAVA @ </v>
      </c>
      <c r="BL4" s="21" t="str">
        <f ca="1">IFERROR(__xludf.DUMMYFUNCTION("""COMPUTED_VALUE"""),"| 1 P Python @ | 3 L JAVA @ | 4 L CPT @ | 5 P JAVA @ ")</f>
        <v xml:space="preserve">| 1 P Python @ | 3 L JAVA @ | 4 L CPT @ | 5 P JAVA @ </v>
      </c>
      <c r="BM4" s="21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4" s="21" t="str">
        <f ca="1">IFERROR(__xludf.DUMMYFUNCTION("""COMPUTED_VALUE"""),"| 1 L INE @ | 3 L PHP-CGM @ | 4 L NS @ | 5 L PRO @ ")</f>
        <v xml:space="preserve">| 1 L INE @ | 3 L PHP-CGM @ | 4 L NS @ | 5 L PRO @ </v>
      </c>
      <c r="BO4" s="21" t="str">
        <f ca="1">IFERROR(__xludf.DUMMYFUNCTION("""COMPUTED_VALUE"""),"| 1 L CPT @ | 2 L NS @ | 3 P CPT @ ")</f>
        <v xml:space="preserve">| 1 L CPT @ | 2 L NS @ | 3 P CPT @ </v>
      </c>
      <c r="BP4" s="21" t="str">
        <f ca="1">IFERROR(__xludf.DUMMYFUNCTION("""COMPUTED_VALUE"""),"| 1 L PHP-CGM @ | 2 L JAVA @ | 3 P NS @ | 5 P JAVA @ ")</f>
        <v xml:space="preserve">| 1 L PHP-CGM @ | 2 L JAVA @ | 3 P NS @ | 5 P JAVA @ </v>
      </c>
      <c r="BQ4" s="21" t="str">
        <f ca="1">IFERROR(__xludf.DUMMYFUNCTION("""COMPUTED_VALUE"""),"| 5 L PHP-CGM % | 6 L CPT @ ")</f>
        <v xml:space="preserve">| 5 L PHP-CGM % | 6 L CPT @ </v>
      </c>
      <c r="BR4" s="21"/>
      <c r="BS4" s="21"/>
      <c r="BT4" s="21" t="str">
        <f ca="1">IFERROR(__xludf.DUMMYFUNCTION("""COMPUTED_VALUE"""),"| 1 L PHP-CGM @ | 2 L JAVA @ | 3 P NS @ ")</f>
        <v xml:space="preserve">| 1 L PHP-CGM @ | 2 L JAVA @ | 3 P NS @ </v>
      </c>
      <c r="BU4" s="21" t="str">
        <f ca="1">IFERROR(__xludf.DUMMYFUNCTION("""COMPUTED_VALUE"""),"| 1 P Python @ | 4 L CPT @ | 3 L JAVA @ ")</f>
        <v xml:space="preserve">| 1 P Python @ | 4 L CPT @ | 3 L JAVA @ </v>
      </c>
      <c r="BV4" s="21" t="str">
        <f ca="1">IFERROR(__xludf.DUMMYFUNCTION("""COMPUTED_VALUE"""),"| 1 L PHP-CGM @ | 2 L JAVA @ | 3 P NS @ | 5 P JAVA @ ")</f>
        <v xml:space="preserve">| 1 L PHP-CGM @ | 2 L JAVA @ | 3 P NS @ | 5 P JAVA @ </v>
      </c>
      <c r="BW4" s="21" t="str">
        <f ca="1">IFERROR(__xludf.DUMMYFUNCTION("""COMPUTED_VALUE"""),"| 1 P Python @ | 3 L JAVA @ | 4 L CPT @ ")</f>
        <v xml:space="preserve">| 1 P Python @ | 3 L JAVA @ | 4 L CPT @ </v>
      </c>
      <c r="BX4" s="21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4" s="21" t="str">
        <f ca="1">IFERROR(__xludf.DUMMYFUNCTION("""COMPUTED_VALUE"""),"| 1 L INE @ | 3 L PHP-CGM @ | 4 L NS @ | 5 L PRO % ")</f>
        <v xml:space="preserve">| 1 L INE @ | 3 L PHP-CGM @ | 4 L NS @ | 5 L PRO % </v>
      </c>
      <c r="BZ4" s="21" t="str">
        <f ca="1">IFERROR(__xludf.DUMMYFUNCTION("""COMPUTED_VALUE"""),"| 1 L CPT % | 2 L NS % | 3 P CPT % | 5 P Python % ")</f>
        <v xml:space="preserve">| 1 L CPT % | 2 L NS % | 3 P CPT % | 5 P Python % </v>
      </c>
      <c r="CA4" s="21" t="str">
        <f ca="1">IFERROR(__xludf.DUMMYFUNCTION("""COMPUTED_VALUE"""),"| 1 L PHP-CGM @ | 2 L JAVA @ | 3 P NS % | 5 P JAVA % ")</f>
        <v xml:space="preserve">| 1 L PHP-CGM @ | 2 L JAVA @ | 3 P NS % | 5 P JAVA % </v>
      </c>
      <c r="CB4" s="21" t="str">
        <f ca="1">IFERROR(__xludf.DUMMYFUNCTION("""COMPUTED_VALUE"""),"| 1 P Python % | 3 L JAVA % | 4 L CPT % | 5 P JAVA % ")</f>
        <v xml:space="preserve">| 1 P Python % | 3 L JAVA % | 4 L CPT % | 5 P JAVA % </v>
      </c>
      <c r="CC4" s="21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4" s="21" t="str">
        <f ca="1">IFERROR(__xludf.DUMMYFUNCTION("""COMPUTED_VALUE"""),"| 1 L INE % | 3 L PHP-CGM % | 4 L NS % | 5 L PRO % ")</f>
        <v xml:space="preserve">| 1 L INE % | 3 L PHP-CGM % | 4 L NS % | 5 L PRO % </v>
      </c>
      <c r="CE4" s="21" t="str">
        <f ca="1">IFERROR(__xludf.DUMMYFUNCTION("""COMPUTED_VALUE"""),"| 1 L CPT % | 2 L NS % | 3 P CPT % | 5 P Python % ")</f>
        <v xml:space="preserve">| 1 L CPT % | 2 L NS % | 3 P CPT % | 5 P Python % </v>
      </c>
      <c r="CF4" s="21" t="str">
        <f ca="1">IFERROR(__xludf.DUMMYFUNCTION("""COMPUTED_VALUE"""),"| 1 L PHP-CGM % | 2 L JAVA % | 3 P NS % ")</f>
        <v xml:space="preserve">| 1 L PHP-CGM % | 2 L JAVA % | 3 P NS % </v>
      </c>
      <c r="CG4" s="21" t="str">
        <f ca="1">IFERROR(__xludf.DUMMYFUNCTION("""COMPUTED_VALUE"""),"| 1 P Python % | 4 L CPT @ | 5 P JAVA % ")</f>
        <v xml:space="preserve">| 1 P Python % | 4 L CPT @ | 5 P JAVA % </v>
      </c>
      <c r="CH4" s="21" t="str">
        <f ca="1">IFERROR(__xludf.DUMMYFUNCTION("""COMPUTED_VALUE"""),"| 3 L NS @ | 6 L CPT @ ")</f>
        <v xml:space="preserve">| 3 L NS @ | 6 L CPT @ </v>
      </c>
      <c r="CI4" s="21" t="str">
        <f ca="1">IFERROR(__xludf.DUMMYFUNCTION("""COMPUTED_VALUE"""),"| 1 L INE @ ")</f>
        <v xml:space="preserve">| 1 L INE @ </v>
      </c>
      <c r="CJ4" s="21" t="str">
        <f ca="1">IFERROR(__xludf.DUMMYFUNCTION("""COMPUTED_VALUE"""),"| 3 P CPT % ")</f>
        <v xml:space="preserve">| 3 P CPT % </v>
      </c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</row>
    <row r="5" spans="1:103" ht="12.5" x14ac:dyDescent="0.25">
      <c r="A5" s="3">
        <f ca="1">IFERROR(__xludf.DUMMYFUNCTION("""COMPUTED_VALUE"""),1)</f>
        <v>1</v>
      </c>
      <c r="B5" s="3" t="str">
        <f ca="1">IFERROR(__xludf.DUMMYFUNCTION("""COMPUTED_VALUE"""),"A")</f>
        <v>A</v>
      </c>
      <c r="C5" s="34" t="str">
        <f ca="1">IFERROR(__xludf.DUMMYFUNCTION("""COMPUTED_VALUE"""),"23291341001")</f>
        <v>23291341001</v>
      </c>
      <c r="D5" s="34" t="str">
        <f ca="1">IFERROR(__xludf.DUMMYFUNCTION("""COMPUTED_VALUE"""),"ACHARYA DHRUV RAJENDRAKUMAR")</f>
        <v>ACHARYA DHRUV RAJENDRAKUMAR</v>
      </c>
      <c r="E5" s="32" t="str">
        <f ca="1">IFERROR(__xludf.DUMMYFUNCTION("""COMPUTED_VALUE"""),"RRP-Mor")</f>
        <v>RRP-Mor</v>
      </c>
      <c r="F5" s="34">
        <f ca="1">IFERROR(__xludf.DUMMYFUNCTION("""COMPUTED_VALUE"""),8401393904)</f>
        <v>8401393904</v>
      </c>
      <c r="G5" s="34">
        <f ca="1">IFERROR(__xludf.DUMMYFUNCTION("""COMPUTED_VALUE"""),9228404213)</f>
        <v>9228404213</v>
      </c>
      <c r="H5" s="33">
        <f ca="1">IFERROR(__xludf.DUMMYFUNCTION("""COMPUTED_VALUE"""),0.615702479338842)</f>
        <v>0.61570247933884203</v>
      </c>
      <c r="I5" s="35">
        <f ca="1">IFERROR(__xludf.DUMMYFUNCTION("""COMPUTED_VALUE"""),0.416666666666666)</f>
        <v>0.41666666666666602</v>
      </c>
      <c r="J5" s="35">
        <f ca="1">IFERROR(__xludf.DUMMYFUNCTION("""COMPUTED_VALUE"""),0.75)</f>
        <v>0.75</v>
      </c>
      <c r="K5" s="35">
        <f ca="1">IFERROR(__xludf.DUMMYFUNCTION("""COMPUTED_VALUE"""),0.705882352941176)</f>
        <v>0.70588235294117596</v>
      </c>
      <c r="L5" s="35">
        <f ca="1">IFERROR(__xludf.DUMMYFUNCTION("""COMPUTED_VALUE"""),0.769230769230769)</f>
        <v>0.76923076923076905</v>
      </c>
      <c r="M5" s="35">
        <f ca="1">IFERROR(__xludf.DUMMYFUNCTION("""COMPUTED_VALUE"""),0.611111111111111)</f>
        <v>0.61111111111111105</v>
      </c>
      <c r="N5" s="35">
        <f ca="1">IFERROR(__xludf.DUMMYFUNCTION("""COMPUTED_VALUE"""),0.9)</f>
        <v>0.9</v>
      </c>
      <c r="O5" s="35">
        <f ca="1">IFERROR(__xludf.DUMMYFUNCTION("""COMPUTED_VALUE"""),0.636363636363636)</f>
        <v>0.63636363636363602</v>
      </c>
      <c r="P5" s="35">
        <f ca="1">IFERROR(__xludf.DUMMYFUNCTION("""COMPUTED_VALUE"""),0.521739130434782)</f>
        <v>0.52173913043478204</v>
      </c>
      <c r="Q5" s="35">
        <f ca="1">IFERROR(__xludf.DUMMYFUNCTION("""COMPUTED_VALUE"""),0)</f>
        <v>0</v>
      </c>
      <c r="R5" s="35">
        <f ca="1">IFERROR(__xludf.DUMMYFUNCTION("""COMPUTED_VALUE"""),0.863636363636363)</f>
        <v>0.86363636363636298</v>
      </c>
      <c r="S5" s="35">
        <f ca="1">IFERROR(__xludf.DUMMYFUNCTION("""COMPUTED_VALUE"""),0.4)</f>
        <v>0.4</v>
      </c>
      <c r="T5" s="35">
        <f ca="1">IFERROR(__xludf.DUMMYFUNCTION("""COMPUTED_VALUE"""),0.5)</f>
        <v>0.5</v>
      </c>
      <c r="U5" s="36">
        <f ca="1">IFERROR(__xludf.DUMMYFUNCTION("""COMPUTED_VALUE"""),0.272727272727272)</f>
        <v>0.27272727272727199</v>
      </c>
      <c r="V5" s="35">
        <f ca="1">IFERROR(__xludf.DUMMYFUNCTION("""COMPUTED_VALUE"""),0)</f>
        <v>0</v>
      </c>
      <c r="W5" s="15"/>
      <c r="X5" s="15" t="str">
        <f ca="1">IFERROR(__xludf.DUMMYFUNCTION("""COMPUTED_VALUE"""),"| 1 L PHP-CGM % | 3 P NS % | 5 P JAVA % ")</f>
        <v xml:space="preserve">| 1 L PHP-CGM % | 3 P NS % | 5 P JAVA % </v>
      </c>
      <c r="Y5" s="15" t="str">
        <f ca="1">IFERROR(__xludf.DUMMYFUNCTION("""COMPUTED_VALUE"""),"| 1 P Python % | 3 L JAVA % | 4 L CPT % | 5 P JAVA % ")</f>
        <v xml:space="preserve">| 1 P Python % | 3 L JAVA % | 4 L CPT % | 5 P JAVA % </v>
      </c>
      <c r="Z5" s="15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A5" s="15" t="str">
        <f ca="1">IFERROR(__xludf.DUMMYFUNCTION("""COMPUTED_VALUE"""),"| 3 L PHP-CGM % | 4 L NS % | 1 L INE % | 5 P PRO % ")</f>
        <v xml:space="preserve">| 3 L PHP-CGM % | 4 L NS % | 1 L INE % | 5 P PRO % </v>
      </c>
      <c r="AB5" s="15" t="str">
        <f ca="1">IFERROR(__xludf.DUMMYFUNCTION("""COMPUTED_VALUE"""),"| 1 L CPT % | 2 L NS % | 3 P CPT % | 5 P Python % ")</f>
        <v xml:space="preserve">| 1 L CPT % | 2 L NS % | 3 P CPT % | 5 P Python % </v>
      </c>
      <c r="AC5" s="15" t="str">
        <f ca="1">IFERROR(__xludf.DUMMYFUNCTION("""COMPUTED_VALUE"""),"| 1 L PHP-CGM % | 2 L JAVA % | 3 P NS % | 5 P JAVA @ ")</f>
        <v xml:space="preserve">| 1 L PHP-CGM % | 2 L JAVA % | 3 P NS % | 5 P JAVA @ </v>
      </c>
      <c r="AD5" s="15" t="str">
        <f ca="1">IFERROR(__xludf.DUMMYFUNCTION("""COMPUTED_VALUE"""),"| 1 P Python % | 3 L JAVA % | 4 L CPT % | 5 P JAVA % ")</f>
        <v xml:space="preserve">| 1 P Python % | 3 L JAVA % | 4 L CPT % | 5 P JAVA % </v>
      </c>
      <c r="AE5" s="15" t="str">
        <f ca="1">IFERROR(__xludf.DUMMYFUNCTION("""COMPUTED_VALUE"""),"| 1 P PHP-CGM % | 4 L JAVA % | 3 L NS % | 5 L PHP-CGM @ | 6 L CPT @ ")</f>
        <v xml:space="preserve">| 1 P PHP-CGM % | 4 L JAVA % | 3 L NS % | 5 L PHP-CGM @ | 6 L CPT @ </v>
      </c>
      <c r="AF5" s="15" t="str">
        <f ca="1">IFERROR(__xludf.DUMMYFUNCTION("""COMPUTED_VALUE"""),"| 3 L PHP-CGM % | 4 L NS % | 5 P PRO @ ")</f>
        <v xml:space="preserve">| 3 L PHP-CGM % | 4 L NS % | 5 P PRO @ </v>
      </c>
      <c r="AG5" s="15" t="str">
        <f ca="1">IFERROR(__xludf.DUMMYFUNCTION("""COMPUTED_VALUE"""),"| 1 L CPT % | 2 L NS % | 3 P CPT % | 5 P Python % ")</f>
        <v xml:space="preserve">| 1 L CPT % | 2 L NS % | 3 P CPT % | 5 P Python % </v>
      </c>
      <c r="AH5" s="15" t="str">
        <f ca="1">IFERROR(__xludf.DUMMYFUNCTION("""COMPUTED_VALUE"""),"| 3 L PHP-CGM % | 4 L NS % | 5 L PRO % ")</f>
        <v xml:space="preserve">| 3 L PHP-CGM % | 4 L NS % | 5 L PRO % </v>
      </c>
      <c r="AI5" s="15" t="str">
        <f ca="1">IFERROR(__xludf.DUMMYFUNCTION("""COMPUTED_VALUE"""),"| 1 L CPT @ | 2 L NS % | 3 P CPT % | 5 P Python % ")</f>
        <v xml:space="preserve">| 1 L CPT @ | 2 L NS % | 3 P CPT % | 5 P Python % </v>
      </c>
      <c r="AJ5" s="15" t="str">
        <f ca="1">IFERROR(__xludf.DUMMYFUNCTION("""COMPUTED_VALUE"""),"| 1 L PHP-CGM % | 2 L JAVA % | 3 P NS % | 5 P JAVA % ")</f>
        <v xml:space="preserve">| 1 L PHP-CGM % | 2 L JAVA % | 3 P NS % | 5 P JAVA % </v>
      </c>
      <c r="AK5" s="15" t="str">
        <f ca="1">IFERROR(__xludf.DUMMYFUNCTION("""COMPUTED_VALUE"""),"| 1 P Python % | 3 L JAVA % | 4 L CPT % | 5 P JAVA % ")</f>
        <v xml:space="preserve">| 1 P Python % | 3 L JAVA % | 4 L CPT % | 5 P JAVA % </v>
      </c>
      <c r="AL5" s="15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M5" s="15" t="str">
        <f ca="1">IFERROR(__xludf.DUMMYFUNCTION("""COMPUTED_VALUE"""),"| 1 L INE @ | 4 L NS % | 3 L PHP-CGM % | 5 L PRO % ")</f>
        <v xml:space="preserve">| 1 L INE @ | 4 L NS % | 3 L PHP-CGM % | 5 L PRO % </v>
      </c>
      <c r="AN5" s="15" t="str">
        <f ca="1">IFERROR(__xludf.DUMMYFUNCTION("""COMPUTED_VALUE"""),"| 1 L CPT % | 2 L NS % | 3 P CPT % | 5 P Python % ")</f>
        <v xml:space="preserve">| 1 L CPT % | 2 L NS % | 3 P CPT % | 5 P Python % </v>
      </c>
      <c r="AO5" s="15" t="str">
        <f ca="1">IFERROR(__xludf.DUMMYFUNCTION("""COMPUTED_VALUE"""),"| 1 L PHP-CGM @ | 2 L JAVA @ | 3 P NS @ | 5 P JAVA @ ")</f>
        <v xml:space="preserve">| 1 L PHP-CGM @ | 2 L JAVA @ | 3 P NS @ | 5 P JAVA @ </v>
      </c>
      <c r="AP5" s="15" t="str">
        <f ca="1">IFERROR(__xludf.DUMMYFUNCTION("""COMPUTED_VALUE"""),"| 1 P Python % | 3 L JAVA % | 4 L CPT % | 5 P JAVA % ")</f>
        <v xml:space="preserve">| 1 P Python % | 3 L JAVA % | 4 L CPT % | 5 P JAVA % </v>
      </c>
      <c r="AQ5" s="15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5" s="15" t="str">
        <f ca="1">IFERROR(__xludf.DUMMYFUNCTION("""COMPUTED_VALUE"""),"| 1 L INE % | 3 L PHP-CGM % | 4 L NS % | 5 L PRO @ ")</f>
        <v xml:space="preserve">| 1 L INE % | 3 L PHP-CGM % | 4 L NS % | 5 L PRO @ </v>
      </c>
      <c r="AS5" s="15" t="str">
        <f ca="1">IFERROR(__xludf.DUMMYFUNCTION("""COMPUTED_VALUE"""),"| 1 L PHP-CGM % | 2 L JAVA % | 3 P NS % | 5 P JAVA @ ")</f>
        <v xml:space="preserve">| 1 L PHP-CGM % | 2 L JAVA % | 3 P NS % | 5 P JAVA @ </v>
      </c>
      <c r="AT5" s="15" t="str">
        <f ca="1">IFERROR(__xludf.DUMMYFUNCTION("""COMPUTED_VALUE"""),"| 1 P Python % | 3 L JAVA % | 4 L CPT % | 5 P JAVA % ")</f>
        <v xml:space="preserve">| 1 P Python % | 3 L JAVA % | 4 L CPT % | 5 P JAVA % </v>
      </c>
      <c r="AU5" s="15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V5" s="15" t="str">
        <f ca="1">IFERROR(__xludf.DUMMYFUNCTION("""COMPUTED_VALUE"""),"| 1 L INE @ | 3 L PHP-CGM % | 4 L NS % | 7 L PRO % ")</f>
        <v xml:space="preserve">| 1 L INE @ | 3 L PHP-CGM % | 4 L NS % | 7 L PRO % </v>
      </c>
      <c r="AW5" s="15" t="str">
        <f ca="1">IFERROR(__xludf.DUMMYFUNCTION("""COMPUTED_VALUE"""),"| 1 L CPT % | 2 L NS % | 3 P CPT % | 5 P Python % ")</f>
        <v xml:space="preserve">| 1 L CPT % | 2 L NS % | 3 P CPT % | 5 P Python % </v>
      </c>
      <c r="AX5" s="15" t="str">
        <f ca="1">IFERROR(__xludf.DUMMYFUNCTION("""COMPUTED_VALUE"""),"| 1 L PHP-CGM % | 2 L JAVA % | 3 P NS % | 5 P JAVA % ")</f>
        <v xml:space="preserve">| 1 L PHP-CGM % | 2 L JAVA % | 3 P NS % | 5 P JAVA % </v>
      </c>
      <c r="AY5" s="15" t="str">
        <f ca="1">IFERROR(__xludf.DUMMYFUNCTION("""COMPUTED_VALUE"""),"| 1 P Python % | 3 L JAVA @ | 4 L CPT @ | 5 P JAVA @ ")</f>
        <v xml:space="preserve">| 1 P Python % | 3 L JAVA @ | 4 L CPT @ | 5 P JAVA @ </v>
      </c>
      <c r="AZ5" s="15" t="str">
        <f ca="1">IFERROR(__xludf.DUMMYFUNCTION("""COMPUTED_VALUE"""),"| 1 L INE @ | 3 L PHP-CGM @ | 4 L NS @ | 5 L PRO @ ")</f>
        <v xml:space="preserve">| 1 L INE @ | 3 L PHP-CGM @ | 4 L NS @ | 5 L PRO @ </v>
      </c>
      <c r="BA5" s="15" t="str">
        <f ca="1">IFERROR(__xludf.DUMMYFUNCTION("""COMPUTED_VALUE"""),"| 1 L CPT % | 2 L NS % | 3 P CPT % | 5 P Python % ")</f>
        <v xml:space="preserve">| 1 L CPT % | 2 L NS % | 3 P CPT % | 5 P Python % </v>
      </c>
      <c r="BB5" s="15" t="str">
        <f ca="1">IFERROR(__xludf.DUMMYFUNCTION("""COMPUTED_VALUE"""),"| 1 L PHP-CGM % | 2 L JAVA % | 3 P NS % | 5 P JAVA % ")</f>
        <v xml:space="preserve">| 1 L PHP-CGM % | 2 L JAVA % | 3 P NS % | 5 P JAVA % </v>
      </c>
      <c r="BC5" s="15" t="str">
        <f ca="1">IFERROR(__xludf.DUMMYFUNCTION("""COMPUTED_VALUE"""),"| 1 P Python % | 3 L JAVA % | 4 L CPT % | 5 P JAVA % ")</f>
        <v xml:space="preserve">| 1 P Python % | 3 L JAVA % | 4 L CPT % | 5 P JAVA % </v>
      </c>
      <c r="BD5" s="15" t="str">
        <f ca="1">IFERROR(__xludf.DUMMYFUNCTION("""COMPUTED_VALUE"""),"| 1 P PHP-CGM % | 3 L NS @ | 6 L CPT @ | 5 L PHP-CGM @ | 4 L JAVA @ ")</f>
        <v xml:space="preserve">| 1 P PHP-CGM % | 3 L NS @ | 6 L CPT @ | 5 L PHP-CGM @ | 4 L JAVA @ </v>
      </c>
      <c r="BE5" s="15" t="str">
        <f ca="1">IFERROR(__xludf.DUMMYFUNCTION("""COMPUTED_VALUE"""),"| 1 L INE @ | 3 L PHP-CGM % | 4 L NS % | 5 L PRO @ ")</f>
        <v xml:space="preserve">| 1 L INE @ | 3 L PHP-CGM % | 4 L NS % | 5 L PRO @ </v>
      </c>
      <c r="BF5" s="15" t="str">
        <f ca="1">IFERROR(__xludf.DUMMYFUNCTION("""COMPUTED_VALUE"""),"| 1 L CPT % | 2 L NS % | 3 P CPT @ | 5 P JAVA @ ")</f>
        <v xml:space="preserve">| 1 L CPT % | 2 L NS % | 3 P CPT @ | 5 P JAVA @ </v>
      </c>
      <c r="BG5" s="15" t="str">
        <f ca="1">IFERROR(__xludf.DUMMYFUNCTION("""COMPUTED_VALUE"""),"| 1 P Python % | 4 L CPT @ | 5 P JAVA @ ")</f>
        <v xml:space="preserve">| 1 P Python % | 4 L CPT @ | 5 P JAVA @ </v>
      </c>
      <c r="BH5" s="15" t="str">
        <f ca="1">IFERROR(__xludf.DUMMYFUNCTION("""COMPUTED_VALUE"""),"| 1 P PHP-CGM % | 3 L NS @ | 4 L JAVA @ | 5 L PHP-CGM @ | 6 L CPT @ ")</f>
        <v xml:space="preserve">| 1 P PHP-CGM % | 3 L NS @ | 4 L JAVA @ | 5 L PHP-CGM @ | 6 L CPT @ </v>
      </c>
      <c r="BI5" s="15" t="str">
        <f ca="1">IFERROR(__xludf.DUMMYFUNCTION("""COMPUTED_VALUE"""),"| 1 L INE @ | 3 L PHP-CGM % | 4 L NS @ | 5 L PRO @ ")</f>
        <v xml:space="preserve">| 1 L INE @ | 3 L PHP-CGM % | 4 L NS @ | 5 L PRO @ </v>
      </c>
      <c r="BJ5" s="15" t="str">
        <f ca="1">IFERROR(__xludf.DUMMYFUNCTION("""COMPUTED_VALUE"""),"| 1 L CPT % | 2 L NS % | 3 P CPT % | 5 P Python % ")</f>
        <v xml:space="preserve">| 1 L CPT % | 2 L NS % | 3 P CPT % | 5 P Python % </v>
      </c>
      <c r="BK5" s="15" t="str">
        <f ca="1">IFERROR(__xludf.DUMMYFUNCTION("""COMPUTED_VALUE"""),"| 1 L PHP-CGM @ | 2 L JAVA @ | 3 P NS @ | 5 P JAVA @ ")</f>
        <v xml:space="preserve">| 1 L PHP-CGM @ | 2 L JAVA @ | 3 P NS @ | 5 P JAVA @ </v>
      </c>
      <c r="BL5" s="15" t="str">
        <f ca="1">IFERROR(__xludf.DUMMYFUNCTION("""COMPUTED_VALUE"""),"| 1 P Python @ | 3 L JAVA @ | 4 L CPT @ | 5 P JAVA @ ")</f>
        <v xml:space="preserve">| 1 P Python @ | 3 L JAVA @ | 4 L CPT @ | 5 P JAVA @ </v>
      </c>
      <c r="BM5" s="15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5" s="15" t="str">
        <f ca="1">IFERROR(__xludf.DUMMYFUNCTION("""COMPUTED_VALUE"""),"| 1 L INE @ | 3 L PHP-CGM @ | 4 L NS @ | 5 L PRO @ ")</f>
        <v xml:space="preserve">| 1 L INE @ | 3 L PHP-CGM @ | 4 L NS @ | 5 L PRO @ </v>
      </c>
      <c r="BO5" s="15" t="str">
        <f ca="1">IFERROR(__xludf.DUMMYFUNCTION("""COMPUTED_VALUE"""),"| 1 L CPT @ | 2 L NS @ | 3 P CPT @ ")</f>
        <v xml:space="preserve">| 1 L CPT @ | 2 L NS @ | 3 P CPT @ </v>
      </c>
      <c r="BP5" s="15" t="str">
        <f ca="1">IFERROR(__xludf.DUMMYFUNCTION("""COMPUTED_VALUE"""),"| 1 L PHP-CGM % | 2 L JAVA % | 3 P NS % | 5 P JAVA @ ")</f>
        <v xml:space="preserve">| 1 L PHP-CGM % | 2 L JAVA % | 3 P NS % | 5 P JAVA @ </v>
      </c>
      <c r="BQ5" s="15" t="str">
        <f ca="1">IFERROR(__xludf.DUMMYFUNCTION("""COMPUTED_VALUE"""),"| 5 L PHP-CGM % | 6 L CPT @ ")</f>
        <v xml:space="preserve">| 5 L PHP-CGM % | 6 L CPT @ </v>
      </c>
      <c r="BR5" s="15"/>
      <c r="BS5" s="15"/>
      <c r="BT5" s="15" t="str">
        <f ca="1">IFERROR(__xludf.DUMMYFUNCTION("""COMPUTED_VALUE"""),"| 1 L PHP-CGM @ | 2 L JAVA @ | 3 P NS @ ")</f>
        <v xml:space="preserve">| 1 L PHP-CGM @ | 2 L JAVA @ | 3 P NS @ </v>
      </c>
      <c r="BU5" s="15" t="str">
        <f ca="1">IFERROR(__xludf.DUMMYFUNCTION("""COMPUTED_VALUE"""),"| 1 P Python @ | 4 L CPT @ | 3 L JAVA @ ")</f>
        <v xml:space="preserve">| 1 P Python @ | 4 L CPT @ | 3 L JAVA @ </v>
      </c>
      <c r="BV5" s="15" t="str">
        <f ca="1">IFERROR(__xludf.DUMMYFUNCTION("""COMPUTED_VALUE"""),"| 1 L PHP-CGM % | 2 L JAVA % | 3 P NS % | 5 P JAVA @ ")</f>
        <v xml:space="preserve">| 1 L PHP-CGM % | 2 L JAVA % | 3 P NS % | 5 P JAVA @ </v>
      </c>
      <c r="BW5" s="15" t="str">
        <f ca="1">IFERROR(__xludf.DUMMYFUNCTION("""COMPUTED_VALUE"""),"| 1 P Python % | 3 L JAVA @ | 4 L CPT @ ")</f>
        <v xml:space="preserve">| 1 P Python % | 3 L JAVA @ | 4 L CPT @ </v>
      </c>
      <c r="BX5" s="15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Y5" s="15" t="str">
        <f ca="1">IFERROR(__xludf.DUMMYFUNCTION("""COMPUTED_VALUE"""),"| 1 L INE @ | 3 L PHP-CGM % | 4 L NS % | 5 L PRO @ ")</f>
        <v xml:space="preserve">| 1 L INE @ | 3 L PHP-CGM % | 4 L NS % | 5 L PRO @ </v>
      </c>
      <c r="BZ5" s="15" t="str">
        <f ca="1">IFERROR(__xludf.DUMMYFUNCTION("""COMPUTED_VALUE"""),"| 1 L CPT @ | 2 L NS @ | 3 P CPT % | 5 P Python % ")</f>
        <v xml:space="preserve">| 1 L CPT @ | 2 L NS @ | 3 P CPT % | 5 P Python % </v>
      </c>
      <c r="CA5" s="15" t="str">
        <f ca="1">IFERROR(__xludf.DUMMYFUNCTION("""COMPUTED_VALUE"""),"| 1 L PHP-CGM % | 2 L JAVA % | 3 P NS % | 5 P JAVA % ")</f>
        <v xml:space="preserve">| 1 L PHP-CGM % | 2 L JAVA % | 3 P NS % | 5 P JAVA % </v>
      </c>
      <c r="CB5" s="15" t="str">
        <f ca="1">IFERROR(__xludf.DUMMYFUNCTION("""COMPUTED_VALUE"""),"| 1 P Python % | 3 L JAVA @ | 4 L CPT @ | 5 P JAVA @ ")</f>
        <v xml:space="preserve">| 1 P Python % | 3 L JAVA @ | 4 L CPT @ | 5 P JAVA @ </v>
      </c>
      <c r="CC5" s="15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5" s="15" t="str">
        <f ca="1">IFERROR(__xludf.DUMMYFUNCTION("""COMPUTED_VALUE"""),"| 1 L INE % | 3 L PHP-CGM % | 4 L NS % | 5 L PRO % ")</f>
        <v xml:space="preserve">| 1 L INE % | 3 L PHP-CGM % | 4 L NS % | 5 L PRO % </v>
      </c>
      <c r="CE5" s="15" t="str">
        <f ca="1">IFERROR(__xludf.DUMMYFUNCTION("""COMPUTED_VALUE"""),"| 1 L CPT @ | 2 L NS @ | 3 P CPT @ | 5 P Python @ ")</f>
        <v xml:space="preserve">| 1 L CPT @ | 2 L NS @ | 3 P CPT @ | 5 P Python @ </v>
      </c>
      <c r="CF5" s="15" t="str">
        <f ca="1">IFERROR(__xludf.DUMMYFUNCTION("""COMPUTED_VALUE"""),"| 1 L PHP-CGM @ | 2 L JAVA @ | 3 P NS % ")</f>
        <v xml:space="preserve">| 1 L PHP-CGM @ | 2 L JAVA @ | 3 P NS % </v>
      </c>
      <c r="CG5" s="15" t="str">
        <f ca="1">IFERROR(__xludf.DUMMYFUNCTION("""COMPUTED_VALUE"""),"| 1 P Python % | 4 L CPT @ | 5 P JAVA % ")</f>
        <v xml:space="preserve">| 1 P Python % | 4 L CPT @ | 5 P JAVA % </v>
      </c>
      <c r="CH5" s="15" t="str">
        <f ca="1">IFERROR(__xludf.DUMMYFUNCTION("""COMPUTED_VALUE"""),"| 3 L NS @ | 6 L CPT @ ")</f>
        <v xml:space="preserve">| 3 L NS @ | 6 L CPT @ </v>
      </c>
      <c r="CI5" s="15" t="str">
        <f ca="1">IFERROR(__xludf.DUMMYFUNCTION("""COMPUTED_VALUE"""),"| 1 L INE @ ")</f>
        <v xml:space="preserve">| 1 L INE @ </v>
      </c>
      <c r="CJ5" s="15" t="str">
        <f ca="1">IFERROR(__xludf.DUMMYFUNCTION("""COMPUTED_VALUE"""),"| 3 P CPT % ")</f>
        <v xml:space="preserve">| 3 P CPT % </v>
      </c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</row>
    <row r="6" spans="1:103" ht="12.5" x14ac:dyDescent="0.25">
      <c r="A6" s="3">
        <f ca="1">IFERROR(__xludf.DUMMYFUNCTION("""COMPUTED_VALUE"""),1)</f>
        <v>1</v>
      </c>
      <c r="B6" s="3" t="str">
        <f ca="1">IFERROR(__xludf.DUMMYFUNCTION("""COMPUTED_VALUE"""),"A")</f>
        <v>A</v>
      </c>
      <c r="C6" s="32" t="str">
        <f ca="1">IFERROR(__xludf.DUMMYFUNCTION("""COMPUTED_VALUE"""),"23291341006")</f>
        <v>23291341006</v>
      </c>
      <c r="D6" s="21" t="str">
        <f ca="1">IFERROR(__xludf.DUMMYFUNCTION("""COMPUTED_VALUE"""),"BAROT KRISH RAJESHKUMAR")</f>
        <v>BAROT KRISH RAJESHKUMAR</v>
      </c>
      <c r="E6" s="3" t="str">
        <f ca="1">IFERROR(__xludf.DUMMYFUNCTION("""COMPUTED_VALUE"""),"RRP-Mor")</f>
        <v>RRP-Mor</v>
      </c>
      <c r="F6" s="3">
        <f ca="1">IFERROR(__xludf.DUMMYFUNCTION("""COMPUTED_VALUE"""),8849949948)</f>
        <v>8849949948</v>
      </c>
      <c r="G6" s="3">
        <f ca="1">IFERROR(__xludf.DUMMYFUNCTION("""COMPUTED_VALUE"""),9265006014)</f>
        <v>9265006014</v>
      </c>
      <c r="H6" s="33">
        <f ca="1">IFERROR(__xludf.DUMMYFUNCTION("""COMPUTED_VALUE"""),0.727272727272727)</f>
        <v>0.72727272727272696</v>
      </c>
      <c r="I6" s="25">
        <f ca="1">IFERROR(__xludf.DUMMYFUNCTION("""COMPUTED_VALUE"""),0.666666666666666)</f>
        <v>0.66666666666666596</v>
      </c>
      <c r="J6" s="25">
        <f ca="1">IFERROR(__xludf.DUMMYFUNCTION("""COMPUTED_VALUE"""),0.916666666666666)</f>
        <v>0.91666666666666596</v>
      </c>
      <c r="K6" s="25">
        <f ca="1">IFERROR(__xludf.DUMMYFUNCTION("""COMPUTED_VALUE"""),0.647058823529411)</f>
        <v>0.64705882352941102</v>
      </c>
      <c r="L6" s="25">
        <f ca="1">IFERROR(__xludf.DUMMYFUNCTION("""COMPUTED_VALUE"""),0.846153846153846)</f>
        <v>0.84615384615384603</v>
      </c>
      <c r="M6" s="25">
        <f ca="1">IFERROR(__xludf.DUMMYFUNCTION("""COMPUTED_VALUE"""),0.777777777777777)</f>
        <v>0.77777777777777701</v>
      </c>
      <c r="N6" s="25">
        <f ca="1">IFERROR(__xludf.DUMMYFUNCTION("""COMPUTED_VALUE"""),0.6)</f>
        <v>0.6</v>
      </c>
      <c r="O6" s="25">
        <f ca="1">IFERROR(__xludf.DUMMYFUNCTION("""COMPUTED_VALUE"""),0.757575757575757)</f>
        <v>0.75757575757575701</v>
      </c>
      <c r="P6" s="25">
        <f ca="1">IFERROR(__xludf.DUMMYFUNCTION("""COMPUTED_VALUE"""),0.652173913043478)</f>
        <v>0.65217391304347805</v>
      </c>
      <c r="Q6" s="25">
        <f ca="1">IFERROR(__xludf.DUMMYFUNCTION("""COMPUTED_VALUE"""),0)</f>
        <v>0</v>
      </c>
      <c r="R6" s="25">
        <f ca="1">IFERROR(__xludf.DUMMYFUNCTION("""COMPUTED_VALUE"""),0.818181818181818)</f>
        <v>0.81818181818181801</v>
      </c>
      <c r="S6" s="25">
        <f ca="1">IFERROR(__xludf.DUMMYFUNCTION("""COMPUTED_VALUE"""),0.9)</f>
        <v>0.9</v>
      </c>
      <c r="T6" s="25">
        <f ca="1">IFERROR(__xludf.DUMMYFUNCTION("""COMPUTED_VALUE"""),1)</f>
        <v>1</v>
      </c>
      <c r="U6" s="25">
        <f ca="1">IFERROR(__xludf.DUMMYFUNCTION("""COMPUTED_VALUE"""),0.454545454545454)</f>
        <v>0.45454545454545398</v>
      </c>
      <c r="V6" s="25">
        <f ca="1">IFERROR(__xludf.DUMMYFUNCTION("""COMPUTED_VALUE"""),0)</f>
        <v>0</v>
      </c>
      <c r="W6" s="4"/>
      <c r="X6" s="4" t="str">
        <f ca="1">IFERROR(__xludf.DUMMYFUNCTION("""COMPUTED_VALUE"""),"| 1 L PHP-CGM % | 3 P NS % | 5 P JAVA % ")</f>
        <v xml:space="preserve">| 1 L PHP-CGM % | 3 P NS % | 5 P JAVA % </v>
      </c>
      <c r="Y6" s="4" t="str">
        <f ca="1">IFERROR(__xludf.DUMMYFUNCTION("""COMPUTED_VALUE"""),"| 1 P Python % | 3 L JAVA % | 4 L CPT % | 5 P JAVA % ")</f>
        <v xml:space="preserve">| 1 P Python % | 3 L JAVA % | 4 L CPT % | 5 P JAVA % </v>
      </c>
      <c r="Z6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A6" s="4" t="str">
        <f ca="1">IFERROR(__xludf.DUMMYFUNCTION("""COMPUTED_VALUE"""),"| 3 L PHP-CGM % | 4 L NS @ | 1 L INE % | 5 P PRO % ")</f>
        <v xml:space="preserve">| 3 L PHP-CGM % | 4 L NS @ | 1 L INE % | 5 P PRO % </v>
      </c>
      <c r="AB6" s="4" t="str">
        <f ca="1">IFERROR(__xludf.DUMMYFUNCTION("""COMPUTED_VALUE"""),"| 1 L CPT % | 2 L NS % | 3 P CPT % | 5 P Python % ")</f>
        <v xml:space="preserve">| 1 L CPT % | 2 L NS % | 3 P CPT % | 5 P Python % </v>
      </c>
      <c r="AC6" s="4" t="str">
        <f ca="1">IFERROR(__xludf.DUMMYFUNCTION("""COMPUTED_VALUE"""),"| 1 L PHP-CGM % | 2 L JAVA % | 3 P NS % | 5 P JAVA % ")</f>
        <v xml:space="preserve">| 1 L PHP-CGM % | 2 L JAVA % | 3 P NS % | 5 P JAVA % </v>
      </c>
      <c r="AD6" s="4" t="str">
        <f ca="1">IFERROR(__xludf.DUMMYFUNCTION("""COMPUTED_VALUE"""),"| 1 P Python % | 3 L JAVA % | 4 L CPT % | 5 P JAVA @ ")</f>
        <v xml:space="preserve">| 1 P Python % | 3 L JAVA % | 4 L CPT % | 5 P JAVA @ </v>
      </c>
      <c r="AE6" s="4" t="str">
        <f ca="1">IFERROR(__xludf.DUMMYFUNCTION("""COMPUTED_VALUE"""),"| 1 P PHP-CGM % | 4 L JAVA % | 3 L NS % | 5 L PHP-CGM @ | 6 L CPT @ ")</f>
        <v xml:space="preserve">| 1 P PHP-CGM % | 4 L JAVA % | 3 L NS % | 5 L PHP-CGM @ | 6 L CPT @ </v>
      </c>
      <c r="AF6" s="4" t="str">
        <f ca="1">IFERROR(__xludf.DUMMYFUNCTION("""COMPUTED_VALUE"""),"| 3 L PHP-CGM % | 4 L NS % | 5 P PRO % ")</f>
        <v xml:space="preserve">| 3 L PHP-CGM % | 4 L NS % | 5 P PRO % </v>
      </c>
      <c r="AG6" s="4" t="str">
        <f ca="1">IFERROR(__xludf.DUMMYFUNCTION("""COMPUTED_VALUE"""),"| 1 L CPT @ | 2 L NS @ | 3 P CPT % | 5 P Python % ")</f>
        <v xml:space="preserve">| 1 L CPT @ | 2 L NS @ | 3 P CPT % | 5 P Python % </v>
      </c>
      <c r="AH6" s="4" t="str">
        <f ca="1">IFERROR(__xludf.DUMMYFUNCTION("""COMPUTED_VALUE"""),"| 3 L PHP-CGM % | 4 L NS % | 5 L PRO % ")</f>
        <v xml:space="preserve">| 3 L PHP-CGM % | 4 L NS % | 5 L PRO % </v>
      </c>
      <c r="AI6" s="4" t="str">
        <f ca="1">IFERROR(__xludf.DUMMYFUNCTION("""COMPUTED_VALUE"""),"| 1 L CPT % | 2 L NS % | 3 P CPT % | 5 P Python % ")</f>
        <v xml:space="preserve">| 1 L CPT % | 2 L NS % | 3 P CPT % | 5 P Python % </v>
      </c>
      <c r="AJ6" s="4" t="str">
        <f ca="1">IFERROR(__xludf.DUMMYFUNCTION("""COMPUTED_VALUE"""),"| 1 L PHP-CGM @ | 2 L JAVA @ | 3 P NS % | 5 P JAVA % ")</f>
        <v xml:space="preserve">| 1 L PHP-CGM @ | 2 L JAVA @ | 3 P NS % | 5 P JAVA % </v>
      </c>
      <c r="AK6" s="4" t="str">
        <f ca="1">IFERROR(__xludf.DUMMYFUNCTION("""COMPUTED_VALUE"""),"| 1 P Python @ | 3 L JAVA % | 4 L CPT % | 5 P JAVA % ")</f>
        <v xml:space="preserve">| 1 P Python @ | 3 L JAVA % | 4 L CPT % | 5 P JAVA % </v>
      </c>
      <c r="AL6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M6" s="4" t="str">
        <f ca="1">IFERROR(__xludf.DUMMYFUNCTION("""COMPUTED_VALUE"""),"| 1 L INE @ | 4 L NS % | 3 L PHP-CGM % | 5 L PRO % ")</f>
        <v xml:space="preserve">| 1 L INE @ | 4 L NS % | 3 L PHP-CGM % | 5 L PRO % </v>
      </c>
      <c r="AN6" s="4" t="str">
        <f ca="1">IFERROR(__xludf.DUMMYFUNCTION("""COMPUTED_VALUE"""),"| 1 L CPT @ | 2 L NS @ | 3 P CPT % | 5 P Python % ")</f>
        <v xml:space="preserve">| 1 L CPT @ | 2 L NS @ | 3 P CPT % | 5 P Python % </v>
      </c>
      <c r="AO6" s="4" t="str">
        <f ca="1">IFERROR(__xludf.DUMMYFUNCTION("""COMPUTED_VALUE"""),"| 1 L PHP-CGM % | 2 L JAVA % | 3 P NS % | 5 P JAVA % ")</f>
        <v xml:space="preserve">| 1 L PHP-CGM % | 2 L JAVA % | 3 P NS % | 5 P JAVA % </v>
      </c>
      <c r="AP6" s="4" t="str">
        <f ca="1">IFERROR(__xludf.DUMMYFUNCTION("""COMPUTED_VALUE"""),"| 1 P Python % | 3 L JAVA % | 4 L CPT % | 5 P JAVA % ")</f>
        <v xml:space="preserve">| 1 P Python % | 3 L JAVA % | 4 L CPT % | 5 P JAVA % </v>
      </c>
      <c r="AQ6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6" s="4" t="str">
        <f ca="1">IFERROR(__xludf.DUMMYFUNCTION("""COMPUTED_VALUE"""),"| 1 L INE @ | 3 L PHP-CGM % | 4 L NS % | 5 L PRO % ")</f>
        <v xml:space="preserve">| 1 L INE @ | 3 L PHP-CGM % | 4 L NS % | 5 L PRO % </v>
      </c>
      <c r="AS6" s="4" t="str">
        <f ca="1">IFERROR(__xludf.DUMMYFUNCTION("""COMPUTED_VALUE"""),"| 1 L PHP-CGM % | 2 L JAVA % | 3 P NS % | 5 P JAVA @ ")</f>
        <v xml:space="preserve">| 1 L PHP-CGM % | 2 L JAVA % | 3 P NS % | 5 P JAVA @ </v>
      </c>
      <c r="AT6" s="4" t="str">
        <f ca="1">IFERROR(__xludf.DUMMYFUNCTION("""COMPUTED_VALUE"""),"| 1 P Python % | 3 L JAVA % | 4 L CPT % | 5 P JAVA % ")</f>
        <v xml:space="preserve">| 1 P Python % | 3 L JAVA % | 4 L CPT % | 5 P JAVA % </v>
      </c>
      <c r="AU6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V6" s="4" t="str">
        <f ca="1">IFERROR(__xludf.DUMMYFUNCTION("""COMPUTED_VALUE"""),"| 1 L INE @ | 3 L PHP-CGM % | 4 L NS % | 7 L PRO % ")</f>
        <v xml:space="preserve">| 1 L INE @ | 3 L PHP-CGM % | 4 L NS % | 7 L PRO % </v>
      </c>
      <c r="AW6" s="4" t="str">
        <f ca="1">IFERROR(__xludf.DUMMYFUNCTION("""COMPUTED_VALUE"""),"| 1 L CPT % | 2 L NS % | 3 P CPT % | 5 P Python % ")</f>
        <v xml:space="preserve">| 1 L CPT % | 2 L NS % | 3 P CPT % | 5 P Python % </v>
      </c>
      <c r="AX6" s="4" t="str">
        <f ca="1">IFERROR(__xludf.DUMMYFUNCTION("""COMPUTED_VALUE"""),"| 1 L PHP-CGM @ | 2 L JAVA @ | 3 P NS % | 5 P JAVA % ")</f>
        <v xml:space="preserve">| 1 L PHP-CGM @ | 2 L JAVA @ | 3 P NS % | 5 P JAVA % </v>
      </c>
      <c r="AY6" s="4" t="str">
        <f ca="1">IFERROR(__xludf.DUMMYFUNCTION("""COMPUTED_VALUE"""),"| 1 P Python % | 3 L JAVA % | 4 L CPT % | 5 P JAVA % ")</f>
        <v xml:space="preserve">| 1 P Python % | 3 L JAVA % | 4 L CPT % | 5 P JAVA % </v>
      </c>
      <c r="AZ6" s="4" t="str">
        <f ca="1">IFERROR(__xludf.DUMMYFUNCTION("""COMPUTED_VALUE"""),"| 1 L INE % | 3 L PHP-CGM % | 4 L NS % | 5 L PRO % ")</f>
        <v xml:space="preserve">| 1 L INE % | 3 L PHP-CGM % | 4 L NS % | 5 L PRO % </v>
      </c>
      <c r="BA6" s="4" t="str">
        <f ca="1">IFERROR(__xludf.DUMMYFUNCTION("""COMPUTED_VALUE"""),"| 1 L CPT @ | 2 L NS @ | 3 P CPT % | 5 P Python % ")</f>
        <v xml:space="preserve">| 1 L CPT @ | 2 L NS @ | 3 P CPT % | 5 P Python % </v>
      </c>
      <c r="BB6" s="4" t="str">
        <f ca="1">IFERROR(__xludf.DUMMYFUNCTION("""COMPUTED_VALUE"""),"| 1 L PHP-CGM % | 2 L JAVA % | 3 P NS % | 5 P JAVA % ")</f>
        <v xml:space="preserve">| 1 L PHP-CGM % | 2 L JAVA % | 3 P NS % | 5 P JAVA % </v>
      </c>
      <c r="BC6" s="4" t="str">
        <f ca="1">IFERROR(__xludf.DUMMYFUNCTION("""COMPUTED_VALUE"""),"| 1 P Python % | 3 L JAVA % | 4 L CPT % | 5 P JAVA % ")</f>
        <v xml:space="preserve">| 1 P Python % | 3 L JAVA % | 4 L CPT % | 5 P JAVA % </v>
      </c>
      <c r="BD6" s="4" t="str">
        <f ca="1">IFERROR(__xludf.DUMMYFUNCTION("""COMPUTED_VALUE"""),"| 1 P PHP-CGM % | 3 L NS @ | 6 L CPT % | 5 L PHP-CGM % | 4 L JAVA @ ")</f>
        <v xml:space="preserve">| 1 P PHP-CGM % | 3 L NS @ | 6 L CPT % | 5 L PHP-CGM % | 4 L JAVA @ </v>
      </c>
      <c r="BE6" s="4" t="str">
        <f ca="1">IFERROR(__xludf.DUMMYFUNCTION("""COMPUTED_VALUE"""),"| 1 L INE @ | 3 L PHP-CGM % | 4 L NS % | 5 L PRO % ")</f>
        <v xml:space="preserve">| 1 L INE @ | 3 L PHP-CGM % | 4 L NS % | 5 L PRO % </v>
      </c>
      <c r="BF6" s="4" t="str">
        <f ca="1">IFERROR(__xludf.DUMMYFUNCTION("""COMPUTED_VALUE"""),"| 1 L CPT @ | 2 L NS @ | 3 P CPT @ | 5 P JAVA @ ")</f>
        <v xml:space="preserve">| 1 L CPT @ | 2 L NS @ | 3 P CPT @ | 5 P JAVA @ </v>
      </c>
      <c r="BG6" s="4" t="str">
        <f ca="1">IFERROR(__xludf.DUMMYFUNCTION("""COMPUTED_VALUE"""),"| 1 P Python % | 4 L CPT % | 5 P JAVA @ ")</f>
        <v xml:space="preserve">| 1 P Python % | 4 L CPT % | 5 P JAVA @ </v>
      </c>
      <c r="BH6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I6" s="4" t="str">
        <f ca="1">IFERROR(__xludf.DUMMYFUNCTION("""COMPUTED_VALUE"""),"| 1 L INE @ | 3 L PHP-CGM % | 4 L NS % | 5 L PRO % ")</f>
        <v xml:space="preserve">| 1 L INE @ | 3 L PHP-CGM % | 4 L NS % | 5 L PRO % </v>
      </c>
      <c r="BJ6" s="4" t="str">
        <f ca="1">IFERROR(__xludf.DUMMYFUNCTION("""COMPUTED_VALUE"""),"| 1 L CPT % | 2 L NS % | 3 P CPT % | 5 P Python @ ")</f>
        <v xml:space="preserve">| 1 L CPT % | 2 L NS % | 3 P CPT % | 5 P Python @ </v>
      </c>
      <c r="BK6" s="4" t="str">
        <f ca="1">IFERROR(__xludf.DUMMYFUNCTION("""COMPUTED_VALUE"""),"| 1 L PHP-CGM @ | 2 L JAVA @ | 3 P NS @ | 5 P JAVA @ ")</f>
        <v xml:space="preserve">| 1 L PHP-CGM @ | 2 L JAVA @ | 3 P NS @ | 5 P JAVA @ </v>
      </c>
      <c r="BL6" s="4" t="str">
        <f ca="1">IFERROR(__xludf.DUMMYFUNCTION("""COMPUTED_VALUE"""),"| 1 P Python % | 3 L JAVA @ | 4 L CPT @ | 5 P JAVA @ ")</f>
        <v xml:space="preserve">| 1 P Python % | 3 L JAVA @ | 4 L CPT @ | 5 P JAVA @ </v>
      </c>
      <c r="BM6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6" s="4" t="str">
        <f ca="1">IFERROR(__xludf.DUMMYFUNCTION("""COMPUTED_VALUE"""),"| 1 L INE % | 3 L PHP-CGM @ | 4 L NS @ | 5 L PRO @ ")</f>
        <v xml:space="preserve">| 1 L INE % | 3 L PHP-CGM @ | 4 L NS @ | 5 L PRO @ </v>
      </c>
      <c r="BO6" s="4" t="str">
        <f ca="1">IFERROR(__xludf.DUMMYFUNCTION("""COMPUTED_VALUE"""),"| 1 L CPT @ | 2 L NS @ | 3 P CPT % ")</f>
        <v xml:space="preserve">| 1 L CPT @ | 2 L NS @ | 3 P CPT % </v>
      </c>
      <c r="BP6" s="4" t="str">
        <f ca="1">IFERROR(__xludf.DUMMYFUNCTION("""COMPUTED_VALUE"""),"| 1 L PHP-CGM % | 2 L JAVA % | 3 P NS % | 5 P JAVA @ ")</f>
        <v xml:space="preserve">| 1 L PHP-CGM % | 2 L JAVA % | 3 P NS % | 5 P JAVA @ </v>
      </c>
      <c r="BQ6" s="4" t="str">
        <f ca="1">IFERROR(__xludf.DUMMYFUNCTION("""COMPUTED_VALUE"""),"| 5 L PHP-CGM % | 6 L CPT @ ")</f>
        <v xml:space="preserve">| 5 L PHP-CGM % | 6 L CPT @ </v>
      </c>
      <c r="BR6" s="4"/>
      <c r="BS6" s="4"/>
      <c r="BT6" s="4" t="str">
        <f ca="1">IFERROR(__xludf.DUMMYFUNCTION("""COMPUTED_VALUE"""),"| 1 L PHP-CGM % | 2 L JAVA % | 3 P NS % ")</f>
        <v xml:space="preserve">| 1 L PHP-CGM % | 2 L JAVA % | 3 P NS % </v>
      </c>
      <c r="BU6" s="4" t="str">
        <f ca="1">IFERROR(__xludf.DUMMYFUNCTION("""COMPUTED_VALUE"""),"| 1 P Python @ | 4 L CPT % | 3 L JAVA % ")</f>
        <v xml:space="preserve">| 1 P Python @ | 4 L CPT % | 3 L JAVA % </v>
      </c>
      <c r="BV6" s="4" t="str">
        <f ca="1">IFERROR(__xludf.DUMMYFUNCTION("""COMPUTED_VALUE"""),"| 1 L PHP-CGM @ | 2 L JAVA @ | 3 P NS @ | 5 P JAVA @ ")</f>
        <v xml:space="preserve">| 1 L PHP-CGM @ | 2 L JAVA @ | 3 P NS @ | 5 P JAVA @ </v>
      </c>
      <c r="BW6" s="4" t="str">
        <f ca="1">IFERROR(__xludf.DUMMYFUNCTION("""COMPUTED_VALUE"""),"| 1 P Python @ | 3 L JAVA % | 4 L CPT % ")</f>
        <v xml:space="preserve">| 1 P Python @ | 3 L JAVA % | 4 L CPT % </v>
      </c>
      <c r="BX6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BY6" s="4" t="str">
        <f ca="1">IFERROR(__xludf.DUMMYFUNCTION("""COMPUTED_VALUE"""),"| 1 L INE % | 3 L PHP-CGM % | 4 L NS % | 5 L PRO % ")</f>
        <v xml:space="preserve">| 1 L INE % | 3 L PHP-CGM % | 4 L NS % | 5 L PRO % </v>
      </c>
      <c r="BZ6" s="4" t="str">
        <f ca="1">IFERROR(__xludf.DUMMYFUNCTION("""COMPUTED_VALUE"""),"| 1 L CPT % | 2 L NS % | 3 P CPT % | 5 P Python % ")</f>
        <v xml:space="preserve">| 1 L CPT % | 2 L NS % | 3 P CPT % | 5 P Python % </v>
      </c>
      <c r="CA6" s="4" t="str">
        <f ca="1">IFERROR(__xludf.DUMMYFUNCTION("""COMPUTED_VALUE"""),"| 1 L PHP-CGM % | 2 L JAVA % | 3 P NS % | 5 P JAVA % ")</f>
        <v xml:space="preserve">| 1 L PHP-CGM % | 2 L JAVA % | 3 P NS % | 5 P JAVA % </v>
      </c>
      <c r="CB6" s="4" t="str">
        <f ca="1">IFERROR(__xludf.DUMMYFUNCTION("""COMPUTED_VALUE"""),"| 1 P Python % | 3 L JAVA % | 4 L CPT % | 5 P JAVA % ")</f>
        <v xml:space="preserve">| 1 P Python % | 3 L JAVA % | 4 L CPT % | 5 P JAVA % </v>
      </c>
      <c r="CC6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6" s="4" t="str">
        <f ca="1">IFERROR(__xludf.DUMMYFUNCTION("""COMPUTED_VALUE"""),"| 1 L INE % | 3 L PHP-CGM % | 4 L NS @ | 5 L PRO % ")</f>
        <v xml:space="preserve">| 1 L INE % | 3 L PHP-CGM % | 4 L NS @ | 5 L PRO % </v>
      </c>
      <c r="CE6" s="4" t="str">
        <f ca="1">IFERROR(__xludf.DUMMYFUNCTION("""COMPUTED_VALUE"""),"| 1 L CPT % | 2 L NS % | 3 P CPT % | 5 P Python % ")</f>
        <v xml:space="preserve">| 1 L CPT % | 2 L NS % | 3 P CPT % | 5 P Python % </v>
      </c>
      <c r="CF6" s="4" t="str">
        <f ca="1">IFERROR(__xludf.DUMMYFUNCTION("""COMPUTED_VALUE"""),"| 1 L PHP-CGM % | 2 L JAVA % | 3 P NS % ")</f>
        <v xml:space="preserve">| 1 L PHP-CGM % | 2 L JAVA % | 3 P NS % </v>
      </c>
      <c r="CG6" s="4" t="str">
        <f ca="1">IFERROR(__xludf.DUMMYFUNCTION("""COMPUTED_VALUE"""),"| 1 P Python % | 4 L CPT @ | 5 P JAVA % ")</f>
        <v xml:space="preserve">| 1 P Python % | 4 L CPT @ | 5 P JAVA % </v>
      </c>
      <c r="CH6" s="4" t="str">
        <f ca="1">IFERROR(__xludf.DUMMYFUNCTION("""COMPUTED_VALUE"""),"| 3 L NS @ | 6 L CPT @ ")</f>
        <v xml:space="preserve">| 3 L NS @ | 6 L CPT @ </v>
      </c>
      <c r="CI6" s="4" t="str">
        <f ca="1">IFERROR(__xludf.DUMMYFUNCTION("""COMPUTED_VALUE"""),"| 1 L INE @ ")</f>
        <v xml:space="preserve">| 1 L INE @ </v>
      </c>
      <c r="CJ6" s="4" t="str">
        <f ca="1">IFERROR(__xludf.DUMMYFUNCTION("""COMPUTED_VALUE"""),"| 3 P CPT % ")</f>
        <v xml:space="preserve">| 3 P CPT % </v>
      </c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:103" ht="12.5" x14ac:dyDescent="0.25">
      <c r="A7" s="3">
        <f ca="1">IFERROR(__xludf.DUMMYFUNCTION("""COMPUTED_VALUE"""),1)</f>
        <v>1</v>
      </c>
      <c r="B7" s="3" t="str">
        <f ca="1">IFERROR(__xludf.DUMMYFUNCTION("""COMPUTED_VALUE"""),"A")</f>
        <v>A</v>
      </c>
      <c r="C7" s="32" t="str">
        <f ca="1">IFERROR(__xludf.DUMMYFUNCTION("""COMPUTED_VALUE"""),"23291341007")</f>
        <v>23291341007</v>
      </c>
      <c r="D7" s="21" t="str">
        <f ca="1">IFERROR(__xludf.DUMMYFUNCTION("""COMPUTED_VALUE"""),"BAROT TANISHK BHUPENDRAKUMAR")</f>
        <v>BAROT TANISHK BHUPENDRAKUMAR</v>
      </c>
      <c r="E7" s="3" t="str">
        <f ca="1">IFERROR(__xludf.DUMMYFUNCTION("""COMPUTED_VALUE"""),"RRP-Mor")</f>
        <v>RRP-Mor</v>
      </c>
      <c r="F7" s="3">
        <f ca="1">IFERROR(__xludf.DUMMYFUNCTION("""COMPUTED_VALUE"""),8866405477)</f>
        <v>8866405477</v>
      </c>
      <c r="G7" s="3">
        <f ca="1">IFERROR(__xludf.DUMMYFUNCTION("""COMPUTED_VALUE"""),8780535477)</f>
        <v>8780535477</v>
      </c>
      <c r="H7" s="33">
        <f ca="1">IFERROR(__xludf.DUMMYFUNCTION("""COMPUTED_VALUE"""),0.520661157024793)</f>
        <v>0.52066115702479299</v>
      </c>
      <c r="I7" s="25">
        <f ca="1">IFERROR(__xludf.DUMMYFUNCTION("""COMPUTED_VALUE"""),0.583333333333333)</f>
        <v>0.58333333333333304</v>
      </c>
      <c r="J7" s="25">
        <f ca="1">IFERROR(__xludf.DUMMYFUNCTION("""COMPUTED_VALUE"""),0.333333333333333)</f>
        <v>0.33333333333333298</v>
      </c>
      <c r="K7" s="25">
        <f ca="1">IFERROR(__xludf.DUMMYFUNCTION("""COMPUTED_VALUE"""),0.617647058823529)</f>
        <v>0.61764705882352899</v>
      </c>
      <c r="L7" s="25">
        <f ca="1">IFERROR(__xludf.DUMMYFUNCTION("""COMPUTED_VALUE"""),0.538461538461538)</f>
        <v>0.53846153846153799</v>
      </c>
      <c r="M7" s="25">
        <f ca="1">IFERROR(__xludf.DUMMYFUNCTION("""COMPUTED_VALUE"""),0.583333333333333)</f>
        <v>0.58333333333333304</v>
      </c>
      <c r="N7" s="25">
        <f ca="1">IFERROR(__xludf.DUMMYFUNCTION("""COMPUTED_VALUE"""),0.4)</f>
        <v>0.4</v>
      </c>
      <c r="O7" s="25">
        <f ca="1">IFERROR(__xludf.DUMMYFUNCTION("""COMPUTED_VALUE"""),0.787878787878787)</f>
        <v>0.78787878787878696</v>
      </c>
      <c r="P7" s="25">
        <f ca="1">IFERROR(__xludf.DUMMYFUNCTION("""COMPUTED_VALUE"""),0.391304347826087)</f>
        <v>0.39130434782608697</v>
      </c>
      <c r="Q7" s="25">
        <f ca="1">IFERROR(__xludf.DUMMYFUNCTION("""COMPUTED_VALUE"""),0)</f>
        <v>0</v>
      </c>
      <c r="R7" s="25">
        <f ca="1">IFERROR(__xludf.DUMMYFUNCTION("""COMPUTED_VALUE"""),0.272727272727272)</f>
        <v>0.27272727272727199</v>
      </c>
      <c r="S7" s="25">
        <f ca="1">IFERROR(__xludf.DUMMYFUNCTION("""COMPUTED_VALUE"""),0.3)</f>
        <v>0.3</v>
      </c>
      <c r="T7" s="25">
        <f ca="1">IFERROR(__xludf.DUMMYFUNCTION("""COMPUTED_VALUE"""),0.5)</f>
        <v>0.5</v>
      </c>
      <c r="U7" s="25">
        <f ca="1">IFERROR(__xludf.DUMMYFUNCTION("""COMPUTED_VALUE"""),0.272727272727272)</f>
        <v>0.27272727272727199</v>
      </c>
      <c r="V7" s="25">
        <f ca="1">IFERROR(__xludf.DUMMYFUNCTION("""COMPUTED_VALUE"""),0)</f>
        <v>0</v>
      </c>
      <c r="W7" s="4"/>
      <c r="X7" s="4" t="str">
        <f ca="1">IFERROR(__xludf.DUMMYFUNCTION("""COMPUTED_VALUE"""),"| 1 L PHP-CGM @ | 3 P NS @ | 5 P JAVA @ ")</f>
        <v xml:space="preserve">| 1 L PHP-CGM @ | 3 P NS @ | 5 P JAVA @ </v>
      </c>
      <c r="Y7" s="4" t="str">
        <f ca="1">IFERROR(__xludf.DUMMYFUNCTION("""COMPUTED_VALUE"""),"| 1 P Python @ | 3 L JAVA @ | 4 L CPT @ | 5 P JAVA @ ")</f>
        <v xml:space="preserve">| 1 P Python @ | 3 L JAVA @ | 4 L CPT @ | 5 P JAVA @ </v>
      </c>
      <c r="Z7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7" s="4" t="str">
        <f ca="1">IFERROR(__xludf.DUMMYFUNCTION("""COMPUTED_VALUE"""),"| 3 L PHP-CGM @ | 4 L NS @ | 1 L INE @ | 5 P PRO @ ")</f>
        <v xml:space="preserve">| 3 L PHP-CGM @ | 4 L NS @ | 1 L INE @ | 5 P PRO @ </v>
      </c>
      <c r="AB7" s="4" t="str">
        <f ca="1">IFERROR(__xludf.DUMMYFUNCTION("""COMPUTED_VALUE"""),"| 1 L CPT % | 2 L NS @ | 3 P CPT @ | 5 P Python @ ")</f>
        <v xml:space="preserve">| 1 L CPT % | 2 L NS @ | 3 P CPT @ | 5 P Python @ </v>
      </c>
      <c r="AC7" s="4" t="str">
        <f ca="1">IFERROR(__xludf.DUMMYFUNCTION("""COMPUTED_VALUE"""),"| 1 L PHP-CGM % | 2 L JAVA % | 3 P NS % | 5 P JAVA @ ")</f>
        <v xml:space="preserve">| 1 L PHP-CGM % | 2 L JAVA % | 3 P NS % | 5 P JAVA @ </v>
      </c>
      <c r="AD7" s="4" t="str">
        <f ca="1">IFERROR(__xludf.DUMMYFUNCTION("""COMPUTED_VALUE"""),"| 1 P Python @ | 3 L JAVA % | 4 L CPT % | 5 P JAVA @ ")</f>
        <v xml:space="preserve">| 1 P Python @ | 3 L JAVA % | 4 L CPT % | 5 P JAVA @ </v>
      </c>
      <c r="AE7" s="4" t="str">
        <f ca="1">IFERROR(__xludf.DUMMYFUNCTION("""COMPUTED_VALUE"""),"| 1 P PHP-CGM @ | 4 L JAVA % | 3 L NS % | 5 L PHP-CGM % | 6 L CPT % ")</f>
        <v xml:space="preserve">| 1 P PHP-CGM @ | 4 L JAVA % | 3 L NS % | 5 L PHP-CGM % | 6 L CPT % </v>
      </c>
      <c r="AF7" s="4" t="str">
        <f ca="1">IFERROR(__xludf.DUMMYFUNCTION("""COMPUTED_VALUE"""),"| 3 L PHP-CGM % | 4 L NS % | 5 P PRO % ")</f>
        <v xml:space="preserve">| 3 L PHP-CGM % | 4 L NS % | 5 P PRO % </v>
      </c>
      <c r="AG7" s="4" t="str">
        <f ca="1">IFERROR(__xludf.DUMMYFUNCTION("""COMPUTED_VALUE"""),"| 1 L CPT % | 2 L NS % | 3 P CPT @ | 5 P Python @ ")</f>
        <v xml:space="preserve">| 1 L CPT % | 2 L NS % | 3 P CPT @ | 5 P Python @ </v>
      </c>
      <c r="AH7" s="4" t="str">
        <f ca="1">IFERROR(__xludf.DUMMYFUNCTION("""COMPUTED_VALUE"""),"| 3 L PHP-CGM % | 4 L NS % | 5 L PRO % ")</f>
        <v xml:space="preserve">| 3 L PHP-CGM % | 4 L NS % | 5 L PRO % </v>
      </c>
      <c r="AI7" s="4" t="str">
        <f ca="1">IFERROR(__xludf.DUMMYFUNCTION("""COMPUTED_VALUE"""),"| 1 L CPT @ | 2 L NS @ | 3 P CPT @ | 5 P Python @ ")</f>
        <v xml:space="preserve">| 1 L CPT @ | 2 L NS @ | 3 P CPT @ | 5 P Python @ </v>
      </c>
      <c r="AJ7" s="4" t="str">
        <f ca="1">IFERROR(__xludf.DUMMYFUNCTION("""COMPUTED_VALUE"""),"| 1 L PHP-CGM % | 2 L JAVA % | 3 P NS % | 5 P JAVA @ ")</f>
        <v xml:space="preserve">| 1 L PHP-CGM % | 2 L JAVA % | 3 P NS % | 5 P JAVA @ </v>
      </c>
      <c r="AK7" s="4" t="str">
        <f ca="1">IFERROR(__xludf.DUMMYFUNCTION("""COMPUTED_VALUE"""),"| 1 P Python @ | 3 L JAVA % | 4 L CPT % | 5 P JAVA % ")</f>
        <v xml:space="preserve">| 1 P Python @ | 3 L JAVA % | 4 L CPT % | 5 P JAVA % </v>
      </c>
      <c r="AL7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M7" s="4" t="str">
        <f ca="1">IFERROR(__xludf.DUMMYFUNCTION("""COMPUTED_VALUE"""),"| 1 L INE @ | 4 L NS % | 3 L PHP-CGM % | 5 L PRO @ ")</f>
        <v xml:space="preserve">| 1 L INE @ | 4 L NS % | 3 L PHP-CGM % | 5 L PRO @ </v>
      </c>
      <c r="AN7" s="4" t="str">
        <f ca="1">IFERROR(__xludf.DUMMYFUNCTION("""COMPUTED_VALUE"""),"| 1 L CPT % | 2 L NS % | 3 P CPT % | 5 P Python % ")</f>
        <v xml:space="preserve">| 1 L CPT % | 2 L NS % | 3 P CPT % | 5 P Python % </v>
      </c>
      <c r="AO7" s="4" t="str">
        <f ca="1">IFERROR(__xludf.DUMMYFUNCTION("""COMPUTED_VALUE"""),"| 1 L PHP-CGM % | 2 L JAVA % | 3 P NS % | 5 P JAVA % ")</f>
        <v xml:space="preserve">| 1 L PHP-CGM % | 2 L JAVA % | 3 P NS % | 5 P JAVA % </v>
      </c>
      <c r="AP7" s="4" t="str">
        <f ca="1">IFERROR(__xludf.DUMMYFUNCTION("""COMPUTED_VALUE"""),"| 1 P Python @ | 3 L JAVA % | 4 L CPT % | 5 P JAVA % ")</f>
        <v xml:space="preserve">| 1 P Python @ | 3 L JAVA % | 4 L CPT % | 5 P JAVA % </v>
      </c>
      <c r="AQ7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R7" s="4" t="str">
        <f ca="1">IFERROR(__xludf.DUMMYFUNCTION("""COMPUTED_VALUE"""),"| 1 L INE @ | 3 L PHP-CGM % | 4 L NS % | 5 L PRO % ")</f>
        <v xml:space="preserve">| 1 L INE @ | 3 L PHP-CGM % | 4 L NS % | 5 L PRO % </v>
      </c>
      <c r="AS7" s="4" t="str">
        <f ca="1">IFERROR(__xludf.DUMMYFUNCTION("""COMPUTED_VALUE"""),"| 1 L PHP-CGM @ | 2 L JAVA % | 3 P NS % | 5 P JAVA % ")</f>
        <v xml:space="preserve">| 1 L PHP-CGM @ | 2 L JAVA % | 3 P NS % | 5 P JAVA % </v>
      </c>
      <c r="AT7" s="4" t="str">
        <f ca="1">IFERROR(__xludf.DUMMYFUNCTION("""COMPUTED_VALUE"""),"| 1 P Python % | 3 L JAVA % | 4 L CPT % | 5 P JAVA @ ")</f>
        <v xml:space="preserve">| 1 P Python % | 3 L JAVA % | 4 L CPT % | 5 P JAVA @ </v>
      </c>
      <c r="AU7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7" s="4" t="str">
        <f ca="1">IFERROR(__xludf.DUMMYFUNCTION("""COMPUTED_VALUE"""),"| 1 L INE % | 3 L PHP-CGM % | 4 L NS % | 7 L PRO % ")</f>
        <v xml:space="preserve">| 1 L INE % | 3 L PHP-CGM % | 4 L NS % | 7 L PRO % </v>
      </c>
      <c r="AW7" s="4" t="str">
        <f ca="1">IFERROR(__xludf.DUMMYFUNCTION("""COMPUTED_VALUE"""),"| 1 L CPT @ | 2 L NS % | 3 P CPT @ | 5 P Python @ ")</f>
        <v xml:space="preserve">| 1 L CPT @ | 2 L NS % | 3 P CPT @ | 5 P Python @ </v>
      </c>
      <c r="AX7" s="4" t="str">
        <f ca="1">IFERROR(__xludf.DUMMYFUNCTION("""COMPUTED_VALUE"""),"| 1 L PHP-CGM @ | 2 L JAVA % | 3 P NS % | 5 P JAVA % ")</f>
        <v xml:space="preserve">| 1 L PHP-CGM @ | 2 L JAVA % | 3 P NS % | 5 P JAVA % </v>
      </c>
      <c r="AY7" s="4" t="str">
        <f ca="1">IFERROR(__xludf.DUMMYFUNCTION("""COMPUTED_VALUE"""),"| 1 P Python % | 3 L JAVA % | 4 L CPT % | 5 P JAVA % ")</f>
        <v xml:space="preserve">| 1 P Python % | 3 L JAVA % | 4 L CPT % | 5 P JAVA % </v>
      </c>
      <c r="AZ7" s="4" t="str">
        <f ca="1">IFERROR(__xludf.DUMMYFUNCTION("""COMPUTED_VALUE"""),"| 1 L INE @ | 3 L PHP-CGM @ | 4 L NS @ | 5 L PRO @ ")</f>
        <v xml:space="preserve">| 1 L INE @ | 3 L PHP-CGM @ | 4 L NS @ | 5 L PRO @ </v>
      </c>
      <c r="BA7" s="4" t="str">
        <f ca="1">IFERROR(__xludf.DUMMYFUNCTION("""COMPUTED_VALUE"""),"| 1 L CPT @ | 2 L NS @ | 3 P CPT @ | 5 P Python @ ")</f>
        <v xml:space="preserve">| 1 L CPT @ | 2 L NS @ | 3 P CPT @ | 5 P Python @ </v>
      </c>
      <c r="BB7" s="4" t="str">
        <f ca="1">IFERROR(__xludf.DUMMYFUNCTION("""COMPUTED_VALUE"""),"| 1 L PHP-CGM % | 2 L JAVA % | 3 P NS @ | 5 P JAVA % ")</f>
        <v xml:space="preserve">| 1 L PHP-CGM % | 2 L JAVA % | 3 P NS @ | 5 P JAVA % </v>
      </c>
      <c r="BC7" s="4" t="str">
        <f ca="1">IFERROR(__xludf.DUMMYFUNCTION("""COMPUTED_VALUE"""),"| 1 P Python % | 3 L JAVA % | 4 L CPT % | 5 P JAVA % ")</f>
        <v xml:space="preserve">| 1 P Python % | 3 L JAVA % | 4 L CPT % | 5 P JAVA % </v>
      </c>
      <c r="BD7" s="4" t="str">
        <f ca="1">IFERROR(__xludf.DUMMYFUNCTION("""COMPUTED_VALUE"""),"| 1 P PHP-CGM % | 3 L NS @ | 6 L CPT % | 5 L PHP-CGM % | 4 L JAVA % ")</f>
        <v xml:space="preserve">| 1 P PHP-CGM % | 3 L NS @ | 6 L CPT % | 5 L PHP-CGM % | 4 L JAVA % </v>
      </c>
      <c r="BE7" s="4" t="str">
        <f ca="1">IFERROR(__xludf.DUMMYFUNCTION("""COMPUTED_VALUE"""),"| 1 L INE @ | 3 L PHP-CGM @ | 4 L NS @ | 5 L PRO @ ")</f>
        <v xml:space="preserve">| 1 L INE @ | 3 L PHP-CGM @ | 4 L NS @ | 5 L PRO @ </v>
      </c>
      <c r="BF7" s="4" t="str">
        <f ca="1">IFERROR(__xludf.DUMMYFUNCTION("""COMPUTED_VALUE"""),"| 1 L CPT @ | 2 L NS @ | 3 P CPT @ | 5 P JAVA @ ")</f>
        <v xml:space="preserve">| 1 L CPT @ | 2 L NS @ | 3 P CPT @ | 5 P JAVA @ </v>
      </c>
      <c r="BG7" s="4" t="str">
        <f ca="1">IFERROR(__xludf.DUMMYFUNCTION("""COMPUTED_VALUE"""),"| 1 P Python % | 4 L CPT @ | 5 P JAVA @ ")</f>
        <v xml:space="preserve">| 1 P Python % | 4 L CPT @ | 5 P JAVA @ </v>
      </c>
      <c r="BH7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BI7" s="4" t="str">
        <f ca="1">IFERROR(__xludf.DUMMYFUNCTION("""COMPUTED_VALUE"""),"| 1 L INE @ | 3 L PHP-CGM % | 4 L NS % | 5 L PRO @ ")</f>
        <v xml:space="preserve">| 1 L INE @ | 3 L PHP-CGM % | 4 L NS % | 5 L PRO @ </v>
      </c>
      <c r="BJ7" s="4" t="str">
        <f ca="1">IFERROR(__xludf.DUMMYFUNCTION("""COMPUTED_VALUE"""),"| 1 L CPT % | 2 L NS % | 3 P CPT % | 5 P Python % ")</f>
        <v xml:space="preserve">| 1 L CPT % | 2 L NS % | 3 P CPT % | 5 P Python % </v>
      </c>
      <c r="BK7" s="4" t="str">
        <f ca="1">IFERROR(__xludf.DUMMYFUNCTION("""COMPUTED_VALUE"""),"| 1 L PHP-CGM % | 2 L JAVA % | 3 P NS @ | 5 P JAVA @ ")</f>
        <v xml:space="preserve">| 1 L PHP-CGM % | 2 L JAVA % | 3 P NS @ | 5 P JAVA @ </v>
      </c>
      <c r="BL7" s="4" t="str">
        <f ca="1">IFERROR(__xludf.DUMMYFUNCTION("""COMPUTED_VALUE"""),"| 1 P Python @ | 3 L JAVA @ | 4 L CPT @ | 5 P JAVA @ ")</f>
        <v xml:space="preserve">| 1 P Python @ | 3 L JAVA @ | 4 L CPT @ | 5 P JAVA @ </v>
      </c>
      <c r="BM7" s="4" t="str">
        <f ca="1">IFERROR(__xludf.DUMMYFUNCTION("""COMPUTED_VALUE"""),"| 1 P PHP-CGM @ | 3 L NS % | 4 L JAVA % | 5 L PHP-CGM @ | 6 L CPT @ ")</f>
        <v xml:space="preserve">| 1 P PHP-CGM @ | 3 L NS % | 4 L JAVA % | 5 L PHP-CGM @ | 6 L CPT @ </v>
      </c>
      <c r="BN7" s="4" t="str">
        <f ca="1">IFERROR(__xludf.DUMMYFUNCTION("""COMPUTED_VALUE"""),"| 1 L INE % | 3 L PHP-CGM @ | 4 L NS @ | 5 L PRO @ ")</f>
        <v xml:space="preserve">| 1 L INE % | 3 L PHP-CGM @ | 4 L NS @ | 5 L PRO @ </v>
      </c>
      <c r="BO7" s="4" t="str">
        <f ca="1">IFERROR(__xludf.DUMMYFUNCTION("""COMPUTED_VALUE"""),"| 1 L CPT @ | 2 L NS @ | 3 P CPT @ ")</f>
        <v xml:space="preserve">| 1 L CPT @ | 2 L NS @ | 3 P CPT @ </v>
      </c>
      <c r="BP7" s="4" t="str">
        <f ca="1">IFERROR(__xludf.DUMMYFUNCTION("""COMPUTED_VALUE"""),"| 1 L PHP-CGM @ | 2 L JAVA % | 3 P NS @ | 5 P JAVA @ ")</f>
        <v xml:space="preserve">| 1 L PHP-CGM @ | 2 L JAVA % | 3 P NS @ | 5 P JAVA @ </v>
      </c>
      <c r="BQ7" s="4" t="str">
        <f ca="1">IFERROR(__xludf.DUMMYFUNCTION("""COMPUTED_VALUE"""),"| 5 L PHP-CGM % | 6 L CPT % ")</f>
        <v xml:space="preserve">| 5 L PHP-CGM % | 6 L CPT % </v>
      </c>
      <c r="BR7" s="4"/>
      <c r="BS7" s="4"/>
      <c r="BT7" s="4" t="str">
        <f ca="1">IFERROR(__xludf.DUMMYFUNCTION("""COMPUTED_VALUE"""),"| 1 L PHP-CGM @ | 2 L JAVA @ | 3 P NS @ ")</f>
        <v xml:space="preserve">| 1 L PHP-CGM @ | 2 L JAVA @ | 3 P NS @ </v>
      </c>
      <c r="BU7" s="4" t="str">
        <f ca="1">IFERROR(__xludf.DUMMYFUNCTION("""COMPUTED_VALUE"""),"| 1 P Python @ | 4 L CPT @ | 3 L JAVA @ ")</f>
        <v xml:space="preserve">| 1 P Python @ | 4 L CPT @ | 3 L JAVA @ </v>
      </c>
      <c r="BV7" s="4" t="str">
        <f ca="1">IFERROR(__xludf.DUMMYFUNCTION("""COMPUTED_VALUE"""),"| 1 L PHP-CGM @ | 2 L JAVA @ | 3 P NS @ | 5 P JAVA @ ")</f>
        <v xml:space="preserve">| 1 L PHP-CGM @ | 2 L JAVA @ | 3 P NS @ | 5 P JAVA @ </v>
      </c>
      <c r="BW7" s="4" t="str">
        <f ca="1">IFERROR(__xludf.DUMMYFUNCTION("""COMPUTED_VALUE"""),"| 1 P Python @ | 3 L JAVA % | 4 L CPT % ")</f>
        <v xml:space="preserve">| 1 P Python @ | 3 L JAVA % | 4 L CPT % </v>
      </c>
      <c r="BX7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Y7" s="4" t="str">
        <f ca="1">IFERROR(__xludf.DUMMYFUNCTION("""COMPUTED_VALUE"""),"| 1 L INE @ | 3 L PHP-CGM % | 4 L NS % | 5 L PRO @ ")</f>
        <v xml:space="preserve">| 1 L INE @ | 3 L PHP-CGM % | 4 L NS % | 5 L PRO @ </v>
      </c>
      <c r="BZ7" s="4" t="str">
        <f ca="1">IFERROR(__xludf.DUMMYFUNCTION("""COMPUTED_VALUE"""),"| 1 L CPT @ | 2 L NS % | 3 P CPT % | 5 P Python @ ")</f>
        <v xml:space="preserve">| 1 L CPT @ | 2 L NS % | 3 P CPT % | 5 P Python @ </v>
      </c>
      <c r="CA7" s="4" t="str">
        <f ca="1">IFERROR(__xludf.DUMMYFUNCTION("""COMPUTED_VALUE"""),"| 1 L PHP-CGM @ | 2 L JAVA % | 3 P NS % | 5 P JAVA @ ")</f>
        <v xml:space="preserve">| 1 L PHP-CGM @ | 2 L JAVA % | 3 P NS % | 5 P JAVA @ </v>
      </c>
      <c r="CB7" s="4" t="str">
        <f ca="1">IFERROR(__xludf.DUMMYFUNCTION("""COMPUTED_VALUE"""),"| 1 P Python @ | 3 L JAVA % | 4 L CPT % | 5 P JAVA @ ")</f>
        <v xml:space="preserve">| 1 P Python @ | 3 L JAVA % | 4 L CPT % | 5 P JAVA @ </v>
      </c>
      <c r="CC7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7" s="4" t="str">
        <f ca="1">IFERROR(__xludf.DUMMYFUNCTION("""COMPUTED_VALUE"""),"| 1 L INE % | 3 L PHP-CGM % | 4 L NS % | 5 L PRO @ ")</f>
        <v xml:space="preserve">| 1 L INE % | 3 L PHP-CGM % | 4 L NS % | 5 L PRO @ </v>
      </c>
      <c r="CE7" s="4" t="str">
        <f ca="1">IFERROR(__xludf.DUMMYFUNCTION("""COMPUTED_VALUE"""),"| 1 L CPT @ | 2 L NS @ | 3 P CPT @ | 5 P Python @ ")</f>
        <v xml:space="preserve">| 1 L CPT @ | 2 L NS @ | 3 P CPT @ | 5 P Python @ </v>
      </c>
      <c r="CF7" s="4" t="str">
        <f ca="1">IFERROR(__xludf.DUMMYFUNCTION("""COMPUTED_VALUE"""),"| 1 L PHP-CGM @ | 2 L JAVA @ | 3 P NS % ")</f>
        <v xml:space="preserve">| 1 L PHP-CGM @ | 2 L JAVA @ | 3 P NS % </v>
      </c>
      <c r="CG7" s="4" t="str">
        <f ca="1">IFERROR(__xludf.DUMMYFUNCTION("""COMPUTED_VALUE"""),"| 1 P Python @ | 4 L CPT % | 5 P JAVA % ")</f>
        <v xml:space="preserve">| 1 P Python @ | 4 L CPT % | 5 P JAVA % </v>
      </c>
      <c r="CH7" s="4" t="str">
        <f ca="1">IFERROR(__xludf.DUMMYFUNCTION("""COMPUTED_VALUE"""),"| 3 L NS @ | 6 L CPT @ ")</f>
        <v xml:space="preserve">| 3 L NS @ | 6 L CPT @ </v>
      </c>
      <c r="CI7" s="4" t="str">
        <f ca="1">IFERROR(__xludf.DUMMYFUNCTION("""COMPUTED_VALUE"""),"| 1 L INE @ ")</f>
        <v xml:space="preserve">| 1 L INE @ </v>
      </c>
      <c r="CJ7" s="4" t="str">
        <f ca="1">IFERROR(__xludf.DUMMYFUNCTION("""COMPUTED_VALUE"""),"| 3 P CPT % ")</f>
        <v xml:space="preserve">| 3 P CPT % </v>
      </c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</row>
    <row r="8" spans="1:103" ht="12.5" x14ac:dyDescent="0.25">
      <c r="A8" s="3">
        <f ca="1">IFERROR(__xludf.DUMMYFUNCTION("""COMPUTED_VALUE"""),1)</f>
        <v>1</v>
      </c>
      <c r="B8" s="3" t="str">
        <f ca="1">IFERROR(__xludf.DUMMYFUNCTION("""COMPUTED_VALUE"""),"A")</f>
        <v>A</v>
      </c>
      <c r="C8" s="32" t="str">
        <f ca="1">IFERROR(__xludf.DUMMYFUNCTION("""COMPUTED_VALUE"""),"23291341012")</f>
        <v>23291341012</v>
      </c>
      <c r="D8" s="21" t="str">
        <f ca="1">IFERROR(__xludf.DUMMYFUNCTION("""COMPUTED_VALUE"""),"BHAVSAR URVIBEN ASHISHKUMAR")</f>
        <v>BHAVSAR URVIBEN ASHISHKUMAR</v>
      </c>
      <c r="E8" s="3" t="str">
        <f ca="1">IFERROR(__xludf.DUMMYFUNCTION("""COMPUTED_VALUE"""),"RRP-Mor")</f>
        <v>RRP-Mor</v>
      </c>
      <c r="F8" s="3">
        <f ca="1">IFERROR(__xludf.DUMMYFUNCTION("""COMPUTED_VALUE"""),9737212803)</f>
        <v>9737212803</v>
      </c>
      <c r="G8" s="3"/>
      <c r="H8" s="33">
        <f ca="1">IFERROR(__xludf.DUMMYFUNCTION("""COMPUTED_VALUE"""),0.677685950413223)</f>
        <v>0.67768595041322299</v>
      </c>
      <c r="I8" s="25">
        <f ca="1">IFERROR(__xludf.DUMMYFUNCTION("""COMPUTED_VALUE"""),0.583333333333333)</f>
        <v>0.58333333333333304</v>
      </c>
      <c r="J8" s="25">
        <f ca="1">IFERROR(__xludf.DUMMYFUNCTION("""COMPUTED_VALUE"""),0.833333333333333)</f>
        <v>0.83333333333333304</v>
      </c>
      <c r="K8" s="25">
        <f ca="1">IFERROR(__xludf.DUMMYFUNCTION("""COMPUTED_VALUE"""),0.705882352941176)</f>
        <v>0.70588235294117596</v>
      </c>
      <c r="L8" s="25">
        <f ca="1">IFERROR(__xludf.DUMMYFUNCTION("""COMPUTED_VALUE"""),0.769230769230769)</f>
        <v>0.76923076923076905</v>
      </c>
      <c r="M8" s="25">
        <f ca="1">IFERROR(__xludf.DUMMYFUNCTION("""COMPUTED_VALUE"""),0.638888888888888)</f>
        <v>0.63888888888888795</v>
      </c>
      <c r="N8" s="25">
        <f ca="1">IFERROR(__xludf.DUMMYFUNCTION("""COMPUTED_VALUE"""),0.7)</f>
        <v>0.7</v>
      </c>
      <c r="O8" s="25">
        <f ca="1">IFERROR(__xludf.DUMMYFUNCTION("""COMPUTED_VALUE"""),0.666666666666666)</f>
        <v>0.66666666666666596</v>
      </c>
      <c r="P8" s="25">
        <f ca="1">IFERROR(__xludf.DUMMYFUNCTION("""COMPUTED_VALUE"""),0.695652173913043)</f>
        <v>0.69565217391304301</v>
      </c>
      <c r="Q8" s="25">
        <f ca="1">IFERROR(__xludf.DUMMYFUNCTION("""COMPUTED_VALUE"""),0)</f>
        <v>0</v>
      </c>
      <c r="R8" s="25">
        <f ca="1">IFERROR(__xludf.DUMMYFUNCTION("""COMPUTED_VALUE"""),0.863636363636363)</f>
        <v>0.86363636363636298</v>
      </c>
      <c r="S8" s="25">
        <f ca="1">IFERROR(__xludf.DUMMYFUNCTION("""COMPUTED_VALUE"""),0.6)</f>
        <v>0.6</v>
      </c>
      <c r="T8" s="25">
        <f ca="1">IFERROR(__xludf.DUMMYFUNCTION("""COMPUTED_VALUE"""),0.5)</f>
        <v>0.5</v>
      </c>
      <c r="U8" s="25">
        <f ca="1">IFERROR(__xludf.DUMMYFUNCTION("""COMPUTED_VALUE"""),0.454545454545454)</f>
        <v>0.45454545454545398</v>
      </c>
      <c r="V8" s="25">
        <f ca="1">IFERROR(__xludf.DUMMYFUNCTION("""COMPUTED_VALUE"""),0)</f>
        <v>0</v>
      </c>
      <c r="W8" s="4"/>
      <c r="X8" s="4" t="str">
        <f ca="1">IFERROR(__xludf.DUMMYFUNCTION("""COMPUTED_VALUE"""),"| 1 L PHP-CGM % | 3 P NS % | 5 P JAVA % ")</f>
        <v xml:space="preserve">| 1 L PHP-CGM % | 3 P NS % | 5 P JAVA % </v>
      </c>
      <c r="Y8" s="4" t="str">
        <f ca="1">IFERROR(__xludf.DUMMYFUNCTION("""COMPUTED_VALUE"""),"| 1 P Python % | 3 L JAVA % | 4 L CPT % | 5 P JAVA % ")</f>
        <v xml:space="preserve">| 1 P Python % | 3 L JAVA % | 4 L CPT % | 5 P JAVA % </v>
      </c>
      <c r="Z8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8" s="4" t="str">
        <f ca="1">IFERROR(__xludf.DUMMYFUNCTION("""COMPUTED_VALUE"""),"| 3 L PHP-CGM % | 4 L NS % | 1 L INE % | 5 P PRO % ")</f>
        <v xml:space="preserve">| 3 L PHP-CGM % | 4 L NS % | 1 L INE % | 5 P PRO % </v>
      </c>
      <c r="AB8" s="4" t="str">
        <f ca="1">IFERROR(__xludf.DUMMYFUNCTION("""COMPUTED_VALUE"""),"| 1 L CPT % | 2 L NS % | 3 P CPT % | 5 P Python % ")</f>
        <v xml:space="preserve">| 1 L CPT % | 2 L NS % | 3 P CPT % | 5 P Python % </v>
      </c>
      <c r="AC8" s="4" t="str">
        <f ca="1">IFERROR(__xludf.DUMMYFUNCTION("""COMPUTED_VALUE"""),"| 1 L PHP-CGM % | 2 L JAVA % | 3 P NS % | 5 P JAVA % ")</f>
        <v xml:space="preserve">| 1 L PHP-CGM % | 2 L JAVA % | 3 P NS % | 5 P JAVA % </v>
      </c>
      <c r="AD8" s="4" t="str">
        <f ca="1">IFERROR(__xludf.DUMMYFUNCTION("""COMPUTED_VALUE"""),"| 1 P Python % | 3 L JAVA % | 4 L CPT % | 5 P JAVA % ")</f>
        <v xml:space="preserve">| 1 P Python % | 3 L JAVA % | 4 L CPT % | 5 P JAVA % </v>
      </c>
      <c r="AE8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8" s="4" t="str">
        <f ca="1">IFERROR(__xludf.DUMMYFUNCTION("""COMPUTED_VALUE"""),"| 3 L PHP-CGM @ | 4 L NS @ | 5 P PRO @ ")</f>
        <v xml:space="preserve">| 3 L PHP-CGM @ | 4 L NS @ | 5 P PRO @ </v>
      </c>
      <c r="AG8" s="4" t="str">
        <f ca="1">IFERROR(__xludf.DUMMYFUNCTION("""COMPUTED_VALUE"""),"| 1 L CPT % | 2 L NS % | 3 P CPT % | 5 P Python % ")</f>
        <v xml:space="preserve">| 1 L CPT % | 2 L NS % | 3 P CPT % | 5 P Python % </v>
      </c>
      <c r="AH8" s="4" t="str">
        <f ca="1">IFERROR(__xludf.DUMMYFUNCTION("""COMPUTED_VALUE"""),"| 3 L PHP-CGM % | 4 L NS @ | 5 L PRO % ")</f>
        <v xml:space="preserve">| 3 L PHP-CGM % | 4 L NS @ | 5 L PRO % </v>
      </c>
      <c r="AI8" s="4" t="str">
        <f ca="1">IFERROR(__xludf.DUMMYFUNCTION("""COMPUTED_VALUE"""),"| 1 L CPT % | 2 L NS % | 3 P CPT % | 5 P Python % ")</f>
        <v xml:space="preserve">| 1 L CPT % | 2 L NS % | 3 P CPT % | 5 P Python % </v>
      </c>
      <c r="AJ8" s="4" t="str">
        <f ca="1">IFERROR(__xludf.DUMMYFUNCTION("""COMPUTED_VALUE"""),"| 1 L PHP-CGM % | 2 L JAVA % | 3 P NS % | 5 P JAVA @ ")</f>
        <v xml:space="preserve">| 1 L PHP-CGM % | 2 L JAVA % | 3 P NS % | 5 P JAVA @ </v>
      </c>
      <c r="AK8" s="4" t="str">
        <f ca="1">IFERROR(__xludf.DUMMYFUNCTION("""COMPUTED_VALUE"""),"| 1 P Python % | 3 L JAVA % | 4 L CPT % | 5 P JAVA % ")</f>
        <v xml:space="preserve">| 1 P Python % | 3 L JAVA % | 4 L CPT % | 5 P JAVA % </v>
      </c>
      <c r="AL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8" s="4" t="str">
        <f ca="1">IFERROR(__xludf.DUMMYFUNCTION("""COMPUTED_VALUE"""),"| 1 L INE @ | 4 L NS % | 3 L PHP-CGM % | 5 L PRO % ")</f>
        <v xml:space="preserve">| 1 L INE @ | 4 L NS % | 3 L PHP-CGM % | 5 L PRO % </v>
      </c>
      <c r="AN8" s="4" t="str">
        <f ca="1">IFERROR(__xludf.DUMMYFUNCTION("""COMPUTED_VALUE"""),"| 1 L CPT @ | 2 L NS % | 3 P CPT % | 5 P Python % ")</f>
        <v xml:space="preserve">| 1 L CPT @ | 2 L NS % | 3 P CPT % | 5 P Python % </v>
      </c>
      <c r="AO8" s="4" t="str">
        <f ca="1">IFERROR(__xludf.DUMMYFUNCTION("""COMPUTED_VALUE"""),"| 1 L PHP-CGM % | 2 L JAVA % | 3 P NS % | 5 P JAVA % ")</f>
        <v xml:space="preserve">| 1 L PHP-CGM % | 2 L JAVA % | 3 P NS % | 5 P JAVA % </v>
      </c>
      <c r="AP8" s="4" t="str">
        <f ca="1">IFERROR(__xludf.DUMMYFUNCTION("""COMPUTED_VALUE"""),"| 1 P Python @ | 3 L JAVA @ | 4 L CPT @ | 5 P JAVA @ ")</f>
        <v xml:space="preserve">| 1 P Python @ | 3 L JAVA @ | 4 L CPT @ | 5 P JAVA @ </v>
      </c>
      <c r="AQ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8" s="4" t="str">
        <f ca="1">IFERROR(__xludf.DUMMYFUNCTION("""COMPUTED_VALUE"""),"| 1 L INE @ | 3 L PHP-CGM @ | 4 L NS @ | 5 L PRO @ ")</f>
        <v xml:space="preserve">| 1 L INE @ | 3 L PHP-CGM @ | 4 L NS @ | 5 L PRO @ </v>
      </c>
      <c r="AS8" s="4" t="str">
        <f ca="1">IFERROR(__xludf.DUMMYFUNCTION("""COMPUTED_VALUE"""),"| 1 L PHP-CGM @ | 2 L JAVA % | 3 P NS % | 5 P JAVA % ")</f>
        <v xml:space="preserve">| 1 L PHP-CGM @ | 2 L JAVA % | 3 P NS % | 5 P JAVA % </v>
      </c>
      <c r="AT8" s="4" t="str">
        <f ca="1">IFERROR(__xludf.DUMMYFUNCTION("""COMPUTED_VALUE"""),"| 1 P Python % | 3 L JAVA % | 4 L CPT % | 5 P JAVA % ")</f>
        <v xml:space="preserve">| 1 P Python % | 3 L JAVA % | 4 L CPT % | 5 P JAVA % </v>
      </c>
      <c r="AU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8" s="4" t="str">
        <f ca="1">IFERROR(__xludf.DUMMYFUNCTION("""COMPUTED_VALUE"""),"| 1 L INE % | 3 L PHP-CGM % | 4 L NS % | 7 L PRO % ")</f>
        <v xml:space="preserve">| 1 L INE % | 3 L PHP-CGM % | 4 L NS % | 7 L PRO % </v>
      </c>
      <c r="AW8" s="4" t="str">
        <f ca="1">IFERROR(__xludf.DUMMYFUNCTION("""COMPUTED_VALUE"""),"| 1 L CPT % | 2 L NS % | 3 P CPT % | 5 P Python % ")</f>
        <v xml:space="preserve">| 1 L CPT % | 2 L NS % | 3 P CPT % | 5 P Python % </v>
      </c>
      <c r="AX8" s="4" t="str">
        <f ca="1">IFERROR(__xludf.DUMMYFUNCTION("""COMPUTED_VALUE"""),"| 1 L PHP-CGM @ | 2 L JAVA @ | 3 P NS @ | 5 P JAVA @ ")</f>
        <v xml:space="preserve">| 1 L PHP-CGM @ | 2 L JAVA @ | 3 P NS @ | 5 P JAVA @ </v>
      </c>
      <c r="AY8" s="4" t="str">
        <f ca="1">IFERROR(__xludf.DUMMYFUNCTION("""COMPUTED_VALUE"""),"| 1 P Python % | 3 L JAVA % | 4 L CPT % | 5 P JAVA % ")</f>
        <v xml:space="preserve">| 1 P Python % | 3 L JAVA % | 4 L CPT % | 5 P JAVA % </v>
      </c>
      <c r="AZ8" s="4" t="str">
        <f ca="1">IFERROR(__xludf.DUMMYFUNCTION("""COMPUTED_VALUE"""),"| 1 L INE % | 3 L PHP-CGM % | 4 L NS % | 5 L PRO % ")</f>
        <v xml:space="preserve">| 1 L INE % | 3 L PHP-CGM % | 4 L NS % | 5 L PRO % </v>
      </c>
      <c r="BA8" s="4" t="str">
        <f ca="1">IFERROR(__xludf.DUMMYFUNCTION("""COMPUTED_VALUE"""),"| 1 L CPT @ | 2 L NS % | 3 P CPT % | 5 P Python % ")</f>
        <v xml:space="preserve">| 1 L CPT @ | 2 L NS % | 3 P CPT % | 5 P Python % </v>
      </c>
      <c r="BB8" s="4" t="str">
        <f ca="1">IFERROR(__xludf.DUMMYFUNCTION("""COMPUTED_VALUE"""),"| 1 L PHP-CGM @ | 2 L JAVA @ | 3 P NS % | 5 P JAVA % ")</f>
        <v xml:space="preserve">| 1 L PHP-CGM @ | 2 L JAVA @ | 3 P NS % | 5 P JAVA % </v>
      </c>
      <c r="BC8" s="4" t="str">
        <f ca="1">IFERROR(__xludf.DUMMYFUNCTION("""COMPUTED_VALUE"""),"| 1 P Python % | 3 L JAVA % | 4 L CPT % | 5 P JAVA @ ")</f>
        <v xml:space="preserve">| 1 P Python % | 3 L JAVA % | 4 L CPT % | 5 P JAVA @ </v>
      </c>
      <c r="BD8" s="4" t="str">
        <f ca="1">IFERROR(__xludf.DUMMYFUNCTION("""COMPUTED_VALUE"""),"| 1 P PHP-CGM % | 3 L NS % | 6 L CPT @ | 5 L PHP-CGM @ | 4 L JAVA @ ")</f>
        <v xml:space="preserve">| 1 P PHP-CGM % | 3 L NS % | 6 L CPT @ | 5 L PHP-CGM @ | 4 L JAVA @ </v>
      </c>
      <c r="BE8" s="4" t="str">
        <f ca="1">IFERROR(__xludf.DUMMYFUNCTION("""COMPUTED_VALUE"""),"| 1 L INE % | 3 L PHP-CGM % | 4 L NS % | 5 L PRO % ")</f>
        <v xml:space="preserve">| 1 L INE % | 3 L PHP-CGM % | 4 L NS % | 5 L PRO % </v>
      </c>
      <c r="BF8" s="4" t="str">
        <f ca="1">IFERROR(__xludf.DUMMYFUNCTION("""COMPUTED_VALUE"""),"| 1 L CPT % | 2 L NS % | 3 P CPT @ | 5 P JAVA @ ")</f>
        <v xml:space="preserve">| 1 L CPT % | 2 L NS % | 3 P CPT @ | 5 P JAVA @ </v>
      </c>
      <c r="BG8" s="4" t="str">
        <f ca="1">IFERROR(__xludf.DUMMYFUNCTION("""COMPUTED_VALUE"""),"| 1 P Python @ | 4 L CPT % | 5 P JAVA % ")</f>
        <v xml:space="preserve">| 1 P Python @ | 4 L CPT % | 5 P JAVA % </v>
      </c>
      <c r="BH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I8" s="4" t="str">
        <f ca="1">IFERROR(__xludf.DUMMYFUNCTION("""COMPUTED_VALUE"""),"| 1 L INE @ | 3 L PHP-CGM @ | 4 L NS @ | 5 L PRO @ ")</f>
        <v xml:space="preserve">| 1 L INE @ | 3 L PHP-CGM @ | 4 L NS @ | 5 L PRO @ </v>
      </c>
      <c r="BJ8" s="4" t="str">
        <f ca="1">IFERROR(__xludf.DUMMYFUNCTION("""COMPUTED_VALUE"""),"| 1 L CPT @ | 2 L NS % | 3 P CPT % | 5 P Python % ")</f>
        <v xml:space="preserve">| 1 L CPT @ | 2 L NS % | 3 P CPT % | 5 P Python % </v>
      </c>
      <c r="BK8" s="4" t="str">
        <f ca="1">IFERROR(__xludf.DUMMYFUNCTION("""COMPUTED_VALUE"""),"| 1 L PHP-CGM % | 2 L JAVA % | 3 P NS @ | 5 P JAVA @ ")</f>
        <v xml:space="preserve">| 1 L PHP-CGM % | 2 L JAVA % | 3 P NS @ | 5 P JAVA @ </v>
      </c>
      <c r="BL8" s="4" t="str">
        <f ca="1">IFERROR(__xludf.DUMMYFUNCTION("""COMPUTED_VALUE"""),"| 1 P Python % | 3 L JAVA @ | 4 L CPT @ | 5 P JAVA @ ")</f>
        <v xml:space="preserve">| 1 P Python % | 3 L JAVA @ | 4 L CPT @ | 5 P JAVA @ </v>
      </c>
      <c r="BM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N8" s="4" t="str">
        <f ca="1">IFERROR(__xludf.DUMMYFUNCTION("""COMPUTED_VALUE"""),"| 1 L INE @ | 3 L PHP-CGM @ | 4 L NS @ | 5 L PRO @ ")</f>
        <v xml:space="preserve">| 1 L INE @ | 3 L PHP-CGM @ | 4 L NS @ | 5 L PRO @ </v>
      </c>
      <c r="BO8" s="4" t="str">
        <f ca="1">IFERROR(__xludf.DUMMYFUNCTION("""COMPUTED_VALUE"""),"| 1 L CPT % | 2 L NS % | 3 P CPT @ ")</f>
        <v xml:space="preserve">| 1 L CPT % | 2 L NS % | 3 P CPT @ </v>
      </c>
      <c r="BP8" s="4" t="str">
        <f ca="1">IFERROR(__xludf.DUMMYFUNCTION("""COMPUTED_VALUE"""),"| 1 L PHP-CGM % | 2 L JAVA % | 3 P NS % | 5 P JAVA % ")</f>
        <v xml:space="preserve">| 1 L PHP-CGM % | 2 L JAVA % | 3 P NS % | 5 P JAVA % </v>
      </c>
      <c r="BQ8" s="4" t="str">
        <f ca="1">IFERROR(__xludf.DUMMYFUNCTION("""COMPUTED_VALUE"""),"| 5 L PHP-CGM % | 6 L CPT @ ")</f>
        <v xml:space="preserve">| 5 L PHP-CGM % | 6 L CPT @ </v>
      </c>
      <c r="BR8" s="4"/>
      <c r="BS8" s="4"/>
      <c r="BT8" s="4" t="str">
        <f ca="1">IFERROR(__xludf.DUMMYFUNCTION("""COMPUTED_VALUE"""),"| 1 L PHP-CGM % | 2 L JAVA % | 3 P NS % ")</f>
        <v xml:space="preserve">| 1 L PHP-CGM % | 2 L JAVA % | 3 P NS % </v>
      </c>
      <c r="BU8" s="4" t="str">
        <f ca="1">IFERROR(__xludf.DUMMYFUNCTION("""COMPUTED_VALUE"""),"| 1 P Python % | 4 L CPT @ | 3 L JAVA @ ")</f>
        <v xml:space="preserve">| 1 P Python % | 4 L CPT @ | 3 L JAVA @ </v>
      </c>
      <c r="BV8" s="4" t="str">
        <f ca="1">IFERROR(__xludf.DUMMYFUNCTION("""COMPUTED_VALUE"""),"| 1 L PHP-CGM @ | 2 L JAVA % | 3 P NS @ | 5 P JAVA % ")</f>
        <v xml:space="preserve">| 1 L PHP-CGM @ | 2 L JAVA % | 3 P NS @ | 5 P JAVA % </v>
      </c>
      <c r="BW8" s="4" t="str">
        <f ca="1">IFERROR(__xludf.DUMMYFUNCTION("""COMPUTED_VALUE"""),"| 1 P Python % | 3 L JAVA % | 4 L CPT % ")</f>
        <v xml:space="preserve">| 1 P Python % | 3 L JAVA % | 4 L CPT % </v>
      </c>
      <c r="BX8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8" s="4" t="str">
        <f ca="1">IFERROR(__xludf.DUMMYFUNCTION("""COMPUTED_VALUE"""),"| 1 L INE @ | 3 L PHP-CGM % | 4 L NS % | 5 L PRO @ ")</f>
        <v xml:space="preserve">| 1 L INE @ | 3 L PHP-CGM % | 4 L NS % | 5 L PRO @ </v>
      </c>
      <c r="BZ8" s="4" t="str">
        <f ca="1">IFERROR(__xludf.DUMMYFUNCTION("""COMPUTED_VALUE"""),"| 1 L CPT % | 2 L NS % | 3 P CPT % | 5 P Python % ")</f>
        <v xml:space="preserve">| 1 L CPT % | 2 L NS % | 3 P CPT % | 5 P Python % </v>
      </c>
      <c r="CA8" s="4" t="str">
        <f ca="1">IFERROR(__xludf.DUMMYFUNCTION("""COMPUTED_VALUE"""),"| 1 L PHP-CGM % | 2 L JAVA % | 3 P NS % | 5 P JAVA % ")</f>
        <v xml:space="preserve">| 1 L PHP-CGM % | 2 L JAVA % | 3 P NS % | 5 P JAVA % </v>
      </c>
      <c r="CB8" s="4" t="str">
        <f ca="1">IFERROR(__xludf.DUMMYFUNCTION("""COMPUTED_VALUE"""),"| 1 P Python % | 3 L JAVA @ | 4 L CPT @ | 5 P JAVA % ")</f>
        <v xml:space="preserve">| 1 P Python % | 3 L JAVA @ | 4 L CPT @ | 5 P JAVA % </v>
      </c>
      <c r="CC8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CD8" s="4" t="str">
        <f ca="1">IFERROR(__xludf.DUMMYFUNCTION("""COMPUTED_VALUE"""),"| 1 L INE % | 3 L PHP-CGM % | 4 L NS % | 5 L PRO % ")</f>
        <v xml:space="preserve">| 1 L INE % | 3 L PHP-CGM % | 4 L NS % | 5 L PRO % </v>
      </c>
      <c r="CE8" s="4" t="str">
        <f ca="1">IFERROR(__xludf.DUMMYFUNCTION("""COMPUTED_VALUE"""),"| 1 L CPT @ | 2 L NS @ | 3 P CPT % | 5 P Python @ ")</f>
        <v xml:space="preserve">| 1 L CPT @ | 2 L NS @ | 3 P CPT % | 5 P Python @ </v>
      </c>
      <c r="CF8" s="4" t="str">
        <f ca="1">IFERROR(__xludf.DUMMYFUNCTION("""COMPUTED_VALUE"""),"| 1 L PHP-CGM @ | 2 L JAVA @ | 3 P NS % ")</f>
        <v xml:space="preserve">| 1 L PHP-CGM @ | 2 L JAVA @ | 3 P NS % </v>
      </c>
      <c r="CG8" s="4" t="str">
        <f ca="1">IFERROR(__xludf.DUMMYFUNCTION("""COMPUTED_VALUE"""),"| 1 P Python % | 4 L CPT @ | 5 P JAVA % ")</f>
        <v xml:space="preserve">| 1 P Python % | 4 L CPT @ | 5 P JAVA % </v>
      </c>
      <c r="CH8" s="4" t="str">
        <f ca="1">IFERROR(__xludf.DUMMYFUNCTION("""COMPUTED_VALUE"""),"| 3 L NS @ | 6 L CPT @ ")</f>
        <v xml:space="preserve">| 3 L NS @ | 6 L CPT @ </v>
      </c>
      <c r="CI8" s="4" t="str">
        <f ca="1">IFERROR(__xludf.DUMMYFUNCTION("""COMPUTED_VALUE"""),"| 1 L INE @ ")</f>
        <v xml:space="preserve">| 1 L INE @ </v>
      </c>
      <c r="CJ8" s="4" t="str">
        <f ca="1">IFERROR(__xludf.DUMMYFUNCTION("""COMPUTED_VALUE"""),"| 3 P CPT % ")</f>
        <v xml:space="preserve">| 3 P CPT % </v>
      </c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1:103" ht="12.5" x14ac:dyDescent="0.25">
      <c r="A9" s="3">
        <f ca="1">IFERROR(__xludf.DUMMYFUNCTION("""COMPUTED_VALUE"""),1)</f>
        <v>1</v>
      </c>
      <c r="B9" s="3" t="str">
        <f ca="1">IFERROR(__xludf.DUMMYFUNCTION("""COMPUTED_VALUE"""),"A")</f>
        <v>A</v>
      </c>
      <c r="C9" s="32" t="str">
        <f ca="1">IFERROR(__xludf.DUMMYFUNCTION("""COMPUTED_VALUE"""),"23291341018")</f>
        <v>23291341018</v>
      </c>
      <c r="D9" s="21" t="str">
        <f ca="1">IFERROR(__xludf.DUMMYFUNCTION("""COMPUTED_VALUE"""),"CHAUDHARY MEHUL PAWANKUMAR")</f>
        <v>CHAUDHARY MEHUL PAWANKUMAR</v>
      </c>
      <c r="E9" s="3" t="str">
        <f ca="1">IFERROR(__xludf.DUMMYFUNCTION("""COMPUTED_VALUE"""),"RRP-Mor")</f>
        <v>RRP-Mor</v>
      </c>
      <c r="F9" s="3">
        <f ca="1">IFERROR(__xludf.DUMMYFUNCTION("""COMPUTED_VALUE"""),9586669860)</f>
        <v>9586669860</v>
      </c>
      <c r="G9" s="3"/>
      <c r="H9" s="33">
        <f ca="1">IFERROR(__xludf.DUMMYFUNCTION("""COMPUTED_VALUE"""),0.487603305785123)</f>
        <v>0.48760330578512301</v>
      </c>
      <c r="I9" s="25">
        <f ca="1">IFERROR(__xludf.DUMMYFUNCTION("""COMPUTED_VALUE"""),0.388888888888888)</f>
        <v>0.38888888888888801</v>
      </c>
      <c r="J9" s="25">
        <f ca="1">IFERROR(__xludf.DUMMYFUNCTION("""COMPUTED_VALUE"""),0.583333333333333)</f>
        <v>0.58333333333333304</v>
      </c>
      <c r="K9" s="25">
        <f ca="1">IFERROR(__xludf.DUMMYFUNCTION("""COMPUTED_VALUE"""),0.647058823529411)</f>
        <v>0.64705882352941102</v>
      </c>
      <c r="L9" s="25">
        <f ca="1">IFERROR(__xludf.DUMMYFUNCTION("""COMPUTED_VALUE"""),0.538461538461538)</f>
        <v>0.53846153846153799</v>
      </c>
      <c r="M9" s="25">
        <f ca="1">IFERROR(__xludf.DUMMYFUNCTION("""COMPUTED_VALUE"""),0.611111111111111)</f>
        <v>0.61111111111111105</v>
      </c>
      <c r="N9" s="25">
        <f ca="1">IFERROR(__xludf.DUMMYFUNCTION("""COMPUTED_VALUE"""),0.3)</f>
        <v>0.3</v>
      </c>
      <c r="O9" s="25">
        <f ca="1">IFERROR(__xludf.DUMMYFUNCTION("""COMPUTED_VALUE"""),0.484848484848484)</f>
        <v>0.48484848484848397</v>
      </c>
      <c r="P9" s="25">
        <f ca="1">IFERROR(__xludf.DUMMYFUNCTION("""COMPUTED_VALUE"""),0.260869565217391)</f>
        <v>0.26086956521739102</v>
      </c>
      <c r="Q9" s="25">
        <f ca="1">IFERROR(__xludf.DUMMYFUNCTION("""COMPUTED_VALUE"""),0)</f>
        <v>0</v>
      </c>
      <c r="R9" s="25">
        <f ca="1">IFERROR(__xludf.DUMMYFUNCTION("""COMPUTED_VALUE"""),0.318181818181818)</f>
        <v>0.31818181818181801</v>
      </c>
      <c r="S9" s="25">
        <f ca="1">IFERROR(__xludf.DUMMYFUNCTION("""COMPUTED_VALUE"""),0.7)</f>
        <v>0.7</v>
      </c>
      <c r="T9" s="25">
        <f ca="1">IFERROR(__xludf.DUMMYFUNCTION("""COMPUTED_VALUE"""),0.5)</f>
        <v>0.5</v>
      </c>
      <c r="U9" s="25">
        <f ca="1">IFERROR(__xludf.DUMMYFUNCTION("""COMPUTED_VALUE"""),0.545454545454545)</f>
        <v>0.54545454545454497</v>
      </c>
      <c r="V9" s="25">
        <f ca="1">IFERROR(__xludf.DUMMYFUNCTION("""COMPUTED_VALUE"""),0)</f>
        <v>0</v>
      </c>
      <c r="W9" s="4"/>
      <c r="X9" s="4" t="str">
        <f ca="1">IFERROR(__xludf.DUMMYFUNCTION("""COMPUTED_VALUE"""),"| 1 L PHP-CGM % | 3 P NS % | 5 P JAVA @ ")</f>
        <v xml:space="preserve">| 1 L PHP-CGM % | 3 P NS % | 5 P JAVA @ </v>
      </c>
      <c r="Y9" s="4" t="str">
        <f ca="1">IFERROR(__xludf.DUMMYFUNCTION("""COMPUTED_VALUE"""),"| 1 P Python % | 3 L JAVA % | 4 L CPT % | 5 P JAVA % ")</f>
        <v xml:space="preserve">| 1 P Python % | 3 L JAVA % | 4 L CPT % | 5 P JAVA % </v>
      </c>
      <c r="Z9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9" s="4" t="str">
        <f ca="1">IFERROR(__xludf.DUMMYFUNCTION("""COMPUTED_VALUE"""),"| 3 L PHP-CGM % | 4 L NS % | 1 L INE % | 5 P PRO % ")</f>
        <v xml:space="preserve">| 3 L PHP-CGM % | 4 L NS % | 1 L INE % | 5 P PRO % </v>
      </c>
      <c r="AB9" s="4" t="str">
        <f ca="1">IFERROR(__xludf.DUMMYFUNCTION("""COMPUTED_VALUE"""),"| 1 L CPT @ | 2 L NS @ | 3 P CPT @ | 5 P Python @ ")</f>
        <v xml:space="preserve">| 1 L CPT @ | 2 L NS @ | 3 P CPT @ | 5 P Python @ </v>
      </c>
      <c r="AC9" s="4" t="str">
        <f ca="1">IFERROR(__xludf.DUMMYFUNCTION("""COMPUTED_VALUE"""),"| 1 L PHP-CGM @ | 2 L JAVA @ | 3 P NS @ | 5 P JAVA @ ")</f>
        <v xml:space="preserve">| 1 L PHP-CGM @ | 2 L JAVA @ | 3 P NS @ | 5 P JAVA @ </v>
      </c>
      <c r="AD9" s="4" t="str">
        <f ca="1">IFERROR(__xludf.DUMMYFUNCTION("""COMPUTED_VALUE"""),"| 1 P Python % | 3 L JAVA % | 4 L CPT % | 5 P JAVA @ ")</f>
        <v xml:space="preserve">| 1 P Python % | 3 L JAVA % | 4 L CPT % | 5 P JAVA @ </v>
      </c>
      <c r="AE9" s="4" t="str">
        <f ca="1">IFERROR(__xludf.DUMMYFUNCTION("""COMPUTED_VALUE"""),"| 1 P PHP-CGM @ | 4 L JAVA @ | 3 L NS @ | 5 L PHP-CGM @ | 6 L CPT @ ")</f>
        <v xml:space="preserve">| 1 P PHP-CGM @ | 4 L JAVA @ | 3 L NS @ | 5 L PHP-CGM @ | 6 L CPT @ </v>
      </c>
      <c r="AF9" s="4" t="str">
        <f ca="1">IFERROR(__xludf.DUMMYFUNCTION("""COMPUTED_VALUE"""),"| 3 L PHP-CGM % | 4 L NS % | 5 P PRO @ ")</f>
        <v xml:space="preserve">| 3 L PHP-CGM % | 4 L NS % | 5 P PRO @ </v>
      </c>
      <c r="AG9" s="4" t="str">
        <f ca="1">IFERROR(__xludf.DUMMYFUNCTION("""COMPUTED_VALUE"""),"| 1 L CPT @ | 2 L NS @ | 3 P CPT @ | 5 P Python @ ")</f>
        <v xml:space="preserve">| 1 L CPT @ | 2 L NS @ | 3 P CPT @ | 5 P Python @ </v>
      </c>
      <c r="AH9" s="4" t="str">
        <f ca="1">IFERROR(__xludf.DUMMYFUNCTION("""COMPUTED_VALUE"""),"| 3 L PHP-CGM % | 4 L NS % | 5 L PRO @ ")</f>
        <v xml:space="preserve">| 3 L PHP-CGM % | 4 L NS % | 5 L PRO @ </v>
      </c>
      <c r="AI9" s="4" t="str">
        <f ca="1">IFERROR(__xludf.DUMMYFUNCTION("""COMPUTED_VALUE"""),"| 1 L CPT % | 2 L NS % | 3 P CPT @ | 5 P Python @ ")</f>
        <v xml:space="preserve">| 1 L CPT % | 2 L NS % | 3 P CPT @ | 5 P Python @ </v>
      </c>
      <c r="AJ9" s="4" t="str">
        <f ca="1">IFERROR(__xludf.DUMMYFUNCTION("""COMPUTED_VALUE"""),"| 1 L PHP-CGM % | 2 L JAVA % | 3 P NS @ | 5 P JAVA @ ")</f>
        <v xml:space="preserve">| 1 L PHP-CGM % | 2 L JAVA % | 3 P NS @ | 5 P JAVA @ </v>
      </c>
      <c r="AK9" s="4" t="str">
        <f ca="1">IFERROR(__xludf.DUMMYFUNCTION("""COMPUTED_VALUE"""),"| 1 P Python @ | 3 L JAVA @ | 4 L CPT @ | 5 P JAVA @ ")</f>
        <v xml:space="preserve">| 1 P Python @ | 3 L JAVA @ | 4 L CPT @ | 5 P JAVA @ </v>
      </c>
      <c r="AL9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M9" s="4" t="str">
        <f ca="1">IFERROR(__xludf.DUMMYFUNCTION("""COMPUTED_VALUE"""),"| 1 L INE @ | 4 L NS @ | 3 L PHP-CGM @ | 5 L PRO % ")</f>
        <v xml:space="preserve">| 1 L INE @ | 4 L NS @ | 3 L PHP-CGM @ | 5 L PRO % </v>
      </c>
      <c r="AN9" s="4" t="str">
        <f ca="1">IFERROR(__xludf.DUMMYFUNCTION("""COMPUTED_VALUE"""),"| 1 L CPT % | 2 L NS % | 3 P CPT % | 5 P Python @ ")</f>
        <v xml:space="preserve">| 1 L CPT % | 2 L NS % | 3 P CPT % | 5 P Python @ </v>
      </c>
      <c r="AO9" s="4" t="str">
        <f ca="1">IFERROR(__xludf.DUMMYFUNCTION("""COMPUTED_VALUE"""),"| 1 L PHP-CGM % | 2 L JAVA % | 3 P NS % | 5 P JAVA % ")</f>
        <v xml:space="preserve">| 1 L PHP-CGM % | 2 L JAVA % | 3 P NS % | 5 P JAVA % </v>
      </c>
      <c r="AP9" s="4" t="str">
        <f ca="1">IFERROR(__xludf.DUMMYFUNCTION("""COMPUTED_VALUE"""),"| 1 P Python @ | 3 L JAVA @ | 4 L CPT @ | 5 P JAVA @ ")</f>
        <v xml:space="preserve">| 1 P Python @ | 3 L JAVA @ | 4 L CPT @ | 5 P JAVA @ </v>
      </c>
      <c r="AQ9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R9" s="4" t="str">
        <f ca="1">IFERROR(__xludf.DUMMYFUNCTION("""COMPUTED_VALUE"""),"| 1 L INE % | 3 L PHP-CGM % | 4 L NS % | 5 L PRO % ")</f>
        <v xml:space="preserve">| 1 L INE % | 3 L PHP-CGM % | 4 L NS % | 5 L PRO % </v>
      </c>
      <c r="AS9" s="4" t="str">
        <f ca="1">IFERROR(__xludf.DUMMYFUNCTION("""COMPUTED_VALUE"""),"| 1 L PHP-CGM % | 2 L JAVA % | 3 P NS % | 5 P JAVA @ ")</f>
        <v xml:space="preserve">| 1 L PHP-CGM % | 2 L JAVA % | 3 P NS % | 5 P JAVA @ </v>
      </c>
      <c r="AT9" s="4" t="str">
        <f ca="1">IFERROR(__xludf.DUMMYFUNCTION("""COMPUTED_VALUE"""),"| 1 P Python % | 3 L JAVA % | 4 L CPT % | 5 P JAVA % ")</f>
        <v xml:space="preserve">| 1 P Python % | 3 L JAVA % | 4 L CPT % | 5 P JAVA % </v>
      </c>
      <c r="AU9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9" s="4" t="str">
        <f ca="1">IFERROR(__xludf.DUMMYFUNCTION("""COMPUTED_VALUE"""),"| 1 L INE @ | 3 L PHP-CGM % | 4 L NS % | 7 L PRO % ")</f>
        <v xml:space="preserve">| 1 L INE @ | 3 L PHP-CGM % | 4 L NS % | 7 L PRO % </v>
      </c>
      <c r="AW9" s="4" t="str">
        <f ca="1">IFERROR(__xludf.DUMMYFUNCTION("""COMPUTED_VALUE"""),"| 1 L CPT % | 2 L NS % | 3 P CPT % | 5 P Python @ ")</f>
        <v xml:space="preserve">| 1 L CPT % | 2 L NS % | 3 P CPT % | 5 P Python @ </v>
      </c>
      <c r="AX9" s="4" t="str">
        <f ca="1">IFERROR(__xludf.DUMMYFUNCTION("""COMPUTED_VALUE"""),"| 1 L PHP-CGM % | 2 L JAVA % | 3 P NS % | 5 P JAVA @ ")</f>
        <v xml:space="preserve">| 1 L PHP-CGM % | 2 L JAVA % | 3 P NS % | 5 P JAVA @ </v>
      </c>
      <c r="AY9" s="4" t="str">
        <f ca="1">IFERROR(__xludf.DUMMYFUNCTION("""COMPUTED_VALUE"""),"| 1 P Python @ | 3 L JAVA @ | 4 L CPT @ | 5 P JAVA @ ")</f>
        <v xml:space="preserve">| 1 P Python @ | 3 L JAVA @ | 4 L CPT @ | 5 P JAVA @ </v>
      </c>
      <c r="AZ9" s="4" t="str">
        <f ca="1">IFERROR(__xludf.DUMMYFUNCTION("""COMPUTED_VALUE"""),"| 1 L INE % | 3 L PHP-CGM % | 4 L NS % | 5 L PRO % ")</f>
        <v xml:space="preserve">| 1 L INE % | 3 L PHP-CGM % | 4 L NS % | 5 L PRO % </v>
      </c>
      <c r="BA9" s="4" t="str">
        <f ca="1">IFERROR(__xludf.DUMMYFUNCTION("""COMPUTED_VALUE"""),"| 1 L CPT % | 2 L NS % | 3 P CPT % | 5 P Python @ ")</f>
        <v xml:space="preserve">| 1 L CPT % | 2 L NS % | 3 P CPT % | 5 P Python @ </v>
      </c>
      <c r="BB9" s="4" t="str">
        <f ca="1">IFERROR(__xludf.DUMMYFUNCTION("""COMPUTED_VALUE"""),"| 1 L PHP-CGM % | 2 L JAVA % | 3 P NS % | 5 P JAVA @ ")</f>
        <v xml:space="preserve">| 1 L PHP-CGM % | 2 L JAVA % | 3 P NS % | 5 P JAVA @ </v>
      </c>
      <c r="BC9" s="4" t="str">
        <f ca="1">IFERROR(__xludf.DUMMYFUNCTION("""COMPUTED_VALUE"""),"| 1 P Python % | 3 L JAVA @ | 4 L CPT @ | 5 P JAVA @ ")</f>
        <v xml:space="preserve">| 1 P Python % | 3 L JAVA @ | 4 L CPT @ | 5 P JAVA @ </v>
      </c>
      <c r="BD9" s="4" t="str">
        <f ca="1">IFERROR(__xludf.DUMMYFUNCTION("""COMPUTED_VALUE"""),"| 1 P PHP-CGM % | 3 L NS % | 6 L CPT @ | 5 L PHP-CGM @ | 4 L JAVA % ")</f>
        <v xml:space="preserve">| 1 P PHP-CGM % | 3 L NS % | 6 L CPT @ | 5 L PHP-CGM @ | 4 L JAVA % </v>
      </c>
      <c r="BE9" s="4" t="str">
        <f ca="1">IFERROR(__xludf.DUMMYFUNCTION("""COMPUTED_VALUE"""),"| 1 L INE % | 3 L PHP-CGM % | 4 L NS % | 5 L PRO @ ")</f>
        <v xml:space="preserve">| 1 L INE % | 3 L PHP-CGM % | 4 L NS % | 5 L PRO @ </v>
      </c>
      <c r="BF9" s="4" t="str">
        <f ca="1">IFERROR(__xludf.DUMMYFUNCTION("""COMPUTED_VALUE"""),"| 1 L CPT % | 2 L NS % | 3 P CPT % | 5 P JAVA @ ")</f>
        <v xml:space="preserve">| 1 L CPT % | 2 L NS % | 3 P CPT % | 5 P JAVA @ </v>
      </c>
      <c r="BG9" s="4" t="str">
        <f ca="1">IFERROR(__xludf.DUMMYFUNCTION("""COMPUTED_VALUE"""),"| 1 P Python @ | 4 L CPT @ | 5 P JAVA @ ")</f>
        <v xml:space="preserve">| 1 P Python @ | 4 L CPT @ | 5 P JAVA @ </v>
      </c>
      <c r="BH9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I9" s="4" t="str">
        <f ca="1">IFERROR(__xludf.DUMMYFUNCTION("""COMPUTED_VALUE"""),"| 1 L INE @ | 3 L PHP-CGM @ | 4 L NS @ | 5 L PRO @ ")</f>
        <v xml:space="preserve">| 1 L INE @ | 3 L PHP-CGM @ | 4 L NS @ | 5 L PRO @ </v>
      </c>
      <c r="BJ9" s="4" t="str">
        <f ca="1">IFERROR(__xludf.DUMMYFUNCTION("""COMPUTED_VALUE"""),"| 1 L CPT % | 2 L NS % | 3 P CPT % | 5 P Python @ ")</f>
        <v xml:space="preserve">| 1 L CPT % | 2 L NS % | 3 P CPT % | 5 P Python @ </v>
      </c>
      <c r="BK9" s="4" t="str">
        <f ca="1">IFERROR(__xludf.DUMMYFUNCTION("""COMPUTED_VALUE"""),"| 1 L PHP-CGM @ | 2 L JAVA @ | 3 P NS @ | 5 P JAVA @ ")</f>
        <v xml:space="preserve">| 1 L PHP-CGM @ | 2 L JAVA @ | 3 P NS @ | 5 P JAVA @ </v>
      </c>
      <c r="BL9" s="4" t="str">
        <f ca="1">IFERROR(__xludf.DUMMYFUNCTION("""COMPUTED_VALUE"""),"| 1 P Python @ | 3 L JAVA @ | 4 L CPT @ | 5 P JAVA @ ")</f>
        <v xml:space="preserve">| 1 P Python @ | 3 L JAVA @ | 4 L CPT @ | 5 P JAVA @ </v>
      </c>
      <c r="BM9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9" s="4" t="str">
        <f ca="1">IFERROR(__xludf.DUMMYFUNCTION("""COMPUTED_VALUE"""),"| 1 L INE @ | 3 L PHP-CGM % | 4 L NS % | 5 L PRO % ")</f>
        <v xml:space="preserve">| 1 L INE @ | 3 L PHP-CGM % | 4 L NS % | 5 L PRO % </v>
      </c>
      <c r="BO9" s="4" t="str">
        <f ca="1">IFERROR(__xludf.DUMMYFUNCTION("""COMPUTED_VALUE"""),"| 1 L CPT @ | 2 L NS @ | 3 P CPT @ ")</f>
        <v xml:space="preserve">| 1 L CPT @ | 2 L NS @ | 3 P CPT @ </v>
      </c>
      <c r="BP9" s="4" t="str">
        <f ca="1">IFERROR(__xludf.DUMMYFUNCTION("""COMPUTED_VALUE"""),"| 1 L PHP-CGM @ | 2 L JAVA % | 3 P NS @ | 5 P JAVA @ ")</f>
        <v xml:space="preserve">| 1 L PHP-CGM @ | 2 L JAVA % | 3 P NS @ | 5 P JAVA @ </v>
      </c>
      <c r="BQ9" s="4" t="str">
        <f ca="1">IFERROR(__xludf.DUMMYFUNCTION("""COMPUTED_VALUE"""),"| 5 L PHP-CGM % | 6 L CPT @ ")</f>
        <v xml:space="preserve">| 5 L PHP-CGM % | 6 L CPT @ </v>
      </c>
      <c r="BR9" s="4"/>
      <c r="BS9" s="4"/>
      <c r="BT9" s="4" t="str">
        <f ca="1">IFERROR(__xludf.DUMMYFUNCTION("""COMPUTED_VALUE"""),"| 1 L PHP-CGM % | 2 L JAVA % | 3 P NS % ")</f>
        <v xml:space="preserve">| 1 L PHP-CGM % | 2 L JAVA % | 3 P NS % </v>
      </c>
      <c r="BU9" s="4" t="str">
        <f ca="1">IFERROR(__xludf.DUMMYFUNCTION("""COMPUTED_VALUE"""),"| 1 P Python @ | 4 L CPT @ | 3 L JAVA @ ")</f>
        <v xml:space="preserve">| 1 P Python @ | 4 L CPT @ | 3 L JAVA @ </v>
      </c>
      <c r="BV9" s="4" t="str">
        <f ca="1">IFERROR(__xludf.DUMMYFUNCTION("""COMPUTED_VALUE"""),"| 1 L PHP-CGM @ | 2 L JAVA @ | 3 P NS @ | 5 P JAVA @ ")</f>
        <v xml:space="preserve">| 1 L PHP-CGM @ | 2 L JAVA @ | 3 P NS @ | 5 P JAVA @ </v>
      </c>
      <c r="BW9" s="4" t="str">
        <f ca="1">IFERROR(__xludf.DUMMYFUNCTION("""COMPUTED_VALUE"""),"| 1 P Python @ | 3 L JAVA @ | 4 L CPT @ ")</f>
        <v xml:space="preserve">| 1 P Python @ | 3 L JAVA @ | 4 L CPT @ </v>
      </c>
      <c r="BX9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9" s="4" t="str">
        <f ca="1">IFERROR(__xludf.DUMMYFUNCTION("""COMPUTED_VALUE"""),"| 1 L INE % | 3 L PHP-CGM % | 4 L NS % | 5 L PRO % ")</f>
        <v xml:space="preserve">| 1 L INE % | 3 L PHP-CGM % | 4 L NS % | 5 L PRO % </v>
      </c>
      <c r="BZ9" s="4" t="str">
        <f ca="1">IFERROR(__xludf.DUMMYFUNCTION("""COMPUTED_VALUE"""),"| 1 L CPT @ | 2 L NS @ | 3 P CPT @ | 5 P Python @ ")</f>
        <v xml:space="preserve">| 1 L CPT @ | 2 L NS @ | 3 P CPT @ | 5 P Python @ </v>
      </c>
      <c r="CA9" s="4" t="str">
        <f ca="1">IFERROR(__xludf.DUMMYFUNCTION("""COMPUTED_VALUE"""),"| 1 L PHP-CGM % | 2 L JAVA % | 3 P NS % | 5 P JAVA % ")</f>
        <v xml:space="preserve">| 1 L PHP-CGM % | 2 L JAVA % | 3 P NS % | 5 P JAVA % </v>
      </c>
      <c r="CB9" s="4" t="str">
        <f ca="1">IFERROR(__xludf.DUMMYFUNCTION("""COMPUTED_VALUE"""),"| 1 P Python % | 3 L JAVA % | 4 L CPT % | 5 P JAVA % ")</f>
        <v xml:space="preserve">| 1 P Python % | 3 L JAVA % | 4 L CPT % | 5 P JAVA % </v>
      </c>
      <c r="CC9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9" s="4" t="str">
        <f ca="1">IFERROR(__xludf.DUMMYFUNCTION("""COMPUTED_VALUE"""),"| 1 L INE % | 3 L PHP-CGM % | 4 L NS % | 5 L PRO % ")</f>
        <v xml:space="preserve">| 1 L INE % | 3 L PHP-CGM % | 4 L NS % | 5 L PRO % </v>
      </c>
      <c r="CE9" s="4" t="str">
        <f ca="1">IFERROR(__xludf.DUMMYFUNCTION("""COMPUTED_VALUE"""),"| 1 L CPT % | 2 L NS % | 3 P CPT % | 5 P Python % ")</f>
        <v xml:space="preserve">| 1 L CPT % | 2 L NS % | 3 P CPT % | 5 P Python % </v>
      </c>
      <c r="CF9" s="4" t="str">
        <f ca="1">IFERROR(__xludf.DUMMYFUNCTION("""COMPUTED_VALUE"""),"| 1 L PHP-CGM @ | 2 L JAVA @ | 3 P NS @ ")</f>
        <v xml:space="preserve">| 1 L PHP-CGM @ | 2 L JAVA @ | 3 P NS @ </v>
      </c>
      <c r="CG9" s="4" t="str">
        <f ca="1">IFERROR(__xludf.DUMMYFUNCTION("""COMPUTED_VALUE"""),"| 1 P Python % | 4 L CPT @ | 5 P JAVA % ")</f>
        <v xml:space="preserve">| 1 P Python % | 4 L CPT @ | 5 P JAVA % </v>
      </c>
      <c r="CH9" s="4" t="str">
        <f ca="1">IFERROR(__xludf.DUMMYFUNCTION("""COMPUTED_VALUE"""),"| 3 L NS % | 6 L CPT @ ")</f>
        <v xml:space="preserve">| 3 L NS % | 6 L CPT @ </v>
      </c>
      <c r="CI9" s="4" t="str">
        <f ca="1">IFERROR(__xludf.DUMMYFUNCTION("""COMPUTED_VALUE"""),"| 1 L INE @ ")</f>
        <v xml:space="preserve">| 1 L INE @ </v>
      </c>
      <c r="CJ9" s="4" t="str">
        <f ca="1">IFERROR(__xludf.DUMMYFUNCTION("""COMPUTED_VALUE"""),"| 3 P CPT % ")</f>
        <v xml:space="preserve">| 3 P CPT % </v>
      </c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:103" ht="12.5" x14ac:dyDescent="0.25">
      <c r="A10" s="3">
        <f ca="1">IFERROR(__xludf.DUMMYFUNCTION("""COMPUTED_VALUE"""),1)</f>
        <v>1</v>
      </c>
      <c r="B10" s="3" t="str">
        <f ca="1">IFERROR(__xludf.DUMMYFUNCTION("""COMPUTED_VALUE"""),"A")</f>
        <v>A</v>
      </c>
      <c r="C10" s="32" t="str">
        <f ca="1">IFERROR(__xludf.DUMMYFUNCTION("""COMPUTED_VALUE"""),"23291341019")</f>
        <v>23291341019</v>
      </c>
      <c r="D10" s="21" t="str">
        <f ca="1">IFERROR(__xludf.DUMMYFUNCTION("""COMPUTED_VALUE"""),"CHAUDHARY SAGAR BHAGVANBHAI")</f>
        <v>CHAUDHARY SAGAR BHAGVANBHAI</v>
      </c>
      <c r="E10" s="3" t="str">
        <f ca="1">IFERROR(__xludf.DUMMYFUNCTION("""COMPUTED_VALUE"""),"RRP-Mor")</f>
        <v>RRP-Mor</v>
      </c>
      <c r="F10" s="3">
        <f ca="1">IFERROR(__xludf.DUMMYFUNCTION("""COMPUTED_VALUE"""),7862966366)</f>
        <v>7862966366</v>
      </c>
      <c r="G10" s="3">
        <f ca="1">IFERROR(__xludf.DUMMYFUNCTION("""COMPUTED_VALUE"""),9904149010)</f>
        <v>9904149010</v>
      </c>
      <c r="H10" s="33">
        <f ca="1">IFERROR(__xludf.DUMMYFUNCTION("""COMPUTED_VALUE"""),0.537190082644628)</f>
        <v>0.53719008264462798</v>
      </c>
      <c r="I10" s="25">
        <f ca="1">IFERROR(__xludf.DUMMYFUNCTION("""COMPUTED_VALUE"""),0.444444444444444)</f>
        <v>0.44444444444444398</v>
      </c>
      <c r="J10" s="25">
        <f ca="1">IFERROR(__xludf.DUMMYFUNCTION("""COMPUTED_VALUE"""),0.666666666666666)</f>
        <v>0.66666666666666596</v>
      </c>
      <c r="K10" s="25">
        <f ca="1">IFERROR(__xludf.DUMMYFUNCTION("""COMPUTED_VALUE"""),0.705882352941176)</f>
        <v>0.70588235294117596</v>
      </c>
      <c r="L10" s="25">
        <f ca="1">IFERROR(__xludf.DUMMYFUNCTION("""COMPUTED_VALUE"""),0.384615384615384)</f>
        <v>0.38461538461538403</v>
      </c>
      <c r="M10" s="25">
        <f ca="1">IFERROR(__xludf.DUMMYFUNCTION("""COMPUTED_VALUE"""),0.472222222222222)</f>
        <v>0.47222222222222199</v>
      </c>
      <c r="N10" s="25">
        <f ca="1">IFERROR(__xludf.DUMMYFUNCTION("""COMPUTED_VALUE"""),0.7)</f>
        <v>0.7</v>
      </c>
      <c r="O10" s="25">
        <f ca="1">IFERROR(__xludf.DUMMYFUNCTION("""COMPUTED_VALUE"""),0.606060606060606)</f>
        <v>0.60606060606060597</v>
      </c>
      <c r="P10" s="25">
        <f ca="1">IFERROR(__xludf.DUMMYFUNCTION("""COMPUTED_VALUE"""),0.478260869565217)</f>
        <v>0.47826086956521702</v>
      </c>
      <c r="Q10" s="25">
        <f ca="1">IFERROR(__xludf.DUMMYFUNCTION("""COMPUTED_VALUE"""),0)</f>
        <v>0</v>
      </c>
      <c r="R10" s="25">
        <f ca="1">IFERROR(__xludf.DUMMYFUNCTION("""COMPUTED_VALUE"""),0.636363636363636)</f>
        <v>0.63636363636363602</v>
      </c>
      <c r="S10" s="25">
        <f ca="1">IFERROR(__xludf.DUMMYFUNCTION("""COMPUTED_VALUE"""),0.3)</f>
        <v>0.3</v>
      </c>
      <c r="T10" s="25">
        <f ca="1">IFERROR(__xludf.DUMMYFUNCTION("""COMPUTED_VALUE"""),0)</f>
        <v>0</v>
      </c>
      <c r="U10" s="25">
        <f ca="1">IFERROR(__xludf.DUMMYFUNCTION("""COMPUTED_VALUE"""),0.454545454545454)</f>
        <v>0.45454545454545398</v>
      </c>
      <c r="V10" s="25">
        <f ca="1">IFERROR(__xludf.DUMMYFUNCTION("""COMPUTED_VALUE"""),0)</f>
        <v>0</v>
      </c>
      <c r="W10" s="4"/>
      <c r="X10" s="4" t="str">
        <f ca="1">IFERROR(__xludf.DUMMYFUNCTION("""COMPUTED_VALUE"""),"| 1 L PHP-CGM @ | 3 P NS @ | 5 P JAVA @ ")</f>
        <v xml:space="preserve">| 1 L PHP-CGM @ | 3 P NS @ | 5 P JAVA @ </v>
      </c>
      <c r="Y10" s="4" t="str">
        <f ca="1">IFERROR(__xludf.DUMMYFUNCTION("""COMPUTED_VALUE"""),"| 1 P Python @ | 3 L JAVA @ | 4 L CPT @ | 5 P JAVA @ ")</f>
        <v xml:space="preserve">| 1 P Python @ | 3 L JAVA @ | 4 L CPT @ | 5 P JAVA @ </v>
      </c>
      <c r="Z10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A10" s="4" t="str">
        <f ca="1">IFERROR(__xludf.DUMMYFUNCTION("""COMPUTED_VALUE"""),"| 3 L PHP-CGM @ | 4 L NS @ | 1 L INE @ | 5 P PRO @ ")</f>
        <v xml:space="preserve">| 3 L PHP-CGM @ | 4 L NS @ | 1 L INE @ | 5 P PRO @ </v>
      </c>
      <c r="AB10" s="4" t="str">
        <f ca="1">IFERROR(__xludf.DUMMYFUNCTION("""COMPUTED_VALUE"""),"| 1 L CPT @ | 2 L NS @ | 3 P CPT @ | 5 P Python @ ")</f>
        <v xml:space="preserve">| 1 L CPT @ | 2 L NS @ | 3 P CPT @ | 5 P Python @ </v>
      </c>
      <c r="AC10" s="4" t="str">
        <f ca="1">IFERROR(__xludf.DUMMYFUNCTION("""COMPUTED_VALUE"""),"| 1 L PHP-CGM @ | 2 L JAVA @ | 3 P NS @ | 5 P JAVA @ ")</f>
        <v xml:space="preserve">| 1 L PHP-CGM @ | 2 L JAVA @ | 3 P NS @ | 5 P JAVA @ </v>
      </c>
      <c r="AD10" s="4" t="str">
        <f ca="1">IFERROR(__xludf.DUMMYFUNCTION("""COMPUTED_VALUE"""),"| 1 P Python % | 3 L JAVA @ | 4 L CPT @ | 5 P JAVA @ ")</f>
        <v xml:space="preserve">| 1 P Python % | 3 L JAVA @ | 4 L CPT @ | 5 P JAVA @ </v>
      </c>
      <c r="AE10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10" s="4" t="str">
        <f ca="1">IFERROR(__xludf.DUMMYFUNCTION("""COMPUTED_VALUE"""),"| 3 L PHP-CGM % | 4 L NS % | 5 P PRO @ ")</f>
        <v xml:space="preserve">| 3 L PHP-CGM % | 4 L NS % | 5 P PRO @ </v>
      </c>
      <c r="AG10" s="4" t="str">
        <f ca="1">IFERROR(__xludf.DUMMYFUNCTION("""COMPUTED_VALUE"""),"| 1 L CPT @ | 2 L NS % | 3 P CPT % | 5 P Python % ")</f>
        <v xml:space="preserve">| 1 L CPT @ | 2 L NS % | 3 P CPT % | 5 P Python % </v>
      </c>
      <c r="AH10" s="4" t="str">
        <f ca="1">IFERROR(__xludf.DUMMYFUNCTION("""COMPUTED_VALUE"""),"| 3 L PHP-CGM % | 4 L NS % | 5 L PRO @ ")</f>
        <v xml:space="preserve">| 3 L PHP-CGM % | 4 L NS % | 5 L PRO @ </v>
      </c>
      <c r="AI10" s="4" t="str">
        <f ca="1">IFERROR(__xludf.DUMMYFUNCTION("""COMPUTED_VALUE"""),"| 1 L CPT @ | 2 L NS @ | 3 P CPT @ | 5 P Python @ ")</f>
        <v xml:space="preserve">| 1 L CPT @ | 2 L NS @ | 3 P CPT @ | 5 P Python @ </v>
      </c>
      <c r="AJ10" s="4" t="str">
        <f ca="1">IFERROR(__xludf.DUMMYFUNCTION("""COMPUTED_VALUE"""),"| 1 L PHP-CGM @ | 2 L JAVA @ | 3 P NS @ | 5 P JAVA @ ")</f>
        <v xml:space="preserve">| 1 L PHP-CGM @ | 2 L JAVA @ | 3 P NS @ | 5 P JAVA @ </v>
      </c>
      <c r="AK10" s="4" t="str">
        <f ca="1">IFERROR(__xludf.DUMMYFUNCTION("""COMPUTED_VALUE"""),"| 1 P Python % | 3 L JAVA % | 4 L CPT % | 5 P JAVA @ ")</f>
        <v xml:space="preserve">| 1 P Python % | 3 L JAVA % | 4 L CPT % | 5 P JAVA @ </v>
      </c>
      <c r="AL10" s="4" t="str">
        <f ca="1">IFERROR(__xludf.DUMMYFUNCTION("""COMPUTED_VALUE"""),"| 1 P PHP-CGM @ | 3 L NS % | 4 L JAVA % | 5 L PHP-CGM @ | 6 L CPT % ")</f>
        <v xml:space="preserve">| 1 P PHP-CGM @ | 3 L NS % | 4 L JAVA % | 5 L PHP-CGM @ | 6 L CPT % </v>
      </c>
      <c r="AM10" s="4" t="str">
        <f ca="1">IFERROR(__xludf.DUMMYFUNCTION("""COMPUTED_VALUE"""),"| 1 L INE @ | 4 L NS % | 3 L PHP-CGM % | 5 L PRO @ ")</f>
        <v xml:space="preserve">| 1 L INE @ | 4 L NS % | 3 L PHP-CGM % | 5 L PRO @ </v>
      </c>
      <c r="AN10" s="4" t="str">
        <f ca="1">IFERROR(__xludf.DUMMYFUNCTION("""COMPUTED_VALUE"""),"| 1 L CPT % | 2 L NS % | 3 P CPT % | 5 P Python % ")</f>
        <v xml:space="preserve">| 1 L CPT % | 2 L NS % | 3 P CPT % | 5 P Python % </v>
      </c>
      <c r="AO10" s="4" t="str">
        <f ca="1">IFERROR(__xludf.DUMMYFUNCTION("""COMPUTED_VALUE"""),"| 1 L PHP-CGM % | 2 L JAVA % | 3 P NS % | 5 P JAVA % ")</f>
        <v xml:space="preserve">| 1 L PHP-CGM % | 2 L JAVA % | 3 P NS % | 5 P JAVA % </v>
      </c>
      <c r="AP10" s="4" t="str">
        <f ca="1">IFERROR(__xludf.DUMMYFUNCTION("""COMPUTED_VALUE"""),"| 1 P Python % | 3 L JAVA % | 4 L CPT % | 5 P JAVA % ")</f>
        <v xml:space="preserve">| 1 P Python % | 3 L JAVA % | 4 L CPT % | 5 P JAVA % </v>
      </c>
      <c r="AQ10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0" s="4" t="str">
        <f ca="1">IFERROR(__xludf.DUMMYFUNCTION("""COMPUTED_VALUE"""),"| 1 L INE % | 3 L PHP-CGM % | 4 L NS % | 5 L PRO % ")</f>
        <v xml:space="preserve">| 1 L INE % | 3 L PHP-CGM % | 4 L NS % | 5 L PRO % </v>
      </c>
      <c r="AS10" s="4" t="str">
        <f ca="1">IFERROR(__xludf.DUMMYFUNCTION("""COMPUTED_VALUE"""),"| 1 L PHP-CGM % | 2 L JAVA % | 3 P NS % | 5 P JAVA % ")</f>
        <v xml:space="preserve">| 1 L PHP-CGM % | 2 L JAVA % | 3 P NS % | 5 P JAVA % </v>
      </c>
      <c r="AT10" s="4" t="str">
        <f ca="1">IFERROR(__xludf.DUMMYFUNCTION("""COMPUTED_VALUE"""),"| 1 P Python % | 3 L JAVA % | 4 L CPT % | 5 P JAVA % ")</f>
        <v xml:space="preserve">| 1 P Python % | 3 L JAVA % | 4 L CPT % | 5 P JAVA % </v>
      </c>
      <c r="AU10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V10" s="4" t="str">
        <f ca="1">IFERROR(__xludf.DUMMYFUNCTION("""COMPUTED_VALUE"""),"| 1 L INE @ | 3 L PHP-CGM @ | 4 L NS @ | 7 L PRO @ ")</f>
        <v xml:space="preserve">| 1 L INE @ | 3 L PHP-CGM @ | 4 L NS @ | 7 L PRO @ </v>
      </c>
      <c r="AW10" s="4" t="str">
        <f ca="1">IFERROR(__xludf.DUMMYFUNCTION("""COMPUTED_VALUE"""),"| 1 L CPT @ | 2 L NS % | 3 P CPT % | 5 P Python % ")</f>
        <v xml:space="preserve">| 1 L CPT @ | 2 L NS % | 3 P CPT % | 5 P Python % </v>
      </c>
      <c r="AX10" s="4" t="str">
        <f ca="1">IFERROR(__xludf.DUMMYFUNCTION("""COMPUTED_VALUE"""),"| 1 L PHP-CGM % | 2 L JAVA % | 3 P NS % | 5 P JAVA @ ")</f>
        <v xml:space="preserve">| 1 L PHP-CGM % | 2 L JAVA % | 3 P NS % | 5 P JAVA @ </v>
      </c>
      <c r="AY10" s="4" t="str">
        <f ca="1">IFERROR(__xludf.DUMMYFUNCTION("""COMPUTED_VALUE"""),"| 1 P Python % | 3 L JAVA % | 4 L CPT % | 5 P JAVA % ")</f>
        <v xml:space="preserve">| 1 P Python % | 3 L JAVA % | 4 L CPT % | 5 P JAVA % </v>
      </c>
      <c r="AZ10" s="4" t="str">
        <f ca="1">IFERROR(__xludf.DUMMYFUNCTION("""COMPUTED_VALUE"""),"| 1 L INE % | 3 L PHP-CGM % | 4 L NS % | 5 L PRO % ")</f>
        <v xml:space="preserve">| 1 L INE % | 3 L PHP-CGM % | 4 L NS % | 5 L PRO % </v>
      </c>
      <c r="BA10" s="4" t="str">
        <f ca="1">IFERROR(__xludf.DUMMYFUNCTION("""COMPUTED_VALUE"""),"| 1 L CPT @ | 2 L NS % | 3 P CPT % | 5 P Python % ")</f>
        <v xml:space="preserve">| 1 L CPT @ | 2 L NS % | 3 P CPT % | 5 P Python % </v>
      </c>
      <c r="BB10" s="4" t="str">
        <f ca="1">IFERROR(__xludf.DUMMYFUNCTION("""COMPUTED_VALUE"""),"| 1 L PHP-CGM % | 2 L JAVA % | 3 P NS % | 5 P JAVA % ")</f>
        <v xml:space="preserve">| 1 L PHP-CGM % | 2 L JAVA % | 3 P NS % | 5 P JAVA % </v>
      </c>
      <c r="BC10" s="4" t="str">
        <f ca="1">IFERROR(__xludf.DUMMYFUNCTION("""COMPUTED_VALUE"""),"| 1 P Python % | 3 L JAVA % | 4 L CPT % | 5 P JAVA % ")</f>
        <v xml:space="preserve">| 1 P Python % | 3 L JAVA % | 4 L CPT % | 5 P JAVA % </v>
      </c>
      <c r="BD10" s="4" t="str">
        <f ca="1">IFERROR(__xludf.DUMMYFUNCTION("""COMPUTED_VALUE"""),"| 1 P PHP-CGM % | 3 L NS % | 6 L CPT % | 5 L PHP-CGM % | 4 L JAVA % ")</f>
        <v xml:space="preserve">| 1 P PHP-CGM % | 3 L NS % | 6 L CPT % | 5 L PHP-CGM % | 4 L JAVA % </v>
      </c>
      <c r="BE10" s="4" t="str">
        <f ca="1">IFERROR(__xludf.DUMMYFUNCTION("""COMPUTED_VALUE"""),"| 1 L INE % | 3 L PHP-CGM % | 4 L NS % | 5 L PRO % ")</f>
        <v xml:space="preserve">| 1 L INE % | 3 L PHP-CGM % | 4 L NS % | 5 L PRO % </v>
      </c>
      <c r="BF10" s="4" t="str">
        <f ca="1">IFERROR(__xludf.DUMMYFUNCTION("""COMPUTED_VALUE"""),"| 1 L CPT % | 2 L NS % | 3 P CPT % | 5 P JAVA % ")</f>
        <v xml:space="preserve">| 1 L CPT % | 2 L NS % | 3 P CPT % | 5 P JAVA % </v>
      </c>
      <c r="BG10" s="4" t="str">
        <f ca="1">IFERROR(__xludf.DUMMYFUNCTION("""COMPUTED_VALUE"""),"| 1 P Python % | 4 L CPT % | 5 P JAVA % ")</f>
        <v xml:space="preserve">| 1 P Python % | 4 L CPT % | 5 P JAVA % </v>
      </c>
      <c r="BH10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10" s="4" t="str">
        <f ca="1">IFERROR(__xludf.DUMMYFUNCTION("""COMPUTED_VALUE"""),"| 1 L INE % | 3 L PHP-CGM % | 4 L NS % | 5 L PRO @ ")</f>
        <v xml:space="preserve">| 1 L INE % | 3 L PHP-CGM % | 4 L NS % | 5 L PRO @ </v>
      </c>
      <c r="BJ10" s="4" t="str">
        <f ca="1">IFERROR(__xludf.DUMMYFUNCTION("""COMPUTED_VALUE"""),"| 1 L CPT % | 2 L NS % | 3 P CPT % | 5 P Python @ ")</f>
        <v xml:space="preserve">| 1 L CPT % | 2 L NS % | 3 P CPT % | 5 P Python @ </v>
      </c>
      <c r="BK10" s="4" t="str">
        <f ca="1">IFERROR(__xludf.DUMMYFUNCTION("""COMPUTED_VALUE"""),"| 1 L PHP-CGM @ | 2 L JAVA @ | 3 P NS @ | 5 P JAVA @ ")</f>
        <v xml:space="preserve">| 1 L PHP-CGM @ | 2 L JAVA @ | 3 P NS @ | 5 P JAVA @ </v>
      </c>
      <c r="BL10" s="4" t="str">
        <f ca="1">IFERROR(__xludf.DUMMYFUNCTION("""COMPUTED_VALUE"""),"| 1 P Python @ | 3 L JAVA @ | 4 L CPT @ | 5 P JAVA @ ")</f>
        <v xml:space="preserve">| 1 P Python @ | 3 L JAVA @ | 4 L CPT @ | 5 P JAVA @ </v>
      </c>
      <c r="BM10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0" s="4" t="str">
        <f ca="1">IFERROR(__xludf.DUMMYFUNCTION("""COMPUTED_VALUE"""),"| 1 L INE @ | 3 L PHP-CGM @ | 4 L NS @ | 5 L PRO @ ")</f>
        <v xml:space="preserve">| 1 L INE @ | 3 L PHP-CGM @ | 4 L NS @ | 5 L PRO @ </v>
      </c>
      <c r="BO10" s="4" t="str">
        <f ca="1">IFERROR(__xludf.DUMMYFUNCTION("""COMPUTED_VALUE"""),"| 1 L CPT @ | 2 L NS @ | 3 P CPT @ ")</f>
        <v xml:space="preserve">| 1 L CPT @ | 2 L NS @ | 3 P CPT @ </v>
      </c>
      <c r="BP10" s="4" t="str">
        <f ca="1">IFERROR(__xludf.DUMMYFUNCTION("""COMPUTED_VALUE"""),"| 1 L PHP-CGM % | 2 L JAVA % | 3 P NS @ | 5 P JAVA @ ")</f>
        <v xml:space="preserve">| 1 L PHP-CGM % | 2 L JAVA % | 3 P NS @ | 5 P JAVA @ </v>
      </c>
      <c r="BQ10" s="4" t="str">
        <f ca="1">IFERROR(__xludf.DUMMYFUNCTION("""COMPUTED_VALUE"""),"| 5 L PHP-CGM % | 6 L CPT @ ")</f>
        <v xml:space="preserve">| 5 L PHP-CGM % | 6 L CPT @ </v>
      </c>
      <c r="BR10" s="4"/>
      <c r="BS10" s="4"/>
      <c r="BT10" s="4" t="str">
        <f ca="1">IFERROR(__xludf.DUMMYFUNCTION("""COMPUTED_VALUE"""),"| 1 L PHP-CGM @ | 2 L JAVA @ | 3 P NS @ ")</f>
        <v xml:space="preserve">| 1 L PHP-CGM @ | 2 L JAVA @ | 3 P NS @ </v>
      </c>
      <c r="BU10" s="4" t="str">
        <f ca="1">IFERROR(__xludf.DUMMYFUNCTION("""COMPUTED_VALUE"""),"| 1 P Python @ | 4 L CPT @ | 3 L JAVA @ ")</f>
        <v xml:space="preserve">| 1 P Python @ | 4 L CPT @ | 3 L JAVA @ </v>
      </c>
      <c r="BV10" s="4" t="str">
        <f ca="1">IFERROR(__xludf.DUMMYFUNCTION("""COMPUTED_VALUE"""),"| 1 L PHP-CGM @ | 2 L JAVA @ | 3 P NS @ | 5 P JAVA @ ")</f>
        <v xml:space="preserve">| 1 L PHP-CGM @ | 2 L JAVA @ | 3 P NS @ | 5 P JAVA @ </v>
      </c>
      <c r="BW10" s="4" t="str">
        <f ca="1">IFERROR(__xludf.DUMMYFUNCTION("""COMPUTED_VALUE"""),"| 1 P Python @ | 3 L JAVA @ | 4 L CPT @ ")</f>
        <v xml:space="preserve">| 1 P Python @ | 3 L JAVA @ | 4 L CPT @ </v>
      </c>
      <c r="BX10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10" s="4" t="str">
        <f ca="1">IFERROR(__xludf.DUMMYFUNCTION("""COMPUTED_VALUE"""),"| 1 L INE @ | 3 L PHP-CGM % | 4 L NS % | 5 L PRO @ ")</f>
        <v xml:space="preserve">| 1 L INE @ | 3 L PHP-CGM % | 4 L NS % | 5 L PRO @ </v>
      </c>
      <c r="BZ10" s="4" t="str">
        <f ca="1">IFERROR(__xludf.DUMMYFUNCTION("""COMPUTED_VALUE"""),"| 1 L CPT @ | 2 L NS % | 3 P CPT @ | 5 P Python @ ")</f>
        <v xml:space="preserve">| 1 L CPT @ | 2 L NS % | 3 P CPT @ | 5 P Python @ </v>
      </c>
      <c r="CA10" s="4" t="str">
        <f ca="1">IFERROR(__xludf.DUMMYFUNCTION("""COMPUTED_VALUE"""),"| 1 L PHP-CGM @ | 2 L JAVA @ | 3 P NS @ | 5 P JAVA @ ")</f>
        <v xml:space="preserve">| 1 L PHP-CGM @ | 2 L JAVA @ | 3 P NS @ | 5 P JAVA @ </v>
      </c>
      <c r="CB10" s="4" t="str">
        <f ca="1">IFERROR(__xludf.DUMMYFUNCTION("""COMPUTED_VALUE"""),"| 1 P Python % | 3 L JAVA % | 4 L CPT % | 5 P JAVA % ")</f>
        <v xml:space="preserve">| 1 P Python % | 3 L JAVA % | 4 L CPT % | 5 P JAVA % </v>
      </c>
      <c r="CC10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10" s="4" t="str">
        <f ca="1">IFERROR(__xludf.DUMMYFUNCTION("""COMPUTED_VALUE"""),"| 1 L INE % | 3 L PHP-CGM @ | 4 L NS @ | 5 L PRO @ ")</f>
        <v xml:space="preserve">| 1 L INE % | 3 L PHP-CGM @ | 4 L NS @ | 5 L PRO @ </v>
      </c>
      <c r="CE10" s="4" t="str">
        <f ca="1">IFERROR(__xludf.DUMMYFUNCTION("""COMPUTED_VALUE"""),"| 1 L CPT % | 2 L NS % | 3 P CPT % | 5 P Python % ")</f>
        <v xml:space="preserve">| 1 L CPT % | 2 L NS % | 3 P CPT % | 5 P Python % </v>
      </c>
      <c r="CF10" s="4" t="str">
        <f ca="1">IFERROR(__xludf.DUMMYFUNCTION("""COMPUTED_VALUE"""),"| 1 L PHP-CGM @ | 2 L JAVA % | 3 P NS % ")</f>
        <v xml:space="preserve">| 1 L PHP-CGM @ | 2 L JAVA % | 3 P NS % </v>
      </c>
      <c r="CG10" s="4" t="str">
        <f ca="1">IFERROR(__xludf.DUMMYFUNCTION("""COMPUTED_VALUE"""),"| 1 P Python % | 4 L CPT % | 5 P JAVA % ")</f>
        <v xml:space="preserve">| 1 P Python % | 4 L CPT % | 5 P JAVA % </v>
      </c>
      <c r="CH10" s="4" t="str">
        <f ca="1">IFERROR(__xludf.DUMMYFUNCTION("""COMPUTED_VALUE"""),"| 3 L NS @ | 6 L CPT @ ")</f>
        <v xml:space="preserve">| 3 L NS @ | 6 L CPT @ </v>
      </c>
      <c r="CI10" s="4" t="str">
        <f ca="1">IFERROR(__xludf.DUMMYFUNCTION("""COMPUTED_VALUE"""),"| 1 L INE @ ")</f>
        <v xml:space="preserve">| 1 L INE @ </v>
      </c>
      <c r="CJ10" s="4" t="str">
        <f ca="1">IFERROR(__xludf.DUMMYFUNCTION("""COMPUTED_VALUE"""),"| 3 P CPT % ")</f>
        <v xml:space="preserve">| 3 P CPT % </v>
      </c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:103" ht="12.5" x14ac:dyDescent="0.25">
      <c r="A11" s="3">
        <f ca="1">IFERROR(__xludf.DUMMYFUNCTION("""COMPUTED_VALUE"""),1)</f>
        <v>1</v>
      </c>
      <c r="B11" s="3" t="str">
        <f ca="1">IFERROR(__xludf.DUMMYFUNCTION("""COMPUTED_VALUE"""),"A")</f>
        <v>A</v>
      </c>
      <c r="C11" s="32" t="str">
        <f ca="1">IFERROR(__xludf.DUMMYFUNCTION("""COMPUTED_VALUE"""),"23291341021")</f>
        <v>23291341021</v>
      </c>
      <c r="D11" s="21" t="str">
        <f ca="1">IFERROR(__xludf.DUMMYFUNCTION("""COMPUTED_VALUE"""),"CHHUNCHHA MAULI ABHAYKUMAR")</f>
        <v>CHHUNCHHA MAULI ABHAYKUMAR</v>
      </c>
      <c r="E11" s="3" t="str">
        <f ca="1">IFERROR(__xludf.DUMMYFUNCTION("""COMPUTED_VALUE"""),"RRP-Mor")</f>
        <v>RRP-Mor</v>
      </c>
      <c r="F11" s="3">
        <f ca="1">IFERROR(__xludf.DUMMYFUNCTION("""COMPUTED_VALUE"""),6352012817)</f>
        <v>6352012817</v>
      </c>
      <c r="G11" s="3">
        <f ca="1">IFERROR(__xludf.DUMMYFUNCTION("""COMPUTED_VALUE"""),9824936578)</f>
        <v>9824936578</v>
      </c>
      <c r="H11" s="33">
        <f ca="1">IFERROR(__xludf.DUMMYFUNCTION("""COMPUTED_VALUE"""),0.59090909090909)</f>
        <v>0.59090909090909005</v>
      </c>
      <c r="I11" s="25">
        <f ca="1">IFERROR(__xludf.DUMMYFUNCTION("""COMPUTED_VALUE"""),0.5)</f>
        <v>0.5</v>
      </c>
      <c r="J11" s="25">
        <f ca="1">IFERROR(__xludf.DUMMYFUNCTION("""COMPUTED_VALUE"""),0.5)</f>
        <v>0.5</v>
      </c>
      <c r="K11" s="25">
        <f ca="1">IFERROR(__xludf.DUMMYFUNCTION("""COMPUTED_VALUE"""),0.558823529411764)</f>
        <v>0.55882352941176405</v>
      </c>
      <c r="L11" s="25">
        <f ca="1">IFERROR(__xludf.DUMMYFUNCTION("""COMPUTED_VALUE"""),0.769230769230769)</f>
        <v>0.76923076923076905</v>
      </c>
      <c r="M11" s="25">
        <f ca="1">IFERROR(__xludf.DUMMYFUNCTION("""COMPUTED_VALUE"""),0.694444444444444)</f>
        <v>0.69444444444444398</v>
      </c>
      <c r="N11" s="25">
        <f ca="1">IFERROR(__xludf.DUMMYFUNCTION("""COMPUTED_VALUE"""),0.6)</f>
        <v>0.6</v>
      </c>
      <c r="O11" s="25">
        <f ca="1">IFERROR(__xludf.DUMMYFUNCTION("""COMPUTED_VALUE"""),0.606060606060606)</f>
        <v>0.60606060606060597</v>
      </c>
      <c r="P11" s="25">
        <f ca="1">IFERROR(__xludf.DUMMYFUNCTION("""COMPUTED_VALUE"""),0.652173913043478)</f>
        <v>0.65217391304347805</v>
      </c>
      <c r="Q11" s="25">
        <f ca="1">IFERROR(__xludf.DUMMYFUNCTION("""COMPUTED_VALUE"""),0)</f>
        <v>0</v>
      </c>
      <c r="R11" s="25">
        <f ca="1">IFERROR(__xludf.DUMMYFUNCTION("""COMPUTED_VALUE"""),0.545454545454545)</f>
        <v>0.54545454545454497</v>
      </c>
      <c r="S11" s="25">
        <f ca="1">IFERROR(__xludf.DUMMYFUNCTION("""COMPUTED_VALUE"""),0.6)</f>
        <v>0.6</v>
      </c>
      <c r="T11" s="25">
        <f ca="1">IFERROR(__xludf.DUMMYFUNCTION("""COMPUTED_VALUE"""),1)</f>
        <v>1</v>
      </c>
      <c r="U11" s="25">
        <f ca="1">IFERROR(__xludf.DUMMYFUNCTION("""COMPUTED_VALUE"""),0.363636363636363)</f>
        <v>0.36363636363636298</v>
      </c>
      <c r="V11" s="25">
        <f ca="1">IFERROR(__xludf.DUMMYFUNCTION("""COMPUTED_VALUE"""),0)</f>
        <v>0</v>
      </c>
      <c r="W11" s="4"/>
      <c r="X11" s="4" t="str">
        <f ca="1">IFERROR(__xludf.DUMMYFUNCTION("""COMPUTED_VALUE"""),"| 1 L PHP-CGM % | 3 P NS % | 5 P JAVA % ")</f>
        <v xml:space="preserve">| 1 L PHP-CGM % | 3 P NS % | 5 P JAVA % </v>
      </c>
      <c r="Y11" s="4" t="str">
        <f ca="1">IFERROR(__xludf.DUMMYFUNCTION("""COMPUTED_VALUE"""),"| 1 P Python @ | 3 L JAVA @ | 4 L CPT @ | 5 P JAVA @ ")</f>
        <v xml:space="preserve">| 1 P Python @ | 3 L JAVA @ | 4 L CPT @ | 5 P JAVA @ </v>
      </c>
      <c r="Z11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11" s="4" t="str">
        <f ca="1">IFERROR(__xludf.DUMMYFUNCTION("""COMPUTED_VALUE"""),"| 3 L PHP-CGM % | 4 L NS % | 1 L INE % | 5 P PRO % ")</f>
        <v xml:space="preserve">| 3 L PHP-CGM % | 4 L NS % | 1 L INE % | 5 P PRO % </v>
      </c>
      <c r="AB11" s="4" t="str">
        <f ca="1">IFERROR(__xludf.DUMMYFUNCTION("""COMPUTED_VALUE"""),"| 1 L CPT @ | 2 L NS @ | 3 P CPT @ | 5 P Python @ ")</f>
        <v xml:space="preserve">| 1 L CPT @ | 2 L NS @ | 3 P CPT @ | 5 P Python @ </v>
      </c>
      <c r="AC11" s="4" t="str">
        <f ca="1">IFERROR(__xludf.DUMMYFUNCTION("""COMPUTED_VALUE"""),"| 1 L PHP-CGM % | 2 L JAVA % | 3 P NS % | 5 P JAVA % ")</f>
        <v xml:space="preserve">| 1 L PHP-CGM % | 2 L JAVA % | 3 P NS % | 5 P JAVA % </v>
      </c>
      <c r="AD11" s="4" t="str">
        <f ca="1">IFERROR(__xludf.DUMMYFUNCTION("""COMPUTED_VALUE"""),"| 1 P Python % | 3 L JAVA % | 4 L CPT % | 5 P JAVA % ")</f>
        <v xml:space="preserve">| 1 P Python % | 3 L JAVA % | 4 L CPT % | 5 P JAVA % </v>
      </c>
      <c r="AE11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11" s="4" t="str">
        <f ca="1">IFERROR(__xludf.DUMMYFUNCTION("""COMPUTED_VALUE"""),"| 3 L PHP-CGM % | 4 L NS % | 5 P PRO % ")</f>
        <v xml:space="preserve">| 3 L PHP-CGM % | 4 L NS % | 5 P PRO % </v>
      </c>
      <c r="AG11" s="4" t="str">
        <f ca="1">IFERROR(__xludf.DUMMYFUNCTION("""COMPUTED_VALUE"""),"| 1 L CPT @ | 2 L NS @ | 3 P CPT @ | 5 P Python @ ")</f>
        <v xml:space="preserve">| 1 L CPT @ | 2 L NS @ | 3 P CPT @ | 5 P Python @ </v>
      </c>
      <c r="AH11" s="4" t="str">
        <f ca="1">IFERROR(__xludf.DUMMYFUNCTION("""COMPUTED_VALUE"""),"| 3 L PHP-CGM % | 4 L NS % | 5 L PRO % ")</f>
        <v xml:space="preserve">| 3 L PHP-CGM % | 4 L NS % | 5 L PRO % </v>
      </c>
      <c r="AI11" s="4" t="str">
        <f ca="1">IFERROR(__xludf.DUMMYFUNCTION("""COMPUTED_VALUE"""),"| 1 L CPT % | 2 L NS % | 3 P CPT % | 5 P Python % ")</f>
        <v xml:space="preserve">| 1 L CPT % | 2 L NS % | 3 P CPT % | 5 P Python % </v>
      </c>
      <c r="AJ11" s="4" t="str">
        <f ca="1">IFERROR(__xludf.DUMMYFUNCTION("""COMPUTED_VALUE"""),"| 1 L PHP-CGM % | 2 L JAVA % | 3 P NS % | 5 P JAVA % ")</f>
        <v xml:space="preserve">| 1 L PHP-CGM % | 2 L JAVA % | 3 P NS % | 5 P JAVA % </v>
      </c>
      <c r="AK11" s="4" t="str">
        <f ca="1">IFERROR(__xludf.DUMMYFUNCTION("""COMPUTED_VALUE"""),"| 1 P Python % | 3 L JAVA % | 4 L CPT % | 5 P JAVA % ")</f>
        <v xml:space="preserve">| 1 P Python % | 3 L JAVA % | 4 L CPT % | 5 P JAVA % </v>
      </c>
      <c r="AL1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11" s="4" t="str">
        <f ca="1">IFERROR(__xludf.DUMMYFUNCTION("""COMPUTED_VALUE"""),"| 1 L INE @ | 4 L NS % | 3 L PHP-CGM % | 5 L PRO % ")</f>
        <v xml:space="preserve">| 1 L INE @ | 4 L NS % | 3 L PHP-CGM % | 5 L PRO % </v>
      </c>
      <c r="AN11" s="4" t="str">
        <f ca="1">IFERROR(__xludf.DUMMYFUNCTION("""COMPUTED_VALUE"""),"| 1 L CPT % | 2 L NS % | 3 P CPT % | 5 P Python % ")</f>
        <v xml:space="preserve">| 1 L CPT % | 2 L NS % | 3 P CPT % | 5 P Python % </v>
      </c>
      <c r="AO11" s="4" t="str">
        <f ca="1">IFERROR(__xludf.DUMMYFUNCTION("""COMPUTED_VALUE"""),"| 1 L PHP-CGM % | 2 L JAVA % | 3 P NS % | 5 P JAVA % ")</f>
        <v xml:space="preserve">| 1 L PHP-CGM % | 2 L JAVA % | 3 P NS % | 5 P JAVA % </v>
      </c>
      <c r="AP11" s="4" t="str">
        <f ca="1">IFERROR(__xludf.DUMMYFUNCTION("""COMPUTED_VALUE"""),"| 1 P Python % | 3 L JAVA % | 4 L CPT % | 5 P JAVA % ")</f>
        <v xml:space="preserve">| 1 P Python % | 3 L JAVA % | 4 L CPT % | 5 P JAVA % </v>
      </c>
      <c r="AQ1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1" s="4" t="str">
        <f ca="1">IFERROR(__xludf.DUMMYFUNCTION("""COMPUTED_VALUE"""),"| 1 L INE % | 3 L PHP-CGM % | 4 L NS % | 5 L PRO % ")</f>
        <v xml:space="preserve">| 1 L INE % | 3 L PHP-CGM % | 4 L NS % | 5 L PRO % </v>
      </c>
      <c r="AS11" s="4" t="str">
        <f ca="1">IFERROR(__xludf.DUMMYFUNCTION("""COMPUTED_VALUE"""),"| 1 L PHP-CGM % | 2 L JAVA % | 3 P NS % | 5 P JAVA % ")</f>
        <v xml:space="preserve">| 1 L PHP-CGM % | 2 L JAVA % | 3 P NS % | 5 P JAVA % </v>
      </c>
      <c r="AT11" s="4" t="str">
        <f ca="1">IFERROR(__xludf.DUMMYFUNCTION("""COMPUTED_VALUE"""),"| 1 P Python % | 3 L JAVA % | 4 L CPT % | 5 P JAVA % ")</f>
        <v xml:space="preserve">| 1 P Python % | 3 L JAVA % | 4 L CPT % | 5 P JAVA % </v>
      </c>
      <c r="AU1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11" s="4" t="str">
        <f ca="1">IFERROR(__xludf.DUMMYFUNCTION("""COMPUTED_VALUE"""),"| 1 L INE @ | 3 L PHP-CGM @ | 4 L NS @ | 7 L PRO @ ")</f>
        <v xml:space="preserve">| 1 L INE @ | 3 L PHP-CGM @ | 4 L NS @ | 7 L PRO @ </v>
      </c>
      <c r="AW11" s="4" t="str">
        <f ca="1">IFERROR(__xludf.DUMMYFUNCTION("""COMPUTED_VALUE"""),"| 1 L CPT % | 2 L NS % | 3 P CPT % | 5 P Python % ")</f>
        <v xml:space="preserve">| 1 L CPT % | 2 L NS % | 3 P CPT % | 5 P Python % </v>
      </c>
      <c r="AX11" s="4" t="str">
        <f ca="1">IFERROR(__xludf.DUMMYFUNCTION("""COMPUTED_VALUE"""),"| 1 L PHP-CGM % | 2 L JAVA % | 3 P NS % | 5 P JAVA % ")</f>
        <v xml:space="preserve">| 1 L PHP-CGM % | 2 L JAVA % | 3 P NS % | 5 P JAVA % </v>
      </c>
      <c r="AY11" s="4" t="str">
        <f ca="1">IFERROR(__xludf.DUMMYFUNCTION("""COMPUTED_VALUE"""),"| 1 P Python % | 3 L JAVA % | 4 L CPT % | 5 P JAVA % ")</f>
        <v xml:space="preserve">| 1 P Python % | 3 L JAVA % | 4 L CPT % | 5 P JAVA % </v>
      </c>
      <c r="AZ11" s="4" t="str">
        <f ca="1">IFERROR(__xludf.DUMMYFUNCTION("""COMPUTED_VALUE"""),"| 1 L INE % | 3 L PHP-CGM % | 4 L NS % | 5 L PRO % ")</f>
        <v xml:space="preserve">| 1 L INE % | 3 L PHP-CGM % | 4 L NS % | 5 L PRO % </v>
      </c>
      <c r="BA11" s="4" t="str">
        <f ca="1">IFERROR(__xludf.DUMMYFUNCTION("""COMPUTED_VALUE"""),"| 1 L CPT % | 2 L NS % | 3 P CPT % | 5 P Python % ")</f>
        <v xml:space="preserve">| 1 L CPT % | 2 L NS % | 3 P CPT % | 5 P Python % </v>
      </c>
      <c r="BB11" s="4" t="str">
        <f ca="1">IFERROR(__xludf.DUMMYFUNCTION("""COMPUTED_VALUE"""),"| 1 L PHP-CGM % | 2 L JAVA % | 3 P NS % | 5 P JAVA % ")</f>
        <v xml:space="preserve">| 1 L PHP-CGM % | 2 L JAVA % | 3 P NS % | 5 P JAVA % </v>
      </c>
      <c r="BC11" s="4" t="str">
        <f ca="1">IFERROR(__xludf.DUMMYFUNCTION("""COMPUTED_VALUE"""),"| 1 P Python @ | 3 L JAVA @ | 4 L CPT @ | 5 P JAVA @ ")</f>
        <v xml:space="preserve">| 1 P Python @ | 3 L JAVA @ | 4 L CPT @ | 5 P JAVA @ </v>
      </c>
      <c r="BD11" s="4" t="str">
        <f ca="1">IFERROR(__xludf.DUMMYFUNCTION("""COMPUTED_VALUE"""),"| 1 P PHP-CGM % | 3 L NS % | 6 L CPT % | 5 L PHP-CGM % | 4 L JAVA % ")</f>
        <v xml:space="preserve">| 1 P PHP-CGM % | 3 L NS % | 6 L CPT % | 5 L PHP-CGM % | 4 L JAVA % </v>
      </c>
      <c r="BE11" s="4" t="str">
        <f ca="1">IFERROR(__xludf.DUMMYFUNCTION("""COMPUTED_VALUE"""),"| 1 L INE % | 3 L PHP-CGM % | 4 L NS % | 5 L PRO % ")</f>
        <v xml:space="preserve">| 1 L INE % | 3 L PHP-CGM % | 4 L NS % | 5 L PRO % </v>
      </c>
      <c r="BF11" s="4" t="str">
        <f ca="1">IFERROR(__xludf.DUMMYFUNCTION("""COMPUTED_VALUE"""),"| 1 L CPT % | 2 L NS % | 3 P CPT % | 5 P JAVA % ")</f>
        <v xml:space="preserve">| 1 L CPT % | 2 L NS % | 3 P CPT % | 5 P JAVA % </v>
      </c>
      <c r="BG11" s="4" t="str">
        <f ca="1">IFERROR(__xludf.DUMMYFUNCTION("""COMPUTED_VALUE"""),"| 1 P Python % | 4 L CPT % | 5 P JAVA @ ")</f>
        <v xml:space="preserve">| 1 P Python % | 4 L CPT % | 5 P JAVA @ </v>
      </c>
      <c r="BH1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I11" s="4" t="str">
        <f ca="1">IFERROR(__xludf.DUMMYFUNCTION("""COMPUTED_VALUE"""),"| 1 L INE @ | 3 L PHP-CGM % | 4 L NS % | 5 L PRO % ")</f>
        <v xml:space="preserve">| 1 L INE @ | 3 L PHP-CGM % | 4 L NS % | 5 L PRO % </v>
      </c>
      <c r="BJ11" s="4" t="str">
        <f ca="1">IFERROR(__xludf.DUMMYFUNCTION("""COMPUTED_VALUE"""),"| 1 L CPT @ | 2 L NS @ | 3 P CPT @ | 5 P Python @ ")</f>
        <v xml:space="preserve">| 1 L CPT @ | 2 L NS @ | 3 P CPT @ | 5 P Python @ </v>
      </c>
      <c r="BK11" s="4" t="str">
        <f ca="1">IFERROR(__xludf.DUMMYFUNCTION("""COMPUTED_VALUE"""),"| 1 L PHP-CGM % | 2 L JAVA % | 3 P NS % | 5 P JAVA % ")</f>
        <v xml:space="preserve">| 1 L PHP-CGM % | 2 L JAVA % | 3 P NS % | 5 P JAVA % </v>
      </c>
      <c r="BL11" s="4" t="str">
        <f ca="1">IFERROR(__xludf.DUMMYFUNCTION("""COMPUTED_VALUE"""),"| 1 P Python @ | 3 L JAVA @ | 4 L CPT @ | 5 P JAVA @ ")</f>
        <v xml:space="preserve">| 1 P Python @ | 3 L JAVA @ | 4 L CPT @ | 5 P JAVA @ </v>
      </c>
      <c r="BM11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1" s="4" t="str">
        <f ca="1">IFERROR(__xludf.DUMMYFUNCTION("""COMPUTED_VALUE"""),"| 1 L INE @ | 3 L PHP-CGM @ | 4 L NS @ | 5 L PRO @ ")</f>
        <v xml:space="preserve">| 1 L INE @ | 3 L PHP-CGM @ | 4 L NS @ | 5 L PRO @ </v>
      </c>
      <c r="BO11" s="4" t="str">
        <f ca="1">IFERROR(__xludf.DUMMYFUNCTION("""COMPUTED_VALUE"""),"| 1 L CPT @ | 2 L NS @ | 3 P CPT @ ")</f>
        <v xml:space="preserve">| 1 L CPT @ | 2 L NS @ | 3 P CPT @ </v>
      </c>
      <c r="BP11" s="4" t="str">
        <f ca="1">IFERROR(__xludf.DUMMYFUNCTION("""COMPUTED_VALUE"""),"| 1 L PHP-CGM % | 2 L JAVA % | 3 P NS % | 5 P JAVA @ ")</f>
        <v xml:space="preserve">| 1 L PHP-CGM % | 2 L JAVA % | 3 P NS % | 5 P JAVA @ </v>
      </c>
      <c r="BQ11" s="4" t="str">
        <f ca="1">IFERROR(__xludf.DUMMYFUNCTION("""COMPUTED_VALUE"""),"| 5 L PHP-CGM % | 6 L CPT % ")</f>
        <v xml:space="preserve">| 5 L PHP-CGM % | 6 L CPT % </v>
      </c>
      <c r="BR11" s="4"/>
      <c r="BS11" s="4"/>
      <c r="BT11" s="4" t="str">
        <f ca="1">IFERROR(__xludf.DUMMYFUNCTION("""COMPUTED_VALUE"""),"| 1 L PHP-CGM @ | 2 L JAVA @ | 3 P NS @ ")</f>
        <v xml:space="preserve">| 1 L PHP-CGM @ | 2 L JAVA @ | 3 P NS @ </v>
      </c>
      <c r="BU11" s="4" t="str">
        <f ca="1">IFERROR(__xludf.DUMMYFUNCTION("""COMPUTED_VALUE"""),"| 1 P Python % | 4 L CPT @ | 3 L JAVA @ ")</f>
        <v xml:space="preserve">| 1 P Python % | 4 L CPT @ | 3 L JAVA @ </v>
      </c>
      <c r="BV11" s="4" t="str">
        <f ca="1">IFERROR(__xludf.DUMMYFUNCTION("""COMPUTED_VALUE"""),"| 1 L PHP-CGM @ | 2 L JAVA @ | 3 P NS @ | 5 P JAVA @ ")</f>
        <v xml:space="preserve">| 1 L PHP-CGM @ | 2 L JAVA @ | 3 P NS @ | 5 P JAVA @ </v>
      </c>
      <c r="BW11" s="4" t="str">
        <f ca="1">IFERROR(__xludf.DUMMYFUNCTION("""COMPUTED_VALUE"""),"| 1 P Python @ | 3 L JAVA @ | 4 L CPT @ ")</f>
        <v xml:space="preserve">| 1 P Python @ | 3 L JAVA @ | 4 L CPT @ </v>
      </c>
      <c r="BX11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11" s="4" t="str">
        <f ca="1">IFERROR(__xludf.DUMMYFUNCTION("""COMPUTED_VALUE"""),"| 1 L INE @ | 3 L PHP-CGM @ | 4 L NS @ | 5 L PRO @ ")</f>
        <v xml:space="preserve">| 1 L INE @ | 3 L PHP-CGM @ | 4 L NS @ | 5 L PRO @ </v>
      </c>
      <c r="BZ11" s="4" t="str">
        <f ca="1">IFERROR(__xludf.DUMMYFUNCTION("""COMPUTED_VALUE"""),"| 1 L CPT @ | 2 L NS @ | 3 P CPT @ | 5 P Python @ ")</f>
        <v xml:space="preserve">| 1 L CPT @ | 2 L NS @ | 3 P CPT @ | 5 P Python @ </v>
      </c>
      <c r="CA11" s="4" t="str">
        <f ca="1">IFERROR(__xludf.DUMMYFUNCTION("""COMPUTED_VALUE"""),"| 1 L PHP-CGM @ | 2 L JAVA @ | 3 P NS @ | 5 P JAVA @ ")</f>
        <v xml:space="preserve">| 1 L PHP-CGM @ | 2 L JAVA @ | 3 P NS @ | 5 P JAVA @ </v>
      </c>
      <c r="CB11" s="4" t="str">
        <f ca="1">IFERROR(__xludf.DUMMYFUNCTION("""COMPUTED_VALUE"""),"| 1 P Python @ | 3 L JAVA @ | 4 L CPT @ | 5 P JAVA @ ")</f>
        <v xml:space="preserve">| 1 P Python @ | 3 L JAVA @ | 4 L CPT @ | 5 P JAVA @ </v>
      </c>
      <c r="CC11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CD11" s="4" t="str">
        <f ca="1">IFERROR(__xludf.DUMMYFUNCTION("""COMPUTED_VALUE"""),"| 1 L INE @ | 3 L PHP-CGM @ | 4 L NS @ | 5 L PRO @ ")</f>
        <v xml:space="preserve">| 1 L INE @ | 3 L PHP-CGM @ | 4 L NS @ | 5 L PRO @ </v>
      </c>
      <c r="CE11" s="4" t="str">
        <f ca="1">IFERROR(__xludf.DUMMYFUNCTION("""COMPUTED_VALUE"""),"| 1 L CPT @ | 2 L NS @ | 3 P CPT @ | 5 P Python @ ")</f>
        <v xml:space="preserve">| 1 L CPT @ | 2 L NS @ | 3 P CPT @ | 5 P Python @ </v>
      </c>
      <c r="CF11" s="4" t="str">
        <f ca="1">IFERROR(__xludf.DUMMYFUNCTION("""COMPUTED_VALUE"""),"| 1 L PHP-CGM % | 2 L JAVA % | 3 P NS % ")</f>
        <v xml:space="preserve">| 1 L PHP-CGM % | 2 L JAVA % | 3 P NS % </v>
      </c>
      <c r="CG11" s="4" t="str">
        <f ca="1">IFERROR(__xludf.DUMMYFUNCTION("""COMPUTED_VALUE"""),"| 1 P Python % | 4 L CPT @ | 5 P JAVA % ")</f>
        <v xml:space="preserve">| 1 P Python % | 4 L CPT @ | 5 P JAVA % </v>
      </c>
      <c r="CH11" s="4" t="str">
        <f ca="1">IFERROR(__xludf.DUMMYFUNCTION("""COMPUTED_VALUE"""),"| 3 L NS @ | 6 L CPT @ ")</f>
        <v xml:space="preserve">| 3 L NS @ | 6 L CPT @ </v>
      </c>
      <c r="CI11" s="4" t="str">
        <f ca="1">IFERROR(__xludf.DUMMYFUNCTION("""COMPUTED_VALUE"""),"| 1 L INE @ ")</f>
        <v xml:space="preserve">| 1 L INE @ </v>
      </c>
      <c r="CJ11" s="4" t="str">
        <f ca="1">IFERROR(__xludf.DUMMYFUNCTION("""COMPUTED_VALUE"""),"| 3 P CPT % ")</f>
        <v xml:space="preserve">| 3 P CPT % </v>
      </c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</row>
    <row r="12" spans="1:103" ht="12.5" x14ac:dyDescent="0.25">
      <c r="A12" s="3">
        <f ca="1">IFERROR(__xludf.DUMMYFUNCTION("""COMPUTED_VALUE"""),1)</f>
        <v>1</v>
      </c>
      <c r="B12" s="3" t="str">
        <f ca="1">IFERROR(__xludf.DUMMYFUNCTION("""COMPUTED_VALUE"""),"A")</f>
        <v>A</v>
      </c>
      <c r="C12" s="32" t="str">
        <f ca="1">IFERROR(__xludf.DUMMYFUNCTION("""COMPUTED_VALUE"""),"23291341025")</f>
        <v>23291341025</v>
      </c>
      <c r="D12" s="21" t="str">
        <f ca="1">IFERROR(__xludf.DUMMYFUNCTION("""COMPUTED_VALUE"""),"DAVE HETVI BHAVESHKUMAR")</f>
        <v>DAVE HETVI BHAVESHKUMAR</v>
      </c>
      <c r="E12" s="3" t="str">
        <f ca="1">IFERROR(__xludf.DUMMYFUNCTION("""COMPUTED_VALUE"""),"RRP-Mor")</f>
        <v>RRP-Mor</v>
      </c>
      <c r="F12" s="3">
        <f ca="1">IFERROR(__xludf.DUMMYFUNCTION("""COMPUTED_VALUE"""),9998794480)</f>
        <v>9998794480</v>
      </c>
      <c r="G12" s="3">
        <f ca="1">IFERROR(__xludf.DUMMYFUNCTION("""COMPUTED_VALUE"""),9998794480)</f>
        <v>9998794480</v>
      </c>
      <c r="H12" s="33">
        <f ca="1">IFERROR(__xludf.DUMMYFUNCTION("""COMPUTED_VALUE"""),0.5)</f>
        <v>0.5</v>
      </c>
      <c r="I12" s="25">
        <f ca="1">IFERROR(__xludf.DUMMYFUNCTION("""COMPUTED_VALUE"""),0.444444444444444)</f>
        <v>0.44444444444444398</v>
      </c>
      <c r="J12" s="25">
        <f ca="1">IFERROR(__xludf.DUMMYFUNCTION("""COMPUTED_VALUE"""),0.5)</f>
        <v>0.5</v>
      </c>
      <c r="K12" s="25">
        <f ca="1">IFERROR(__xludf.DUMMYFUNCTION("""COMPUTED_VALUE"""),0.647058823529411)</f>
        <v>0.64705882352941102</v>
      </c>
      <c r="L12" s="25">
        <f ca="1">IFERROR(__xludf.DUMMYFUNCTION("""COMPUTED_VALUE"""),0.615384615384615)</f>
        <v>0.61538461538461497</v>
      </c>
      <c r="M12" s="25">
        <f ca="1">IFERROR(__xludf.DUMMYFUNCTION("""COMPUTED_VALUE"""),0.555555555555555)</f>
        <v>0.55555555555555503</v>
      </c>
      <c r="N12" s="25">
        <f ca="1">IFERROR(__xludf.DUMMYFUNCTION("""COMPUTED_VALUE"""),0.7)</f>
        <v>0.7</v>
      </c>
      <c r="O12" s="25">
        <f ca="1">IFERROR(__xludf.DUMMYFUNCTION("""COMPUTED_VALUE"""),0.484848484848484)</f>
        <v>0.48484848484848397</v>
      </c>
      <c r="P12" s="25">
        <f ca="1">IFERROR(__xludf.DUMMYFUNCTION("""COMPUTED_VALUE"""),0.347826086956521)</f>
        <v>0.34782608695652101</v>
      </c>
      <c r="Q12" s="25">
        <f ca="1">IFERROR(__xludf.DUMMYFUNCTION("""COMPUTED_VALUE"""),0)</f>
        <v>0</v>
      </c>
      <c r="R12" s="25">
        <f ca="1">IFERROR(__xludf.DUMMYFUNCTION("""COMPUTED_VALUE"""),0.454545454545454)</f>
        <v>0.45454545454545398</v>
      </c>
      <c r="S12" s="25">
        <f ca="1">IFERROR(__xludf.DUMMYFUNCTION("""COMPUTED_VALUE"""),0.3)</f>
        <v>0.3</v>
      </c>
      <c r="T12" s="25">
        <f ca="1">IFERROR(__xludf.DUMMYFUNCTION("""COMPUTED_VALUE"""),1)</f>
        <v>1</v>
      </c>
      <c r="U12" s="25">
        <f ca="1">IFERROR(__xludf.DUMMYFUNCTION("""COMPUTED_VALUE"""),0.272727272727272)</f>
        <v>0.27272727272727199</v>
      </c>
      <c r="V12" s="25">
        <f ca="1">IFERROR(__xludf.DUMMYFUNCTION("""COMPUTED_VALUE"""),0)</f>
        <v>0</v>
      </c>
      <c r="W12" s="4"/>
      <c r="X12" s="4" t="str">
        <f ca="1">IFERROR(__xludf.DUMMYFUNCTION("""COMPUTED_VALUE"""),"| 1 L PHP-CGM % | 3 P NS % | 5 P JAVA % ")</f>
        <v xml:space="preserve">| 1 L PHP-CGM % | 3 P NS % | 5 P JAVA % </v>
      </c>
      <c r="Y12" s="4" t="str">
        <f ca="1">IFERROR(__xludf.DUMMYFUNCTION("""COMPUTED_VALUE"""),"| 1 P Python % | 3 L JAVA % | 4 L CPT % | 5 P JAVA % ")</f>
        <v xml:space="preserve">| 1 P Python % | 3 L JAVA % | 4 L CPT % | 5 P JAVA % </v>
      </c>
      <c r="Z12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A12" s="4" t="str">
        <f ca="1">IFERROR(__xludf.DUMMYFUNCTION("""COMPUTED_VALUE"""),"| 3 L PHP-CGM % | 4 L NS % | 1 L INE % | 5 P PRO % ")</f>
        <v xml:space="preserve">| 3 L PHP-CGM % | 4 L NS % | 1 L INE % | 5 P PRO % </v>
      </c>
      <c r="AB12" s="4" t="str">
        <f ca="1">IFERROR(__xludf.DUMMYFUNCTION("""COMPUTED_VALUE"""),"| 1 L CPT % | 2 L NS % | 3 P CPT % | 5 P Python % ")</f>
        <v xml:space="preserve">| 1 L CPT % | 2 L NS % | 3 P CPT % | 5 P Python % </v>
      </c>
      <c r="AC12" s="4" t="str">
        <f ca="1">IFERROR(__xludf.DUMMYFUNCTION("""COMPUTED_VALUE"""),"| 1 L PHP-CGM % | 2 L JAVA % | 3 P NS % | 5 P JAVA @ ")</f>
        <v xml:space="preserve">| 1 L PHP-CGM % | 2 L JAVA % | 3 P NS % | 5 P JAVA @ </v>
      </c>
      <c r="AD12" s="4" t="str">
        <f ca="1">IFERROR(__xludf.DUMMYFUNCTION("""COMPUTED_VALUE"""),"| 1 P Python % | 3 L JAVA % | 4 L CPT % | 5 P JAVA % ")</f>
        <v xml:space="preserve">| 1 P Python % | 3 L JAVA % | 4 L CPT % | 5 P JAVA % </v>
      </c>
      <c r="AE12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12" s="4" t="str">
        <f ca="1">IFERROR(__xludf.DUMMYFUNCTION("""COMPUTED_VALUE"""),"| 3 L PHP-CGM % | 4 L NS % | 5 P PRO % ")</f>
        <v xml:space="preserve">| 3 L PHP-CGM % | 4 L NS % | 5 P PRO % </v>
      </c>
      <c r="AG12" s="4" t="str">
        <f ca="1">IFERROR(__xludf.DUMMYFUNCTION("""COMPUTED_VALUE"""),"| 1 L CPT % | 2 L NS % | 3 P CPT @ | 5 P Python @ ")</f>
        <v xml:space="preserve">| 1 L CPT % | 2 L NS % | 3 P CPT @ | 5 P Python @ </v>
      </c>
      <c r="AH12" s="4" t="str">
        <f ca="1">IFERROR(__xludf.DUMMYFUNCTION("""COMPUTED_VALUE"""),"| 3 L PHP-CGM @ | 4 L NS @ | 5 L PRO @ ")</f>
        <v xml:space="preserve">| 3 L PHP-CGM @ | 4 L NS @ | 5 L PRO @ </v>
      </c>
      <c r="AI12" s="4" t="str">
        <f ca="1">IFERROR(__xludf.DUMMYFUNCTION("""COMPUTED_VALUE"""),"| 1 L CPT % | 2 L NS % | 3 P CPT % | 5 P Python % ")</f>
        <v xml:space="preserve">| 1 L CPT % | 2 L NS % | 3 P CPT % | 5 P Python % </v>
      </c>
      <c r="AJ12" s="4" t="str">
        <f ca="1">IFERROR(__xludf.DUMMYFUNCTION("""COMPUTED_VALUE"""),"| 1 L PHP-CGM % | 2 L JAVA % | 3 P NS % | 5 P JAVA % ")</f>
        <v xml:space="preserve">| 1 L PHP-CGM % | 2 L JAVA % | 3 P NS % | 5 P JAVA % </v>
      </c>
      <c r="AK12" s="4" t="str">
        <f ca="1">IFERROR(__xludf.DUMMYFUNCTION("""COMPUTED_VALUE"""),"| 1 P Python % | 3 L JAVA @ | 4 L CPT @ | 5 P JAVA @ ")</f>
        <v xml:space="preserve">| 1 P Python % | 3 L JAVA @ | 4 L CPT @ | 5 P JAVA @ </v>
      </c>
      <c r="AL12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12" s="4" t="str">
        <f ca="1">IFERROR(__xludf.DUMMYFUNCTION("""COMPUTED_VALUE"""),"| 1 L INE @ | 4 L NS % | 3 L PHP-CGM % | 5 L PRO % ")</f>
        <v xml:space="preserve">| 1 L INE @ | 4 L NS % | 3 L PHP-CGM % | 5 L PRO % </v>
      </c>
      <c r="AN12" s="4" t="str">
        <f ca="1">IFERROR(__xludf.DUMMYFUNCTION("""COMPUTED_VALUE"""),"| 1 L CPT @ | 2 L NS @ | 3 P CPT @ | 5 P Python @ ")</f>
        <v xml:space="preserve">| 1 L CPT @ | 2 L NS @ | 3 P CPT @ | 5 P Python @ </v>
      </c>
      <c r="AO12" s="4" t="str">
        <f ca="1">IFERROR(__xludf.DUMMYFUNCTION("""COMPUTED_VALUE"""),"| 1 L PHP-CGM % | 2 L JAVA % | 3 P NS % | 5 P JAVA % ")</f>
        <v xml:space="preserve">| 1 L PHP-CGM % | 2 L JAVA % | 3 P NS % | 5 P JAVA % </v>
      </c>
      <c r="AP12" s="4" t="str">
        <f ca="1">IFERROR(__xludf.DUMMYFUNCTION("""COMPUTED_VALUE"""),"| 1 P Python @ | 3 L JAVA @ | 4 L CPT @ | 5 P JAVA @ ")</f>
        <v xml:space="preserve">| 1 P Python @ | 3 L JAVA @ | 4 L CPT @ | 5 P JAVA @ </v>
      </c>
      <c r="AQ12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R12" s="4" t="str">
        <f ca="1">IFERROR(__xludf.DUMMYFUNCTION("""COMPUTED_VALUE"""),"| 1 L INE @ | 3 L PHP-CGM @ | 4 L NS @ | 5 L PRO @ ")</f>
        <v xml:space="preserve">| 1 L INE @ | 3 L PHP-CGM @ | 4 L NS @ | 5 L PRO @ </v>
      </c>
      <c r="AS12" s="4" t="str">
        <f ca="1">IFERROR(__xludf.DUMMYFUNCTION("""COMPUTED_VALUE"""),"| 1 L PHP-CGM % | 2 L JAVA % | 3 P NS % | 5 P JAVA % ")</f>
        <v xml:space="preserve">| 1 L PHP-CGM % | 2 L JAVA % | 3 P NS % | 5 P JAVA % </v>
      </c>
      <c r="AT12" s="4" t="str">
        <f ca="1">IFERROR(__xludf.DUMMYFUNCTION("""COMPUTED_VALUE"""),"| 1 P Python @ | 3 L JAVA @ | 4 L CPT @ | 5 P JAVA @ ")</f>
        <v xml:space="preserve">| 1 P Python @ | 3 L JAVA @ | 4 L CPT @ | 5 P JAVA @ </v>
      </c>
      <c r="AU12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V12" s="4" t="str">
        <f ca="1">IFERROR(__xludf.DUMMYFUNCTION("""COMPUTED_VALUE"""),"| 1 L INE % | 3 L PHP-CGM % | 4 L NS % | 7 L PRO % ")</f>
        <v xml:space="preserve">| 1 L INE % | 3 L PHP-CGM % | 4 L NS % | 7 L PRO % </v>
      </c>
      <c r="AW12" s="4" t="str">
        <f ca="1">IFERROR(__xludf.DUMMYFUNCTION("""COMPUTED_VALUE"""),"| 1 L CPT @ | 2 L NS % | 3 P CPT @ | 5 P Python @ ")</f>
        <v xml:space="preserve">| 1 L CPT @ | 2 L NS % | 3 P CPT @ | 5 P Python @ </v>
      </c>
      <c r="AX12" s="4" t="str">
        <f ca="1">IFERROR(__xludf.DUMMYFUNCTION("""COMPUTED_VALUE"""),"| 1 L PHP-CGM @ | 2 L JAVA @ | 3 P NS @ | 5 P JAVA @ ")</f>
        <v xml:space="preserve">| 1 L PHP-CGM @ | 2 L JAVA @ | 3 P NS @ | 5 P JAVA @ </v>
      </c>
      <c r="AY12" s="4" t="str">
        <f ca="1">IFERROR(__xludf.DUMMYFUNCTION("""COMPUTED_VALUE"""),"| 1 P Python % | 3 L JAVA @ | 4 L CPT @ | 5 P JAVA @ ")</f>
        <v xml:space="preserve">| 1 P Python % | 3 L JAVA @ | 4 L CPT @ | 5 P JAVA @ </v>
      </c>
      <c r="AZ12" s="4" t="str">
        <f ca="1">IFERROR(__xludf.DUMMYFUNCTION("""COMPUTED_VALUE"""),"| 1 L INE @ | 3 L PHP-CGM % | 4 L NS % | 5 L PRO @ ")</f>
        <v xml:space="preserve">| 1 L INE @ | 3 L PHP-CGM % | 4 L NS % | 5 L PRO @ </v>
      </c>
      <c r="BA12" s="4" t="str">
        <f ca="1">IFERROR(__xludf.DUMMYFUNCTION("""COMPUTED_VALUE"""),"| 1 L CPT % | 2 L NS % | 3 P CPT % | 5 P Python % ")</f>
        <v xml:space="preserve">| 1 L CPT % | 2 L NS % | 3 P CPT % | 5 P Python % </v>
      </c>
      <c r="BB12" s="4" t="str">
        <f ca="1">IFERROR(__xludf.DUMMYFUNCTION("""COMPUTED_VALUE"""),"| 1 L PHP-CGM % | 2 L JAVA @ | 3 P NS % | 5 P JAVA @ ")</f>
        <v xml:space="preserve">| 1 L PHP-CGM % | 2 L JAVA @ | 3 P NS % | 5 P JAVA @ </v>
      </c>
      <c r="BC12" s="4" t="str">
        <f ca="1">IFERROR(__xludf.DUMMYFUNCTION("""COMPUTED_VALUE"""),"| 1 P Python @ | 3 L JAVA @ | 4 L CPT @ | 5 P JAVA @ ")</f>
        <v xml:space="preserve">| 1 P Python @ | 3 L JAVA @ | 4 L CPT @ | 5 P JAVA @ </v>
      </c>
      <c r="BD12" s="4" t="str">
        <f ca="1">IFERROR(__xludf.DUMMYFUNCTION("""COMPUTED_VALUE"""),"| 1 P PHP-CGM % | 3 L NS @ | 6 L CPT % | 5 L PHP-CGM % | 4 L JAVA @ ")</f>
        <v xml:space="preserve">| 1 P PHP-CGM % | 3 L NS @ | 6 L CPT % | 5 L PHP-CGM % | 4 L JAVA @ </v>
      </c>
      <c r="BE12" s="4" t="str">
        <f ca="1">IFERROR(__xludf.DUMMYFUNCTION("""COMPUTED_VALUE"""),"| 1 L INE @ | 3 L PHP-CGM % | 4 L NS % | 5 L PRO @ ")</f>
        <v xml:space="preserve">| 1 L INE @ | 3 L PHP-CGM % | 4 L NS % | 5 L PRO @ </v>
      </c>
      <c r="BF12" s="4" t="str">
        <f ca="1">IFERROR(__xludf.DUMMYFUNCTION("""COMPUTED_VALUE"""),"| 1 L CPT % | 2 L NS % | 3 P CPT @ | 5 P JAVA @ ")</f>
        <v xml:space="preserve">| 1 L CPT % | 2 L NS % | 3 P CPT @ | 5 P JAVA @ </v>
      </c>
      <c r="BG12" s="4" t="str">
        <f ca="1">IFERROR(__xludf.DUMMYFUNCTION("""COMPUTED_VALUE"""),"| 1 P Python @ | 4 L CPT @ | 5 P JAVA @ ")</f>
        <v xml:space="preserve">| 1 P Python @ | 4 L CPT @ | 5 P JAVA @ </v>
      </c>
      <c r="BH12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12" s="4" t="str">
        <f ca="1">IFERROR(__xludf.DUMMYFUNCTION("""COMPUTED_VALUE"""),"| 1 L INE @ | 3 L PHP-CGM @ | 4 L NS @ | 5 L PRO @ ")</f>
        <v xml:space="preserve">| 1 L INE @ | 3 L PHP-CGM @ | 4 L NS @ | 5 L PRO @ </v>
      </c>
      <c r="BJ12" s="4" t="str">
        <f ca="1">IFERROR(__xludf.DUMMYFUNCTION("""COMPUTED_VALUE"""),"| 1 L CPT % | 2 L NS % | 3 P CPT % | 5 P Python % ")</f>
        <v xml:space="preserve">| 1 L CPT % | 2 L NS % | 3 P CPT % | 5 P Python % </v>
      </c>
      <c r="BK12" s="4" t="str">
        <f ca="1">IFERROR(__xludf.DUMMYFUNCTION("""COMPUTED_VALUE"""),"| 1 L PHP-CGM @ | 2 L JAVA @ | 3 P NS @ | 5 P JAVA @ ")</f>
        <v xml:space="preserve">| 1 L PHP-CGM @ | 2 L JAVA @ | 3 P NS @ | 5 P JAVA @ </v>
      </c>
      <c r="BL12" s="4" t="str">
        <f ca="1">IFERROR(__xludf.DUMMYFUNCTION("""COMPUTED_VALUE"""),"| 1 P Python @ | 3 L JAVA @ | 4 L CPT @ | 5 P JAVA @ ")</f>
        <v xml:space="preserve">| 1 P Python @ | 3 L JAVA @ | 4 L CPT @ | 5 P JAVA @ </v>
      </c>
      <c r="BM12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2" s="4" t="str">
        <f ca="1">IFERROR(__xludf.DUMMYFUNCTION("""COMPUTED_VALUE"""),"| 1 L INE @ | 3 L PHP-CGM @ | 4 L NS @ | 5 L PRO @ ")</f>
        <v xml:space="preserve">| 1 L INE @ | 3 L PHP-CGM @ | 4 L NS @ | 5 L PRO @ </v>
      </c>
      <c r="BO12" s="4" t="str">
        <f ca="1">IFERROR(__xludf.DUMMYFUNCTION("""COMPUTED_VALUE"""),"| 1 L CPT @ | 2 L NS @ | 3 P CPT @ ")</f>
        <v xml:space="preserve">| 1 L CPT @ | 2 L NS @ | 3 P CPT @ </v>
      </c>
      <c r="BP12" s="4" t="str">
        <f ca="1">IFERROR(__xludf.DUMMYFUNCTION("""COMPUTED_VALUE"""),"| 1 L PHP-CGM @ | 2 L JAVA % | 3 P NS @ | 5 P JAVA @ ")</f>
        <v xml:space="preserve">| 1 L PHP-CGM @ | 2 L JAVA % | 3 P NS @ | 5 P JAVA @ </v>
      </c>
      <c r="BQ12" s="4" t="str">
        <f ca="1">IFERROR(__xludf.DUMMYFUNCTION("""COMPUTED_VALUE"""),"| 5 L PHP-CGM % | 6 L CPT % ")</f>
        <v xml:space="preserve">| 5 L PHP-CGM % | 6 L CPT % </v>
      </c>
      <c r="BR12" s="4"/>
      <c r="BS12" s="4"/>
      <c r="BT12" s="4" t="str">
        <f ca="1">IFERROR(__xludf.DUMMYFUNCTION("""COMPUTED_VALUE"""),"| 1 L PHP-CGM @ | 2 L JAVA @ | 3 P NS @ ")</f>
        <v xml:space="preserve">| 1 L PHP-CGM @ | 2 L JAVA @ | 3 P NS @ </v>
      </c>
      <c r="BU12" s="4" t="str">
        <f ca="1">IFERROR(__xludf.DUMMYFUNCTION("""COMPUTED_VALUE"""),"| 1 P Python @ | 4 L CPT @ | 3 L JAVA @ ")</f>
        <v xml:space="preserve">| 1 P Python @ | 4 L CPT @ | 3 L JAVA @ </v>
      </c>
      <c r="BV12" s="4" t="str">
        <f ca="1">IFERROR(__xludf.DUMMYFUNCTION("""COMPUTED_VALUE"""),"| 1 L PHP-CGM % | 2 L JAVA % | 3 P NS % | 5 P JAVA @ ")</f>
        <v xml:space="preserve">| 1 L PHP-CGM % | 2 L JAVA % | 3 P NS % | 5 P JAVA @ </v>
      </c>
      <c r="BW12" s="4" t="str">
        <f ca="1">IFERROR(__xludf.DUMMYFUNCTION("""COMPUTED_VALUE"""),"| 1 P Python @ | 3 L JAVA @ | 4 L CPT @ ")</f>
        <v xml:space="preserve">| 1 P Python @ | 3 L JAVA @ | 4 L CPT @ </v>
      </c>
      <c r="BX12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Y12" s="4" t="str">
        <f ca="1">IFERROR(__xludf.DUMMYFUNCTION("""COMPUTED_VALUE"""),"| 1 L INE @ | 3 L PHP-CGM % | 4 L NS % | 5 L PRO @ ")</f>
        <v xml:space="preserve">| 1 L INE @ | 3 L PHP-CGM % | 4 L NS % | 5 L PRO @ </v>
      </c>
      <c r="BZ12" s="4" t="str">
        <f ca="1">IFERROR(__xludf.DUMMYFUNCTION("""COMPUTED_VALUE"""),"| 1 L CPT % | 2 L NS % | 3 P CPT % | 5 P Python @ ")</f>
        <v xml:space="preserve">| 1 L CPT % | 2 L NS % | 3 P CPT % | 5 P Python @ </v>
      </c>
      <c r="CA12" s="4" t="str">
        <f ca="1">IFERROR(__xludf.DUMMYFUNCTION("""COMPUTED_VALUE"""),"| 1 L PHP-CGM @ | 2 L JAVA @ | 3 P NS @ | 5 P JAVA @ ")</f>
        <v xml:space="preserve">| 1 L PHP-CGM @ | 2 L JAVA @ | 3 P NS @ | 5 P JAVA @ </v>
      </c>
      <c r="CB12" s="4" t="str">
        <f ca="1">IFERROR(__xludf.DUMMYFUNCTION("""COMPUTED_VALUE"""),"| 1 P Python % | 3 L JAVA % | 4 L CPT % | 5 P JAVA % ")</f>
        <v xml:space="preserve">| 1 P Python % | 3 L JAVA % | 4 L CPT % | 5 P JAVA % </v>
      </c>
      <c r="CC12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12" s="4" t="str">
        <f ca="1">IFERROR(__xludf.DUMMYFUNCTION("""COMPUTED_VALUE"""),"| 1 L INE % | 3 L PHP-CGM @ | 4 L NS @ | 5 L PRO % ")</f>
        <v xml:space="preserve">| 1 L INE % | 3 L PHP-CGM @ | 4 L NS @ | 5 L PRO % </v>
      </c>
      <c r="CE12" s="4" t="str">
        <f ca="1">IFERROR(__xludf.DUMMYFUNCTION("""COMPUTED_VALUE"""),"| 1 L CPT @ | 2 L NS @ | 3 P CPT @ | 5 P Python @ ")</f>
        <v xml:space="preserve">| 1 L CPT @ | 2 L NS @ | 3 P CPT @ | 5 P Python @ </v>
      </c>
      <c r="CF12" s="4" t="str">
        <f ca="1">IFERROR(__xludf.DUMMYFUNCTION("""COMPUTED_VALUE"""),"| 1 L PHP-CGM @ | 2 L JAVA @ | 3 P NS % ")</f>
        <v xml:space="preserve">| 1 L PHP-CGM @ | 2 L JAVA @ | 3 P NS % </v>
      </c>
      <c r="CG12" s="4" t="str">
        <f ca="1">IFERROR(__xludf.DUMMYFUNCTION("""COMPUTED_VALUE"""),"| 1 P Python % | 4 L CPT @ | 5 P JAVA % ")</f>
        <v xml:space="preserve">| 1 P Python % | 4 L CPT @ | 5 P JAVA % </v>
      </c>
      <c r="CH12" s="4" t="str">
        <f ca="1">IFERROR(__xludf.DUMMYFUNCTION("""COMPUTED_VALUE"""),"| 3 L NS @ | 6 L CPT @ ")</f>
        <v xml:space="preserve">| 3 L NS @ | 6 L CPT @ </v>
      </c>
      <c r="CI12" s="4" t="str">
        <f ca="1">IFERROR(__xludf.DUMMYFUNCTION("""COMPUTED_VALUE"""),"| 1 L INE @ ")</f>
        <v xml:space="preserve">| 1 L INE @ </v>
      </c>
      <c r="CJ12" s="4" t="str">
        <f ca="1">IFERROR(__xludf.DUMMYFUNCTION("""COMPUTED_VALUE"""),"| 3 P CPT % ")</f>
        <v xml:space="preserve">| 3 P CPT % </v>
      </c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:103" ht="12.5" x14ac:dyDescent="0.25">
      <c r="A13" s="3">
        <f ca="1">IFERROR(__xludf.DUMMYFUNCTION("""COMPUTED_VALUE"""),1)</f>
        <v>1</v>
      </c>
      <c r="B13" s="3" t="str">
        <f ca="1">IFERROR(__xludf.DUMMYFUNCTION("""COMPUTED_VALUE"""),"A")</f>
        <v>A</v>
      </c>
      <c r="C13" s="32" t="str">
        <f ca="1">IFERROR(__xludf.DUMMYFUNCTION("""COMPUTED_VALUE"""),"23291341027")</f>
        <v>23291341027</v>
      </c>
      <c r="D13" s="21" t="str">
        <f ca="1">IFERROR(__xludf.DUMMYFUNCTION("""COMPUTED_VALUE"""),"DAVE VED BHAGYEN")</f>
        <v>DAVE VED BHAGYEN</v>
      </c>
      <c r="E13" s="3" t="str">
        <f ca="1">IFERROR(__xludf.DUMMYFUNCTION("""COMPUTED_VALUE"""),"RRP-Mor")</f>
        <v>RRP-Mor</v>
      </c>
      <c r="F13" s="3">
        <f ca="1">IFERROR(__xludf.DUMMYFUNCTION("""COMPUTED_VALUE"""),6351463617)</f>
        <v>6351463617</v>
      </c>
      <c r="G13" s="3">
        <f ca="1">IFERROR(__xludf.DUMMYFUNCTION("""COMPUTED_VALUE"""),9978085781)</f>
        <v>9978085781</v>
      </c>
      <c r="H13" s="33">
        <f ca="1">IFERROR(__xludf.DUMMYFUNCTION("""COMPUTED_VALUE"""),0.578512396694214)</f>
        <v>0.57851239669421395</v>
      </c>
      <c r="I13" s="25">
        <f ca="1">IFERROR(__xludf.DUMMYFUNCTION("""COMPUTED_VALUE"""),0.5)</f>
        <v>0.5</v>
      </c>
      <c r="J13" s="25">
        <f ca="1">IFERROR(__xludf.DUMMYFUNCTION("""COMPUTED_VALUE"""),0.666666666666666)</f>
        <v>0.66666666666666596</v>
      </c>
      <c r="K13" s="25">
        <f ca="1">IFERROR(__xludf.DUMMYFUNCTION("""COMPUTED_VALUE"""),0.852941176470588)</f>
        <v>0.85294117647058798</v>
      </c>
      <c r="L13" s="25">
        <f ca="1">IFERROR(__xludf.DUMMYFUNCTION("""COMPUTED_VALUE"""),0.615384615384615)</f>
        <v>0.61538461538461497</v>
      </c>
      <c r="M13" s="25">
        <f ca="1">IFERROR(__xludf.DUMMYFUNCTION("""COMPUTED_VALUE"""),0.611111111111111)</f>
        <v>0.61111111111111105</v>
      </c>
      <c r="N13" s="25">
        <f ca="1">IFERROR(__xludf.DUMMYFUNCTION("""COMPUTED_VALUE"""),0.8)</f>
        <v>0.8</v>
      </c>
      <c r="O13" s="25">
        <f ca="1">IFERROR(__xludf.DUMMYFUNCTION("""COMPUTED_VALUE"""),0.575757575757575)</f>
        <v>0.57575757575757502</v>
      </c>
      <c r="P13" s="25">
        <f ca="1">IFERROR(__xludf.DUMMYFUNCTION("""COMPUTED_VALUE"""),0.478260869565217)</f>
        <v>0.47826086956521702</v>
      </c>
      <c r="Q13" s="25">
        <f ca="1">IFERROR(__xludf.DUMMYFUNCTION("""COMPUTED_VALUE"""),0)</f>
        <v>0</v>
      </c>
      <c r="R13" s="25">
        <f ca="1">IFERROR(__xludf.DUMMYFUNCTION("""COMPUTED_VALUE"""),0.454545454545454)</f>
        <v>0.45454545454545398</v>
      </c>
      <c r="S13" s="25">
        <f ca="1">IFERROR(__xludf.DUMMYFUNCTION("""COMPUTED_VALUE"""),0.3)</f>
        <v>0.3</v>
      </c>
      <c r="T13" s="25">
        <f ca="1">IFERROR(__xludf.DUMMYFUNCTION("""COMPUTED_VALUE"""),1)</f>
        <v>1</v>
      </c>
      <c r="U13" s="25">
        <f ca="1">IFERROR(__xludf.DUMMYFUNCTION("""COMPUTED_VALUE"""),0.181818181818181)</f>
        <v>0.18181818181818099</v>
      </c>
      <c r="V13" s="25">
        <f ca="1">IFERROR(__xludf.DUMMYFUNCTION("""COMPUTED_VALUE"""),0)</f>
        <v>0</v>
      </c>
      <c r="W13" s="4"/>
      <c r="X13" s="4" t="str">
        <f ca="1">IFERROR(__xludf.DUMMYFUNCTION("""COMPUTED_VALUE"""),"| 1 L PHP-CGM @ | 3 P NS @ | 5 P JAVA @ ")</f>
        <v xml:space="preserve">| 1 L PHP-CGM @ | 3 P NS @ | 5 P JAVA @ </v>
      </c>
      <c r="Y13" s="4" t="str">
        <f ca="1">IFERROR(__xludf.DUMMYFUNCTION("""COMPUTED_VALUE"""),"| 1 P Python % | 3 L JAVA % | 4 L CPT % | 5 P JAVA % ")</f>
        <v xml:space="preserve">| 1 P Python % | 3 L JAVA % | 4 L CPT % | 5 P JAVA % </v>
      </c>
      <c r="Z13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A13" s="4" t="str">
        <f ca="1">IFERROR(__xludf.DUMMYFUNCTION("""COMPUTED_VALUE"""),"| 3 L PHP-CGM % | 4 L NS % | 1 L INE % | 5 P PRO % ")</f>
        <v xml:space="preserve">| 3 L PHP-CGM % | 4 L NS % | 1 L INE % | 5 P PRO % </v>
      </c>
      <c r="AB13" s="4" t="str">
        <f ca="1">IFERROR(__xludf.DUMMYFUNCTION("""COMPUTED_VALUE"""),"| 1 L CPT % | 2 L NS % | 3 P CPT % | 5 P Python % ")</f>
        <v xml:space="preserve">| 1 L CPT % | 2 L NS % | 3 P CPT % | 5 P Python % </v>
      </c>
      <c r="AC13" s="4" t="str">
        <f ca="1">IFERROR(__xludf.DUMMYFUNCTION("""COMPUTED_VALUE"""),"| 1 L PHP-CGM % | 2 L JAVA % | 3 P NS % | 5 P JAVA @ ")</f>
        <v xml:space="preserve">| 1 L PHP-CGM % | 2 L JAVA % | 3 P NS % | 5 P JAVA @ </v>
      </c>
      <c r="AD13" s="4" t="str">
        <f ca="1">IFERROR(__xludf.DUMMYFUNCTION("""COMPUTED_VALUE"""),"| 1 P Python % | 3 L JAVA % | 4 L CPT % | 5 P JAVA % ")</f>
        <v xml:space="preserve">| 1 P Python % | 3 L JAVA % | 4 L CPT % | 5 P JAVA % </v>
      </c>
      <c r="AE13" s="4" t="str">
        <f ca="1">IFERROR(__xludf.DUMMYFUNCTION("""COMPUTED_VALUE"""),"| 1 P PHP-CGM % | 4 L JAVA % | 3 L NS % | 5 L PHP-CGM @ | 6 L CPT @ ")</f>
        <v xml:space="preserve">| 1 P PHP-CGM % | 4 L JAVA % | 3 L NS % | 5 L PHP-CGM @ | 6 L CPT @ </v>
      </c>
      <c r="AF13" s="4" t="str">
        <f ca="1">IFERROR(__xludf.DUMMYFUNCTION("""COMPUTED_VALUE"""),"| 3 L PHP-CGM % | 4 L NS % | 5 P PRO % ")</f>
        <v xml:space="preserve">| 3 L PHP-CGM % | 4 L NS % | 5 P PRO % </v>
      </c>
      <c r="AG13" s="4" t="str">
        <f ca="1">IFERROR(__xludf.DUMMYFUNCTION("""COMPUTED_VALUE"""),"| 1 L CPT @ | 2 L NS @ | 3 P CPT @ | 5 P Python @ ")</f>
        <v xml:space="preserve">| 1 L CPT @ | 2 L NS @ | 3 P CPT @ | 5 P Python @ </v>
      </c>
      <c r="AH13" s="4" t="str">
        <f ca="1">IFERROR(__xludf.DUMMYFUNCTION("""COMPUTED_VALUE"""),"| 3 L PHP-CGM % | 4 L NS % | 5 L PRO % ")</f>
        <v xml:space="preserve">| 3 L PHP-CGM % | 4 L NS % | 5 L PRO % </v>
      </c>
      <c r="AI13" s="4" t="str">
        <f ca="1">IFERROR(__xludf.DUMMYFUNCTION("""COMPUTED_VALUE"""),"| 1 L CPT % | 2 L NS % | 3 P CPT % | 5 P Python @ ")</f>
        <v xml:space="preserve">| 1 L CPT % | 2 L NS % | 3 P CPT % | 5 P Python @ </v>
      </c>
      <c r="AJ13" s="4" t="str">
        <f ca="1">IFERROR(__xludf.DUMMYFUNCTION("""COMPUTED_VALUE"""),"| 1 L PHP-CGM % | 2 L JAVA % | 3 P NS % | 5 P JAVA % ")</f>
        <v xml:space="preserve">| 1 L PHP-CGM % | 2 L JAVA % | 3 P NS % | 5 P JAVA % </v>
      </c>
      <c r="AK13" s="4" t="str">
        <f ca="1">IFERROR(__xludf.DUMMYFUNCTION("""COMPUTED_VALUE"""),"| 1 P Python % | 3 L JAVA % | 4 L CPT % | 5 P JAVA @ ")</f>
        <v xml:space="preserve">| 1 P Python % | 3 L JAVA % | 4 L CPT % | 5 P JAVA @ </v>
      </c>
      <c r="AL13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13" s="4" t="str">
        <f ca="1">IFERROR(__xludf.DUMMYFUNCTION("""COMPUTED_VALUE"""),"| 1 L INE @ | 4 L NS % | 3 L PHP-CGM % | 5 L PRO % ")</f>
        <v xml:space="preserve">| 1 L INE @ | 4 L NS % | 3 L PHP-CGM % | 5 L PRO % </v>
      </c>
      <c r="AN13" s="4" t="str">
        <f ca="1">IFERROR(__xludf.DUMMYFUNCTION("""COMPUTED_VALUE"""),"| 1 L CPT % | 2 L NS % | 3 P CPT % | 5 P Python % ")</f>
        <v xml:space="preserve">| 1 L CPT % | 2 L NS % | 3 P CPT % | 5 P Python % </v>
      </c>
      <c r="AO13" s="4" t="str">
        <f ca="1">IFERROR(__xludf.DUMMYFUNCTION("""COMPUTED_VALUE"""),"| 1 L PHP-CGM % | 2 L JAVA % | 3 P NS % | 5 P JAVA % ")</f>
        <v xml:space="preserve">| 1 L PHP-CGM % | 2 L JAVA % | 3 P NS % | 5 P JAVA % </v>
      </c>
      <c r="AP13" s="4" t="str">
        <f ca="1">IFERROR(__xludf.DUMMYFUNCTION("""COMPUTED_VALUE"""),"| 1 P Python % | 3 L JAVA % | 4 L CPT % | 5 P JAVA % ")</f>
        <v xml:space="preserve">| 1 P Python % | 3 L JAVA % | 4 L CPT % | 5 P JAVA % </v>
      </c>
      <c r="AQ13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3" s="4" t="str">
        <f ca="1">IFERROR(__xludf.DUMMYFUNCTION("""COMPUTED_VALUE"""),"| 1 L INE % | 3 L PHP-CGM % | 4 L NS % | 5 L PRO @ ")</f>
        <v xml:space="preserve">| 1 L INE % | 3 L PHP-CGM % | 4 L NS % | 5 L PRO @ </v>
      </c>
      <c r="AS13" s="4" t="str">
        <f ca="1">IFERROR(__xludf.DUMMYFUNCTION("""COMPUTED_VALUE"""),"| 1 L PHP-CGM % | 2 L JAVA % | 3 P NS % | 5 P JAVA % ")</f>
        <v xml:space="preserve">| 1 L PHP-CGM % | 2 L JAVA % | 3 P NS % | 5 P JAVA % </v>
      </c>
      <c r="AT13" s="4" t="str">
        <f ca="1">IFERROR(__xludf.DUMMYFUNCTION("""COMPUTED_VALUE"""),"| 1 P Python % | 3 L JAVA % | 4 L CPT % | 5 P JAVA @ ")</f>
        <v xml:space="preserve">| 1 P Python % | 3 L JAVA % | 4 L CPT % | 5 P JAVA @ </v>
      </c>
      <c r="AU13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13" s="4" t="str">
        <f ca="1">IFERROR(__xludf.DUMMYFUNCTION("""COMPUTED_VALUE"""),"| 1 L INE @ | 3 L PHP-CGM % | 4 L NS % | 7 L PRO % ")</f>
        <v xml:space="preserve">| 1 L INE @ | 3 L PHP-CGM % | 4 L NS % | 7 L PRO % </v>
      </c>
      <c r="AW13" s="4" t="str">
        <f ca="1">IFERROR(__xludf.DUMMYFUNCTION("""COMPUTED_VALUE"""),"| 1 L CPT @ | 2 L NS @ | 3 P CPT @ | 5 P Python @ ")</f>
        <v xml:space="preserve">| 1 L CPT @ | 2 L NS @ | 3 P CPT @ | 5 P Python @ </v>
      </c>
      <c r="AX13" s="4" t="str">
        <f ca="1">IFERROR(__xludf.DUMMYFUNCTION("""COMPUTED_VALUE"""),"| 1 L PHP-CGM @ | 2 L JAVA @ | 3 P NS @ | 5 P JAVA @ ")</f>
        <v xml:space="preserve">| 1 L PHP-CGM @ | 2 L JAVA @ | 3 P NS @ | 5 P JAVA @ </v>
      </c>
      <c r="AY13" s="4" t="str">
        <f ca="1">IFERROR(__xludf.DUMMYFUNCTION("""COMPUTED_VALUE"""),"| 1 P Python % | 3 L JAVA @ | 4 L CPT @ | 5 P JAVA @ ")</f>
        <v xml:space="preserve">| 1 P Python % | 3 L JAVA @ | 4 L CPT @ | 5 P JAVA @ </v>
      </c>
      <c r="AZ13" s="4" t="str">
        <f ca="1">IFERROR(__xludf.DUMMYFUNCTION("""COMPUTED_VALUE"""),"| 1 L INE @ | 3 L PHP-CGM % | 4 L NS % | 5 L PRO @ ")</f>
        <v xml:space="preserve">| 1 L INE @ | 3 L PHP-CGM % | 4 L NS % | 5 L PRO @ </v>
      </c>
      <c r="BA13" s="4" t="str">
        <f ca="1">IFERROR(__xludf.DUMMYFUNCTION("""COMPUTED_VALUE"""),"| 1 L CPT % | 2 L NS % | 3 P CPT % | 5 P Python @ ")</f>
        <v xml:space="preserve">| 1 L CPT % | 2 L NS % | 3 P CPT % | 5 P Python @ </v>
      </c>
      <c r="BB13" s="4" t="str">
        <f ca="1">IFERROR(__xludf.DUMMYFUNCTION("""COMPUTED_VALUE"""),"| 1 L PHP-CGM % | 2 L JAVA % | 3 P NS % | 5 P JAVA % ")</f>
        <v xml:space="preserve">| 1 L PHP-CGM % | 2 L JAVA % | 3 P NS % | 5 P JAVA % </v>
      </c>
      <c r="BC13" s="4" t="str">
        <f ca="1">IFERROR(__xludf.DUMMYFUNCTION("""COMPUTED_VALUE"""),"| 1 P Python % | 3 L JAVA % | 4 L CPT % | 5 P JAVA % ")</f>
        <v xml:space="preserve">| 1 P Python % | 3 L JAVA % | 4 L CPT % | 5 P JAVA % </v>
      </c>
      <c r="BD13" s="4" t="str">
        <f ca="1">IFERROR(__xludf.DUMMYFUNCTION("""COMPUTED_VALUE"""),"| 1 P PHP-CGM % | 3 L NS % | 6 L CPT % | 5 L PHP-CGM % | 4 L JAVA @ ")</f>
        <v xml:space="preserve">| 1 P PHP-CGM % | 3 L NS % | 6 L CPT % | 5 L PHP-CGM % | 4 L JAVA @ </v>
      </c>
      <c r="BE13" s="4" t="str">
        <f ca="1">IFERROR(__xludf.DUMMYFUNCTION("""COMPUTED_VALUE"""),"| 1 L INE @ | 3 L PHP-CGM % | 4 L NS % | 5 L PRO @ ")</f>
        <v xml:space="preserve">| 1 L INE @ | 3 L PHP-CGM % | 4 L NS % | 5 L PRO @ </v>
      </c>
      <c r="BF13" s="4" t="str">
        <f ca="1">IFERROR(__xludf.DUMMYFUNCTION("""COMPUTED_VALUE"""),"| 1 L CPT % | 2 L NS % | 3 P CPT % | 5 P JAVA @ ")</f>
        <v xml:space="preserve">| 1 L CPT % | 2 L NS % | 3 P CPT % | 5 P JAVA @ </v>
      </c>
      <c r="BG13" s="4" t="str">
        <f ca="1">IFERROR(__xludf.DUMMYFUNCTION("""COMPUTED_VALUE"""),"| 1 P Python @ | 4 L CPT @ | 5 P JAVA @ ")</f>
        <v xml:space="preserve">| 1 P Python @ | 4 L CPT @ | 5 P JAVA @ </v>
      </c>
      <c r="BH13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13" s="4" t="str">
        <f ca="1">IFERROR(__xludf.DUMMYFUNCTION("""COMPUTED_VALUE"""),"| 1 L INE @ | 3 L PHP-CGM % | 4 L NS % | 5 L PRO @ ")</f>
        <v xml:space="preserve">| 1 L INE @ | 3 L PHP-CGM % | 4 L NS % | 5 L PRO @ </v>
      </c>
      <c r="BJ13" s="4" t="str">
        <f ca="1">IFERROR(__xludf.DUMMYFUNCTION("""COMPUTED_VALUE"""),"| 1 L CPT % | 2 L NS % | 3 P CPT @ | 5 P Python @ ")</f>
        <v xml:space="preserve">| 1 L CPT % | 2 L NS % | 3 P CPT @ | 5 P Python @ </v>
      </c>
      <c r="BK13" s="4" t="str">
        <f ca="1">IFERROR(__xludf.DUMMYFUNCTION("""COMPUTED_VALUE"""),"| 1 L PHP-CGM @ | 2 L JAVA @ | 3 P NS @ | 5 P JAVA @ ")</f>
        <v xml:space="preserve">| 1 L PHP-CGM @ | 2 L JAVA @ | 3 P NS @ | 5 P JAVA @ </v>
      </c>
      <c r="BL13" s="4" t="str">
        <f ca="1">IFERROR(__xludf.DUMMYFUNCTION("""COMPUTED_VALUE"""),"| 1 P Python @ | 3 L JAVA @ | 4 L CPT @ | 5 P JAVA @ ")</f>
        <v xml:space="preserve">| 1 P Python @ | 3 L JAVA @ | 4 L CPT @ | 5 P JAVA @ </v>
      </c>
      <c r="BM13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N13" s="4" t="str">
        <f ca="1">IFERROR(__xludf.DUMMYFUNCTION("""COMPUTED_VALUE"""),"| 1 L INE @ | 3 L PHP-CGM % | 4 L NS % | 5 L PRO @ ")</f>
        <v xml:space="preserve">| 1 L INE @ | 3 L PHP-CGM % | 4 L NS % | 5 L PRO @ </v>
      </c>
      <c r="BO13" s="4" t="str">
        <f ca="1">IFERROR(__xludf.DUMMYFUNCTION("""COMPUTED_VALUE"""),"| 1 L CPT % | 2 L NS % | 3 P CPT % ")</f>
        <v xml:space="preserve">| 1 L CPT % | 2 L NS % | 3 P CPT % </v>
      </c>
      <c r="BP13" s="4" t="str">
        <f ca="1">IFERROR(__xludf.DUMMYFUNCTION("""COMPUTED_VALUE"""),"| 1 L PHP-CGM @ | 2 L JAVA % | 3 P NS % | 5 P JAVA @ ")</f>
        <v xml:space="preserve">| 1 L PHP-CGM @ | 2 L JAVA % | 3 P NS % | 5 P JAVA @ </v>
      </c>
      <c r="BQ13" s="4" t="str">
        <f ca="1">IFERROR(__xludf.DUMMYFUNCTION("""COMPUTED_VALUE"""),"| 5 L PHP-CGM % | 6 L CPT % ")</f>
        <v xml:space="preserve">| 5 L PHP-CGM % | 6 L CPT % </v>
      </c>
      <c r="BR13" s="4"/>
      <c r="BS13" s="4"/>
      <c r="BT13" s="4" t="str">
        <f ca="1">IFERROR(__xludf.DUMMYFUNCTION("""COMPUTED_VALUE"""),"| 1 L PHP-CGM @ | 2 L JAVA @ | 3 P NS @ ")</f>
        <v xml:space="preserve">| 1 L PHP-CGM @ | 2 L JAVA @ | 3 P NS @ </v>
      </c>
      <c r="BU13" s="4" t="str">
        <f ca="1">IFERROR(__xludf.DUMMYFUNCTION("""COMPUTED_VALUE"""),"| 1 P Python @ | 4 L CPT @ | 3 L JAVA @ ")</f>
        <v xml:space="preserve">| 1 P Python @ | 4 L CPT @ | 3 L JAVA @ </v>
      </c>
      <c r="BV13" s="4" t="str">
        <f ca="1">IFERROR(__xludf.DUMMYFUNCTION("""COMPUTED_VALUE"""),"| 1 L PHP-CGM @ | 2 L JAVA @ | 3 P NS @ | 5 P JAVA @ ")</f>
        <v xml:space="preserve">| 1 L PHP-CGM @ | 2 L JAVA @ | 3 P NS @ | 5 P JAVA @ </v>
      </c>
      <c r="BW13" s="4" t="str">
        <f ca="1">IFERROR(__xludf.DUMMYFUNCTION("""COMPUTED_VALUE"""),"| 1 P Python @ | 3 L JAVA @ | 4 L CPT @ ")</f>
        <v xml:space="preserve">| 1 P Python @ | 3 L JAVA @ | 4 L CPT @ </v>
      </c>
      <c r="BX13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13" s="4" t="str">
        <f ca="1">IFERROR(__xludf.DUMMYFUNCTION("""COMPUTED_VALUE"""),"| 1 L INE @ | 3 L PHP-CGM % | 4 L NS % | 5 L PRO @ ")</f>
        <v xml:space="preserve">| 1 L INE @ | 3 L PHP-CGM % | 4 L NS % | 5 L PRO @ </v>
      </c>
      <c r="BZ13" s="4" t="str">
        <f ca="1">IFERROR(__xludf.DUMMYFUNCTION("""COMPUTED_VALUE"""),"| 1 L CPT @ | 2 L NS @ | 3 P CPT @ | 5 P Python @ ")</f>
        <v xml:space="preserve">| 1 L CPT @ | 2 L NS @ | 3 P CPT @ | 5 P Python @ </v>
      </c>
      <c r="CA13" s="4" t="str">
        <f ca="1">IFERROR(__xludf.DUMMYFUNCTION("""COMPUTED_VALUE"""),"| 1 L PHP-CGM % | 2 L JAVA @ | 3 P NS % | 5 P JAVA % ")</f>
        <v xml:space="preserve">| 1 L PHP-CGM % | 2 L JAVA @ | 3 P NS % | 5 P JAVA % </v>
      </c>
      <c r="CB13" s="4" t="str">
        <f ca="1">IFERROR(__xludf.DUMMYFUNCTION("""COMPUTED_VALUE"""),"| 1 P Python @ | 3 L JAVA @ | 4 L CPT @ | 5 P JAVA % ")</f>
        <v xml:space="preserve">| 1 P Python @ | 3 L JAVA @ | 4 L CPT @ | 5 P JAVA % </v>
      </c>
      <c r="CC13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CD13" s="4" t="str">
        <f ca="1">IFERROR(__xludf.DUMMYFUNCTION("""COMPUTED_VALUE"""),"| 1 L INE @ | 3 L PHP-CGM @ | 4 L NS % | 5 L PRO @ ")</f>
        <v xml:space="preserve">| 1 L INE @ | 3 L PHP-CGM @ | 4 L NS % | 5 L PRO @ </v>
      </c>
      <c r="CE13" s="4" t="str">
        <f ca="1">IFERROR(__xludf.DUMMYFUNCTION("""COMPUTED_VALUE"""),"| 1 L CPT @ | 2 L NS % | 3 P CPT % | 5 P Python @ ")</f>
        <v xml:space="preserve">| 1 L CPT @ | 2 L NS % | 3 P CPT % | 5 P Python @ </v>
      </c>
      <c r="CF13" s="4" t="str">
        <f ca="1">IFERROR(__xludf.DUMMYFUNCTION("""COMPUTED_VALUE"""),"| 1 L PHP-CGM @ | 2 L JAVA @ | 3 P NS % ")</f>
        <v xml:space="preserve">| 1 L PHP-CGM @ | 2 L JAVA @ | 3 P NS % </v>
      </c>
      <c r="CG13" s="4" t="str">
        <f ca="1">IFERROR(__xludf.DUMMYFUNCTION("""COMPUTED_VALUE"""),"| 1 P Python % | 4 L CPT @ | 5 P JAVA % ")</f>
        <v xml:space="preserve">| 1 P Python % | 4 L CPT @ | 5 P JAVA % </v>
      </c>
      <c r="CH13" s="4" t="str">
        <f ca="1">IFERROR(__xludf.DUMMYFUNCTION("""COMPUTED_VALUE"""),"| 3 L NS % | 6 L CPT @ ")</f>
        <v xml:space="preserve">| 3 L NS % | 6 L CPT @ </v>
      </c>
      <c r="CI13" s="4" t="str">
        <f ca="1">IFERROR(__xludf.DUMMYFUNCTION("""COMPUTED_VALUE"""),"| 1 L INE @ ")</f>
        <v xml:space="preserve">| 1 L INE @ </v>
      </c>
      <c r="CJ13" s="4" t="str">
        <f ca="1">IFERROR(__xludf.DUMMYFUNCTION("""COMPUTED_VALUE"""),"| 3 P CPT % ")</f>
        <v xml:space="preserve">| 3 P CPT % </v>
      </c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</row>
    <row r="14" spans="1:103" ht="12.5" x14ac:dyDescent="0.25">
      <c r="A14" s="3">
        <f ca="1">IFERROR(__xludf.DUMMYFUNCTION("""COMPUTED_VALUE"""),1)</f>
        <v>1</v>
      </c>
      <c r="B14" s="3" t="str">
        <f ca="1">IFERROR(__xludf.DUMMYFUNCTION("""COMPUTED_VALUE"""),"A")</f>
        <v>A</v>
      </c>
      <c r="C14" s="32" t="str">
        <f ca="1">IFERROR(__xludf.DUMMYFUNCTION("""COMPUTED_VALUE"""),"23291341029")</f>
        <v>23291341029</v>
      </c>
      <c r="D14" s="21" t="str">
        <f ca="1">IFERROR(__xludf.DUMMYFUNCTION("""COMPUTED_VALUE"""),"DEVAM VARA")</f>
        <v>DEVAM VARA</v>
      </c>
      <c r="E14" s="3" t="str">
        <f ca="1">IFERROR(__xludf.DUMMYFUNCTION("""COMPUTED_VALUE"""),"RRP-Mor")</f>
        <v>RRP-Mor</v>
      </c>
      <c r="F14" s="3">
        <f ca="1">IFERROR(__xludf.DUMMYFUNCTION("""COMPUTED_VALUE"""),9925069931)</f>
        <v>9925069931</v>
      </c>
      <c r="G14" s="3">
        <f ca="1">IFERROR(__xludf.DUMMYFUNCTION("""COMPUTED_VALUE"""),9924069936)</f>
        <v>9924069936</v>
      </c>
      <c r="H14" s="33">
        <f ca="1">IFERROR(__xludf.DUMMYFUNCTION("""COMPUTED_VALUE"""),0.731404958677686)</f>
        <v>0.73140495867768596</v>
      </c>
      <c r="I14" s="25">
        <f ca="1">IFERROR(__xludf.DUMMYFUNCTION("""COMPUTED_VALUE"""),0.75)</f>
        <v>0.75</v>
      </c>
      <c r="J14" s="25">
        <f ca="1">IFERROR(__xludf.DUMMYFUNCTION("""COMPUTED_VALUE"""),0.583333333333333)</f>
        <v>0.58333333333333304</v>
      </c>
      <c r="K14" s="25">
        <f ca="1">IFERROR(__xludf.DUMMYFUNCTION("""COMPUTED_VALUE"""),0.676470588235294)</f>
        <v>0.67647058823529405</v>
      </c>
      <c r="L14" s="25">
        <f ca="1">IFERROR(__xludf.DUMMYFUNCTION("""COMPUTED_VALUE"""),0.846153846153846)</f>
        <v>0.84615384615384603</v>
      </c>
      <c r="M14" s="25">
        <f ca="1">IFERROR(__xludf.DUMMYFUNCTION("""COMPUTED_VALUE"""),0.722222222222222)</f>
        <v>0.72222222222222199</v>
      </c>
      <c r="N14" s="25">
        <f ca="1">IFERROR(__xludf.DUMMYFUNCTION("""COMPUTED_VALUE"""),0.7)</f>
        <v>0.7</v>
      </c>
      <c r="O14" s="25">
        <f ca="1">IFERROR(__xludf.DUMMYFUNCTION("""COMPUTED_VALUE"""),0.818181818181818)</f>
        <v>0.81818181818181801</v>
      </c>
      <c r="P14" s="25">
        <f ca="1">IFERROR(__xludf.DUMMYFUNCTION("""COMPUTED_VALUE"""),0.826086956521739)</f>
        <v>0.82608695652173902</v>
      </c>
      <c r="Q14" s="25">
        <f ca="1">IFERROR(__xludf.DUMMYFUNCTION("""COMPUTED_VALUE"""),0)</f>
        <v>0</v>
      </c>
      <c r="R14" s="25">
        <f ca="1">IFERROR(__xludf.DUMMYFUNCTION("""COMPUTED_VALUE"""),0.909090909090909)</f>
        <v>0.90909090909090895</v>
      </c>
      <c r="S14" s="25">
        <f ca="1">IFERROR(__xludf.DUMMYFUNCTION("""COMPUTED_VALUE"""),0.6)</f>
        <v>0.6</v>
      </c>
      <c r="T14" s="25">
        <f ca="1">IFERROR(__xludf.DUMMYFUNCTION("""COMPUTED_VALUE"""),0.5)</f>
        <v>0.5</v>
      </c>
      <c r="U14" s="25">
        <f ca="1">IFERROR(__xludf.DUMMYFUNCTION("""COMPUTED_VALUE"""),0.272727272727272)</f>
        <v>0.27272727272727199</v>
      </c>
      <c r="V14" s="25">
        <f ca="1">IFERROR(__xludf.DUMMYFUNCTION("""COMPUTED_VALUE"""),0)</f>
        <v>0</v>
      </c>
      <c r="W14" s="4"/>
      <c r="X14" s="4" t="str">
        <f ca="1">IFERROR(__xludf.DUMMYFUNCTION("""COMPUTED_VALUE"""),"| 1 L PHP-CGM % | 3 P NS % | 5 P JAVA % ")</f>
        <v xml:space="preserve">| 1 L PHP-CGM % | 3 P NS % | 5 P JAVA % </v>
      </c>
      <c r="Y14" s="4" t="str">
        <f ca="1">IFERROR(__xludf.DUMMYFUNCTION("""COMPUTED_VALUE"""),"| 1 P Python % | 3 L JAVA % | 4 L CPT % | 5 P JAVA % ")</f>
        <v xml:space="preserve">| 1 P Python % | 3 L JAVA % | 4 L CPT % | 5 P JAVA % </v>
      </c>
      <c r="Z1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A14" s="4" t="str">
        <f ca="1">IFERROR(__xludf.DUMMYFUNCTION("""COMPUTED_VALUE"""),"| 3 L PHP-CGM % | 4 L NS % | 1 L INE % | 5 P PRO % ")</f>
        <v xml:space="preserve">| 3 L PHP-CGM % | 4 L NS % | 1 L INE % | 5 P PRO % </v>
      </c>
      <c r="AB14" s="4" t="str">
        <f ca="1">IFERROR(__xludf.DUMMYFUNCTION("""COMPUTED_VALUE"""),"| 1 L CPT % | 2 L NS % | 3 P CPT % | 5 P Python % ")</f>
        <v xml:space="preserve">| 1 L CPT % | 2 L NS % | 3 P CPT % | 5 P Python % </v>
      </c>
      <c r="AC14" s="4" t="str">
        <f ca="1">IFERROR(__xludf.DUMMYFUNCTION("""COMPUTED_VALUE"""),"| 1 L PHP-CGM % | 2 L JAVA % | 3 P NS % | 5 P JAVA % ")</f>
        <v xml:space="preserve">| 1 L PHP-CGM % | 2 L JAVA % | 3 P NS % | 5 P JAVA % </v>
      </c>
      <c r="AD14" s="4" t="str">
        <f ca="1">IFERROR(__xludf.DUMMYFUNCTION("""COMPUTED_VALUE"""),"| 1 P Python % | 3 L JAVA % | 4 L CPT % | 5 P JAVA % ")</f>
        <v xml:space="preserve">| 1 P Python % | 3 L JAVA % | 4 L CPT % | 5 P JAVA % </v>
      </c>
      <c r="AE14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14" s="4" t="str">
        <f ca="1">IFERROR(__xludf.DUMMYFUNCTION("""COMPUTED_VALUE"""),"| 3 L PHP-CGM % | 4 L NS % | 5 P PRO @ ")</f>
        <v xml:space="preserve">| 3 L PHP-CGM % | 4 L NS % | 5 P PRO @ </v>
      </c>
      <c r="AG14" s="4" t="str">
        <f ca="1">IFERROR(__xludf.DUMMYFUNCTION("""COMPUTED_VALUE"""),"| 1 L CPT @ | 2 L NS @ | 3 P CPT @ | 5 P Python @ ")</f>
        <v xml:space="preserve">| 1 L CPT @ | 2 L NS @ | 3 P CPT @ | 5 P Python @ </v>
      </c>
      <c r="AH14" s="4" t="str">
        <f ca="1">IFERROR(__xludf.DUMMYFUNCTION("""COMPUTED_VALUE"""),"| 3 L PHP-CGM % | 4 L NS % | 5 L PRO % ")</f>
        <v xml:space="preserve">| 3 L PHP-CGM % | 4 L NS % | 5 L PRO % </v>
      </c>
      <c r="AI14" s="4" t="str">
        <f ca="1">IFERROR(__xludf.DUMMYFUNCTION("""COMPUTED_VALUE"""),"| 1 L CPT % | 2 L NS % | 3 P CPT % | 5 P Python % ")</f>
        <v xml:space="preserve">| 1 L CPT % | 2 L NS % | 3 P CPT % | 5 P Python % </v>
      </c>
      <c r="AJ14" s="4" t="str">
        <f ca="1">IFERROR(__xludf.DUMMYFUNCTION("""COMPUTED_VALUE"""),"| 1 L PHP-CGM @ | 2 L JAVA @ | 3 P NS @ | 5 P JAVA @ ")</f>
        <v xml:space="preserve">| 1 L PHP-CGM @ | 2 L JAVA @ | 3 P NS @ | 5 P JAVA @ </v>
      </c>
      <c r="AK14" s="4" t="str">
        <f ca="1">IFERROR(__xludf.DUMMYFUNCTION("""COMPUTED_VALUE"""),"| 1 P Python % | 3 L JAVA % | 4 L CPT % | 5 P JAVA % ")</f>
        <v xml:space="preserve">| 1 P Python % | 3 L JAVA % | 4 L CPT % | 5 P JAVA % </v>
      </c>
      <c r="AL14" s="4" t="str">
        <f ca="1">IFERROR(__xludf.DUMMYFUNCTION("""COMPUTED_VALUE"""),"| 1 P PHP-CGM % | 3 L NS % | 4 L JAVA % | 5 L PHP-CGM @ | 6 L CPT % ")</f>
        <v xml:space="preserve">| 1 P PHP-CGM % | 3 L NS % | 4 L JAVA % | 5 L PHP-CGM @ | 6 L CPT % </v>
      </c>
      <c r="AM14" s="4" t="str">
        <f ca="1">IFERROR(__xludf.DUMMYFUNCTION("""COMPUTED_VALUE"""),"| 1 L INE @ | 4 L NS % | 3 L PHP-CGM @ | 5 L PRO % ")</f>
        <v xml:space="preserve">| 1 L INE @ | 4 L NS % | 3 L PHP-CGM @ | 5 L PRO % </v>
      </c>
      <c r="AN14" s="4" t="str">
        <f ca="1">IFERROR(__xludf.DUMMYFUNCTION("""COMPUTED_VALUE"""),"| 1 L CPT % | 2 L NS % | 3 P CPT % | 5 P Python % ")</f>
        <v xml:space="preserve">| 1 L CPT % | 2 L NS % | 3 P CPT % | 5 P Python % </v>
      </c>
      <c r="AO14" s="4" t="str">
        <f ca="1">IFERROR(__xludf.DUMMYFUNCTION("""COMPUTED_VALUE"""),"| 1 L PHP-CGM % | 2 L JAVA % | 3 P NS % | 5 P JAVA % ")</f>
        <v xml:space="preserve">| 1 L PHP-CGM % | 2 L JAVA % | 3 P NS % | 5 P JAVA % </v>
      </c>
      <c r="AP14" s="4" t="str">
        <f ca="1">IFERROR(__xludf.DUMMYFUNCTION("""COMPUTED_VALUE"""),"| 1 P Python % | 3 L JAVA % | 4 L CPT % | 5 P JAVA % ")</f>
        <v xml:space="preserve">| 1 P Python % | 3 L JAVA % | 4 L CPT % | 5 P JAVA % </v>
      </c>
      <c r="AQ1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4" s="4" t="str">
        <f ca="1">IFERROR(__xludf.DUMMYFUNCTION("""COMPUTED_VALUE"""),"| 1 L INE @ | 3 L PHP-CGM @ | 4 L NS @ | 5 L PRO @ ")</f>
        <v xml:space="preserve">| 1 L INE @ | 3 L PHP-CGM @ | 4 L NS @ | 5 L PRO @ </v>
      </c>
      <c r="AS14" s="4" t="str">
        <f ca="1">IFERROR(__xludf.DUMMYFUNCTION("""COMPUTED_VALUE"""),"| 1 L PHP-CGM % | 2 L JAVA % | 3 P NS % | 5 P JAVA % ")</f>
        <v xml:space="preserve">| 1 L PHP-CGM % | 2 L JAVA % | 3 P NS % | 5 P JAVA % </v>
      </c>
      <c r="AT14" s="4" t="str">
        <f ca="1">IFERROR(__xludf.DUMMYFUNCTION("""COMPUTED_VALUE"""),"| 1 P Python % | 3 L JAVA % | 4 L CPT % | 5 P JAVA % ")</f>
        <v xml:space="preserve">| 1 P Python % | 3 L JAVA % | 4 L CPT % | 5 P JAVA % </v>
      </c>
      <c r="AU1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14" s="4" t="str">
        <f ca="1">IFERROR(__xludf.DUMMYFUNCTION("""COMPUTED_VALUE"""),"| 1 L INE @ | 3 L PHP-CGM % | 4 L NS % | 7 L PRO % ")</f>
        <v xml:space="preserve">| 1 L INE @ | 3 L PHP-CGM % | 4 L NS % | 7 L PRO % </v>
      </c>
      <c r="AW14" s="4" t="str">
        <f ca="1">IFERROR(__xludf.DUMMYFUNCTION("""COMPUTED_VALUE"""),"| 1 L CPT @ | 2 L NS @ | 3 P CPT @ | 5 P Python @ ")</f>
        <v xml:space="preserve">| 1 L CPT @ | 2 L NS @ | 3 P CPT @ | 5 P Python @ </v>
      </c>
      <c r="AX14" s="4" t="str">
        <f ca="1">IFERROR(__xludf.DUMMYFUNCTION("""COMPUTED_VALUE"""),"| 1 L PHP-CGM % | 2 L JAVA % | 3 P NS % | 5 P JAVA % ")</f>
        <v xml:space="preserve">| 1 L PHP-CGM % | 2 L JAVA % | 3 P NS % | 5 P JAVA % </v>
      </c>
      <c r="AY14" s="4" t="str">
        <f ca="1">IFERROR(__xludf.DUMMYFUNCTION("""COMPUTED_VALUE"""),"| 1 P Python % | 3 L JAVA % | 4 L CPT % | 5 P JAVA % ")</f>
        <v xml:space="preserve">| 1 P Python % | 3 L JAVA % | 4 L CPT % | 5 P JAVA % </v>
      </c>
      <c r="AZ14" s="4" t="str">
        <f ca="1">IFERROR(__xludf.DUMMYFUNCTION("""COMPUTED_VALUE"""),"| 1 L INE @ | 3 L PHP-CGM @ | 4 L NS @ | 5 L PRO @ ")</f>
        <v xml:space="preserve">| 1 L INE @ | 3 L PHP-CGM @ | 4 L NS @ | 5 L PRO @ </v>
      </c>
      <c r="BA14" s="4" t="str">
        <f ca="1">IFERROR(__xludf.DUMMYFUNCTION("""COMPUTED_VALUE"""),"| 1 L CPT % | 2 L NS % | 3 P CPT % | 5 P Python % ")</f>
        <v xml:space="preserve">| 1 L CPT % | 2 L NS % | 3 P CPT % | 5 P Python % </v>
      </c>
      <c r="BB14" s="4" t="str">
        <f ca="1">IFERROR(__xludf.DUMMYFUNCTION("""COMPUTED_VALUE"""),"| 1 L PHP-CGM % | 2 L JAVA % | 3 P NS % | 5 P JAVA % ")</f>
        <v xml:space="preserve">| 1 L PHP-CGM % | 2 L JAVA % | 3 P NS % | 5 P JAVA % </v>
      </c>
      <c r="BC14" s="4" t="str">
        <f ca="1">IFERROR(__xludf.DUMMYFUNCTION("""COMPUTED_VALUE"""),"| 1 P Python % | 3 L JAVA % | 4 L CPT % | 5 P JAVA % ")</f>
        <v xml:space="preserve">| 1 P Python % | 3 L JAVA % | 4 L CPT % | 5 P JAVA % </v>
      </c>
      <c r="BD14" s="4" t="str">
        <f ca="1">IFERROR(__xludf.DUMMYFUNCTION("""COMPUTED_VALUE"""),"| 1 P PHP-CGM @ | 3 L NS @ | 6 L CPT @ | 5 L PHP-CGM @ | 4 L JAVA @ ")</f>
        <v xml:space="preserve">| 1 P PHP-CGM @ | 3 L NS @ | 6 L CPT @ | 5 L PHP-CGM @ | 4 L JAVA @ </v>
      </c>
      <c r="BE14" s="4" t="str">
        <f ca="1">IFERROR(__xludf.DUMMYFUNCTION("""COMPUTED_VALUE"""),"| 1 L INE @ | 3 L PHP-CGM % | 4 L NS % | 5 L PRO % ")</f>
        <v xml:space="preserve">| 1 L INE @ | 3 L PHP-CGM % | 4 L NS % | 5 L PRO % </v>
      </c>
      <c r="BF14" s="4" t="str">
        <f ca="1">IFERROR(__xludf.DUMMYFUNCTION("""COMPUTED_VALUE"""),"| 1 L CPT @ | 2 L NS @ | 3 P CPT @ | 5 P JAVA @ ")</f>
        <v xml:space="preserve">| 1 L CPT @ | 2 L NS @ | 3 P CPT @ | 5 P JAVA @ </v>
      </c>
      <c r="BG14" s="4" t="str">
        <f ca="1">IFERROR(__xludf.DUMMYFUNCTION("""COMPUTED_VALUE"""),"| 1 P Python % | 4 L CPT % | 5 P JAVA % ")</f>
        <v xml:space="preserve">| 1 P Python % | 4 L CPT % | 5 P JAVA % </v>
      </c>
      <c r="BH1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I14" s="4" t="str">
        <f ca="1">IFERROR(__xludf.DUMMYFUNCTION("""COMPUTED_VALUE"""),"| 1 L INE @ | 3 L PHP-CGM % | 4 L NS % | 5 L PRO % ")</f>
        <v xml:space="preserve">| 1 L INE @ | 3 L PHP-CGM % | 4 L NS % | 5 L PRO % </v>
      </c>
      <c r="BJ14" s="4" t="str">
        <f ca="1">IFERROR(__xludf.DUMMYFUNCTION("""COMPUTED_VALUE"""),"| 1 L CPT % | 2 L NS % | 3 P CPT % | 5 P Python % ")</f>
        <v xml:space="preserve">| 1 L CPT % | 2 L NS % | 3 P CPT % | 5 P Python % </v>
      </c>
      <c r="BK14" s="4" t="str">
        <f ca="1">IFERROR(__xludf.DUMMYFUNCTION("""COMPUTED_VALUE"""),"| 1 L PHP-CGM @ | 2 L JAVA @ | 3 P NS @ | 5 P JAVA @ ")</f>
        <v xml:space="preserve">| 1 L PHP-CGM @ | 2 L JAVA @ | 3 P NS @ | 5 P JAVA @ </v>
      </c>
      <c r="BL14" s="4" t="str">
        <f ca="1">IFERROR(__xludf.DUMMYFUNCTION("""COMPUTED_VALUE"""),"| 1 P Python % | 3 L JAVA @ | 4 L CPT @ | 5 P JAVA % ")</f>
        <v xml:space="preserve">| 1 P Python % | 3 L JAVA @ | 4 L CPT @ | 5 P JAVA % </v>
      </c>
      <c r="BM14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4" s="4" t="str">
        <f ca="1">IFERROR(__xludf.DUMMYFUNCTION("""COMPUTED_VALUE"""),"| 1 L INE @ | 3 L PHP-CGM @ | 4 L NS @ | 5 L PRO @ ")</f>
        <v xml:space="preserve">| 1 L INE @ | 3 L PHP-CGM @ | 4 L NS @ | 5 L PRO @ </v>
      </c>
      <c r="BO14" s="4" t="str">
        <f ca="1">IFERROR(__xludf.DUMMYFUNCTION("""COMPUTED_VALUE"""),"| 1 L CPT @ | 2 L NS @ | 3 P CPT @ ")</f>
        <v xml:space="preserve">| 1 L CPT @ | 2 L NS @ | 3 P CPT @ </v>
      </c>
      <c r="BP14" s="4" t="str">
        <f ca="1">IFERROR(__xludf.DUMMYFUNCTION("""COMPUTED_VALUE"""),"| 1 L PHP-CGM % | 2 L JAVA % | 3 P NS % | 5 P JAVA % ")</f>
        <v xml:space="preserve">| 1 L PHP-CGM % | 2 L JAVA % | 3 P NS % | 5 P JAVA % </v>
      </c>
      <c r="BQ14" s="4" t="str">
        <f ca="1">IFERROR(__xludf.DUMMYFUNCTION("""COMPUTED_VALUE"""),"| 5 L PHP-CGM % | 6 L CPT % ")</f>
        <v xml:space="preserve">| 5 L PHP-CGM % | 6 L CPT % </v>
      </c>
      <c r="BR14" s="4"/>
      <c r="BS14" s="4"/>
      <c r="BT14" s="4" t="str">
        <f ca="1">IFERROR(__xludf.DUMMYFUNCTION("""COMPUTED_VALUE"""),"| 1 L PHP-CGM % | 2 L JAVA % | 3 P NS % ")</f>
        <v xml:space="preserve">| 1 L PHP-CGM % | 2 L JAVA % | 3 P NS % </v>
      </c>
      <c r="BU14" s="4" t="str">
        <f ca="1">IFERROR(__xludf.DUMMYFUNCTION("""COMPUTED_VALUE"""),"| 1 P Python % | 4 L CPT % | 3 L JAVA % ")</f>
        <v xml:space="preserve">| 1 P Python % | 4 L CPT % | 3 L JAVA % </v>
      </c>
      <c r="BV14" s="4" t="str">
        <f ca="1">IFERROR(__xludf.DUMMYFUNCTION("""COMPUTED_VALUE"""),"| 1 L PHP-CGM % | 2 L JAVA % | 3 P NS % | 5 P JAVA % ")</f>
        <v xml:space="preserve">| 1 L PHP-CGM % | 2 L JAVA % | 3 P NS % | 5 P JAVA % </v>
      </c>
      <c r="BW14" s="4" t="str">
        <f ca="1">IFERROR(__xludf.DUMMYFUNCTION("""COMPUTED_VALUE"""),"| 1 P Python % | 3 L JAVA % | 4 L CPT % ")</f>
        <v xml:space="preserve">| 1 P Python % | 3 L JAVA % | 4 L CPT % </v>
      </c>
      <c r="BX1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Y14" s="4" t="str">
        <f ca="1">IFERROR(__xludf.DUMMYFUNCTION("""COMPUTED_VALUE"""),"| 1 L INE % | 3 L PHP-CGM % | 4 L NS % | 5 L PRO @ ")</f>
        <v xml:space="preserve">| 1 L INE % | 3 L PHP-CGM % | 4 L NS % | 5 L PRO @ </v>
      </c>
      <c r="BZ14" s="4" t="str">
        <f ca="1">IFERROR(__xludf.DUMMYFUNCTION("""COMPUTED_VALUE"""),"| 1 L CPT % | 2 L NS % | 3 P CPT % | 5 P Python % ")</f>
        <v xml:space="preserve">| 1 L CPT % | 2 L NS % | 3 P CPT % | 5 P Python % </v>
      </c>
      <c r="CA14" s="4" t="str">
        <f ca="1">IFERROR(__xludf.DUMMYFUNCTION("""COMPUTED_VALUE"""),"| 1 L PHP-CGM % | 2 L JAVA % | 3 P NS % | 5 P JAVA % ")</f>
        <v xml:space="preserve">| 1 L PHP-CGM % | 2 L JAVA % | 3 P NS % | 5 P JAVA % </v>
      </c>
      <c r="CB14" s="4" t="str">
        <f ca="1">IFERROR(__xludf.DUMMYFUNCTION("""COMPUTED_VALUE"""),"| 1 P Python % | 3 L JAVA % | 4 L CPT % | 5 P JAVA @ ")</f>
        <v xml:space="preserve">| 1 P Python % | 3 L JAVA % | 4 L CPT % | 5 P JAVA @ </v>
      </c>
      <c r="CC14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CD14" s="4" t="str">
        <f ca="1">IFERROR(__xludf.DUMMYFUNCTION("""COMPUTED_VALUE"""),"| 1 L INE % | 3 L PHP-CGM % | 4 L NS % | 5 L PRO % ")</f>
        <v xml:space="preserve">| 1 L INE % | 3 L PHP-CGM % | 4 L NS % | 5 L PRO % </v>
      </c>
      <c r="CE14" s="4" t="str">
        <f ca="1">IFERROR(__xludf.DUMMYFUNCTION("""COMPUTED_VALUE"""),"| 1 L CPT % | 2 L NS % | 3 P CPT % | 5 P Python % ")</f>
        <v xml:space="preserve">| 1 L CPT % | 2 L NS % | 3 P CPT % | 5 P Python % </v>
      </c>
      <c r="CF14" s="4" t="str">
        <f ca="1">IFERROR(__xludf.DUMMYFUNCTION("""COMPUTED_VALUE"""),"| 1 L PHP-CGM % | 2 L JAVA % | 3 P NS % ")</f>
        <v xml:space="preserve">| 1 L PHP-CGM % | 2 L JAVA % | 3 P NS % </v>
      </c>
      <c r="CG14" s="4" t="str">
        <f ca="1">IFERROR(__xludf.DUMMYFUNCTION("""COMPUTED_VALUE"""),"| 1 P Python % | 4 L CPT % | 5 P JAVA % ")</f>
        <v xml:space="preserve">| 1 P Python % | 4 L CPT % | 5 P JAVA % </v>
      </c>
      <c r="CH14" s="4" t="str">
        <f ca="1">IFERROR(__xludf.DUMMYFUNCTION("""COMPUTED_VALUE"""),"| 3 L NS @ | 6 L CPT @ ")</f>
        <v xml:space="preserve">| 3 L NS @ | 6 L CPT @ </v>
      </c>
      <c r="CI14" s="4" t="str">
        <f ca="1">IFERROR(__xludf.DUMMYFUNCTION("""COMPUTED_VALUE"""),"| 1 L INE @ ")</f>
        <v xml:space="preserve">| 1 L INE @ </v>
      </c>
      <c r="CJ14" s="4" t="str">
        <f ca="1">IFERROR(__xludf.DUMMYFUNCTION("""COMPUTED_VALUE"""),"| 3 P CPT @ ")</f>
        <v xml:space="preserve">| 3 P CPT @ </v>
      </c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</row>
    <row r="15" spans="1:103" ht="12.5" x14ac:dyDescent="0.25">
      <c r="A15" s="3">
        <f ca="1">IFERROR(__xludf.DUMMYFUNCTION("""COMPUTED_VALUE"""),1)</f>
        <v>1</v>
      </c>
      <c r="B15" s="3" t="str">
        <f ca="1">IFERROR(__xludf.DUMMYFUNCTION("""COMPUTED_VALUE"""),"A")</f>
        <v>A</v>
      </c>
      <c r="C15" s="32" t="str">
        <f ca="1">IFERROR(__xludf.DUMMYFUNCTION("""COMPUTED_VALUE"""),"23291341036")</f>
        <v>23291341036</v>
      </c>
      <c r="D15" s="21" t="str">
        <f ca="1">IFERROR(__xludf.DUMMYFUNCTION("""COMPUTED_VALUE"""),"GANDHI TANISH RAKESHKUMAR")</f>
        <v>GANDHI TANISH RAKESHKUMAR</v>
      </c>
      <c r="E15" s="3" t="str">
        <f ca="1">IFERROR(__xludf.DUMMYFUNCTION("""COMPUTED_VALUE"""),"RRP-Mor")</f>
        <v>RRP-Mor</v>
      </c>
      <c r="F15" s="3">
        <f ca="1">IFERROR(__xludf.DUMMYFUNCTION("""COMPUTED_VALUE"""),9016361955)</f>
        <v>9016361955</v>
      </c>
      <c r="G15" s="3">
        <f ca="1">IFERROR(__xludf.DUMMYFUNCTION("""COMPUTED_VALUE"""),9978918996)</f>
        <v>9978918996</v>
      </c>
      <c r="H15" s="33">
        <f ca="1">IFERROR(__xludf.DUMMYFUNCTION("""COMPUTED_VALUE"""),0.533057851239669)</f>
        <v>0.53305785123966898</v>
      </c>
      <c r="I15" s="25">
        <f ca="1">IFERROR(__xludf.DUMMYFUNCTION("""COMPUTED_VALUE"""),0.555555555555555)</f>
        <v>0.55555555555555503</v>
      </c>
      <c r="J15" s="25">
        <f ca="1">IFERROR(__xludf.DUMMYFUNCTION("""COMPUTED_VALUE"""),0.416666666666666)</f>
        <v>0.41666666666666602</v>
      </c>
      <c r="K15" s="25">
        <f ca="1">IFERROR(__xludf.DUMMYFUNCTION("""COMPUTED_VALUE"""),0.558823529411764)</f>
        <v>0.55882352941176405</v>
      </c>
      <c r="L15" s="25">
        <f ca="1">IFERROR(__xludf.DUMMYFUNCTION("""COMPUTED_VALUE"""),0.384615384615384)</f>
        <v>0.38461538461538403</v>
      </c>
      <c r="M15" s="25">
        <f ca="1">IFERROR(__xludf.DUMMYFUNCTION("""COMPUTED_VALUE"""),0.666666666666666)</f>
        <v>0.66666666666666596</v>
      </c>
      <c r="N15" s="25">
        <f ca="1">IFERROR(__xludf.DUMMYFUNCTION("""COMPUTED_VALUE"""),0.4)</f>
        <v>0.4</v>
      </c>
      <c r="O15" s="25">
        <f ca="1">IFERROR(__xludf.DUMMYFUNCTION("""COMPUTED_VALUE"""),0.515151515151515)</f>
        <v>0.51515151515151503</v>
      </c>
      <c r="P15" s="25">
        <f ca="1">IFERROR(__xludf.DUMMYFUNCTION("""COMPUTED_VALUE"""),0.608695652173913)</f>
        <v>0.60869565217391297</v>
      </c>
      <c r="Q15" s="25">
        <f ca="1">IFERROR(__xludf.DUMMYFUNCTION("""COMPUTED_VALUE"""),0)</f>
        <v>0</v>
      </c>
      <c r="R15" s="25">
        <f ca="1">IFERROR(__xludf.DUMMYFUNCTION("""COMPUTED_VALUE"""),0.409090909090909)</f>
        <v>0.40909090909090901</v>
      </c>
      <c r="S15" s="25">
        <f ca="1">IFERROR(__xludf.DUMMYFUNCTION("""COMPUTED_VALUE"""),0.7)</f>
        <v>0.7</v>
      </c>
      <c r="T15" s="25">
        <f ca="1">IFERROR(__xludf.DUMMYFUNCTION("""COMPUTED_VALUE"""),0)</f>
        <v>0</v>
      </c>
      <c r="U15" s="25">
        <f ca="1">IFERROR(__xludf.DUMMYFUNCTION("""COMPUTED_VALUE"""),0.454545454545454)</f>
        <v>0.45454545454545398</v>
      </c>
      <c r="V15" s="25">
        <f ca="1">IFERROR(__xludf.DUMMYFUNCTION("""COMPUTED_VALUE"""),0)</f>
        <v>0</v>
      </c>
      <c r="W15" s="4"/>
      <c r="X15" s="4" t="str">
        <f ca="1">IFERROR(__xludf.DUMMYFUNCTION("""COMPUTED_VALUE"""),"| 1 L PHP-CGM % | 3 P NS @ | 5 P JAVA % ")</f>
        <v xml:space="preserve">| 1 L PHP-CGM % | 3 P NS @ | 5 P JAVA % </v>
      </c>
      <c r="Y15" s="4" t="str">
        <f ca="1">IFERROR(__xludf.DUMMYFUNCTION("""COMPUTED_VALUE"""),"| 1 P Python % | 3 L JAVA % | 4 L CPT % | 5 P JAVA % ")</f>
        <v xml:space="preserve">| 1 P Python % | 3 L JAVA % | 4 L CPT % | 5 P JAVA % </v>
      </c>
      <c r="Z15" s="4" t="str">
        <f ca="1">IFERROR(__xludf.DUMMYFUNCTION("""COMPUTED_VALUE"""),"| 1 P PHP-CGM @ | 3 L NS @ | 4 L JAVA @ | 5 L PHP-CGM % | 6 L CPT % ")</f>
        <v xml:space="preserve">| 1 P PHP-CGM @ | 3 L NS @ | 4 L JAVA @ | 5 L PHP-CGM % | 6 L CPT % </v>
      </c>
      <c r="AA15" s="4" t="str">
        <f ca="1">IFERROR(__xludf.DUMMYFUNCTION("""COMPUTED_VALUE"""),"| 3 L PHP-CGM % | 4 L NS % | 1 L INE % | 5 P PRO @ ")</f>
        <v xml:space="preserve">| 3 L PHP-CGM % | 4 L NS % | 1 L INE % | 5 P PRO @ </v>
      </c>
      <c r="AB15" s="4" t="str">
        <f ca="1">IFERROR(__xludf.DUMMYFUNCTION("""COMPUTED_VALUE"""),"| 1 L CPT % | 2 L NS % | 3 P CPT @ | 5 P Python % ")</f>
        <v xml:space="preserve">| 1 L CPT % | 2 L NS % | 3 P CPT @ | 5 P Python % </v>
      </c>
      <c r="AC15" s="4" t="str">
        <f ca="1">IFERROR(__xludf.DUMMYFUNCTION("""COMPUTED_VALUE"""),"| 1 L PHP-CGM @ | 2 L JAVA @ | 3 P NS % | 5 P JAVA % ")</f>
        <v xml:space="preserve">| 1 L PHP-CGM @ | 2 L JAVA @ | 3 P NS % | 5 P JAVA % </v>
      </c>
      <c r="AD15" s="4" t="str">
        <f ca="1">IFERROR(__xludf.DUMMYFUNCTION("""COMPUTED_VALUE"""),"| 1 P Python % | 3 L JAVA % | 4 L CPT % | 5 P JAVA % ")</f>
        <v xml:space="preserve">| 1 P Python % | 3 L JAVA % | 4 L CPT % | 5 P JAVA % </v>
      </c>
      <c r="AE15" s="4" t="str">
        <f ca="1">IFERROR(__xludf.DUMMYFUNCTION("""COMPUTED_VALUE"""),"| 1 P PHP-CGM @ | 4 L JAVA @ | 3 L NS @ | 5 L PHP-CGM @ | 6 L CPT @ ")</f>
        <v xml:space="preserve">| 1 P PHP-CGM @ | 4 L JAVA @ | 3 L NS @ | 5 L PHP-CGM @ | 6 L CPT @ </v>
      </c>
      <c r="AF15" s="4" t="str">
        <f ca="1">IFERROR(__xludf.DUMMYFUNCTION("""COMPUTED_VALUE"""),"| 3 L PHP-CGM % | 4 L NS @ | 5 P PRO @ ")</f>
        <v xml:space="preserve">| 3 L PHP-CGM % | 4 L NS @ | 5 P PRO @ </v>
      </c>
      <c r="AG15" s="4" t="str">
        <f ca="1">IFERROR(__xludf.DUMMYFUNCTION("""COMPUTED_VALUE"""),"| 1 L CPT % | 2 L NS % | 3 P CPT % | 5 P Python @ ")</f>
        <v xml:space="preserve">| 1 L CPT % | 2 L NS % | 3 P CPT % | 5 P Python @ </v>
      </c>
      <c r="AH15" s="4" t="str">
        <f ca="1">IFERROR(__xludf.DUMMYFUNCTION("""COMPUTED_VALUE"""),"| 3 L PHP-CGM % | 4 L NS % | 5 L PRO % ")</f>
        <v xml:space="preserve">| 3 L PHP-CGM % | 4 L NS % | 5 L PRO % </v>
      </c>
      <c r="AI15" s="4" t="str">
        <f ca="1">IFERROR(__xludf.DUMMYFUNCTION("""COMPUTED_VALUE"""),"| 1 L CPT % | 2 L NS % | 3 P CPT % | 5 P Python @ ")</f>
        <v xml:space="preserve">| 1 L CPT % | 2 L NS % | 3 P CPT % | 5 P Python @ </v>
      </c>
      <c r="AJ15" s="4" t="str">
        <f ca="1">IFERROR(__xludf.DUMMYFUNCTION("""COMPUTED_VALUE"""),"| 1 L PHP-CGM % | 2 L JAVA % | 3 P NS % | 5 P JAVA % ")</f>
        <v xml:space="preserve">| 1 L PHP-CGM % | 2 L JAVA % | 3 P NS % | 5 P JAVA % </v>
      </c>
      <c r="AK15" s="4" t="str">
        <f ca="1">IFERROR(__xludf.DUMMYFUNCTION("""COMPUTED_VALUE"""),"| 1 P Python % | 3 L JAVA % | 4 L CPT % | 5 P JAVA % ")</f>
        <v xml:space="preserve">| 1 P Python % | 3 L JAVA % | 4 L CPT % | 5 P JAVA % </v>
      </c>
      <c r="AL15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15" s="4" t="str">
        <f ca="1">IFERROR(__xludf.DUMMYFUNCTION("""COMPUTED_VALUE"""),"| 1 L INE @ | 4 L NS % | 3 L PHP-CGM % | 5 L PRO % ")</f>
        <v xml:space="preserve">| 1 L INE @ | 4 L NS % | 3 L PHP-CGM % | 5 L PRO % </v>
      </c>
      <c r="AN15" s="4" t="str">
        <f ca="1">IFERROR(__xludf.DUMMYFUNCTION("""COMPUTED_VALUE"""),"| 1 L CPT % | 2 L NS % | 3 P CPT % | 5 P Python @ ")</f>
        <v xml:space="preserve">| 1 L CPT % | 2 L NS % | 3 P CPT % | 5 P Python @ </v>
      </c>
      <c r="AO15" s="4" t="str">
        <f ca="1">IFERROR(__xludf.DUMMYFUNCTION("""COMPUTED_VALUE"""),"| 1 L PHP-CGM % | 2 L JAVA % | 3 P NS @ | 5 P JAVA @ ")</f>
        <v xml:space="preserve">| 1 L PHP-CGM % | 2 L JAVA % | 3 P NS @ | 5 P JAVA @ </v>
      </c>
      <c r="AP15" s="4" t="str">
        <f ca="1">IFERROR(__xludf.DUMMYFUNCTION("""COMPUTED_VALUE"""),"| 1 P Python % | 3 L JAVA % | 4 L CPT % | 5 P JAVA @ ")</f>
        <v xml:space="preserve">| 1 P Python % | 3 L JAVA % | 4 L CPT % | 5 P JAVA @ </v>
      </c>
      <c r="AQ15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5" s="4" t="str">
        <f ca="1">IFERROR(__xludf.DUMMYFUNCTION("""COMPUTED_VALUE"""),"| 1 L INE @ | 3 L PHP-CGM % | 4 L NS % | 5 L PRO % ")</f>
        <v xml:space="preserve">| 1 L INE @ | 3 L PHP-CGM % | 4 L NS % | 5 L PRO % </v>
      </c>
      <c r="AS15" s="4" t="str">
        <f ca="1">IFERROR(__xludf.DUMMYFUNCTION("""COMPUTED_VALUE"""),"| 1 L PHP-CGM % | 2 L JAVA % | 3 P NS @ | 5 P JAVA % ")</f>
        <v xml:space="preserve">| 1 L PHP-CGM % | 2 L JAVA % | 3 P NS @ | 5 P JAVA % </v>
      </c>
      <c r="AT15" s="4" t="str">
        <f ca="1">IFERROR(__xludf.DUMMYFUNCTION("""COMPUTED_VALUE"""),"| 1 P Python @ | 3 L JAVA @ | 4 L CPT @ | 5 P JAVA @ ")</f>
        <v xml:space="preserve">| 1 P Python @ | 3 L JAVA @ | 4 L CPT @ | 5 P JAVA @ </v>
      </c>
      <c r="AU15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V15" s="4" t="str">
        <f ca="1">IFERROR(__xludf.DUMMYFUNCTION("""COMPUTED_VALUE"""),"| 1 L INE % | 3 L PHP-CGM % | 4 L NS % | 7 L PRO % ")</f>
        <v xml:space="preserve">| 1 L INE % | 3 L PHP-CGM % | 4 L NS % | 7 L PRO % </v>
      </c>
      <c r="AW15" s="4" t="str">
        <f ca="1">IFERROR(__xludf.DUMMYFUNCTION("""COMPUTED_VALUE"""),"| 1 L CPT % | 2 L NS % | 3 P CPT @ | 5 P Python % ")</f>
        <v xml:space="preserve">| 1 L CPT % | 2 L NS % | 3 P CPT @ | 5 P Python % </v>
      </c>
      <c r="AX15" s="4" t="str">
        <f ca="1">IFERROR(__xludf.DUMMYFUNCTION("""COMPUTED_VALUE"""),"| 1 L PHP-CGM @ | 2 L JAVA @ | 3 P NS % | 5 P JAVA % ")</f>
        <v xml:space="preserve">| 1 L PHP-CGM @ | 2 L JAVA @ | 3 P NS % | 5 P JAVA % </v>
      </c>
      <c r="AY15" s="4" t="str">
        <f ca="1">IFERROR(__xludf.DUMMYFUNCTION("""COMPUTED_VALUE"""),"| 1 P Python @ | 3 L JAVA % | 4 L CPT % | 5 P JAVA % ")</f>
        <v xml:space="preserve">| 1 P Python @ | 3 L JAVA % | 4 L CPT % | 5 P JAVA % </v>
      </c>
      <c r="AZ15" s="4" t="str">
        <f ca="1">IFERROR(__xludf.DUMMYFUNCTION("""COMPUTED_VALUE"""),"| 1 L INE % | 3 L PHP-CGM @ | 4 L NS @ | 5 L PRO % ")</f>
        <v xml:space="preserve">| 1 L INE % | 3 L PHP-CGM @ | 4 L NS @ | 5 L PRO % </v>
      </c>
      <c r="BA15" s="4" t="str">
        <f ca="1">IFERROR(__xludf.DUMMYFUNCTION("""COMPUTED_VALUE"""),"| 1 L CPT @ | 2 L NS @ | 3 P CPT @ | 5 P Python @ ")</f>
        <v xml:space="preserve">| 1 L CPT @ | 2 L NS @ | 3 P CPT @ | 5 P Python @ </v>
      </c>
      <c r="BB15" s="4" t="str">
        <f ca="1">IFERROR(__xludf.DUMMYFUNCTION("""COMPUTED_VALUE"""),"| 1 L PHP-CGM @ | 2 L JAVA @ | 3 P NS @ | 5 P JAVA @ ")</f>
        <v xml:space="preserve">| 1 L PHP-CGM @ | 2 L JAVA @ | 3 P NS @ | 5 P JAVA @ </v>
      </c>
      <c r="BC15" s="4" t="str">
        <f ca="1">IFERROR(__xludf.DUMMYFUNCTION("""COMPUTED_VALUE"""),"| 1 P Python @ | 3 L JAVA @ | 4 L CPT @ | 5 P JAVA @ ")</f>
        <v xml:space="preserve">| 1 P Python @ | 3 L JAVA @ | 4 L CPT @ | 5 P JAVA @ </v>
      </c>
      <c r="BD15" s="4" t="str">
        <f ca="1">IFERROR(__xludf.DUMMYFUNCTION("""COMPUTED_VALUE"""),"| 1 P PHP-CGM @ | 3 L NS @ | 6 L CPT @ | 5 L PHP-CGM @ | 4 L JAVA @ ")</f>
        <v xml:space="preserve">| 1 P PHP-CGM @ | 3 L NS @ | 6 L CPT @ | 5 L PHP-CGM @ | 4 L JAVA @ </v>
      </c>
      <c r="BE15" s="4" t="str">
        <f ca="1">IFERROR(__xludf.DUMMYFUNCTION("""COMPUTED_VALUE"""),"| 1 L INE @ | 3 L PHP-CGM @ | 4 L NS @ | 5 L PRO @ ")</f>
        <v xml:space="preserve">| 1 L INE @ | 3 L PHP-CGM @ | 4 L NS @ | 5 L PRO @ </v>
      </c>
      <c r="BF15" s="4" t="str">
        <f ca="1">IFERROR(__xludf.DUMMYFUNCTION("""COMPUTED_VALUE"""),"| 1 L CPT @ | 2 L NS @ | 3 P CPT @ | 5 P JAVA @ ")</f>
        <v xml:space="preserve">| 1 L CPT @ | 2 L NS @ | 3 P CPT @ | 5 P JAVA @ </v>
      </c>
      <c r="BG15" s="4" t="str">
        <f ca="1">IFERROR(__xludf.DUMMYFUNCTION("""COMPUTED_VALUE"""),"| 1 P Python @ | 4 L CPT % | 5 P JAVA % ")</f>
        <v xml:space="preserve">| 1 P Python @ | 4 L CPT % | 5 P JAVA % </v>
      </c>
      <c r="BH15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I15" s="4" t="str">
        <f ca="1">IFERROR(__xludf.DUMMYFUNCTION("""COMPUTED_VALUE"""),"| 1 L INE % | 3 L PHP-CGM % | 4 L NS % | 5 L PRO @ ")</f>
        <v xml:space="preserve">| 1 L INE % | 3 L PHP-CGM % | 4 L NS % | 5 L PRO @ </v>
      </c>
      <c r="BJ15" s="4" t="str">
        <f ca="1">IFERROR(__xludf.DUMMYFUNCTION("""COMPUTED_VALUE"""),"| 1 L CPT @ | 2 L NS @ | 3 P CPT @ | 5 P Python @ ")</f>
        <v xml:space="preserve">| 1 L CPT @ | 2 L NS @ | 3 P CPT @ | 5 P Python @ </v>
      </c>
      <c r="BK15" s="4" t="str">
        <f ca="1">IFERROR(__xludf.DUMMYFUNCTION("""COMPUTED_VALUE"""),"| 1 L PHP-CGM @ | 2 L JAVA @ | 3 P NS @ | 5 P JAVA @ ")</f>
        <v xml:space="preserve">| 1 L PHP-CGM @ | 2 L JAVA @ | 3 P NS @ | 5 P JAVA @ </v>
      </c>
      <c r="BL15" s="4" t="str">
        <f ca="1">IFERROR(__xludf.DUMMYFUNCTION("""COMPUTED_VALUE"""),"| 1 P Python @ | 3 L JAVA @ | 4 L CPT @ | 5 P JAVA @ ")</f>
        <v xml:space="preserve">| 1 P Python @ | 3 L JAVA @ | 4 L CPT @ | 5 P JAVA @ </v>
      </c>
      <c r="BM15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5" s="4" t="str">
        <f ca="1">IFERROR(__xludf.DUMMYFUNCTION("""COMPUTED_VALUE"""),"| 1 L INE @ | 3 L PHP-CGM @ | 4 L NS @ | 5 L PRO @ ")</f>
        <v xml:space="preserve">| 1 L INE @ | 3 L PHP-CGM @ | 4 L NS @ | 5 L PRO @ </v>
      </c>
      <c r="BO15" s="4" t="str">
        <f ca="1">IFERROR(__xludf.DUMMYFUNCTION("""COMPUTED_VALUE"""),"| 1 L CPT @ | 2 L NS @ | 3 P CPT @ ")</f>
        <v xml:space="preserve">| 1 L CPT @ | 2 L NS @ | 3 P CPT @ </v>
      </c>
      <c r="BP15" s="4" t="str">
        <f ca="1">IFERROR(__xludf.DUMMYFUNCTION("""COMPUTED_VALUE"""),"| 1 L PHP-CGM % | 2 L JAVA % | 3 P NS @ | 5 P JAVA % ")</f>
        <v xml:space="preserve">| 1 L PHP-CGM % | 2 L JAVA % | 3 P NS @ | 5 P JAVA % </v>
      </c>
      <c r="BQ15" s="4" t="str">
        <f ca="1">IFERROR(__xludf.DUMMYFUNCTION("""COMPUTED_VALUE"""),"| 5 L PHP-CGM % | 6 L CPT @ ")</f>
        <v xml:space="preserve">| 5 L PHP-CGM % | 6 L CPT @ </v>
      </c>
      <c r="BR15" s="4"/>
      <c r="BS15" s="4"/>
      <c r="BT15" s="4" t="str">
        <f ca="1">IFERROR(__xludf.DUMMYFUNCTION("""COMPUTED_VALUE"""),"| 1 L PHP-CGM @ | 2 L JAVA @ | 3 P NS @ ")</f>
        <v xml:space="preserve">| 1 L PHP-CGM @ | 2 L JAVA @ | 3 P NS @ </v>
      </c>
      <c r="BU15" s="4" t="str">
        <f ca="1">IFERROR(__xludf.DUMMYFUNCTION("""COMPUTED_VALUE"""),"| 1 P Python @ | 4 L CPT @ | 3 L JAVA @ ")</f>
        <v xml:space="preserve">| 1 P Python @ | 4 L CPT @ | 3 L JAVA @ </v>
      </c>
      <c r="BV15" s="4" t="str">
        <f ca="1">IFERROR(__xludf.DUMMYFUNCTION("""COMPUTED_VALUE"""),"| 1 L PHP-CGM @ | 2 L JAVA @ | 3 P NS @ | 5 P JAVA @ ")</f>
        <v xml:space="preserve">| 1 L PHP-CGM @ | 2 L JAVA @ | 3 P NS @ | 5 P JAVA @ </v>
      </c>
      <c r="BW15" s="4" t="str">
        <f ca="1">IFERROR(__xludf.DUMMYFUNCTION("""COMPUTED_VALUE"""),"| 1 P Python @ | 3 L JAVA @ | 4 L CPT @ ")</f>
        <v xml:space="preserve">| 1 P Python @ | 3 L JAVA @ | 4 L CPT @ </v>
      </c>
      <c r="BX15" s="4" t="str">
        <f ca="1">IFERROR(__xludf.DUMMYFUNCTION("""COMPUTED_VALUE"""),"| 1 P PHP-CGM @ | 3 L NS @ | 4 L JAVA @ | 5 L PHP-CGM % | 6 L CPT % ")</f>
        <v xml:space="preserve">| 1 P PHP-CGM @ | 3 L NS @ | 4 L JAVA @ | 5 L PHP-CGM % | 6 L CPT % </v>
      </c>
      <c r="BY15" s="4" t="str">
        <f ca="1">IFERROR(__xludf.DUMMYFUNCTION("""COMPUTED_VALUE"""),"| 1 L INE @ | 3 L PHP-CGM % | 4 L NS % | 5 L PRO % ")</f>
        <v xml:space="preserve">| 1 L INE @ | 3 L PHP-CGM % | 4 L NS % | 5 L PRO % </v>
      </c>
      <c r="BZ15" s="4" t="str">
        <f ca="1">IFERROR(__xludf.DUMMYFUNCTION("""COMPUTED_VALUE"""),"| 1 L CPT @ | 2 L NS @ | 3 P CPT @ | 5 P Python @ ")</f>
        <v xml:space="preserve">| 1 L CPT @ | 2 L NS @ | 3 P CPT @ | 5 P Python @ </v>
      </c>
      <c r="CA15" s="4" t="str">
        <f ca="1">IFERROR(__xludf.DUMMYFUNCTION("""COMPUTED_VALUE"""),"| 1 L PHP-CGM % | 2 L JAVA % | 3 P NS % | 5 P JAVA % ")</f>
        <v xml:space="preserve">| 1 L PHP-CGM % | 2 L JAVA % | 3 P NS % | 5 P JAVA % </v>
      </c>
      <c r="CB15" s="4" t="str">
        <f ca="1">IFERROR(__xludf.DUMMYFUNCTION("""COMPUTED_VALUE"""),"| 1 P Python % | 3 L JAVA % | 4 L CPT % | 5 P JAVA % ")</f>
        <v xml:space="preserve">| 1 P Python % | 3 L JAVA % | 4 L CPT % | 5 P JAVA % </v>
      </c>
      <c r="CC15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15" s="4" t="str">
        <f ca="1">IFERROR(__xludf.DUMMYFUNCTION("""COMPUTED_VALUE"""),"| 1 L INE % | 3 L PHP-CGM % | 4 L NS % | 5 L PRO % ")</f>
        <v xml:space="preserve">| 1 L INE % | 3 L PHP-CGM % | 4 L NS % | 5 L PRO % </v>
      </c>
      <c r="CE15" s="4" t="str">
        <f ca="1">IFERROR(__xludf.DUMMYFUNCTION("""COMPUTED_VALUE"""),"| 1 L CPT % | 2 L NS % | 3 P CPT % | 5 P Python % ")</f>
        <v xml:space="preserve">| 1 L CPT % | 2 L NS % | 3 P CPT % | 5 P Python % </v>
      </c>
      <c r="CF15" s="4" t="str">
        <f ca="1">IFERROR(__xludf.DUMMYFUNCTION("""COMPUTED_VALUE"""),"| 1 L PHP-CGM % | 2 L JAVA % | 3 P NS % ")</f>
        <v xml:space="preserve">| 1 L PHP-CGM % | 2 L JAVA % | 3 P NS % </v>
      </c>
      <c r="CG15" s="4" t="str">
        <f ca="1">IFERROR(__xludf.DUMMYFUNCTION("""COMPUTED_VALUE"""),"| 1 P Python % | 4 L CPT @ | 5 P JAVA % ")</f>
        <v xml:space="preserve">| 1 P Python % | 4 L CPT @ | 5 P JAVA % </v>
      </c>
      <c r="CH15" s="4" t="str">
        <f ca="1">IFERROR(__xludf.DUMMYFUNCTION("""COMPUTED_VALUE"""),"| 3 L NS @ | 6 L CPT @ ")</f>
        <v xml:space="preserve">| 3 L NS @ | 6 L CPT @ </v>
      </c>
      <c r="CI15" s="4" t="str">
        <f ca="1">IFERROR(__xludf.DUMMYFUNCTION("""COMPUTED_VALUE"""),"| 1 L INE @ ")</f>
        <v xml:space="preserve">| 1 L INE @ </v>
      </c>
      <c r="CJ15" s="4" t="str">
        <f ca="1">IFERROR(__xludf.DUMMYFUNCTION("""COMPUTED_VALUE"""),"| 3 P CPT % ")</f>
        <v xml:space="preserve">| 3 P CPT % </v>
      </c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</row>
    <row r="16" spans="1:103" ht="12.5" x14ac:dyDescent="0.25">
      <c r="A16" s="3">
        <f ca="1">IFERROR(__xludf.DUMMYFUNCTION("""COMPUTED_VALUE"""),1)</f>
        <v>1</v>
      </c>
      <c r="B16" s="3" t="str">
        <f ca="1">IFERROR(__xludf.DUMMYFUNCTION("""COMPUTED_VALUE"""),"A")</f>
        <v>A</v>
      </c>
      <c r="C16" s="32" t="str">
        <f ca="1">IFERROR(__xludf.DUMMYFUNCTION("""COMPUTED_VALUE"""),"23291341049")</f>
        <v>23291341049</v>
      </c>
      <c r="D16" s="21" t="str">
        <f ca="1">IFERROR(__xludf.DUMMYFUNCTION("""COMPUTED_VALUE"""),"KANASAGARA HET AMITKUMAR")</f>
        <v>KANASAGARA HET AMITKUMAR</v>
      </c>
      <c r="E16" s="3" t="str">
        <f ca="1">IFERROR(__xludf.DUMMYFUNCTION("""COMPUTED_VALUE"""),"RRP-Mor")</f>
        <v>RRP-Mor</v>
      </c>
      <c r="F16" s="3">
        <f ca="1">IFERROR(__xludf.DUMMYFUNCTION("""COMPUTED_VALUE"""),9714315125)</f>
        <v>9714315125</v>
      </c>
      <c r="G16" s="3">
        <f ca="1">IFERROR(__xludf.DUMMYFUNCTION("""COMPUTED_VALUE"""),9426407836)</f>
        <v>9426407836</v>
      </c>
      <c r="H16" s="33">
        <f ca="1">IFERROR(__xludf.DUMMYFUNCTION("""COMPUTED_VALUE"""),0.371900826446281)</f>
        <v>0.37190082644628097</v>
      </c>
      <c r="I16" s="25">
        <f ca="1">IFERROR(__xludf.DUMMYFUNCTION("""COMPUTED_VALUE"""),0.333333333333333)</f>
        <v>0.33333333333333298</v>
      </c>
      <c r="J16" s="25">
        <f ca="1">IFERROR(__xludf.DUMMYFUNCTION("""COMPUTED_VALUE"""),0.166666666666666)</f>
        <v>0.16666666666666599</v>
      </c>
      <c r="K16" s="25">
        <f ca="1">IFERROR(__xludf.DUMMYFUNCTION("""COMPUTED_VALUE"""),0.38235294117647)</f>
        <v>0.38235294117647001</v>
      </c>
      <c r="L16" s="25">
        <f ca="1">IFERROR(__xludf.DUMMYFUNCTION("""COMPUTED_VALUE"""),0.461538461538461)</f>
        <v>0.46153846153846101</v>
      </c>
      <c r="M16" s="25">
        <f ca="1">IFERROR(__xludf.DUMMYFUNCTION("""COMPUTED_VALUE"""),0.388888888888888)</f>
        <v>0.38888888888888801</v>
      </c>
      <c r="N16" s="25">
        <f ca="1">IFERROR(__xludf.DUMMYFUNCTION("""COMPUTED_VALUE"""),0.5)</f>
        <v>0.5</v>
      </c>
      <c r="O16" s="25">
        <f ca="1">IFERROR(__xludf.DUMMYFUNCTION("""COMPUTED_VALUE"""),0.515151515151515)</f>
        <v>0.51515151515151503</v>
      </c>
      <c r="P16" s="25">
        <f ca="1">IFERROR(__xludf.DUMMYFUNCTION("""COMPUTED_VALUE"""),0.391304347826087)</f>
        <v>0.39130434782608697</v>
      </c>
      <c r="Q16" s="25">
        <f ca="1">IFERROR(__xludf.DUMMYFUNCTION("""COMPUTED_VALUE"""),0)</f>
        <v>0</v>
      </c>
      <c r="R16" s="25">
        <f ca="1">IFERROR(__xludf.DUMMYFUNCTION("""COMPUTED_VALUE"""),0.318181818181818)</f>
        <v>0.31818181818181801</v>
      </c>
      <c r="S16" s="25">
        <f ca="1">IFERROR(__xludf.DUMMYFUNCTION("""COMPUTED_VALUE"""),0.1)</f>
        <v>0.1</v>
      </c>
      <c r="T16" s="25">
        <f ca="1">IFERROR(__xludf.DUMMYFUNCTION("""COMPUTED_VALUE"""),0.5)</f>
        <v>0.5</v>
      </c>
      <c r="U16" s="25">
        <f ca="1">IFERROR(__xludf.DUMMYFUNCTION("""COMPUTED_VALUE"""),0.272727272727272)</f>
        <v>0.27272727272727199</v>
      </c>
      <c r="V16" s="25">
        <f ca="1">IFERROR(__xludf.DUMMYFUNCTION("""COMPUTED_VALUE"""),0)</f>
        <v>0</v>
      </c>
      <c r="W16" s="4"/>
      <c r="X16" s="4" t="str">
        <f ca="1">IFERROR(__xludf.DUMMYFUNCTION("""COMPUTED_VALUE"""),"| 1 L PHP-CGM @ | 3 P NS @ | 5 P JAVA @ ")</f>
        <v xml:space="preserve">| 1 L PHP-CGM @ | 3 P NS @ | 5 P JAVA @ </v>
      </c>
      <c r="Y16" s="4" t="str">
        <f ca="1">IFERROR(__xludf.DUMMYFUNCTION("""COMPUTED_VALUE"""),"| 1 P Python @ | 3 L JAVA @ | 4 L CPT @ | 5 P JAVA @ ")</f>
        <v xml:space="preserve">| 1 P Python @ | 3 L JAVA @ | 4 L CPT @ | 5 P JAVA @ </v>
      </c>
      <c r="Z16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16" s="4" t="str">
        <f ca="1">IFERROR(__xludf.DUMMYFUNCTION("""COMPUTED_VALUE"""),"| 3 L PHP-CGM @ | 4 L NS @ | 1 L INE @ | 5 P PRO @ ")</f>
        <v xml:space="preserve">| 3 L PHP-CGM @ | 4 L NS @ | 1 L INE @ | 5 P PRO @ </v>
      </c>
      <c r="AB16" s="4" t="str">
        <f ca="1">IFERROR(__xludf.DUMMYFUNCTION("""COMPUTED_VALUE"""),"| 1 L CPT @ | 2 L NS @ | 3 P CPT @ | 5 P Python @ ")</f>
        <v xml:space="preserve">| 1 L CPT @ | 2 L NS @ | 3 P CPT @ | 5 P Python @ </v>
      </c>
      <c r="AC16" s="4" t="str">
        <f ca="1">IFERROR(__xludf.DUMMYFUNCTION("""COMPUTED_VALUE"""),"| 1 L PHP-CGM % | 2 L JAVA % | 3 P NS % | 5 P JAVA @ ")</f>
        <v xml:space="preserve">| 1 L PHP-CGM % | 2 L JAVA % | 3 P NS % | 5 P JAVA @ </v>
      </c>
      <c r="AD16" s="4" t="str">
        <f ca="1">IFERROR(__xludf.DUMMYFUNCTION("""COMPUTED_VALUE"""),"| 1 P Python % | 3 L JAVA % | 4 L CPT % | 5 P JAVA % ")</f>
        <v xml:space="preserve">| 1 P Python % | 3 L JAVA % | 4 L CPT % | 5 P JAVA % </v>
      </c>
      <c r="AE16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16" s="4" t="str">
        <f ca="1">IFERROR(__xludf.DUMMYFUNCTION("""COMPUTED_VALUE"""),"| 3 L PHP-CGM % | 4 L NS % | 5 P PRO % ")</f>
        <v xml:space="preserve">| 3 L PHP-CGM % | 4 L NS % | 5 P PRO % </v>
      </c>
      <c r="AG16" s="4" t="str">
        <f ca="1">IFERROR(__xludf.DUMMYFUNCTION("""COMPUTED_VALUE"""),"| 1 L CPT % | 2 L NS % | 3 P CPT % | 5 P Python @ ")</f>
        <v xml:space="preserve">| 1 L CPT % | 2 L NS % | 3 P CPT % | 5 P Python @ </v>
      </c>
      <c r="AH16" s="4" t="str">
        <f ca="1">IFERROR(__xludf.DUMMYFUNCTION("""COMPUTED_VALUE"""),"| 3 L PHP-CGM % | 4 L NS % | 5 L PRO % ")</f>
        <v xml:space="preserve">| 3 L PHP-CGM % | 4 L NS % | 5 L PRO % </v>
      </c>
      <c r="AI16" s="4" t="str">
        <f ca="1">IFERROR(__xludf.DUMMYFUNCTION("""COMPUTED_VALUE"""),"| 1 L CPT @ | 2 L NS % | 3 P CPT % | 5 P Python @ ")</f>
        <v xml:space="preserve">| 1 L CPT @ | 2 L NS % | 3 P CPT % | 5 P Python @ </v>
      </c>
      <c r="AJ16" s="4" t="str">
        <f ca="1">IFERROR(__xludf.DUMMYFUNCTION("""COMPUTED_VALUE"""),"| 1 L PHP-CGM @ | 2 L JAVA % | 3 P NS % | 5 P JAVA % ")</f>
        <v xml:space="preserve">| 1 L PHP-CGM @ | 2 L JAVA % | 3 P NS % | 5 P JAVA % </v>
      </c>
      <c r="AK16" s="4" t="str">
        <f ca="1">IFERROR(__xludf.DUMMYFUNCTION("""COMPUTED_VALUE"""),"| 1 P Python % | 3 L JAVA % | 4 L CPT % | 5 P JAVA % ")</f>
        <v xml:space="preserve">| 1 P Python % | 3 L JAVA % | 4 L CPT % | 5 P JAVA % </v>
      </c>
      <c r="AL16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16" s="4" t="str">
        <f ca="1">IFERROR(__xludf.DUMMYFUNCTION("""COMPUTED_VALUE"""),"| 1 L INE % | 4 L NS % | 3 L PHP-CGM % | 5 L PRO @ ")</f>
        <v xml:space="preserve">| 1 L INE % | 4 L NS % | 3 L PHP-CGM % | 5 L PRO @ </v>
      </c>
      <c r="AN16" s="4" t="str">
        <f ca="1">IFERROR(__xludf.DUMMYFUNCTION("""COMPUTED_VALUE"""),"| 1 L CPT @ | 2 L NS @ | 3 P CPT @ | 5 P Python @ ")</f>
        <v xml:space="preserve">| 1 L CPT @ | 2 L NS @ | 3 P CPT @ | 5 P Python @ </v>
      </c>
      <c r="AO16" s="4" t="str">
        <f ca="1">IFERROR(__xludf.DUMMYFUNCTION("""COMPUTED_VALUE"""),"| 1 L PHP-CGM % | 2 L JAVA % | 3 P NS % | 5 P JAVA % ")</f>
        <v xml:space="preserve">| 1 L PHP-CGM % | 2 L JAVA % | 3 P NS % | 5 P JAVA % </v>
      </c>
      <c r="AP16" s="4" t="str">
        <f ca="1">IFERROR(__xludf.DUMMYFUNCTION("""COMPUTED_VALUE"""),"| 1 P Python % | 3 L JAVA % | 4 L CPT % | 5 P JAVA % ")</f>
        <v xml:space="preserve">| 1 P Python % | 3 L JAVA % | 4 L CPT % | 5 P JAVA % </v>
      </c>
      <c r="AQ16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6" s="4" t="str">
        <f ca="1">IFERROR(__xludf.DUMMYFUNCTION("""COMPUTED_VALUE"""),"| 1 L INE @ | 3 L PHP-CGM @ | 4 L NS @ | 5 L PRO @ ")</f>
        <v xml:space="preserve">| 1 L INE @ | 3 L PHP-CGM @ | 4 L NS @ | 5 L PRO @ </v>
      </c>
      <c r="AS16" s="4" t="str">
        <f ca="1">IFERROR(__xludf.DUMMYFUNCTION("""COMPUTED_VALUE"""),"| 1 L PHP-CGM @ | 2 L JAVA % | 3 P NS % | 5 P JAVA % ")</f>
        <v xml:space="preserve">| 1 L PHP-CGM @ | 2 L JAVA % | 3 P NS % | 5 P JAVA % </v>
      </c>
      <c r="AT16" s="4" t="str">
        <f ca="1">IFERROR(__xludf.DUMMYFUNCTION("""COMPUTED_VALUE"""),"| 1 P Python % | 3 L JAVA % | 4 L CPT % | 5 P JAVA % ")</f>
        <v xml:space="preserve">| 1 P Python % | 3 L JAVA % | 4 L CPT % | 5 P JAVA % </v>
      </c>
      <c r="AU16" s="4" t="str">
        <f ca="1">IFERROR(__xludf.DUMMYFUNCTION("""COMPUTED_VALUE"""),"| 1 P PHP-CGM % | 3 L NS % | 4 L JAVA % | 5 L PHP-CGM % | 6 L CPT @ ")</f>
        <v xml:space="preserve">| 1 P PHP-CGM % | 3 L NS % | 4 L JAVA % | 5 L PHP-CGM % | 6 L CPT @ </v>
      </c>
      <c r="AV16" s="4" t="str">
        <f ca="1">IFERROR(__xludf.DUMMYFUNCTION("""COMPUTED_VALUE"""),"| 1 L INE % | 3 L PHP-CGM % | 4 L NS % | 7 L PRO @ ")</f>
        <v xml:space="preserve">| 1 L INE % | 3 L PHP-CGM % | 4 L NS % | 7 L PRO @ </v>
      </c>
      <c r="AW16" s="4" t="str">
        <f ca="1">IFERROR(__xludf.DUMMYFUNCTION("""COMPUTED_VALUE"""),"| 1 L CPT % | 2 L NS % | 3 P CPT @ | 5 P Python @ ")</f>
        <v xml:space="preserve">| 1 L CPT % | 2 L NS % | 3 P CPT @ | 5 P Python @ </v>
      </c>
      <c r="AX16" s="4" t="str">
        <f ca="1">IFERROR(__xludf.DUMMYFUNCTION("""COMPUTED_VALUE"""),"| 1 L PHP-CGM @ | 2 L JAVA @ | 3 P NS @ | 5 P JAVA @ ")</f>
        <v xml:space="preserve">| 1 L PHP-CGM @ | 2 L JAVA @ | 3 P NS @ | 5 P JAVA @ </v>
      </c>
      <c r="AY16" s="4" t="str">
        <f ca="1">IFERROR(__xludf.DUMMYFUNCTION("""COMPUTED_VALUE"""),"| 1 P Python % | 3 L JAVA % | 4 L CPT % | 5 P JAVA @ ")</f>
        <v xml:space="preserve">| 1 P Python % | 3 L JAVA % | 4 L CPT % | 5 P JAVA @ </v>
      </c>
      <c r="AZ16" s="4" t="str">
        <f ca="1">IFERROR(__xludf.DUMMYFUNCTION("""COMPUTED_VALUE"""),"| 1 L INE % | 3 L PHP-CGM % | 4 L NS % | 5 L PRO @ ")</f>
        <v xml:space="preserve">| 1 L INE % | 3 L PHP-CGM % | 4 L NS % | 5 L PRO @ </v>
      </c>
      <c r="BA16" s="4" t="str">
        <f ca="1">IFERROR(__xludf.DUMMYFUNCTION("""COMPUTED_VALUE"""),"| 1 L CPT @ | 2 L NS @ | 3 P CPT @ | 5 P Python @ ")</f>
        <v xml:space="preserve">| 1 L CPT @ | 2 L NS @ | 3 P CPT @ | 5 P Python @ </v>
      </c>
      <c r="BB16" s="4" t="str">
        <f ca="1">IFERROR(__xludf.DUMMYFUNCTION("""COMPUTED_VALUE"""),"| 1 L PHP-CGM % | 2 L JAVA % | 3 P NS % | 5 P JAVA % ")</f>
        <v xml:space="preserve">| 1 L PHP-CGM % | 2 L JAVA % | 3 P NS % | 5 P JAVA % </v>
      </c>
      <c r="BC16" s="4" t="str">
        <f ca="1">IFERROR(__xludf.DUMMYFUNCTION("""COMPUTED_VALUE"""),"| 1 P Python % | 3 L JAVA % | 4 L CPT % | 5 P JAVA % ")</f>
        <v xml:space="preserve">| 1 P Python % | 3 L JAVA % | 4 L CPT % | 5 P JAVA % </v>
      </c>
      <c r="BD16" s="4" t="str">
        <f ca="1">IFERROR(__xludf.DUMMYFUNCTION("""COMPUTED_VALUE"""),"| 1 P PHP-CGM % | 3 L NS % | 6 L CPT @ | 5 L PHP-CGM @ | 4 L JAVA % ")</f>
        <v xml:space="preserve">| 1 P PHP-CGM % | 3 L NS % | 6 L CPT @ | 5 L PHP-CGM @ | 4 L JAVA % </v>
      </c>
      <c r="BE16" s="4" t="str">
        <f ca="1">IFERROR(__xludf.DUMMYFUNCTION("""COMPUTED_VALUE"""),"| 1 L INE @ | 3 L PHP-CGM @ | 4 L NS @ | 5 L PRO @ ")</f>
        <v xml:space="preserve">| 1 L INE @ | 3 L PHP-CGM @ | 4 L NS @ | 5 L PRO @ </v>
      </c>
      <c r="BF16" s="4" t="str">
        <f ca="1">IFERROR(__xludf.DUMMYFUNCTION("""COMPUTED_VALUE"""),"| 1 L CPT @ | 2 L NS @ | 3 P CPT @ | 5 P JAVA @ ")</f>
        <v xml:space="preserve">| 1 L CPT @ | 2 L NS @ | 3 P CPT @ | 5 P JAVA @ </v>
      </c>
      <c r="BG16" s="4" t="str">
        <f ca="1">IFERROR(__xludf.DUMMYFUNCTION("""COMPUTED_VALUE"""),"| 1 P Python % | 4 L CPT % | 5 P JAVA @ ")</f>
        <v xml:space="preserve">| 1 P Python % | 4 L CPT % | 5 P JAVA @ </v>
      </c>
      <c r="BH16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I16" s="4" t="str">
        <f ca="1">IFERROR(__xludf.DUMMYFUNCTION("""COMPUTED_VALUE"""),"| 1 L INE @ | 3 L PHP-CGM @ | 4 L NS @ | 5 L PRO @ ")</f>
        <v xml:space="preserve">| 1 L INE @ | 3 L PHP-CGM @ | 4 L NS @ | 5 L PRO @ </v>
      </c>
      <c r="BJ16" s="4" t="str">
        <f ca="1">IFERROR(__xludf.DUMMYFUNCTION("""COMPUTED_VALUE"""),"| 1 L CPT @ | 2 L NS @ | 3 P CPT @ | 5 P Python @ ")</f>
        <v xml:space="preserve">| 1 L CPT @ | 2 L NS @ | 3 P CPT @ | 5 P Python @ </v>
      </c>
      <c r="BK16" s="4" t="str">
        <f ca="1">IFERROR(__xludf.DUMMYFUNCTION("""COMPUTED_VALUE"""),"| 1 L PHP-CGM @ | 2 L JAVA @ | 3 P NS @ | 5 P JAVA @ ")</f>
        <v xml:space="preserve">| 1 L PHP-CGM @ | 2 L JAVA @ | 3 P NS @ | 5 P JAVA @ </v>
      </c>
      <c r="BL16" s="4" t="str">
        <f ca="1">IFERROR(__xludf.DUMMYFUNCTION("""COMPUTED_VALUE"""),"| 1 P Python @ | 3 L JAVA @ | 4 L CPT @ | 5 P JAVA @ ")</f>
        <v xml:space="preserve">| 1 P Python @ | 3 L JAVA @ | 4 L CPT @ | 5 P JAVA @ </v>
      </c>
      <c r="BM16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6" s="4" t="str">
        <f ca="1">IFERROR(__xludf.DUMMYFUNCTION("""COMPUTED_VALUE"""),"| 1 L INE @ | 3 L PHP-CGM @ | 4 L NS @ | 5 L PRO @ ")</f>
        <v xml:space="preserve">| 1 L INE @ | 3 L PHP-CGM @ | 4 L NS @ | 5 L PRO @ </v>
      </c>
      <c r="BO16" s="4" t="str">
        <f ca="1">IFERROR(__xludf.DUMMYFUNCTION("""COMPUTED_VALUE"""),"| 1 L CPT @ | 2 L NS @ | 3 P CPT @ ")</f>
        <v xml:space="preserve">| 1 L CPT @ | 2 L NS @ | 3 P CPT @ </v>
      </c>
      <c r="BP16" s="4" t="str">
        <f ca="1">IFERROR(__xludf.DUMMYFUNCTION("""COMPUTED_VALUE"""),"| 1 L PHP-CGM % | 2 L JAVA % | 3 P NS % | 5 P JAVA @ ")</f>
        <v xml:space="preserve">| 1 L PHP-CGM % | 2 L JAVA % | 3 P NS % | 5 P JAVA @ </v>
      </c>
      <c r="BQ16" s="4" t="str">
        <f ca="1">IFERROR(__xludf.DUMMYFUNCTION("""COMPUTED_VALUE"""),"| 5 L PHP-CGM % | 6 L CPT @ ")</f>
        <v xml:space="preserve">| 5 L PHP-CGM % | 6 L CPT @ </v>
      </c>
      <c r="BR16" s="4"/>
      <c r="BS16" s="4"/>
      <c r="BT16" s="4" t="str">
        <f ca="1">IFERROR(__xludf.DUMMYFUNCTION("""COMPUTED_VALUE"""),"| 1 L PHP-CGM @ | 2 L JAVA @ | 3 P NS @ ")</f>
        <v xml:space="preserve">| 1 L PHP-CGM @ | 2 L JAVA @ | 3 P NS @ </v>
      </c>
      <c r="BU16" s="4" t="str">
        <f ca="1">IFERROR(__xludf.DUMMYFUNCTION("""COMPUTED_VALUE"""),"| 1 P Python @ | 4 L CPT @ | 3 L JAVA @ ")</f>
        <v xml:space="preserve">| 1 P Python @ | 4 L CPT @ | 3 L JAVA @ </v>
      </c>
      <c r="BV16" s="4" t="str">
        <f ca="1">IFERROR(__xludf.DUMMYFUNCTION("""COMPUTED_VALUE"""),"| 1 L PHP-CGM @ | 2 L JAVA @ | 3 P NS @ | 5 P JAVA @ ")</f>
        <v xml:space="preserve">| 1 L PHP-CGM @ | 2 L JAVA @ | 3 P NS @ | 5 P JAVA @ </v>
      </c>
      <c r="BW16" s="4" t="str">
        <f ca="1">IFERROR(__xludf.DUMMYFUNCTION("""COMPUTED_VALUE"""),"| 1 P Python @ | 3 L JAVA @ | 4 L CPT @ ")</f>
        <v xml:space="preserve">| 1 P Python @ | 3 L JAVA @ | 4 L CPT @ </v>
      </c>
      <c r="BX16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16" s="4" t="str">
        <f ca="1">IFERROR(__xludf.DUMMYFUNCTION("""COMPUTED_VALUE"""),"| 1 L INE @ | 3 L PHP-CGM @ | 4 L NS @ | 5 L PRO @ ")</f>
        <v xml:space="preserve">| 1 L INE @ | 3 L PHP-CGM @ | 4 L NS @ | 5 L PRO @ </v>
      </c>
      <c r="BZ16" s="4" t="str">
        <f ca="1">IFERROR(__xludf.DUMMYFUNCTION("""COMPUTED_VALUE"""),"| 1 L CPT @ | 2 L NS @ | 3 P CPT @ | 5 P Python @ ")</f>
        <v xml:space="preserve">| 1 L CPT @ | 2 L NS @ | 3 P CPT @ | 5 P Python @ </v>
      </c>
      <c r="CA16" s="4" t="str">
        <f ca="1">IFERROR(__xludf.DUMMYFUNCTION("""COMPUTED_VALUE"""),"| 1 L PHP-CGM @ | 2 L JAVA @ | 3 P NS @ | 5 P JAVA @ ")</f>
        <v xml:space="preserve">| 1 L PHP-CGM @ | 2 L JAVA @ | 3 P NS @ | 5 P JAVA @ </v>
      </c>
      <c r="CB16" s="4" t="str">
        <f ca="1">IFERROR(__xludf.DUMMYFUNCTION("""COMPUTED_VALUE"""),"| 1 P Python @ | 3 L JAVA @ | 4 L CPT @ | 5 P JAVA @ ")</f>
        <v xml:space="preserve">| 1 P Python @ | 3 L JAVA @ | 4 L CPT @ | 5 P JAVA @ </v>
      </c>
      <c r="CC16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CD16" s="4" t="str">
        <f ca="1">IFERROR(__xludf.DUMMYFUNCTION("""COMPUTED_VALUE"""),"| 1 L INE @ | 3 L PHP-CGM @ | 4 L NS @ | 5 L PRO @ ")</f>
        <v xml:space="preserve">| 1 L INE @ | 3 L PHP-CGM @ | 4 L NS @ | 5 L PRO @ </v>
      </c>
      <c r="CE16" s="4" t="str">
        <f ca="1">IFERROR(__xludf.DUMMYFUNCTION("""COMPUTED_VALUE"""),"| 1 L CPT @ | 2 L NS @ | 3 P CPT @ | 5 P Python @ ")</f>
        <v xml:space="preserve">| 1 L CPT @ | 2 L NS @ | 3 P CPT @ | 5 P Python @ </v>
      </c>
      <c r="CF16" s="4" t="str">
        <f ca="1">IFERROR(__xludf.DUMMYFUNCTION("""COMPUTED_VALUE"""),"| 1 L PHP-CGM @ | 2 L JAVA @ | 3 P NS @ ")</f>
        <v xml:space="preserve">| 1 L PHP-CGM @ | 2 L JAVA @ | 3 P NS @ </v>
      </c>
      <c r="CG16" s="4" t="str">
        <f ca="1">IFERROR(__xludf.DUMMYFUNCTION("""COMPUTED_VALUE"""),"| 1 P Python @ | 4 L CPT @ | 5 P JAVA @ ")</f>
        <v xml:space="preserve">| 1 P Python @ | 4 L CPT @ | 5 P JAVA @ </v>
      </c>
      <c r="CH16" s="4" t="str">
        <f ca="1">IFERROR(__xludf.DUMMYFUNCTION("""COMPUTED_VALUE"""),"| 3 L NS @ | 6 L CPT @ ")</f>
        <v xml:space="preserve">| 3 L NS @ | 6 L CPT @ </v>
      </c>
      <c r="CI16" s="4" t="str">
        <f ca="1">IFERROR(__xludf.DUMMYFUNCTION("""COMPUTED_VALUE"""),"| 1 L INE @ ")</f>
        <v xml:space="preserve">| 1 L INE @ </v>
      </c>
      <c r="CJ16" s="4" t="str">
        <f ca="1">IFERROR(__xludf.DUMMYFUNCTION("""COMPUTED_VALUE"""),"| 3 P CPT @ ")</f>
        <v xml:space="preserve">| 3 P CPT @ </v>
      </c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</row>
    <row r="17" spans="1:102" ht="12.5" x14ac:dyDescent="0.25">
      <c r="A17" s="3">
        <f ca="1">IFERROR(__xludf.DUMMYFUNCTION("""COMPUTED_VALUE"""),1)</f>
        <v>1</v>
      </c>
      <c r="B17" s="3" t="str">
        <f ca="1">IFERROR(__xludf.DUMMYFUNCTION("""COMPUTED_VALUE"""),"A")</f>
        <v>A</v>
      </c>
      <c r="C17" s="32" t="str">
        <f ca="1">IFERROR(__xludf.DUMMYFUNCTION("""COMPUTED_VALUE"""),"23291341056")</f>
        <v>23291341056</v>
      </c>
      <c r="D17" s="21" t="str">
        <f ca="1">IFERROR(__xludf.DUMMYFUNCTION("""COMPUTED_VALUE"""),"MEER ARBAJBHAI PANKULBHAI")</f>
        <v>MEER ARBAJBHAI PANKULBHAI</v>
      </c>
      <c r="E17" s="3" t="str">
        <f ca="1">IFERROR(__xludf.DUMMYFUNCTION("""COMPUTED_VALUE"""),"RRP-Mor")</f>
        <v>RRP-Mor</v>
      </c>
      <c r="F17" s="3">
        <f ca="1">IFERROR(__xludf.DUMMYFUNCTION("""COMPUTED_VALUE"""),9023391144)</f>
        <v>9023391144</v>
      </c>
      <c r="G17" s="3">
        <f ca="1">IFERROR(__xludf.DUMMYFUNCTION("""COMPUTED_VALUE"""),7383205589)</f>
        <v>7383205589</v>
      </c>
      <c r="H17" s="33">
        <f ca="1">IFERROR(__xludf.DUMMYFUNCTION("""COMPUTED_VALUE"""),0.524793388429752)</f>
        <v>0.52479338842975198</v>
      </c>
      <c r="I17" s="25">
        <f ca="1">IFERROR(__xludf.DUMMYFUNCTION("""COMPUTED_VALUE"""),0.416666666666666)</f>
        <v>0.41666666666666602</v>
      </c>
      <c r="J17" s="25">
        <f ca="1">IFERROR(__xludf.DUMMYFUNCTION("""COMPUTED_VALUE"""),0.666666666666666)</f>
        <v>0.66666666666666596</v>
      </c>
      <c r="K17" s="25">
        <f ca="1">IFERROR(__xludf.DUMMYFUNCTION("""COMPUTED_VALUE"""),0.529411764705882)</f>
        <v>0.52941176470588203</v>
      </c>
      <c r="L17" s="25">
        <f ca="1">IFERROR(__xludf.DUMMYFUNCTION("""COMPUTED_VALUE"""),0.615384615384615)</f>
        <v>0.61538461538461497</v>
      </c>
      <c r="M17" s="25">
        <f ca="1">IFERROR(__xludf.DUMMYFUNCTION("""COMPUTED_VALUE"""),0.472222222222222)</f>
        <v>0.47222222222222199</v>
      </c>
      <c r="N17" s="25">
        <f ca="1">IFERROR(__xludf.DUMMYFUNCTION("""COMPUTED_VALUE"""),0.9)</f>
        <v>0.9</v>
      </c>
      <c r="O17" s="25">
        <f ca="1">IFERROR(__xludf.DUMMYFUNCTION("""COMPUTED_VALUE"""),0.606060606060606)</f>
        <v>0.60606060606060597</v>
      </c>
      <c r="P17" s="25">
        <f ca="1">IFERROR(__xludf.DUMMYFUNCTION("""COMPUTED_VALUE"""),0.478260869565217)</f>
        <v>0.47826086956521702</v>
      </c>
      <c r="Q17" s="25">
        <f ca="1">IFERROR(__xludf.DUMMYFUNCTION("""COMPUTED_VALUE"""),0)</f>
        <v>0</v>
      </c>
      <c r="R17" s="25">
        <f ca="1">IFERROR(__xludf.DUMMYFUNCTION("""COMPUTED_VALUE"""),0.681818181818181)</f>
        <v>0.68181818181818099</v>
      </c>
      <c r="S17" s="25">
        <f ca="1">IFERROR(__xludf.DUMMYFUNCTION("""COMPUTED_VALUE"""),0.4)</f>
        <v>0.4</v>
      </c>
      <c r="T17" s="25">
        <f ca="1">IFERROR(__xludf.DUMMYFUNCTION("""COMPUTED_VALUE"""),0)</f>
        <v>0</v>
      </c>
      <c r="U17" s="25">
        <f ca="1">IFERROR(__xludf.DUMMYFUNCTION("""COMPUTED_VALUE"""),0.181818181818181)</f>
        <v>0.18181818181818099</v>
      </c>
      <c r="V17" s="25">
        <f ca="1">IFERROR(__xludf.DUMMYFUNCTION("""COMPUTED_VALUE"""),0)</f>
        <v>0</v>
      </c>
      <c r="W17" s="4"/>
      <c r="X17" s="4" t="str">
        <f ca="1">IFERROR(__xludf.DUMMYFUNCTION("""COMPUTED_VALUE"""),"| 1 L PHP-CGM % | 3 P NS % | 5 P JAVA % ")</f>
        <v xml:space="preserve">| 1 L PHP-CGM % | 3 P NS % | 5 P JAVA % </v>
      </c>
      <c r="Y17" s="4" t="str">
        <f ca="1">IFERROR(__xludf.DUMMYFUNCTION("""COMPUTED_VALUE"""),"| 1 P Python % | 3 L JAVA % | 4 L CPT % | 5 P JAVA % ")</f>
        <v xml:space="preserve">| 1 P Python % | 3 L JAVA % | 4 L CPT % | 5 P JAVA % </v>
      </c>
      <c r="Z17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A17" s="4" t="str">
        <f ca="1">IFERROR(__xludf.DUMMYFUNCTION("""COMPUTED_VALUE"""),"| 3 L PHP-CGM @ | 4 L NS @ | 1 L INE @ | 5 P PRO @ ")</f>
        <v xml:space="preserve">| 3 L PHP-CGM @ | 4 L NS @ | 1 L INE @ | 5 P PRO @ </v>
      </c>
      <c r="AB17" s="4" t="str">
        <f ca="1">IFERROR(__xludf.DUMMYFUNCTION("""COMPUTED_VALUE"""),"| 1 L CPT % | 2 L NS % | 3 P CPT % | 5 P Python % ")</f>
        <v xml:space="preserve">| 1 L CPT % | 2 L NS % | 3 P CPT % | 5 P Python % </v>
      </c>
      <c r="AC17" s="4" t="str">
        <f ca="1">IFERROR(__xludf.DUMMYFUNCTION("""COMPUTED_VALUE"""),"| 1 L PHP-CGM % | 2 L JAVA % | 3 P NS % | 5 P JAVA @ ")</f>
        <v xml:space="preserve">| 1 L PHP-CGM % | 2 L JAVA % | 3 P NS % | 5 P JAVA @ </v>
      </c>
      <c r="AD17" s="4" t="str">
        <f ca="1">IFERROR(__xludf.DUMMYFUNCTION("""COMPUTED_VALUE"""),"| 1 P Python % | 3 L JAVA % | 4 L CPT % | 5 P JAVA % ")</f>
        <v xml:space="preserve">| 1 P Python % | 3 L JAVA % | 4 L CPT % | 5 P JAVA % </v>
      </c>
      <c r="AE17" s="4" t="str">
        <f ca="1">IFERROR(__xludf.DUMMYFUNCTION("""COMPUTED_VALUE"""),"| 1 P PHP-CGM % | 4 L JAVA % | 3 L NS % | 5 L PHP-CGM @ | 6 L CPT @ ")</f>
        <v xml:space="preserve">| 1 P PHP-CGM % | 4 L JAVA % | 3 L NS % | 5 L PHP-CGM @ | 6 L CPT @ </v>
      </c>
      <c r="AF17" s="4" t="str">
        <f ca="1">IFERROR(__xludf.DUMMYFUNCTION("""COMPUTED_VALUE"""),"| 3 L PHP-CGM % | 4 L NS % | 5 P PRO @ ")</f>
        <v xml:space="preserve">| 3 L PHP-CGM % | 4 L NS % | 5 P PRO @ </v>
      </c>
      <c r="AG17" s="4" t="str">
        <f ca="1">IFERROR(__xludf.DUMMYFUNCTION("""COMPUTED_VALUE"""),"| 1 L CPT % | 2 L NS % | 3 P CPT % | 5 P Python % ")</f>
        <v xml:space="preserve">| 1 L CPT % | 2 L NS % | 3 P CPT % | 5 P Python % </v>
      </c>
      <c r="AH17" s="4" t="str">
        <f ca="1">IFERROR(__xludf.DUMMYFUNCTION("""COMPUTED_VALUE"""),"| 3 L PHP-CGM % | 4 L NS % | 5 L PRO % ")</f>
        <v xml:space="preserve">| 3 L PHP-CGM % | 4 L NS % | 5 L PRO % </v>
      </c>
      <c r="AI17" s="4" t="str">
        <f ca="1">IFERROR(__xludf.DUMMYFUNCTION("""COMPUTED_VALUE"""),"| 1 L CPT @ | 2 L NS % | 3 P CPT % | 5 P Python % ")</f>
        <v xml:space="preserve">| 1 L CPT @ | 2 L NS % | 3 P CPT % | 5 P Python % </v>
      </c>
      <c r="AJ17" s="4" t="str">
        <f ca="1">IFERROR(__xludf.DUMMYFUNCTION("""COMPUTED_VALUE"""),"| 1 L PHP-CGM % | 2 L JAVA % | 3 P NS % | 5 P JAVA % ")</f>
        <v xml:space="preserve">| 1 L PHP-CGM % | 2 L JAVA % | 3 P NS % | 5 P JAVA % </v>
      </c>
      <c r="AK17" s="4" t="str">
        <f ca="1">IFERROR(__xludf.DUMMYFUNCTION("""COMPUTED_VALUE"""),"| 1 P Python % | 3 L JAVA % | 4 L CPT % | 5 P JAVA @ ")</f>
        <v xml:space="preserve">| 1 P Python % | 3 L JAVA % | 4 L CPT % | 5 P JAVA @ </v>
      </c>
      <c r="AL17" s="4" t="str">
        <f ca="1">IFERROR(__xludf.DUMMYFUNCTION("""COMPUTED_VALUE"""),"| 1 P PHP-CGM % | 3 L NS @ | 4 L JAVA @ | 5 L PHP-CGM @ | 6 L CPT @ ")</f>
        <v xml:space="preserve">| 1 P PHP-CGM % | 3 L NS @ | 4 L JAVA @ | 5 L PHP-CGM @ | 6 L CPT @ </v>
      </c>
      <c r="AM17" s="4" t="str">
        <f ca="1">IFERROR(__xludf.DUMMYFUNCTION("""COMPUTED_VALUE"""),"| 1 L INE @ | 4 L NS @ | 3 L PHP-CGM @ | 5 L PRO % ")</f>
        <v xml:space="preserve">| 1 L INE @ | 4 L NS @ | 3 L PHP-CGM @ | 5 L PRO % </v>
      </c>
      <c r="AN17" s="4" t="str">
        <f ca="1">IFERROR(__xludf.DUMMYFUNCTION("""COMPUTED_VALUE"""),"| 1 L CPT % | 2 L NS % | 3 P CPT % | 5 P Python % ")</f>
        <v xml:space="preserve">| 1 L CPT % | 2 L NS % | 3 P CPT % | 5 P Python % </v>
      </c>
      <c r="AO17" s="4" t="str">
        <f ca="1">IFERROR(__xludf.DUMMYFUNCTION("""COMPUTED_VALUE"""),"| 1 L PHP-CGM % | 2 L JAVA % | 3 P NS % | 5 P JAVA % ")</f>
        <v xml:space="preserve">| 1 L PHP-CGM % | 2 L JAVA % | 3 P NS % | 5 P JAVA % </v>
      </c>
      <c r="AP17" s="4" t="str">
        <f ca="1">IFERROR(__xludf.DUMMYFUNCTION("""COMPUTED_VALUE"""),"| 1 P Python % | 3 L JAVA % | 4 L CPT % | 5 P JAVA % ")</f>
        <v xml:space="preserve">| 1 P Python % | 3 L JAVA % | 4 L CPT % | 5 P JAVA % </v>
      </c>
      <c r="AQ17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7" s="4" t="str">
        <f ca="1">IFERROR(__xludf.DUMMYFUNCTION("""COMPUTED_VALUE"""),"| 1 L INE @ | 3 L PHP-CGM @ | 4 L NS @ | 5 L PRO @ ")</f>
        <v xml:space="preserve">| 1 L INE @ | 3 L PHP-CGM @ | 4 L NS @ | 5 L PRO @ </v>
      </c>
      <c r="AS17" s="4" t="str">
        <f ca="1">IFERROR(__xludf.DUMMYFUNCTION("""COMPUTED_VALUE"""),"| 1 L PHP-CGM % | 2 L JAVA % | 3 P NS % | 5 P JAVA @ ")</f>
        <v xml:space="preserve">| 1 L PHP-CGM % | 2 L JAVA % | 3 P NS % | 5 P JAVA @ </v>
      </c>
      <c r="AT17" s="4" t="str">
        <f ca="1">IFERROR(__xludf.DUMMYFUNCTION("""COMPUTED_VALUE"""),"| 1 P Python % | 3 L JAVA % | 4 L CPT % | 5 P JAVA % ")</f>
        <v xml:space="preserve">| 1 P Python % | 3 L JAVA % | 4 L CPT % | 5 P JAVA % </v>
      </c>
      <c r="AU17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V17" s="4" t="str">
        <f ca="1">IFERROR(__xludf.DUMMYFUNCTION("""COMPUTED_VALUE"""),"| 1 L INE % | 3 L PHP-CGM % | 4 L NS % | 7 L PRO % ")</f>
        <v xml:space="preserve">| 1 L INE % | 3 L PHP-CGM % | 4 L NS % | 7 L PRO % </v>
      </c>
      <c r="AW17" s="4" t="str">
        <f ca="1">IFERROR(__xludf.DUMMYFUNCTION("""COMPUTED_VALUE"""),"| 1 L CPT % | 2 L NS % | 3 P CPT % | 5 P Python % ")</f>
        <v xml:space="preserve">| 1 L CPT % | 2 L NS % | 3 P CPT % | 5 P Python % </v>
      </c>
      <c r="AX17" s="4" t="str">
        <f ca="1">IFERROR(__xludf.DUMMYFUNCTION("""COMPUTED_VALUE"""),"| 1 L PHP-CGM % | 2 L JAVA % | 3 P NS % | 5 P JAVA % ")</f>
        <v xml:space="preserve">| 1 L PHP-CGM % | 2 L JAVA % | 3 P NS % | 5 P JAVA % </v>
      </c>
      <c r="AY17" s="4" t="str">
        <f ca="1">IFERROR(__xludf.DUMMYFUNCTION("""COMPUTED_VALUE"""),"| 1 P Python % | 3 L JAVA @ | 4 L CPT @ | 5 P JAVA @ ")</f>
        <v xml:space="preserve">| 1 P Python % | 3 L JAVA @ | 4 L CPT @ | 5 P JAVA @ </v>
      </c>
      <c r="AZ17" s="4" t="str">
        <f ca="1">IFERROR(__xludf.DUMMYFUNCTION("""COMPUTED_VALUE"""),"| 1 L INE @ | 3 L PHP-CGM @ | 4 L NS @ | 5 L PRO @ ")</f>
        <v xml:space="preserve">| 1 L INE @ | 3 L PHP-CGM @ | 4 L NS @ | 5 L PRO @ </v>
      </c>
      <c r="BA17" s="4" t="str">
        <f ca="1">IFERROR(__xludf.DUMMYFUNCTION("""COMPUTED_VALUE"""),"| 1 L CPT % | 2 L NS % | 3 P CPT % | 5 P Python % ")</f>
        <v xml:space="preserve">| 1 L CPT % | 2 L NS % | 3 P CPT % | 5 P Python % </v>
      </c>
      <c r="BB17" s="4" t="str">
        <f ca="1">IFERROR(__xludf.DUMMYFUNCTION("""COMPUTED_VALUE"""),"| 1 L PHP-CGM % | 2 L JAVA % | 3 P NS % | 5 P JAVA % ")</f>
        <v xml:space="preserve">| 1 L PHP-CGM % | 2 L JAVA % | 3 P NS % | 5 P JAVA % </v>
      </c>
      <c r="BC17" s="4" t="str">
        <f ca="1">IFERROR(__xludf.DUMMYFUNCTION("""COMPUTED_VALUE"""),"| 1 P Python % | 3 L JAVA % | 4 L CPT % | 5 P JAVA % ")</f>
        <v xml:space="preserve">| 1 P Python % | 3 L JAVA % | 4 L CPT % | 5 P JAVA % </v>
      </c>
      <c r="BD17" s="4" t="str">
        <f ca="1">IFERROR(__xludf.DUMMYFUNCTION("""COMPUTED_VALUE"""),"| 1 P PHP-CGM % | 3 L NS @ | 6 L CPT % | 5 L PHP-CGM % | 4 L JAVA @ ")</f>
        <v xml:space="preserve">| 1 P PHP-CGM % | 3 L NS @ | 6 L CPT % | 5 L PHP-CGM % | 4 L JAVA @ </v>
      </c>
      <c r="BE17" s="4" t="str">
        <f ca="1">IFERROR(__xludf.DUMMYFUNCTION("""COMPUTED_VALUE"""),"| 1 L INE @ | 3 L PHP-CGM % | 4 L NS % | 5 L PRO @ ")</f>
        <v xml:space="preserve">| 1 L INE @ | 3 L PHP-CGM % | 4 L NS % | 5 L PRO @ </v>
      </c>
      <c r="BF17" s="4" t="str">
        <f ca="1">IFERROR(__xludf.DUMMYFUNCTION("""COMPUTED_VALUE"""),"| 1 L CPT % | 2 L NS % | 3 P CPT @ | 5 P JAVA @ ")</f>
        <v xml:space="preserve">| 1 L CPT % | 2 L NS % | 3 P CPT @ | 5 P JAVA @ </v>
      </c>
      <c r="BG17" s="4" t="str">
        <f ca="1">IFERROR(__xludf.DUMMYFUNCTION("""COMPUTED_VALUE"""),"| 1 P Python % | 4 L CPT @ | 5 P JAVA @ ")</f>
        <v xml:space="preserve">| 1 P Python % | 4 L CPT @ | 5 P JAVA @ </v>
      </c>
      <c r="BH17" s="4" t="str">
        <f ca="1">IFERROR(__xludf.DUMMYFUNCTION("""COMPUTED_VALUE"""),"| 1 P PHP-CGM % | 3 L NS @ | 4 L JAVA @ | 5 L PHP-CGM @ | 6 L CPT @ ")</f>
        <v xml:space="preserve">| 1 P PHP-CGM % | 3 L NS @ | 4 L JAVA @ | 5 L PHP-CGM @ | 6 L CPT @ </v>
      </c>
      <c r="BI17" s="4" t="str">
        <f ca="1">IFERROR(__xludf.DUMMYFUNCTION("""COMPUTED_VALUE"""),"| 1 L INE @ | 3 L PHP-CGM @ | 4 L NS @ | 5 L PRO @ ")</f>
        <v xml:space="preserve">| 1 L INE @ | 3 L PHP-CGM @ | 4 L NS @ | 5 L PRO @ </v>
      </c>
      <c r="BJ17" s="4" t="str">
        <f ca="1">IFERROR(__xludf.DUMMYFUNCTION("""COMPUTED_VALUE"""),"| 1 L CPT @ | 2 L NS @ | 3 P CPT @ | 5 P Python @ ")</f>
        <v xml:space="preserve">| 1 L CPT @ | 2 L NS @ | 3 P CPT @ | 5 P Python @ </v>
      </c>
      <c r="BK17" s="4" t="str">
        <f ca="1">IFERROR(__xludf.DUMMYFUNCTION("""COMPUTED_VALUE"""),"| 1 L PHP-CGM @ | 2 L JAVA @ | 3 P NS @ | 5 P JAVA @ ")</f>
        <v xml:space="preserve">| 1 L PHP-CGM @ | 2 L JAVA @ | 3 P NS @ | 5 P JAVA @ </v>
      </c>
      <c r="BL17" s="4" t="str">
        <f ca="1">IFERROR(__xludf.DUMMYFUNCTION("""COMPUTED_VALUE"""),"| 1 P Python @ | 3 L JAVA @ | 4 L CPT @ | 5 P JAVA @ ")</f>
        <v xml:space="preserve">| 1 P Python @ | 3 L JAVA @ | 4 L CPT @ | 5 P JAVA @ </v>
      </c>
      <c r="BM17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7" s="4" t="str">
        <f ca="1">IFERROR(__xludf.DUMMYFUNCTION("""COMPUTED_VALUE"""),"| 1 L INE @ | 3 L PHP-CGM @ | 4 L NS @ | 5 L PRO @ ")</f>
        <v xml:space="preserve">| 1 L INE @ | 3 L PHP-CGM @ | 4 L NS @ | 5 L PRO @ </v>
      </c>
      <c r="BO17" s="4" t="str">
        <f ca="1">IFERROR(__xludf.DUMMYFUNCTION("""COMPUTED_VALUE"""),"| 1 L CPT @ | 2 L NS @ | 3 P CPT @ ")</f>
        <v xml:space="preserve">| 1 L CPT @ | 2 L NS @ | 3 P CPT @ </v>
      </c>
      <c r="BP17" s="4" t="str">
        <f ca="1">IFERROR(__xludf.DUMMYFUNCTION("""COMPUTED_VALUE"""),"| 1 L PHP-CGM @ | 2 L JAVA % | 3 P NS @ | 5 P JAVA @ ")</f>
        <v xml:space="preserve">| 1 L PHP-CGM @ | 2 L JAVA % | 3 P NS @ | 5 P JAVA @ </v>
      </c>
      <c r="BQ17" s="4" t="str">
        <f ca="1">IFERROR(__xludf.DUMMYFUNCTION("""COMPUTED_VALUE"""),"| 5 L PHP-CGM % | 6 L CPT @ ")</f>
        <v xml:space="preserve">| 5 L PHP-CGM % | 6 L CPT @ </v>
      </c>
      <c r="BR17" s="4"/>
      <c r="BS17" s="4"/>
      <c r="BT17" s="4" t="str">
        <f ca="1">IFERROR(__xludf.DUMMYFUNCTION("""COMPUTED_VALUE"""),"| 1 L PHP-CGM @ | 2 L JAVA @ | 3 P NS @ ")</f>
        <v xml:space="preserve">| 1 L PHP-CGM @ | 2 L JAVA @ | 3 P NS @ </v>
      </c>
      <c r="BU17" s="4" t="str">
        <f ca="1">IFERROR(__xludf.DUMMYFUNCTION("""COMPUTED_VALUE"""),"| 1 P Python @ | 4 L CPT @ | 3 L JAVA @ ")</f>
        <v xml:space="preserve">| 1 P Python @ | 4 L CPT @ | 3 L JAVA @ </v>
      </c>
      <c r="BV17" s="4" t="str">
        <f ca="1">IFERROR(__xludf.DUMMYFUNCTION("""COMPUTED_VALUE"""),"| 1 L PHP-CGM % | 2 L JAVA % | 3 P NS @ | 5 P JAVA @ ")</f>
        <v xml:space="preserve">| 1 L PHP-CGM % | 2 L JAVA % | 3 P NS @ | 5 P JAVA @ </v>
      </c>
      <c r="BW17" s="4" t="str">
        <f ca="1">IFERROR(__xludf.DUMMYFUNCTION("""COMPUTED_VALUE"""),"| 1 P Python @ | 3 L JAVA @ | 4 L CPT @ ")</f>
        <v xml:space="preserve">| 1 P Python @ | 3 L JAVA @ | 4 L CPT @ </v>
      </c>
      <c r="BX17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Y17" s="4" t="str">
        <f ca="1">IFERROR(__xludf.DUMMYFUNCTION("""COMPUTED_VALUE"""),"| 1 L INE @ | 3 L PHP-CGM % | 4 L NS % | 5 L PRO @ ")</f>
        <v xml:space="preserve">| 1 L INE @ | 3 L PHP-CGM % | 4 L NS % | 5 L PRO @ </v>
      </c>
      <c r="BZ17" s="4" t="str">
        <f ca="1">IFERROR(__xludf.DUMMYFUNCTION("""COMPUTED_VALUE"""),"| 1 L CPT @ | 2 L NS @ | 3 P CPT % | 5 P Python @ ")</f>
        <v xml:space="preserve">| 1 L CPT @ | 2 L NS @ | 3 P CPT % | 5 P Python @ </v>
      </c>
      <c r="CA17" s="4" t="str">
        <f ca="1">IFERROR(__xludf.DUMMYFUNCTION("""COMPUTED_VALUE"""),"| 1 L PHP-CGM @ | 2 L JAVA @ | 3 P NS @ | 5 P JAVA @ ")</f>
        <v xml:space="preserve">| 1 L PHP-CGM @ | 2 L JAVA @ | 3 P NS @ | 5 P JAVA @ </v>
      </c>
      <c r="CB17" s="4" t="str">
        <f ca="1">IFERROR(__xludf.DUMMYFUNCTION("""COMPUTED_VALUE"""),"| 1 P Python @ | 3 L JAVA @ | 4 L CPT @ | 5 P JAVA @ ")</f>
        <v xml:space="preserve">| 1 P Python @ | 3 L JAVA @ | 4 L CPT @ | 5 P JAVA @ </v>
      </c>
      <c r="CC17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17" s="4" t="str">
        <f ca="1">IFERROR(__xludf.DUMMYFUNCTION("""COMPUTED_VALUE"""),"| 1 L INE % | 3 L PHP-CGM @ | 4 L NS @ | 5 L PRO % ")</f>
        <v xml:space="preserve">| 1 L INE % | 3 L PHP-CGM @ | 4 L NS @ | 5 L PRO % </v>
      </c>
      <c r="CE17" s="4" t="str">
        <f ca="1">IFERROR(__xludf.DUMMYFUNCTION("""COMPUTED_VALUE"""),"| 1 L CPT @ | 2 L NS @ | 3 P CPT @ | 5 P Python @ ")</f>
        <v xml:space="preserve">| 1 L CPT @ | 2 L NS @ | 3 P CPT @ | 5 P Python @ </v>
      </c>
      <c r="CF17" s="4" t="str">
        <f ca="1">IFERROR(__xludf.DUMMYFUNCTION("""COMPUTED_VALUE"""),"| 1 L PHP-CGM @ | 2 L JAVA @ | 3 P NS % ")</f>
        <v xml:space="preserve">| 1 L PHP-CGM @ | 2 L JAVA @ | 3 P NS % </v>
      </c>
      <c r="CG17" s="4" t="str">
        <f ca="1">IFERROR(__xludf.DUMMYFUNCTION("""COMPUTED_VALUE"""),"| 1 P Python % | 4 L CPT @ | 5 P JAVA % ")</f>
        <v xml:space="preserve">| 1 P Python % | 4 L CPT @ | 5 P JAVA % </v>
      </c>
      <c r="CH17" s="4" t="str">
        <f ca="1">IFERROR(__xludf.DUMMYFUNCTION("""COMPUTED_VALUE"""),"| 3 L NS @ | 6 L CPT @ ")</f>
        <v xml:space="preserve">| 3 L NS @ | 6 L CPT @ </v>
      </c>
      <c r="CI17" s="4" t="str">
        <f ca="1">IFERROR(__xludf.DUMMYFUNCTION("""COMPUTED_VALUE"""),"| 1 L INE @ ")</f>
        <v xml:space="preserve">| 1 L INE @ </v>
      </c>
      <c r="CJ17" s="4" t="str">
        <f ca="1">IFERROR(__xludf.DUMMYFUNCTION("""COMPUTED_VALUE"""),"| 3 P CPT % ")</f>
        <v xml:space="preserve">| 3 P CPT % </v>
      </c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</row>
    <row r="18" spans="1:102" ht="12.5" x14ac:dyDescent="0.25">
      <c r="A18" s="3">
        <f ca="1">IFERROR(__xludf.DUMMYFUNCTION("""COMPUTED_VALUE"""),1)</f>
        <v>1</v>
      </c>
      <c r="B18" s="3" t="str">
        <f ca="1">IFERROR(__xludf.DUMMYFUNCTION("""COMPUTED_VALUE"""),"A")</f>
        <v>A</v>
      </c>
      <c r="C18" s="32" t="str">
        <f ca="1">IFERROR(__xludf.DUMMYFUNCTION("""COMPUTED_VALUE"""),"23291341057")</f>
        <v>23291341057</v>
      </c>
      <c r="D18" s="21" t="str">
        <f ca="1">IFERROR(__xludf.DUMMYFUNCTION("""COMPUTED_VALUE"""),"MEGH PATEL")</f>
        <v>MEGH PATEL</v>
      </c>
      <c r="E18" s="3" t="str">
        <f ca="1">IFERROR(__xludf.DUMMYFUNCTION("""COMPUTED_VALUE"""),"RRP-Mor")</f>
        <v>RRP-Mor</v>
      </c>
      <c r="F18" s="3">
        <f ca="1">IFERROR(__xludf.DUMMYFUNCTION("""COMPUTED_VALUE"""),8735943041)</f>
        <v>8735943041</v>
      </c>
      <c r="G18" s="3">
        <f ca="1">IFERROR(__xludf.DUMMYFUNCTION("""COMPUTED_VALUE"""),6354385934)</f>
        <v>6354385934</v>
      </c>
      <c r="H18" s="33">
        <f ca="1">IFERROR(__xludf.DUMMYFUNCTION("""COMPUTED_VALUE"""),0.723140495867768)</f>
        <v>0.72314049586776796</v>
      </c>
      <c r="I18" s="25">
        <f ca="1">IFERROR(__xludf.DUMMYFUNCTION("""COMPUTED_VALUE"""),0.777777777777777)</f>
        <v>0.77777777777777701</v>
      </c>
      <c r="J18" s="25">
        <f ca="1">IFERROR(__xludf.DUMMYFUNCTION("""COMPUTED_VALUE"""),0.583333333333333)</f>
        <v>0.58333333333333304</v>
      </c>
      <c r="K18" s="25">
        <f ca="1">IFERROR(__xludf.DUMMYFUNCTION("""COMPUTED_VALUE"""),0.794117647058823)</f>
        <v>0.79411764705882304</v>
      </c>
      <c r="L18" s="25">
        <f ca="1">IFERROR(__xludf.DUMMYFUNCTION("""COMPUTED_VALUE"""),0.461538461538461)</f>
        <v>0.46153846153846101</v>
      </c>
      <c r="M18" s="25">
        <f ca="1">IFERROR(__xludf.DUMMYFUNCTION("""COMPUTED_VALUE"""),0.833333333333333)</f>
        <v>0.83333333333333304</v>
      </c>
      <c r="N18" s="25">
        <f ca="1">IFERROR(__xludf.DUMMYFUNCTION("""COMPUTED_VALUE"""),0.6)</f>
        <v>0.6</v>
      </c>
      <c r="O18" s="25">
        <f ca="1">IFERROR(__xludf.DUMMYFUNCTION("""COMPUTED_VALUE"""),0.727272727272727)</f>
        <v>0.72727272727272696</v>
      </c>
      <c r="P18" s="25">
        <f ca="1">IFERROR(__xludf.DUMMYFUNCTION("""COMPUTED_VALUE"""),0.826086956521739)</f>
        <v>0.82608695652173902</v>
      </c>
      <c r="Q18" s="25">
        <f ca="1">IFERROR(__xludf.DUMMYFUNCTION("""COMPUTED_VALUE"""),0)</f>
        <v>0</v>
      </c>
      <c r="R18" s="25">
        <f ca="1">IFERROR(__xludf.DUMMYFUNCTION("""COMPUTED_VALUE"""),0.59090909090909)</f>
        <v>0.59090909090909005</v>
      </c>
      <c r="S18" s="25">
        <f ca="1">IFERROR(__xludf.DUMMYFUNCTION("""COMPUTED_VALUE"""),0.9)</f>
        <v>0.9</v>
      </c>
      <c r="T18" s="25">
        <f ca="1">IFERROR(__xludf.DUMMYFUNCTION("""COMPUTED_VALUE"""),0)</f>
        <v>0</v>
      </c>
      <c r="U18" s="25">
        <f ca="1">IFERROR(__xludf.DUMMYFUNCTION("""COMPUTED_VALUE"""),0.545454545454545)</f>
        <v>0.54545454545454497</v>
      </c>
      <c r="V18" s="25">
        <f ca="1">IFERROR(__xludf.DUMMYFUNCTION("""COMPUTED_VALUE"""),0)</f>
        <v>0</v>
      </c>
      <c r="W18" s="4"/>
      <c r="X18" s="4" t="str">
        <f ca="1">IFERROR(__xludf.DUMMYFUNCTION("""COMPUTED_VALUE"""),"| 1 L PHP-CGM % | 3 P NS @ | 5 P JAVA % ")</f>
        <v xml:space="preserve">| 1 L PHP-CGM % | 3 P NS @ | 5 P JAVA % </v>
      </c>
      <c r="Y18" s="4" t="str">
        <f ca="1">IFERROR(__xludf.DUMMYFUNCTION("""COMPUTED_VALUE"""),"| 1 P Python % | 3 L JAVA % | 4 L CPT % | 5 P JAVA % ")</f>
        <v xml:space="preserve">| 1 P Python % | 3 L JAVA % | 4 L CPT % | 5 P JAVA % </v>
      </c>
      <c r="Z18" s="4" t="str">
        <f ca="1">IFERROR(__xludf.DUMMYFUNCTION("""COMPUTED_VALUE"""),"| 1 P PHP-CGM @ | 3 L NS @ | 4 L JAVA @ | 5 L PHP-CGM % | 6 L CPT % ")</f>
        <v xml:space="preserve">| 1 P PHP-CGM @ | 3 L NS @ | 4 L JAVA @ | 5 L PHP-CGM % | 6 L CPT % </v>
      </c>
      <c r="AA18" s="4" t="str">
        <f ca="1">IFERROR(__xludf.DUMMYFUNCTION("""COMPUTED_VALUE"""),"| 3 L PHP-CGM % | 4 L NS % | 1 L INE % | 5 P PRO @ ")</f>
        <v xml:space="preserve">| 3 L PHP-CGM % | 4 L NS % | 1 L INE % | 5 P PRO @ </v>
      </c>
      <c r="AB18" s="4" t="str">
        <f ca="1">IFERROR(__xludf.DUMMYFUNCTION("""COMPUTED_VALUE"""),"| 1 L CPT % | 2 L NS % | 3 P CPT @ | 5 P Python % ")</f>
        <v xml:space="preserve">| 1 L CPT % | 2 L NS % | 3 P CPT @ | 5 P Python % </v>
      </c>
      <c r="AC18" s="4" t="str">
        <f ca="1">IFERROR(__xludf.DUMMYFUNCTION("""COMPUTED_VALUE"""),"| 1 L PHP-CGM @ | 2 L JAVA @ | 3 P NS % | 5 P JAVA % ")</f>
        <v xml:space="preserve">| 1 L PHP-CGM @ | 2 L JAVA @ | 3 P NS % | 5 P JAVA % </v>
      </c>
      <c r="AD18" s="4" t="str">
        <f ca="1">IFERROR(__xludf.DUMMYFUNCTION("""COMPUTED_VALUE"""),"| 1 P Python % | 3 L JAVA % | 4 L CPT % | 5 P JAVA % ")</f>
        <v xml:space="preserve">| 1 P Python % | 3 L JAVA % | 4 L CPT % | 5 P JAVA % </v>
      </c>
      <c r="AE18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18" s="4" t="str">
        <f ca="1">IFERROR(__xludf.DUMMYFUNCTION("""COMPUTED_VALUE"""),"| 3 L PHP-CGM % | 4 L NS % | 5 P PRO @ ")</f>
        <v xml:space="preserve">| 3 L PHP-CGM % | 4 L NS % | 5 P PRO @ </v>
      </c>
      <c r="AG18" s="4" t="str">
        <f ca="1">IFERROR(__xludf.DUMMYFUNCTION("""COMPUTED_VALUE"""),"| 1 L CPT % | 2 L NS % | 3 P CPT % | 5 P Python @ ")</f>
        <v xml:space="preserve">| 1 L CPT % | 2 L NS % | 3 P CPT % | 5 P Python @ </v>
      </c>
      <c r="AH18" s="4" t="str">
        <f ca="1">IFERROR(__xludf.DUMMYFUNCTION("""COMPUTED_VALUE"""),"| 3 L PHP-CGM % | 4 L NS % | 5 L PRO % ")</f>
        <v xml:space="preserve">| 3 L PHP-CGM % | 4 L NS % | 5 L PRO % </v>
      </c>
      <c r="AI18" s="4" t="str">
        <f ca="1">IFERROR(__xludf.DUMMYFUNCTION("""COMPUTED_VALUE"""),"| 1 L CPT % | 2 L NS % | 3 P CPT % | 5 P Python @ ")</f>
        <v xml:space="preserve">| 1 L CPT % | 2 L NS % | 3 P CPT % | 5 P Python @ </v>
      </c>
      <c r="AJ18" s="4" t="str">
        <f ca="1">IFERROR(__xludf.DUMMYFUNCTION("""COMPUTED_VALUE"""),"| 1 L PHP-CGM % | 2 L JAVA % | 3 P NS % | 5 P JAVA % ")</f>
        <v xml:space="preserve">| 1 L PHP-CGM % | 2 L JAVA % | 3 P NS % | 5 P JAVA % </v>
      </c>
      <c r="AK18" s="4" t="str">
        <f ca="1">IFERROR(__xludf.DUMMYFUNCTION("""COMPUTED_VALUE"""),"| 1 P Python % | 3 L JAVA % | 4 L CPT % | 5 P JAVA % ")</f>
        <v xml:space="preserve">| 1 P Python % | 3 L JAVA % | 4 L CPT % | 5 P JAVA % </v>
      </c>
      <c r="AL1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18" s="4" t="str">
        <f ca="1">IFERROR(__xludf.DUMMYFUNCTION("""COMPUTED_VALUE"""),"| 1 L INE @ | 4 L NS % | 3 L PHP-CGM % | 5 L PRO % ")</f>
        <v xml:space="preserve">| 1 L INE @ | 4 L NS % | 3 L PHP-CGM % | 5 L PRO % </v>
      </c>
      <c r="AN18" s="4" t="str">
        <f ca="1">IFERROR(__xludf.DUMMYFUNCTION("""COMPUTED_VALUE"""),"| 1 L CPT % | 2 L NS % | 3 P CPT % | 5 P Python @ ")</f>
        <v xml:space="preserve">| 1 L CPT % | 2 L NS % | 3 P CPT % | 5 P Python @ </v>
      </c>
      <c r="AO18" s="4" t="str">
        <f ca="1">IFERROR(__xludf.DUMMYFUNCTION("""COMPUTED_VALUE"""),"| 1 L PHP-CGM % | 2 L JAVA % | 3 P NS @ | 5 P JAVA @ ")</f>
        <v xml:space="preserve">| 1 L PHP-CGM % | 2 L JAVA % | 3 P NS @ | 5 P JAVA @ </v>
      </c>
      <c r="AP18" s="4" t="str">
        <f ca="1">IFERROR(__xludf.DUMMYFUNCTION("""COMPUTED_VALUE"""),"| 1 P Python % | 3 L JAVA % | 4 L CPT % | 5 P JAVA @ ")</f>
        <v xml:space="preserve">| 1 P Python % | 3 L JAVA % | 4 L CPT % | 5 P JAVA @ </v>
      </c>
      <c r="AQ1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8" s="4" t="str">
        <f ca="1">IFERROR(__xludf.DUMMYFUNCTION("""COMPUTED_VALUE"""),"| 1 L INE @ | 3 L PHP-CGM % | 4 L NS % | 5 L PRO % ")</f>
        <v xml:space="preserve">| 1 L INE @ | 3 L PHP-CGM % | 4 L NS % | 5 L PRO % </v>
      </c>
      <c r="AS18" s="4" t="str">
        <f ca="1">IFERROR(__xludf.DUMMYFUNCTION("""COMPUTED_VALUE"""),"| 1 L PHP-CGM % | 2 L JAVA % | 3 P NS @ | 5 P JAVA @ ")</f>
        <v xml:space="preserve">| 1 L PHP-CGM % | 2 L JAVA % | 3 P NS @ | 5 P JAVA @ </v>
      </c>
      <c r="AT18" s="4" t="str">
        <f ca="1">IFERROR(__xludf.DUMMYFUNCTION("""COMPUTED_VALUE"""),"| 1 P Python % | 3 L JAVA % | 4 L CPT % | 5 P JAVA % ")</f>
        <v xml:space="preserve">| 1 P Python % | 3 L JAVA % | 4 L CPT % | 5 P JAVA % </v>
      </c>
      <c r="AU18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V18" s="4" t="str">
        <f ca="1">IFERROR(__xludf.DUMMYFUNCTION("""COMPUTED_VALUE"""),"| 1 L INE % | 3 L PHP-CGM % | 4 L NS % | 7 L PRO % ")</f>
        <v xml:space="preserve">| 1 L INE % | 3 L PHP-CGM % | 4 L NS % | 7 L PRO % </v>
      </c>
      <c r="AW18" s="4" t="str">
        <f ca="1">IFERROR(__xludf.DUMMYFUNCTION("""COMPUTED_VALUE"""),"| 1 L CPT % | 2 L NS % | 3 P CPT @ | 5 P Python % ")</f>
        <v xml:space="preserve">| 1 L CPT % | 2 L NS % | 3 P CPT @ | 5 P Python % </v>
      </c>
      <c r="AX18" s="4" t="str">
        <f ca="1">IFERROR(__xludf.DUMMYFUNCTION("""COMPUTED_VALUE"""),"| 1 L PHP-CGM @ | 2 L JAVA @ | 3 P NS % | 5 P JAVA % ")</f>
        <v xml:space="preserve">| 1 L PHP-CGM @ | 2 L JAVA @ | 3 P NS % | 5 P JAVA % </v>
      </c>
      <c r="AY18" s="4" t="str">
        <f ca="1">IFERROR(__xludf.DUMMYFUNCTION("""COMPUTED_VALUE"""),"| 1 P Python @ | 3 L JAVA % | 4 L CPT % | 5 P JAVA % ")</f>
        <v xml:space="preserve">| 1 P Python @ | 3 L JAVA % | 4 L CPT % | 5 P JAVA % </v>
      </c>
      <c r="AZ18" s="4" t="str">
        <f ca="1">IFERROR(__xludf.DUMMYFUNCTION("""COMPUTED_VALUE"""),"| 1 L INE % | 3 L PHP-CGM % | 4 L NS % | 5 L PRO % ")</f>
        <v xml:space="preserve">| 1 L INE % | 3 L PHP-CGM % | 4 L NS % | 5 L PRO % </v>
      </c>
      <c r="BA18" s="4" t="str">
        <f ca="1">IFERROR(__xludf.DUMMYFUNCTION("""COMPUTED_VALUE"""),"| 1 L CPT % | 2 L NS % | 3 P CPT % | 5 P Python % ")</f>
        <v xml:space="preserve">| 1 L CPT % | 2 L NS % | 3 P CPT % | 5 P Python % </v>
      </c>
      <c r="BB18" s="4" t="str">
        <f ca="1">IFERROR(__xludf.DUMMYFUNCTION("""COMPUTED_VALUE"""),"| 1 L PHP-CGM % | 2 L JAVA % | 3 P NS % | 5 P JAVA % ")</f>
        <v xml:space="preserve">| 1 L PHP-CGM % | 2 L JAVA % | 3 P NS % | 5 P JAVA % </v>
      </c>
      <c r="BC18" s="4" t="str">
        <f ca="1">IFERROR(__xludf.DUMMYFUNCTION("""COMPUTED_VALUE"""),"| 1 P Python % | 3 L JAVA % | 4 L CPT % | 5 P JAVA % ")</f>
        <v xml:space="preserve">| 1 P Python % | 3 L JAVA % | 4 L CPT % | 5 P JAVA % </v>
      </c>
      <c r="BD18" s="4" t="str">
        <f ca="1">IFERROR(__xludf.DUMMYFUNCTION("""COMPUTED_VALUE"""),"| 1 P PHP-CGM % | 3 L NS % | 6 L CPT % | 5 L PHP-CGM % | 4 L JAVA % ")</f>
        <v xml:space="preserve">| 1 P PHP-CGM % | 3 L NS % | 6 L CPT % | 5 L PHP-CGM % | 4 L JAVA % </v>
      </c>
      <c r="BE18" s="4" t="str">
        <f ca="1">IFERROR(__xludf.DUMMYFUNCTION("""COMPUTED_VALUE"""),"| 1 L INE % | 3 L PHP-CGM @ | 4 L NS @ | 5 L PRO % ")</f>
        <v xml:space="preserve">| 1 L INE % | 3 L PHP-CGM @ | 4 L NS @ | 5 L PRO % </v>
      </c>
      <c r="BF18" s="4" t="str">
        <f ca="1">IFERROR(__xludf.DUMMYFUNCTION("""COMPUTED_VALUE"""),"| 1 L CPT % | 2 L NS % | 3 P CPT % | 5 P JAVA % ")</f>
        <v xml:space="preserve">| 1 L CPT % | 2 L NS % | 3 P CPT % | 5 P JAVA % </v>
      </c>
      <c r="BG18" s="4" t="str">
        <f ca="1">IFERROR(__xludf.DUMMYFUNCTION("""COMPUTED_VALUE"""),"| 1 P Python @ | 4 L CPT % | 5 P JAVA % ")</f>
        <v xml:space="preserve">| 1 P Python @ | 4 L CPT % | 5 P JAVA % </v>
      </c>
      <c r="BH1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I18" s="4" t="str">
        <f ca="1">IFERROR(__xludf.DUMMYFUNCTION("""COMPUTED_VALUE"""),"| 1 L INE % | 3 L PHP-CGM % | 4 L NS % | 5 L PRO @ ")</f>
        <v xml:space="preserve">| 1 L INE % | 3 L PHP-CGM % | 4 L NS % | 5 L PRO @ </v>
      </c>
      <c r="BJ18" s="4" t="str">
        <f ca="1">IFERROR(__xludf.DUMMYFUNCTION("""COMPUTED_VALUE"""),"| 1 L CPT % | 2 L NS % | 3 P CPT @ | 5 P Python % ")</f>
        <v xml:space="preserve">| 1 L CPT % | 2 L NS % | 3 P CPT @ | 5 P Python % </v>
      </c>
      <c r="BK18" s="4" t="str">
        <f ca="1">IFERROR(__xludf.DUMMYFUNCTION("""COMPUTED_VALUE"""),"| 1 L PHP-CGM % | 2 L JAVA % | 3 P NS @ | 5 P JAVA % ")</f>
        <v xml:space="preserve">| 1 L PHP-CGM % | 2 L JAVA % | 3 P NS @ | 5 P JAVA % </v>
      </c>
      <c r="BL18" s="4" t="str">
        <f ca="1">IFERROR(__xludf.DUMMYFUNCTION("""COMPUTED_VALUE"""),"| 1 P Python @ | 3 L JAVA % | 4 L CPT % | 5 P JAVA % ")</f>
        <v xml:space="preserve">| 1 P Python @ | 3 L JAVA % | 4 L CPT % | 5 P JAVA % </v>
      </c>
      <c r="BM18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18" s="4" t="str">
        <f ca="1">IFERROR(__xludf.DUMMYFUNCTION("""COMPUTED_VALUE"""),"| 1 L INE @ | 3 L PHP-CGM % | 4 L NS % | 5 L PRO % ")</f>
        <v xml:space="preserve">| 1 L INE @ | 3 L PHP-CGM % | 4 L NS % | 5 L PRO % </v>
      </c>
      <c r="BO18" s="4" t="str">
        <f ca="1">IFERROR(__xludf.DUMMYFUNCTION("""COMPUTED_VALUE"""),"| 1 L CPT @ | 2 L NS @ | 3 P CPT @ ")</f>
        <v xml:space="preserve">| 1 L CPT @ | 2 L NS @ | 3 P CPT @ </v>
      </c>
      <c r="BP18" s="4" t="str">
        <f ca="1">IFERROR(__xludf.DUMMYFUNCTION("""COMPUTED_VALUE"""),"| 1 L PHP-CGM % | 2 L JAVA % | 3 P NS @ | 5 P JAVA % ")</f>
        <v xml:space="preserve">| 1 L PHP-CGM % | 2 L JAVA % | 3 P NS @ | 5 P JAVA % </v>
      </c>
      <c r="BQ18" s="4" t="str">
        <f ca="1">IFERROR(__xludf.DUMMYFUNCTION("""COMPUTED_VALUE"""),"| 5 L PHP-CGM % | 6 L CPT @ ")</f>
        <v xml:space="preserve">| 5 L PHP-CGM % | 6 L CPT @ </v>
      </c>
      <c r="BR18" s="4"/>
      <c r="BS18" s="4"/>
      <c r="BT18" s="4" t="str">
        <f ca="1">IFERROR(__xludf.DUMMYFUNCTION("""COMPUTED_VALUE"""),"| 1 L PHP-CGM @ | 2 L JAVA @ | 3 P NS @ ")</f>
        <v xml:space="preserve">| 1 L PHP-CGM @ | 2 L JAVA @ | 3 P NS @ </v>
      </c>
      <c r="BU18" s="4" t="str">
        <f ca="1">IFERROR(__xludf.DUMMYFUNCTION("""COMPUTED_VALUE"""),"| 1 P Python @ | 4 L CPT @ | 3 L JAVA @ ")</f>
        <v xml:space="preserve">| 1 P Python @ | 4 L CPT @ | 3 L JAVA @ </v>
      </c>
      <c r="BV18" s="4" t="str">
        <f ca="1">IFERROR(__xludf.DUMMYFUNCTION("""COMPUTED_VALUE"""),"| 1 L PHP-CGM @ | 2 L JAVA @ | 3 P NS @ | 5 P JAVA @ ")</f>
        <v xml:space="preserve">| 1 L PHP-CGM @ | 2 L JAVA @ | 3 P NS @ | 5 P JAVA @ </v>
      </c>
      <c r="BW18" s="4" t="str">
        <f ca="1">IFERROR(__xludf.DUMMYFUNCTION("""COMPUTED_VALUE"""),"| 1 P Python @ | 3 L JAVA @ | 4 L CPT @ ")</f>
        <v xml:space="preserve">| 1 P Python @ | 3 L JAVA @ | 4 L CPT @ </v>
      </c>
      <c r="BX18" s="4" t="str">
        <f ca="1">IFERROR(__xludf.DUMMYFUNCTION("""COMPUTED_VALUE"""),"| 1 P PHP-CGM @ | 3 L NS @ | 4 L JAVA @ | 5 L PHP-CGM % | 6 L CPT % ")</f>
        <v xml:space="preserve">| 1 P PHP-CGM @ | 3 L NS @ | 4 L JAVA @ | 5 L PHP-CGM % | 6 L CPT % </v>
      </c>
      <c r="BY18" s="4" t="str">
        <f ca="1">IFERROR(__xludf.DUMMYFUNCTION("""COMPUTED_VALUE"""),"| 1 L INE @ | 3 L PHP-CGM % | 4 L NS % | 5 L PRO % ")</f>
        <v xml:space="preserve">| 1 L INE @ | 3 L PHP-CGM % | 4 L NS % | 5 L PRO % </v>
      </c>
      <c r="BZ18" s="4" t="str">
        <f ca="1">IFERROR(__xludf.DUMMYFUNCTION("""COMPUTED_VALUE"""),"| 1 L CPT @ | 2 L NS @ | 3 P CPT @ | 5 P Python @ ")</f>
        <v xml:space="preserve">| 1 L CPT @ | 2 L NS @ | 3 P CPT @ | 5 P Python @ </v>
      </c>
      <c r="CA18" s="4" t="str">
        <f ca="1">IFERROR(__xludf.DUMMYFUNCTION("""COMPUTED_VALUE"""),"| 1 L PHP-CGM % | 2 L JAVA % | 3 P NS % | 5 P JAVA % ")</f>
        <v xml:space="preserve">| 1 L PHP-CGM % | 2 L JAVA % | 3 P NS % | 5 P JAVA % </v>
      </c>
      <c r="CB18" s="4" t="str">
        <f ca="1">IFERROR(__xludf.DUMMYFUNCTION("""COMPUTED_VALUE"""),"| 1 P Python % | 3 L JAVA % | 4 L CPT % | 5 P JAVA % ")</f>
        <v xml:space="preserve">| 1 P Python % | 3 L JAVA % | 4 L CPT % | 5 P JAVA % </v>
      </c>
      <c r="CC18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18" s="4" t="str">
        <f ca="1">IFERROR(__xludf.DUMMYFUNCTION("""COMPUTED_VALUE"""),"| 1 L INE % | 3 L PHP-CGM % | 4 L NS % | 5 L PRO % ")</f>
        <v xml:space="preserve">| 1 L INE % | 3 L PHP-CGM % | 4 L NS % | 5 L PRO % </v>
      </c>
      <c r="CE18" s="4" t="str">
        <f ca="1">IFERROR(__xludf.DUMMYFUNCTION("""COMPUTED_VALUE"""),"| 1 L CPT % | 2 L NS % | 3 P CPT % | 5 P Python % ")</f>
        <v xml:space="preserve">| 1 L CPT % | 2 L NS % | 3 P CPT % | 5 P Python % </v>
      </c>
      <c r="CF18" s="4" t="str">
        <f ca="1">IFERROR(__xludf.DUMMYFUNCTION("""COMPUTED_VALUE"""),"| 1 L PHP-CGM % | 2 L JAVA % | 3 P NS % ")</f>
        <v xml:space="preserve">| 1 L PHP-CGM % | 2 L JAVA % | 3 P NS % </v>
      </c>
      <c r="CG18" s="4" t="str">
        <f ca="1">IFERROR(__xludf.DUMMYFUNCTION("""COMPUTED_VALUE"""),"| 1 P Python % | 4 L CPT @ | 5 P JAVA % ")</f>
        <v xml:space="preserve">| 1 P Python % | 4 L CPT @ | 5 P JAVA % </v>
      </c>
      <c r="CH18" s="4" t="str">
        <f ca="1">IFERROR(__xludf.DUMMYFUNCTION("""COMPUTED_VALUE"""),"| 3 L NS @ | 6 L CPT @ ")</f>
        <v xml:space="preserve">| 3 L NS @ | 6 L CPT @ </v>
      </c>
      <c r="CI18" s="4" t="str">
        <f ca="1">IFERROR(__xludf.DUMMYFUNCTION("""COMPUTED_VALUE"""),"| 1 L INE @ ")</f>
        <v xml:space="preserve">| 1 L INE @ </v>
      </c>
      <c r="CJ18" s="4" t="str">
        <f ca="1">IFERROR(__xludf.DUMMYFUNCTION("""COMPUTED_VALUE"""),"| 3 P CPT % ")</f>
        <v xml:space="preserve">| 3 P CPT % </v>
      </c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</row>
    <row r="19" spans="1:102" ht="12.5" x14ac:dyDescent="0.25">
      <c r="A19" s="3">
        <f ca="1">IFERROR(__xludf.DUMMYFUNCTION("""COMPUTED_VALUE"""),1)</f>
        <v>1</v>
      </c>
      <c r="B19" s="3" t="str">
        <f ca="1">IFERROR(__xludf.DUMMYFUNCTION("""COMPUTED_VALUE"""),"A")</f>
        <v>A</v>
      </c>
      <c r="C19" s="32" t="str">
        <f ca="1">IFERROR(__xludf.DUMMYFUNCTION("""COMPUTED_VALUE"""),"23291341058")</f>
        <v>23291341058</v>
      </c>
      <c r="D19" s="21" t="str">
        <f ca="1">IFERROR(__xludf.DUMMYFUNCTION("""COMPUTED_VALUE"""),"MEHTA KAVYA PRANAVKUMAR")</f>
        <v>MEHTA KAVYA PRANAVKUMAR</v>
      </c>
      <c r="E19" s="3" t="str">
        <f ca="1">IFERROR(__xludf.DUMMYFUNCTION("""COMPUTED_VALUE"""),"RRP-Mor")</f>
        <v>RRP-Mor</v>
      </c>
      <c r="F19" s="3">
        <f ca="1">IFERROR(__xludf.DUMMYFUNCTION("""COMPUTED_VALUE"""),9428245362)</f>
        <v>9428245362</v>
      </c>
      <c r="G19" s="3">
        <f ca="1">IFERROR(__xludf.DUMMYFUNCTION("""COMPUTED_VALUE"""),9824043150)</f>
        <v>9824043150</v>
      </c>
      <c r="H19" s="33">
        <f ca="1">IFERROR(__xludf.DUMMYFUNCTION("""COMPUTED_VALUE"""),0.632231404958677)</f>
        <v>0.63223140495867702</v>
      </c>
      <c r="I19" s="25">
        <f ca="1">IFERROR(__xludf.DUMMYFUNCTION("""COMPUTED_VALUE"""),0.583333333333333)</f>
        <v>0.58333333333333304</v>
      </c>
      <c r="J19" s="25">
        <f ca="1">IFERROR(__xludf.DUMMYFUNCTION("""COMPUTED_VALUE"""),0.666666666666666)</f>
        <v>0.66666666666666596</v>
      </c>
      <c r="K19" s="25">
        <f ca="1">IFERROR(__xludf.DUMMYFUNCTION("""COMPUTED_VALUE"""),0.794117647058823)</f>
        <v>0.79411764705882304</v>
      </c>
      <c r="L19" s="25">
        <f ca="1">IFERROR(__xludf.DUMMYFUNCTION("""COMPUTED_VALUE"""),0.615384615384615)</f>
        <v>0.61538461538461497</v>
      </c>
      <c r="M19" s="25">
        <f ca="1">IFERROR(__xludf.DUMMYFUNCTION("""COMPUTED_VALUE"""),0.638888888888888)</f>
        <v>0.63888888888888795</v>
      </c>
      <c r="N19" s="25">
        <f ca="1">IFERROR(__xludf.DUMMYFUNCTION("""COMPUTED_VALUE"""),0.9)</f>
        <v>0.9</v>
      </c>
      <c r="O19" s="25">
        <f ca="1">IFERROR(__xludf.DUMMYFUNCTION("""COMPUTED_VALUE"""),0.636363636363636)</f>
        <v>0.63636363636363602</v>
      </c>
      <c r="P19" s="25">
        <f ca="1">IFERROR(__xludf.DUMMYFUNCTION("""COMPUTED_VALUE"""),0.478260869565217)</f>
        <v>0.47826086956521702</v>
      </c>
      <c r="Q19" s="25">
        <f ca="1">IFERROR(__xludf.DUMMYFUNCTION("""COMPUTED_VALUE"""),0)</f>
        <v>0</v>
      </c>
      <c r="R19" s="25">
        <f ca="1">IFERROR(__xludf.DUMMYFUNCTION("""COMPUTED_VALUE"""),0.681818181818181)</f>
        <v>0.68181818181818099</v>
      </c>
      <c r="S19" s="25">
        <f ca="1">IFERROR(__xludf.DUMMYFUNCTION("""COMPUTED_VALUE"""),0.4)</f>
        <v>0.4</v>
      </c>
      <c r="T19" s="25">
        <f ca="1">IFERROR(__xludf.DUMMYFUNCTION("""COMPUTED_VALUE"""),1)</f>
        <v>1</v>
      </c>
      <c r="U19" s="25">
        <f ca="1">IFERROR(__xludf.DUMMYFUNCTION("""COMPUTED_VALUE"""),0.363636363636363)</f>
        <v>0.36363636363636298</v>
      </c>
      <c r="V19" s="25">
        <f ca="1">IFERROR(__xludf.DUMMYFUNCTION("""COMPUTED_VALUE"""),0)</f>
        <v>0</v>
      </c>
      <c r="W19" s="4"/>
      <c r="X19" s="4" t="str">
        <f ca="1">IFERROR(__xludf.DUMMYFUNCTION("""COMPUTED_VALUE"""),"| 1 L PHP-CGM % | 3 P NS % | 5 P JAVA % ")</f>
        <v xml:space="preserve">| 1 L PHP-CGM % | 3 P NS % | 5 P JAVA % </v>
      </c>
      <c r="Y19" s="4" t="str">
        <f ca="1">IFERROR(__xludf.DUMMYFUNCTION("""COMPUTED_VALUE"""),"| 1 P Python % | 3 L JAVA % | 4 L CPT % | 5 P JAVA % ")</f>
        <v xml:space="preserve">| 1 P Python % | 3 L JAVA % | 4 L CPT % | 5 P JAVA % </v>
      </c>
      <c r="Z19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A19" s="4" t="str">
        <f ca="1">IFERROR(__xludf.DUMMYFUNCTION("""COMPUTED_VALUE"""),"| 3 L PHP-CGM % | 4 L NS % | 1 L INE % | 5 P PRO % ")</f>
        <v xml:space="preserve">| 3 L PHP-CGM % | 4 L NS % | 1 L INE % | 5 P PRO % </v>
      </c>
      <c r="AB19" s="4" t="str">
        <f ca="1">IFERROR(__xludf.DUMMYFUNCTION("""COMPUTED_VALUE"""),"| 1 L CPT % | 2 L NS % | 3 P CPT % | 5 P Python % ")</f>
        <v xml:space="preserve">| 1 L CPT % | 2 L NS % | 3 P CPT % | 5 P Python % </v>
      </c>
      <c r="AC19" s="4" t="str">
        <f ca="1">IFERROR(__xludf.DUMMYFUNCTION("""COMPUTED_VALUE"""),"| 1 L PHP-CGM % | 2 L JAVA % | 3 P NS % | 5 P JAVA @ ")</f>
        <v xml:space="preserve">| 1 L PHP-CGM % | 2 L JAVA % | 3 P NS % | 5 P JAVA @ </v>
      </c>
      <c r="AD19" s="4" t="str">
        <f ca="1">IFERROR(__xludf.DUMMYFUNCTION("""COMPUTED_VALUE"""),"| 1 P Python % | 3 L JAVA % | 4 L CPT % | 5 P JAVA % ")</f>
        <v xml:space="preserve">| 1 P Python % | 3 L JAVA % | 4 L CPT % | 5 P JAVA % </v>
      </c>
      <c r="AE19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19" s="4" t="str">
        <f ca="1">IFERROR(__xludf.DUMMYFUNCTION("""COMPUTED_VALUE"""),"| 3 L PHP-CGM % | 4 L NS % | 5 P PRO % ")</f>
        <v xml:space="preserve">| 3 L PHP-CGM % | 4 L NS % | 5 P PRO % </v>
      </c>
      <c r="AG19" s="4" t="str">
        <f ca="1">IFERROR(__xludf.DUMMYFUNCTION("""COMPUTED_VALUE"""),"| 1 L CPT % | 2 L NS % | 3 P CPT % | 5 P Python @ ")</f>
        <v xml:space="preserve">| 1 L CPT % | 2 L NS % | 3 P CPT % | 5 P Python @ </v>
      </c>
      <c r="AH19" s="4" t="str">
        <f ca="1">IFERROR(__xludf.DUMMYFUNCTION("""COMPUTED_VALUE"""),"| 3 L PHP-CGM % | 4 L NS % | 5 L PRO % ")</f>
        <v xml:space="preserve">| 3 L PHP-CGM % | 4 L NS % | 5 L PRO % </v>
      </c>
      <c r="AI19" s="4" t="str">
        <f ca="1">IFERROR(__xludf.DUMMYFUNCTION("""COMPUTED_VALUE"""),"| 1 L CPT % | 2 L NS % | 3 P CPT % | 5 P Python % ")</f>
        <v xml:space="preserve">| 1 L CPT % | 2 L NS % | 3 P CPT % | 5 P Python % </v>
      </c>
      <c r="AJ19" s="4" t="str">
        <f ca="1">IFERROR(__xludf.DUMMYFUNCTION("""COMPUTED_VALUE"""),"| 1 L PHP-CGM % | 2 L JAVA % | 3 P NS % | 5 P JAVA @ ")</f>
        <v xml:space="preserve">| 1 L PHP-CGM % | 2 L JAVA % | 3 P NS % | 5 P JAVA @ </v>
      </c>
      <c r="AK19" s="4" t="str">
        <f ca="1">IFERROR(__xludf.DUMMYFUNCTION("""COMPUTED_VALUE"""),"| 1 P Python % | 3 L JAVA % | 4 L CPT % | 5 P JAVA % ")</f>
        <v xml:space="preserve">| 1 P Python % | 3 L JAVA % | 4 L CPT % | 5 P JAVA % </v>
      </c>
      <c r="AL19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19" s="4" t="str">
        <f ca="1">IFERROR(__xludf.DUMMYFUNCTION("""COMPUTED_VALUE"""),"| 1 L INE @ | 4 L NS % | 3 L PHP-CGM % | 5 L PRO % ")</f>
        <v xml:space="preserve">| 1 L INE @ | 4 L NS % | 3 L PHP-CGM % | 5 L PRO % </v>
      </c>
      <c r="AN19" s="4" t="str">
        <f ca="1">IFERROR(__xludf.DUMMYFUNCTION("""COMPUTED_VALUE"""),"| 1 L CPT % | 2 L NS % | 3 P CPT % | 5 P Python @ ")</f>
        <v xml:space="preserve">| 1 L CPT % | 2 L NS % | 3 P CPT % | 5 P Python @ </v>
      </c>
      <c r="AO19" s="4" t="str">
        <f ca="1">IFERROR(__xludf.DUMMYFUNCTION("""COMPUTED_VALUE"""),"| 1 L PHP-CGM % | 2 L JAVA % | 3 P NS % | 5 P JAVA % ")</f>
        <v xml:space="preserve">| 1 L PHP-CGM % | 2 L JAVA % | 3 P NS % | 5 P JAVA % </v>
      </c>
      <c r="AP19" s="4" t="str">
        <f ca="1">IFERROR(__xludf.DUMMYFUNCTION("""COMPUTED_VALUE"""),"| 1 P Python % | 3 L JAVA % | 4 L CPT % | 5 P JAVA % ")</f>
        <v xml:space="preserve">| 1 P Python % | 3 L JAVA % | 4 L CPT % | 5 P JAVA % </v>
      </c>
      <c r="AQ19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19" s="4" t="str">
        <f ca="1">IFERROR(__xludf.DUMMYFUNCTION("""COMPUTED_VALUE"""),"| 1 L INE % | 3 L PHP-CGM % | 4 L NS % | 5 L PRO @ ")</f>
        <v xml:space="preserve">| 1 L INE % | 3 L PHP-CGM % | 4 L NS % | 5 L PRO @ </v>
      </c>
      <c r="AS19" s="4" t="str">
        <f ca="1">IFERROR(__xludf.DUMMYFUNCTION("""COMPUTED_VALUE"""),"| 1 L PHP-CGM % | 2 L JAVA % | 3 P NS % | 5 P JAVA % ")</f>
        <v xml:space="preserve">| 1 L PHP-CGM % | 2 L JAVA % | 3 P NS % | 5 P JAVA % </v>
      </c>
      <c r="AT19" s="4" t="str">
        <f ca="1">IFERROR(__xludf.DUMMYFUNCTION("""COMPUTED_VALUE"""),"| 1 P Python % | 3 L JAVA % | 4 L CPT % | 5 P JAVA % ")</f>
        <v xml:space="preserve">| 1 P Python % | 3 L JAVA % | 4 L CPT % | 5 P JAVA % </v>
      </c>
      <c r="AU19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V19" s="4" t="str">
        <f ca="1">IFERROR(__xludf.DUMMYFUNCTION("""COMPUTED_VALUE"""),"| 1 L INE % | 3 L PHP-CGM % | 4 L NS % | 7 L PRO % ")</f>
        <v xml:space="preserve">| 1 L INE % | 3 L PHP-CGM % | 4 L NS % | 7 L PRO % </v>
      </c>
      <c r="AW19" s="4" t="str">
        <f ca="1">IFERROR(__xludf.DUMMYFUNCTION("""COMPUTED_VALUE"""),"| 1 L CPT % | 2 L NS % | 3 P CPT % | 5 P Python % ")</f>
        <v xml:space="preserve">| 1 L CPT % | 2 L NS % | 3 P CPT % | 5 P Python % </v>
      </c>
      <c r="AX19" s="4" t="str">
        <f ca="1">IFERROR(__xludf.DUMMYFUNCTION("""COMPUTED_VALUE"""),"| 1 L PHP-CGM @ | 2 L JAVA @ | 3 P NS @ | 5 P JAVA @ ")</f>
        <v xml:space="preserve">| 1 L PHP-CGM @ | 2 L JAVA @ | 3 P NS @ | 5 P JAVA @ </v>
      </c>
      <c r="AY19" s="4" t="str">
        <f ca="1">IFERROR(__xludf.DUMMYFUNCTION("""COMPUTED_VALUE"""),"| 1 P Python % | 3 L JAVA @ | 4 L CPT @ | 5 P JAVA @ ")</f>
        <v xml:space="preserve">| 1 P Python % | 3 L JAVA @ | 4 L CPT @ | 5 P JAVA @ </v>
      </c>
      <c r="AZ19" s="4" t="str">
        <f ca="1">IFERROR(__xludf.DUMMYFUNCTION("""COMPUTED_VALUE"""),"| 1 L INE @ | 3 L PHP-CGM % | 4 L NS % | 5 L PRO @ ")</f>
        <v xml:space="preserve">| 1 L INE @ | 3 L PHP-CGM % | 4 L NS % | 5 L PRO @ </v>
      </c>
      <c r="BA19" s="4" t="str">
        <f ca="1">IFERROR(__xludf.DUMMYFUNCTION("""COMPUTED_VALUE"""),"| 1 L CPT % | 2 L NS % | 3 P CPT % | 5 P Python % ")</f>
        <v xml:space="preserve">| 1 L CPT % | 2 L NS % | 3 P CPT % | 5 P Python % </v>
      </c>
      <c r="BB19" s="4" t="str">
        <f ca="1">IFERROR(__xludf.DUMMYFUNCTION("""COMPUTED_VALUE"""),"| 1 L PHP-CGM % | 2 L JAVA % | 3 P NS % | 5 P JAVA @ ")</f>
        <v xml:space="preserve">| 1 L PHP-CGM % | 2 L JAVA % | 3 P NS % | 5 P JAVA @ </v>
      </c>
      <c r="BC19" s="4" t="str">
        <f ca="1">IFERROR(__xludf.DUMMYFUNCTION("""COMPUTED_VALUE"""),"| 1 P Python % | 3 L JAVA % | 4 L CPT % | 5 P JAVA % ")</f>
        <v xml:space="preserve">| 1 P Python % | 3 L JAVA % | 4 L CPT % | 5 P JAVA % </v>
      </c>
      <c r="BD19" s="4" t="str">
        <f ca="1">IFERROR(__xludf.DUMMYFUNCTION("""COMPUTED_VALUE"""),"| 1 P PHP-CGM % | 3 L NS @ | 6 L CPT % | 5 L PHP-CGM % | 4 L JAVA @ ")</f>
        <v xml:space="preserve">| 1 P PHP-CGM % | 3 L NS @ | 6 L CPT % | 5 L PHP-CGM % | 4 L JAVA @ </v>
      </c>
      <c r="BE19" s="4" t="str">
        <f ca="1">IFERROR(__xludf.DUMMYFUNCTION("""COMPUTED_VALUE"""),"| 1 L INE @ | 3 L PHP-CGM % | 4 L NS % | 5 L PRO @ ")</f>
        <v xml:space="preserve">| 1 L INE @ | 3 L PHP-CGM % | 4 L NS % | 5 L PRO @ </v>
      </c>
      <c r="BF19" s="4" t="str">
        <f ca="1">IFERROR(__xludf.DUMMYFUNCTION("""COMPUTED_VALUE"""),"| 1 L CPT % | 2 L NS % | 3 P CPT @ | 5 P JAVA @ ")</f>
        <v xml:space="preserve">| 1 L CPT % | 2 L NS % | 3 P CPT @ | 5 P JAVA @ </v>
      </c>
      <c r="BG19" s="4" t="str">
        <f ca="1">IFERROR(__xludf.DUMMYFUNCTION("""COMPUTED_VALUE"""),"| 1 P Python % | 4 L CPT @ | 5 P JAVA @ ")</f>
        <v xml:space="preserve">| 1 P Python % | 4 L CPT @ | 5 P JAVA @ </v>
      </c>
      <c r="BH19" s="4" t="str">
        <f ca="1">IFERROR(__xludf.DUMMYFUNCTION("""COMPUTED_VALUE"""),"| 1 P PHP-CGM % | 3 L NS % | 4 L JAVA @ | 5 L PHP-CGM % | 6 L CPT @ ")</f>
        <v xml:space="preserve">| 1 P PHP-CGM % | 3 L NS % | 4 L JAVA @ | 5 L PHP-CGM % | 6 L CPT @ </v>
      </c>
      <c r="BI19" s="4" t="str">
        <f ca="1">IFERROR(__xludf.DUMMYFUNCTION("""COMPUTED_VALUE"""),"| 1 L INE @ | 3 L PHP-CGM @ | 4 L NS % | 5 L PRO @ ")</f>
        <v xml:space="preserve">| 1 L INE @ | 3 L PHP-CGM @ | 4 L NS % | 5 L PRO @ </v>
      </c>
      <c r="BJ19" s="4" t="str">
        <f ca="1">IFERROR(__xludf.DUMMYFUNCTION("""COMPUTED_VALUE"""),"| 1 L CPT % | 2 L NS % | 3 P CPT @ | 5 P Python % ")</f>
        <v xml:space="preserve">| 1 L CPT % | 2 L NS % | 3 P CPT @ | 5 P Python % </v>
      </c>
      <c r="BK19" s="4" t="str">
        <f ca="1">IFERROR(__xludf.DUMMYFUNCTION("""COMPUTED_VALUE"""),"| 1 L PHP-CGM @ | 2 L JAVA @ | 3 P NS @ | 5 P JAVA @ ")</f>
        <v xml:space="preserve">| 1 L PHP-CGM @ | 2 L JAVA @ | 3 P NS @ | 5 P JAVA @ </v>
      </c>
      <c r="BL19" s="4" t="str">
        <f ca="1">IFERROR(__xludf.DUMMYFUNCTION("""COMPUTED_VALUE"""),"| 1 P Python @ | 3 L JAVA @ | 4 L CPT @ | 5 P JAVA @ ")</f>
        <v xml:space="preserve">| 1 P Python @ | 3 L JAVA @ | 4 L CPT @ | 5 P JAVA @ </v>
      </c>
      <c r="BM19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N19" s="4" t="str">
        <f ca="1">IFERROR(__xludf.DUMMYFUNCTION("""COMPUTED_VALUE"""),"| 1 L INE @ | 3 L PHP-CGM @ | 4 L NS @ | 5 L PRO @ ")</f>
        <v xml:space="preserve">| 1 L INE @ | 3 L PHP-CGM @ | 4 L NS @ | 5 L PRO @ </v>
      </c>
      <c r="BO19" s="4" t="str">
        <f ca="1">IFERROR(__xludf.DUMMYFUNCTION("""COMPUTED_VALUE"""),"| 1 L CPT @ | 2 L NS @ | 3 P CPT @ ")</f>
        <v xml:space="preserve">| 1 L CPT @ | 2 L NS @ | 3 P CPT @ </v>
      </c>
      <c r="BP19" s="4" t="str">
        <f ca="1">IFERROR(__xludf.DUMMYFUNCTION("""COMPUTED_VALUE"""),"| 1 L PHP-CGM @ | 2 L JAVA % | 3 P NS @ | 5 P JAVA @ ")</f>
        <v xml:space="preserve">| 1 L PHP-CGM @ | 2 L JAVA % | 3 P NS @ | 5 P JAVA @ </v>
      </c>
      <c r="BQ19" s="4" t="str">
        <f ca="1">IFERROR(__xludf.DUMMYFUNCTION("""COMPUTED_VALUE"""),"| 5 L PHP-CGM % | 6 L CPT @ ")</f>
        <v xml:space="preserve">| 5 L PHP-CGM % | 6 L CPT @ </v>
      </c>
      <c r="BR19" s="4"/>
      <c r="BS19" s="4"/>
      <c r="BT19" s="4" t="str">
        <f ca="1">IFERROR(__xludf.DUMMYFUNCTION("""COMPUTED_VALUE"""),"| 1 L PHP-CGM @ | 2 L JAVA @ | 3 P NS @ ")</f>
        <v xml:space="preserve">| 1 L PHP-CGM @ | 2 L JAVA @ | 3 P NS @ </v>
      </c>
      <c r="BU19" s="4" t="str">
        <f ca="1">IFERROR(__xludf.DUMMYFUNCTION("""COMPUTED_VALUE"""),"| 1 P Python @ | 4 L CPT @ | 3 L JAVA @ ")</f>
        <v xml:space="preserve">| 1 P Python @ | 4 L CPT @ | 3 L JAVA @ </v>
      </c>
      <c r="BV19" s="4" t="str">
        <f ca="1">IFERROR(__xludf.DUMMYFUNCTION("""COMPUTED_VALUE"""),"| 1 L PHP-CGM % | 2 L JAVA % | 3 P NS % | 5 P JAVA @ ")</f>
        <v xml:space="preserve">| 1 L PHP-CGM % | 2 L JAVA % | 3 P NS % | 5 P JAVA @ </v>
      </c>
      <c r="BW19" s="4" t="str">
        <f ca="1">IFERROR(__xludf.DUMMYFUNCTION("""COMPUTED_VALUE"""),"| 1 P Python @ | 3 L JAVA @ | 4 L CPT @ ")</f>
        <v xml:space="preserve">| 1 P Python @ | 3 L JAVA @ | 4 L CPT @ </v>
      </c>
      <c r="BX19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Y19" s="4" t="str">
        <f ca="1">IFERROR(__xludf.DUMMYFUNCTION("""COMPUTED_VALUE"""),"| 1 L INE @ | 3 L PHP-CGM % | 4 L NS % | 5 L PRO @ ")</f>
        <v xml:space="preserve">| 1 L INE @ | 3 L PHP-CGM % | 4 L NS % | 5 L PRO @ </v>
      </c>
      <c r="BZ19" s="4" t="str">
        <f ca="1">IFERROR(__xludf.DUMMYFUNCTION("""COMPUTED_VALUE"""),"| 1 L CPT % | 2 L NS % | 3 P CPT % | 5 P Python @ ")</f>
        <v xml:space="preserve">| 1 L CPT % | 2 L NS % | 3 P CPT % | 5 P Python @ </v>
      </c>
      <c r="CA19" s="4" t="str">
        <f ca="1">IFERROR(__xludf.DUMMYFUNCTION("""COMPUTED_VALUE"""),"| 1 L PHP-CGM @ | 2 L JAVA @ | 3 P NS @ | 5 P JAVA @ ")</f>
        <v xml:space="preserve">| 1 L PHP-CGM @ | 2 L JAVA @ | 3 P NS @ | 5 P JAVA @ </v>
      </c>
      <c r="CB19" s="4" t="str">
        <f ca="1">IFERROR(__xludf.DUMMYFUNCTION("""COMPUTED_VALUE"""),"| 1 P Python % | 3 L JAVA % | 4 L CPT % | 5 P JAVA % ")</f>
        <v xml:space="preserve">| 1 P Python % | 3 L JAVA % | 4 L CPT % | 5 P JAVA % </v>
      </c>
      <c r="CC19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19" s="4" t="str">
        <f ca="1">IFERROR(__xludf.DUMMYFUNCTION("""COMPUTED_VALUE"""),"| 1 L INE % | 3 L PHP-CGM @ | 4 L NS @ | 5 L PRO % ")</f>
        <v xml:space="preserve">| 1 L INE % | 3 L PHP-CGM @ | 4 L NS @ | 5 L PRO % </v>
      </c>
      <c r="CE19" s="4" t="str">
        <f ca="1">IFERROR(__xludf.DUMMYFUNCTION("""COMPUTED_VALUE"""),"| 1 L CPT @ | 2 L NS @ | 3 P CPT @ | 5 P Python @ ")</f>
        <v xml:space="preserve">| 1 L CPT @ | 2 L NS @ | 3 P CPT @ | 5 P Python @ </v>
      </c>
      <c r="CF19" s="4" t="str">
        <f ca="1">IFERROR(__xludf.DUMMYFUNCTION("""COMPUTED_VALUE"""),"| 1 L PHP-CGM @ | 2 L JAVA @ | 3 P NS % ")</f>
        <v xml:space="preserve">| 1 L PHP-CGM @ | 2 L JAVA @ | 3 P NS % </v>
      </c>
      <c r="CG19" s="4" t="str">
        <f ca="1">IFERROR(__xludf.DUMMYFUNCTION("""COMPUTED_VALUE"""),"| 1 P Python % | 4 L CPT @ | 5 P JAVA % ")</f>
        <v xml:space="preserve">| 1 P Python % | 4 L CPT @ | 5 P JAVA % </v>
      </c>
      <c r="CH19" s="4" t="str">
        <f ca="1">IFERROR(__xludf.DUMMYFUNCTION("""COMPUTED_VALUE"""),"| 3 L NS @ | 6 L CPT @ ")</f>
        <v xml:space="preserve">| 3 L NS @ | 6 L CPT @ </v>
      </c>
      <c r="CI19" s="4" t="str">
        <f ca="1">IFERROR(__xludf.DUMMYFUNCTION("""COMPUTED_VALUE"""),"| 1 L INE @ ")</f>
        <v xml:space="preserve">| 1 L INE @ </v>
      </c>
      <c r="CJ19" s="4" t="str">
        <f ca="1">IFERROR(__xludf.DUMMYFUNCTION("""COMPUTED_VALUE"""),"| 3 P CPT % ")</f>
        <v xml:space="preserve">| 3 P CPT % </v>
      </c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</row>
    <row r="20" spans="1:102" ht="12.5" x14ac:dyDescent="0.25">
      <c r="A20" s="3">
        <f ca="1">IFERROR(__xludf.DUMMYFUNCTION("""COMPUTED_VALUE"""),1)</f>
        <v>1</v>
      </c>
      <c r="B20" s="3" t="str">
        <f ca="1">IFERROR(__xludf.DUMMYFUNCTION("""COMPUTED_VALUE"""),"A")</f>
        <v>A</v>
      </c>
      <c r="C20" s="32" t="str">
        <f ca="1">IFERROR(__xludf.DUMMYFUNCTION("""COMPUTED_VALUE"""),"23291341060")</f>
        <v>23291341060</v>
      </c>
      <c r="D20" s="21" t="str">
        <f ca="1">IFERROR(__xludf.DUMMYFUNCTION("""COMPUTED_VALUE"""),"MEVADA PURV NIRAVBHAI")</f>
        <v>MEVADA PURV NIRAVBHAI</v>
      </c>
      <c r="E20" s="3" t="str">
        <f ca="1">IFERROR(__xludf.DUMMYFUNCTION("""COMPUTED_VALUE"""),"RRP-Mor")</f>
        <v>RRP-Mor</v>
      </c>
      <c r="F20" s="3">
        <f ca="1">IFERROR(__xludf.DUMMYFUNCTION("""COMPUTED_VALUE"""),9898981230)</f>
        <v>9898981230</v>
      </c>
      <c r="G20" s="3">
        <f ca="1">IFERROR(__xludf.DUMMYFUNCTION("""COMPUTED_VALUE"""),9426344253)</f>
        <v>9426344253</v>
      </c>
      <c r="H20" s="33">
        <f ca="1">IFERROR(__xludf.DUMMYFUNCTION("""COMPUTED_VALUE"""),0.570247933884297)</f>
        <v>0.57024793388429695</v>
      </c>
      <c r="I20" s="25">
        <f ca="1">IFERROR(__xludf.DUMMYFUNCTION("""COMPUTED_VALUE"""),0.444444444444444)</f>
        <v>0.44444444444444398</v>
      </c>
      <c r="J20" s="25">
        <f ca="1">IFERROR(__xludf.DUMMYFUNCTION("""COMPUTED_VALUE"""),0.5)</f>
        <v>0.5</v>
      </c>
      <c r="K20" s="25">
        <f ca="1">IFERROR(__xludf.DUMMYFUNCTION("""COMPUTED_VALUE"""),0.617647058823529)</f>
        <v>0.61764705882352899</v>
      </c>
      <c r="L20" s="25">
        <f ca="1">IFERROR(__xludf.DUMMYFUNCTION("""COMPUTED_VALUE"""),0.615384615384615)</f>
        <v>0.61538461538461497</v>
      </c>
      <c r="M20" s="25">
        <f ca="1">IFERROR(__xludf.DUMMYFUNCTION("""COMPUTED_VALUE"""),0.611111111111111)</f>
        <v>0.61111111111111105</v>
      </c>
      <c r="N20" s="25">
        <f ca="1">IFERROR(__xludf.DUMMYFUNCTION("""COMPUTED_VALUE"""),0.6)</f>
        <v>0.6</v>
      </c>
      <c r="O20" s="25">
        <f ca="1">IFERROR(__xludf.DUMMYFUNCTION("""COMPUTED_VALUE"""),0.666666666666666)</f>
        <v>0.66666666666666596</v>
      </c>
      <c r="P20" s="25">
        <f ca="1">IFERROR(__xludf.DUMMYFUNCTION("""COMPUTED_VALUE"""),0.478260869565217)</f>
        <v>0.47826086956521702</v>
      </c>
      <c r="Q20" s="25">
        <f ca="1">IFERROR(__xludf.DUMMYFUNCTION("""COMPUTED_VALUE"""),0)</f>
        <v>0</v>
      </c>
      <c r="R20" s="25">
        <f ca="1">IFERROR(__xludf.DUMMYFUNCTION("""COMPUTED_VALUE"""),0.59090909090909)</f>
        <v>0.59090909090909005</v>
      </c>
      <c r="S20" s="25">
        <f ca="1">IFERROR(__xludf.DUMMYFUNCTION("""COMPUTED_VALUE"""),0.8)</f>
        <v>0.8</v>
      </c>
      <c r="T20" s="25">
        <f ca="1">IFERROR(__xludf.DUMMYFUNCTION("""COMPUTED_VALUE"""),0)</f>
        <v>0</v>
      </c>
      <c r="U20" s="25">
        <f ca="1">IFERROR(__xludf.DUMMYFUNCTION("""COMPUTED_VALUE"""),0.454545454545454)</f>
        <v>0.45454545454545398</v>
      </c>
      <c r="V20" s="25">
        <f ca="1">IFERROR(__xludf.DUMMYFUNCTION("""COMPUTED_VALUE"""),0)</f>
        <v>0</v>
      </c>
      <c r="W20" s="4"/>
      <c r="X20" s="4" t="str">
        <f ca="1">IFERROR(__xludf.DUMMYFUNCTION("""COMPUTED_VALUE"""),"| 1 L PHP-CGM @ | 3 P NS @ | 5 P JAVA @ ")</f>
        <v xml:space="preserve">| 1 L PHP-CGM @ | 3 P NS @ | 5 P JAVA @ </v>
      </c>
      <c r="Y20" s="4" t="str">
        <f ca="1">IFERROR(__xludf.DUMMYFUNCTION("""COMPUTED_VALUE"""),"| 1 P Python @ | 3 L JAVA @ | 4 L CPT @ | 5 P JAVA @ ")</f>
        <v xml:space="preserve">| 1 P Python @ | 3 L JAVA @ | 4 L CPT @ | 5 P JAVA @ </v>
      </c>
      <c r="Z20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A20" s="4" t="str">
        <f ca="1">IFERROR(__xludf.DUMMYFUNCTION("""COMPUTED_VALUE"""),"| 3 L PHP-CGM @ | 4 L NS @ | 1 L INE @ | 5 P PRO @ ")</f>
        <v xml:space="preserve">| 3 L PHP-CGM @ | 4 L NS @ | 1 L INE @ | 5 P PRO @ </v>
      </c>
      <c r="AB20" s="4" t="str">
        <f ca="1">IFERROR(__xludf.DUMMYFUNCTION("""COMPUTED_VALUE"""),"| 1 L CPT @ | 2 L NS @ | 3 P CPT @ | 5 P Python @ ")</f>
        <v xml:space="preserve">| 1 L CPT @ | 2 L NS @ | 3 P CPT @ | 5 P Python @ </v>
      </c>
      <c r="AC20" s="4" t="str">
        <f ca="1">IFERROR(__xludf.DUMMYFUNCTION("""COMPUTED_VALUE"""),"| 1 L PHP-CGM @ | 2 L JAVA @ | 3 P NS @ | 5 P JAVA @ ")</f>
        <v xml:space="preserve">| 1 L PHP-CGM @ | 2 L JAVA @ | 3 P NS @ | 5 P JAVA @ </v>
      </c>
      <c r="AD20" s="4" t="str">
        <f ca="1">IFERROR(__xludf.DUMMYFUNCTION("""COMPUTED_VALUE"""),"| 1 P Python % | 3 L JAVA % | 4 L CPT % | 5 P JAVA @ ")</f>
        <v xml:space="preserve">| 1 P Python % | 3 L JAVA % | 4 L CPT % | 5 P JAVA @ </v>
      </c>
      <c r="AE20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20" s="4" t="str">
        <f ca="1">IFERROR(__xludf.DUMMYFUNCTION("""COMPUTED_VALUE"""),"| 3 L PHP-CGM % | 4 L NS % | 5 P PRO @ ")</f>
        <v xml:space="preserve">| 3 L PHP-CGM % | 4 L NS % | 5 P PRO @ </v>
      </c>
      <c r="AG20" s="4" t="str">
        <f ca="1">IFERROR(__xludf.DUMMYFUNCTION("""COMPUTED_VALUE"""),"| 1 L CPT @ | 2 L NS @ | 3 P CPT @ | 5 P Python @ ")</f>
        <v xml:space="preserve">| 1 L CPT @ | 2 L NS @ | 3 P CPT @ | 5 P Python @ </v>
      </c>
      <c r="AH20" s="4" t="str">
        <f ca="1">IFERROR(__xludf.DUMMYFUNCTION("""COMPUTED_VALUE"""),"| 3 L PHP-CGM % | 4 L NS % | 5 L PRO @ ")</f>
        <v xml:space="preserve">| 3 L PHP-CGM % | 4 L NS % | 5 L PRO @ </v>
      </c>
      <c r="AI20" s="4" t="str">
        <f ca="1">IFERROR(__xludf.DUMMYFUNCTION("""COMPUTED_VALUE"""),"| 1 L CPT @ | 2 L NS @ | 3 P CPT @ | 5 P Python @ ")</f>
        <v xml:space="preserve">| 1 L CPT @ | 2 L NS @ | 3 P CPT @ | 5 P Python @ </v>
      </c>
      <c r="AJ20" s="4" t="str">
        <f ca="1">IFERROR(__xludf.DUMMYFUNCTION("""COMPUTED_VALUE"""),"| 1 L PHP-CGM % | 2 L JAVA % | 3 P NS % | 5 P JAVA % ")</f>
        <v xml:space="preserve">| 1 L PHP-CGM % | 2 L JAVA % | 3 P NS % | 5 P JAVA % </v>
      </c>
      <c r="AK20" s="4" t="str">
        <f ca="1">IFERROR(__xludf.DUMMYFUNCTION("""COMPUTED_VALUE"""),"| 1 P Python % | 3 L JAVA % | 4 L CPT % | 5 P JAVA @ ")</f>
        <v xml:space="preserve">| 1 P Python % | 3 L JAVA % | 4 L CPT % | 5 P JAVA @ </v>
      </c>
      <c r="AL20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M20" s="4" t="str">
        <f ca="1">IFERROR(__xludf.DUMMYFUNCTION("""COMPUTED_VALUE"""),"| 1 L INE @ | 4 L NS % | 3 L PHP-CGM % | 5 L PRO % ")</f>
        <v xml:space="preserve">| 1 L INE @ | 4 L NS % | 3 L PHP-CGM % | 5 L PRO % </v>
      </c>
      <c r="AN20" s="4" t="str">
        <f ca="1">IFERROR(__xludf.DUMMYFUNCTION("""COMPUTED_VALUE"""),"| 1 L CPT @ | 2 L NS @ | 3 P CPT @ | 5 P Python @ ")</f>
        <v xml:space="preserve">| 1 L CPT @ | 2 L NS @ | 3 P CPT @ | 5 P Python @ </v>
      </c>
      <c r="AO20" s="4" t="str">
        <f ca="1">IFERROR(__xludf.DUMMYFUNCTION("""COMPUTED_VALUE"""),"| 1 L PHP-CGM % | 2 L JAVA % | 3 P NS % | 5 P JAVA % ")</f>
        <v xml:space="preserve">| 1 L PHP-CGM % | 2 L JAVA % | 3 P NS % | 5 P JAVA % </v>
      </c>
      <c r="AP20" s="4" t="str">
        <f ca="1">IFERROR(__xludf.DUMMYFUNCTION("""COMPUTED_VALUE"""),"| 1 P Python % | 3 L JAVA % | 4 L CPT % | 5 P JAVA % ")</f>
        <v xml:space="preserve">| 1 P Python % | 3 L JAVA % | 4 L CPT % | 5 P JAVA % </v>
      </c>
      <c r="AQ20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R20" s="4" t="str">
        <f ca="1">IFERROR(__xludf.DUMMYFUNCTION("""COMPUTED_VALUE"""),"| 1 L INE % | 3 L PHP-CGM % | 4 L NS % | 5 L PRO % ")</f>
        <v xml:space="preserve">| 1 L INE % | 3 L PHP-CGM % | 4 L NS % | 5 L PRO % </v>
      </c>
      <c r="AS20" s="4" t="str">
        <f ca="1">IFERROR(__xludf.DUMMYFUNCTION("""COMPUTED_VALUE"""),"| 1 L PHP-CGM @ | 2 L JAVA @ | 3 P NS @ | 5 P JAVA @ ")</f>
        <v xml:space="preserve">| 1 L PHP-CGM @ | 2 L JAVA @ | 3 P NS @ | 5 P JAVA @ </v>
      </c>
      <c r="AT20" s="4" t="str">
        <f ca="1">IFERROR(__xludf.DUMMYFUNCTION("""COMPUTED_VALUE"""),"| 1 P Python % | 3 L JAVA % | 4 L CPT % | 5 P JAVA % ")</f>
        <v xml:space="preserve">| 1 P Python % | 3 L JAVA % | 4 L CPT % | 5 P JAVA % </v>
      </c>
      <c r="AU20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V20" s="4" t="str">
        <f ca="1">IFERROR(__xludf.DUMMYFUNCTION("""COMPUTED_VALUE"""),"| 1 L INE % | 3 L PHP-CGM % | 4 L NS % | 7 L PRO % ")</f>
        <v xml:space="preserve">| 1 L INE % | 3 L PHP-CGM % | 4 L NS % | 7 L PRO % </v>
      </c>
      <c r="AW20" s="4" t="str">
        <f ca="1">IFERROR(__xludf.DUMMYFUNCTION("""COMPUTED_VALUE"""),"| 1 L CPT % | 2 L NS % | 3 P CPT % | 5 P Python @ ")</f>
        <v xml:space="preserve">| 1 L CPT % | 2 L NS % | 3 P CPT % | 5 P Python @ </v>
      </c>
      <c r="AX20" s="4" t="str">
        <f ca="1">IFERROR(__xludf.DUMMYFUNCTION("""COMPUTED_VALUE"""),"| 1 L PHP-CGM @ | 2 L JAVA @ | 3 P NS @ | 5 P JAVA @ ")</f>
        <v xml:space="preserve">| 1 L PHP-CGM @ | 2 L JAVA @ | 3 P NS @ | 5 P JAVA @ </v>
      </c>
      <c r="AY20" s="4" t="str">
        <f ca="1">IFERROR(__xludf.DUMMYFUNCTION("""COMPUTED_VALUE"""),"| 1 P Python % | 3 L JAVA % | 4 L CPT % | 5 P JAVA % ")</f>
        <v xml:space="preserve">| 1 P Python % | 3 L JAVA % | 4 L CPT % | 5 P JAVA % </v>
      </c>
      <c r="AZ20" s="4" t="str">
        <f ca="1">IFERROR(__xludf.DUMMYFUNCTION("""COMPUTED_VALUE"""),"| 1 L INE % | 3 L PHP-CGM % | 4 L NS % | 5 L PRO % ")</f>
        <v xml:space="preserve">| 1 L INE % | 3 L PHP-CGM % | 4 L NS % | 5 L PRO % </v>
      </c>
      <c r="BA20" s="4" t="str">
        <f ca="1">IFERROR(__xludf.DUMMYFUNCTION("""COMPUTED_VALUE"""),"| 1 L CPT % | 2 L NS % | 3 P CPT % | 5 P Python % ")</f>
        <v xml:space="preserve">| 1 L CPT % | 2 L NS % | 3 P CPT % | 5 P Python % </v>
      </c>
      <c r="BB20" s="4" t="str">
        <f ca="1">IFERROR(__xludf.DUMMYFUNCTION("""COMPUTED_VALUE"""),"| 1 L PHP-CGM % | 2 L JAVA % | 3 P NS % | 5 P JAVA % ")</f>
        <v xml:space="preserve">| 1 L PHP-CGM % | 2 L JAVA % | 3 P NS % | 5 P JAVA % </v>
      </c>
      <c r="BC20" s="4" t="str">
        <f ca="1">IFERROR(__xludf.DUMMYFUNCTION("""COMPUTED_VALUE"""),"| 1 P Python % | 3 L JAVA @ | 4 L CPT @ | 5 P JAVA % ")</f>
        <v xml:space="preserve">| 1 P Python % | 3 L JAVA @ | 4 L CPT @ | 5 P JAVA % </v>
      </c>
      <c r="BD20" s="4" t="str">
        <f ca="1">IFERROR(__xludf.DUMMYFUNCTION("""COMPUTED_VALUE"""),"| 1 P PHP-CGM @ | 3 L NS @ | 6 L CPT @ | 5 L PHP-CGM @ | 4 L JAVA @ ")</f>
        <v xml:space="preserve">| 1 P PHP-CGM @ | 3 L NS @ | 6 L CPT @ | 5 L PHP-CGM @ | 4 L JAVA @ </v>
      </c>
      <c r="BE20" s="4" t="str">
        <f ca="1">IFERROR(__xludf.DUMMYFUNCTION("""COMPUTED_VALUE"""),"| 1 L INE @ | 3 L PHP-CGM @ | 4 L NS @ | 5 L PRO @ ")</f>
        <v xml:space="preserve">| 1 L INE @ | 3 L PHP-CGM @ | 4 L NS @ | 5 L PRO @ </v>
      </c>
      <c r="BF20" s="4" t="str">
        <f ca="1">IFERROR(__xludf.DUMMYFUNCTION("""COMPUTED_VALUE"""),"| 1 L CPT @ | 2 L NS @ | 3 P CPT @ | 5 P JAVA @ ")</f>
        <v xml:space="preserve">| 1 L CPT @ | 2 L NS @ | 3 P CPT @ | 5 P JAVA @ </v>
      </c>
      <c r="BG20" s="4" t="str">
        <f ca="1">IFERROR(__xludf.DUMMYFUNCTION("""COMPUTED_VALUE"""),"| 1 P Python @ | 4 L CPT @ | 5 P JAVA @ ")</f>
        <v xml:space="preserve">| 1 P Python @ | 4 L CPT @ | 5 P JAVA @ </v>
      </c>
      <c r="BH20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20" s="4" t="str">
        <f ca="1">IFERROR(__xludf.DUMMYFUNCTION("""COMPUTED_VALUE"""),"| 1 L INE @ | 3 L PHP-CGM % | 4 L NS % | 5 L PRO % ")</f>
        <v xml:space="preserve">| 1 L INE @ | 3 L PHP-CGM % | 4 L NS % | 5 L PRO % </v>
      </c>
      <c r="BJ20" s="4" t="str">
        <f ca="1">IFERROR(__xludf.DUMMYFUNCTION("""COMPUTED_VALUE"""),"| 1 L CPT @ | 2 L NS @ | 3 P CPT @ | 5 P Python @ ")</f>
        <v xml:space="preserve">| 1 L CPT @ | 2 L NS @ | 3 P CPT @ | 5 P Python @ </v>
      </c>
      <c r="BK20" s="4" t="str">
        <f ca="1">IFERROR(__xludf.DUMMYFUNCTION("""COMPUTED_VALUE"""),"| 1 L PHP-CGM % | 2 L JAVA % | 3 P NS % | 5 P JAVA @ ")</f>
        <v xml:space="preserve">| 1 L PHP-CGM % | 2 L JAVA % | 3 P NS % | 5 P JAVA @ </v>
      </c>
      <c r="BL20" s="4" t="str">
        <f ca="1">IFERROR(__xludf.DUMMYFUNCTION("""COMPUTED_VALUE"""),"| 1 P Python @ | 3 L JAVA @ | 4 L CPT @ | 5 P JAVA @ ")</f>
        <v xml:space="preserve">| 1 P Python @ | 3 L JAVA @ | 4 L CPT @ | 5 P JAVA @ </v>
      </c>
      <c r="BM20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20" s="4" t="str">
        <f ca="1">IFERROR(__xludf.DUMMYFUNCTION("""COMPUTED_VALUE"""),"| 1 L INE @ | 3 L PHP-CGM % | 4 L NS % | 5 L PRO % ")</f>
        <v xml:space="preserve">| 1 L INE @ | 3 L PHP-CGM % | 4 L NS % | 5 L PRO % </v>
      </c>
      <c r="BO20" s="4" t="str">
        <f ca="1">IFERROR(__xludf.DUMMYFUNCTION("""COMPUTED_VALUE"""),"| 1 L CPT % | 2 L NS % | 3 P CPT % ")</f>
        <v xml:space="preserve">| 1 L CPT % | 2 L NS % | 3 P CPT % </v>
      </c>
      <c r="BP20" s="4" t="str">
        <f ca="1">IFERROR(__xludf.DUMMYFUNCTION("""COMPUTED_VALUE"""),"| 1 L PHP-CGM % | 2 L JAVA % | 3 P NS % | 5 P JAVA % ")</f>
        <v xml:space="preserve">| 1 L PHP-CGM % | 2 L JAVA % | 3 P NS % | 5 P JAVA % </v>
      </c>
      <c r="BQ20" s="4" t="str">
        <f ca="1">IFERROR(__xludf.DUMMYFUNCTION("""COMPUTED_VALUE"""),"| 5 L PHP-CGM % | 6 L CPT @ ")</f>
        <v xml:space="preserve">| 5 L PHP-CGM % | 6 L CPT @ </v>
      </c>
      <c r="BR20" s="4"/>
      <c r="BS20" s="4"/>
      <c r="BT20" s="4" t="str">
        <f ca="1">IFERROR(__xludf.DUMMYFUNCTION("""COMPUTED_VALUE"""),"| 1 L PHP-CGM % | 2 L JAVA % | 3 P NS % ")</f>
        <v xml:space="preserve">| 1 L PHP-CGM % | 2 L JAVA % | 3 P NS % </v>
      </c>
      <c r="BU20" s="4" t="str">
        <f ca="1">IFERROR(__xludf.DUMMYFUNCTION("""COMPUTED_VALUE"""),"| 1 P Python % | 4 L CPT % | 3 L JAVA % ")</f>
        <v xml:space="preserve">| 1 P Python % | 4 L CPT % | 3 L JAVA % </v>
      </c>
      <c r="BV20" s="4" t="str">
        <f ca="1">IFERROR(__xludf.DUMMYFUNCTION("""COMPUTED_VALUE"""),"| 1 L PHP-CGM @ | 2 L JAVA @ | 3 P NS @ | 5 P JAVA @ ")</f>
        <v xml:space="preserve">| 1 L PHP-CGM @ | 2 L JAVA @ | 3 P NS @ | 5 P JAVA @ </v>
      </c>
      <c r="BW20" s="4" t="str">
        <f ca="1">IFERROR(__xludf.DUMMYFUNCTION("""COMPUTED_VALUE"""),"| 1 P Python % | 3 L JAVA % | 4 L CPT % ")</f>
        <v xml:space="preserve">| 1 P Python % | 3 L JAVA % | 4 L CPT % </v>
      </c>
      <c r="BX20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Y20" s="4" t="str">
        <f ca="1">IFERROR(__xludf.DUMMYFUNCTION("""COMPUTED_VALUE"""),"| 1 L INE % | 3 L PHP-CGM % | 4 L NS % | 5 L PRO % ")</f>
        <v xml:space="preserve">| 1 L INE % | 3 L PHP-CGM % | 4 L NS % | 5 L PRO % </v>
      </c>
      <c r="BZ20" s="4" t="str">
        <f ca="1">IFERROR(__xludf.DUMMYFUNCTION("""COMPUTED_VALUE"""),"| 1 L CPT % | 2 L NS % | 3 P CPT % | 5 P Python % ")</f>
        <v xml:space="preserve">| 1 L CPT % | 2 L NS % | 3 P CPT % | 5 P Python % </v>
      </c>
      <c r="CA20" s="4" t="str">
        <f ca="1">IFERROR(__xludf.DUMMYFUNCTION("""COMPUTED_VALUE"""),"| 1 L PHP-CGM % | 2 L JAVA % | 3 P NS % | 5 P JAVA % ")</f>
        <v xml:space="preserve">| 1 L PHP-CGM % | 2 L JAVA % | 3 P NS % | 5 P JAVA % </v>
      </c>
      <c r="CB20" s="4" t="str">
        <f ca="1">IFERROR(__xludf.DUMMYFUNCTION("""COMPUTED_VALUE"""),"| 1 P Python % | 3 L JAVA % | 4 L CPT % | 5 P JAVA % ")</f>
        <v xml:space="preserve">| 1 P Python % | 3 L JAVA % | 4 L CPT % | 5 P JAVA % </v>
      </c>
      <c r="CC20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20" s="4" t="str">
        <f ca="1">IFERROR(__xludf.DUMMYFUNCTION("""COMPUTED_VALUE"""),"| 1 L INE % | 3 L PHP-CGM % | 4 L NS % | 5 L PRO % ")</f>
        <v xml:space="preserve">| 1 L INE % | 3 L PHP-CGM % | 4 L NS % | 5 L PRO % </v>
      </c>
      <c r="CE20" s="4" t="str">
        <f ca="1">IFERROR(__xludf.DUMMYFUNCTION("""COMPUTED_VALUE"""),"| 1 L CPT % | 2 L NS % | 3 P CPT % | 5 P Python % ")</f>
        <v xml:space="preserve">| 1 L CPT % | 2 L NS % | 3 P CPT % | 5 P Python % </v>
      </c>
      <c r="CF20" s="4" t="str">
        <f ca="1">IFERROR(__xludf.DUMMYFUNCTION("""COMPUTED_VALUE"""),"| 1 L PHP-CGM % | 2 L JAVA % | 3 P NS % ")</f>
        <v xml:space="preserve">| 1 L PHP-CGM % | 2 L JAVA % | 3 P NS % </v>
      </c>
      <c r="CG20" s="4" t="str">
        <f ca="1">IFERROR(__xludf.DUMMYFUNCTION("""COMPUTED_VALUE"""),"| 1 P Python % | 4 L CPT @ | 5 P JAVA % ")</f>
        <v xml:space="preserve">| 1 P Python % | 4 L CPT @ | 5 P JAVA % </v>
      </c>
      <c r="CH20" s="4" t="str">
        <f ca="1">IFERROR(__xludf.DUMMYFUNCTION("""COMPUTED_VALUE"""),"| 3 L NS @ | 6 L CPT @ ")</f>
        <v xml:space="preserve">| 3 L NS @ | 6 L CPT @ </v>
      </c>
      <c r="CI20" s="4" t="str">
        <f ca="1">IFERROR(__xludf.DUMMYFUNCTION("""COMPUTED_VALUE"""),"| 1 L INE @ ")</f>
        <v xml:space="preserve">| 1 L INE @ </v>
      </c>
      <c r="CJ20" s="4" t="str">
        <f ca="1">IFERROR(__xludf.DUMMYFUNCTION("""COMPUTED_VALUE"""),"| 3 P CPT % ")</f>
        <v xml:space="preserve">| 3 P CPT % </v>
      </c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</row>
    <row r="21" spans="1:102" ht="12.5" x14ac:dyDescent="0.25">
      <c r="A21" s="3">
        <f ca="1">IFERROR(__xludf.DUMMYFUNCTION("""COMPUTED_VALUE"""),1)</f>
        <v>1</v>
      </c>
      <c r="B21" s="3" t="str">
        <f ca="1">IFERROR(__xludf.DUMMYFUNCTION("""COMPUTED_VALUE"""),"A")</f>
        <v>A</v>
      </c>
      <c r="C21" s="32" t="str">
        <f ca="1">IFERROR(__xludf.DUMMYFUNCTION("""COMPUTED_VALUE"""),"23291341064")</f>
        <v>23291341064</v>
      </c>
      <c r="D21" s="21" t="str">
        <f ca="1">IFERROR(__xludf.DUMMYFUNCTION("""COMPUTED_VALUE"""),"NAMRA AMITBHAI KHAMAR")</f>
        <v>NAMRA AMITBHAI KHAMAR</v>
      </c>
      <c r="E21" s="3" t="str">
        <f ca="1">IFERROR(__xludf.DUMMYFUNCTION("""COMPUTED_VALUE"""),"RRP-Mor")</f>
        <v>RRP-Mor</v>
      </c>
      <c r="F21" s="3">
        <f ca="1">IFERROR(__xludf.DUMMYFUNCTION("""COMPUTED_VALUE"""),8488015442)</f>
        <v>8488015442</v>
      </c>
      <c r="G21" s="3">
        <f ca="1">IFERROR(__xludf.DUMMYFUNCTION("""COMPUTED_VALUE"""),9898616695)</f>
        <v>9898616695</v>
      </c>
      <c r="H21" s="33">
        <f ca="1">IFERROR(__xludf.DUMMYFUNCTION("""COMPUTED_VALUE"""),0.62396694214876)</f>
        <v>0.62396694214876003</v>
      </c>
      <c r="I21" s="25">
        <f ca="1">IFERROR(__xludf.DUMMYFUNCTION("""COMPUTED_VALUE"""),0.416666666666666)</f>
        <v>0.41666666666666602</v>
      </c>
      <c r="J21" s="25">
        <f ca="1">IFERROR(__xludf.DUMMYFUNCTION("""COMPUTED_VALUE"""),0.5)</f>
        <v>0.5</v>
      </c>
      <c r="K21" s="25">
        <f ca="1">IFERROR(__xludf.DUMMYFUNCTION("""COMPUTED_VALUE"""),0.647058823529411)</f>
        <v>0.64705882352941102</v>
      </c>
      <c r="L21" s="25">
        <f ca="1">IFERROR(__xludf.DUMMYFUNCTION("""COMPUTED_VALUE"""),0.846153846153846)</f>
        <v>0.84615384615384603</v>
      </c>
      <c r="M21" s="25">
        <f ca="1">IFERROR(__xludf.DUMMYFUNCTION("""COMPUTED_VALUE"""),0.722222222222222)</f>
        <v>0.72222222222222199</v>
      </c>
      <c r="N21" s="25">
        <f ca="1">IFERROR(__xludf.DUMMYFUNCTION("""COMPUTED_VALUE"""),1)</f>
        <v>1</v>
      </c>
      <c r="O21" s="25">
        <f ca="1">IFERROR(__xludf.DUMMYFUNCTION("""COMPUTED_VALUE"""),0.727272727272727)</f>
        <v>0.72727272727272696</v>
      </c>
      <c r="P21" s="25">
        <f ca="1">IFERROR(__xludf.DUMMYFUNCTION("""COMPUTED_VALUE"""),0.565217391304347)</f>
        <v>0.56521739130434701</v>
      </c>
      <c r="Q21" s="25">
        <f ca="1">IFERROR(__xludf.DUMMYFUNCTION("""COMPUTED_VALUE"""),0)</f>
        <v>0</v>
      </c>
      <c r="R21" s="25">
        <f ca="1">IFERROR(__xludf.DUMMYFUNCTION("""COMPUTED_VALUE"""),0.59090909090909)</f>
        <v>0.59090909090909005</v>
      </c>
      <c r="S21" s="25">
        <f ca="1">IFERROR(__xludf.DUMMYFUNCTION("""COMPUTED_VALUE"""),0.7)</f>
        <v>0.7</v>
      </c>
      <c r="T21" s="25">
        <f ca="1">IFERROR(__xludf.DUMMYFUNCTION("""COMPUTED_VALUE"""),1)</f>
        <v>1</v>
      </c>
      <c r="U21" s="25">
        <f ca="1">IFERROR(__xludf.DUMMYFUNCTION("""COMPUTED_VALUE"""),0.181818181818181)</f>
        <v>0.18181818181818099</v>
      </c>
      <c r="V21" s="25">
        <f ca="1">IFERROR(__xludf.DUMMYFUNCTION("""COMPUTED_VALUE"""),0)</f>
        <v>0</v>
      </c>
      <c r="W21" s="4"/>
      <c r="X21" s="4" t="str">
        <f ca="1">IFERROR(__xludf.DUMMYFUNCTION("""COMPUTED_VALUE"""),"| 1 L PHP-CGM % | 3 P NS % | 5 P JAVA @ ")</f>
        <v xml:space="preserve">| 1 L PHP-CGM % | 3 P NS % | 5 P JAVA @ </v>
      </c>
      <c r="Y21" s="4" t="str">
        <f ca="1">IFERROR(__xludf.DUMMYFUNCTION("""COMPUTED_VALUE"""),"| 1 P Python % | 3 L JAVA % | 4 L CPT % | 5 P JAVA @ ")</f>
        <v xml:space="preserve">| 1 P Python % | 3 L JAVA % | 4 L CPT % | 5 P JAVA @ </v>
      </c>
      <c r="Z21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A21" s="4" t="str">
        <f ca="1">IFERROR(__xludf.DUMMYFUNCTION("""COMPUTED_VALUE"""),"| 3 L PHP-CGM % | 4 L NS % | 1 L INE % | 5 P PRO % ")</f>
        <v xml:space="preserve">| 3 L PHP-CGM % | 4 L NS % | 1 L INE % | 5 P PRO % </v>
      </c>
      <c r="AB21" s="4" t="str">
        <f ca="1">IFERROR(__xludf.DUMMYFUNCTION("""COMPUTED_VALUE"""),"| 1 L CPT % | 2 L NS % | 3 P CPT % | 5 P Python @ ")</f>
        <v xml:space="preserve">| 1 L CPT % | 2 L NS % | 3 P CPT % | 5 P Python @ </v>
      </c>
      <c r="AC21" s="4" t="str">
        <f ca="1">IFERROR(__xludf.DUMMYFUNCTION("""COMPUTED_VALUE"""),"| 1 L PHP-CGM % | 2 L JAVA % | 3 P NS % | 5 P JAVA @ ")</f>
        <v xml:space="preserve">| 1 L PHP-CGM % | 2 L JAVA % | 3 P NS % | 5 P JAVA @ </v>
      </c>
      <c r="AD21" s="4" t="str">
        <f ca="1">IFERROR(__xludf.DUMMYFUNCTION("""COMPUTED_VALUE"""),"| 1 P Python % | 3 L JAVA % | 4 L CPT % | 5 P JAVA % ")</f>
        <v xml:space="preserve">| 1 P Python % | 3 L JAVA % | 4 L CPT % | 5 P JAVA % </v>
      </c>
      <c r="AE21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21" s="4" t="str">
        <f ca="1">IFERROR(__xludf.DUMMYFUNCTION("""COMPUTED_VALUE"""),"| 3 L PHP-CGM @ | 4 L NS % | 5 P PRO % ")</f>
        <v xml:space="preserve">| 3 L PHP-CGM @ | 4 L NS % | 5 P PRO % </v>
      </c>
      <c r="AG21" s="4" t="str">
        <f ca="1">IFERROR(__xludf.DUMMYFUNCTION("""COMPUTED_VALUE"""),"| 1 L CPT @ | 2 L NS % | 3 P CPT @ | 5 P Python @ ")</f>
        <v xml:space="preserve">| 1 L CPT @ | 2 L NS % | 3 P CPT @ | 5 P Python @ </v>
      </c>
      <c r="AH21" s="4" t="str">
        <f ca="1">IFERROR(__xludf.DUMMYFUNCTION("""COMPUTED_VALUE"""),"| 3 L PHP-CGM % | 4 L NS % | 5 L PRO % ")</f>
        <v xml:space="preserve">| 3 L PHP-CGM % | 4 L NS % | 5 L PRO % </v>
      </c>
      <c r="AI21" s="4" t="str">
        <f ca="1">IFERROR(__xludf.DUMMYFUNCTION("""COMPUTED_VALUE"""),"| 1 L CPT % | 2 L NS % | 3 P CPT % | 5 P Python @ ")</f>
        <v xml:space="preserve">| 1 L CPT % | 2 L NS % | 3 P CPT % | 5 P Python @ </v>
      </c>
      <c r="AJ21" s="4" t="str">
        <f ca="1">IFERROR(__xludf.DUMMYFUNCTION("""COMPUTED_VALUE"""),"| 1 L PHP-CGM % | 2 L JAVA % | 3 P NS % | 5 P JAVA % ")</f>
        <v xml:space="preserve">| 1 L PHP-CGM % | 2 L JAVA % | 3 P NS % | 5 P JAVA % </v>
      </c>
      <c r="AK21" s="4" t="str">
        <f ca="1">IFERROR(__xludf.DUMMYFUNCTION("""COMPUTED_VALUE"""),"| 1 P Python % | 3 L JAVA @ | 4 L CPT @ | 5 P JAVA @ ")</f>
        <v xml:space="preserve">| 1 P Python % | 3 L JAVA @ | 4 L CPT @ | 5 P JAVA @ </v>
      </c>
      <c r="AL2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M21" s="4" t="str">
        <f ca="1">IFERROR(__xludf.DUMMYFUNCTION("""COMPUTED_VALUE"""),"| 1 L INE @ | 4 L NS % | 3 L PHP-CGM % | 5 L PRO @ ")</f>
        <v xml:space="preserve">| 1 L INE @ | 4 L NS % | 3 L PHP-CGM % | 5 L PRO @ </v>
      </c>
      <c r="AN21" s="4" t="str">
        <f ca="1">IFERROR(__xludf.DUMMYFUNCTION("""COMPUTED_VALUE"""),"| 1 L CPT % | 2 L NS % | 3 P CPT % | 5 P Python % ")</f>
        <v xml:space="preserve">| 1 L CPT % | 2 L NS % | 3 P CPT % | 5 P Python % </v>
      </c>
      <c r="AO21" s="4" t="str">
        <f ca="1">IFERROR(__xludf.DUMMYFUNCTION("""COMPUTED_VALUE"""),"| 1 L PHP-CGM % | 2 L JAVA % | 3 P NS % | 5 P JAVA % ")</f>
        <v xml:space="preserve">| 1 L PHP-CGM % | 2 L JAVA % | 3 P NS % | 5 P JAVA % </v>
      </c>
      <c r="AP21" s="4" t="str">
        <f ca="1">IFERROR(__xludf.DUMMYFUNCTION("""COMPUTED_VALUE"""),"| 1 P Python % | 3 L JAVA % | 4 L CPT % | 5 P JAVA % ")</f>
        <v xml:space="preserve">| 1 P Python % | 3 L JAVA % | 4 L CPT % | 5 P JAVA % </v>
      </c>
      <c r="AQ2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21" s="4" t="str">
        <f ca="1">IFERROR(__xludf.DUMMYFUNCTION("""COMPUTED_VALUE"""),"| 1 L INE @ | 3 L PHP-CGM @ | 4 L NS @ | 5 L PRO @ ")</f>
        <v xml:space="preserve">| 1 L INE @ | 3 L PHP-CGM @ | 4 L NS @ | 5 L PRO @ </v>
      </c>
      <c r="AS21" s="4" t="str">
        <f ca="1">IFERROR(__xludf.DUMMYFUNCTION("""COMPUTED_VALUE"""),"| 1 L PHP-CGM % | 2 L JAVA % | 3 P NS % | 5 P JAVA % ")</f>
        <v xml:space="preserve">| 1 L PHP-CGM % | 2 L JAVA % | 3 P NS % | 5 P JAVA % </v>
      </c>
      <c r="AT21" s="4" t="str">
        <f ca="1">IFERROR(__xludf.DUMMYFUNCTION("""COMPUTED_VALUE"""),"| 1 P Python % | 3 L JAVA @ | 4 L CPT @ | 5 P JAVA % ")</f>
        <v xml:space="preserve">| 1 P Python % | 3 L JAVA @ | 4 L CPT @ | 5 P JAVA % </v>
      </c>
      <c r="AU2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21" s="4" t="str">
        <f ca="1">IFERROR(__xludf.DUMMYFUNCTION("""COMPUTED_VALUE"""),"| 1 L INE @ | 3 L PHP-CGM @ | 4 L NS @ | 7 L PRO % ")</f>
        <v xml:space="preserve">| 1 L INE @ | 3 L PHP-CGM @ | 4 L NS @ | 7 L PRO % </v>
      </c>
      <c r="AW21" s="4" t="str">
        <f ca="1">IFERROR(__xludf.DUMMYFUNCTION("""COMPUTED_VALUE"""),"| 1 L CPT % | 2 L NS @ | 3 P CPT @ | 5 P Python % ")</f>
        <v xml:space="preserve">| 1 L CPT % | 2 L NS @ | 3 P CPT @ | 5 P Python % </v>
      </c>
      <c r="AX21" s="4" t="str">
        <f ca="1">IFERROR(__xludf.DUMMYFUNCTION("""COMPUTED_VALUE"""),"| 1 L PHP-CGM % | 2 L JAVA % | 3 P NS % | 5 P JAVA % ")</f>
        <v xml:space="preserve">| 1 L PHP-CGM % | 2 L JAVA % | 3 P NS % | 5 P JAVA % </v>
      </c>
      <c r="AY21" s="4" t="str">
        <f ca="1">IFERROR(__xludf.DUMMYFUNCTION("""COMPUTED_VALUE"""),"| 1 P Python % | 3 L JAVA @ | 4 L CPT @ | 5 P JAVA @ ")</f>
        <v xml:space="preserve">| 1 P Python % | 3 L JAVA @ | 4 L CPT @ | 5 P JAVA @ </v>
      </c>
      <c r="AZ21" s="4" t="str">
        <f ca="1">IFERROR(__xludf.DUMMYFUNCTION("""COMPUTED_VALUE"""),"| 1 L INE @ | 3 L PHP-CGM % | 4 L NS % | 5 L PRO % ")</f>
        <v xml:space="preserve">| 1 L INE @ | 3 L PHP-CGM % | 4 L NS % | 5 L PRO % </v>
      </c>
      <c r="BA21" s="4" t="str">
        <f ca="1">IFERROR(__xludf.DUMMYFUNCTION("""COMPUTED_VALUE"""),"| 1 L CPT % | 2 L NS % | 3 P CPT % | 5 P Python @ ")</f>
        <v xml:space="preserve">| 1 L CPT % | 2 L NS % | 3 P CPT % | 5 P Python @ </v>
      </c>
      <c r="BB21" s="4" t="str">
        <f ca="1">IFERROR(__xludf.DUMMYFUNCTION("""COMPUTED_VALUE"""),"| 1 L PHP-CGM % | 2 L JAVA % | 3 P NS % | 5 P JAVA % ")</f>
        <v xml:space="preserve">| 1 L PHP-CGM % | 2 L JAVA % | 3 P NS % | 5 P JAVA % </v>
      </c>
      <c r="BC21" s="4" t="str">
        <f ca="1">IFERROR(__xludf.DUMMYFUNCTION("""COMPUTED_VALUE"""),"| 1 P Python % | 3 L JAVA % | 4 L CPT % | 5 P JAVA % ")</f>
        <v xml:space="preserve">| 1 P Python % | 3 L JAVA % | 4 L CPT % | 5 P JAVA % </v>
      </c>
      <c r="BD21" s="4" t="str">
        <f ca="1">IFERROR(__xludf.DUMMYFUNCTION("""COMPUTED_VALUE"""),"| 1 P PHP-CGM % | 3 L NS % | 6 L CPT % | 5 L PHP-CGM % | 4 L JAVA % ")</f>
        <v xml:space="preserve">| 1 P PHP-CGM % | 3 L NS % | 6 L CPT % | 5 L PHP-CGM % | 4 L JAVA % </v>
      </c>
      <c r="BE21" s="4" t="str">
        <f ca="1">IFERROR(__xludf.DUMMYFUNCTION("""COMPUTED_VALUE"""),"| 1 L INE @ | 3 L PHP-CGM % | 4 L NS % | 5 L PRO % ")</f>
        <v xml:space="preserve">| 1 L INE @ | 3 L PHP-CGM % | 4 L NS % | 5 L PRO % </v>
      </c>
      <c r="BF21" s="4" t="str">
        <f ca="1">IFERROR(__xludf.DUMMYFUNCTION("""COMPUTED_VALUE"""),"| 1 L CPT @ | 2 L NS @ | 3 P CPT @ | 5 P JAVA @ ")</f>
        <v xml:space="preserve">| 1 L CPT @ | 2 L NS @ | 3 P CPT @ | 5 P JAVA @ </v>
      </c>
      <c r="BG21" s="4" t="str">
        <f ca="1">IFERROR(__xludf.DUMMYFUNCTION("""COMPUTED_VALUE"""),"| 1 P Python % | 4 L CPT @ | 5 P JAVA % ")</f>
        <v xml:space="preserve">| 1 P Python % | 4 L CPT @ | 5 P JAVA % </v>
      </c>
      <c r="BH21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I21" s="4" t="str">
        <f ca="1">IFERROR(__xludf.DUMMYFUNCTION("""COMPUTED_VALUE"""),"| 1 L INE @ | 3 L PHP-CGM % | 4 L NS % | 5 L PRO % ")</f>
        <v xml:space="preserve">| 1 L INE @ | 3 L PHP-CGM % | 4 L NS % | 5 L PRO % </v>
      </c>
      <c r="BJ21" s="4" t="str">
        <f ca="1">IFERROR(__xludf.DUMMYFUNCTION("""COMPUTED_VALUE"""),"| 1 L CPT @ | 2 L NS @ | 3 P CPT @ | 5 P Python @ ")</f>
        <v xml:space="preserve">| 1 L CPT @ | 2 L NS @ | 3 P CPT @ | 5 P Python @ </v>
      </c>
      <c r="BK21" s="4" t="str">
        <f ca="1">IFERROR(__xludf.DUMMYFUNCTION("""COMPUTED_VALUE"""),"| 1 L PHP-CGM @ | 2 L JAVA @ | 3 P NS @ | 5 P JAVA @ ")</f>
        <v xml:space="preserve">| 1 L PHP-CGM @ | 2 L JAVA @ | 3 P NS @ | 5 P JAVA @ </v>
      </c>
      <c r="BL21" s="4" t="str">
        <f ca="1">IFERROR(__xludf.DUMMYFUNCTION("""COMPUTED_VALUE"""),"| 1 P Python @ | 3 L JAVA @ | 4 L CPT @ | 5 P JAVA @ ")</f>
        <v xml:space="preserve">| 1 P Python @ | 3 L JAVA @ | 4 L CPT @ | 5 P JAVA @ </v>
      </c>
      <c r="BM21" s="4" t="str">
        <f ca="1">IFERROR(__xludf.DUMMYFUNCTION("""COMPUTED_VALUE"""),"| 1 P PHP-CGM % | 3 L NS % | 4 L JAVA @ | 5 L PHP-CGM @ | 6 L CPT @ ")</f>
        <v xml:space="preserve">| 1 P PHP-CGM % | 3 L NS % | 4 L JAVA @ | 5 L PHP-CGM @ | 6 L CPT @ </v>
      </c>
      <c r="BN21" s="4" t="str">
        <f ca="1">IFERROR(__xludf.DUMMYFUNCTION("""COMPUTED_VALUE"""),"| 1 L INE @ | 3 L PHP-CGM @ | 4 L NS @ | 5 L PRO @ ")</f>
        <v xml:space="preserve">| 1 L INE @ | 3 L PHP-CGM @ | 4 L NS @ | 5 L PRO @ </v>
      </c>
      <c r="BO21" s="4" t="str">
        <f ca="1">IFERROR(__xludf.DUMMYFUNCTION("""COMPUTED_VALUE"""),"| 1 L CPT @ | 2 L NS @ | 3 P CPT @ ")</f>
        <v xml:space="preserve">| 1 L CPT @ | 2 L NS @ | 3 P CPT @ </v>
      </c>
      <c r="BP21" s="4" t="str">
        <f ca="1">IFERROR(__xludf.DUMMYFUNCTION("""COMPUTED_VALUE"""),"| 1 L PHP-CGM % | 2 L JAVA % | 3 P NS % | 5 P JAVA @ ")</f>
        <v xml:space="preserve">| 1 L PHP-CGM % | 2 L JAVA % | 3 P NS % | 5 P JAVA @ </v>
      </c>
      <c r="BQ21" s="4" t="str">
        <f ca="1">IFERROR(__xludf.DUMMYFUNCTION("""COMPUTED_VALUE"""),"| 5 L PHP-CGM % | 6 L CPT @ ")</f>
        <v xml:space="preserve">| 5 L PHP-CGM % | 6 L CPT @ </v>
      </c>
      <c r="BR21" s="4"/>
      <c r="BS21" s="4"/>
      <c r="BT21" s="4" t="str">
        <f ca="1">IFERROR(__xludf.DUMMYFUNCTION("""COMPUTED_VALUE"""),"| 1 L PHP-CGM % | 2 L JAVA % | 3 P NS % ")</f>
        <v xml:space="preserve">| 1 L PHP-CGM % | 2 L JAVA % | 3 P NS % </v>
      </c>
      <c r="BU21" s="4" t="str">
        <f ca="1">IFERROR(__xludf.DUMMYFUNCTION("""COMPUTED_VALUE"""),"| 1 P Python @ | 4 L CPT @ | 3 L JAVA @ ")</f>
        <v xml:space="preserve">| 1 P Python @ | 4 L CPT @ | 3 L JAVA @ </v>
      </c>
      <c r="BV21" s="4" t="str">
        <f ca="1">IFERROR(__xludf.DUMMYFUNCTION("""COMPUTED_VALUE"""),"| 1 L PHP-CGM % | 2 L JAVA % | 3 P NS @ | 5 P JAVA @ ")</f>
        <v xml:space="preserve">| 1 L PHP-CGM % | 2 L JAVA % | 3 P NS @ | 5 P JAVA @ </v>
      </c>
      <c r="BW21" s="4" t="str">
        <f ca="1">IFERROR(__xludf.DUMMYFUNCTION("""COMPUTED_VALUE"""),"| 1 P Python @ | 3 L JAVA @ | 4 L CPT @ ")</f>
        <v xml:space="preserve">| 1 P Python @ | 3 L JAVA @ | 4 L CPT @ </v>
      </c>
      <c r="BX21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Y21" s="4" t="str">
        <f ca="1">IFERROR(__xludf.DUMMYFUNCTION("""COMPUTED_VALUE"""),"| 1 L INE @ | 3 L PHP-CGM % | 4 L NS @ | 5 L PRO % ")</f>
        <v xml:space="preserve">| 1 L INE @ | 3 L PHP-CGM % | 4 L NS @ | 5 L PRO % </v>
      </c>
      <c r="BZ21" s="4" t="str">
        <f ca="1">IFERROR(__xludf.DUMMYFUNCTION("""COMPUTED_VALUE"""),"| 1 L CPT @ | 2 L NS @ | 3 P CPT @ | 5 P Python @ ")</f>
        <v xml:space="preserve">| 1 L CPT @ | 2 L NS @ | 3 P CPT @ | 5 P Python @ </v>
      </c>
      <c r="CA21" s="4" t="str">
        <f ca="1">IFERROR(__xludf.DUMMYFUNCTION("""COMPUTED_VALUE"""),"| 1 L PHP-CGM % | 2 L JAVA % | 3 P NS % | 5 P JAVA % ")</f>
        <v xml:space="preserve">| 1 L PHP-CGM % | 2 L JAVA % | 3 P NS % | 5 P JAVA % </v>
      </c>
      <c r="CB21" s="4" t="str">
        <f ca="1">IFERROR(__xludf.DUMMYFUNCTION("""COMPUTED_VALUE"""),"| 1 P Python % | 3 L JAVA % | 4 L CPT @ | 5 P JAVA % ")</f>
        <v xml:space="preserve">| 1 P Python % | 3 L JAVA % | 4 L CPT @ | 5 P JAVA % </v>
      </c>
      <c r="CC21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21" s="4" t="str">
        <f ca="1">IFERROR(__xludf.DUMMYFUNCTION("""COMPUTED_VALUE"""),"| 1 L INE % | 3 L PHP-CGM @ | 4 L NS @ | 5 L PRO % ")</f>
        <v xml:space="preserve">| 1 L INE % | 3 L PHP-CGM @ | 4 L NS @ | 5 L PRO % </v>
      </c>
      <c r="CE21" s="4" t="str">
        <f ca="1">IFERROR(__xludf.DUMMYFUNCTION("""COMPUTED_VALUE"""),"| 1 L CPT @ | 2 L NS @ | 3 P CPT % | 5 P Python % ")</f>
        <v xml:space="preserve">| 1 L CPT @ | 2 L NS @ | 3 P CPT % | 5 P Python % </v>
      </c>
      <c r="CF21" s="4" t="str">
        <f ca="1">IFERROR(__xludf.DUMMYFUNCTION("""COMPUTED_VALUE"""),"| 1 L PHP-CGM % | 2 L JAVA @ | 3 P NS % ")</f>
        <v xml:space="preserve">| 1 L PHP-CGM % | 2 L JAVA @ | 3 P NS % </v>
      </c>
      <c r="CG21" s="4" t="str">
        <f ca="1">IFERROR(__xludf.DUMMYFUNCTION("""COMPUTED_VALUE"""),"| 1 P Python % | 4 L CPT @ | 5 P JAVA % ")</f>
        <v xml:space="preserve">| 1 P Python % | 4 L CPT @ | 5 P JAVA % </v>
      </c>
      <c r="CH21" s="4" t="str">
        <f ca="1">IFERROR(__xludf.DUMMYFUNCTION("""COMPUTED_VALUE"""),"| 3 L NS @ | 6 L CPT @ ")</f>
        <v xml:space="preserve">| 3 L NS @ | 6 L CPT @ </v>
      </c>
      <c r="CI21" s="4" t="str">
        <f ca="1">IFERROR(__xludf.DUMMYFUNCTION("""COMPUTED_VALUE"""),"| 1 L INE @ ")</f>
        <v xml:space="preserve">| 1 L INE @ </v>
      </c>
      <c r="CJ21" s="4" t="str">
        <f ca="1">IFERROR(__xludf.DUMMYFUNCTION("""COMPUTED_VALUE"""),"| 3 P CPT % ")</f>
        <v xml:space="preserve">| 3 P CPT % </v>
      </c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</row>
    <row r="22" spans="1:102" ht="12.5" x14ac:dyDescent="0.25">
      <c r="A22" s="3">
        <f ca="1">IFERROR(__xludf.DUMMYFUNCTION("""COMPUTED_VALUE"""),1)</f>
        <v>1</v>
      </c>
      <c r="B22" s="3" t="str">
        <f ca="1">IFERROR(__xludf.DUMMYFUNCTION("""COMPUTED_VALUE"""),"A")</f>
        <v>A</v>
      </c>
      <c r="C22" s="32" t="str">
        <f ca="1">IFERROR(__xludf.DUMMYFUNCTION("""COMPUTED_VALUE"""),"23291341067")</f>
        <v>23291341067</v>
      </c>
      <c r="D22" s="21" t="str">
        <f ca="1">IFERROR(__xludf.DUMMYFUNCTION("""COMPUTED_VALUE"""),"NAYAK KUSH CHANDRAKANT")</f>
        <v>NAYAK KUSH CHANDRAKANT</v>
      </c>
      <c r="E22" s="3" t="str">
        <f ca="1">IFERROR(__xludf.DUMMYFUNCTION("""COMPUTED_VALUE"""),"RRP-Mor")</f>
        <v>RRP-Mor</v>
      </c>
      <c r="F22" s="3">
        <f ca="1">IFERROR(__xludf.DUMMYFUNCTION("""COMPUTED_VALUE"""),9974973545)</f>
        <v>9974973545</v>
      </c>
      <c r="G22" s="3">
        <f ca="1">IFERROR(__xludf.DUMMYFUNCTION("""COMPUTED_VALUE"""),8128062605)</f>
        <v>8128062605</v>
      </c>
      <c r="H22" s="33">
        <f ca="1">IFERROR(__xludf.DUMMYFUNCTION("""COMPUTED_VALUE"""),0.446280991735537)</f>
        <v>0.44628099173553698</v>
      </c>
      <c r="I22" s="25">
        <f ca="1">IFERROR(__xludf.DUMMYFUNCTION("""COMPUTED_VALUE"""),0.5)</f>
        <v>0.5</v>
      </c>
      <c r="J22" s="25">
        <f ca="1">IFERROR(__xludf.DUMMYFUNCTION("""COMPUTED_VALUE"""),0.416666666666666)</f>
        <v>0.41666666666666602</v>
      </c>
      <c r="K22" s="25">
        <f ca="1">IFERROR(__xludf.DUMMYFUNCTION("""COMPUTED_VALUE"""),0.647058823529411)</f>
        <v>0.64705882352941102</v>
      </c>
      <c r="L22" s="25">
        <f ca="1">IFERROR(__xludf.DUMMYFUNCTION("""COMPUTED_VALUE"""),0.461538461538461)</f>
        <v>0.46153846153846101</v>
      </c>
      <c r="M22" s="25">
        <f ca="1">IFERROR(__xludf.DUMMYFUNCTION("""COMPUTED_VALUE"""),0.444444444444444)</f>
        <v>0.44444444444444398</v>
      </c>
      <c r="N22" s="25">
        <f ca="1">IFERROR(__xludf.DUMMYFUNCTION("""COMPUTED_VALUE"""),0.2)</f>
        <v>0.2</v>
      </c>
      <c r="O22" s="25">
        <f ca="1">IFERROR(__xludf.DUMMYFUNCTION("""COMPUTED_VALUE"""),0.666666666666666)</f>
        <v>0.66666666666666596</v>
      </c>
      <c r="P22" s="25">
        <f ca="1">IFERROR(__xludf.DUMMYFUNCTION("""COMPUTED_VALUE"""),0.260869565217391)</f>
        <v>0.26086956521739102</v>
      </c>
      <c r="Q22" s="25">
        <f ca="1">IFERROR(__xludf.DUMMYFUNCTION("""COMPUTED_VALUE"""),0)</f>
        <v>0</v>
      </c>
      <c r="R22" s="25">
        <f ca="1">IFERROR(__xludf.DUMMYFUNCTION("""COMPUTED_VALUE"""),0.227272727272727)</f>
        <v>0.22727272727272699</v>
      </c>
      <c r="S22" s="25">
        <f ca="1">IFERROR(__xludf.DUMMYFUNCTION("""COMPUTED_VALUE"""),0.3)</f>
        <v>0.3</v>
      </c>
      <c r="T22" s="25">
        <f ca="1">IFERROR(__xludf.DUMMYFUNCTION("""COMPUTED_VALUE"""),0.5)</f>
        <v>0.5</v>
      </c>
      <c r="U22" s="25">
        <f ca="1">IFERROR(__xludf.DUMMYFUNCTION("""COMPUTED_VALUE"""),0.181818181818181)</f>
        <v>0.18181818181818099</v>
      </c>
      <c r="V22" s="25">
        <f ca="1">IFERROR(__xludf.DUMMYFUNCTION("""COMPUTED_VALUE"""),0)</f>
        <v>0</v>
      </c>
      <c r="W22" s="4"/>
      <c r="X22" s="4" t="str">
        <f ca="1">IFERROR(__xludf.DUMMYFUNCTION("""COMPUTED_VALUE"""),"| 1 L PHP-CGM @ | 3 P NS @ | 5 P JAVA @ ")</f>
        <v xml:space="preserve">| 1 L PHP-CGM @ | 3 P NS @ | 5 P JAVA @ </v>
      </c>
      <c r="Y22" s="4" t="str">
        <f ca="1">IFERROR(__xludf.DUMMYFUNCTION("""COMPUTED_VALUE"""),"| 1 P Python @ | 3 L JAVA % | 4 L CPT % | 5 P JAVA @ ")</f>
        <v xml:space="preserve">| 1 P Python @ | 3 L JAVA % | 4 L CPT % | 5 P JAVA @ </v>
      </c>
      <c r="Z22" s="4" t="str">
        <f ca="1">IFERROR(__xludf.DUMMYFUNCTION("""COMPUTED_VALUE"""),"| 1 P PHP-CGM @ | 3 L NS % | 4 L JAVA % | 5 L PHP-CGM @ | 6 L CPT @ ")</f>
        <v xml:space="preserve">| 1 P PHP-CGM @ | 3 L NS % | 4 L JAVA % | 5 L PHP-CGM @ | 6 L CPT @ </v>
      </c>
      <c r="AA22" s="4" t="str">
        <f ca="1">IFERROR(__xludf.DUMMYFUNCTION("""COMPUTED_VALUE"""),"| 3 L PHP-CGM % | 4 L NS % | 1 L INE @ | 5 P PRO @ ")</f>
        <v xml:space="preserve">| 3 L PHP-CGM % | 4 L NS % | 1 L INE @ | 5 P PRO @ </v>
      </c>
      <c r="AB22" s="4" t="str">
        <f ca="1">IFERROR(__xludf.DUMMYFUNCTION("""COMPUTED_VALUE"""),"| 1 L CPT @ | 2 L NS @ | 3 P CPT @ | 5 P Python @ ")</f>
        <v xml:space="preserve">| 1 L CPT @ | 2 L NS @ | 3 P CPT @ | 5 P Python @ </v>
      </c>
      <c r="AC22" s="4" t="str">
        <f ca="1">IFERROR(__xludf.DUMMYFUNCTION("""COMPUTED_VALUE"""),"| 1 L PHP-CGM % | 2 L JAVA % | 3 P NS % | 5 P JAVA @ ")</f>
        <v xml:space="preserve">| 1 L PHP-CGM % | 2 L JAVA % | 3 P NS % | 5 P JAVA @ </v>
      </c>
      <c r="AD22" s="4" t="str">
        <f ca="1">IFERROR(__xludf.DUMMYFUNCTION("""COMPUTED_VALUE"""),"| 1 P Python @ | 3 L JAVA % | 4 L CPT % | 5 P JAVA @ ")</f>
        <v xml:space="preserve">| 1 P Python @ | 3 L JAVA % | 4 L CPT % | 5 P JAVA @ </v>
      </c>
      <c r="AE22" s="4" t="str">
        <f ca="1">IFERROR(__xludf.DUMMYFUNCTION("""COMPUTED_VALUE"""),"| 1 P PHP-CGM @ | 4 L JAVA % | 3 L NS % | 5 L PHP-CGM % | 6 L CPT % ")</f>
        <v xml:space="preserve">| 1 P PHP-CGM @ | 4 L JAVA % | 3 L NS % | 5 L PHP-CGM % | 6 L CPT % </v>
      </c>
      <c r="AF22" s="4" t="str">
        <f ca="1">IFERROR(__xludf.DUMMYFUNCTION("""COMPUTED_VALUE"""),"| 3 L PHP-CGM % | 4 L NS % | 5 P PRO % ")</f>
        <v xml:space="preserve">| 3 L PHP-CGM % | 4 L NS % | 5 P PRO % </v>
      </c>
      <c r="AG22" s="4" t="str">
        <f ca="1">IFERROR(__xludf.DUMMYFUNCTION("""COMPUTED_VALUE"""),"| 1 L CPT % | 2 L NS % | 3 P CPT @ | 5 P Python @ ")</f>
        <v xml:space="preserve">| 1 L CPT % | 2 L NS % | 3 P CPT @ | 5 P Python @ </v>
      </c>
      <c r="AH22" s="4" t="str">
        <f ca="1">IFERROR(__xludf.DUMMYFUNCTION("""COMPUTED_VALUE"""),"| 3 L PHP-CGM % | 4 L NS % | 5 L PRO % ")</f>
        <v xml:space="preserve">| 3 L PHP-CGM % | 4 L NS % | 5 L PRO % </v>
      </c>
      <c r="AI22" s="4" t="str">
        <f ca="1">IFERROR(__xludf.DUMMYFUNCTION("""COMPUTED_VALUE"""),"| 1 L CPT @ | 2 L NS @ | 3 P CPT @ | 5 P Python @ ")</f>
        <v xml:space="preserve">| 1 L CPT @ | 2 L NS @ | 3 P CPT @ | 5 P Python @ </v>
      </c>
      <c r="AJ22" s="4" t="str">
        <f ca="1">IFERROR(__xludf.DUMMYFUNCTION("""COMPUTED_VALUE"""),"| 1 L PHP-CGM % | 2 L JAVA % | 3 P NS % | 5 P JAVA @ ")</f>
        <v xml:space="preserve">| 1 L PHP-CGM % | 2 L JAVA % | 3 P NS % | 5 P JAVA @ </v>
      </c>
      <c r="AK22" s="4" t="str">
        <f ca="1">IFERROR(__xludf.DUMMYFUNCTION("""COMPUTED_VALUE"""),"| 1 P Python @ | 3 L JAVA % | 4 L CPT % | 5 P JAVA % ")</f>
        <v xml:space="preserve">| 1 P Python @ | 3 L JAVA % | 4 L CPT % | 5 P JAVA % </v>
      </c>
      <c r="AL22" s="4" t="str">
        <f ca="1">IFERROR(__xludf.DUMMYFUNCTION("""COMPUTED_VALUE"""),"| 1 P PHP-CGM @ | 3 L NS % | 4 L JAVA % | 5 L PHP-CGM @ | 6 L CPT @ ")</f>
        <v xml:space="preserve">| 1 P PHP-CGM @ | 3 L NS % | 4 L JAVA % | 5 L PHP-CGM @ | 6 L CPT @ </v>
      </c>
      <c r="AM22" s="4" t="str">
        <f ca="1">IFERROR(__xludf.DUMMYFUNCTION("""COMPUTED_VALUE"""),"| 1 L INE @ | 4 L NS @ | 3 L PHP-CGM @ | 5 L PRO @ ")</f>
        <v xml:space="preserve">| 1 L INE @ | 4 L NS @ | 3 L PHP-CGM @ | 5 L PRO @ </v>
      </c>
      <c r="AN22" s="4" t="str">
        <f ca="1">IFERROR(__xludf.DUMMYFUNCTION("""COMPUTED_VALUE"""),"| 1 L CPT % | 2 L NS % | 3 P CPT % | 5 P Python % ")</f>
        <v xml:space="preserve">| 1 L CPT % | 2 L NS % | 3 P CPT % | 5 P Python % </v>
      </c>
      <c r="AO22" s="4" t="str">
        <f ca="1">IFERROR(__xludf.DUMMYFUNCTION("""COMPUTED_VALUE"""),"| 1 L PHP-CGM % | 2 L JAVA % | 3 P NS % | 5 P JAVA % ")</f>
        <v xml:space="preserve">| 1 L PHP-CGM % | 2 L JAVA % | 3 P NS % | 5 P JAVA % </v>
      </c>
      <c r="AP22" s="4" t="str">
        <f ca="1">IFERROR(__xludf.DUMMYFUNCTION("""COMPUTED_VALUE"""),"| 1 P Python @ | 3 L JAVA % | 4 L CPT % | 5 P JAVA % ")</f>
        <v xml:space="preserve">| 1 P Python @ | 3 L JAVA % | 4 L CPT % | 5 P JAVA % </v>
      </c>
      <c r="AQ22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R22" s="4" t="str">
        <f ca="1">IFERROR(__xludf.DUMMYFUNCTION("""COMPUTED_VALUE"""),"| 1 L INE @ | 3 L PHP-CGM % | 4 L NS % | 5 L PRO % ")</f>
        <v xml:space="preserve">| 1 L INE @ | 3 L PHP-CGM % | 4 L NS % | 5 L PRO % </v>
      </c>
      <c r="AS22" s="4" t="str">
        <f ca="1">IFERROR(__xludf.DUMMYFUNCTION("""COMPUTED_VALUE"""),"| 1 L PHP-CGM @ | 2 L JAVA % | 3 P NS % | 5 P JAVA % ")</f>
        <v xml:space="preserve">| 1 L PHP-CGM @ | 2 L JAVA % | 3 P NS % | 5 P JAVA % </v>
      </c>
      <c r="AT22" s="4" t="str">
        <f ca="1">IFERROR(__xludf.DUMMYFUNCTION("""COMPUTED_VALUE"""),"| 1 P Python % | 3 L JAVA % | 4 L CPT % | 5 P JAVA @ ")</f>
        <v xml:space="preserve">| 1 P Python % | 3 L JAVA % | 4 L CPT % | 5 P JAVA @ </v>
      </c>
      <c r="AU22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22" s="4" t="str">
        <f ca="1">IFERROR(__xludf.DUMMYFUNCTION("""COMPUTED_VALUE"""),"| 1 L INE % | 3 L PHP-CGM % | 4 L NS % | 7 L PRO @ ")</f>
        <v xml:space="preserve">| 1 L INE % | 3 L PHP-CGM % | 4 L NS % | 7 L PRO @ </v>
      </c>
      <c r="AW22" s="4" t="str">
        <f ca="1">IFERROR(__xludf.DUMMYFUNCTION("""COMPUTED_VALUE"""),"| 1 L CPT @ | 2 L NS % | 3 P CPT @ | 5 P Python @ ")</f>
        <v xml:space="preserve">| 1 L CPT @ | 2 L NS % | 3 P CPT @ | 5 P Python @ </v>
      </c>
      <c r="AX22" s="4" t="str">
        <f ca="1">IFERROR(__xludf.DUMMYFUNCTION("""COMPUTED_VALUE"""),"| 1 L PHP-CGM @ | 2 L JAVA % | 3 P NS % | 5 P JAVA % ")</f>
        <v xml:space="preserve">| 1 L PHP-CGM @ | 2 L JAVA % | 3 P NS % | 5 P JAVA % </v>
      </c>
      <c r="AY22" s="4" t="str">
        <f ca="1">IFERROR(__xludf.DUMMYFUNCTION("""COMPUTED_VALUE"""),"| 1 P Python % | 3 L JAVA % | 4 L CPT % | 5 P JAVA % ")</f>
        <v xml:space="preserve">| 1 P Python % | 3 L JAVA % | 4 L CPT % | 5 P JAVA % </v>
      </c>
      <c r="AZ22" s="4" t="str">
        <f ca="1">IFERROR(__xludf.DUMMYFUNCTION("""COMPUTED_VALUE"""),"| 1 L INE @ | 3 L PHP-CGM % | 4 L NS % | 5 L PRO % ")</f>
        <v xml:space="preserve">| 1 L INE @ | 3 L PHP-CGM % | 4 L NS % | 5 L PRO % </v>
      </c>
      <c r="BA22" s="4" t="str">
        <f ca="1">IFERROR(__xludf.DUMMYFUNCTION("""COMPUTED_VALUE"""),"| 1 L CPT @ | 2 L NS @ | 3 P CPT @ | 5 P Python @ ")</f>
        <v xml:space="preserve">| 1 L CPT @ | 2 L NS @ | 3 P CPT @ | 5 P Python @ </v>
      </c>
      <c r="BB22" s="4" t="str">
        <f ca="1">IFERROR(__xludf.DUMMYFUNCTION("""COMPUTED_VALUE"""),"| 1 L PHP-CGM @ | 2 L JAVA @ | 3 P NS @ | 5 P JAVA @ ")</f>
        <v xml:space="preserve">| 1 L PHP-CGM @ | 2 L JAVA @ | 3 P NS @ | 5 P JAVA @ </v>
      </c>
      <c r="BC22" s="4" t="str">
        <f ca="1">IFERROR(__xludf.DUMMYFUNCTION("""COMPUTED_VALUE"""),"| 1 P Python % | 3 L JAVA % | 4 L CPT % | 5 P JAVA @ ")</f>
        <v xml:space="preserve">| 1 P Python % | 3 L JAVA % | 4 L CPT % | 5 P JAVA @ </v>
      </c>
      <c r="BD22" s="4" t="str">
        <f ca="1">IFERROR(__xludf.DUMMYFUNCTION("""COMPUTED_VALUE"""),"| 1 P PHP-CGM % | 3 L NS % | 6 L CPT % | 5 L PHP-CGM % | 4 L JAVA % ")</f>
        <v xml:space="preserve">| 1 P PHP-CGM % | 3 L NS % | 6 L CPT % | 5 L PHP-CGM % | 4 L JAVA % </v>
      </c>
      <c r="BE22" s="4" t="str">
        <f ca="1">IFERROR(__xludf.DUMMYFUNCTION("""COMPUTED_VALUE"""),"| 1 L INE @ | 3 L PHP-CGM @ | 4 L NS @ | 5 L PRO @ ")</f>
        <v xml:space="preserve">| 1 L INE @ | 3 L PHP-CGM @ | 4 L NS @ | 5 L PRO @ </v>
      </c>
      <c r="BF22" s="4" t="str">
        <f ca="1">IFERROR(__xludf.DUMMYFUNCTION("""COMPUTED_VALUE"""),"| 1 L CPT @ | 2 L NS % | 3 P CPT % | 5 P JAVA @ ")</f>
        <v xml:space="preserve">| 1 L CPT @ | 2 L NS % | 3 P CPT % | 5 P JAVA @ </v>
      </c>
      <c r="BG22" s="4" t="str">
        <f ca="1">IFERROR(__xludf.DUMMYFUNCTION("""COMPUTED_VALUE"""),"| 1 P Python % | 4 L CPT @ | 5 P JAVA @ ")</f>
        <v xml:space="preserve">| 1 P Python % | 4 L CPT @ | 5 P JAVA @ </v>
      </c>
      <c r="BH22" s="4" t="str">
        <f ca="1">IFERROR(__xludf.DUMMYFUNCTION("""COMPUTED_VALUE"""),"| 1 P PHP-CGM @ | 3 L NS % | 4 L JAVA % | 5 L PHP-CGM @ | 6 L CPT % ")</f>
        <v xml:space="preserve">| 1 P PHP-CGM @ | 3 L NS % | 4 L JAVA % | 5 L PHP-CGM @ | 6 L CPT % </v>
      </c>
      <c r="BI22" s="4" t="str">
        <f ca="1">IFERROR(__xludf.DUMMYFUNCTION("""COMPUTED_VALUE"""),"| 1 L INE @ | 3 L PHP-CGM % | 4 L NS % | 5 L PRO @ ")</f>
        <v xml:space="preserve">| 1 L INE @ | 3 L PHP-CGM % | 4 L NS % | 5 L PRO @ </v>
      </c>
      <c r="BJ22" s="4" t="str">
        <f ca="1">IFERROR(__xludf.DUMMYFUNCTION("""COMPUTED_VALUE"""),"| 1 L CPT % | 2 L NS % | 3 P CPT % | 5 P Python @ ")</f>
        <v xml:space="preserve">| 1 L CPT % | 2 L NS % | 3 P CPT % | 5 P Python @ </v>
      </c>
      <c r="BK22" s="4" t="str">
        <f ca="1">IFERROR(__xludf.DUMMYFUNCTION("""COMPUTED_VALUE"""),"| 1 L PHP-CGM @ | 2 L JAVA @ | 3 P NS @ | 5 P JAVA @ ")</f>
        <v xml:space="preserve">| 1 L PHP-CGM @ | 2 L JAVA @ | 3 P NS @ | 5 P JAVA @ </v>
      </c>
      <c r="BL22" s="4" t="str">
        <f ca="1">IFERROR(__xludf.DUMMYFUNCTION("""COMPUTED_VALUE"""),"| 1 P Python @ | 3 L JAVA @ | 4 L CPT @ | 5 P JAVA @ ")</f>
        <v xml:space="preserve">| 1 P Python @ | 3 L JAVA @ | 4 L CPT @ | 5 P JAVA @ </v>
      </c>
      <c r="BM22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22" s="4" t="str">
        <f ca="1">IFERROR(__xludf.DUMMYFUNCTION("""COMPUTED_VALUE"""),"| 1 L INE @ | 3 L PHP-CGM @ | 4 L NS @ | 5 L PRO @ ")</f>
        <v xml:space="preserve">| 1 L INE @ | 3 L PHP-CGM @ | 4 L NS @ | 5 L PRO @ </v>
      </c>
      <c r="BO22" s="4" t="str">
        <f ca="1">IFERROR(__xludf.DUMMYFUNCTION("""COMPUTED_VALUE"""),"| 1 L CPT @ | 2 L NS @ | 3 P CPT @ ")</f>
        <v xml:space="preserve">| 1 L CPT @ | 2 L NS @ | 3 P CPT @ </v>
      </c>
      <c r="BP22" s="4" t="str">
        <f ca="1">IFERROR(__xludf.DUMMYFUNCTION("""COMPUTED_VALUE"""),"| 1 L PHP-CGM @ | 2 L JAVA % | 3 P NS @ | 5 P JAVA @ ")</f>
        <v xml:space="preserve">| 1 L PHP-CGM @ | 2 L JAVA % | 3 P NS @ | 5 P JAVA @ </v>
      </c>
      <c r="BQ22" s="4" t="str">
        <f ca="1">IFERROR(__xludf.DUMMYFUNCTION("""COMPUTED_VALUE"""),"| 5 L PHP-CGM % | 6 L CPT @ ")</f>
        <v xml:space="preserve">| 5 L PHP-CGM % | 6 L CPT @ </v>
      </c>
      <c r="BR22" s="4"/>
      <c r="BS22" s="4"/>
      <c r="BT22" s="4" t="str">
        <f ca="1">IFERROR(__xludf.DUMMYFUNCTION("""COMPUTED_VALUE"""),"| 1 L PHP-CGM @ | 2 L JAVA @ | 3 P NS @ ")</f>
        <v xml:space="preserve">| 1 L PHP-CGM @ | 2 L JAVA @ | 3 P NS @ </v>
      </c>
      <c r="BU22" s="4" t="str">
        <f ca="1">IFERROR(__xludf.DUMMYFUNCTION("""COMPUTED_VALUE"""),"| 1 P Python @ | 4 L CPT @ | 3 L JAVA @ ")</f>
        <v xml:space="preserve">| 1 P Python @ | 4 L CPT @ | 3 L JAVA @ </v>
      </c>
      <c r="BV22" s="4" t="str">
        <f ca="1">IFERROR(__xludf.DUMMYFUNCTION("""COMPUTED_VALUE"""),"| 1 L PHP-CGM @ | 2 L JAVA @ | 3 P NS @ | 5 P JAVA @ ")</f>
        <v xml:space="preserve">| 1 L PHP-CGM @ | 2 L JAVA @ | 3 P NS @ | 5 P JAVA @ </v>
      </c>
      <c r="BW22" s="4" t="str">
        <f ca="1">IFERROR(__xludf.DUMMYFUNCTION("""COMPUTED_VALUE"""),"| 1 P Python @ | 3 L JAVA % | 4 L CPT % ")</f>
        <v xml:space="preserve">| 1 P Python @ | 3 L JAVA % | 4 L CPT % </v>
      </c>
      <c r="BX22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Y22" s="4" t="str">
        <f ca="1">IFERROR(__xludf.DUMMYFUNCTION("""COMPUTED_VALUE"""),"| 1 L INE @ | 3 L PHP-CGM % | 4 L NS % | 5 L PRO @ ")</f>
        <v xml:space="preserve">| 1 L INE @ | 3 L PHP-CGM % | 4 L NS % | 5 L PRO @ </v>
      </c>
      <c r="BZ22" s="4" t="str">
        <f ca="1">IFERROR(__xludf.DUMMYFUNCTION("""COMPUTED_VALUE"""),"| 1 L CPT @ | 2 L NS % | 3 P CPT % | 5 P Python @ ")</f>
        <v xml:space="preserve">| 1 L CPT @ | 2 L NS % | 3 P CPT % | 5 P Python @ </v>
      </c>
      <c r="CA22" s="4" t="str">
        <f ca="1">IFERROR(__xludf.DUMMYFUNCTION("""COMPUTED_VALUE"""),"| 1 L PHP-CGM @ | 2 L JAVA @ | 3 P NS @ | 5 P JAVA @ ")</f>
        <v xml:space="preserve">| 1 L PHP-CGM @ | 2 L JAVA @ | 3 P NS @ | 5 P JAVA @ </v>
      </c>
      <c r="CB22" s="4" t="str">
        <f ca="1">IFERROR(__xludf.DUMMYFUNCTION("""COMPUTED_VALUE"""),"| 1 P Python @ | 3 L JAVA % | 4 L CPT % | 5 P JAVA @ ")</f>
        <v xml:space="preserve">| 1 P Python @ | 3 L JAVA % | 4 L CPT % | 5 P JAVA @ </v>
      </c>
      <c r="CC22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CD22" s="4" t="str">
        <f ca="1">IFERROR(__xludf.DUMMYFUNCTION("""COMPUTED_VALUE"""),"| 1 L INE % | 3 L PHP-CGM @ | 4 L NS @ | 5 L PRO @ ")</f>
        <v xml:space="preserve">| 1 L INE % | 3 L PHP-CGM @ | 4 L NS @ | 5 L PRO @ </v>
      </c>
      <c r="CE22" s="4" t="str">
        <f ca="1">IFERROR(__xludf.DUMMYFUNCTION("""COMPUTED_VALUE"""),"| 1 L CPT % | 2 L NS % | 3 P CPT @ | 5 P Python @ ")</f>
        <v xml:space="preserve">| 1 L CPT % | 2 L NS % | 3 P CPT @ | 5 P Python @ </v>
      </c>
      <c r="CF22" s="4" t="str">
        <f ca="1">IFERROR(__xludf.DUMMYFUNCTION("""COMPUTED_VALUE"""),"| 1 L PHP-CGM @ | 2 L JAVA @ | 3 P NS % ")</f>
        <v xml:space="preserve">| 1 L PHP-CGM @ | 2 L JAVA @ | 3 P NS % </v>
      </c>
      <c r="CG22" s="4" t="str">
        <f ca="1">IFERROR(__xludf.DUMMYFUNCTION("""COMPUTED_VALUE"""),"| 1 P Python @ | 4 L CPT @ | 5 P JAVA @ ")</f>
        <v xml:space="preserve">| 1 P Python @ | 4 L CPT @ | 5 P JAVA @ </v>
      </c>
      <c r="CH22" s="4" t="str">
        <f ca="1">IFERROR(__xludf.DUMMYFUNCTION("""COMPUTED_VALUE"""),"| 3 L NS @ | 6 L CPT @ ")</f>
        <v xml:space="preserve">| 3 L NS @ | 6 L CPT @ </v>
      </c>
      <c r="CI22" s="4" t="str">
        <f ca="1">IFERROR(__xludf.DUMMYFUNCTION("""COMPUTED_VALUE"""),"| 1 L INE @ ")</f>
        <v xml:space="preserve">| 1 L INE @ </v>
      </c>
      <c r="CJ22" s="4" t="str">
        <f ca="1">IFERROR(__xludf.DUMMYFUNCTION("""COMPUTED_VALUE"""),"| 3 P CPT % ")</f>
        <v xml:space="preserve">| 3 P CPT % </v>
      </c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</row>
    <row r="23" spans="1:102" ht="12.5" x14ac:dyDescent="0.25">
      <c r="A23" s="3">
        <f ca="1">IFERROR(__xludf.DUMMYFUNCTION("""COMPUTED_VALUE"""),1)</f>
        <v>1</v>
      </c>
      <c r="B23" s="3" t="str">
        <f ca="1">IFERROR(__xludf.DUMMYFUNCTION("""COMPUTED_VALUE"""),"A")</f>
        <v>A</v>
      </c>
      <c r="C23" s="32" t="str">
        <f ca="1">IFERROR(__xludf.DUMMYFUNCTION("""COMPUTED_VALUE"""),"23291341070")</f>
        <v>23291341070</v>
      </c>
      <c r="D23" s="21" t="str">
        <f ca="1">IFERROR(__xludf.DUMMYFUNCTION("""COMPUTED_VALUE"""),"PADHIYAR HETANG BHAVESHBHAI")</f>
        <v>PADHIYAR HETANG BHAVESHBHAI</v>
      </c>
      <c r="E23" s="3" t="str">
        <f ca="1">IFERROR(__xludf.DUMMYFUNCTION("""COMPUTED_VALUE"""),"RRP-Mor")</f>
        <v>RRP-Mor</v>
      </c>
      <c r="F23" s="3">
        <f ca="1">IFERROR(__xludf.DUMMYFUNCTION("""COMPUTED_VALUE"""),6355424286)</f>
        <v>6355424286</v>
      </c>
      <c r="G23" s="3">
        <f ca="1">IFERROR(__xludf.DUMMYFUNCTION("""COMPUTED_VALUE"""),9825157607)</f>
        <v>9825157607</v>
      </c>
      <c r="H23" s="33">
        <f ca="1">IFERROR(__xludf.DUMMYFUNCTION("""COMPUTED_VALUE"""),0.487603305785123)</f>
        <v>0.48760330578512301</v>
      </c>
      <c r="I23" s="25">
        <f ca="1">IFERROR(__xludf.DUMMYFUNCTION("""COMPUTED_VALUE"""),0.333333333333333)</f>
        <v>0.33333333333333298</v>
      </c>
      <c r="J23" s="25">
        <f ca="1">IFERROR(__xludf.DUMMYFUNCTION("""COMPUTED_VALUE"""),0.583333333333333)</f>
        <v>0.58333333333333304</v>
      </c>
      <c r="K23" s="25">
        <f ca="1">IFERROR(__xludf.DUMMYFUNCTION("""COMPUTED_VALUE"""),0.558823529411764)</f>
        <v>0.55882352941176405</v>
      </c>
      <c r="L23" s="25">
        <f ca="1">IFERROR(__xludf.DUMMYFUNCTION("""COMPUTED_VALUE"""),0.461538461538461)</f>
        <v>0.46153846153846101</v>
      </c>
      <c r="M23" s="25">
        <f ca="1">IFERROR(__xludf.DUMMYFUNCTION("""COMPUTED_VALUE"""),0.472222222222222)</f>
        <v>0.47222222222222199</v>
      </c>
      <c r="N23" s="25">
        <f ca="1">IFERROR(__xludf.DUMMYFUNCTION("""COMPUTED_VALUE"""),0.6)</f>
        <v>0.6</v>
      </c>
      <c r="O23" s="25">
        <f ca="1">IFERROR(__xludf.DUMMYFUNCTION("""COMPUTED_VALUE"""),0.515151515151515)</f>
        <v>0.51515151515151503</v>
      </c>
      <c r="P23" s="25">
        <f ca="1">IFERROR(__xludf.DUMMYFUNCTION("""COMPUTED_VALUE"""),0.565217391304347)</f>
        <v>0.56521739130434701</v>
      </c>
      <c r="Q23" s="25">
        <f ca="1">IFERROR(__xludf.DUMMYFUNCTION("""COMPUTED_VALUE"""),0)</f>
        <v>0</v>
      </c>
      <c r="R23" s="25">
        <f ca="1">IFERROR(__xludf.DUMMYFUNCTION("""COMPUTED_VALUE"""),0.545454545454545)</f>
        <v>0.54545454545454497</v>
      </c>
      <c r="S23" s="25">
        <f ca="1">IFERROR(__xludf.DUMMYFUNCTION("""COMPUTED_VALUE"""),0.5)</f>
        <v>0.5</v>
      </c>
      <c r="T23" s="25">
        <f ca="1">IFERROR(__xludf.DUMMYFUNCTION("""COMPUTED_VALUE"""),0)</f>
        <v>0</v>
      </c>
      <c r="U23" s="25">
        <f ca="1">IFERROR(__xludf.DUMMYFUNCTION("""COMPUTED_VALUE"""),0.363636363636363)</f>
        <v>0.36363636363636298</v>
      </c>
      <c r="V23" s="25">
        <f ca="1">IFERROR(__xludf.DUMMYFUNCTION("""COMPUTED_VALUE"""),0)</f>
        <v>0</v>
      </c>
      <c r="W23" s="4"/>
      <c r="X23" s="4" t="str">
        <f ca="1">IFERROR(__xludf.DUMMYFUNCTION("""COMPUTED_VALUE"""),"| 1 L PHP-CGM @ | 3 P NS @ | 5 P JAVA @ ")</f>
        <v xml:space="preserve">| 1 L PHP-CGM @ | 3 P NS @ | 5 P JAVA @ </v>
      </c>
      <c r="Y23" s="4" t="str">
        <f ca="1">IFERROR(__xludf.DUMMYFUNCTION("""COMPUTED_VALUE"""),"| 1 P Python @ | 3 L JAVA @ | 4 L CPT @ | 5 P JAVA @ ")</f>
        <v xml:space="preserve">| 1 P Python @ | 3 L JAVA @ | 4 L CPT @ | 5 P JAVA @ </v>
      </c>
      <c r="Z23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A23" s="4" t="str">
        <f ca="1">IFERROR(__xludf.DUMMYFUNCTION("""COMPUTED_VALUE"""),"| 3 L PHP-CGM @ | 4 L NS @ | 1 L INE @ | 5 P PRO @ ")</f>
        <v xml:space="preserve">| 3 L PHP-CGM @ | 4 L NS @ | 1 L INE @ | 5 P PRO @ </v>
      </c>
      <c r="AB23" s="4" t="str">
        <f ca="1">IFERROR(__xludf.DUMMYFUNCTION("""COMPUTED_VALUE"""),"| 1 L CPT @ | 2 L NS @ | 3 P CPT @ | 5 P Python @ ")</f>
        <v xml:space="preserve">| 1 L CPT @ | 2 L NS @ | 3 P CPT @ | 5 P Python @ </v>
      </c>
      <c r="AC23" s="4" t="str">
        <f ca="1">IFERROR(__xludf.DUMMYFUNCTION("""COMPUTED_VALUE"""),"| 1 L PHP-CGM % | 2 L JAVA % | 3 P NS @ | 5 P JAVA % ")</f>
        <v xml:space="preserve">| 1 L PHP-CGM % | 2 L JAVA % | 3 P NS @ | 5 P JAVA % </v>
      </c>
      <c r="AD23" s="4" t="str">
        <f ca="1">IFERROR(__xludf.DUMMYFUNCTION("""COMPUTED_VALUE"""),"| 1 P Python @ | 3 L JAVA @ | 4 L CPT @ | 5 P JAVA @ ")</f>
        <v xml:space="preserve">| 1 P Python @ | 3 L JAVA @ | 4 L CPT @ | 5 P JAVA @ </v>
      </c>
      <c r="AE23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23" s="4" t="str">
        <f ca="1">IFERROR(__xludf.DUMMYFUNCTION("""COMPUTED_VALUE"""),"| 3 L PHP-CGM @ | 4 L NS @ | 5 P PRO @ ")</f>
        <v xml:space="preserve">| 3 L PHP-CGM @ | 4 L NS @ | 5 P PRO @ </v>
      </c>
      <c r="AG23" s="4" t="str">
        <f ca="1">IFERROR(__xludf.DUMMYFUNCTION("""COMPUTED_VALUE"""),"| 1 L CPT % | 2 L NS % | 3 P CPT % | 5 P Python @ ")</f>
        <v xml:space="preserve">| 1 L CPT % | 2 L NS % | 3 P CPT % | 5 P Python @ </v>
      </c>
      <c r="AH23" s="4" t="str">
        <f ca="1">IFERROR(__xludf.DUMMYFUNCTION("""COMPUTED_VALUE"""),"| 3 L PHP-CGM % | 4 L NS % | 5 L PRO % ")</f>
        <v xml:space="preserve">| 3 L PHP-CGM % | 4 L NS % | 5 L PRO % </v>
      </c>
      <c r="AI23" s="4" t="str">
        <f ca="1">IFERROR(__xludf.DUMMYFUNCTION("""COMPUTED_VALUE"""),"| 1 L CPT @ | 2 L NS @ | 3 P CPT @ | 5 P Python @ ")</f>
        <v xml:space="preserve">| 1 L CPT @ | 2 L NS @ | 3 P CPT @ | 5 P Python @ </v>
      </c>
      <c r="AJ23" s="4" t="str">
        <f ca="1">IFERROR(__xludf.DUMMYFUNCTION("""COMPUTED_VALUE"""),"| 1 L PHP-CGM % | 2 L JAVA % | 3 P NS % | 5 P JAVA % ")</f>
        <v xml:space="preserve">| 1 L PHP-CGM % | 2 L JAVA % | 3 P NS % | 5 P JAVA % </v>
      </c>
      <c r="AK23" s="4" t="str">
        <f ca="1">IFERROR(__xludf.DUMMYFUNCTION("""COMPUTED_VALUE"""),"| 1 P Python % | 3 L JAVA % | 4 L CPT % | 5 P JAVA % ")</f>
        <v xml:space="preserve">| 1 P Python % | 3 L JAVA % | 4 L CPT % | 5 P JAVA % </v>
      </c>
      <c r="AL23" s="4" t="str">
        <f ca="1">IFERROR(__xludf.DUMMYFUNCTION("""COMPUTED_VALUE"""),"| 1 P PHP-CGM @ | 3 L NS % | 4 L JAVA % | 5 L PHP-CGM @ | 6 L CPT % ")</f>
        <v xml:space="preserve">| 1 P PHP-CGM @ | 3 L NS % | 4 L JAVA % | 5 L PHP-CGM @ | 6 L CPT % </v>
      </c>
      <c r="AM23" s="4" t="str">
        <f ca="1">IFERROR(__xludf.DUMMYFUNCTION("""COMPUTED_VALUE"""),"| 1 L INE @ | 4 L NS % | 3 L PHP-CGM % | 5 L PRO @ ")</f>
        <v xml:space="preserve">| 1 L INE @ | 4 L NS % | 3 L PHP-CGM % | 5 L PRO @ </v>
      </c>
      <c r="AN23" s="4" t="str">
        <f ca="1">IFERROR(__xludf.DUMMYFUNCTION("""COMPUTED_VALUE"""),"| 1 L CPT % | 2 L NS % | 3 P CPT % | 5 P Python % ")</f>
        <v xml:space="preserve">| 1 L CPT % | 2 L NS % | 3 P CPT % | 5 P Python % </v>
      </c>
      <c r="AO23" s="4" t="str">
        <f ca="1">IFERROR(__xludf.DUMMYFUNCTION("""COMPUTED_VALUE"""),"| 1 L PHP-CGM @ | 2 L JAVA @ | 3 P NS % | 5 P JAVA % ")</f>
        <v xml:space="preserve">| 1 L PHP-CGM @ | 2 L JAVA @ | 3 P NS % | 5 P JAVA % </v>
      </c>
      <c r="AP23" s="4" t="str">
        <f ca="1">IFERROR(__xludf.DUMMYFUNCTION("""COMPUTED_VALUE"""),"| 1 P Python @ | 3 L JAVA @ | 4 L CPT @ | 5 P JAVA @ ")</f>
        <v xml:space="preserve">| 1 P Python @ | 3 L JAVA @ | 4 L CPT @ | 5 P JAVA @ </v>
      </c>
      <c r="AQ23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R23" s="4" t="str">
        <f ca="1">IFERROR(__xludf.DUMMYFUNCTION("""COMPUTED_VALUE"""),"| 1 L INE @ | 3 L PHP-CGM % | 4 L NS % | 5 L PRO % ")</f>
        <v xml:space="preserve">| 1 L INE @ | 3 L PHP-CGM % | 4 L NS % | 5 L PRO % </v>
      </c>
      <c r="AS23" s="4" t="str">
        <f ca="1">IFERROR(__xludf.DUMMYFUNCTION("""COMPUTED_VALUE"""),"| 1 L PHP-CGM % | 2 L JAVA % | 3 P NS % | 5 P JAVA % ")</f>
        <v xml:space="preserve">| 1 L PHP-CGM % | 2 L JAVA % | 3 P NS % | 5 P JAVA % </v>
      </c>
      <c r="AT23" s="4" t="str">
        <f ca="1">IFERROR(__xludf.DUMMYFUNCTION("""COMPUTED_VALUE"""),"| 1 P Python % | 3 L JAVA @ | 4 L CPT @ | 5 P JAVA % ")</f>
        <v xml:space="preserve">| 1 P Python % | 3 L JAVA @ | 4 L CPT @ | 5 P JAVA % </v>
      </c>
      <c r="AU23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V23" s="4" t="str">
        <f ca="1">IFERROR(__xludf.DUMMYFUNCTION("""COMPUTED_VALUE"""),"| 1 L INE @ | 3 L PHP-CGM @ | 4 L NS @ | 7 L PRO @ ")</f>
        <v xml:space="preserve">| 1 L INE @ | 3 L PHP-CGM @ | 4 L NS @ | 7 L PRO @ </v>
      </c>
      <c r="AW23" s="4" t="str">
        <f ca="1">IFERROR(__xludf.DUMMYFUNCTION("""COMPUTED_VALUE"""),"| 1 L CPT @ | 2 L NS % | 3 P CPT % | 5 P Python % ")</f>
        <v xml:space="preserve">| 1 L CPT @ | 2 L NS % | 3 P CPT % | 5 P Python % </v>
      </c>
      <c r="AX23" s="4" t="str">
        <f ca="1">IFERROR(__xludf.DUMMYFUNCTION("""COMPUTED_VALUE"""),"| 1 L PHP-CGM % | 2 L JAVA % | 3 P NS % | 5 P JAVA % ")</f>
        <v xml:space="preserve">| 1 L PHP-CGM % | 2 L JAVA % | 3 P NS % | 5 P JAVA % </v>
      </c>
      <c r="AY23" s="4" t="str">
        <f ca="1">IFERROR(__xludf.DUMMYFUNCTION("""COMPUTED_VALUE"""),"| 1 P Python % | 3 L JAVA @ | 4 L CPT @ | 5 P JAVA @ ")</f>
        <v xml:space="preserve">| 1 P Python % | 3 L JAVA @ | 4 L CPT @ | 5 P JAVA @ </v>
      </c>
      <c r="AZ23" s="4" t="str">
        <f ca="1">IFERROR(__xludf.DUMMYFUNCTION("""COMPUTED_VALUE"""),"| 1 L INE % | 3 L PHP-CGM % | 4 L NS % | 5 L PRO % ")</f>
        <v xml:space="preserve">| 1 L INE % | 3 L PHP-CGM % | 4 L NS % | 5 L PRO % </v>
      </c>
      <c r="BA23" s="4" t="str">
        <f ca="1">IFERROR(__xludf.DUMMYFUNCTION("""COMPUTED_VALUE"""),"| 1 L CPT @ | 2 L NS @ | 3 P CPT % | 5 P Python % ")</f>
        <v xml:space="preserve">| 1 L CPT @ | 2 L NS @ | 3 P CPT % | 5 P Python % </v>
      </c>
      <c r="BB23" s="4" t="str">
        <f ca="1">IFERROR(__xludf.DUMMYFUNCTION("""COMPUTED_VALUE"""),"| 1 L PHP-CGM % | 2 L JAVA % | 3 P NS % | 5 P JAVA % ")</f>
        <v xml:space="preserve">| 1 L PHP-CGM % | 2 L JAVA % | 3 P NS % | 5 P JAVA % </v>
      </c>
      <c r="BC23" s="4" t="str">
        <f ca="1">IFERROR(__xludf.DUMMYFUNCTION("""COMPUTED_VALUE"""),"| 1 P Python % | 3 L JAVA % | 4 L CPT % | 5 P JAVA % ")</f>
        <v xml:space="preserve">| 1 P Python % | 3 L JAVA % | 4 L CPT % | 5 P JAVA % </v>
      </c>
      <c r="BD23" s="4" t="str">
        <f ca="1">IFERROR(__xludf.DUMMYFUNCTION("""COMPUTED_VALUE"""),"| 1 P PHP-CGM % | 3 L NS % | 6 L CPT % | 5 L PHP-CGM % | 4 L JAVA % ")</f>
        <v xml:space="preserve">| 1 P PHP-CGM % | 3 L NS % | 6 L CPT % | 5 L PHP-CGM % | 4 L JAVA % </v>
      </c>
      <c r="BE23" s="4" t="str">
        <f ca="1">IFERROR(__xludf.DUMMYFUNCTION("""COMPUTED_VALUE"""),"| 1 L INE % | 3 L PHP-CGM % | 4 L NS % | 5 L PRO % ")</f>
        <v xml:space="preserve">| 1 L INE % | 3 L PHP-CGM % | 4 L NS % | 5 L PRO % </v>
      </c>
      <c r="BF23" s="4" t="str">
        <f ca="1">IFERROR(__xludf.DUMMYFUNCTION("""COMPUTED_VALUE"""),"| 1 L CPT @ | 2 L NS @ | 3 P CPT @ | 5 P JAVA @ ")</f>
        <v xml:space="preserve">| 1 L CPT @ | 2 L NS @ | 3 P CPT @ | 5 P JAVA @ </v>
      </c>
      <c r="BG23" s="4" t="str">
        <f ca="1">IFERROR(__xludf.DUMMYFUNCTION("""COMPUTED_VALUE"""),"| 1 P Python % | 4 L CPT % | 5 P JAVA % ")</f>
        <v xml:space="preserve">| 1 P Python % | 4 L CPT % | 5 P JAVA % </v>
      </c>
      <c r="BH23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23" s="4" t="str">
        <f ca="1">IFERROR(__xludf.DUMMYFUNCTION("""COMPUTED_VALUE"""),"| 1 L INE % | 3 L PHP-CGM % | 4 L NS % | 5 L PRO % ")</f>
        <v xml:space="preserve">| 1 L INE % | 3 L PHP-CGM % | 4 L NS % | 5 L PRO % </v>
      </c>
      <c r="BJ23" s="4" t="str">
        <f ca="1">IFERROR(__xludf.DUMMYFUNCTION("""COMPUTED_VALUE"""),"| 1 L CPT @ | 2 L NS @ | 3 P CPT % | 5 P Python @ ")</f>
        <v xml:space="preserve">| 1 L CPT @ | 2 L NS @ | 3 P CPT % | 5 P Python @ </v>
      </c>
      <c r="BK23" s="4" t="str">
        <f ca="1">IFERROR(__xludf.DUMMYFUNCTION("""COMPUTED_VALUE"""),"| 1 L PHP-CGM @ | 2 L JAVA @ | 3 P NS @ | 5 P JAVA @ ")</f>
        <v xml:space="preserve">| 1 L PHP-CGM @ | 2 L JAVA @ | 3 P NS @ | 5 P JAVA @ </v>
      </c>
      <c r="BL23" s="4" t="str">
        <f ca="1">IFERROR(__xludf.DUMMYFUNCTION("""COMPUTED_VALUE"""),"| 1 P Python % | 3 L JAVA @ | 4 L CPT @ | 5 P JAVA % ")</f>
        <v xml:space="preserve">| 1 P Python % | 3 L JAVA @ | 4 L CPT @ | 5 P JAVA % </v>
      </c>
      <c r="BM23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23" s="4" t="str">
        <f ca="1">IFERROR(__xludf.DUMMYFUNCTION("""COMPUTED_VALUE"""),"| 1 L INE @ | 3 L PHP-CGM @ | 4 L NS @ | 5 L PRO @ ")</f>
        <v xml:space="preserve">| 1 L INE @ | 3 L PHP-CGM @ | 4 L NS @ | 5 L PRO @ </v>
      </c>
      <c r="BO23" s="4" t="str">
        <f ca="1">IFERROR(__xludf.DUMMYFUNCTION("""COMPUTED_VALUE"""),"| 1 L CPT @ | 2 L NS @ | 3 P CPT @ ")</f>
        <v xml:space="preserve">| 1 L CPT @ | 2 L NS @ | 3 P CPT @ </v>
      </c>
      <c r="BP23" s="4" t="str">
        <f ca="1">IFERROR(__xludf.DUMMYFUNCTION("""COMPUTED_VALUE"""),"| 1 L PHP-CGM % | 2 L JAVA % | 3 P NS @ | 5 P JAVA @ ")</f>
        <v xml:space="preserve">| 1 L PHP-CGM % | 2 L JAVA % | 3 P NS @ | 5 P JAVA @ </v>
      </c>
      <c r="BQ23" s="4" t="str">
        <f ca="1">IFERROR(__xludf.DUMMYFUNCTION("""COMPUTED_VALUE"""),"| 5 L PHP-CGM % | 6 L CPT @ ")</f>
        <v xml:space="preserve">| 5 L PHP-CGM % | 6 L CPT @ </v>
      </c>
      <c r="BR23" s="4"/>
      <c r="BS23" s="4"/>
      <c r="BT23" s="4" t="str">
        <f ca="1">IFERROR(__xludf.DUMMYFUNCTION("""COMPUTED_VALUE"""),"| 1 L PHP-CGM @ | 2 L JAVA @ | 3 P NS @ ")</f>
        <v xml:space="preserve">| 1 L PHP-CGM @ | 2 L JAVA @ | 3 P NS @ </v>
      </c>
      <c r="BU23" s="4" t="str">
        <f ca="1">IFERROR(__xludf.DUMMYFUNCTION("""COMPUTED_VALUE"""),"| 1 P Python @ | 4 L CPT @ | 3 L JAVA @ ")</f>
        <v xml:space="preserve">| 1 P Python @ | 4 L CPT @ | 3 L JAVA @ </v>
      </c>
      <c r="BV23" s="4" t="str">
        <f ca="1">IFERROR(__xludf.DUMMYFUNCTION("""COMPUTED_VALUE"""),"| 1 L PHP-CGM @ | 2 L JAVA @ | 3 P NS @ | 5 P JAVA @ ")</f>
        <v xml:space="preserve">| 1 L PHP-CGM @ | 2 L JAVA @ | 3 P NS @ | 5 P JAVA @ </v>
      </c>
      <c r="BW23" s="4" t="str">
        <f ca="1">IFERROR(__xludf.DUMMYFUNCTION("""COMPUTED_VALUE"""),"| 1 P Python @ | 3 L JAVA @ | 4 L CPT @ ")</f>
        <v xml:space="preserve">| 1 P Python @ | 3 L JAVA @ | 4 L CPT @ </v>
      </c>
      <c r="BX23" s="4" t="str">
        <f ca="1">IFERROR(__xludf.DUMMYFUNCTION("""COMPUTED_VALUE"""),"| 1 P PHP-CGM % | 3 L NS @ | 4 L JAVA @ | 5 L PHP-CGM @ | 6 L CPT @ ")</f>
        <v xml:space="preserve">| 1 P PHP-CGM % | 3 L NS @ | 4 L JAVA @ | 5 L PHP-CGM @ | 6 L CPT @ </v>
      </c>
      <c r="BY23" s="4" t="str">
        <f ca="1">IFERROR(__xludf.DUMMYFUNCTION("""COMPUTED_VALUE"""),"| 1 L INE @ | 3 L PHP-CGM % | 4 L NS % | 5 L PRO @ ")</f>
        <v xml:space="preserve">| 1 L INE @ | 3 L PHP-CGM % | 4 L NS % | 5 L PRO @ </v>
      </c>
      <c r="BZ23" s="4" t="str">
        <f ca="1">IFERROR(__xludf.DUMMYFUNCTION("""COMPUTED_VALUE"""),"| 1 L CPT @ | 2 L NS % | 3 P CPT @ | 5 P Python @ ")</f>
        <v xml:space="preserve">| 1 L CPT @ | 2 L NS % | 3 P CPT @ | 5 P Python @ </v>
      </c>
      <c r="CA23" s="4" t="str">
        <f ca="1">IFERROR(__xludf.DUMMYFUNCTION("""COMPUTED_VALUE"""),"| 1 L PHP-CGM @ | 2 L JAVA @ | 3 P NS @ | 5 P JAVA @ ")</f>
        <v xml:space="preserve">| 1 L PHP-CGM @ | 2 L JAVA @ | 3 P NS @ | 5 P JAVA @ </v>
      </c>
      <c r="CB23" s="4" t="str">
        <f ca="1">IFERROR(__xludf.DUMMYFUNCTION("""COMPUTED_VALUE"""),"| 1 P Python % | 3 L JAVA % | 4 L CPT % | 5 P JAVA % ")</f>
        <v xml:space="preserve">| 1 P Python % | 3 L JAVA % | 4 L CPT % | 5 P JAVA % </v>
      </c>
      <c r="CC23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CD23" s="4" t="str">
        <f ca="1">IFERROR(__xludf.DUMMYFUNCTION("""COMPUTED_VALUE"""),"| 1 L INE % | 3 L PHP-CGM @ | 4 L NS @ | 5 L PRO @ ")</f>
        <v xml:space="preserve">| 1 L INE % | 3 L PHP-CGM @ | 4 L NS @ | 5 L PRO @ </v>
      </c>
      <c r="CE23" s="4" t="str">
        <f ca="1">IFERROR(__xludf.DUMMYFUNCTION("""COMPUTED_VALUE"""),"| 1 L CPT % | 2 L NS % | 3 P CPT % | 5 P Python % ")</f>
        <v xml:space="preserve">| 1 L CPT % | 2 L NS % | 3 P CPT % | 5 P Python % </v>
      </c>
      <c r="CF23" s="4" t="str">
        <f ca="1">IFERROR(__xludf.DUMMYFUNCTION("""COMPUTED_VALUE"""),"| 1 L PHP-CGM @ | 2 L JAVA % | 3 P NS % ")</f>
        <v xml:space="preserve">| 1 L PHP-CGM @ | 2 L JAVA % | 3 P NS % </v>
      </c>
      <c r="CG23" s="4" t="str">
        <f ca="1">IFERROR(__xludf.DUMMYFUNCTION("""COMPUTED_VALUE"""),"| 1 P Python % | 4 L CPT % | 5 P JAVA % ")</f>
        <v xml:space="preserve">| 1 P Python % | 4 L CPT % | 5 P JAVA % </v>
      </c>
      <c r="CH23" s="4" t="str">
        <f ca="1">IFERROR(__xludf.DUMMYFUNCTION("""COMPUTED_VALUE"""),"| 3 L NS @ | 6 L CPT @ ")</f>
        <v xml:space="preserve">| 3 L NS @ | 6 L CPT @ </v>
      </c>
      <c r="CI23" s="4" t="str">
        <f ca="1">IFERROR(__xludf.DUMMYFUNCTION("""COMPUTED_VALUE"""),"| 1 L INE @ ")</f>
        <v xml:space="preserve">| 1 L INE @ </v>
      </c>
      <c r="CJ23" s="4" t="str">
        <f ca="1">IFERROR(__xludf.DUMMYFUNCTION("""COMPUTED_VALUE"""),"| 3 P CPT % ")</f>
        <v xml:space="preserve">| 3 P CPT % </v>
      </c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</row>
    <row r="24" spans="1:102" ht="12.5" x14ac:dyDescent="0.25">
      <c r="A24" s="3">
        <f ca="1">IFERROR(__xludf.DUMMYFUNCTION("""COMPUTED_VALUE"""),1)</f>
        <v>1</v>
      </c>
      <c r="B24" s="3" t="str">
        <f ca="1">IFERROR(__xludf.DUMMYFUNCTION("""COMPUTED_VALUE"""),"A")</f>
        <v>A</v>
      </c>
      <c r="C24" s="32" t="str">
        <f ca="1">IFERROR(__xludf.DUMMYFUNCTION("""COMPUTED_VALUE"""),"23291341072")</f>
        <v>23291341072</v>
      </c>
      <c r="D24" s="21" t="str">
        <f ca="1">IFERROR(__xludf.DUMMYFUNCTION("""COMPUTED_VALUE"""),"PARMAR JIGAR RAMESHBHAI")</f>
        <v>PARMAR JIGAR RAMESHBHAI</v>
      </c>
      <c r="E24" s="3" t="str">
        <f ca="1">IFERROR(__xludf.DUMMYFUNCTION("""COMPUTED_VALUE"""),"RRP-Mor")</f>
        <v>RRP-Mor</v>
      </c>
      <c r="F24" s="3">
        <f ca="1">IFERROR(__xludf.DUMMYFUNCTION("""COMPUTED_VALUE"""),7433926798)</f>
        <v>7433926798</v>
      </c>
      <c r="G24" s="3">
        <f ca="1">IFERROR(__xludf.DUMMYFUNCTION("""COMPUTED_VALUE"""),9979536586)</f>
        <v>9979536586</v>
      </c>
      <c r="H24" s="33">
        <f ca="1">IFERROR(__xludf.DUMMYFUNCTION("""COMPUTED_VALUE"""),0.483471074380165)</f>
        <v>0.48347107438016501</v>
      </c>
      <c r="I24" s="25">
        <f ca="1">IFERROR(__xludf.DUMMYFUNCTION("""COMPUTED_VALUE"""),0.416666666666666)</f>
        <v>0.41666666666666602</v>
      </c>
      <c r="J24" s="25">
        <f ca="1">IFERROR(__xludf.DUMMYFUNCTION("""COMPUTED_VALUE"""),0.583333333333333)</f>
        <v>0.58333333333333304</v>
      </c>
      <c r="K24" s="25">
        <f ca="1">IFERROR(__xludf.DUMMYFUNCTION("""COMPUTED_VALUE"""),0.529411764705882)</f>
        <v>0.52941176470588203</v>
      </c>
      <c r="L24" s="25">
        <f ca="1">IFERROR(__xludf.DUMMYFUNCTION("""COMPUTED_VALUE"""),0.461538461538461)</f>
        <v>0.46153846153846101</v>
      </c>
      <c r="M24" s="25">
        <f ca="1">IFERROR(__xludf.DUMMYFUNCTION("""COMPUTED_VALUE"""),0.444444444444444)</f>
        <v>0.44444444444444398</v>
      </c>
      <c r="N24" s="25">
        <f ca="1">IFERROR(__xludf.DUMMYFUNCTION("""COMPUTED_VALUE"""),0.6)</f>
        <v>0.6</v>
      </c>
      <c r="O24" s="25">
        <f ca="1">IFERROR(__xludf.DUMMYFUNCTION("""COMPUTED_VALUE"""),0.545454545454545)</f>
        <v>0.54545454545454497</v>
      </c>
      <c r="P24" s="25">
        <f ca="1">IFERROR(__xludf.DUMMYFUNCTION("""COMPUTED_VALUE"""),0.434782608695652)</f>
        <v>0.434782608695652</v>
      </c>
      <c r="Q24" s="25">
        <f ca="1">IFERROR(__xludf.DUMMYFUNCTION("""COMPUTED_VALUE"""),0)</f>
        <v>0</v>
      </c>
      <c r="R24" s="25">
        <f ca="1">IFERROR(__xludf.DUMMYFUNCTION("""COMPUTED_VALUE"""),0.454545454545454)</f>
        <v>0.45454545454545398</v>
      </c>
      <c r="S24" s="25">
        <f ca="1">IFERROR(__xludf.DUMMYFUNCTION("""COMPUTED_VALUE"""),0.6)</f>
        <v>0.6</v>
      </c>
      <c r="T24" s="25">
        <f ca="1">IFERROR(__xludf.DUMMYFUNCTION("""COMPUTED_VALUE"""),0)</f>
        <v>0</v>
      </c>
      <c r="U24" s="25">
        <f ca="1">IFERROR(__xludf.DUMMYFUNCTION("""COMPUTED_VALUE"""),0.454545454545454)</f>
        <v>0.45454545454545398</v>
      </c>
      <c r="V24" s="25">
        <f ca="1">IFERROR(__xludf.DUMMYFUNCTION("""COMPUTED_VALUE"""),0)</f>
        <v>0</v>
      </c>
      <c r="W24" s="4"/>
      <c r="X24" s="4" t="str">
        <f ca="1">IFERROR(__xludf.DUMMYFUNCTION("""COMPUTED_VALUE"""),"| 1 L PHP-CGM @ | 3 P NS @ | 5 P JAVA @ ")</f>
        <v xml:space="preserve">| 1 L PHP-CGM @ | 3 P NS @ | 5 P JAVA @ </v>
      </c>
      <c r="Y24" s="4" t="str">
        <f ca="1">IFERROR(__xludf.DUMMYFUNCTION("""COMPUTED_VALUE"""),"| 1 P Python @ | 3 L JAVA @ | 4 L CPT @ | 5 P JAVA @ ")</f>
        <v xml:space="preserve">| 1 P Python @ | 3 L JAVA @ | 4 L CPT @ | 5 P JAVA @ </v>
      </c>
      <c r="Z24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24" s="4" t="str">
        <f ca="1">IFERROR(__xludf.DUMMYFUNCTION("""COMPUTED_VALUE"""),"| 3 L PHP-CGM @ | 4 L NS @ | 1 L INE @ | 5 P PRO @ ")</f>
        <v xml:space="preserve">| 3 L PHP-CGM @ | 4 L NS @ | 1 L INE @ | 5 P PRO @ </v>
      </c>
      <c r="AB24" s="4" t="str">
        <f ca="1">IFERROR(__xludf.DUMMYFUNCTION("""COMPUTED_VALUE"""),"| 1 L CPT @ | 2 L NS @ | 3 P CPT @ | 5 P Python @ ")</f>
        <v xml:space="preserve">| 1 L CPT @ | 2 L NS @ | 3 P CPT @ | 5 P Python @ </v>
      </c>
      <c r="AC24" s="4" t="str">
        <f ca="1">IFERROR(__xludf.DUMMYFUNCTION("""COMPUTED_VALUE"""),"| 1 L PHP-CGM @ | 2 L JAVA @ | 3 P NS @ | 5 P JAVA @ ")</f>
        <v xml:space="preserve">| 1 L PHP-CGM @ | 2 L JAVA @ | 3 P NS @ | 5 P JAVA @ </v>
      </c>
      <c r="AD24" s="4" t="str">
        <f ca="1">IFERROR(__xludf.DUMMYFUNCTION("""COMPUTED_VALUE"""),"| 1 P Python @ | 3 L JAVA @ | 4 L CPT @ | 5 P JAVA @ ")</f>
        <v xml:space="preserve">| 1 P Python @ | 3 L JAVA @ | 4 L CPT @ | 5 P JAVA @ </v>
      </c>
      <c r="AE24" s="4" t="str">
        <f ca="1">IFERROR(__xludf.DUMMYFUNCTION("""COMPUTED_VALUE"""),"| 1 P PHP-CGM @ | 4 L JAVA @ | 3 L NS @ | 5 L PHP-CGM @ | 6 L CPT @ ")</f>
        <v xml:space="preserve">| 1 P PHP-CGM @ | 4 L JAVA @ | 3 L NS @ | 5 L PHP-CGM @ | 6 L CPT @ </v>
      </c>
      <c r="AF24" s="4" t="str">
        <f ca="1">IFERROR(__xludf.DUMMYFUNCTION("""COMPUTED_VALUE"""),"| 3 L PHP-CGM @ | 4 L NS @ | 5 P PRO @ ")</f>
        <v xml:space="preserve">| 3 L PHP-CGM @ | 4 L NS @ | 5 P PRO @ </v>
      </c>
      <c r="AG24" s="4" t="str">
        <f ca="1">IFERROR(__xludf.DUMMYFUNCTION("""COMPUTED_VALUE"""),"| 1 L CPT @ | 2 L NS @ | 3 P CPT @ | 5 P Python @ ")</f>
        <v xml:space="preserve">| 1 L CPT @ | 2 L NS @ | 3 P CPT @ | 5 P Python @ </v>
      </c>
      <c r="AH24" s="4" t="str">
        <f ca="1">IFERROR(__xludf.DUMMYFUNCTION("""COMPUTED_VALUE"""),"| 3 L PHP-CGM @ | 4 L NS @ | 5 L PRO @ ")</f>
        <v xml:space="preserve">| 3 L PHP-CGM @ | 4 L NS @ | 5 L PRO @ </v>
      </c>
      <c r="AI24" s="4" t="str">
        <f ca="1">IFERROR(__xludf.DUMMYFUNCTION("""COMPUTED_VALUE"""),"| 1 L CPT @ | 2 L NS @ | 3 P CPT @ | 5 P Python @ ")</f>
        <v xml:space="preserve">| 1 L CPT @ | 2 L NS @ | 3 P CPT @ | 5 P Python @ </v>
      </c>
      <c r="AJ24" s="4" t="str">
        <f ca="1">IFERROR(__xludf.DUMMYFUNCTION("""COMPUTED_VALUE"""),"| 1 L PHP-CGM @ | 2 L JAVA @ | 3 P NS @ | 5 P JAVA @ ")</f>
        <v xml:space="preserve">| 1 L PHP-CGM @ | 2 L JAVA @ | 3 P NS @ | 5 P JAVA @ </v>
      </c>
      <c r="AK24" s="4" t="str">
        <f ca="1">IFERROR(__xludf.DUMMYFUNCTION("""COMPUTED_VALUE"""),"| 1 P Python @ | 3 L JAVA @ | 4 L CPT @ | 5 P JAVA @ ")</f>
        <v xml:space="preserve">| 1 P Python @ | 3 L JAVA @ | 4 L CPT @ | 5 P JAVA @ </v>
      </c>
      <c r="AL24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M24" s="4" t="str">
        <f ca="1">IFERROR(__xludf.DUMMYFUNCTION("""COMPUTED_VALUE"""),"| 1 L INE @ | 4 L NS @ | 3 L PHP-CGM @ | 5 L PRO @ ")</f>
        <v xml:space="preserve">| 1 L INE @ | 4 L NS @ | 3 L PHP-CGM @ | 5 L PRO @ </v>
      </c>
      <c r="AN24" s="4" t="str">
        <f ca="1">IFERROR(__xludf.DUMMYFUNCTION("""COMPUTED_VALUE"""),"| 1 L CPT @ | 2 L NS @ | 3 P CPT @ | 5 P Python @ ")</f>
        <v xml:space="preserve">| 1 L CPT @ | 2 L NS @ | 3 P CPT @ | 5 P Python @ </v>
      </c>
      <c r="AO24" s="4" t="str">
        <f ca="1">IFERROR(__xludf.DUMMYFUNCTION("""COMPUTED_VALUE"""),"| 1 L PHP-CGM @ | 2 L JAVA @ | 3 P NS @ | 5 P JAVA @ ")</f>
        <v xml:space="preserve">| 1 L PHP-CGM @ | 2 L JAVA @ | 3 P NS @ | 5 P JAVA @ </v>
      </c>
      <c r="AP24" s="4" t="str">
        <f ca="1">IFERROR(__xludf.DUMMYFUNCTION("""COMPUTED_VALUE"""),"| 1 P Python % | 3 L JAVA % | 4 L CPT % | 5 P JAVA % ")</f>
        <v xml:space="preserve">| 1 P Python % | 3 L JAVA % | 4 L CPT % | 5 P JAVA % </v>
      </c>
      <c r="AQ2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R24" s="4" t="str">
        <f ca="1">IFERROR(__xludf.DUMMYFUNCTION("""COMPUTED_VALUE"""),"| 1 L INE % | 3 L PHP-CGM % | 4 L NS % | 5 L PRO % ")</f>
        <v xml:space="preserve">| 1 L INE % | 3 L PHP-CGM % | 4 L NS % | 5 L PRO % </v>
      </c>
      <c r="AS24" s="4" t="str">
        <f ca="1">IFERROR(__xludf.DUMMYFUNCTION("""COMPUTED_VALUE"""),"| 1 L PHP-CGM % | 2 L JAVA % | 3 P NS % | 5 P JAVA % ")</f>
        <v xml:space="preserve">| 1 L PHP-CGM % | 2 L JAVA % | 3 P NS % | 5 P JAVA % </v>
      </c>
      <c r="AT24" s="4" t="str">
        <f ca="1">IFERROR(__xludf.DUMMYFUNCTION("""COMPUTED_VALUE"""),"| 1 P Python % | 3 L JAVA % | 4 L CPT % | 5 P JAVA % ")</f>
        <v xml:space="preserve">| 1 P Python % | 3 L JAVA % | 4 L CPT % | 5 P JAVA % </v>
      </c>
      <c r="AU24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V24" s="4" t="str">
        <f ca="1">IFERROR(__xludf.DUMMYFUNCTION("""COMPUTED_VALUE"""),"| 1 L INE % | 3 L PHP-CGM % | 4 L NS % | 7 L PRO % ")</f>
        <v xml:space="preserve">| 1 L INE % | 3 L PHP-CGM % | 4 L NS % | 7 L PRO % </v>
      </c>
      <c r="AW24" s="4" t="str">
        <f ca="1">IFERROR(__xludf.DUMMYFUNCTION("""COMPUTED_VALUE"""),"| 1 L CPT % | 2 L NS % | 3 P CPT % | 5 P Python @ ")</f>
        <v xml:space="preserve">| 1 L CPT % | 2 L NS % | 3 P CPT % | 5 P Python @ </v>
      </c>
      <c r="AX24" s="4" t="str">
        <f ca="1">IFERROR(__xludf.DUMMYFUNCTION("""COMPUTED_VALUE"""),"| 1 L PHP-CGM % | 2 L JAVA % | 3 P NS % | 5 P JAVA % ")</f>
        <v xml:space="preserve">| 1 L PHP-CGM % | 2 L JAVA % | 3 P NS % | 5 P JAVA % </v>
      </c>
      <c r="AY24" s="4" t="str">
        <f ca="1">IFERROR(__xludf.DUMMYFUNCTION("""COMPUTED_VALUE"""),"| 1 P Python % | 3 L JAVA % | 4 L CPT % | 5 P JAVA % ")</f>
        <v xml:space="preserve">| 1 P Python % | 3 L JAVA % | 4 L CPT % | 5 P JAVA % </v>
      </c>
      <c r="AZ24" s="4" t="str">
        <f ca="1">IFERROR(__xludf.DUMMYFUNCTION("""COMPUTED_VALUE"""),"| 1 L INE % | 3 L PHP-CGM % | 4 L NS % | 5 L PRO % ")</f>
        <v xml:space="preserve">| 1 L INE % | 3 L PHP-CGM % | 4 L NS % | 5 L PRO % </v>
      </c>
      <c r="BA24" s="4" t="str">
        <f ca="1">IFERROR(__xludf.DUMMYFUNCTION("""COMPUTED_VALUE"""),"| 1 L CPT % | 2 L NS % | 3 P CPT % | 5 P Python @ ")</f>
        <v xml:space="preserve">| 1 L CPT % | 2 L NS % | 3 P CPT % | 5 P Python @ </v>
      </c>
      <c r="BB24" s="4" t="str">
        <f ca="1">IFERROR(__xludf.DUMMYFUNCTION("""COMPUTED_VALUE"""),"| 1 L PHP-CGM @ | 2 L JAVA @ | 3 P NS @ | 5 P JAVA @ ")</f>
        <v xml:space="preserve">| 1 L PHP-CGM @ | 2 L JAVA @ | 3 P NS @ | 5 P JAVA @ </v>
      </c>
      <c r="BC24" s="4" t="str">
        <f ca="1">IFERROR(__xludf.DUMMYFUNCTION("""COMPUTED_VALUE"""),"| 1 P Python @ | 3 L JAVA @ | 4 L CPT @ | 5 P JAVA @ ")</f>
        <v xml:space="preserve">| 1 P Python @ | 3 L JAVA @ | 4 L CPT @ | 5 P JAVA @ </v>
      </c>
      <c r="BD24" s="4" t="str">
        <f ca="1">IFERROR(__xludf.DUMMYFUNCTION("""COMPUTED_VALUE"""),"| 1 P PHP-CGM % | 3 L NS % | 6 L CPT @ | 5 L PHP-CGM @ | 4 L JAVA % ")</f>
        <v xml:space="preserve">| 1 P PHP-CGM % | 3 L NS % | 6 L CPT @ | 5 L PHP-CGM @ | 4 L JAVA % </v>
      </c>
      <c r="BE24" s="4" t="str">
        <f ca="1">IFERROR(__xludf.DUMMYFUNCTION("""COMPUTED_VALUE"""),"| 1 L INE @ | 3 L PHP-CGM @ | 4 L NS @ | 5 L PRO @ ")</f>
        <v xml:space="preserve">| 1 L INE @ | 3 L PHP-CGM @ | 4 L NS @ | 5 L PRO @ </v>
      </c>
      <c r="BF24" s="4" t="str">
        <f ca="1">IFERROR(__xludf.DUMMYFUNCTION("""COMPUTED_VALUE"""),"| 1 L CPT @ | 2 L NS @ | 3 P CPT @ | 5 P JAVA @ ")</f>
        <v xml:space="preserve">| 1 L CPT @ | 2 L NS @ | 3 P CPT @ | 5 P JAVA @ </v>
      </c>
      <c r="BG24" s="4" t="str">
        <f ca="1">IFERROR(__xludf.DUMMYFUNCTION("""COMPUTED_VALUE"""),"| 1 P Python % | 4 L CPT @ | 5 P JAVA % ")</f>
        <v xml:space="preserve">| 1 P Python % | 4 L CPT @ | 5 P JAVA % </v>
      </c>
      <c r="BH24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24" s="4" t="str">
        <f ca="1">IFERROR(__xludf.DUMMYFUNCTION("""COMPUTED_VALUE"""),"| 1 L INE @ | 3 L PHP-CGM % | 4 L NS % | 5 L PRO % ")</f>
        <v xml:space="preserve">| 1 L INE @ | 3 L PHP-CGM % | 4 L NS % | 5 L PRO % </v>
      </c>
      <c r="BJ24" s="4" t="str">
        <f ca="1">IFERROR(__xludf.DUMMYFUNCTION("""COMPUTED_VALUE"""),"| 1 L CPT % | 2 L NS % | 3 P CPT % | 5 P Python @ ")</f>
        <v xml:space="preserve">| 1 L CPT % | 2 L NS % | 3 P CPT % | 5 P Python @ </v>
      </c>
      <c r="BK24" s="4" t="str">
        <f ca="1">IFERROR(__xludf.DUMMYFUNCTION("""COMPUTED_VALUE"""),"| 1 L PHP-CGM @ | 2 L JAVA @ | 3 P NS @ | 5 P JAVA @ ")</f>
        <v xml:space="preserve">| 1 L PHP-CGM @ | 2 L JAVA @ | 3 P NS @ | 5 P JAVA @ </v>
      </c>
      <c r="BL24" s="4" t="str">
        <f ca="1">IFERROR(__xludf.DUMMYFUNCTION("""COMPUTED_VALUE"""),"| 1 P Python @ | 3 L JAVA @ | 4 L CPT @ | 5 P JAVA @ ")</f>
        <v xml:space="preserve">| 1 P Python @ | 3 L JAVA @ | 4 L CPT @ | 5 P JAVA @ </v>
      </c>
      <c r="BM24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24" s="4" t="str">
        <f ca="1">IFERROR(__xludf.DUMMYFUNCTION("""COMPUTED_VALUE"""),"| 1 L INE @ | 3 L PHP-CGM @ | 4 L NS @ | 5 L PRO @ ")</f>
        <v xml:space="preserve">| 1 L INE @ | 3 L PHP-CGM @ | 4 L NS @ | 5 L PRO @ </v>
      </c>
      <c r="BO24" s="4" t="str">
        <f ca="1">IFERROR(__xludf.DUMMYFUNCTION("""COMPUTED_VALUE"""),"| 1 L CPT % | 2 L NS % | 3 P CPT % ")</f>
        <v xml:space="preserve">| 1 L CPT % | 2 L NS % | 3 P CPT % </v>
      </c>
      <c r="BP24" s="4" t="str">
        <f ca="1">IFERROR(__xludf.DUMMYFUNCTION("""COMPUTED_VALUE"""),"| 1 L PHP-CGM % | 2 L JAVA % | 3 P NS % | 5 P JAVA % ")</f>
        <v xml:space="preserve">| 1 L PHP-CGM % | 2 L JAVA % | 3 P NS % | 5 P JAVA % </v>
      </c>
      <c r="BQ24" s="4" t="str">
        <f ca="1">IFERROR(__xludf.DUMMYFUNCTION("""COMPUTED_VALUE"""),"| 5 L PHP-CGM % | 6 L CPT @ ")</f>
        <v xml:space="preserve">| 5 L PHP-CGM % | 6 L CPT @ </v>
      </c>
      <c r="BR24" s="4"/>
      <c r="BS24" s="4"/>
      <c r="BT24" s="4" t="str">
        <f ca="1">IFERROR(__xludf.DUMMYFUNCTION("""COMPUTED_VALUE"""),"| 1 L PHP-CGM % | 2 L JAVA % | 3 P NS % ")</f>
        <v xml:space="preserve">| 1 L PHP-CGM % | 2 L JAVA % | 3 P NS % </v>
      </c>
      <c r="BU24" s="4" t="str">
        <f ca="1">IFERROR(__xludf.DUMMYFUNCTION("""COMPUTED_VALUE"""),"| 1 P Python % | 4 L CPT % | 3 L JAVA % ")</f>
        <v xml:space="preserve">| 1 P Python % | 4 L CPT % | 3 L JAVA % </v>
      </c>
      <c r="BV24" s="4" t="str">
        <f ca="1">IFERROR(__xludf.DUMMYFUNCTION("""COMPUTED_VALUE"""),"| 1 L PHP-CGM @ | 2 L JAVA @ | 3 P NS @ | 5 P JAVA @ ")</f>
        <v xml:space="preserve">| 1 L PHP-CGM @ | 2 L JAVA @ | 3 P NS @ | 5 P JAVA @ </v>
      </c>
      <c r="BW24" s="4" t="str">
        <f ca="1">IFERROR(__xludf.DUMMYFUNCTION("""COMPUTED_VALUE"""),"| 1 P Python % | 3 L JAVA % | 4 L CPT % ")</f>
        <v xml:space="preserve">| 1 P Python % | 3 L JAVA % | 4 L CPT % </v>
      </c>
      <c r="BX2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BY24" s="4" t="str">
        <f ca="1">IFERROR(__xludf.DUMMYFUNCTION("""COMPUTED_VALUE"""),"| 1 L INE % | 3 L PHP-CGM % | 4 L NS % | 5 L PRO % ")</f>
        <v xml:space="preserve">| 1 L INE % | 3 L PHP-CGM % | 4 L NS % | 5 L PRO % </v>
      </c>
      <c r="BZ24" s="4" t="str">
        <f ca="1">IFERROR(__xludf.DUMMYFUNCTION("""COMPUTED_VALUE"""),"| 1 L CPT % | 2 L NS % | 3 P CPT % | 5 P Python % ")</f>
        <v xml:space="preserve">| 1 L CPT % | 2 L NS % | 3 P CPT % | 5 P Python % </v>
      </c>
      <c r="CA24" s="4" t="str">
        <f ca="1">IFERROR(__xludf.DUMMYFUNCTION("""COMPUTED_VALUE"""),"| 1 L PHP-CGM % | 2 L JAVA % | 3 P NS % | 5 P JAVA % ")</f>
        <v xml:space="preserve">| 1 L PHP-CGM % | 2 L JAVA % | 3 P NS % | 5 P JAVA % </v>
      </c>
      <c r="CB24" s="4" t="str">
        <f ca="1">IFERROR(__xludf.DUMMYFUNCTION("""COMPUTED_VALUE"""),"| 1 P Python % | 3 L JAVA % | 4 L CPT % | 5 P JAVA % ")</f>
        <v xml:space="preserve">| 1 P Python % | 3 L JAVA % | 4 L CPT % | 5 P JAVA % </v>
      </c>
      <c r="CC24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24" s="4" t="str">
        <f ca="1">IFERROR(__xludf.DUMMYFUNCTION("""COMPUTED_VALUE"""),"| 1 L INE % | 3 L PHP-CGM % | 4 L NS % | 5 L PRO % ")</f>
        <v xml:space="preserve">| 1 L INE % | 3 L PHP-CGM % | 4 L NS % | 5 L PRO % </v>
      </c>
      <c r="CE24" s="4" t="str">
        <f ca="1">IFERROR(__xludf.DUMMYFUNCTION("""COMPUTED_VALUE"""),"| 1 L CPT % | 2 L NS % | 3 P CPT % | 5 P Python % ")</f>
        <v xml:space="preserve">| 1 L CPT % | 2 L NS % | 3 P CPT % | 5 P Python % </v>
      </c>
      <c r="CF24" s="4" t="str">
        <f ca="1">IFERROR(__xludf.DUMMYFUNCTION("""COMPUTED_VALUE"""),"| 1 L PHP-CGM % | 2 L JAVA % | 3 P NS % ")</f>
        <v xml:space="preserve">| 1 L PHP-CGM % | 2 L JAVA % | 3 P NS % </v>
      </c>
      <c r="CG24" s="4" t="str">
        <f ca="1">IFERROR(__xludf.DUMMYFUNCTION("""COMPUTED_VALUE"""),"| 1 P Python % | 4 L CPT @ | 5 P JAVA % ")</f>
        <v xml:space="preserve">| 1 P Python % | 4 L CPT @ | 5 P JAVA % </v>
      </c>
      <c r="CH24" s="4" t="str">
        <f ca="1">IFERROR(__xludf.DUMMYFUNCTION("""COMPUTED_VALUE"""),"| 3 L NS @ | 6 L CPT @ ")</f>
        <v xml:space="preserve">| 3 L NS @ | 6 L CPT @ </v>
      </c>
      <c r="CI24" s="4" t="str">
        <f ca="1">IFERROR(__xludf.DUMMYFUNCTION("""COMPUTED_VALUE"""),"| 1 L INE @ ")</f>
        <v xml:space="preserve">| 1 L INE @ </v>
      </c>
      <c r="CJ24" s="4" t="str">
        <f ca="1">IFERROR(__xludf.DUMMYFUNCTION("""COMPUTED_VALUE"""),"| 3 P CPT % ")</f>
        <v xml:space="preserve">| 3 P CPT % </v>
      </c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 spans="1:102" ht="12.5" x14ac:dyDescent="0.25">
      <c r="A25" s="3">
        <f ca="1">IFERROR(__xludf.DUMMYFUNCTION("""COMPUTED_VALUE"""),1)</f>
        <v>1</v>
      </c>
      <c r="B25" s="3" t="str">
        <f ca="1">IFERROR(__xludf.DUMMYFUNCTION("""COMPUTED_VALUE"""),"A")</f>
        <v>A</v>
      </c>
      <c r="C25" s="32" t="str">
        <f ca="1">IFERROR(__xludf.DUMMYFUNCTION("""COMPUTED_VALUE"""),"23291341073")</f>
        <v>23291341073</v>
      </c>
      <c r="D25" s="21" t="str">
        <f ca="1">IFERROR(__xludf.DUMMYFUNCTION("""COMPUTED_VALUE"""),"PARMAR RAJAN DIVYAKANT")</f>
        <v>PARMAR RAJAN DIVYAKANT</v>
      </c>
      <c r="E25" s="3" t="str">
        <f ca="1">IFERROR(__xludf.DUMMYFUNCTION("""COMPUTED_VALUE"""),"RRP-Mor")</f>
        <v>RRP-Mor</v>
      </c>
      <c r="F25" s="3">
        <f ca="1">IFERROR(__xludf.DUMMYFUNCTION("""COMPUTED_VALUE"""),9427003557)</f>
        <v>9427003557</v>
      </c>
      <c r="G25" s="3">
        <f ca="1">IFERROR(__xludf.DUMMYFUNCTION("""COMPUTED_VALUE"""),8000071313)</f>
        <v>8000071313</v>
      </c>
      <c r="H25" s="33">
        <f ca="1">IFERROR(__xludf.DUMMYFUNCTION("""COMPUTED_VALUE"""),0.446280991735537)</f>
        <v>0.44628099173553698</v>
      </c>
      <c r="I25" s="25">
        <f ca="1">IFERROR(__xludf.DUMMYFUNCTION("""COMPUTED_VALUE"""),0.333333333333333)</f>
        <v>0.33333333333333298</v>
      </c>
      <c r="J25" s="25">
        <f ca="1">IFERROR(__xludf.DUMMYFUNCTION("""COMPUTED_VALUE"""),0.416666666666666)</f>
        <v>0.41666666666666602</v>
      </c>
      <c r="K25" s="25">
        <f ca="1">IFERROR(__xludf.DUMMYFUNCTION("""COMPUTED_VALUE"""),0.411764705882352)</f>
        <v>0.41176470588235198</v>
      </c>
      <c r="L25" s="25">
        <f ca="1">IFERROR(__xludf.DUMMYFUNCTION("""COMPUTED_VALUE"""),0.769230769230769)</f>
        <v>0.76923076923076905</v>
      </c>
      <c r="M25" s="25">
        <f ca="1">IFERROR(__xludf.DUMMYFUNCTION("""COMPUTED_VALUE"""),0.5)</f>
        <v>0.5</v>
      </c>
      <c r="N25" s="25">
        <f ca="1">IFERROR(__xludf.DUMMYFUNCTION("""COMPUTED_VALUE"""),0.7)</f>
        <v>0.7</v>
      </c>
      <c r="O25" s="25">
        <f ca="1">IFERROR(__xludf.DUMMYFUNCTION("""COMPUTED_VALUE"""),0.606060606060606)</f>
        <v>0.60606060606060597</v>
      </c>
      <c r="P25" s="25">
        <f ca="1">IFERROR(__xludf.DUMMYFUNCTION("""COMPUTED_VALUE"""),0.434782608695652)</f>
        <v>0.434782608695652</v>
      </c>
      <c r="Q25" s="25">
        <f ca="1">IFERROR(__xludf.DUMMYFUNCTION("""COMPUTED_VALUE"""),0)</f>
        <v>0</v>
      </c>
      <c r="R25" s="25">
        <f ca="1">IFERROR(__xludf.DUMMYFUNCTION("""COMPUTED_VALUE"""),0.363636363636363)</f>
        <v>0.36363636363636298</v>
      </c>
      <c r="S25" s="25">
        <f ca="1">IFERROR(__xludf.DUMMYFUNCTION("""COMPUTED_VALUE"""),0.1)</f>
        <v>0.1</v>
      </c>
      <c r="T25" s="25">
        <f ca="1">IFERROR(__xludf.DUMMYFUNCTION("""COMPUTED_VALUE"""),0.5)</f>
        <v>0.5</v>
      </c>
      <c r="U25" s="25">
        <f ca="1">IFERROR(__xludf.DUMMYFUNCTION("""COMPUTED_VALUE"""),0.181818181818181)</f>
        <v>0.18181818181818099</v>
      </c>
      <c r="V25" s="25">
        <f ca="1">IFERROR(__xludf.DUMMYFUNCTION("""COMPUTED_VALUE"""),0)</f>
        <v>0</v>
      </c>
      <c r="W25" s="4"/>
      <c r="X25" s="4" t="str">
        <f ca="1">IFERROR(__xludf.DUMMYFUNCTION("""COMPUTED_VALUE"""),"| 1 L PHP-CGM @ | 3 P NS @ | 5 P JAVA @ ")</f>
        <v xml:space="preserve">| 1 L PHP-CGM @ | 3 P NS @ | 5 P JAVA @ </v>
      </c>
      <c r="Y25" s="4" t="str">
        <f ca="1">IFERROR(__xludf.DUMMYFUNCTION("""COMPUTED_VALUE"""),"| 1 P Python % | 3 L JAVA % | 4 L CPT % | 5 P JAVA % ")</f>
        <v xml:space="preserve">| 1 P Python % | 3 L JAVA % | 4 L CPT % | 5 P JAVA % </v>
      </c>
      <c r="Z25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AA25" s="4" t="str">
        <f ca="1">IFERROR(__xludf.DUMMYFUNCTION("""COMPUTED_VALUE"""),"| 3 L PHP-CGM % | 4 L NS % | 1 L INE % | 5 P PRO % ")</f>
        <v xml:space="preserve">| 3 L PHP-CGM % | 4 L NS % | 1 L INE % | 5 P PRO % </v>
      </c>
      <c r="AB25" s="4" t="str">
        <f ca="1">IFERROR(__xludf.DUMMYFUNCTION("""COMPUTED_VALUE"""),"| 1 L CPT @ | 2 L NS @ | 3 P CPT @ | 5 P Python @ ")</f>
        <v xml:space="preserve">| 1 L CPT @ | 2 L NS @ | 3 P CPT @ | 5 P Python @ </v>
      </c>
      <c r="AC25" s="4" t="str">
        <f ca="1">IFERROR(__xludf.DUMMYFUNCTION("""COMPUTED_VALUE"""),"| 1 L PHP-CGM % | 2 L JAVA % | 3 P NS % | 5 P JAVA % ")</f>
        <v xml:space="preserve">| 1 L PHP-CGM % | 2 L JAVA % | 3 P NS % | 5 P JAVA % </v>
      </c>
      <c r="AD25" s="4" t="str">
        <f ca="1">IFERROR(__xludf.DUMMYFUNCTION("""COMPUTED_VALUE"""),"| 1 P Python % | 3 L JAVA % | 4 L CPT % | 5 P JAVA @ ")</f>
        <v xml:space="preserve">| 1 P Python % | 3 L JAVA % | 4 L CPT % | 5 P JAVA @ </v>
      </c>
      <c r="AE25" s="4" t="str">
        <f ca="1">IFERROR(__xludf.DUMMYFUNCTION("""COMPUTED_VALUE"""),"| 1 P PHP-CGM % | 4 L JAVA % | 3 L NS % | 5 L PHP-CGM % | 6 L CPT % ")</f>
        <v xml:space="preserve">| 1 P PHP-CGM % | 4 L JAVA % | 3 L NS % | 5 L PHP-CGM % | 6 L CPT % </v>
      </c>
      <c r="AF25" s="4" t="str">
        <f ca="1">IFERROR(__xludf.DUMMYFUNCTION("""COMPUTED_VALUE"""),"| 3 L PHP-CGM % | 4 L NS % | 5 P PRO @ ")</f>
        <v xml:space="preserve">| 3 L PHP-CGM % | 4 L NS % | 5 P PRO @ </v>
      </c>
      <c r="AG25" s="4" t="str">
        <f ca="1">IFERROR(__xludf.DUMMYFUNCTION("""COMPUTED_VALUE"""),"| 1 L CPT @ | 2 L NS @ | 3 P CPT @ | 5 P Python @ ")</f>
        <v xml:space="preserve">| 1 L CPT @ | 2 L NS @ | 3 P CPT @ | 5 P Python @ </v>
      </c>
      <c r="AH25" s="4" t="str">
        <f ca="1">IFERROR(__xludf.DUMMYFUNCTION("""COMPUTED_VALUE"""),"| 3 L PHP-CGM % | 4 L NS % | 5 L PRO @ ")</f>
        <v xml:space="preserve">| 3 L PHP-CGM % | 4 L NS % | 5 L PRO @ </v>
      </c>
      <c r="AI25" s="4" t="str">
        <f ca="1">IFERROR(__xludf.DUMMYFUNCTION("""COMPUTED_VALUE"""),"| 1 L CPT @ | 2 L NS @ | 3 P CPT @ | 5 P Python @ ")</f>
        <v xml:space="preserve">| 1 L CPT @ | 2 L NS @ | 3 P CPT @ | 5 P Python @ </v>
      </c>
      <c r="AJ25" s="4" t="str">
        <f ca="1">IFERROR(__xludf.DUMMYFUNCTION("""COMPUTED_VALUE"""),"| 1 L PHP-CGM @ | 2 L JAVA @ | 3 P NS % | 5 P JAVA @ ")</f>
        <v xml:space="preserve">| 1 L PHP-CGM @ | 2 L JAVA @ | 3 P NS % | 5 P JAVA @ </v>
      </c>
      <c r="AK25" s="4" t="str">
        <f ca="1">IFERROR(__xludf.DUMMYFUNCTION("""COMPUTED_VALUE"""),"| 1 P Python @ | 3 L JAVA % | 4 L CPT % | 5 P JAVA % ")</f>
        <v xml:space="preserve">| 1 P Python @ | 3 L JAVA % | 4 L CPT % | 5 P JAVA % </v>
      </c>
      <c r="AL25" s="4" t="str">
        <f ca="1">IFERROR(__xludf.DUMMYFUNCTION("""COMPUTED_VALUE"""),"| 1 P PHP-CGM % | 3 L NS @ | 4 L JAVA @ | 5 L PHP-CGM @ | 6 L CPT @ ")</f>
        <v xml:space="preserve">| 1 P PHP-CGM % | 3 L NS @ | 4 L JAVA @ | 5 L PHP-CGM @ | 6 L CPT @ </v>
      </c>
      <c r="AM25" s="4" t="str">
        <f ca="1">IFERROR(__xludf.DUMMYFUNCTION("""COMPUTED_VALUE"""),"| 1 L INE @ | 4 L NS @ | 3 L PHP-CGM @ | 5 L PRO @ ")</f>
        <v xml:space="preserve">| 1 L INE @ | 4 L NS @ | 3 L PHP-CGM @ | 5 L PRO @ </v>
      </c>
      <c r="AN25" s="4" t="str">
        <f ca="1">IFERROR(__xludf.DUMMYFUNCTION("""COMPUTED_VALUE"""),"| 1 L CPT @ | 2 L NS @ | 3 P CPT % | 5 P Python @ ")</f>
        <v xml:space="preserve">| 1 L CPT @ | 2 L NS @ | 3 P CPT % | 5 P Python @ </v>
      </c>
      <c r="AO25" s="4" t="str">
        <f ca="1">IFERROR(__xludf.DUMMYFUNCTION("""COMPUTED_VALUE"""),"| 1 L PHP-CGM % | 2 L JAVA % | 3 P NS % | 5 P JAVA % ")</f>
        <v xml:space="preserve">| 1 L PHP-CGM % | 2 L JAVA % | 3 P NS % | 5 P JAVA % </v>
      </c>
      <c r="AP25" s="4" t="str">
        <f ca="1">IFERROR(__xludf.DUMMYFUNCTION("""COMPUTED_VALUE"""),"| 1 P Python % | 3 L JAVA % | 4 L CPT % | 5 P JAVA % ")</f>
        <v xml:space="preserve">| 1 P Python % | 3 L JAVA % | 4 L CPT % | 5 P JAVA % </v>
      </c>
      <c r="AQ25" s="4" t="str">
        <f ca="1">IFERROR(__xludf.DUMMYFUNCTION("""COMPUTED_VALUE"""),"| 1 P PHP-CGM @ | 3 L NS % | 4 L JAVA % | 5 L PHP-CGM % | 6 L CPT % ")</f>
        <v xml:space="preserve">| 1 P PHP-CGM @ | 3 L NS % | 4 L JAVA % | 5 L PHP-CGM % | 6 L CPT % </v>
      </c>
      <c r="AR25" s="4" t="str">
        <f ca="1">IFERROR(__xludf.DUMMYFUNCTION("""COMPUTED_VALUE"""),"| 1 L INE @ | 3 L PHP-CGM @ | 4 L NS @ | 5 L PRO @ ")</f>
        <v xml:space="preserve">| 1 L INE @ | 3 L PHP-CGM @ | 4 L NS @ | 5 L PRO @ </v>
      </c>
      <c r="AS25" s="4" t="str">
        <f ca="1">IFERROR(__xludf.DUMMYFUNCTION("""COMPUTED_VALUE"""),"| 1 L PHP-CGM % | 2 L JAVA % | 3 P NS % | 5 P JAVA @ ")</f>
        <v xml:space="preserve">| 1 L PHP-CGM % | 2 L JAVA % | 3 P NS % | 5 P JAVA @ </v>
      </c>
      <c r="AT25" s="4" t="str">
        <f ca="1">IFERROR(__xludf.DUMMYFUNCTION("""COMPUTED_VALUE"""),"| 1 P Python % | 3 L JAVA @ | 4 L CPT @ | 5 P JAVA @ ")</f>
        <v xml:space="preserve">| 1 P Python % | 3 L JAVA @ | 4 L CPT @ | 5 P JAVA @ </v>
      </c>
      <c r="AU25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AV25" s="4" t="str">
        <f ca="1">IFERROR(__xludf.DUMMYFUNCTION("""COMPUTED_VALUE"""),"| 1 L INE @ | 3 L PHP-CGM @ | 4 L NS % | 7 L PRO @ ")</f>
        <v xml:space="preserve">| 1 L INE @ | 3 L PHP-CGM @ | 4 L NS % | 7 L PRO @ </v>
      </c>
      <c r="AW25" s="4" t="str">
        <f ca="1">IFERROR(__xludf.DUMMYFUNCTION("""COMPUTED_VALUE"""),"| 1 L CPT @ | 2 L NS @ | 3 P CPT @ | 5 P Python @ ")</f>
        <v xml:space="preserve">| 1 L CPT @ | 2 L NS @ | 3 P CPT @ | 5 P Python @ </v>
      </c>
      <c r="AX25" s="4" t="str">
        <f ca="1">IFERROR(__xludf.DUMMYFUNCTION("""COMPUTED_VALUE"""),"| 1 L PHP-CGM @ | 2 L JAVA @ | 3 P NS % | 5 P JAVA % ")</f>
        <v xml:space="preserve">| 1 L PHP-CGM @ | 2 L JAVA @ | 3 P NS % | 5 P JAVA % </v>
      </c>
      <c r="AY25" s="4" t="str">
        <f ca="1">IFERROR(__xludf.DUMMYFUNCTION("""COMPUTED_VALUE"""),"| 1 P Python @ | 3 L JAVA % | 4 L CPT % | 5 P JAVA % ")</f>
        <v xml:space="preserve">| 1 P Python @ | 3 L JAVA % | 4 L CPT % | 5 P JAVA % </v>
      </c>
      <c r="AZ25" s="4" t="str">
        <f ca="1">IFERROR(__xludf.DUMMYFUNCTION("""COMPUTED_VALUE"""),"| 1 L INE @ | 3 L PHP-CGM @ | 4 L NS @ | 5 L PRO @ ")</f>
        <v xml:space="preserve">| 1 L INE @ | 3 L PHP-CGM @ | 4 L NS @ | 5 L PRO @ </v>
      </c>
      <c r="BA25" s="4" t="str">
        <f ca="1">IFERROR(__xludf.DUMMYFUNCTION("""COMPUTED_VALUE"""),"| 1 L CPT @ | 2 L NS @ | 3 P CPT % | 5 P Python @ ")</f>
        <v xml:space="preserve">| 1 L CPT @ | 2 L NS @ | 3 P CPT % | 5 P Python @ </v>
      </c>
      <c r="BB25" s="4" t="str">
        <f ca="1">IFERROR(__xludf.DUMMYFUNCTION("""COMPUTED_VALUE"""),"| 1 L PHP-CGM % | 2 L JAVA % | 3 P NS % | 5 P JAVA @ ")</f>
        <v xml:space="preserve">| 1 L PHP-CGM % | 2 L JAVA % | 3 P NS % | 5 P JAVA @ </v>
      </c>
      <c r="BC25" s="4" t="str">
        <f ca="1">IFERROR(__xludf.DUMMYFUNCTION("""COMPUTED_VALUE"""),"| 1 P Python @ | 3 L JAVA @ | 4 L CPT @ | 5 P JAVA @ ")</f>
        <v xml:space="preserve">| 1 P Python @ | 3 L JAVA @ | 4 L CPT @ | 5 P JAVA @ </v>
      </c>
      <c r="BD25" s="4" t="str">
        <f ca="1">IFERROR(__xludf.DUMMYFUNCTION("""COMPUTED_VALUE"""),"| 1 P PHP-CGM % | 3 L NS % | 6 L CPT @ | 5 L PHP-CGM @ | 4 L JAVA % ")</f>
        <v xml:space="preserve">| 1 P PHP-CGM % | 3 L NS % | 6 L CPT @ | 5 L PHP-CGM @ | 4 L JAVA % </v>
      </c>
      <c r="BE25" s="4" t="str">
        <f ca="1">IFERROR(__xludf.DUMMYFUNCTION("""COMPUTED_VALUE"""),"| 1 L INE @ | 3 L PHP-CGM @ | 4 L NS @ | 5 L PRO @ ")</f>
        <v xml:space="preserve">| 1 L INE @ | 3 L PHP-CGM @ | 4 L NS @ | 5 L PRO @ </v>
      </c>
      <c r="BF25" s="4" t="str">
        <f ca="1">IFERROR(__xludf.DUMMYFUNCTION("""COMPUTED_VALUE"""),"| 1 L CPT @ | 2 L NS @ | 3 P CPT @ | 5 P JAVA @ ")</f>
        <v xml:space="preserve">| 1 L CPT @ | 2 L NS @ | 3 P CPT @ | 5 P JAVA @ </v>
      </c>
      <c r="BG25" s="4" t="str">
        <f ca="1">IFERROR(__xludf.DUMMYFUNCTION("""COMPUTED_VALUE"""),"| 1 P Python @ | 4 L CPT @ | 5 P JAVA @ ")</f>
        <v xml:space="preserve">| 1 P Python @ | 4 L CPT @ | 5 P JAVA @ </v>
      </c>
      <c r="BH25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BI25" s="4" t="str">
        <f ca="1">IFERROR(__xludf.DUMMYFUNCTION("""COMPUTED_VALUE"""),"| 1 L INE @ | 3 L PHP-CGM % | 4 L NS % | 5 L PRO @ ")</f>
        <v xml:space="preserve">| 1 L INE @ | 3 L PHP-CGM % | 4 L NS % | 5 L PRO @ </v>
      </c>
      <c r="BJ25" s="4" t="str">
        <f ca="1">IFERROR(__xludf.DUMMYFUNCTION("""COMPUTED_VALUE"""),"| 1 L CPT @ | 2 L NS @ | 3 P CPT @ | 5 P Python @ ")</f>
        <v xml:space="preserve">| 1 L CPT @ | 2 L NS @ | 3 P CPT @ | 5 P Python @ </v>
      </c>
      <c r="BK25" s="4" t="str">
        <f ca="1">IFERROR(__xludf.DUMMYFUNCTION("""COMPUTED_VALUE"""),"| 1 L PHP-CGM @ | 2 L JAVA @ | 3 P NS @ | 5 P JAVA @ ")</f>
        <v xml:space="preserve">| 1 L PHP-CGM @ | 2 L JAVA @ | 3 P NS @ | 5 P JAVA @ </v>
      </c>
      <c r="BL25" s="4" t="str">
        <f ca="1">IFERROR(__xludf.DUMMYFUNCTION("""COMPUTED_VALUE"""),"| 1 P Python @ | 3 L JAVA @ | 4 L CPT @ | 5 P JAVA @ ")</f>
        <v xml:space="preserve">| 1 P Python @ | 3 L JAVA @ | 4 L CPT @ | 5 P JAVA @ </v>
      </c>
      <c r="BM25" s="4" t="str">
        <f ca="1">IFERROR(__xludf.DUMMYFUNCTION("""COMPUTED_VALUE"""),"| 1 P PHP-CGM @ | 3 L NS @ | 4 L JAVA @ | 5 L PHP-CGM @ | 6 L CPT @ ")</f>
        <v xml:space="preserve">| 1 P PHP-CGM @ | 3 L NS @ | 4 L JAVA @ | 5 L PHP-CGM @ | 6 L CPT @ </v>
      </c>
      <c r="BN25" s="4" t="str">
        <f ca="1">IFERROR(__xludf.DUMMYFUNCTION("""COMPUTED_VALUE"""),"| 1 L INE @ | 3 L PHP-CGM @ | 4 L NS @ | 5 L PRO @ ")</f>
        <v xml:space="preserve">| 1 L INE @ | 3 L PHP-CGM @ | 4 L NS @ | 5 L PRO @ </v>
      </c>
      <c r="BO25" s="4" t="str">
        <f ca="1">IFERROR(__xludf.DUMMYFUNCTION("""COMPUTED_VALUE"""),"| 1 L CPT @ | 2 L NS @ | 3 P CPT @ ")</f>
        <v xml:space="preserve">| 1 L CPT @ | 2 L NS @ | 3 P CPT @ </v>
      </c>
      <c r="BP25" s="4" t="str">
        <f ca="1">IFERROR(__xludf.DUMMYFUNCTION("""COMPUTED_VALUE"""),"| 1 L PHP-CGM % | 2 L JAVA % | 3 P NS @ | 5 P JAVA @ ")</f>
        <v xml:space="preserve">| 1 L PHP-CGM % | 2 L JAVA % | 3 P NS @ | 5 P JAVA @ </v>
      </c>
      <c r="BQ25" s="4" t="str">
        <f ca="1">IFERROR(__xludf.DUMMYFUNCTION("""COMPUTED_VALUE"""),"| 5 L PHP-CGM % | 6 L CPT @ ")</f>
        <v xml:space="preserve">| 5 L PHP-CGM % | 6 L CPT @ </v>
      </c>
      <c r="BR25" s="4"/>
      <c r="BS25" s="4"/>
      <c r="BT25" s="4" t="str">
        <f ca="1">IFERROR(__xludf.DUMMYFUNCTION("""COMPUTED_VALUE"""),"| 1 L PHP-CGM % | 2 L JAVA % | 3 P NS % ")</f>
        <v xml:space="preserve">| 1 L PHP-CGM % | 2 L JAVA % | 3 P NS % </v>
      </c>
      <c r="BU25" s="4" t="str">
        <f ca="1">IFERROR(__xludf.DUMMYFUNCTION("""COMPUTED_VALUE"""),"| 1 P Python @ | 4 L CPT @ | 3 L JAVA @ ")</f>
        <v xml:space="preserve">| 1 P Python @ | 4 L CPT @ | 3 L JAVA @ </v>
      </c>
      <c r="BV25" s="4" t="str">
        <f ca="1">IFERROR(__xludf.DUMMYFUNCTION("""COMPUTED_VALUE"""),"| 1 L PHP-CGM @ | 2 L JAVA @ | 3 P NS % | 5 P JAVA @ ")</f>
        <v xml:space="preserve">| 1 L PHP-CGM @ | 2 L JAVA @ | 3 P NS % | 5 P JAVA @ </v>
      </c>
      <c r="BW25" s="4" t="str">
        <f ca="1">IFERROR(__xludf.DUMMYFUNCTION("""COMPUTED_VALUE"""),"| 1 P Python @ | 3 L JAVA @ | 4 L CPT @ ")</f>
        <v xml:space="preserve">| 1 P Python @ | 3 L JAVA @ | 4 L CPT @ </v>
      </c>
      <c r="BX25" s="4" t="str">
        <f ca="1">IFERROR(__xludf.DUMMYFUNCTION("""COMPUTED_VALUE"""),"| 1 P PHP-CGM % | 3 L NS @ | 4 L JAVA @ | 5 L PHP-CGM @ | 6 L CPT @ ")</f>
        <v xml:space="preserve">| 1 P PHP-CGM % | 3 L NS @ | 4 L JAVA @ | 5 L PHP-CGM @ | 6 L CPT @ </v>
      </c>
      <c r="BY25" s="4" t="str">
        <f ca="1">IFERROR(__xludf.DUMMYFUNCTION("""COMPUTED_VALUE"""),"| 1 L INE @ | 3 L PHP-CGM @ | 4 L NS @ | 5 L PRO @ ")</f>
        <v xml:space="preserve">| 1 L INE @ | 3 L PHP-CGM @ | 4 L NS @ | 5 L PRO @ </v>
      </c>
      <c r="BZ25" s="4" t="str">
        <f ca="1">IFERROR(__xludf.DUMMYFUNCTION("""COMPUTED_VALUE"""),"| 1 L CPT % | 2 L NS % | 3 P CPT % | 5 P Python % ")</f>
        <v xml:space="preserve">| 1 L CPT % | 2 L NS % | 3 P CPT % | 5 P Python % </v>
      </c>
      <c r="CA25" s="4" t="str">
        <f ca="1">IFERROR(__xludf.DUMMYFUNCTION("""COMPUTED_VALUE"""),"| 1 L PHP-CGM % | 2 L JAVA % | 3 P NS % | 5 P JAVA % ")</f>
        <v xml:space="preserve">| 1 L PHP-CGM % | 2 L JAVA % | 3 P NS % | 5 P JAVA % </v>
      </c>
      <c r="CB25" s="4" t="str">
        <f ca="1">IFERROR(__xludf.DUMMYFUNCTION("""COMPUTED_VALUE"""),"| 1 P Python % | 3 L JAVA % | 4 L CPT % | 5 P JAVA % ")</f>
        <v xml:space="preserve">| 1 P Python % | 3 L JAVA % | 4 L CPT % | 5 P JAVA % </v>
      </c>
      <c r="CC25" s="4" t="str">
        <f ca="1">IFERROR(__xludf.DUMMYFUNCTION("""COMPUTED_VALUE"""),"| 1 P PHP-CGM % | 3 L NS % | 4 L JAVA % | 5 L PHP-CGM % | 6 L CPT % ")</f>
        <v xml:space="preserve">| 1 P PHP-CGM % | 3 L NS % | 4 L JAVA % | 5 L PHP-CGM % | 6 L CPT % </v>
      </c>
      <c r="CD25" s="4" t="str">
        <f ca="1">IFERROR(__xludf.DUMMYFUNCTION("""COMPUTED_VALUE"""),"| 1 L INE % | 3 L PHP-CGM % | 4 L NS % | 5 L PRO % ")</f>
        <v xml:space="preserve">| 1 L INE % | 3 L PHP-CGM % | 4 L NS % | 5 L PRO % </v>
      </c>
      <c r="CE25" s="4" t="str">
        <f ca="1">IFERROR(__xludf.DUMMYFUNCTION("""COMPUTED_VALUE"""),"| 1 L CPT % | 2 L NS % | 3 P CPT % | 5 P Python % ")</f>
        <v xml:space="preserve">| 1 L CPT % | 2 L NS % | 3 P CPT % | 5 P Python % </v>
      </c>
      <c r="CF25" s="4" t="str">
        <f ca="1">IFERROR(__xludf.DUMMYFUNCTION("""COMPUTED_VALUE"""),"| 1 L PHP-CGM % | 2 L JAVA % | 3 P NS % ")</f>
        <v xml:space="preserve">| 1 L PHP-CGM % | 2 L JAVA % | 3 P NS % </v>
      </c>
      <c r="CG25" s="4" t="str">
        <f ca="1">IFERROR(__xludf.DUMMYFUNCTION("""COMPUTED_VALUE"""),"| 1 P Python % | 4 L CPT @ | 5 P JAVA % ")</f>
        <v xml:space="preserve">| 1 P Python % | 4 L CPT @ | 5 P JAVA % </v>
      </c>
      <c r="CH25" s="4" t="str">
        <f ca="1">IFERROR(__xludf.DUMMYFUNCTION("""COMPUTED_VALUE"""),"| 3 L NS @ | 6 L CPT @ ")</f>
        <v xml:space="preserve">| 3 L NS @ | 6 L CPT @ </v>
      </c>
      <c r="CI25" s="4" t="str">
        <f ca="1">IFERROR(__xludf.DUMMYFUNCTION("""COMPUTED_VALUE"""),"| 1 L INE @ ")</f>
        <v xml:space="preserve">| 1 L INE @ </v>
      </c>
      <c r="CJ25" s="4" t="str">
        <f ca="1">IFERROR(__xludf.DUMMYFUNCTION("""COMPUTED_VALUE"""),"| 3 P CPT % ")</f>
        <v xml:space="preserve">| 3 P CPT % </v>
      </c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</row>
    <row r="26" spans="1:102" ht="12.5" x14ac:dyDescent="0.25">
      <c r="A26" s="3">
        <f ca="1">IFERROR(__xludf.DUMMYFUNCTION("""COMPUTED_VALUE"""),2)</f>
        <v>2</v>
      </c>
      <c r="B26" s="3" t="str">
        <f ca="1">IFERROR(__xludf.DUMMYFUNCTION("""COMPUTED_VALUE"""),"A")</f>
        <v>A</v>
      </c>
      <c r="C26" s="32" t="str">
        <f ca="1">IFERROR(__xludf.DUMMYFUNCTION("""COMPUTED_VALUE"""),"23291341075")</f>
        <v>23291341075</v>
      </c>
      <c r="D26" s="21" t="str">
        <f ca="1">IFERROR(__xludf.DUMMYFUNCTION("""COMPUTED_VALUE"""),"PATADIYA PARNA DEVENBHAI")</f>
        <v>PATADIYA PARNA DEVENBHAI</v>
      </c>
      <c r="E26" s="3" t="str">
        <f ca="1">IFERROR(__xludf.DUMMYFUNCTION("""COMPUTED_VALUE"""),"RRP-Mor")</f>
        <v>RRP-Mor</v>
      </c>
      <c r="F26" s="3">
        <f ca="1">IFERROR(__xludf.DUMMYFUNCTION("""COMPUTED_VALUE"""),9408043590)</f>
        <v>9408043590</v>
      </c>
      <c r="G26" s="3">
        <f ca="1">IFERROR(__xludf.DUMMYFUNCTION("""COMPUTED_VALUE"""),9825579131)</f>
        <v>9825579131</v>
      </c>
      <c r="H26" s="33">
        <f ca="1">IFERROR(__xludf.DUMMYFUNCTION("""COMPUTED_VALUE"""),0.5375)</f>
        <v>0.53749999999999998</v>
      </c>
      <c r="I26" s="25">
        <f ca="1">IFERROR(__xludf.DUMMYFUNCTION("""COMPUTED_VALUE"""),0.388888888888888)</f>
        <v>0.38888888888888801</v>
      </c>
      <c r="J26" s="25">
        <f ca="1">IFERROR(__xludf.DUMMYFUNCTION("""COMPUTED_VALUE"""),0.5)</f>
        <v>0.5</v>
      </c>
      <c r="K26" s="25">
        <f ca="1">IFERROR(__xludf.DUMMYFUNCTION("""COMPUTED_VALUE"""),0.617647058823529)</f>
        <v>0.61764705882352899</v>
      </c>
      <c r="L26" s="25">
        <f ca="1">IFERROR(__xludf.DUMMYFUNCTION("""COMPUTED_VALUE"""),0.545454545454545)</f>
        <v>0.54545454545454497</v>
      </c>
      <c r="M26" s="25">
        <f ca="1">IFERROR(__xludf.DUMMYFUNCTION("""COMPUTED_VALUE"""),0.638888888888888)</f>
        <v>0.63888888888888795</v>
      </c>
      <c r="N26" s="25">
        <f ca="1">IFERROR(__xludf.DUMMYFUNCTION("""COMPUTED_VALUE"""),0.636363636363636)</f>
        <v>0.63636363636363602</v>
      </c>
      <c r="O26" s="25">
        <f ca="1">IFERROR(__xludf.DUMMYFUNCTION("""COMPUTED_VALUE"""),0.545454545454545)</f>
        <v>0.54545454545454497</v>
      </c>
      <c r="P26" s="25">
        <f ca="1">IFERROR(__xludf.DUMMYFUNCTION("""COMPUTED_VALUE"""),0.416666666666666)</f>
        <v>0.41666666666666602</v>
      </c>
      <c r="Q26" s="25">
        <f ca="1">IFERROR(__xludf.DUMMYFUNCTION("""COMPUTED_VALUE"""),0)</f>
        <v>0</v>
      </c>
      <c r="R26" s="25">
        <f ca="1">IFERROR(__xludf.DUMMYFUNCTION("""COMPUTED_VALUE"""),0.59090909090909)</f>
        <v>0.59090909090909005</v>
      </c>
      <c r="S26" s="25">
        <f ca="1">IFERROR(__xludf.DUMMYFUNCTION("""COMPUTED_VALUE"""),0.8)</f>
        <v>0.8</v>
      </c>
      <c r="T26" s="25">
        <f ca="1">IFERROR(__xludf.DUMMYFUNCTION("""COMPUTED_VALUE"""),1)</f>
        <v>1</v>
      </c>
      <c r="U26" s="25">
        <f ca="1">IFERROR(__xludf.DUMMYFUNCTION("""COMPUTED_VALUE"""),0.181818181818181)</f>
        <v>0.18181818181818099</v>
      </c>
      <c r="V26" s="25">
        <f ca="1">IFERROR(__xludf.DUMMYFUNCTION("""COMPUTED_VALUE"""),0)</f>
        <v>0</v>
      </c>
      <c r="W26" s="4"/>
      <c r="X26" s="4" t="str">
        <f ca="1">IFERROR(__xludf.DUMMYFUNCTION("""COMPUTED_VALUE"""),"| 1 L PHP-CGM % | 3 P NS % | 5 P JAVA @ ")</f>
        <v xml:space="preserve">| 1 L PHP-CGM % | 3 P NS % | 5 P JAVA @ </v>
      </c>
      <c r="Y26" s="4" t="str">
        <f ca="1">IFERROR(__xludf.DUMMYFUNCTION("""COMPUTED_VALUE"""),"| 1 P Python @ | 3 L JAVA @ | 4 L CPT @ | 5 P JAVA @ ")</f>
        <v xml:space="preserve">| 1 P Python @ | 3 L JAVA @ | 4 L CPT @ | 5 P JAVA @ </v>
      </c>
      <c r="Z26" s="4" t="str">
        <f ca="1">IFERROR(__xludf.DUMMYFUNCTION("""COMPUTED_VALUE"""),"| 1 P PHP-CGM % | 3 L NS % | 4 L JAVA % | 5 L PHP-CGM @ | 6 L CPT @ ")</f>
        <v xml:space="preserve">| 1 P PHP-CGM % | 3 L NS % | 4 L JAVA % | 5 L PHP-CGM @ | 6 L CPT @ </v>
      </c>
      <c r="AA26" s="4" t="str">
        <f ca="1">IFERROR(__xludf.DUMMYFUNCTION("""COMPUTED_VALUE"""),"| 3 L PHP-CGM % | 4 L NS % | 1 L INE % | 5 P PRO % ")</f>
        <v xml:space="preserve">| 3 L PHP-CGM % | 4 L NS % | 1 L INE % | 5 P PRO % </v>
      </c>
      <c r="AB26" s="4" t="str">
        <f ca="1">IFERROR(__xludf.DUMMYFUNCTION("""COMPUTED_VALUE"""),"| 1 L CPT % | 2 L NS % | 3 P CPT @ | 5 P Python @ ")</f>
        <v xml:space="preserve">| 1 L CPT % | 2 L NS % | 3 P CPT @ | 5 P Python @ </v>
      </c>
      <c r="AC26" s="4" t="str">
        <f ca="1">IFERROR(__xludf.DUMMYFUNCTION("""COMPUTED_VALUE"""),"| 1 L PHP-CGM @ | 2 L JAVA @ | 3 P Python @ | 5 P PHP-CGM @ ")</f>
        <v xml:space="preserve">| 1 L PHP-CGM @ | 2 L JAVA @ | 3 P Python @ | 5 P PHP-CGM @ </v>
      </c>
      <c r="AD26" s="4" t="str">
        <f ca="1">IFERROR(__xludf.DUMMYFUNCTION("""COMPUTED_VALUE"""),"| 2 P JAVA % | 3 L JAVA % | 4 L CPT % | 5 P Python % ")</f>
        <v xml:space="preserve">| 2 P JAVA % | 3 L JAVA % | 4 L CPT % | 5 P Python % </v>
      </c>
      <c r="AE26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26" s="4" t="str">
        <f ca="1">IFERROR(__xludf.DUMMYFUNCTION("""COMPUTED_VALUE"""),"| 3 L PHP-CGM @ | 4 L NS % | 5 P PRO % ")</f>
        <v xml:space="preserve">| 3 L PHP-CGM @ | 4 L NS % | 5 P PRO % </v>
      </c>
      <c r="AG26" s="4" t="str">
        <f ca="1">IFERROR(__xludf.DUMMYFUNCTION("""COMPUTED_VALUE"""),"| 1 L CPT @ | 2 L NS @ | 3 P JAVA @ | 5 P CPT @ ")</f>
        <v xml:space="preserve">| 1 L CPT @ | 2 L NS @ | 3 P JAVA @ | 5 P CPT @ </v>
      </c>
      <c r="AH26" s="4" t="str">
        <f ca="1">IFERROR(__xludf.DUMMYFUNCTION("""COMPUTED_VALUE"""),"| 3 L PHP-CGM % | 4 L NS % | 5 L PRO % ")</f>
        <v xml:space="preserve">| 3 L PHP-CGM % | 4 L NS % | 5 L PRO % </v>
      </c>
      <c r="AI26" s="4" t="str">
        <f ca="1">IFERROR(__xludf.DUMMYFUNCTION("""COMPUTED_VALUE"""),"| 1 L CPT % | 2 L NS % | 3 P JAVA @ | 5 P CPT % ")</f>
        <v xml:space="preserve">| 1 L CPT % | 2 L NS % | 3 P JAVA @ | 5 P CPT % </v>
      </c>
      <c r="AJ26" s="4" t="str">
        <f ca="1">IFERROR(__xludf.DUMMYFUNCTION("""COMPUTED_VALUE"""),"| 1 L PHP-CGM % | 2 L JAVA % | 3 P Python % | 5 P PHP-CGM % ")</f>
        <v xml:space="preserve">| 1 L PHP-CGM % | 2 L JAVA % | 3 P Python % | 5 P PHP-CGM % </v>
      </c>
      <c r="AK26" s="4" t="str">
        <f ca="1">IFERROR(__xludf.DUMMYFUNCTION("""COMPUTED_VALUE"""),"| 2 P JAVA @ | 3 L JAVA @ | 4 L CPT @ | 5 P Python @ ")</f>
        <v xml:space="preserve">| 2 P JAVA @ | 3 L JAVA @ | 4 L CPT @ | 5 P Python @ </v>
      </c>
      <c r="AL2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26" s="4" t="str">
        <f ca="1">IFERROR(__xludf.DUMMYFUNCTION("""COMPUTED_VALUE"""),"| 1 L INE @ | 4 L NS % | 3 L PHP-CGM % | 5 L PRO % ")</f>
        <v xml:space="preserve">| 1 L INE @ | 4 L NS % | 3 L PHP-CGM % | 5 L PRO % </v>
      </c>
      <c r="AN26" s="4" t="str">
        <f ca="1">IFERROR(__xludf.DUMMYFUNCTION("""COMPUTED_VALUE"""),"| 1 L CPT % | 2 L NS % | 3 P JAVA % | 5 P CPT % ")</f>
        <v xml:space="preserve">| 1 L CPT % | 2 L NS % | 3 P JAVA % | 5 P CPT % </v>
      </c>
      <c r="AO26" s="4" t="str">
        <f ca="1">IFERROR(__xludf.DUMMYFUNCTION("""COMPUTED_VALUE"""),"| 1 L PHP-CGM % | 2 L JAVA % | 3 P Python % | 5 P PHP-CGM % ")</f>
        <v xml:space="preserve">| 1 L PHP-CGM % | 2 L JAVA % | 3 P Python % | 5 P PHP-CGM % </v>
      </c>
      <c r="AP26" s="4" t="str">
        <f ca="1">IFERROR(__xludf.DUMMYFUNCTION("""COMPUTED_VALUE"""),"| 2 P JAVA % | 3 L JAVA % | 4 L CPT % | 5 P Python % ")</f>
        <v xml:space="preserve">| 2 P JAVA % | 3 L JAVA % | 4 L CPT % | 5 P Python % </v>
      </c>
      <c r="AQ2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26" s="4" t="str">
        <f ca="1">IFERROR(__xludf.DUMMYFUNCTION("""COMPUTED_VALUE"""),"| 1 L INE @ | 3 L PHP-CGM @ | 4 L NS @ | 5 L PRO @ ")</f>
        <v xml:space="preserve">| 1 L INE @ | 3 L PHP-CGM @ | 4 L NS @ | 5 L PRO @ </v>
      </c>
      <c r="AS26" s="4" t="str">
        <f ca="1">IFERROR(__xludf.DUMMYFUNCTION("""COMPUTED_VALUE"""),"| 1 L PHP-CGM % | 2 L JAVA % | 3 P Python % | 5 P PHP-CGM % ")</f>
        <v xml:space="preserve">| 1 L PHP-CGM % | 2 L JAVA % | 3 P Python % | 5 P PHP-CGM % </v>
      </c>
      <c r="AT26" s="4" t="str">
        <f ca="1">IFERROR(__xludf.DUMMYFUNCTION("""COMPUTED_VALUE"""),"| 2 P JAVA % | 3 L JAVA @ | 4 L CPT @ | 5 P Python % ")</f>
        <v xml:space="preserve">| 2 P JAVA % | 3 L JAVA @ | 4 L CPT @ | 5 P Python % </v>
      </c>
      <c r="AU2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26" s="4" t="str">
        <f ca="1">IFERROR(__xludf.DUMMYFUNCTION("""COMPUTED_VALUE"""),"| 1 L INE @ | 3 L PHP-CGM % | 4 L NS % | 7 L PRO % ")</f>
        <v xml:space="preserve">| 1 L INE @ | 3 L PHP-CGM % | 4 L NS % | 7 L PRO % </v>
      </c>
      <c r="AW26" s="4" t="str">
        <f ca="1">IFERROR(__xludf.DUMMYFUNCTION("""COMPUTED_VALUE"""),"| 1 L CPT @ | 2 L NS @ | 3 P JAVA @ | 5 P CPT @ ")</f>
        <v xml:space="preserve">| 1 L CPT @ | 2 L NS @ | 3 P JAVA @ | 5 P CPT @ </v>
      </c>
      <c r="AX26" s="4" t="str">
        <f ca="1">IFERROR(__xludf.DUMMYFUNCTION("""COMPUTED_VALUE"""),"| 1 L PHP-CGM % | 2 L JAVA % | 3 P Python % | 5 P PHP-CGM % ")</f>
        <v xml:space="preserve">| 1 L PHP-CGM % | 2 L JAVA % | 3 P Python % | 5 P PHP-CGM % </v>
      </c>
      <c r="AY26" s="4" t="str">
        <f ca="1">IFERROR(__xludf.DUMMYFUNCTION("""COMPUTED_VALUE"""),"| 2 P JAVA % | 3 L JAVA % | 4 L CPT % | 5 P Python % ")</f>
        <v xml:space="preserve">| 2 P JAVA % | 3 L JAVA % | 4 L CPT % | 5 P Python % </v>
      </c>
      <c r="AZ26" s="4" t="str">
        <f ca="1">IFERROR(__xludf.DUMMYFUNCTION("""COMPUTED_VALUE"""),"| 1 L INE @ | 3 L PHP-CGM % | 4 L NS % | 5 L PRO % ")</f>
        <v xml:space="preserve">| 1 L INE @ | 3 L PHP-CGM % | 4 L NS % | 5 L PRO % </v>
      </c>
      <c r="BA26" s="4" t="str">
        <f ca="1">IFERROR(__xludf.DUMMYFUNCTION("""COMPUTED_VALUE"""),"| 1 L CPT % | 2 L NS % | 3 P JAVA % | 5 P CPT % ")</f>
        <v xml:space="preserve">| 1 L CPT % | 2 L NS % | 3 P JAVA % | 5 P CPT % </v>
      </c>
      <c r="BB26" s="4" t="str">
        <f ca="1">IFERROR(__xludf.DUMMYFUNCTION("""COMPUTED_VALUE"""),"| 1 L PHP-CGM % | 2 L JAVA % | 3 P Python % | 5 P PHP-CGM % ")</f>
        <v xml:space="preserve">| 1 L PHP-CGM % | 2 L JAVA % | 3 P Python % | 5 P PHP-CGM % </v>
      </c>
      <c r="BC26" s="4" t="str">
        <f ca="1">IFERROR(__xludf.DUMMYFUNCTION("""COMPUTED_VALUE"""),"| 2 P JAVA @ | 3 L JAVA @ | 4 L CPT @  | 5 P Python @ ")</f>
        <v xml:space="preserve">| 2 P JAVA @ | 3 L JAVA @ | 4 L CPT @  | 5 P Python @ </v>
      </c>
      <c r="BD26" s="4" t="str">
        <f ca="1">IFERROR(__xludf.DUMMYFUNCTION("""COMPUTED_VALUE"""),"| 1 P NS @ | 3 L NS @ | 6 L CPT @ | 5 L PHP-CGM @ | 4 L JAVA @ ")</f>
        <v xml:space="preserve">| 1 P NS @ | 3 L NS @ | 6 L CPT @ | 5 L PHP-CGM @ | 4 L JAVA @ </v>
      </c>
      <c r="BE26" s="4" t="str">
        <f ca="1">IFERROR(__xludf.DUMMYFUNCTION("""COMPUTED_VALUE"""),"| 1 L INE @ | 3 L PHP-CGM % | 4 L NS % | 5 L PRO % ")</f>
        <v xml:space="preserve">| 1 L INE @ | 3 L PHP-CGM % | 4 L NS % | 5 L PRO % </v>
      </c>
      <c r="BF26" s="4" t="str">
        <f ca="1">IFERROR(__xludf.DUMMYFUNCTION("""COMPUTED_VALUE"""),"| 1 L CPT @ | 2 L NS @ | 3 P JAVA @ | 5 P CPT @ ")</f>
        <v xml:space="preserve">| 1 L CPT @ | 2 L NS @ | 3 P JAVA @ | 5 P CPT @ </v>
      </c>
      <c r="BG26" s="4" t="str">
        <f ca="1">IFERROR(__xludf.DUMMYFUNCTION("""COMPUTED_VALUE"""),"| 2 P JAVA % | 4 L CPT @ | 5 P Python % ")</f>
        <v xml:space="preserve">| 2 P JAVA % | 4 L CPT @ | 5 P Python % </v>
      </c>
      <c r="BH26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I26" s="4" t="str">
        <f ca="1">IFERROR(__xludf.DUMMYFUNCTION("""COMPUTED_VALUE"""),"| 1 L INE @ | 3 L PHP-CGM % | 4 L NS % | 5 L PRO % ")</f>
        <v xml:space="preserve">| 1 L INE @ | 3 L PHP-CGM % | 4 L NS % | 5 L PRO % </v>
      </c>
      <c r="BJ26" s="4" t="str">
        <f ca="1">IFERROR(__xludf.DUMMYFUNCTION("""COMPUTED_VALUE"""),"| 1 L CPT @ | 2 L NS @ | 3 P JAVA @ | 5 P CPT @ ")</f>
        <v xml:space="preserve">| 1 L CPT @ | 2 L NS @ | 3 P JAVA @ | 5 P CPT @ </v>
      </c>
      <c r="BK26" s="4" t="str">
        <f ca="1">IFERROR(__xludf.DUMMYFUNCTION("""COMPUTED_VALUE"""),"| 1 L PHP-CGM @ | 2 L JAVA @ | 3 P Python @ ")</f>
        <v xml:space="preserve">| 1 L PHP-CGM @ | 2 L JAVA @ | 3 P Python @ </v>
      </c>
      <c r="BL26" s="4" t="str">
        <f ca="1">IFERROR(__xludf.DUMMYFUNCTION("""COMPUTED_VALUE"""),"| 2 P JAVA @ | 3 L JAVA @ | 4 L CPT @ | 5 P Python @ ")</f>
        <v xml:space="preserve">| 2 P JAVA @ | 3 L JAVA @ | 4 L CPT @ | 5 P Python @ </v>
      </c>
      <c r="BM26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26" s="4" t="str">
        <f ca="1">IFERROR(__xludf.DUMMYFUNCTION("""COMPUTED_VALUE"""),"| 1 L INE @ | 3 L PHP-CGM @ | 4 L NS @ | 5 L PRO @ ")</f>
        <v xml:space="preserve">| 1 L INE @ | 3 L PHP-CGM @ | 4 L NS @ | 5 L PRO @ </v>
      </c>
      <c r="BO26" s="4" t="str">
        <f ca="1">IFERROR(__xludf.DUMMYFUNCTION("""COMPUTED_VALUE"""),"| 1 L CPT @ | 2 L NS @ | 3 P JAVA @ ")</f>
        <v xml:space="preserve">| 1 L CPT @ | 2 L NS @ | 3 P JAVA @ </v>
      </c>
      <c r="BP26" s="4" t="str">
        <f ca="1">IFERROR(__xludf.DUMMYFUNCTION("""COMPUTED_VALUE"""),"| 1 L PHP-CGM % | 2 L JAVA % | 3 P Python % | 5 P PHP-CGM @ ")</f>
        <v xml:space="preserve">| 1 L PHP-CGM % | 2 L JAVA % | 3 P Python % | 5 P PHP-CGM @ </v>
      </c>
      <c r="BQ26" s="4" t="str">
        <f ca="1">IFERROR(__xludf.DUMMYFUNCTION("""COMPUTED_VALUE"""),"| 5 L PHP-CGM % | 6 L CPT @ ")</f>
        <v xml:space="preserve">| 5 L PHP-CGM % | 6 L CPT @ </v>
      </c>
      <c r="BR26" s="4"/>
      <c r="BS26" s="4"/>
      <c r="BT26" s="4" t="str">
        <f ca="1">IFERROR(__xludf.DUMMYFUNCTION("""COMPUTED_VALUE"""),"| 1 L PHP-CGM % | 2 L JAVA % ")</f>
        <v xml:space="preserve">| 1 L PHP-CGM % | 2 L JAVA % </v>
      </c>
      <c r="BU26" s="4" t="str">
        <f ca="1">IFERROR(__xludf.DUMMYFUNCTION("""COMPUTED_VALUE"""),"| 2 P JAVA @ | 4 L CPT @ | 3 L JAVA @ ")</f>
        <v xml:space="preserve">| 2 P JAVA @ | 4 L CPT @ | 3 L JAVA @ </v>
      </c>
      <c r="BV26" s="4" t="str">
        <f ca="1">IFERROR(__xludf.DUMMYFUNCTION("""COMPUTED_VALUE"""),"| 1 L PHP-CGM % | 2 L JAVA % | 3 P Python @ | 5 P PHP-CGM @ ")</f>
        <v xml:space="preserve">| 1 L PHP-CGM % | 2 L JAVA % | 3 P Python @ | 5 P PHP-CGM @ </v>
      </c>
      <c r="BW26" s="4" t="str">
        <f ca="1">IFERROR(__xludf.DUMMYFUNCTION("""COMPUTED_VALUE"""),"| 2 P JAVA @ | 3 L JAVA @ | 4 L CPT @ ")</f>
        <v xml:space="preserve">| 2 P JAVA @ | 3 L JAVA @ | 4 L CPT @ </v>
      </c>
      <c r="BX26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Y26" s="4" t="str">
        <f ca="1">IFERROR(__xludf.DUMMYFUNCTION("""COMPUTED_VALUE"""),"| 1 L INE @ | 3 L PHP-CGM % | 4 L NS % | 5 L PRO % ")</f>
        <v xml:space="preserve">| 1 L INE @ | 3 L PHP-CGM % | 4 L NS % | 5 L PRO % </v>
      </c>
      <c r="BZ26" s="4" t="str">
        <f ca="1">IFERROR(__xludf.DUMMYFUNCTION("""COMPUTED_VALUE"""),"| 1 L CPT % | 2 L NS % | 3 P JAVA % | 5 P CPT % ")</f>
        <v xml:space="preserve">| 1 L CPT % | 2 L NS % | 3 P JAVA % | 5 P CPT % </v>
      </c>
      <c r="CA26" s="4" t="str">
        <f ca="1">IFERROR(__xludf.DUMMYFUNCTION("""COMPUTED_VALUE"""),"| 1 L PHP-CGM @ | 2 L JAVA @ | 3 P Python @ | 5 P PHP-CGM @ ")</f>
        <v xml:space="preserve">| 1 L PHP-CGM @ | 2 L JAVA @ | 3 P Python @ | 5 P PHP-CGM @ </v>
      </c>
      <c r="CB26" s="4" t="str">
        <f ca="1">IFERROR(__xludf.DUMMYFUNCTION("""COMPUTED_VALUE"""),"| 2 P JAVA % | 3 L JAVA % | 4 L CPT @ | 3 P Python % ")</f>
        <v xml:space="preserve">| 2 P JAVA % | 3 L JAVA % | 4 L CPT @ | 3 P Python % </v>
      </c>
      <c r="CC26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CD26" s="4" t="str">
        <f ca="1">IFERROR(__xludf.DUMMYFUNCTION("""COMPUTED_VALUE"""),"| 1 L INE % | 3 L PHP-CGM @ | 4 L NS @ | 5 L PRO % ")</f>
        <v xml:space="preserve">| 1 L INE % | 3 L PHP-CGM @ | 4 L NS @ | 5 L PRO % </v>
      </c>
      <c r="CE26" s="4" t="str">
        <f ca="1">IFERROR(__xludf.DUMMYFUNCTION("""COMPUTED_VALUE"""),"| 1 L CPT % | 2 L NS % | 3 P JAVA @ | 5 P CPT % ")</f>
        <v xml:space="preserve">| 1 L CPT % | 2 L NS % | 3 P JAVA @ | 5 P CPT % </v>
      </c>
      <c r="CF26" s="4" t="str">
        <f ca="1">IFERROR(__xludf.DUMMYFUNCTION("""COMPUTED_VALUE"""),"| 1 L PHP-CGM % | 2 L JAVA @ | 3 P Python % | 5 P PHP-CGM % ")</f>
        <v xml:space="preserve">| 1 L PHP-CGM % | 2 L JAVA @ | 3 P Python % | 5 P PHP-CGM % </v>
      </c>
      <c r="CG26" s="4" t="str">
        <f ca="1">IFERROR(__xludf.DUMMYFUNCTION("""COMPUTED_VALUE"""),"| 2 P JAVA % | 4 L CPT % ")</f>
        <v xml:space="preserve">| 2 P JAVA % | 4 L CPT % </v>
      </c>
      <c r="CH26" s="4" t="str">
        <f ca="1">IFERROR(__xludf.DUMMYFUNCTION("""COMPUTED_VALUE"""),"| 1 P NS @ | 3 L NS @ | 6 L CPT @ ")</f>
        <v xml:space="preserve">| 1 P NS @ | 3 L NS @ | 6 L CPT @ </v>
      </c>
      <c r="CI26" s="4" t="str">
        <f ca="1">IFERROR(__xludf.DUMMYFUNCTION("""COMPUTED_VALUE"""),"| 1 L INE @ ")</f>
        <v xml:space="preserve">| 1 L INE @ </v>
      </c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</row>
    <row r="27" spans="1:102" ht="12.5" x14ac:dyDescent="0.25">
      <c r="A27" s="3">
        <f ca="1">IFERROR(__xludf.DUMMYFUNCTION("""COMPUTED_VALUE"""),2)</f>
        <v>2</v>
      </c>
      <c r="B27" s="3" t="str">
        <f ca="1">IFERROR(__xludf.DUMMYFUNCTION("""COMPUTED_VALUE"""),"A")</f>
        <v>A</v>
      </c>
      <c r="C27" s="32" t="str">
        <f ca="1">IFERROR(__xludf.DUMMYFUNCTION("""COMPUTED_VALUE"""),"23291341076")</f>
        <v>23291341076</v>
      </c>
      <c r="D27" s="21" t="str">
        <f ca="1">IFERROR(__xludf.DUMMYFUNCTION("""COMPUTED_VALUE"""),"PATEL ADITI SHAILESHKUMAR")</f>
        <v>PATEL ADITI SHAILESHKUMAR</v>
      </c>
      <c r="E27" s="3" t="str">
        <f ca="1">IFERROR(__xludf.DUMMYFUNCTION("""COMPUTED_VALUE"""),"RRP-Mor")</f>
        <v>RRP-Mor</v>
      </c>
      <c r="F27" s="3">
        <f ca="1">IFERROR(__xludf.DUMMYFUNCTION("""COMPUTED_VALUE"""),9727062670)</f>
        <v>9727062670</v>
      </c>
      <c r="G27" s="3">
        <f ca="1">IFERROR(__xludf.DUMMYFUNCTION("""COMPUTED_VALUE"""),9727062670)</f>
        <v>9727062670</v>
      </c>
      <c r="H27" s="33">
        <f ca="1">IFERROR(__xludf.DUMMYFUNCTION("""COMPUTED_VALUE"""),0.808333333333333)</f>
        <v>0.80833333333333302</v>
      </c>
      <c r="I27" s="25">
        <f ca="1">IFERROR(__xludf.DUMMYFUNCTION("""COMPUTED_VALUE"""),0.805555555555555)</f>
        <v>0.80555555555555503</v>
      </c>
      <c r="J27" s="25">
        <f ca="1">IFERROR(__xludf.DUMMYFUNCTION("""COMPUTED_VALUE"""),0.9)</f>
        <v>0.9</v>
      </c>
      <c r="K27" s="25">
        <f ca="1">IFERROR(__xludf.DUMMYFUNCTION("""COMPUTED_VALUE"""),0.852941176470588)</f>
        <v>0.85294117647058798</v>
      </c>
      <c r="L27" s="25">
        <f ca="1">IFERROR(__xludf.DUMMYFUNCTION("""COMPUTED_VALUE"""),0.909090909090909)</f>
        <v>0.90909090909090895</v>
      </c>
      <c r="M27" s="25">
        <f ca="1">IFERROR(__xludf.DUMMYFUNCTION("""COMPUTED_VALUE"""),0.805555555555555)</f>
        <v>0.80555555555555503</v>
      </c>
      <c r="N27" s="25">
        <f ca="1">IFERROR(__xludf.DUMMYFUNCTION("""COMPUTED_VALUE"""),0.818181818181818)</f>
        <v>0.81818181818181801</v>
      </c>
      <c r="O27" s="25">
        <f ca="1">IFERROR(__xludf.DUMMYFUNCTION("""COMPUTED_VALUE"""),0.727272727272727)</f>
        <v>0.72727272727272696</v>
      </c>
      <c r="P27" s="25">
        <f ca="1">IFERROR(__xludf.DUMMYFUNCTION("""COMPUTED_VALUE"""),0.833333333333333)</f>
        <v>0.83333333333333304</v>
      </c>
      <c r="Q27" s="25">
        <f ca="1">IFERROR(__xludf.DUMMYFUNCTION("""COMPUTED_VALUE"""),0)</f>
        <v>0</v>
      </c>
      <c r="R27" s="25">
        <f ca="1">IFERROR(__xludf.DUMMYFUNCTION("""COMPUTED_VALUE"""),0.727272727272727)</f>
        <v>0.72727272727272696</v>
      </c>
      <c r="S27" s="25">
        <f ca="1">IFERROR(__xludf.DUMMYFUNCTION("""COMPUTED_VALUE"""),0.9)</f>
        <v>0.9</v>
      </c>
      <c r="T27" s="25">
        <f ca="1">IFERROR(__xludf.DUMMYFUNCTION("""COMPUTED_VALUE"""),1)</f>
        <v>1</v>
      </c>
      <c r="U27" s="25">
        <f ca="1">IFERROR(__xludf.DUMMYFUNCTION("""COMPUTED_VALUE"""),0.727272727272727)</f>
        <v>0.72727272727272696</v>
      </c>
      <c r="V27" s="25">
        <f ca="1">IFERROR(__xludf.DUMMYFUNCTION("""COMPUTED_VALUE"""),0)</f>
        <v>0</v>
      </c>
      <c r="W27" s="4"/>
      <c r="X27" s="4" t="str">
        <f ca="1">IFERROR(__xludf.DUMMYFUNCTION("""COMPUTED_VALUE"""),"| 1 L PHP-CGM % | 3 P Python % | 5 P PHP-CGM % ")</f>
        <v xml:space="preserve">| 1 L PHP-CGM % | 3 P Python % | 5 P PHP-CGM % </v>
      </c>
      <c r="Y27" s="4" t="str">
        <f ca="1">IFERROR(__xludf.DUMMYFUNCTION("""COMPUTED_VALUE"""),"| 1 P JAVA % | 3 L JAVA % | 4 L CPT % | 5 P Python % ")</f>
        <v xml:space="preserve">| 1 P JAVA % | 3 L JAVA % | 4 L CPT % | 5 P Python % </v>
      </c>
      <c r="Z2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27" s="4" t="str">
        <f ca="1">IFERROR(__xludf.DUMMYFUNCTION("""COMPUTED_VALUE"""),"| 3 L PHP-CGM % | 4 L NS % | 1 L INE % | 5 P PRO % ")</f>
        <v xml:space="preserve">| 3 L PHP-CGM % | 4 L NS % | 1 L INE % | 5 P PRO % </v>
      </c>
      <c r="AB27" s="4" t="str">
        <f ca="1">IFERROR(__xludf.DUMMYFUNCTION("""COMPUTED_VALUE"""),"| 1 L CPT % | 2 L NS % | 3 P JAVA % | 5 P CPT % ")</f>
        <v xml:space="preserve">| 1 L CPT % | 2 L NS % | 3 P JAVA % | 5 P CPT % </v>
      </c>
      <c r="AC27" s="4" t="str">
        <f ca="1">IFERROR(__xludf.DUMMYFUNCTION("""COMPUTED_VALUE"""),"| 1 L PHP-CGM % | 2 L JAVA % | 3 P Python % | 5 P PHP-CGM % ")</f>
        <v xml:space="preserve">| 1 L PHP-CGM % | 2 L JAVA % | 3 P Python % | 5 P PHP-CGM % </v>
      </c>
      <c r="AD27" s="4" t="str">
        <f ca="1">IFERROR(__xludf.DUMMYFUNCTION("""COMPUTED_VALUE"""),"| 2 P JAVA % | 3 L JAVA % | 4 L CPT % | 5 P Python % ")</f>
        <v xml:space="preserve">| 2 P JAVA % | 3 L JAVA % | 4 L CPT % | 5 P Python % </v>
      </c>
      <c r="AE27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27" s="4" t="str">
        <f ca="1">IFERROR(__xludf.DUMMYFUNCTION("""COMPUTED_VALUE"""),"| 3 L PHP-CGM % | 4 L NS % | 5 P PRO % ")</f>
        <v xml:space="preserve">| 3 L PHP-CGM % | 4 L NS % | 5 P PRO % </v>
      </c>
      <c r="AG27" s="4" t="str">
        <f ca="1">IFERROR(__xludf.DUMMYFUNCTION("""COMPUTED_VALUE"""),"| 1 L CPT % | 2 L NS % | 3 P JAVA % | 5 P CPT % ")</f>
        <v xml:space="preserve">| 1 L CPT % | 2 L NS % | 3 P JAVA % | 5 P CPT % </v>
      </c>
      <c r="AH27" s="4" t="str">
        <f ca="1">IFERROR(__xludf.DUMMYFUNCTION("""COMPUTED_VALUE"""),"| 3 L PHP-CGM % | 4 L NS % | 5 L PRO % ")</f>
        <v xml:space="preserve">| 3 L PHP-CGM % | 4 L NS % | 5 L PRO % </v>
      </c>
      <c r="AI27" s="4" t="str">
        <f ca="1">IFERROR(__xludf.DUMMYFUNCTION("""COMPUTED_VALUE"""),"| 1 L CPT % | 2 L NS % | 3 P JAVA % | 5 P CPT % ")</f>
        <v xml:space="preserve">| 1 L CPT % | 2 L NS % | 3 P JAVA % | 5 P CPT % </v>
      </c>
      <c r="AJ27" s="4" t="str">
        <f ca="1">IFERROR(__xludf.DUMMYFUNCTION("""COMPUTED_VALUE"""),"| 1 L PHP-CGM % | 2 L JAVA % | 3 P Python % | 5 P PHP-CGM % ")</f>
        <v xml:space="preserve">| 1 L PHP-CGM % | 2 L JAVA % | 3 P Python % | 5 P PHP-CGM % </v>
      </c>
      <c r="AK27" s="4" t="str">
        <f ca="1">IFERROR(__xludf.DUMMYFUNCTION("""COMPUTED_VALUE"""),"| 2 P JAVA % | 3 L JAVA % | 4 L CPT % | 5 P Python % ")</f>
        <v xml:space="preserve">| 2 P JAVA % | 3 L JAVA % | 4 L CPT % | 5 P Python % </v>
      </c>
      <c r="AL2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27" s="4" t="str">
        <f ca="1">IFERROR(__xludf.DUMMYFUNCTION("""COMPUTED_VALUE"""),"| 1 L INE % | 4 L NS % | 3 L PHP-CGM % | 5 L PRO % ")</f>
        <v xml:space="preserve">| 1 L INE % | 4 L NS % | 3 L PHP-CGM % | 5 L PRO % </v>
      </c>
      <c r="AN27" s="4" t="str">
        <f ca="1">IFERROR(__xludf.DUMMYFUNCTION("""COMPUTED_VALUE"""),"| 1 L CPT % | 2 L NS % | 3 P JAVA % | 5 P CPT @ ")</f>
        <v xml:space="preserve">| 1 L CPT % | 2 L NS % | 3 P JAVA % | 5 P CPT @ </v>
      </c>
      <c r="AO27" s="4" t="str">
        <f ca="1">IFERROR(__xludf.DUMMYFUNCTION("""COMPUTED_VALUE"""),"| 1 L PHP-CGM @ | 2 L JAVA @ | 3 P Python @ | 5 P PHP-CGM @ ")</f>
        <v xml:space="preserve">| 1 L PHP-CGM @ | 2 L JAVA @ | 3 P Python @ | 5 P PHP-CGM @ </v>
      </c>
      <c r="AP27" s="4" t="str">
        <f ca="1">IFERROR(__xludf.DUMMYFUNCTION("""COMPUTED_VALUE"""),"| 2 P JAVA % | 3 L JAVA % | 4 L CPT % | 5 P Python % ")</f>
        <v xml:space="preserve">| 2 P JAVA % | 3 L JAVA % | 4 L CPT % | 5 P Python % </v>
      </c>
      <c r="AQ2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27" s="4" t="str">
        <f ca="1">IFERROR(__xludf.DUMMYFUNCTION("""COMPUTED_VALUE"""),"| 1 L INE @ | 3 L PHP-CGM @ | 4 L NS @ | 5 L PRO @ ")</f>
        <v xml:space="preserve">| 1 L INE @ | 3 L PHP-CGM @ | 4 L NS @ | 5 L PRO @ </v>
      </c>
      <c r="AS27" s="4" t="str">
        <f ca="1">IFERROR(__xludf.DUMMYFUNCTION("""COMPUTED_VALUE"""),"| 1 L PHP-CGM % | 2 L JAVA % | 3 P Python % | 5 P PHP-CGM % ")</f>
        <v xml:space="preserve">| 1 L PHP-CGM % | 2 L JAVA % | 3 P Python % | 5 P PHP-CGM % </v>
      </c>
      <c r="AT27" s="4" t="str">
        <f ca="1">IFERROR(__xludf.DUMMYFUNCTION("""COMPUTED_VALUE"""),"| 2 P JAVA @ | 3 L JAVA @ | 4 L CPT @ | 5 P Python @ ")</f>
        <v xml:space="preserve">| 2 P JAVA @ | 3 L JAVA @ | 4 L CPT @ | 5 P Python @ </v>
      </c>
      <c r="AU2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27" s="4" t="str">
        <f ca="1">IFERROR(__xludf.DUMMYFUNCTION("""COMPUTED_VALUE"""),"| 1 L INE % | 3 L PHP-CGM % | 4 L NS % | 7 L PRO % ")</f>
        <v xml:space="preserve">| 1 L INE % | 3 L PHP-CGM % | 4 L NS % | 7 L PRO % </v>
      </c>
      <c r="AW27" s="4" t="str">
        <f ca="1">IFERROR(__xludf.DUMMYFUNCTION("""COMPUTED_VALUE"""),"| 1 L CPT % | 2 L NS @ | 3 P JAVA % | 5 P CPT % ")</f>
        <v xml:space="preserve">| 1 L CPT % | 2 L NS @ | 3 P JAVA % | 5 P CPT % </v>
      </c>
      <c r="AX27" s="4" t="str">
        <f ca="1">IFERROR(__xludf.DUMMYFUNCTION("""COMPUTED_VALUE"""),"| 1 L PHP-CGM % | 2 L JAVA % | 3 P Python % | 5 P PHP-CGM % ")</f>
        <v xml:space="preserve">| 1 L PHP-CGM % | 2 L JAVA % | 3 P Python % | 5 P PHP-CGM % </v>
      </c>
      <c r="AY27" s="4" t="str">
        <f ca="1">IFERROR(__xludf.DUMMYFUNCTION("""COMPUTED_VALUE"""),"| 2 P JAVA % | 3 L JAVA % | 4 L CPT % | 5 P Python % ")</f>
        <v xml:space="preserve">| 2 P JAVA % | 3 L JAVA % | 4 L CPT % | 5 P Python % </v>
      </c>
      <c r="AZ27" s="4" t="str">
        <f ca="1">IFERROR(__xludf.DUMMYFUNCTION("""COMPUTED_VALUE"""),"| 1 L INE % | 3 L PHP-CGM % | 4 L NS % | 5 L PRO % ")</f>
        <v xml:space="preserve">| 1 L INE % | 3 L PHP-CGM % | 4 L NS % | 5 L PRO % </v>
      </c>
      <c r="BA27" s="4" t="str">
        <f ca="1">IFERROR(__xludf.DUMMYFUNCTION("""COMPUTED_VALUE"""),"| 1 L CPT % | 2 L NS % | 3 P JAVA % | 5 P CPT % ")</f>
        <v xml:space="preserve">| 1 L CPT % | 2 L NS % | 3 P JAVA % | 5 P CPT % </v>
      </c>
      <c r="BB27" s="4" t="str">
        <f ca="1">IFERROR(__xludf.DUMMYFUNCTION("""COMPUTED_VALUE"""),"| 1 L PHP-CGM % | 2 L JAVA % | 3 P Python % | 5 P PHP-CGM % ")</f>
        <v xml:space="preserve">| 1 L PHP-CGM % | 2 L JAVA % | 3 P Python % | 5 P PHP-CGM % </v>
      </c>
      <c r="BC27" s="4" t="str">
        <f ca="1">IFERROR(__xludf.DUMMYFUNCTION("""COMPUTED_VALUE"""),"| 2 P JAVA @ | 3 L JAVA @ | 4 L CPT @  | 5 P Python @ ")</f>
        <v xml:space="preserve">| 2 P JAVA @ | 3 L JAVA @ | 4 L CPT @  | 5 P Python @ </v>
      </c>
      <c r="BD27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27" s="4" t="str">
        <f ca="1">IFERROR(__xludf.DUMMYFUNCTION("""COMPUTED_VALUE"""),"| 1 L INE % | 3 L PHP-CGM % | 4 L NS % | 5 L PRO % ")</f>
        <v xml:space="preserve">| 1 L INE % | 3 L PHP-CGM % | 4 L NS % | 5 L PRO % </v>
      </c>
      <c r="BF27" s="4" t="str">
        <f ca="1">IFERROR(__xludf.DUMMYFUNCTION("""COMPUTED_VALUE"""),"| 1 L CPT % | 2 L NS % | 3 P JAVA % | 5 P CPT % ")</f>
        <v xml:space="preserve">| 1 L CPT % | 2 L NS % | 3 P JAVA % | 5 P CPT % </v>
      </c>
      <c r="BG27" s="4" t="str">
        <f ca="1">IFERROR(__xludf.DUMMYFUNCTION("""COMPUTED_VALUE"""),"| 2 P JAVA % | 4 L CPT % | 5 P Python % ")</f>
        <v xml:space="preserve">| 2 P JAVA % | 4 L CPT % | 5 P Python % </v>
      </c>
      <c r="BH2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27" s="4" t="str">
        <f ca="1">IFERROR(__xludf.DUMMYFUNCTION("""COMPUTED_VALUE"""),"| 1 L INE % | 3 L PHP-CGM % | 4 L NS @ | 5 L PRO % ")</f>
        <v xml:space="preserve">| 1 L INE % | 3 L PHP-CGM % | 4 L NS @ | 5 L PRO % </v>
      </c>
      <c r="BJ27" s="4" t="str">
        <f ca="1">IFERROR(__xludf.DUMMYFUNCTION("""COMPUTED_VALUE"""),"| 1 L CPT % | 2 L NS % | 3 P JAVA % | 5 P CPT % ")</f>
        <v xml:space="preserve">| 1 L CPT % | 2 L NS % | 3 P JAVA % | 5 P CPT % </v>
      </c>
      <c r="BK27" s="4" t="str">
        <f ca="1">IFERROR(__xludf.DUMMYFUNCTION("""COMPUTED_VALUE"""),"| 1 L PHP-CGM @ | 2 L JAVA @ | 3 P Python @ ")</f>
        <v xml:space="preserve">| 1 L PHP-CGM @ | 2 L JAVA @ | 3 P Python @ </v>
      </c>
      <c r="BL27" s="4" t="str">
        <f ca="1">IFERROR(__xludf.DUMMYFUNCTION("""COMPUTED_VALUE"""),"| 2 P JAVA @ | 3 L JAVA @ | 4 L CPT @ | 5 P Python @ ")</f>
        <v xml:space="preserve">| 2 P JAVA @ | 3 L JAVA @ | 4 L CPT @ | 5 P Python @ </v>
      </c>
      <c r="BM2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27" s="4" t="str">
        <f ca="1">IFERROR(__xludf.DUMMYFUNCTION("""COMPUTED_VALUE"""),"| 1 L INE % | 3 L PHP-CGM % | 4 L NS % | 5 L PRO % ")</f>
        <v xml:space="preserve">| 1 L INE % | 3 L PHP-CGM % | 4 L NS % | 5 L PRO % </v>
      </c>
      <c r="BO27" s="4" t="str">
        <f ca="1">IFERROR(__xludf.DUMMYFUNCTION("""COMPUTED_VALUE"""),"| 1 L CPT @ | 2 L NS @ | 3 P JAVA @ ")</f>
        <v xml:space="preserve">| 1 L CPT @ | 2 L NS @ | 3 P JAVA @ </v>
      </c>
      <c r="BP27" s="4" t="str">
        <f ca="1">IFERROR(__xludf.DUMMYFUNCTION("""COMPUTED_VALUE"""),"| 1 L PHP-CGM % | 2 L JAVA % | 3 P Python % | 5 P PHP-CGM % ")</f>
        <v xml:space="preserve">| 1 L PHP-CGM % | 2 L JAVA % | 3 P Python % | 5 P PHP-CGM % </v>
      </c>
      <c r="BQ27" s="4" t="str">
        <f ca="1">IFERROR(__xludf.DUMMYFUNCTION("""COMPUTED_VALUE"""),"| 5 L PHP-CGM % | 6 L CPT @ ")</f>
        <v xml:space="preserve">| 5 L PHP-CGM % | 6 L CPT @ </v>
      </c>
      <c r="BR27" s="4"/>
      <c r="BS27" s="4"/>
      <c r="BT27" s="4" t="str">
        <f ca="1">IFERROR(__xludf.DUMMYFUNCTION("""COMPUTED_VALUE"""),"| 1 L PHP-CGM @ | 2 L JAVA @ ")</f>
        <v xml:space="preserve">| 1 L PHP-CGM @ | 2 L JAVA @ </v>
      </c>
      <c r="BU27" s="4" t="str">
        <f ca="1">IFERROR(__xludf.DUMMYFUNCTION("""COMPUTED_VALUE"""),"| 2 P JAVA % | 4 L CPT % | 3 L JAVA % ")</f>
        <v xml:space="preserve">| 2 P JAVA % | 4 L CPT % | 3 L JAVA % </v>
      </c>
      <c r="BV27" s="4" t="str">
        <f ca="1">IFERROR(__xludf.DUMMYFUNCTION("""COMPUTED_VALUE"""),"| 1 L PHP-CGM @ | 2 L JAVA @ | 3 P Python @ | 5 P PHP-CGM @ ")</f>
        <v xml:space="preserve">| 1 L PHP-CGM @ | 2 L JAVA @ | 3 P Python @ | 5 P PHP-CGM @ </v>
      </c>
      <c r="BW27" s="4" t="str">
        <f ca="1">IFERROR(__xludf.DUMMYFUNCTION("""COMPUTED_VALUE"""),"| 2 P JAVA % | 3 L JAVA % | 4 L CPT % ")</f>
        <v xml:space="preserve">| 2 P JAVA % | 3 L JAVA % | 4 L CPT % </v>
      </c>
      <c r="BX27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27" s="4" t="str">
        <f ca="1">IFERROR(__xludf.DUMMYFUNCTION("""COMPUTED_VALUE"""),"| 1 L INE @ | 3 L PHP-CGM % | 4 L NS % | 5 L PRO % ")</f>
        <v xml:space="preserve">| 1 L INE @ | 3 L PHP-CGM % | 4 L NS % | 5 L PRO % </v>
      </c>
      <c r="BZ27" s="4" t="str">
        <f ca="1">IFERROR(__xludf.DUMMYFUNCTION("""COMPUTED_VALUE"""),"| 1 L CPT % | 2 L NS % | 3 P JAVA % | 5 P CPT % ")</f>
        <v xml:space="preserve">| 1 L CPT % | 2 L NS % | 3 P JAVA % | 5 P CPT % </v>
      </c>
      <c r="CA27" s="4" t="str">
        <f ca="1">IFERROR(__xludf.DUMMYFUNCTION("""COMPUTED_VALUE"""),"| 1 L PHP-CGM % | 2 L JAVA % | 3 P Python % | 5 P PHP-CGM % ")</f>
        <v xml:space="preserve">| 1 L PHP-CGM % | 2 L JAVA % | 3 P Python % | 5 P PHP-CGM % </v>
      </c>
      <c r="CB27" s="4" t="str">
        <f ca="1">IFERROR(__xludf.DUMMYFUNCTION("""COMPUTED_VALUE"""),"| 2 P JAVA % | 3 L JAVA % | 4 L CPT % | 3 P Python % ")</f>
        <v xml:space="preserve">| 2 P JAVA % | 3 L JAVA % | 4 L CPT % | 3 P Python % </v>
      </c>
      <c r="CC2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CD27" s="4" t="str">
        <f ca="1">IFERROR(__xludf.DUMMYFUNCTION("""COMPUTED_VALUE"""),"| 1 L INE % | 3 L PHP-CGM % | 4 L NS % | 5 L PRO % ")</f>
        <v xml:space="preserve">| 1 L INE % | 3 L PHP-CGM % | 4 L NS % | 5 L PRO % </v>
      </c>
      <c r="CE27" s="4" t="str">
        <f ca="1">IFERROR(__xludf.DUMMYFUNCTION("""COMPUTED_VALUE"""),"| 1 L CPT % | 2 L NS % | 3 P JAVA % | 5 P CPT % ")</f>
        <v xml:space="preserve">| 1 L CPT % | 2 L NS % | 3 P JAVA % | 5 P CPT % </v>
      </c>
      <c r="CF27" s="4" t="str">
        <f ca="1">IFERROR(__xludf.DUMMYFUNCTION("""COMPUTED_VALUE"""),"| 1 L PHP-CGM @ | 2 L JAVA @ | 3 P Python % | 5 P PHP-CGM % ")</f>
        <v xml:space="preserve">| 1 L PHP-CGM @ | 2 L JAVA @ | 3 P Python % | 5 P PHP-CGM % </v>
      </c>
      <c r="CG27" s="4" t="str">
        <f ca="1">IFERROR(__xludf.DUMMYFUNCTION("""COMPUTED_VALUE"""),"| 2 P JAVA % | 4 L CPT % ")</f>
        <v xml:space="preserve">| 2 P JAVA % | 4 L CPT % </v>
      </c>
      <c r="CH27" s="4" t="str">
        <f ca="1">IFERROR(__xludf.DUMMYFUNCTION("""COMPUTED_VALUE"""),"| 1 P NS % | 3 L NS % | 6 L CPT @ ")</f>
        <v xml:space="preserve">| 1 P NS % | 3 L NS % | 6 L CPT @ </v>
      </c>
      <c r="CI27" s="4" t="str">
        <f ca="1">IFERROR(__xludf.DUMMYFUNCTION("""COMPUTED_VALUE"""),"| 1 L INE @ ")</f>
        <v xml:space="preserve">| 1 L INE @ </v>
      </c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</row>
    <row r="28" spans="1:102" ht="12.5" x14ac:dyDescent="0.25">
      <c r="A28" s="3">
        <f ca="1">IFERROR(__xludf.DUMMYFUNCTION("""COMPUTED_VALUE"""),2)</f>
        <v>2</v>
      </c>
      <c r="B28" s="3" t="str">
        <f ca="1">IFERROR(__xludf.DUMMYFUNCTION("""COMPUTED_VALUE"""),"A")</f>
        <v>A</v>
      </c>
      <c r="C28" s="32" t="str">
        <f ca="1">IFERROR(__xludf.DUMMYFUNCTION("""COMPUTED_VALUE"""),"23291341078")</f>
        <v>23291341078</v>
      </c>
      <c r="D28" s="21" t="str">
        <f ca="1">IFERROR(__xludf.DUMMYFUNCTION("""COMPUTED_VALUE"""),"PATEL ARYA BAKULESHBHAI")</f>
        <v>PATEL ARYA BAKULESHBHAI</v>
      </c>
      <c r="E28" s="3" t="str">
        <f ca="1">IFERROR(__xludf.DUMMYFUNCTION("""COMPUTED_VALUE"""),"RRP-Mor")</f>
        <v>RRP-Mor</v>
      </c>
      <c r="F28" s="3">
        <f ca="1">IFERROR(__xludf.DUMMYFUNCTION("""COMPUTED_VALUE"""),7203892114)</f>
        <v>7203892114</v>
      </c>
      <c r="G28" s="3">
        <f ca="1">IFERROR(__xludf.DUMMYFUNCTION("""COMPUTED_VALUE"""),9825998627)</f>
        <v>9825998627</v>
      </c>
      <c r="H28" s="33">
        <f ca="1">IFERROR(__xludf.DUMMYFUNCTION("""COMPUTED_VALUE"""),0.791666666666666)</f>
        <v>0.79166666666666596</v>
      </c>
      <c r="I28" s="25">
        <f ca="1">IFERROR(__xludf.DUMMYFUNCTION("""COMPUTED_VALUE"""),0.805555555555555)</f>
        <v>0.80555555555555503</v>
      </c>
      <c r="J28" s="25">
        <f ca="1">IFERROR(__xludf.DUMMYFUNCTION("""COMPUTED_VALUE"""),0.9)</f>
        <v>0.9</v>
      </c>
      <c r="K28" s="25">
        <f ca="1">IFERROR(__xludf.DUMMYFUNCTION("""COMPUTED_VALUE"""),0.823529411764705)</f>
        <v>0.82352941176470495</v>
      </c>
      <c r="L28" s="25">
        <f ca="1">IFERROR(__xludf.DUMMYFUNCTION("""COMPUTED_VALUE"""),0.909090909090909)</f>
        <v>0.90909090909090895</v>
      </c>
      <c r="M28" s="25">
        <f ca="1">IFERROR(__xludf.DUMMYFUNCTION("""COMPUTED_VALUE"""),0.75)</f>
        <v>0.75</v>
      </c>
      <c r="N28" s="25">
        <f ca="1">IFERROR(__xludf.DUMMYFUNCTION("""COMPUTED_VALUE"""),0.727272727272727)</f>
        <v>0.72727272727272696</v>
      </c>
      <c r="O28" s="25">
        <f ca="1">IFERROR(__xludf.DUMMYFUNCTION("""COMPUTED_VALUE"""),0.878787878787878)</f>
        <v>0.87878787878787801</v>
      </c>
      <c r="P28" s="25">
        <f ca="1">IFERROR(__xludf.DUMMYFUNCTION("""COMPUTED_VALUE"""),0.916666666666666)</f>
        <v>0.91666666666666596</v>
      </c>
      <c r="Q28" s="25">
        <f ca="1">IFERROR(__xludf.DUMMYFUNCTION("""COMPUTED_VALUE"""),0)</f>
        <v>0</v>
      </c>
      <c r="R28" s="25">
        <f ca="1">IFERROR(__xludf.DUMMYFUNCTION("""COMPUTED_VALUE"""),0.818181818181818)</f>
        <v>0.81818181818181801</v>
      </c>
      <c r="S28" s="25">
        <f ca="1">IFERROR(__xludf.DUMMYFUNCTION("""COMPUTED_VALUE"""),0.6)</f>
        <v>0.6</v>
      </c>
      <c r="T28" s="25">
        <f ca="1">IFERROR(__xludf.DUMMYFUNCTION("""COMPUTED_VALUE"""),0.5)</f>
        <v>0.5</v>
      </c>
      <c r="U28" s="25">
        <f ca="1">IFERROR(__xludf.DUMMYFUNCTION("""COMPUTED_VALUE"""),0.272727272727272)</f>
        <v>0.27272727272727199</v>
      </c>
      <c r="V28" s="25">
        <f ca="1">IFERROR(__xludf.DUMMYFUNCTION("""COMPUTED_VALUE"""),0)</f>
        <v>0</v>
      </c>
      <c r="W28" s="4"/>
      <c r="X28" s="4" t="str">
        <f ca="1">IFERROR(__xludf.DUMMYFUNCTION("""COMPUTED_VALUE"""),"| 1 L PHP-CGM @ | 3 P Python @ | 5 P PHP-CGM @ ")</f>
        <v xml:space="preserve">| 1 L PHP-CGM @ | 3 P Python @ | 5 P PHP-CGM @ </v>
      </c>
      <c r="Y28" s="4" t="str">
        <f ca="1">IFERROR(__xludf.DUMMYFUNCTION("""COMPUTED_VALUE"""),"| 1 P JAVA % | 3 L JAVA % | 4 L CPT % | 5 P Python % ")</f>
        <v xml:space="preserve">| 1 P JAVA % | 3 L JAVA % | 4 L CPT % | 5 P Python % </v>
      </c>
      <c r="Z2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28" s="4" t="str">
        <f ca="1">IFERROR(__xludf.DUMMYFUNCTION("""COMPUTED_VALUE"""),"| 3 L PHP-CGM % | 4 L NS % | 1 L INE % | 5 P PRO % ")</f>
        <v xml:space="preserve">| 3 L PHP-CGM % | 4 L NS % | 1 L INE % | 5 P PRO % </v>
      </c>
      <c r="AB28" s="4" t="str">
        <f ca="1">IFERROR(__xludf.DUMMYFUNCTION("""COMPUTED_VALUE"""),"| 1 L CPT % | 2 L NS % | 3 P JAVA % | 5 P CPT % ")</f>
        <v xml:space="preserve">| 1 L CPT % | 2 L NS % | 3 P JAVA % | 5 P CPT % </v>
      </c>
      <c r="AC28" s="4" t="str">
        <f ca="1">IFERROR(__xludf.DUMMYFUNCTION("""COMPUTED_VALUE"""),"| 1 L PHP-CGM % | 2 L JAVA % | 3 P Python % | 5 P PHP-CGM % ")</f>
        <v xml:space="preserve">| 1 L PHP-CGM % | 2 L JAVA % | 3 P Python % | 5 P PHP-CGM % </v>
      </c>
      <c r="AD28" s="4" t="str">
        <f ca="1">IFERROR(__xludf.DUMMYFUNCTION("""COMPUTED_VALUE"""),"| 2 P JAVA % | 3 L JAVA % | 4 L CPT % | 5 P Python % ")</f>
        <v xml:space="preserve">| 2 P JAVA % | 3 L JAVA % | 4 L CPT % | 5 P Python % </v>
      </c>
      <c r="AE28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28" s="4" t="str">
        <f ca="1">IFERROR(__xludf.DUMMYFUNCTION("""COMPUTED_VALUE"""),"| 3 L PHP-CGM % | 4 L NS % | 5 P PRO @ ")</f>
        <v xml:space="preserve">| 3 L PHP-CGM % | 4 L NS % | 5 P PRO @ </v>
      </c>
      <c r="AG28" s="4" t="str">
        <f ca="1">IFERROR(__xludf.DUMMYFUNCTION("""COMPUTED_VALUE"""),"| 1 L CPT % | 2 L NS % | 3 P JAVA % | 5 P CPT % ")</f>
        <v xml:space="preserve">| 1 L CPT % | 2 L NS % | 3 P JAVA % | 5 P CPT % </v>
      </c>
      <c r="AH28" s="4" t="str">
        <f ca="1">IFERROR(__xludf.DUMMYFUNCTION("""COMPUTED_VALUE"""),"| 3 L PHP-CGM % | 4 L NS % | 5 L PRO % ")</f>
        <v xml:space="preserve">| 3 L PHP-CGM % | 4 L NS % | 5 L PRO % </v>
      </c>
      <c r="AI28" s="4" t="str">
        <f ca="1">IFERROR(__xludf.DUMMYFUNCTION("""COMPUTED_VALUE"""),"| 1 L CPT % | 2 L NS % | 3 P JAVA % | 5 P CPT % ")</f>
        <v xml:space="preserve">| 1 L CPT % | 2 L NS % | 3 P JAVA % | 5 P CPT % </v>
      </c>
      <c r="AJ28" s="4" t="str">
        <f ca="1">IFERROR(__xludf.DUMMYFUNCTION("""COMPUTED_VALUE"""),"| 1 L PHP-CGM @ | 2 L JAVA @ | 3 P Python @ | 5 P PHP-CGM @ ")</f>
        <v xml:space="preserve">| 1 L PHP-CGM @ | 2 L JAVA @ | 3 P Python @ | 5 P PHP-CGM @ </v>
      </c>
      <c r="AK28" s="4" t="str">
        <f ca="1">IFERROR(__xludf.DUMMYFUNCTION("""COMPUTED_VALUE"""),"| 2 P JAVA % | 3 L JAVA % | 4 L CPT % | 5 P Python % ")</f>
        <v xml:space="preserve">| 2 P JAVA % | 3 L JAVA % | 4 L CPT % | 5 P Python % </v>
      </c>
      <c r="AL2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28" s="4" t="str">
        <f ca="1">IFERROR(__xludf.DUMMYFUNCTION("""COMPUTED_VALUE"""),"| 1 L INE @ | 4 L NS % | 3 L PHP-CGM % | 5 L PRO % ")</f>
        <v xml:space="preserve">| 1 L INE @ | 4 L NS % | 3 L PHP-CGM % | 5 L PRO % </v>
      </c>
      <c r="AN28" s="4" t="str">
        <f ca="1">IFERROR(__xludf.DUMMYFUNCTION("""COMPUTED_VALUE"""),"| 1 L CPT % | 2 L NS % | 3 P JAVA % | 5 P CPT % ")</f>
        <v xml:space="preserve">| 1 L CPT % | 2 L NS % | 3 P JAVA % | 5 P CPT % </v>
      </c>
      <c r="AO28" s="4" t="str">
        <f ca="1">IFERROR(__xludf.DUMMYFUNCTION("""COMPUTED_VALUE"""),"| 1 L PHP-CGM @ | 2 L JAVA @ | 3 P Python @ | 5 P PHP-CGM @ ")</f>
        <v xml:space="preserve">| 1 L PHP-CGM @ | 2 L JAVA @ | 3 P Python @ | 5 P PHP-CGM @ </v>
      </c>
      <c r="AP28" s="4" t="str">
        <f ca="1">IFERROR(__xludf.DUMMYFUNCTION("""COMPUTED_VALUE"""),"| 2 P JAVA % | 3 L JAVA % | 4 L CPT % | 5 P Python % ")</f>
        <v xml:space="preserve">| 2 P JAVA % | 3 L JAVA % | 4 L CPT % | 5 P Python % </v>
      </c>
      <c r="AQ2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28" s="4" t="str">
        <f ca="1">IFERROR(__xludf.DUMMYFUNCTION("""COMPUTED_VALUE"""),"| 1 L INE @ | 3 L PHP-CGM @ | 4 L NS @ | 5 L PRO @ ")</f>
        <v xml:space="preserve">| 1 L INE @ | 3 L PHP-CGM @ | 4 L NS @ | 5 L PRO @ </v>
      </c>
      <c r="AS28" s="4" t="str">
        <f ca="1">IFERROR(__xludf.DUMMYFUNCTION("""COMPUTED_VALUE"""),"| 1 L PHP-CGM % | 2 L JAVA % | 3 P Python % | 5 P PHP-CGM % ")</f>
        <v xml:space="preserve">| 1 L PHP-CGM % | 2 L JAVA % | 3 P Python % | 5 P PHP-CGM % </v>
      </c>
      <c r="AT28" s="4" t="str">
        <f ca="1">IFERROR(__xludf.DUMMYFUNCTION("""COMPUTED_VALUE"""),"| 2 P JAVA % | 3 L JAVA % | 4 L CPT % | 5 P Python % ")</f>
        <v xml:space="preserve">| 2 P JAVA % | 3 L JAVA % | 4 L CPT % | 5 P Python % </v>
      </c>
      <c r="AU2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28" s="4" t="str">
        <f ca="1">IFERROR(__xludf.DUMMYFUNCTION("""COMPUTED_VALUE"""),"| 1 L INE % | 3 L PHP-CGM % | 4 L NS % | 7 L PRO % ")</f>
        <v xml:space="preserve">| 1 L INE % | 3 L PHP-CGM % | 4 L NS % | 7 L PRO % </v>
      </c>
      <c r="AW28" s="4" t="str">
        <f ca="1">IFERROR(__xludf.DUMMYFUNCTION("""COMPUTED_VALUE"""),"| 1 L CPT % | 2 L NS % | 3 P JAVA % | 5 P CPT % ")</f>
        <v xml:space="preserve">| 1 L CPT % | 2 L NS % | 3 P JAVA % | 5 P CPT % </v>
      </c>
      <c r="AX28" s="4" t="str">
        <f ca="1">IFERROR(__xludf.DUMMYFUNCTION("""COMPUTED_VALUE"""),"| 1 L PHP-CGM % | 2 L JAVA % | 3 P Python % | 5 P PHP-CGM % ")</f>
        <v xml:space="preserve">| 1 L PHP-CGM % | 2 L JAVA % | 3 P Python % | 5 P PHP-CGM % </v>
      </c>
      <c r="AY28" s="4" t="str">
        <f ca="1">IFERROR(__xludf.DUMMYFUNCTION("""COMPUTED_VALUE"""),"| 2 P JAVA % | 3 L JAVA % | 4 L CPT % | 5 P Python % ")</f>
        <v xml:space="preserve">| 2 P JAVA % | 3 L JAVA % | 4 L CPT % | 5 P Python % </v>
      </c>
      <c r="AZ28" s="4" t="str">
        <f ca="1">IFERROR(__xludf.DUMMYFUNCTION("""COMPUTED_VALUE"""),"| 1 L INE @ | 3 L PHP-CGM @ | 4 L NS @ | 5 L PRO @ ")</f>
        <v xml:space="preserve">| 1 L INE @ | 3 L PHP-CGM @ | 4 L NS @ | 5 L PRO @ </v>
      </c>
      <c r="BA28" s="4" t="str">
        <f ca="1">IFERROR(__xludf.DUMMYFUNCTION("""COMPUTED_VALUE"""),"| 1 L CPT % | 2 L NS % | 3 P JAVA % | 5 P CPT % ")</f>
        <v xml:space="preserve">| 1 L CPT % | 2 L NS % | 3 P JAVA % | 5 P CPT % </v>
      </c>
      <c r="BB28" s="4" t="str">
        <f ca="1">IFERROR(__xludf.DUMMYFUNCTION("""COMPUTED_VALUE"""),"| 1 L PHP-CGM % | 2 L JAVA % | 3 P Python % | 5 P PHP-CGM % ")</f>
        <v xml:space="preserve">| 1 L PHP-CGM % | 2 L JAVA % | 3 P Python % | 5 P PHP-CGM % </v>
      </c>
      <c r="BC28" s="4" t="str">
        <f ca="1">IFERROR(__xludf.DUMMYFUNCTION("""COMPUTED_VALUE"""),"| 2 P JAVA % | 3 L JAVA % | 4 L CPT %  | 5 P Python % ")</f>
        <v xml:space="preserve">| 2 P JAVA % | 3 L JAVA % | 4 L CPT %  | 5 P Python % </v>
      </c>
      <c r="BD28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28" s="4" t="str">
        <f ca="1">IFERROR(__xludf.DUMMYFUNCTION("""COMPUTED_VALUE"""),"| 1 L INE @ | 3 L PHP-CGM % | 4 L NS % | 5 L PRO % ")</f>
        <v xml:space="preserve">| 1 L INE @ | 3 L PHP-CGM % | 4 L NS % | 5 L PRO % </v>
      </c>
      <c r="BF28" s="4" t="str">
        <f ca="1">IFERROR(__xludf.DUMMYFUNCTION("""COMPUTED_VALUE"""),"| 1 L CPT @ | 2 L NS @ | 3 P JAVA @ | 5 P CPT @ ")</f>
        <v xml:space="preserve">| 1 L CPT @ | 2 L NS @ | 3 P JAVA @ | 5 P CPT @ </v>
      </c>
      <c r="BG28" s="4" t="str">
        <f ca="1">IFERROR(__xludf.DUMMYFUNCTION("""COMPUTED_VALUE"""),"| 2 P JAVA % | 4 L CPT @ | 5 P Python % ")</f>
        <v xml:space="preserve">| 2 P JAVA % | 4 L CPT @ | 5 P Python % </v>
      </c>
      <c r="BH2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28" s="4" t="str">
        <f ca="1">IFERROR(__xludf.DUMMYFUNCTION("""COMPUTED_VALUE"""),"| 1 L INE @ | 3 L PHP-CGM % | 4 L NS % | 5 L PRO % ")</f>
        <v xml:space="preserve">| 1 L INE @ | 3 L PHP-CGM % | 4 L NS % | 5 L PRO % </v>
      </c>
      <c r="BJ28" s="4" t="str">
        <f ca="1">IFERROR(__xludf.DUMMYFUNCTION("""COMPUTED_VALUE"""),"| 1 L CPT % | 2 L NS % | 3 P JAVA % | 5 P CPT % ")</f>
        <v xml:space="preserve">| 1 L CPT % | 2 L NS % | 3 P JAVA % | 5 P CPT % </v>
      </c>
      <c r="BK28" s="4" t="str">
        <f ca="1">IFERROR(__xludf.DUMMYFUNCTION("""COMPUTED_VALUE"""),"| 1 L PHP-CGM @ | 2 L JAVA @ | 3 P Python @ ")</f>
        <v xml:space="preserve">| 1 L PHP-CGM @ | 2 L JAVA @ | 3 P Python @ </v>
      </c>
      <c r="BL28" s="4" t="str">
        <f ca="1">IFERROR(__xludf.DUMMYFUNCTION("""COMPUTED_VALUE"""),"| 2 P JAVA % | 3 L JAVA % | 4 L CPT % | 5 P Python % ")</f>
        <v xml:space="preserve">| 2 P JAVA % | 3 L JAVA % | 4 L CPT % | 5 P Python % </v>
      </c>
      <c r="BM28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28" s="4" t="str">
        <f ca="1">IFERROR(__xludf.DUMMYFUNCTION("""COMPUTED_VALUE"""),"| 1 L INE @ | 3 L PHP-CGM @ | 4 L NS @ | 5 L PRO @ ")</f>
        <v xml:space="preserve">| 1 L INE @ | 3 L PHP-CGM @ | 4 L NS @ | 5 L PRO @ </v>
      </c>
      <c r="BO28" s="4" t="str">
        <f ca="1">IFERROR(__xludf.DUMMYFUNCTION("""COMPUTED_VALUE"""),"| 1 L CPT @ | 2 L NS @ | 3 P JAVA @ ")</f>
        <v xml:space="preserve">| 1 L CPT @ | 2 L NS @ | 3 P JAVA @ </v>
      </c>
      <c r="BP28" s="4" t="str">
        <f ca="1">IFERROR(__xludf.DUMMYFUNCTION("""COMPUTED_VALUE"""),"| 1 L PHP-CGM % | 2 L JAVA % | 3 P Python % | 5 P PHP-CGM % ")</f>
        <v xml:space="preserve">| 1 L PHP-CGM % | 2 L JAVA % | 3 P Python % | 5 P PHP-CGM % </v>
      </c>
      <c r="BQ28" s="4" t="str">
        <f ca="1">IFERROR(__xludf.DUMMYFUNCTION("""COMPUTED_VALUE"""),"| 5 L PHP-CGM % | 6 L CPT @ ")</f>
        <v xml:space="preserve">| 5 L PHP-CGM % | 6 L CPT @ </v>
      </c>
      <c r="BR28" s="4"/>
      <c r="BS28" s="4"/>
      <c r="BT28" s="4" t="str">
        <f ca="1">IFERROR(__xludf.DUMMYFUNCTION("""COMPUTED_VALUE"""),"| 1 L PHP-CGM % | 2 L JAVA % ")</f>
        <v xml:space="preserve">| 1 L PHP-CGM % | 2 L JAVA % </v>
      </c>
      <c r="BU28" s="4" t="str">
        <f ca="1">IFERROR(__xludf.DUMMYFUNCTION("""COMPUTED_VALUE"""),"| 2 P JAVA % | 4 L CPT % | 3 L JAVA % ")</f>
        <v xml:space="preserve">| 2 P JAVA % | 4 L CPT % | 3 L JAVA % </v>
      </c>
      <c r="BV28" s="4" t="str">
        <f ca="1">IFERROR(__xludf.DUMMYFUNCTION("""COMPUTED_VALUE"""),"| 1 L PHP-CGM % | 2 L JAVA % | 3 P Python % | 5 P PHP-CGM % ")</f>
        <v xml:space="preserve">| 1 L PHP-CGM % | 2 L JAVA % | 3 P Python % | 5 P PHP-CGM % </v>
      </c>
      <c r="BW28" s="4" t="str">
        <f ca="1">IFERROR(__xludf.DUMMYFUNCTION("""COMPUTED_VALUE"""),"| 2 P JAVA % | 3 L JAVA % | 4 L CPT % ")</f>
        <v xml:space="preserve">| 2 P JAVA % | 3 L JAVA % | 4 L CPT % </v>
      </c>
      <c r="BX2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28" s="4" t="str">
        <f ca="1">IFERROR(__xludf.DUMMYFUNCTION("""COMPUTED_VALUE"""),"| 1 L INE @ | 3 L PHP-CGM % | 4 L NS % | 5 L PRO @ ")</f>
        <v xml:space="preserve">| 1 L INE @ | 3 L PHP-CGM % | 4 L NS % | 5 L PRO @ </v>
      </c>
      <c r="BZ28" s="4" t="str">
        <f ca="1">IFERROR(__xludf.DUMMYFUNCTION("""COMPUTED_VALUE"""),"| 1 L CPT % | 2 L NS % | 3 P JAVA % | 5 P CPT % ")</f>
        <v xml:space="preserve">| 1 L CPT % | 2 L NS % | 3 P JAVA % | 5 P CPT % </v>
      </c>
      <c r="CA28" s="4" t="str">
        <f ca="1">IFERROR(__xludf.DUMMYFUNCTION("""COMPUTED_VALUE"""),"| 1 L PHP-CGM % | 2 L JAVA % | 3 P Python % | 5 P PHP-CGM % ")</f>
        <v xml:space="preserve">| 1 L PHP-CGM % | 2 L JAVA % | 3 P Python % | 5 P PHP-CGM % </v>
      </c>
      <c r="CB28" s="4" t="str">
        <f ca="1">IFERROR(__xludf.DUMMYFUNCTION("""COMPUTED_VALUE"""),"| 2 P JAVA % | 3 L JAVA % | 4 L CPT % | 3 P Python % ")</f>
        <v xml:space="preserve">| 2 P JAVA % | 3 L JAVA % | 4 L CPT % | 3 P Python % </v>
      </c>
      <c r="CC28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28" s="4" t="str">
        <f ca="1">IFERROR(__xludf.DUMMYFUNCTION("""COMPUTED_VALUE"""),"| 1 L INE % | 3 L PHP-CGM % | 4 L NS % | 5 L PRO % ")</f>
        <v xml:space="preserve">| 1 L INE % | 3 L PHP-CGM % | 4 L NS % | 5 L PRO % </v>
      </c>
      <c r="CE28" s="4" t="str">
        <f ca="1">IFERROR(__xludf.DUMMYFUNCTION("""COMPUTED_VALUE"""),"| 1 L CPT % | 2 L NS % | 3 P JAVA % | 5 P CPT % ")</f>
        <v xml:space="preserve">| 1 L CPT % | 2 L NS % | 3 P JAVA % | 5 P CPT % </v>
      </c>
      <c r="CF28" s="4" t="str">
        <f ca="1">IFERROR(__xludf.DUMMYFUNCTION("""COMPUTED_VALUE"""),"| 1 L PHP-CGM % | 2 L JAVA % | 3 P Python % | 5 P PHP-CGM % ")</f>
        <v xml:space="preserve">| 1 L PHP-CGM % | 2 L JAVA % | 3 P Python % | 5 P PHP-CGM % </v>
      </c>
      <c r="CG28" s="4" t="str">
        <f ca="1">IFERROR(__xludf.DUMMYFUNCTION("""COMPUTED_VALUE"""),"| 2 P JAVA % | 4 L CPT % ")</f>
        <v xml:space="preserve">| 2 P JAVA % | 4 L CPT % </v>
      </c>
      <c r="CH28" s="4" t="str">
        <f ca="1">IFERROR(__xludf.DUMMYFUNCTION("""COMPUTED_VALUE"""),"| 1 P NS % | 3 L NS % | 6 L CPT @ ")</f>
        <v xml:space="preserve">| 1 P NS % | 3 L NS % | 6 L CPT @ </v>
      </c>
      <c r="CI28" s="4" t="str">
        <f ca="1">IFERROR(__xludf.DUMMYFUNCTION("""COMPUTED_VALUE"""),"| 1 L INE @ ")</f>
        <v xml:space="preserve">| 1 L INE @ </v>
      </c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</row>
    <row r="29" spans="1:102" ht="12.5" x14ac:dyDescent="0.25">
      <c r="A29" s="3">
        <f ca="1">IFERROR(__xludf.DUMMYFUNCTION("""COMPUTED_VALUE"""),2)</f>
        <v>2</v>
      </c>
      <c r="B29" s="3" t="str">
        <f ca="1">IFERROR(__xludf.DUMMYFUNCTION("""COMPUTED_VALUE"""),"A")</f>
        <v>A</v>
      </c>
      <c r="C29" s="32" t="str">
        <f ca="1">IFERROR(__xludf.DUMMYFUNCTION("""COMPUTED_VALUE"""),"23291341080")</f>
        <v>23291341080</v>
      </c>
      <c r="D29" s="21" t="str">
        <f ca="1">IFERROR(__xludf.DUMMYFUNCTION("""COMPUTED_VALUE"""),"PATEL DARSH PRAVINKUMAR")</f>
        <v>PATEL DARSH PRAVINKUMAR</v>
      </c>
      <c r="E29" s="3" t="str">
        <f ca="1">IFERROR(__xludf.DUMMYFUNCTION("""COMPUTED_VALUE"""),"RRP-Mor")</f>
        <v>RRP-Mor</v>
      </c>
      <c r="F29" s="3">
        <f ca="1">IFERROR(__xludf.DUMMYFUNCTION("""COMPUTED_VALUE"""),8849075327)</f>
        <v>8849075327</v>
      </c>
      <c r="G29" s="3">
        <f ca="1">IFERROR(__xludf.DUMMYFUNCTION("""COMPUTED_VALUE"""),9898664268)</f>
        <v>9898664268</v>
      </c>
      <c r="H29" s="33">
        <f ca="1">IFERROR(__xludf.DUMMYFUNCTION("""COMPUTED_VALUE"""),0.866666666666666)</f>
        <v>0.86666666666666603</v>
      </c>
      <c r="I29" s="25">
        <f ca="1">IFERROR(__xludf.DUMMYFUNCTION("""COMPUTED_VALUE"""),0.861111111111111)</f>
        <v>0.86111111111111105</v>
      </c>
      <c r="J29" s="25">
        <f ca="1">IFERROR(__xludf.DUMMYFUNCTION("""COMPUTED_VALUE"""),0.9)</f>
        <v>0.9</v>
      </c>
      <c r="K29" s="25">
        <f ca="1">IFERROR(__xludf.DUMMYFUNCTION("""COMPUTED_VALUE"""),0.852941176470588)</f>
        <v>0.85294117647058798</v>
      </c>
      <c r="L29" s="25">
        <f ca="1">IFERROR(__xludf.DUMMYFUNCTION("""COMPUTED_VALUE"""),1)</f>
        <v>1</v>
      </c>
      <c r="M29" s="25">
        <f ca="1">IFERROR(__xludf.DUMMYFUNCTION("""COMPUTED_VALUE"""),0.861111111111111)</f>
        <v>0.86111111111111105</v>
      </c>
      <c r="N29" s="25">
        <f ca="1">IFERROR(__xludf.DUMMYFUNCTION("""COMPUTED_VALUE"""),1)</f>
        <v>1</v>
      </c>
      <c r="O29" s="25">
        <f ca="1">IFERROR(__xludf.DUMMYFUNCTION("""COMPUTED_VALUE"""),0.939393939393939)</f>
        <v>0.939393939393939</v>
      </c>
      <c r="P29" s="25">
        <f ca="1">IFERROR(__xludf.DUMMYFUNCTION("""COMPUTED_VALUE"""),0.916666666666666)</f>
        <v>0.91666666666666596</v>
      </c>
      <c r="Q29" s="25">
        <f ca="1">IFERROR(__xludf.DUMMYFUNCTION("""COMPUTED_VALUE"""),0)</f>
        <v>0</v>
      </c>
      <c r="R29" s="25">
        <f ca="1">IFERROR(__xludf.DUMMYFUNCTION("""COMPUTED_VALUE"""),0.954545454545454)</f>
        <v>0.95454545454545403</v>
      </c>
      <c r="S29" s="25">
        <f ca="1">IFERROR(__xludf.DUMMYFUNCTION("""COMPUTED_VALUE"""),0.6)</f>
        <v>0.6</v>
      </c>
      <c r="T29" s="25">
        <f ca="1">IFERROR(__xludf.DUMMYFUNCTION("""COMPUTED_VALUE"""),0.5)</f>
        <v>0.5</v>
      </c>
      <c r="U29" s="25">
        <f ca="1">IFERROR(__xludf.DUMMYFUNCTION("""COMPUTED_VALUE"""),0.454545454545454)</f>
        <v>0.45454545454545398</v>
      </c>
      <c r="V29" s="25">
        <f ca="1">IFERROR(__xludf.DUMMYFUNCTION("""COMPUTED_VALUE"""),0)</f>
        <v>0</v>
      </c>
      <c r="W29" s="4"/>
      <c r="X29" s="4" t="str">
        <f ca="1">IFERROR(__xludf.DUMMYFUNCTION("""COMPUTED_VALUE"""),"| 1 L PHP-CGM % | 3 P Python % | 5 P PHP-CGM % ")</f>
        <v xml:space="preserve">| 1 L PHP-CGM % | 3 P Python % | 5 P PHP-CGM % </v>
      </c>
      <c r="Y29" s="4" t="str">
        <f ca="1">IFERROR(__xludf.DUMMYFUNCTION("""COMPUTED_VALUE"""),"| 1 P JAVA % | 3 L JAVA % | 4 L CPT % | 5 P Python % ")</f>
        <v xml:space="preserve">| 1 P JAVA % | 3 L JAVA % | 4 L CPT % | 5 P Python % </v>
      </c>
      <c r="Z2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29" s="4" t="str">
        <f ca="1">IFERROR(__xludf.DUMMYFUNCTION("""COMPUTED_VALUE"""),"| 3 L PHP-CGM % | 4 L NS % | 1 L INE % | 5 P PRO % ")</f>
        <v xml:space="preserve">| 3 L PHP-CGM % | 4 L NS % | 1 L INE % | 5 P PRO % </v>
      </c>
      <c r="AB29" s="4" t="str">
        <f ca="1">IFERROR(__xludf.DUMMYFUNCTION("""COMPUTED_VALUE"""),"| 1 L CPT % | 2 L NS % | 3 P JAVA % | 5 P CPT % ")</f>
        <v xml:space="preserve">| 1 L CPT % | 2 L NS % | 3 P JAVA % | 5 P CPT % </v>
      </c>
      <c r="AC29" s="4" t="str">
        <f ca="1">IFERROR(__xludf.DUMMYFUNCTION("""COMPUTED_VALUE"""),"| 1 L PHP-CGM % | 2 L JAVA % | 3 P Python % | 5 P PHP-CGM % ")</f>
        <v xml:space="preserve">| 1 L PHP-CGM % | 2 L JAVA % | 3 P Python % | 5 P PHP-CGM % </v>
      </c>
      <c r="AD29" s="4" t="str">
        <f ca="1">IFERROR(__xludf.DUMMYFUNCTION("""COMPUTED_VALUE"""),"| 2 P JAVA % | 3 L JAVA % | 4 L CPT % | 5 P Python % ")</f>
        <v xml:space="preserve">| 2 P JAVA % | 3 L JAVA % | 4 L CPT % | 5 P Python % </v>
      </c>
      <c r="AE29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29" s="4" t="str">
        <f ca="1">IFERROR(__xludf.DUMMYFUNCTION("""COMPUTED_VALUE"""),"| 3 L PHP-CGM % | 4 L NS % | 5 P PRO @ ")</f>
        <v xml:space="preserve">| 3 L PHP-CGM % | 4 L NS % | 5 P PRO @ </v>
      </c>
      <c r="AG29" s="4" t="str">
        <f ca="1">IFERROR(__xludf.DUMMYFUNCTION("""COMPUTED_VALUE"""),"| 1 L CPT % | 2 L NS % | 3 P JAVA % | 5 P CPT % ")</f>
        <v xml:space="preserve">| 1 L CPT % | 2 L NS % | 3 P JAVA % | 5 P CPT % </v>
      </c>
      <c r="AH29" s="4" t="str">
        <f ca="1">IFERROR(__xludf.DUMMYFUNCTION("""COMPUTED_VALUE"""),"| 3 L PHP-CGM % | 4 L NS % | 5 L PRO % ")</f>
        <v xml:space="preserve">| 3 L PHP-CGM % | 4 L NS % | 5 L PRO % </v>
      </c>
      <c r="AI29" s="4" t="str">
        <f ca="1">IFERROR(__xludf.DUMMYFUNCTION("""COMPUTED_VALUE"""),"| 1 L CPT % | 2 L NS % | 3 P JAVA % | 5 P CPT % ")</f>
        <v xml:space="preserve">| 1 L CPT % | 2 L NS % | 3 P JAVA % | 5 P CPT % </v>
      </c>
      <c r="AJ29" s="4" t="str">
        <f ca="1">IFERROR(__xludf.DUMMYFUNCTION("""COMPUTED_VALUE"""),"| 1 L PHP-CGM % | 2 L JAVA % | 3 P Python % | 5 P PHP-CGM % ")</f>
        <v xml:space="preserve">| 1 L PHP-CGM % | 2 L JAVA % | 3 P Python % | 5 P PHP-CGM % </v>
      </c>
      <c r="AK29" s="4" t="str">
        <f ca="1">IFERROR(__xludf.DUMMYFUNCTION("""COMPUTED_VALUE"""),"| 2 P JAVA % | 3 L JAVA % | 4 L CPT % | 5 P Python % ")</f>
        <v xml:space="preserve">| 2 P JAVA % | 3 L JAVA % | 4 L CPT % | 5 P Python % </v>
      </c>
      <c r="AL2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29" s="4" t="str">
        <f ca="1">IFERROR(__xludf.DUMMYFUNCTION("""COMPUTED_VALUE"""),"| 1 L INE @ | 4 L NS % | 3 L PHP-CGM % | 5 L PRO % ")</f>
        <v xml:space="preserve">| 1 L INE @ | 4 L NS % | 3 L PHP-CGM % | 5 L PRO % </v>
      </c>
      <c r="AN29" s="4" t="str">
        <f ca="1">IFERROR(__xludf.DUMMYFUNCTION("""COMPUTED_VALUE"""),"| 1 L CPT % | 2 L NS % | 3 P JAVA % | 5 P CPT % ")</f>
        <v xml:space="preserve">| 1 L CPT % | 2 L NS % | 3 P JAVA % | 5 P CPT % </v>
      </c>
      <c r="AO29" s="4" t="str">
        <f ca="1">IFERROR(__xludf.DUMMYFUNCTION("""COMPUTED_VALUE"""),"| 1 L PHP-CGM % | 2 L JAVA % | 3 P Python % | 5 P PHP-CGM % ")</f>
        <v xml:space="preserve">| 1 L PHP-CGM % | 2 L JAVA % | 3 P Python % | 5 P PHP-CGM % </v>
      </c>
      <c r="AP29" s="4" t="str">
        <f ca="1">IFERROR(__xludf.DUMMYFUNCTION("""COMPUTED_VALUE"""),"| 2 P JAVA % | 3 L JAVA % | 4 L CPT % | 5 P Python % ")</f>
        <v xml:space="preserve">| 2 P JAVA % | 3 L JAVA % | 4 L CPT % | 5 P Python % </v>
      </c>
      <c r="AQ2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29" s="4" t="str">
        <f ca="1">IFERROR(__xludf.DUMMYFUNCTION("""COMPUTED_VALUE"""),"| 1 L INE @ | 3 L PHP-CGM @ | 4 L NS @ | 5 L PRO @ ")</f>
        <v xml:space="preserve">| 1 L INE @ | 3 L PHP-CGM @ | 4 L NS @ | 5 L PRO @ </v>
      </c>
      <c r="AS29" s="4" t="str">
        <f ca="1">IFERROR(__xludf.DUMMYFUNCTION("""COMPUTED_VALUE"""),"| 1 L PHP-CGM % | 2 L JAVA % | 3 P Python % | 5 P PHP-CGM % ")</f>
        <v xml:space="preserve">| 1 L PHP-CGM % | 2 L JAVA % | 3 P Python % | 5 P PHP-CGM % </v>
      </c>
      <c r="AT29" s="4" t="str">
        <f ca="1">IFERROR(__xludf.DUMMYFUNCTION("""COMPUTED_VALUE"""),"| 2 P JAVA % | 3 L JAVA % | 4 L CPT % | 5 P Python % ")</f>
        <v xml:space="preserve">| 2 P JAVA % | 3 L JAVA % | 4 L CPT % | 5 P Python % </v>
      </c>
      <c r="AU2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29" s="4" t="str">
        <f ca="1">IFERROR(__xludf.DUMMYFUNCTION("""COMPUTED_VALUE"""),"| 1 L INE % | 3 L PHP-CGM % | 4 L NS % | 7 L PRO % ")</f>
        <v xml:space="preserve">| 1 L INE % | 3 L PHP-CGM % | 4 L NS % | 7 L PRO % </v>
      </c>
      <c r="AW29" s="4" t="str">
        <f ca="1">IFERROR(__xludf.DUMMYFUNCTION("""COMPUTED_VALUE"""),"| 1 L CPT % | 2 L NS % | 3 P JAVA % | 5 P CPT % ")</f>
        <v xml:space="preserve">| 1 L CPT % | 2 L NS % | 3 P JAVA % | 5 P CPT % </v>
      </c>
      <c r="AX29" s="4" t="str">
        <f ca="1">IFERROR(__xludf.DUMMYFUNCTION("""COMPUTED_VALUE"""),"| 1 L PHP-CGM % | 2 L JAVA % | 3 P Python % | 5 P PHP-CGM % ")</f>
        <v xml:space="preserve">| 1 L PHP-CGM % | 2 L JAVA % | 3 P Python % | 5 P PHP-CGM % </v>
      </c>
      <c r="AY29" s="4" t="str">
        <f ca="1">IFERROR(__xludf.DUMMYFUNCTION("""COMPUTED_VALUE"""),"| 2 P JAVA % | 3 L JAVA % | 4 L CPT % | 5 P Python % ")</f>
        <v xml:space="preserve">| 2 P JAVA % | 3 L JAVA % | 4 L CPT % | 5 P Python % </v>
      </c>
      <c r="AZ29" s="4" t="str">
        <f ca="1">IFERROR(__xludf.DUMMYFUNCTION("""COMPUTED_VALUE"""),"| 1 L INE @ | 3 L PHP-CGM @ | 4 L NS @ | 5 L PRO @ ")</f>
        <v xml:space="preserve">| 1 L INE @ | 3 L PHP-CGM @ | 4 L NS @ | 5 L PRO @ </v>
      </c>
      <c r="BA29" s="4" t="str">
        <f ca="1">IFERROR(__xludf.DUMMYFUNCTION("""COMPUTED_VALUE"""),"| 1 L CPT % | 2 L NS % | 3 P JAVA % | 5 P CPT % ")</f>
        <v xml:space="preserve">| 1 L CPT % | 2 L NS % | 3 P JAVA % | 5 P CPT % </v>
      </c>
      <c r="BB29" s="4" t="str">
        <f ca="1">IFERROR(__xludf.DUMMYFUNCTION("""COMPUTED_VALUE"""),"| 1 L PHP-CGM % | 2 L JAVA % | 3 P Python % | 5 P PHP-CGM % ")</f>
        <v xml:space="preserve">| 1 L PHP-CGM % | 2 L JAVA % | 3 P Python % | 5 P PHP-CGM % </v>
      </c>
      <c r="BC29" s="4" t="str">
        <f ca="1">IFERROR(__xludf.DUMMYFUNCTION("""COMPUTED_VALUE"""),"| 2 P JAVA % | 3 L JAVA % | 4 L CPT %  | 5 P Python % ")</f>
        <v xml:space="preserve">| 2 P JAVA % | 3 L JAVA % | 4 L CPT %  | 5 P Python % </v>
      </c>
      <c r="BD29" s="4" t="str">
        <f ca="1">IFERROR(__xludf.DUMMYFUNCTION("""COMPUTED_VALUE"""),"| 1 P NS % | 3 L NS % | 6 L CPT % | 5 L PHP-CGM % | 4 L JAVA @ ")</f>
        <v xml:space="preserve">| 1 P NS % | 3 L NS % | 6 L CPT % | 5 L PHP-CGM % | 4 L JAVA @ </v>
      </c>
      <c r="BE29" s="4" t="str">
        <f ca="1">IFERROR(__xludf.DUMMYFUNCTION("""COMPUTED_VALUE"""),"| 1 L INE @ | 3 L PHP-CGM % | 4 L NS % | 5 L PRO % ")</f>
        <v xml:space="preserve">| 1 L INE @ | 3 L PHP-CGM % | 4 L NS % | 5 L PRO % </v>
      </c>
      <c r="BF29" s="4" t="str">
        <f ca="1">IFERROR(__xludf.DUMMYFUNCTION("""COMPUTED_VALUE"""),"| 1 L CPT @ | 2 L NS @ | 3 P JAVA @ | 5 P CPT @ ")</f>
        <v xml:space="preserve">| 1 L CPT @ | 2 L NS @ | 3 P JAVA @ | 5 P CPT @ </v>
      </c>
      <c r="BG29" s="4" t="str">
        <f ca="1">IFERROR(__xludf.DUMMYFUNCTION("""COMPUTED_VALUE"""),"| 2 P JAVA % | 4 L CPT @ | 5 P Python % ")</f>
        <v xml:space="preserve">| 2 P JAVA % | 4 L CPT @ | 5 P Python % </v>
      </c>
      <c r="BH2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29" s="4" t="str">
        <f ca="1">IFERROR(__xludf.DUMMYFUNCTION("""COMPUTED_VALUE"""),"| 1 L INE @ | 3 L PHP-CGM % | 4 L NS % | 5 L PRO % ")</f>
        <v xml:space="preserve">| 1 L INE @ | 3 L PHP-CGM % | 4 L NS % | 5 L PRO % </v>
      </c>
      <c r="BJ29" s="4" t="str">
        <f ca="1">IFERROR(__xludf.DUMMYFUNCTION("""COMPUTED_VALUE"""),"| 1 L CPT % | 2 L NS % | 3 P JAVA % | 5 P CPT % ")</f>
        <v xml:space="preserve">| 1 L CPT % | 2 L NS % | 3 P JAVA % | 5 P CPT % </v>
      </c>
      <c r="BK29" s="4" t="str">
        <f ca="1">IFERROR(__xludf.DUMMYFUNCTION("""COMPUTED_VALUE"""),"| 1 L PHP-CGM @ | 2 L JAVA @ | 3 P Python @ ")</f>
        <v xml:space="preserve">| 1 L PHP-CGM @ | 2 L JAVA @ | 3 P Python @ </v>
      </c>
      <c r="BL29" s="4" t="str">
        <f ca="1">IFERROR(__xludf.DUMMYFUNCTION("""COMPUTED_VALUE"""),"| 2 P JAVA % | 3 L JAVA % | 4 L CPT % | 5 P Python % ")</f>
        <v xml:space="preserve">| 2 P JAVA % | 3 L JAVA % | 4 L CPT % | 5 P Python % </v>
      </c>
      <c r="BM2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29" s="4" t="str">
        <f ca="1">IFERROR(__xludf.DUMMYFUNCTION("""COMPUTED_VALUE"""),"| 1 L INE @ | 3 L PHP-CGM @ | 4 L NS @ | 5 L PRO @ ")</f>
        <v xml:space="preserve">| 1 L INE @ | 3 L PHP-CGM @ | 4 L NS @ | 5 L PRO @ </v>
      </c>
      <c r="BO29" s="4" t="str">
        <f ca="1">IFERROR(__xludf.DUMMYFUNCTION("""COMPUTED_VALUE"""),"| 1 L CPT @ | 2 L NS @ | 3 P JAVA @ ")</f>
        <v xml:space="preserve">| 1 L CPT @ | 2 L NS @ | 3 P JAVA @ </v>
      </c>
      <c r="BP29" s="4" t="str">
        <f ca="1">IFERROR(__xludf.DUMMYFUNCTION("""COMPUTED_VALUE"""),"| 1 L PHP-CGM % | 2 L JAVA % | 3 P Python % | 5 P PHP-CGM % ")</f>
        <v xml:space="preserve">| 1 L PHP-CGM % | 2 L JAVA % | 3 P Python % | 5 P PHP-CGM % </v>
      </c>
      <c r="BQ29" s="4" t="str">
        <f ca="1">IFERROR(__xludf.DUMMYFUNCTION("""COMPUTED_VALUE"""),"| 5 L PHP-CGM % | 6 L CPT % ")</f>
        <v xml:space="preserve">| 5 L PHP-CGM % | 6 L CPT % </v>
      </c>
      <c r="BR29" s="4"/>
      <c r="BS29" s="4"/>
      <c r="BT29" s="4" t="str">
        <f ca="1">IFERROR(__xludf.DUMMYFUNCTION("""COMPUTED_VALUE"""),"| 1 L PHP-CGM % | 2 L JAVA % ")</f>
        <v xml:space="preserve">| 1 L PHP-CGM % | 2 L JAVA % </v>
      </c>
      <c r="BU29" s="4" t="str">
        <f ca="1">IFERROR(__xludf.DUMMYFUNCTION("""COMPUTED_VALUE"""),"| 2 P JAVA % | 4 L CPT % | 3 L JAVA % ")</f>
        <v xml:space="preserve">| 2 P JAVA % | 4 L CPT % | 3 L JAVA % </v>
      </c>
      <c r="BV29" s="4" t="str">
        <f ca="1">IFERROR(__xludf.DUMMYFUNCTION("""COMPUTED_VALUE"""),"| 1 L PHP-CGM % | 2 L JAVA % | 3 P Python % | 5 P PHP-CGM % ")</f>
        <v xml:space="preserve">| 1 L PHP-CGM % | 2 L JAVA % | 3 P Python % | 5 P PHP-CGM % </v>
      </c>
      <c r="BW29" s="4" t="str">
        <f ca="1">IFERROR(__xludf.DUMMYFUNCTION("""COMPUTED_VALUE"""),"| 2 P JAVA % | 3 L JAVA % | 4 L CPT % ")</f>
        <v xml:space="preserve">| 2 P JAVA % | 3 L JAVA % | 4 L CPT % </v>
      </c>
      <c r="BX2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29" s="4" t="str">
        <f ca="1">IFERROR(__xludf.DUMMYFUNCTION("""COMPUTED_VALUE"""),"| 1 L INE % | 3 L PHP-CGM % | 4 L NS % | 5 L PRO @ ")</f>
        <v xml:space="preserve">| 1 L INE % | 3 L PHP-CGM % | 4 L NS % | 5 L PRO @ </v>
      </c>
      <c r="BZ29" s="4" t="str">
        <f ca="1">IFERROR(__xludf.DUMMYFUNCTION("""COMPUTED_VALUE"""),"| 1 L CPT % | 2 L NS % | 3 P JAVA % | 5 P CPT % ")</f>
        <v xml:space="preserve">| 1 L CPT % | 2 L NS % | 3 P JAVA % | 5 P CPT % </v>
      </c>
      <c r="CA29" s="4" t="str">
        <f ca="1">IFERROR(__xludf.DUMMYFUNCTION("""COMPUTED_VALUE"""),"| 1 L PHP-CGM % | 2 L JAVA % | 3 P Python % | 5 P PHP-CGM % ")</f>
        <v xml:space="preserve">| 1 L PHP-CGM % | 2 L JAVA % | 3 P Python % | 5 P PHP-CGM % </v>
      </c>
      <c r="CB29" s="4" t="str">
        <f ca="1">IFERROR(__xludf.DUMMYFUNCTION("""COMPUTED_VALUE"""),"| 2 P JAVA % | 3 L JAVA % | 4 L CPT % | 3 P Python % ")</f>
        <v xml:space="preserve">| 2 P JAVA % | 3 L JAVA % | 4 L CPT % | 3 P Python % </v>
      </c>
      <c r="CC29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29" s="4" t="str">
        <f ca="1">IFERROR(__xludf.DUMMYFUNCTION("""COMPUTED_VALUE"""),"| 1 L INE % | 3 L PHP-CGM % | 4 L NS % | 5 L PRO % ")</f>
        <v xml:space="preserve">| 1 L INE % | 3 L PHP-CGM % | 4 L NS % | 5 L PRO % </v>
      </c>
      <c r="CE29" s="4" t="str">
        <f ca="1">IFERROR(__xludf.DUMMYFUNCTION("""COMPUTED_VALUE"""),"| 1 L CPT % | 2 L NS % | 3 P JAVA % | 5 P CPT % ")</f>
        <v xml:space="preserve">| 1 L CPT % | 2 L NS % | 3 P JAVA % | 5 P CPT % </v>
      </c>
      <c r="CF29" s="4" t="str">
        <f ca="1">IFERROR(__xludf.DUMMYFUNCTION("""COMPUTED_VALUE"""),"| 1 L PHP-CGM % | 2 L JAVA % | 3 P Python % | 5 P PHP-CGM % ")</f>
        <v xml:space="preserve">| 1 L PHP-CGM % | 2 L JAVA % | 3 P Python % | 5 P PHP-CGM % </v>
      </c>
      <c r="CG29" s="4" t="str">
        <f ca="1">IFERROR(__xludf.DUMMYFUNCTION("""COMPUTED_VALUE"""),"| 2 P JAVA % | 4 L CPT % ")</f>
        <v xml:space="preserve">| 2 P JAVA % | 4 L CPT % </v>
      </c>
      <c r="CH29" s="4" t="str">
        <f ca="1">IFERROR(__xludf.DUMMYFUNCTION("""COMPUTED_VALUE"""),"| 1 P NS % | 3 L NS % | 6 L CPT @ ")</f>
        <v xml:space="preserve">| 1 P NS % | 3 L NS % | 6 L CPT @ </v>
      </c>
      <c r="CI29" s="4" t="str">
        <f ca="1">IFERROR(__xludf.DUMMYFUNCTION("""COMPUTED_VALUE"""),"| 1 L INE % ")</f>
        <v xml:space="preserve">| 1 L INE % </v>
      </c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 spans="1:102" ht="12.5" x14ac:dyDescent="0.25">
      <c r="A30" s="3">
        <f ca="1">IFERROR(__xludf.DUMMYFUNCTION("""COMPUTED_VALUE"""),2)</f>
        <v>2</v>
      </c>
      <c r="B30" s="3" t="str">
        <f ca="1">IFERROR(__xludf.DUMMYFUNCTION("""COMPUTED_VALUE"""),"A")</f>
        <v>A</v>
      </c>
      <c r="C30" s="32" t="str">
        <f ca="1">IFERROR(__xludf.DUMMYFUNCTION("""COMPUTED_VALUE"""),"23291341085")</f>
        <v>23291341085</v>
      </c>
      <c r="D30" s="21" t="str">
        <f ca="1">IFERROR(__xludf.DUMMYFUNCTION("""COMPUTED_VALUE"""),"PATEL GRACY VIPULKUMAR")</f>
        <v>PATEL GRACY VIPULKUMAR</v>
      </c>
      <c r="E30" s="3" t="str">
        <f ca="1">IFERROR(__xludf.DUMMYFUNCTION("""COMPUTED_VALUE"""),"RRP-Mor")</f>
        <v>RRP-Mor</v>
      </c>
      <c r="F30" s="3">
        <f ca="1">IFERROR(__xludf.DUMMYFUNCTION("""COMPUTED_VALUE"""),9558866790)</f>
        <v>9558866790</v>
      </c>
      <c r="G30" s="3">
        <f ca="1">IFERROR(__xludf.DUMMYFUNCTION("""COMPUTED_VALUE"""),9558866790)</f>
        <v>9558866790</v>
      </c>
      <c r="H30" s="33">
        <f ca="1">IFERROR(__xludf.DUMMYFUNCTION("""COMPUTED_VALUE"""),0.604166666666666)</f>
        <v>0.60416666666666596</v>
      </c>
      <c r="I30" s="25">
        <f ca="1">IFERROR(__xludf.DUMMYFUNCTION("""COMPUTED_VALUE"""),0.444444444444444)</f>
        <v>0.44444444444444398</v>
      </c>
      <c r="J30" s="25">
        <f ca="1">IFERROR(__xludf.DUMMYFUNCTION("""COMPUTED_VALUE"""),0.3)</f>
        <v>0.3</v>
      </c>
      <c r="K30" s="25">
        <f ca="1">IFERROR(__xludf.DUMMYFUNCTION("""COMPUTED_VALUE"""),0.676470588235294)</f>
        <v>0.67647058823529405</v>
      </c>
      <c r="L30" s="25">
        <f ca="1">IFERROR(__xludf.DUMMYFUNCTION("""COMPUTED_VALUE"""),0.727272727272727)</f>
        <v>0.72727272727272696</v>
      </c>
      <c r="M30" s="25">
        <f ca="1">IFERROR(__xludf.DUMMYFUNCTION("""COMPUTED_VALUE"""),0.638888888888888)</f>
        <v>0.63888888888888795</v>
      </c>
      <c r="N30" s="25">
        <f ca="1">IFERROR(__xludf.DUMMYFUNCTION("""COMPUTED_VALUE"""),0.454545454545454)</f>
        <v>0.45454545454545398</v>
      </c>
      <c r="O30" s="25">
        <f ca="1">IFERROR(__xludf.DUMMYFUNCTION("""COMPUTED_VALUE"""),0.757575757575757)</f>
        <v>0.75757575757575701</v>
      </c>
      <c r="P30" s="25">
        <f ca="1">IFERROR(__xludf.DUMMYFUNCTION("""COMPUTED_VALUE"""),0.625)</f>
        <v>0.625</v>
      </c>
      <c r="Q30" s="25">
        <f ca="1">IFERROR(__xludf.DUMMYFUNCTION("""COMPUTED_VALUE"""),0)</f>
        <v>0</v>
      </c>
      <c r="R30" s="25">
        <f ca="1">IFERROR(__xludf.DUMMYFUNCTION("""COMPUTED_VALUE"""),0.636363636363636)</f>
        <v>0.63636363636363602</v>
      </c>
      <c r="S30" s="25">
        <f ca="1">IFERROR(__xludf.DUMMYFUNCTION("""COMPUTED_VALUE"""),0.5)</f>
        <v>0.5</v>
      </c>
      <c r="T30" s="25">
        <f ca="1">IFERROR(__xludf.DUMMYFUNCTION("""COMPUTED_VALUE"""),0)</f>
        <v>0</v>
      </c>
      <c r="U30" s="25">
        <f ca="1">IFERROR(__xludf.DUMMYFUNCTION("""COMPUTED_VALUE"""),0.727272727272727)</f>
        <v>0.72727272727272696</v>
      </c>
      <c r="V30" s="25">
        <f ca="1">IFERROR(__xludf.DUMMYFUNCTION("""COMPUTED_VALUE"""),0)</f>
        <v>0</v>
      </c>
      <c r="W30" s="4"/>
      <c r="X30" s="4" t="str">
        <f ca="1">IFERROR(__xludf.DUMMYFUNCTION("""COMPUTED_VALUE"""),"| 1 L PHP-CGM @ | 3 P Python @ | 5 P PHP-CGM @ ")</f>
        <v xml:space="preserve">| 1 L PHP-CGM @ | 3 P Python @ | 5 P PHP-CGM @ </v>
      </c>
      <c r="Y30" s="4" t="str">
        <f ca="1">IFERROR(__xludf.DUMMYFUNCTION("""COMPUTED_VALUE"""),"| 1 P JAVA % | 3 L JAVA @ | 4 L CPT @ | 5 P Python @ ")</f>
        <v xml:space="preserve">| 1 P JAVA % | 3 L JAVA @ | 4 L CPT @ | 5 P Python @ </v>
      </c>
      <c r="Z30" s="4" t="str">
        <f ca="1">IFERROR(__xludf.DUMMYFUNCTION("""COMPUTED_VALUE"""),"| 1 P NS % | 3 L NS @ | 4 L JAVA @ | 5 L PHP-CGM @ | 6 L CPT @ ")</f>
        <v xml:space="preserve">| 1 P NS % | 3 L NS @ | 4 L JAVA @ | 5 L PHP-CGM @ | 6 L CPT @ </v>
      </c>
      <c r="AA30" s="4" t="str">
        <f ca="1">IFERROR(__xludf.DUMMYFUNCTION("""COMPUTED_VALUE"""),"| 3 L PHP-CGM @ | 4 L NS @ | 1 L INE % | 5 P PRO @ ")</f>
        <v xml:space="preserve">| 3 L PHP-CGM @ | 4 L NS @ | 1 L INE % | 5 P PRO @ </v>
      </c>
      <c r="AB30" s="4" t="str">
        <f ca="1">IFERROR(__xludf.DUMMYFUNCTION("""COMPUTED_VALUE"""),"| 1 L CPT % | 2 L NS % | 3 P JAVA @ | 5 P CPT @ ")</f>
        <v xml:space="preserve">| 1 L CPT % | 2 L NS % | 3 P JAVA @ | 5 P CPT @ </v>
      </c>
      <c r="AC30" s="4" t="str">
        <f ca="1">IFERROR(__xludf.DUMMYFUNCTION("""COMPUTED_VALUE"""),"| 1 L PHP-CGM % | 2 L JAVA % | 3 P Python % | 5 P PHP-CGM % ")</f>
        <v xml:space="preserve">| 1 L PHP-CGM % | 2 L JAVA % | 3 P Python % | 5 P PHP-CGM % </v>
      </c>
      <c r="AD30" s="4" t="str">
        <f ca="1">IFERROR(__xludf.DUMMYFUNCTION("""COMPUTED_VALUE"""),"| 2 P JAVA % | 3 L JAVA % | 4 L CPT % | 5 P Python @ ")</f>
        <v xml:space="preserve">| 2 P JAVA % | 3 L JAVA % | 4 L CPT % | 5 P Python @ </v>
      </c>
      <c r="AE30" s="4" t="str">
        <f ca="1">IFERROR(__xludf.DUMMYFUNCTION("""COMPUTED_VALUE"""),"| 1 P NS % | 4 L JAVA % | 3 L NS % | 5 L PHP-CGM @ | 6 L CPT @ ")</f>
        <v xml:space="preserve">| 1 P NS % | 4 L JAVA % | 3 L NS % | 5 L PHP-CGM @ | 6 L CPT @ </v>
      </c>
      <c r="AF30" s="4" t="str">
        <f ca="1">IFERROR(__xludf.DUMMYFUNCTION("""COMPUTED_VALUE"""),"| 3 L PHP-CGM % | 4 L NS % | 5 P PRO @ ")</f>
        <v xml:space="preserve">| 3 L PHP-CGM % | 4 L NS % | 5 P PRO @ </v>
      </c>
      <c r="AG30" s="4" t="str">
        <f ca="1">IFERROR(__xludf.DUMMYFUNCTION("""COMPUTED_VALUE"""),"| 1 L CPT % | 2 L NS % | 3 P JAVA % | 5 P CPT % ")</f>
        <v xml:space="preserve">| 1 L CPT % | 2 L NS % | 3 P JAVA % | 5 P CPT % </v>
      </c>
      <c r="AH30" s="4" t="str">
        <f ca="1">IFERROR(__xludf.DUMMYFUNCTION("""COMPUTED_VALUE"""),"| 3 L PHP-CGM % | 4 L NS % | 5 L PRO @ ")</f>
        <v xml:space="preserve">| 3 L PHP-CGM % | 4 L NS % | 5 L PRO @ </v>
      </c>
      <c r="AI30" s="4" t="str">
        <f ca="1">IFERROR(__xludf.DUMMYFUNCTION("""COMPUTED_VALUE"""),"| 1 L CPT @ | 2 L NS @ | 3 P JAVA @ | 5 P CPT @ ")</f>
        <v xml:space="preserve">| 1 L CPT @ | 2 L NS @ | 3 P JAVA @ | 5 P CPT @ </v>
      </c>
      <c r="AJ30" s="4" t="str">
        <f ca="1">IFERROR(__xludf.DUMMYFUNCTION("""COMPUTED_VALUE"""),"| 1 L PHP-CGM % | 2 L JAVA % | 3 P Python % | 5 P PHP-CGM @ ")</f>
        <v xml:space="preserve">| 1 L PHP-CGM % | 2 L JAVA % | 3 P Python % | 5 P PHP-CGM @ </v>
      </c>
      <c r="AK30" s="4" t="str">
        <f ca="1">IFERROR(__xludf.DUMMYFUNCTION("""COMPUTED_VALUE"""),"| 2 P JAVA % | 3 L JAVA % | 4 L CPT % | 5 P Python @ ")</f>
        <v xml:space="preserve">| 2 P JAVA % | 3 L JAVA % | 4 L CPT % | 5 P Python @ </v>
      </c>
      <c r="AL3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30" s="4" t="str">
        <f ca="1">IFERROR(__xludf.DUMMYFUNCTION("""COMPUTED_VALUE"""),"| 1 L INE % | 4 L NS % | 3 L PHP-CGM % | 5 L PRO % ")</f>
        <v xml:space="preserve">| 1 L INE % | 4 L NS % | 3 L PHP-CGM % | 5 L PRO % </v>
      </c>
      <c r="AN30" s="4" t="str">
        <f ca="1">IFERROR(__xludf.DUMMYFUNCTION("""COMPUTED_VALUE"""),"| 1 L CPT @ | 2 L NS % | 3 P JAVA % | 5 P CPT @ ")</f>
        <v xml:space="preserve">| 1 L CPT @ | 2 L NS % | 3 P JAVA % | 5 P CPT @ </v>
      </c>
      <c r="AO30" s="4" t="str">
        <f ca="1">IFERROR(__xludf.DUMMYFUNCTION("""COMPUTED_VALUE"""),"| 1 L PHP-CGM % | 2 L JAVA % | 3 P Python % | 5 P PHP-CGM % ")</f>
        <v xml:space="preserve">| 1 L PHP-CGM % | 2 L JAVA % | 3 P Python % | 5 P PHP-CGM % </v>
      </c>
      <c r="AP30" s="4" t="str">
        <f ca="1">IFERROR(__xludf.DUMMYFUNCTION("""COMPUTED_VALUE"""),"| 2 P JAVA % | 3 L JAVA % | 4 L CPT % | 5 P Python @ ")</f>
        <v xml:space="preserve">| 2 P JAVA % | 3 L JAVA % | 4 L CPT % | 5 P Python @ </v>
      </c>
      <c r="AQ30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R30" s="4" t="str">
        <f ca="1">IFERROR(__xludf.DUMMYFUNCTION("""COMPUTED_VALUE"""),"| 1 L INE % | 3 L PHP-CGM % | 4 L NS % | 5 L PRO % ")</f>
        <v xml:space="preserve">| 1 L INE % | 3 L PHP-CGM % | 4 L NS % | 5 L PRO % </v>
      </c>
      <c r="AS30" s="4" t="str">
        <f ca="1">IFERROR(__xludf.DUMMYFUNCTION("""COMPUTED_VALUE"""),"| 1 L PHP-CGM % | 2 L JAVA % | 3 P Python % | 5 P PHP-CGM % ")</f>
        <v xml:space="preserve">| 1 L PHP-CGM % | 2 L JAVA % | 3 P Python % | 5 P PHP-CGM % </v>
      </c>
      <c r="AT30" s="4" t="str">
        <f ca="1">IFERROR(__xludf.DUMMYFUNCTION("""COMPUTED_VALUE"""),"| 2 P JAVA % | 3 L JAVA % | 4 L CPT % | 5 P Python % ")</f>
        <v xml:space="preserve">| 2 P JAVA % | 3 L JAVA % | 4 L CPT % | 5 P Python % </v>
      </c>
      <c r="AU3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30" s="4" t="str">
        <f ca="1">IFERROR(__xludf.DUMMYFUNCTION("""COMPUTED_VALUE"""),"| 1 L INE % | 3 L PHP-CGM % | 4 L NS % | 7 L PRO % ")</f>
        <v xml:space="preserve">| 1 L INE % | 3 L PHP-CGM % | 4 L NS % | 7 L PRO % </v>
      </c>
      <c r="AW30" s="4" t="str">
        <f ca="1">IFERROR(__xludf.DUMMYFUNCTION("""COMPUTED_VALUE"""),"| 1 L CPT % | 2 L NS % | 3 P JAVA % | 5 P CPT % ")</f>
        <v xml:space="preserve">| 1 L CPT % | 2 L NS % | 3 P JAVA % | 5 P CPT % </v>
      </c>
      <c r="AX30" s="4" t="str">
        <f ca="1">IFERROR(__xludf.DUMMYFUNCTION("""COMPUTED_VALUE"""),"| 1 L PHP-CGM % | 2 L JAVA % | 3 P Python % | 5 P PHP-CGM % ")</f>
        <v xml:space="preserve">| 1 L PHP-CGM % | 2 L JAVA % | 3 P Python % | 5 P PHP-CGM % </v>
      </c>
      <c r="AY30" s="4" t="str">
        <f ca="1">IFERROR(__xludf.DUMMYFUNCTION("""COMPUTED_VALUE"""),"| 2 P JAVA % | 3 L JAVA % | 4 L CPT % | 5 P Python % ")</f>
        <v xml:space="preserve">| 2 P JAVA % | 3 L JAVA % | 4 L CPT % | 5 P Python % </v>
      </c>
      <c r="AZ30" s="4" t="str">
        <f ca="1">IFERROR(__xludf.DUMMYFUNCTION("""COMPUTED_VALUE"""),"| 1 L INE % | 3 L PHP-CGM % | 4 L NS % | 5 L PRO @ ")</f>
        <v xml:space="preserve">| 1 L INE % | 3 L PHP-CGM % | 4 L NS % | 5 L PRO @ </v>
      </c>
      <c r="BA30" s="4" t="str">
        <f ca="1">IFERROR(__xludf.DUMMYFUNCTION("""COMPUTED_VALUE"""),"| 1 L CPT % | 2 L NS % | 3 P JAVA @ | 5 P CPT @ ")</f>
        <v xml:space="preserve">| 1 L CPT % | 2 L NS % | 3 P JAVA @ | 5 P CPT @ </v>
      </c>
      <c r="BB30" s="4" t="str">
        <f ca="1">IFERROR(__xludf.DUMMYFUNCTION("""COMPUTED_VALUE"""),"| 1 L PHP-CGM % | 2 L JAVA % | 3 P Python % | 5 P PHP-CGM % ")</f>
        <v xml:space="preserve">| 1 L PHP-CGM % | 2 L JAVA % | 3 P Python % | 5 P PHP-CGM % </v>
      </c>
      <c r="BC30" s="4" t="str">
        <f ca="1">IFERROR(__xludf.DUMMYFUNCTION("""COMPUTED_VALUE"""),"| 2 P JAVA % | 3 L JAVA % | 4 L CPT %  | 5 P Python % ")</f>
        <v xml:space="preserve">| 2 P JAVA % | 3 L JAVA % | 4 L CPT %  | 5 P Python % </v>
      </c>
      <c r="BD30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30" s="4" t="str">
        <f ca="1">IFERROR(__xludf.DUMMYFUNCTION("""COMPUTED_VALUE"""),"| 1 L INE % | 3 L PHP-CGM % | 4 L NS % | 5 L PRO % ")</f>
        <v xml:space="preserve">| 1 L INE % | 3 L PHP-CGM % | 4 L NS % | 5 L PRO % </v>
      </c>
      <c r="BF30" s="4" t="str">
        <f ca="1">IFERROR(__xludf.DUMMYFUNCTION("""COMPUTED_VALUE"""),"| 1 L CPT @ | 2 L NS % | 3 P JAVA % | 5 P CPT % ")</f>
        <v xml:space="preserve">| 1 L CPT @ | 2 L NS % | 3 P JAVA % | 5 P CPT % </v>
      </c>
      <c r="BG30" s="4" t="str">
        <f ca="1">IFERROR(__xludf.DUMMYFUNCTION("""COMPUTED_VALUE"""),"| 2 P JAVA % | 4 L CPT @ | 5 P Python % ")</f>
        <v xml:space="preserve">| 2 P JAVA % | 4 L CPT @ | 5 P Python % </v>
      </c>
      <c r="BH30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I30" s="4" t="str">
        <f ca="1">IFERROR(__xludf.DUMMYFUNCTION("""COMPUTED_VALUE"""),"| 1 L INE % | 3 L PHP-CGM % | 4 L NS % | 5 L PRO % ")</f>
        <v xml:space="preserve">| 1 L INE % | 3 L PHP-CGM % | 4 L NS % | 5 L PRO % </v>
      </c>
      <c r="BJ30" s="4" t="str">
        <f ca="1">IFERROR(__xludf.DUMMYFUNCTION("""COMPUTED_VALUE"""),"| 1 L CPT @ | 2 L NS @ | 3 P JAVA @ | 5 P CPT @ ")</f>
        <v xml:space="preserve">| 1 L CPT @ | 2 L NS @ | 3 P JAVA @ | 5 P CPT @ </v>
      </c>
      <c r="BK30" s="4" t="str">
        <f ca="1">IFERROR(__xludf.DUMMYFUNCTION("""COMPUTED_VALUE"""),"| 1 L PHP-CGM % | 2 L JAVA % | 3 P Python % ")</f>
        <v xml:space="preserve">| 1 L PHP-CGM % | 2 L JAVA % | 3 P Python % </v>
      </c>
      <c r="BL30" s="4" t="str">
        <f ca="1">IFERROR(__xludf.DUMMYFUNCTION("""COMPUTED_VALUE"""),"| 2 P JAVA % | 3 L JAVA % | 4 L CPT % | 5 P Python @ ")</f>
        <v xml:space="preserve">| 2 P JAVA % | 3 L JAVA % | 4 L CPT % | 5 P Python @ </v>
      </c>
      <c r="BM30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N30" s="4" t="str">
        <f ca="1">IFERROR(__xludf.DUMMYFUNCTION("""COMPUTED_VALUE"""),"| 1 L INE @ | 3 L PHP-CGM @ | 4 L NS @ | 5 L PRO @ ")</f>
        <v xml:space="preserve">| 1 L INE @ | 3 L PHP-CGM @ | 4 L NS @ | 5 L PRO @ </v>
      </c>
      <c r="BO30" s="4" t="str">
        <f ca="1">IFERROR(__xludf.DUMMYFUNCTION("""COMPUTED_VALUE"""),"| 1 L CPT @ | 2 L NS @ | 3 P JAVA @ ")</f>
        <v xml:space="preserve">| 1 L CPT @ | 2 L NS @ | 3 P JAVA @ </v>
      </c>
      <c r="BP30" s="4" t="str">
        <f ca="1">IFERROR(__xludf.DUMMYFUNCTION("""COMPUTED_VALUE"""),"| 1 L PHP-CGM % | 2 L JAVA % | 3 P Python % | 5 P PHP-CGM @ ")</f>
        <v xml:space="preserve">| 1 L PHP-CGM % | 2 L JAVA % | 3 P Python % | 5 P PHP-CGM @ </v>
      </c>
      <c r="BQ30" s="4" t="str">
        <f ca="1">IFERROR(__xludf.DUMMYFUNCTION("""COMPUTED_VALUE"""),"| 5 L PHP-CGM % | 6 L CPT @ ")</f>
        <v xml:space="preserve">| 5 L PHP-CGM % | 6 L CPT @ </v>
      </c>
      <c r="BR30" s="4"/>
      <c r="BS30" s="4"/>
      <c r="BT30" s="4" t="str">
        <f ca="1">IFERROR(__xludf.DUMMYFUNCTION("""COMPUTED_VALUE"""),"| 1 L PHP-CGM % | 2 L JAVA % ")</f>
        <v xml:space="preserve">| 1 L PHP-CGM % | 2 L JAVA % </v>
      </c>
      <c r="BU30" s="4" t="str">
        <f ca="1">IFERROR(__xludf.DUMMYFUNCTION("""COMPUTED_VALUE"""),"| 2 P JAVA % | 4 L CPT % | 3 L JAVA % ")</f>
        <v xml:space="preserve">| 2 P JAVA % | 4 L CPT % | 3 L JAVA % </v>
      </c>
      <c r="BV30" s="4" t="str">
        <f ca="1">IFERROR(__xludf.DUMMYFUNCTION("""COMPUTED_VALUE"""),"| 1 L PHP-CGM @ | 2 L JAVA @ | 3 P Python @ | 5 P PHP-CGM @ ")</f>
        <v xml:space="preserve">| 1 L PHP-CGM @ | 2 L JAVA @ | 3 P Python @ | 5 P PHP-CGM @ </v>
      </c>
      <c r="BW30" s="4" t="str">
        <f ca="1">IFERROR(__xludf.DUMMYFUNCTION("""COMPUTED_VALUE"""),"| 2 P JAVA @ | 3 L JAVA @ | 4 L CPT @ ")</f>
        <v xml:space="preserve">| 2 P JAVA @ | 3 L JAVA @ | 4 L CPT @ </v>
      </c>
      <c r="BX30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30" s="4" t="str">
        <f ca="1">IFERROR(__xludf.DUMMYFUNCTION("""COMPUTED_VALUE"""),"| 1 L INE @ | 3 L PHP-CGM % | 4 L NS % | 5 L PRO @ ")</f>
        <v xml:space="preserve">| 1 L INE @ | 3 L PHP-CGM % | 4 L NS % | 5 L PRO @ </v>
      </c>
      <c r="BZ30" s="4" t="str">
        <f ca="1">IFERROR(__xludf.DUMMYFUNCTION("""COMPUTED_VALUE"""),"| 1 L CPT @ | 2 L NS @ | 3 P JAVA @ | 5 P CPT @ ")</f>
        <v xml:space="preserve">| 1 L CPT @ | 2 L NS @ | 3 P JAVA @ | 5 P CPT @ </v>
      </c>
      <c r="CA30" s="4" t="str">
        <f ca="1">IFERROR(__xludf.DUMMYFUNCTION("""COMPUTED_VALUE"""),"| 1 L PHP-CGM @ | 2 L JAVA @ | 3 P Python @ | 5 P PHP-CGM @ ")</f>
        <v xml:space="preserve">| 1 L PHP-CGM @ | 2 L JAVA @ | 3 P Python @ | 5 P PHP-CGM @ </v>
      </c>
      <c r="CB30" s="4" t="str">
        <f ca="1">IFERROR(__xludf.DUMMYFUNCTION("""COMPUTED_VALUE"""),"| 2 P JAVA % | 3 L JAVA % | 4 L CPT % | 3 P Python % ")</f>
        <v xml:space="preserve">| 2 P JAVA % | 3 L JAVA % | 4 L CPT % | 3 P Python % </v>
      </c>
      <c r="CC30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30" s="4" t="str">
        <f ca="1">IFERROR(__xludf.DUMMYFUNCTION("""COMPUTED_VALUE"""),"| 1 L INE % | 3 L PHP-CGM % | 4 L NS % | 5 L PRO @ ")</f>
        <v xml:space="preserve">| 1 L INE % | 3 L PHP-CGM % | 4 L NS % | 5 L PRO @ </v>
      </c>
      <c r="CE30" s="4" t="str">
        <f ca="1">IFERROR(__xludf.DUMMYFUNCTION("""COMPUTED_VALUE"""),"| 1 L CPT @ | 2 L NS @ | 3 P JAVA @ | 5 P CPT @ ")</f>
        <v xml:space="preserve">| 1 L CPT @ | 2 L NS @ | 3 P JAVA @ | 5 P CPT @ </v>
      </c>
      <c r="CF30" s="4" t="str">
        <f ca="1">IFERROR(__xludf.DUMMYFUNCTION("""COMPUTED_VALUE"""),"| 1 L PHP-CGM @ | 2 L JAVA @ | 3 P Python % | 5 P PHP-CGM @ ")</f>
        <v xml:space="preserve">| 1 L PHP-CGM @ | 2 L JAVA @ | 3 P Python % | 5 P PHP-CGM @ </v>
      </c>
      <c r="CG30" s="4" t="str">
        <f ca="1">IFERROR(__xludf.DUMMYFUNCTION("""COMPUTED_VALUE"""),"| 2 P JAVA @ | 4 L CPT @ ")</f>
        <v xml:space="preserve">| 2 P JAVA @ | 4 L CPT @ </v>
      </c>
      <c r="CH30" s="4" t="str">
        <f ca="1">IFERROR(__xludf.DUMMYFUNCTION("""COMPUTED_VALUE"""),"| 1 P NS @ | 3 L NS @ | 6 L CPT @ ")</f>
        <v xml:space="preserve">| 1 P NS @ | 3 L NS @ | 6 L CPT @ </v>
      </c>
      <c r="CI30" s="4" t="str">
        <f ca="1">IFERROR(__xludf.DUMMYFUNCTION("""COMPUTED_VALUE"""),"| 1 L INE @ ")</f>
        <v xml:space="preserve">| 1 L INE @ </v>
      </c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</row>
    <row r="31" spans="1:102" ht="12.5" x14ac:dyDescent="0.25">
      <c r="A31" s="3">
        <f ca="1">IFERROR(__xludf.DUMMYFUNCTION("""COMPUTED_VALUE"""),2)</f>
        <v>2</v>
      </c>
      <c r="B31" s="3" t="str">
        <f ca="1">IFERROR(__xludf.DUMMYFUNCTION("""COMPUTED_VALUE"""),"A")</f>
        <v>A</v>
      </c>
      <c r="C31" s="32" t="str">
        <f ca="1">IFERROR(__xludf.DUMMYFUNCTION("""COMPUTED_VALUE"""),"23291341091")</f>
        <v>23291341091</v>
      </c>
      <c r="D31" s="21" t="str">
        <f ca="1">IFERROR(__xludf.DUMMYFUNCTION("""COMPUTED_VALUE"""),"PATEL JALPAN BHARATKUMAR")</f>
        <v>PATEL JALPAN BHARATKUMAR</v>
      </c>
      <c r="E31" s="3" t="str">
        <f ca="1">IFERROR(__xludf.DUMMYFUNCTION("""COMPUTED_VALUE"""),"RRP-Mor")</f>
        <v>RRP-Mor</v>
      </c>
      <c r="F31" s="3">
        <f ca="1">IFERROR(__xludf.DUMMYFUNCTION("""COMPUTED_VALUE"""),7383828297)</f>
        <v>7383828297</v>
      </c>
      <c r="G31" s="3">
        <f ca="1">IFERROR(__xludf.DUMMYFUNCTION("""COMPUTED_VALUE"""),6353826221)</f>
        <v>6353826221</v>
      </c>
      <c r="H31" s="33">
        <f ca="1">IFERROR(__xludf.DUMMYFUNCTION("""COMPUTED_VALUE"""),0.125)</f>
        <v>0.125</v>
      </c>
      <c r="I31" s="25">
        <f ca="1">IFERROR(__xludf.DUMMYFUNCTION("""COMPUTED_VALUE"""),0.111111111111111)</f>
        <v>0.11111111111111099</v>
      </c>
      <c r="J31" s="25">
        <f ca="1">IFERROR(__xludf.DUMMYFUNCTION("""COMPUTED_VALUE"""),0)</f>
        <v>0</v>
      </c>
      <c r="K31" s="25">
        <f ca="1">IFERROR(__xludf.DUMMYFUNCTION("""COMPUTED_VALUE"""),0.147058823529411)</f>
        <v>0.14705882352941099</v>
      </c>
      <c r="L31" s="25">
        <f ca="1">IFERROR(__xludf.DUMMYFUNCTION("""COMPUTED_VALUE"""),0.272727272727272)</f>
        <v>0.27272727272727199</v>
      </c>
      <c r="M31" s="25">
        <f ca="1">IFERROR(__xludf.DUMMYFUNCTION("""COMPUTED_VALUE"""),0.111111111111111)</f>
        <v>0.11111111111111099</v>
      </c>
      <c r="N31" s="25">
        <f ca="1">IFERROR(__xludf.DUMMYFUNCTION("""COMPUTED_VALUE"""),0.0909090909090909)</f>
        <v>9.0909090909090898E-2</v>
      </c>
      <c r="O31" s="25">
        <f ca="1">IFERROR(__xludf.DUMMYFUNCTION("""COMPUTED_VALUE"""),0.242424242424242)</f>
        <v>0.24242424242424199</v>
      </c>
      <c r="P31" s="25">
        <f ca="1">IFERROR(__xludf.DUMMYFUNCTION("""COMPUTED_VALUE"""),0.0833333333333333)</f>
        <v>8.3333333333333301E-2</v>
      </c>
      <c r="Q31" s="25">
        <f ca="1">IFERROR(__xludf.DUMMYFUNCTION("""COMPUTED_VALUE"""),0)</f>
        <v>0</v>
      </c>
      <c r="R31" s="25">
        <f ca="1">IFERROR(__xludf.DUMMYFUNCTION("""COMPUTED_VALUE"""),0.0909090909090909)</f>
        <v>9.0909090909090898E-2</v>
      </c>
      <c r="S31" s="25">
        <f ca="1">IFERROR(__xludf.DUMMYFUNCTION("""COMPUTED_VALUE"""),0)</f>
        <v>0</v>
      </c>
      <c r="T31" s="25">
        <f ca="1">IFERROR(__xludf.DUMMYFUNCTION("""COMPUTED_VALUE"""),0)</f>
        <v>0</v>
      </c>
      <c r="U31" s="25">
        <f ca="1">IFERROR(__xludf.DUMMYFUNCTION("""COMPUTED_VALUE"""),0.0909090909090909)</f>
        <v>9.0909090909090898E-2</v>
      </c>
      <c r="V31" s="25">
        <f ca="1">IFERROR(__xludf.DUMMYFUNCTION("""COMPUTED_VALUE"""),0)</f>
        <v>0</v>
      </c>
      <c r="W31" s="4"/>
      <c r="X31" s="4" t="str">
        <f ca="1">IFERROR(__xludf.DUMMYFUNCTION("""COMPUTED_VALUE"""),"| 1 L PHP-CGM @ | 3 P Python @ | 5 P PHP-CGM @ ")</f>
        <v xml:space="preserve">| 1 L PHP-CGM @ | 3 P Python @ | 5 P PHP-CGM @ </v>
      </c>
      <c r="Y31" s="4" t="str">
        <f ca="1">IFERROR(__xludf.DUMMYFUNCTION("""COMPUTED_VALUE"""),"| 1 P JAVA @ | 3 L JAVA @ | 4 L CPT @ | 5 P Python @ ")</f>
        <v xml:space="preserve">| 1 P JAVA @ | 3 L JAVA @ | 4 L CPT @ | 5 P Python @ </v>
      </c>
      <c r="Z31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A31" s="4" t="str">
        <f ca="1">IFERROR(__xludf.DUMMYFUNCTION("""COMPUTED_VALUE"""),"| 3 L PHP-CGM @ | 4 L NS @ | 1 L INE % | 5 P PRO @ ")</f>
        <v xml:space="preserve">| 3 L PHP-CGM @ | 4 L NS @ | 1 L INE % | 5 P PRO @ </v>
      </c>
      <c r="AB31" s="4" t="str">
        <f ca="1">IFERROR(__xludf.DUMMYFUNCTION("""COMPUTED_VALUE"""),"| 1 L CPT @ | 2 L NS @ | 3 P JAVA @ | 5 P CPT @ ")</f>
        <v xml:space="preserve">| 1 L CPT @ | 2 L NS @ | 3 P JAVA @ | 5 P CPT @ </v>
      </c>
      <c r="AC31" s="4" t="str">
        <f ca="1">IFERROR(__xludf.DUMMYFUNCTION("""COMPUTED_VALUE"""),"| 1 L PHP-CGM @ | 2 L JAVA @ | 3 P Python @ | 5 P PHP-CGM @ ")</f>
        <v xml:space="preserve">| 1 L PHP-CGM @ | 2 L JAVA @ | 3 P Python @ | 5 P PHP-CGM @ </v>
      </c>
      <c r="AD31" s="4" t="str">
        <f ca="1">IFERROR(__xludf.DUMMYFUNCTION("""COMPUTED_VALUE"""),"| 2 P JAVA % | 3 L JAVA % | 4 L CPT % | 5 P Python @ ")</f>
        <v xml:space="preserve">| 2 P JAVA % | 3 L JAVA % | 4 L CPT % | 5 P Python @ </v>
      </c>
      <c r="AE31" s="4" t="str">
        <f ca="1">IFERROR(__xludf.DUMMYFUNCTION("""COMPUTED_VALUE"""),"| 1 P NS % | 4 L JAVA % | 3 L NS % | 5 L PHP-CGM @ | 6 L CPT @ ")</f>
        <v xml:space="preserve">| 1 P NS % | 4 L JAVA % | 3 L NS % | 5 L PHP-CGM @ | 6 L CPT @ </v>
      </c>
      <c r="AF31" s="4" t="str">
        <f ca="1">IFERROR(__xludf.DUMMYFUNCTION("""COMPUTED_VALUE"""),"| 3 L PHP-CGM @ | 4 L NS @ | 5 P PRO @ ")</f>
        <v xml:space="preserve">| 3 L PHP-CGM @ | 4 L NS @ | 5 P PRO @ </v>
      </c>
      <c r="AG31" s="4" t="str">
        <f ca="1">IFERROR(__xludf.DUMMYFUNCTION("""COMPUTED_VALUE"""),"| 1 L CPT @ | 2 L NS @ | 3 P JAVA @ | 5 P CPT @ ")</f>
        <v xml:space="preserve">| 1 L CPT @ | 2 L NS @ | 3 P JAVA @ | 5 P CPT @ </v>
      </c>
      <c r="AH31" s="4" t="str">
        <f ca="1">IFERROR(__xludf.DUMMYFUNCTION("""COMPUTED_VALUE"""),"| 3 L PHP-CGM @ | 4 L NS @ | 5 L PRO @ ")</f>
        <v xml:space="preserve">| 3 L PHP-CGM @ | 4 L NS @ | 5 L PRO @ </v>
      </c>
      <c r="AI31" s="4" t="str">
        <f ca="1">IFERROR(__xludf.DUMMYFUNCTION("""COMPUTED_VALUE"""),"| 1 L CPT @ | 2 L NS @ | 3 P JAVA @ | 5 P CPT @ ")</f>
        <v xml:space="preserve">| 1 L CPT @ | 2 L NS @ | 3 P JAVA @ | 5 P CPT @ </v>
      </c>
      <c r="AJ31" s="4" t="str">
        <f ca="1">IFERROR(__xludf.DUMMYFUNCTION("""COMPUTED_VALUE"""),"| 1 L PHP-CGM % | 2 L JAVA % | 3 P Python % | 5 P PHP-CGM @ ")</f>
        <v xml:space="preserve">| 1 L PHP-CGM % | 2 L JAVA % | 3 P Python % | 5 P PHP-CGM @ </v>
      </c>
      <c r="AK31" s="4" t="str">
        <f ca="1">IFERROR(__xludf.DUMMYFUNCTION("""COMPUTED_VALUE"""),"| 2 P JAVA % | 3 L JAVA % | 4 L CPT % | 5 P Python @ ")</f>
        <v xml:space="preserve">| 2 P JAVA % | 3 L JAVA % | 4 L CPT % | 5 P Python @ </v>
      </c>
      <c r="AL31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M31" s="4" t="str">
        <f ca="1">IFERROR(__xludf.DUMMYFUNCTION("""COMPUTED_VALUE"""),"| 1 L INE @ | 4 L NS @ | 3 L PHP-CGM @ | 5 L PRO @ ")</f>
        <v xml:space="preserve">| 1 L INE @ | 4 L NS @ | 3 L PHP-CGM @ | 5 L PRO @ </v>
      </c>
      <c r="AN31" s="4" t="str">
        <f ca="1">IFERROR(__xludf.DUMMYFUNCTION("""COMPUTED_VALUE"""),"| 1 L CPT @ | 2 L NS @ | 3 P JAVA @ | 5 P CPT @ ")</f>
        <v xml:space="preserve">| 1 L CPT @ | 2 L NS @ | 3 P JAVA @ | 5 P CPT @ </v>
      </c>
      <c r="AO31" s="4" t="str">
        <f ca="1">IFERROR(__xludf.DUMMYFUNCTION("""COMPUTED_VALUE"""),"| 1 L PHP-CGM % | 2 L JAVA % | 3 P Python % | 5 P PHP-CGM % ")</f>
        <v xml:space="preserve">| 1 L PHP-CGM % | 2 L JAVA % | 3 P Python % | 5 P PHP-CGM % </v>
      </c>
      <c r="AP31" s="4" t="str">
        <f ca="1">IFERROR(__xludf.DUMMYFUNCTION("""COMPUTED_VALUE"""),"| 2 P JAVA @ | 3 L JAVA @ | 4 L CPT @ | 5 P Python @ ")</f>
        <v xml:space="preserve">| 2 P JAVA @ | 3 L JAVA @ | 4 L CPT @ | 5 P Python @ </v>
      </c>
      <c r="AQ31" s="4" t="str">
        <f ca="1">IFERROR(__xludf.DUMMYFUNCTION("""COMPUTED_VALUE"""),"| 1 P NS % | 3 L NS % | 4 L JAVA % | 5 L PHP-CGM @ | 6 L CPT % ")</f>
        <v xml:space="preserve">| 1 P NS % | 3 L NS % | 4 L JAVA % | 5 L PHP-CGM @ | 6 L CPT % </v>
      </c>
      <c r="AR31" s="4" t="str">
        <f ca="1">IFERROR(__xludf.DUMMYFUNCTION("""COMPUTED_VALUE"""),"| 1 L INE @ | 3 L PHP-CGM @ | 4 L NS @ | 5 L PRO @ ")</f>
        <v xml:space="preserve">| 1 L INE @ | 3 L PHP-CGM @ | 4 L NS @ | 5 L PRO @ </v>
      </c>
      <c r="AS31" s="4" t="str">
        <f ca="1">IFERROR(__xludf.DUMMYFUNCTION("""COMPUTED_VALUE"""),"| 1 L PHP-CGM @ | 2 L JAVA @ | 3 P Python @ | 5 P PHP-CGM @ ")</f>
        <v xml:space="preserve">| 1 L PHP-CGM @ | 2 L JAVA @ | 3 P Python @ | 5 P PHP-CGM @ </v>
      </c>
      <c r="AT31" s="4" t="str">
        <f ca="1">IFERROR(__xludf.DUMMYFUNCTION("""COMPUTED_VALUE"""),"| 2 P JAVA @ | 3 L JAVA @ | 4 L CPT @ | 5 P Python @ ")</f>
        <v xml:space="preserve">| 2 P JAVA @ | 3 L JAVA @ | 4 L CPT @ | 5 P Python @ </v>
      </c>
      <c r="AU31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V31" s="4" t="str">
        <f ca="1">IFERROR(__xludf.DUMMYFUNCTION("""COMPUTED_VALUE"""),"| 1 L INE @ | 3 L PHP-CGM @ | 4 L NS @ | 7 L PRO @ ")</f>
        <v xml:space="preserve">| 1 L INE @ | 3 L PHP-CGM @ | 4 L NS @ | 7 L PRO @ </v>
      </c>
      <c r="AW31" s="4" t="str">
        <f ca="1">IFERROR(__xludf.DUMMYFUNCTION("""COMPUTED_VALUE"""),"| 1 L CPT @ | 2 L NS @ | 3 P JAVA @ | 5 P CPT @ ")</f>
        <v xml:space="preserve">| 1 L CPT @ | 2 L NS @ | 3 P JAVA @ | 5 P CPT @ </v>
      </c>
      <c r="AX31" s="4" t="str">
        <f ca="1">IFERROR(__xludf.DUMMYFUNCTION("""COMPUTED_VALUE"""),"| 1 L PHP-CGM @ | 2 L JAVA @ | 3 P Python @ | 5 P PHP-CGM @ ")</f>
        <v xml:space="preserve">| 1 L PHP-CGM @ | 2 L JAVA @ | 3 P Python @ | 5 P PHP-CGM @ </v>
      </c>
      <c r="AY31" s="4" t="str">
        <f ca="1">IFERROR(__xludf.DUMMYFUNCTION("""COMPUTED_VALUE"""),"| 2 P JAVA @ | 3 L JAVA @ | 4 L CPT @ | 5 P Python @ ")</f>
        <v xml:space="preserve">| 2 P JAVA @ | 3 L JAVA @ | 4 L CPT @ | 5 P Python @ </v>
      </c>
      <c r="AZ31" s="4" t="str">
        <f ca="1">IFERROR(__xludf.DUMMYFUNCTION("""COMPUTED_VALUE"""),"| 1 L INE @ | 3 L PHP-CGM @ | 4 L NS @ | 5 L PRO @ ")</f>
        <v xml:space="preserve">| 1 L INE @ | 3 L PHP-CGM @ | 4 L NS @ | 5 L PRO @ </v>
      </c>
      <c r="BA31" s="4" t="str">
        <f ca="1">IFERROR(__xludf.DUMMYFUNCTION("""COMPUTED_VALUE"""),"| 1 L CPT @ | 2 L NS @ | 3 P JAVA @ | 5 P CPT @ ")</f>
        <v xml:space="preserve">| 1 L CPT @ | 2 L NS @ | 3 P JAVA @ | 5 P CPT @ </v>
      </c>
      <c r="BB31" s="4" t="str">
        <f ca="1">IFERROR(__xludf.DUMMYFUNCTION("""COMPUTED_VALUE"""),"| 1 L PHP-CGM @ | 2 L JAVA @ | 3 P Python @ | 5 P PHP-CGM @ ")</f>
        <v xml:space="preserve">| 1 L PHP-CGM @ | 2 L JAVA @ | 3 P Python @ | 5 P PHP-CGM @ </v>
      </c>
      <c r="BC31" s="4" t="str">
        <f ca="1">IFERROR(__xludf.DUMMYFUNCTION("""COMPUTED_VALUE"""),"| 2 P JAVA @ | 3 L JAVA @ | 4 L CPT @  | 5 P Python @ ")</f>
        <v xml:space="preserve">| 2 P JAVA @ | 3 L JAVA @ | 4 L CPT @  | 5 P Python @ </v>
      </c>
      <c r="BD31" s="4" t="str">
        <f ca="1">IFERROR(__xludf.DUMMYFUNCTION("""COMPUTED_VALUE"""),"| 1 P NS @ | 3 L NS @ | 6 L CPT @ | 5 L PHP-CGM @ | 4 L JAVA @ ")</f>
        <v xml:space="preserve">| 1 P NS @ | 3 L NS @ | 6 L CPT @ | 5 L PHP-CGM @ | 4 L JAVA @ </v>
      </c>
      <c r="BE31" s="4" t="str">
        <f ca="1">IFERROR(__xludf.DUMMYFUNCTION("""COMPUTED_VALUE"""),"| 1 L INE @ | 3 L PHP-CGM @ | 4 L NS @ | 5 L PRO @ ")</f>
        <v xml:space="preserve">| 1 L INE @ | 3 L PHP-CGM @ | 4 L NS @ | 5 L PRO @ </v>
      </c>
      <c r="BF31" s="4" t="str">
        <f ca="1">IFERROR(__xludf.DUMMYFUNCTION("""COMPUTED_VALUE"""),"| 1 L CPT @ | 2 L NS @ | 3 P JAVA @ | 5 P CPT @ ")</f>
        <v xml:space="preserve">| 1 L CPT @ | 2 L NS @ | 3 P JAVA @ | 5 P CPT @ </v>
      </c>
      <c r="BG31" s="4" t="str">
        <f ca="1">IFERROR(__xludf.DUMMYFUNCTION("""COMPUTED_VALUE"""),"| 2 P JAVA @ | 4 L CPT @ | 5 P Python @ ")</f>
        <v xml:space="preserve">| 2 P JAVA @ | 4 L CPT @ | 5 P Python @ </v>
      </c>
      <c r="BH31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I31" s="4" t="str">
        <f ca="1">IFERROR(__xludf.DUMMYFUNCTION("""COMPUTED_VALUE"""),"| 1 L INE @ | 3 L PHP-CGM % | 4 L NS % | 5 L PRO @ ")</f>
        <v xml:space="preserve">| 1 L INE @ | 3 L PHP-CGM % | 4 L NS % | 5 L PRO @ </v>
      </c>
      <c r="BJ31" s="4" t="str">
        <f ca="1">IFERROR(__xludf.DUMMYFUNCTION("""COMPUTED_VALUE"""),"| 1 L CPT % | 2 L NS % | 3 P JAVA @ | 5 P CPT @ ")</f>
        <v xml:space="preserve">| 1 L CPT % | 2 L NS % | 3 P JAVA @ | 5 P CPT @ </v>
      </c>
      <c r="BK31" s="4" t="str">
        <f ca="1">IFERROR(__xludf.DUMMYFUNCTION("""COMPUTED_VALUE"""),"| 1 L PHP-CGM @ | 2 L JAVA @ | 3 P Python @ ")</f>
        <v xml:space="preserve">| 1 L PHP-CGM @ | 2 L JAVA @ | 3 P Python @ </v>
      </c>
      <c r="BL31" s="4" t="str">
        <f ca="1">IFERROR(__xludf.DUMMYFUNCTION("""COMPUTED_VALUE"""),"| 2 P JAVA @ | 3 L JAVA @ | 4 L CPT @ | 5 P Python @ ")</f>
        <v xml:space="preserve">| 2 P JAVA @ | 3 L JAVA @ | 4 L CPT @ | 5 P Python @ </v>
      </c>
      <c r="BM31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31" s="4" t="str">
        <f ca="1">IFERROR(__xludf.DUMMYFUNCTION("""COMPUTED_VALUE"""),"| 1 L INE @ | 3 L PHP-CGM @ | 4 L NS @ | 5 L PRO @ ")</f>
        <v xml:space="preserve">| 1 L INE @ | 3 L PHP-CGM @ | 4 L NS @ | 5 L PRO @ </v>
      </c>
      <c r="BO31" s="4" t="str">
        <f ca="1">IFERROR(__xludf.DUMMYFUNCTION("""COMPUTED_VALUE"""),"| 1 L CPT @ | 2 L NS @ | 3 P JAVA @ ")</f>
        <v xml:space="preserve">| 1 L CPT @ | 2 L NS @ | 3 P JAVA @ </v>
      </c>
      <c r="BP31" s="4" t="str">
        <f ca="1">IFERROR(__xludf.DUMMYFUNCTION("""COMPUTED_VALUE"""),"| 1 L PHP-CGM @ | 2 L JAVA % | 3 P Python @ | 5 P PHP-CGM @ ")</f>
        <v xml:space="preserve">| 1 L PHP-CGM @ | 2 L JAVA % | 3 P Python @ | 5 P PHP-CGM @ </v>
      </c>
      <c r="BQ31" s="4" t="str">
        <f ca="1">IFERROR(__xludf.DUMMYFUNCTION("""COMPUTED_VALUE"""),"| 5 L PHP-CGM % | 6 L CPT @ ")</f>
        <v xml:space="preserve">| 5 L PHP-CGM % | 6 L CPT @ </v>
      </c>
      <c r="BR31" s="4"/>
      <c r="BS31" s="4"/>
      <c r="BT31" s="4" t="str">
        <f ca="1">IFERROR(__xludf.DUMMYFUNCTION("""COMPUTED_VALUE"""),"| 1 L PHP-CGM @ | 2 L JAVA @ ")</f>
        <v xml:space="preserve">| 1 L PHP-CGM @ | 2 L JAVA @ </v>
      </c>
      <c r="BU31" s="4" t="str">
        <f ca="1">IFERROR(__xludf.DUMMYFUNCTION("""COMPUTED_VALUE"""),"| 2 P JAVA @ | 4 L CPT @ | 3 L JAVA @ ")</f>
        <v xml:space="preserve">| 2 P JAVA @ | 4 L CPT @ | 3 L JAVA @ </v>
      </c>
      <c r="BV31" s="4" t="str">
        <f ca="1">IFERROR(__xludf.DUMMYFUNCTION("""COMPUTED_VALUE"""),"| 1 L PHP-CGM @ | 2 L JAVA @ | 3 P Python @ | 5 P PHP-CGM @ ")</f>
        <v xml:space="preserve">| 1 L PHP-CGM @ | 2 L JAVA @ | 3 P Python @ | 5 P PHP-CGM @ </v>
      </c>
      <c r="BW31" s="4" t="str">
        <f ca="1">IFERROR(__xludf.DUMMYFUNCTION("""COMPUTED_VALUE"""),"| 2 P JAVA @ | 3 L JAVA @ | 4 L CPT @ ")</f>
        <v xml:space="preserve">| 2 P JAVA @ | 3 L JAVA @ | 4 L CPT @ </v>
      </c>
      <c r="BX31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31" s="4" t="str">
        <f ca="1">IFERROR(__xludf.DUMMYFUNCTION("""COMPUTED_VALUE"""),"| 1 L INE @ | 3 L PHP-CGM @ | 4 L NS @ | 5 L PRO @ ")</f>
        <v xml:space="preserve">| 1 L INE @ | 3 L PHP-CGM @ | 4 L NS @ | 5 L PRO @ </v>
      </c>
      <c r="BZ31" s="4" t="str">
        <f ca="1">IFERROR(__xludf.DUMMYFUNCTION("""COMPUTED_VALUE"""),"| 1 L CPT @ | 2 L NS @ | 3 P JAVA @ | 5 P CPT @ ")</f>
        <v xml:space="preserve">| 1 L CPT @ | 2 L NS @ | 3 P JAVA @ | 5 P CPT @ </v>
      </c>
      <c r="CA31" s="4" t="str">
        <f ca="1">IFERROR(__xludf.DUMMYFUNCTION("""COMPUTED_VALUE"""),"| 1 L PHP-CGM @ | 2 L JAVA @ | 3 P Python @ | 5 P PHP-CGM @ ")</f>
        <v xml:space="preserve">| 1 L PHP-CGM @ | 2 L JAVA @ | 3 P Python @ | 5 P PHP-CGM @ </v>
      </c>
      <c r="CB31" s="4" t="str">
        <f ca="1">IFERROR(__xludf.DUMMYFUNCTION("""COMPUTED_VALUE"""),"| 2 P JAVA @ | 3 L JAVA @ | 4 L CPT @ | 3 P Python @ ")</f>
        <v xml:space="preserve">| 2 P JAVA @ | 3 L JAVA @ | 4 L CPT @ | 3 P Python @ </v>
      </c>
      <c r="CC31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CD31" s="4" t="str">
        <f ca="1">IFERROR(__xludf.DUMMYFUNCTION("""COMPUTED_VALUE"""),"| 1 L INE @ | 3 L PHP-CGM @ | 4 L NS @ | 5 L PRO @ ")</f>
        <v xml:space="preserve">| 1 L INE @ | 3 L PHP-CGM @ | 4 L NS @ | 5 L PRO @ </v>
      </c>
      <c r="CE31" s="4" t="str">
        <f ca="1">IFERROR(__xludf.DUMMYFUNCTION("""COMPUTED_VALUE"""),"| 1 L CPT @ | 2 L NS @ | 3 P JAVA @ | 5 P CPT @ ")</f>
        <v xml:space="preserve">| 1 L CPT @ | 2 L NS @ | 3 P JAVA @ | 5 P CPT @ </v>
      </c>
      <c r="CF31" s="4" t="str">
        <f ca="1">IFERROR(__xludf.DUMMYFUNCTION("""COMPUTED_VALUE"""),"| 1 L PHP-CGM @ | 2 L JAVA @ | 3 P Python @ | 5 P PHP-CGM @ ")</f>
        <v xml:space="preserve">| 1 L PHP-CGM @ | 2 L JAVA @ | 3 P Python @ | 5 P PHP-CGM @ </v>
      </c>
      <c r="CG31" s="4" t="str">
        <f ca="1">IFERROR(__xludf.DUMMYFUNCTION("""COMPUTED_VALUE"""),"| 2 P JAVA @ | 4 L CPT @ ")</f>
        <v xml:space="preserve">| 2 P JAVA @ | 4 L CPT @ </v>
      </c>
      <c r="CH31" s="4" t="str">
        <f ca="1">IFERROR(__xludf.DUMMYFUNCTION("""COMPUTED_VALUE"""),"| 1 P NS @ | 3 L NS @ | 6 L CPT @ ")</f>
        <v xml:space="preserve">| 1 P NS @ | 3 L NS @ | 6 L CPT @ </v>
      </c>
      <c r="CI31" s="4" t="str">
        <f ca="1">IFERROR(__xludf.DUMMYFUNCTION("""COMPUTED_VALUE"""),"| 1 L INE @ ")</f>
        <v xml:space="preserve">| 1 L INE @ </v>
      </c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</row>
    <row r="32" spans="1:102" ht="12.5" x14ac:dyDescent="0.25">
      <c r="A32" s="3">
        <f ca="1">IFERROR(__xludf.DUMMYFUNCTION("""COMPUTED_VALUE"""),2)</f>
        <v>2</v>
      </c>
      <c r="B32" s="3" t="str">
        <f ca="1">IFERROR(__xludf.DUMMYFUNCTION("""COMPUTED_VALUE"""),"A")</f>
        <v>A</v>
      </c>
      <c r="C32" s="32" t="str">
        <f ca="1">IFERROR(__xludf.DUMMYFUNCTION("""COMPUTED_VALUE"""),"23291341093")</f>
        <v>23291341093</v>
      </c>
      <c r="D32" s="21" t="str">
        <f ca="1">IFERROR(__xludf.DUMMYFUNCTION("""COMPUTED_VALUE"""),"PATEL KAVYA VIPULKUMAR")</f>
        <v>PATEL KAVYA VIPULKUMAR</v>
      </c>
      <c r="E32" s="3" t="str">
        <f ca="1">IFERROR(__xludf.DUMMYFUNCTION("""COMPUTED_VALUE"""),"RRP-Mor")</f>
        <v>RRP-Mor</v>
      </c>
      <c r="F32" s="3">
        <f ca="1">IFERROR(__xludf.DUMMYFUNCTION("""COMPUTED_VALUE"""),9173604247)</f>
        <v>9173604247</v>
      </c>
      <c r="G32" s="3">
        <f ca="1">IFERROR(__xludf.DUMMYFUNCTION("""COMPUTED_VALUE"""),9825380317)</f>
        <v>9825380317</v>
      </c>
      <c r="H32" s="33">
        <f ca="1">IFERROR(__xludf.DUMMYFUNCTION("""COMPUTED_VALUE"""),0.491666666666666)</f>
        <v>0.49166666666666597</v>
      </c>
      <c r="I32" s="25">
        <f ca="1">IFERROR(__xludf.DUMMYFUNCTION("""COMPUTED_VALUE"""),0.333333333333333)</f>
        <v>0.33333333333333298</v>
      </c>
      <c r="J32" s="25">
        <f ca="1">IFERROR(__xludf.DUMMYFUNCTION("""COMPUTED_VALUE"""),0.4)</f>
        <v>0.4</v>
      </c>
      <c r="K32" s="25">
        <f ca="1">IFERROR(__xludf.DUMMYFUNCTION("""COMPUTED_VALUE"""),0.558823529411764)</f>
        <v>0.55882352941176405</v>
      </c>
      <c r="L32" s="25">
        <f ca="1">IFERROR(__xludf.DUMMYFUNCTION("""COMPUTED_VALUE"""),0.727272727272727)</f>
        <v>0.72727272727272696</v>
      </c>
      <c r="M32" s="25">
        <f ca="1">IFERROR(__xludf.DUMMYFUNCTION("""COMPUTED_VALUE"""),0.555555555555555)</f>
        <v>0.55555555555555503</v>
      </c>
      <c r="N32" s="25">
        <f ca="1">IFERROR(__xludf.DUMMYFUNCTION("""COMPUTED_VALUE"""),0.454545454545454)</f>
        <v>0.45454545454545398</v>
      </c>
      <c r="O32" s="25">
        <f ca="1">IFERROR(__xludf.DUMMYFUNCTION("""COMPUTED_VALUE"""),0.606060606060606)</f>
        <v>0.60606060606060597</v>
      </c>
      <c r="P32" s="25">
        <f ca="1">IFERROR(__xludf.DUMMYFUNCTION("""COMPUTED_VALUE"""),0.375)</f>
        <v>0.375</v>
      </c>
      <c r="Q32" s="25">
        <f ca="1">IFERROR(__xludf.DUMMYFUNCTION("""COMPUTED_VALUE"""),0)</f>
        <v>0</v>
      </c>
      <c r="R32" s="25">
        <f ca="1">IFERROR(__xludf.DUMMYFUNCTION("""COMPUTED_VALUE"""),0.545454545454545)</f>
        <v>0.54545454545454497</v>
      </c>
      <c r="S32" s="25">
        <f ca="1">IFERROR(__xludf.DUMMYFUNCTION("""COMPUTED_VALUE"""),0.7)</f>
        <v>0.7</v>
      </c>
      <c r="T32" s="25">
        <f ca="1">IFERROR(__xludf.DUMMYFUNCTION("""COMPUTED_VALUE"""),0.5)</f>
        <v>0.5</v>
      </c>
      <c r="U32" s="25">
        <f ca="1">IFERROR(__xludf.DUMMYFUNCTION("""COMPUTED_VALUE"""),0.0909090909090909)</f>
        <v>9.0909090909090898E-2</v>
      </c>
      <c r="V32" s="25">
        <f ca="1">IFERROR(__xludf.DUMMYFUNCTION("""COMPUTED_VALUE"""),0)</f>
        <v>0</v>
      </c>
      <c r="W32" s="4"/>
      <c r="X32" s="4" t="str">
        <f ca="1">IFERROR(__xludf.DUMMYFUNCTION("""COMPUTED_VALUE"""),"| 1 L PHP-CGM @ | 3 P Python @ | 5 P PHP-CGM @ ")</f>
        <v xml:space="preserve">| 1 L PHP-CGM @ | 3 P Python @ | 5 P PHP-CGM @ </v>
      </c>
      <c r="Y32" s="4" t="str">
        <f ca="1">IFERROR(__xludf.DUMMYFUNCTION("""COMPUTED_VALUE"""),"| 1 P JAVA % | 3 L JAVA % | 4 L CPT % | 5 P Python @ ")</f>
        <v xml:space="preserve">| 1 P JAVA % | 3 L JAVA % | 4 L CPT % | 5 P Python @ </v>
      </c>
      <c r="Z32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A32" s="4" t="str">
        <f ca="1">IFERROR(__xludf.DUMMYFUNCTION("""COMPUTED_VALUE"""),"| 3 L PHP-CGM @ | 4 L NS @ | 1 L INE @ | 5 P PRO @ ")</f>
        <v xml:space="preserve">| 3 L PHP-CGM @ | 4 L NS @ | 1 L INE @ | 5 P PRO @ </v>
      </c>
      <c r="AB32" s="4" t="str">
        <f ca="1">IFERROR(__xludf.DUMMYFUNCTION("""COMPUTED_VALUE"""),"| 1 L CPT @ | 2 L NS @ | 3 P JAVA @ | 5 P CPT @ ")</f>
        <v xml:space="preserve">| 1 L CPT @ | 2 L NS @ | 3 P JAVA @ | 5 P CPT @ </v>
      </c>
      <c r="AC32" s="4" t="str">
        <f ca="1">IFERROR(__xludf.DUMMYFUNCTION("""COMPUTED_VALUE"""),"| 1 L PHP-CGM % | 2 L JAVA % | 3 P Python % | 5 P PHP-CGM @ ")</f>
        <v xml:space="preserve">| 1 L PHP-CGM % | 2 L JAVA % | 3 P Python % | 5 P PHP-CGM @ </v>
      </c>
      <c r="AD32" s="4" t="str">
        <f ca="1">IFERROR(__xludf.DUMMYFUNCTION("""COMPUTED_VALUE"""),"| 2 P JAVA @ | 3 L JAVA @ | 4 L CPT @ | 5 P Python @ ")</f>
        <v xml:space="preserve">| 2 P JAVA @ | 3 L JAVA @ | 4 L CPT @ | 5 P Python @ </v>
      </c>
      <c r="AE32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32" s="4" t="str">
        <f ca="1">IFERROR(__xludf.DUMMYFUNCTION("""COMPUTED_VALUE"""),"| 3 L PHP-CGM @ | 4 L NS % | 5 P PRO % ")</f>
        <v xml:space="preserve">| 3 L PHP-CGM @ | 4 L NS % | 5 P PRO % </v>
      </c>
      <c r="AG32" s="4" t="str">
        <f ca="1">IFERROR(__xludf.DUMMYFUNCTION("""COMPUTED_VALUE"""),"| 1 L CPT @ | 2 L NS % | 3 P JAVA @ | 5 P CPT @ ")</f>
        <v xml:space="preserve">| 1 L CPT @ | 2 L NS % | 3 P JAVA @ | 5 P CPT @ </v>
      </c>
      <c r="AH32" s="4" t="str">
        <f ca="1">IFERROR(__xludf.DUMMYFUNCTION("""COMPUTED_VALUE"""),"| 3 L PHP-CGM % | 4 L NS % | 5 L PRO % ")</f>
        <v xml:space="preserve">| 3 L PHP-CGM % | 4 L NS % | 5 L PRO % </v>
      </c>
      <c r="AI32" s="4" t="str">
        <f ca="1">IFERROR(__xludf.DUMMYFUNCTION("""COMPUTED_VALUE"""),"| 1 L CPT @ | 2 L NS @ | 3 P JAVA @ | 5 P CPT @ ")</f>
        <v xml:space="preserve">| 1 L CPT @ | 2 L NS @ | 3 P JAVA @ | 5 P CPT @ </v>
      </c>
      <c r="AJ32" s="4" t="str">
        <f ca="1">IFERROR(__xludf.DUMMYFUNCTION("""COMPUTED_VALUE"""),"| 1 L PHP-CGM % | 2 L JAVA % | 3 P Python % | 5 P PHP-CGM % ")</f>
        <v xml:space="preserve">| 1 L PHP-CGM % | 2 L JAVA % | 3 P Python % | 5 P PHP-CGM % </v>
      </c>
      <c r="AK32" s="4" t="str">
        <f ca="1">IFERROR(__xludf.DUMMYFUNCTION("""COMPUTED_VALUE"""),"| 2 P JAVA @ | 3 L JAVA @ | 4 L CPT @ | 5 P Python @ ")</f>
        <v xml:space="preserve">| 2 P JAVA @ | 3 L JAVA @ | 4 L CPT @ | 5 P Python @ </v>
      </c>
      <c r="AL32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M32" s="4" t="str">
        <f ca="1">IFERROR(__xludf.DUMMYFUNCTION("""COMPUTED_VALUE"""),"| 1 L INE @ | 4 L NS % | 3 L PHP-CGM % | 5 L PRO @ ")</f>
        <v xml:space="preserve">| 1 L INE @ | 4 L NS % | 3 L PHP-CGM % | 5 L PRO @ </v>
      </c>
      <c r="AN32" s="4" t="str">
        <f ca="1">IFERROR(__xludf.DUMMYFUNCTION("""COMPUTED_VALUE"""),"| 1 L CPT % | 2 L NS % | 3 P JAVA % | 5 P CPT % ")</f>
        <v xml:space="preserve">| 1 L CPT % | 2 L NS % | 3 P JAVA % | 5 P CPT % </v>
      </c>
      <c r="AO32" s="4" t="str">
        <f ca="1">IFERROR(__xludf.DUMMYFUNCTION("""COMPUTED_VALUE"""),"| 1 L PHP-CGM @ | 2 L JAVA @ | 3 P Python @ | 5 P PHP-CGM @ ")</f>
        <v xml:space="preserve">| 1 L PHP-CGM @ | 2 L JAVA @ | 3 P Python @ | 5 P PHP-CGM @ </v>
      </c>
      <c r="AP32" s="4" t="str">
        <f ca="1">IFERROR(__xludf.DUMMYFUNCTION("""COMPUTED_VALUE"""),"| 2 P JAVA % | 3 L JAVA % | 4 L CPT % | 5 P Python % ")</f>
        <v xml:space="preserve">| 2 P JAVA % | 3 L JAVA % | 4 L CPT % | 5 P Python % </v>
      </c>
      <c r="AQ3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32" s="4" t="str">
        <f ca="1">IFERROR(__xludf.DUMMYFUNCTION("""COMPUTED_VALUE"""),"| 1 L INE @ | 3 L PHP-CGM % | 4 L NS % | 5 L PRO % ")</f>
        <v xml:space="preserve">| 1 L INE @ | 3 L PHP-CGM % | 4 L NS % | 5 L PRO % </v>
      </c>
      <c r="AS32" s="4" t="str">
        <f ca="1">IFERROR(__xludf.DUMMYFUNCTION("""COMPUTED_VALUE"""),"| 1 L PHP-CGM % | 2 L JAVA % | 3 P Python % | 5 P PHP-CGM % ")</f>
        <v xml:space="preserve">| 1 L PHP-CGM % | 2 L JAVA % | 3 P Python % | 5 P PHP-CGM % </v>
      </c>
      <c r="AT32" s="4" t="str">
        <f ca="1">IFERROR(__xludf.DUMMYFUNCTION("""COMPUTED_VALUE"""),"| 2 P JAVA % | 3 L JAVA @ | 4 L CPT @ | 5 P Python % ")</f>
        <v xml:space="preserve">| 2 P JAVA % | 3 L JAVA @ | 4 L CPT @ | 5 P Python % </v>
      </c>
      <c r="AU3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32" s="4" t="str">
        <f ca="1">IFERROR(__xludf.DUMMYFUNCTION("""COMPUTED_VALUE"""),"| 1 L INE @ | 3 L PHP-CGM @ | 4 L NS @ | 7 L PRO % ")</f>
        <v xml:space="preserve">| 1 L INE @ | 3 L PHP-CGM @ | 4 L NS @ | 7 L PRO % </v>
      </c>
      <c r="AW32" s="4" t="str">
        <f ca="1">IFERROR(__xludf.DUMMYFUNCTION("""COMPUTED_VALUE"""),"| 1 L CPT % | 2 L NS % | 3 P JAVA @ | 5 P CPT % ")</f>
        <v xml:space="preserve">| 1 L CPT % | 2 L NS % | 3 P JAVA @ | 5 P CPT % </v>
      </c>
      <c r="AX32" s="4" t="str">
        <f ca="1">IFERROR(__xludf.DUMMYFUNCTION("""COMPUTED_VALUE"""),"| 1 L PHP-CGM % | 2 L JAVA % | 3 P Python % | 5 P PHP-CGM @ ")</f>
        <v xml:space="preserve">| 1 L PHP-CGM % | 2 L JAVA % | 3 P Python % | 5 P PHP-CGM @ </v>
      </c>
      <c r="AY32" s="4" t="str">
        <f ca="1">IFERROR(__xludf.DUMMYFUNCTION("""COMPUTED_VALUE"""),"| 2 P JAVA @ | 3 L JAVA @ | 4 L CPT @ | 5 P Python @ ")</f>
        <v xml:space="preserve">| 2 P JAVA @ | 3 L JAVA @ | 4 L CPT @ | 5 P Python @ </v>
      </c>
      <c r="AZ32" s="4" t="str">
        <f ca="1">IFERROR(__xludf.DUMMYFUNCTION("""COMPUTED_VALUE"""),"| 1 L INE @ | 3 L PHP-CGM @ | 4 L NS @ | 5 L PRO @ ")</f>
        <v xml:space="preserve">| 1 L INE @ | 3 L PHP-CGM @ | 4 L NS @ | 5 L PRO @ </v>
      </c>
      <c r="BA32" s="4" t="str">
        <f ca="1">IFERROR(__xludf.DUMMYFUNCTION("""COMPUTED_VALUE"""),"| 1 L CPT % | 2 L NS % | 3 P JAVA % | 5 P CPT % ")</f>
        <v xml:space="preserve">| 1 L CPT % | 2 L NS % | 3 P JAVA % | 5 P CPT % </v>
      </c>
      <c r="BB32" s="4" t="str">
        <f ca="1">IFERROR(__xludf.DUMMYFUNCTION("""COMPUTED_VALUE"""),"| 1 L PHP-CGM % | 2 L JAVA % | 3 P Python % | 5 P PHP-CGM % ")</f>
        <v xml:space="preserve">| 1 L PHP-CGM % | 2 L JAVA % | 3 P Python % | 5 P PHP-CGM % </v>
      </c>
      <c r="BC32" s="4" t="str">
        <f ca="1">IFERROR(__xludf.DUMMYFUNCTION("""COMPUTED_VALUE"""),"| 2 P JAVA % | 3 L JAVA % | 4 L CPT %  | 5 P Python % ")</f>
        <v xml:space="preserve">| 2 P JAVA % | 3 L JAVA % | 4 L CPT %  | 5 P Python % </v>
      </c>
      <c r="BD32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32" s="4" t="str">
        <f ca="1">IFERROR(__xludf.DUMMYFUNCTION("""COMPUTED_VALUE"""),"| 1 L INE @ | 3 L PHP-CGM % | 4 L NS % | 5 L PRO % ")</f>
        <v xml:space="preserve">| 1 L INE @ | 3 L PHP-CGM % | 4 L NS % | 5 L PRO % </v>
      </c>
      <c r="BF32" s="4" t="str">
        <f ca="1">IFERROR(__xludf.DUMMYFUNCTION("""COMPUTED_VALUE"""),"| 1 L CPT @ | 2 L NS @ | 3 P JAVA @ | 5 P CPT @ ")</f>
        <v xml:space="preserve">| 1 L CPT @ | 2 L NS @ | 3 P JAVA @ | 5 P CPT @ </v>
      </c>
      <c r="BG32" s="4" t="str">
        <f ca="1">IFERROR(__xludf.DUMMYFUNCTION("""COMPUTED_VALUE"""),"| 2 P JAVA % | 4 L CPT @ | 5 P Python % ")</f>
        <v xml:space="preserve">| 2 P JAVA % | 4 L CPT @ | 5 P Python % </v>
      </c>
      <c r="BH3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32" s="4" t="str">
        <f ca="1">IFERROR(__xludf.DUMMYFUNCTION("""COMPUTED_VALUE"""),"| 1 L INE @ | 3 L PHP-CGM % | 4 L NS % | 5 L PRO % ")</f>
        <v xml:space="preserve">| 1 L INE @ | 3 L PHP-CGM % | 4 L NS % | 5 L PRO % </v>
      </c>
      <c r="BJ32" s="4" t="str">
        <f ca="1">IFERROR(__xludf.DUMMYFUNCTION("""COMPUTED_VALUE"""),"| 1 L CPT @ | 2 L NS @ | 3 P JAVA @ | 5 P CPT @ ")</f>
        <v xml:space="preserve">| 1 L CPT @ | 2 L NS @ | 3 P JAVA @ | 5 P CPT @ </v>
      </c>
      <c r="BK32" s="4" t="str">
        <f ca="1">IFERROR(__xludf.DUMMYFUNCTION("""COMPUTED_VALUE"""),"| 1 L PHP-CGM @ | 2 L JAVA @ | 3 P Python @ ")</f>
        <v xml:space="preserve">| 1 L PHP-CGM @ | 2 L JAVA @ | 3 P Python @ </v>
      </c>
      <c r="BL32" s="4" t="str">
        <f ca="1">IFERROR(__xludf.DUMMYFUNCTION("""COMPUTED_VALUE"""),"| 2 P JAVA @ | 3 L JAVA @ | 4 L CPT @ | 5 P Python @ ")</f>
        <v xml:space="preserve">| 2 P JAVA @ | 3 L JAVA @ | 4 L CPT @ | 5 P Python @ </v>
      </c>
      <c r="BM32" s="4" t="str">
        <f ca="1">IFERROR(__xludf.DUMMYFUNCTION("""COMPUTED_VALUE"""),"| 1 P NS % | 3 L NS % | 4 L JAVA @ | 5 L PHP-CGM @ | 6 L CPT @ ")</f>
        <v xml:space="preserve">| 1 P NS % | 3 L NS % | 4 L JAVA @ | 5 L PHP-CGM @ | 6 L CPT @ </v>
      </c>
      <c r="BN32" s="4" t="str">
        <f ca="1">IFERROR(__xludf.DUMMYFUNCTION("""COMPUTED_VALUE"""),"| 1 L INE @ | 3 L PHP-CGM @ | 4 L NS @ | 5 L PRO @ ")</f>
        <v xml:space="preserve">| 1 L INE @ | 3 L PHP-CGM @ | 4 L NS @ | 5 L PRO @ </v>
      </c>
      <c r="BO32" s="4" t="str">
        <f ca="1">IFERROR(__xludf.DUMMYFUNCTION("""COMPUTED_VALUE"""),"| 1 L CPT @ | 2 L NS @ | 3 P JAVA @ ")</f>
        <v xml:space="preserve">| 1 L CPT @ | 2 L NS @ | 3 P JAVA @ </v>
      </c>
      <c r="BP32" s="4" t="str">
        <f ca="1">IFERROR(__xludf.DUMMYFUNCTION("""COMPUTED_VALUE"""),"| 1 L PHP-CGM @ | 2 L JAVA % | 3 P Python @ | 5 P PHP-CGM @ ")</f>
        <v xml:space="preserve">| 1 L PHP-CGM @ | 2 L JAVA % | 3 P Python @ | 5 P PHP-CGM @ </v>
      </c>
      <c r="BQ32" s="4" t="str">
        <f ca="1">IFERROR(__xludf.DUMMYFUNCTION("""COMPUTED_VALUE"""),"| 5 L PHP-CGM % | 6 L CPT @ ")</f>
        <v xml:space="preserve">| 5 L PHP-CGM % | 6 L CPT @ </v>
      </c>
      <c r="BR32" s="4"/>
      <c r="BS32" s="4"/>
      <c r="BT32" s="4" t="str">
        <f ca="1">IFERROR(__xludf.DUMMYFUNCTION("""COMPUTED_VALUE"""),"| 1 L PHP-CGM % | 2 L JAVA % ")</f>
        <v xml:space="preserve">| 1 L PHP-CGM % | 2 L JAVA % </v>
      </c>
      <c r="BU32" s="4" t="str">
        <f ca="1">IFERROR(__xludf.DUMMYFUNCTION("""COMPUTED_VALUE"""),"| 2 P JAVA @ | 4 L CPT @ | 3 L JAVA @ ")</f>
        <v xml:space="preserve">| 2 P JAVA @ | 4 L CPT @ | 3 L JAVA @ </v>
      </c>
      <c r="BV32" s="4" t="str">
        <f ca="1">IFERROR(__xludf.DUMMYFUNCTION("""COMPUTED_VALUE"""),"| 1 L PHP-CGM @ | 2 L JAVA @ | 3 P Python @ | 5 P PHP-CGM @ ")</f>
        <v xml:space="preserve">| 1 L PHP-CGM @ | 2 L JAVA @ | 3 P Python @ | 5 P PHP-CGM @ </v>
      </c>
      <c r="BW32" s="4" t="str">
        <f ca="1">IFERROR(__xludf.DUMMYFUNCTION("""COMPUTED_VALUE"""),"| 2 P JAVA @ | 3 L JAVA @ | 4 L CPT @ ")</f>
        <v xml:space="preserve">| 2 P JAVA @ | 3 L JAVA @ | 4 L CPT @ </v>
      </c>
      <c r="BX32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Y32" s="4" t="str">
        <f ca="1">IFERROR(__xludf.DUMMYFUNCTION("""COMPUTED_VALUE"""),"| 1 L INE @ | 3 L PHP-CGM % | 4 L NS @ | 5 L PRO % ")</f>
        <v xml:space="preserve">| 1 L INE @ | 3 L PHP-CGM % | 4 L NS @ | 5 L PRO % </v>
      </c>
      <c r="BZ32" s="4" t="str">
        <f ca="1">IFERROR(__xludf.DUMMYFUNCTION("""COMPUTED_VALUE"""),"| 1 L CPT @ | 2 L NS @ | 3 P JAVA @ | 5 P CPT @ ")</f>
        <v xml:space="preserve">| 1 L CPT @ | 2 L NS @ | 3 P JAVA @ | 5 P CPT @ </v>
      </c>
      <c r="CA32" s="4" t="str">
        <f ca="1">IFERROR(__xludf.DUMMYFUNCTION("""COMPUTED_VALUE"""),"| 1 L PHP-CGM % | 2 L JAVA % | 3 P Python % | 5 P PHP-CGM % ")</f>
        <v xml:space="preserve">| 1 L PHP-CGM % | 2 L JAVA % | 3 P Python % | 5 P PHP-CGM % </v>
      </c>
      <c r="CB32" s="4" t="str">
        <f ca="1">IFERROR(__xludf.DUMMYFUNCTION("""COMPUTED_VALUE"""),"| 2 P JAVA % | 3 L JAVA % | 4 L CPT @ | 3 P Python % ")</f>
        <v xml:space="preserve">| 2 P JAVA % | 3 L JAVA % | 4 L CPT @ | 3 P Python % </v>
      </c>
      <c r="CC32" s="4" t="str">
        <f ca="1">IFERROR(__xludf.DUMMYFUNCTION("""COMPUTED_VALUE"""),"| 1 P NS @ | 3 L NS % | 4 L JAVA % | 5 L PHP-CGM @ | 6 L CPT @ ")</f>
        <v xml:space="preserve">| 1 P NS @ | 3 L NS % | 4 L JAVA % | 5 L PHP-CGM @ | 6 L CPT @ </v>
      </c>
      <c r="CD32" s="4" t="str">
        <f ca="1">IFERROR(__xludf.DUMMYFUNCTION("""COMPUTED_VALUE"""),"| 1 L INE % | 3 L PHP-CGM @ | 4 L NS @ | 5 L PRO % ")</f>
        <v xml:space="preserve">| 1 L INE % | 3 L PHP-CGM @ | 4 L NS @ | 5 L PRO % </v>
      </c>
      <c r="CE32" s="4" t="str">
        <f ca="1">IFERROR(__xludf.DUMMYFUNCTION("""COMPUTED_VALUE"""),"| 1 L CPT @ | 2 L NS @ | 3 P JAVA @ | 5 P CPT % ")</f>
        <v xml:space="preserve">| 1 L CPT @ | 2 L NS @ | 3 P JAVA @ | 5 P CPT % </v>
      </c>
      <c r="CF32" s="4" t="str">
        <f ca="1">IFERROR(__xludf.DUMMYFUNCTION("""COMPUTED_VALUE"""),"| 1 L PHP-CGM % | 2 L JAVA @ | 3 P Python % | 5 P PHP-CGM % ")</f>
        <v xml:space="preserve">| 1 L PHP-CGM % | 2 L JAVA @ | 3 P Python % | 5 P PHP-CGM % </v>
      </c>
      <c r="CG32" s="4" t="str">
        <f ca="1">IFERROR(__xludf.DUMMYFUNCTION("""COMPUTED_VALUE"""),"| 2 P JAVA % | 4 L CPT % ")</f>
        <v xml:space="preserve">| 2 P JAVA % | 4 L CPT % </v>
      </c>
      <c r="CH32" s="4" t="str">
        <f ca="1">IFERROR(__xludf.DUMMYFUNCTION("""COMPUTED_VALUE"""),"| 1 P NS @ | 3 L NS @ | 6 L CPT @ ")</f>
        <v xml:space="preserve">| 1 P NS @ | 3 L NS @ | 6 L CPT @ </v>
      </c>
      <c r="CI32" s="4" t="str">
        <f ca="1">IFERROR(__xludf.DUMMYFUNCTION("""COMPUTED_VALUE"""),"| 1 L INE @ ")</f>
        <v xml:space="preserve">| 1 L INE @ </v>
      </c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</row>
    <row r="33" spans="1:102" ht="12.5" x14ac:dyDescent="0.25">
      <c r="A33" s="3">
        <f ca="1">IFERROR(__xludf.DUMMYFUNCTION("""COMPUTED_VALUE"""),2)</f>
        <v>2</v>
      </c>
      <c r="B33" s="3" t="str">
        <f ca="1">IFERROR(__xludf.DUMMYFUNCTION("""COMPUTED_VALUE"""),"A")</f>
        <v>A</v>
      </c>
      <c r="C33" s="32" t="str">
        <f ca="1">IFERROR(__xludf.DUMMYFUNCTION("""COMPUTED_VALUE"""),"23291341094")</f>
        <v>23291341094</v>
      </c>
      <c r="D33" s="21" t="str">
        <f ca="1">IFERROR(__xludf.DUMMYFUNCTION("""COMPUTED_VALUE"""),"PATEL KHUSHI DHARMENDRAKUMAR")</f>
        <v>PATEL KHUSHI DHARMENDRAKUMAR</v>
      </c>
      <c r="E33" s="3" t="str">
        <f ca="1">IFERROR(__xludf.DUMMYFUNCTION("""COMPUTED_VALUE"""),"RRP-Mor")</f>
        <v>RRP-Mor</v>
      </c>
      <c r="F33" s="3">
        <f ca="1">IFERROR(__xludf.DUMMYFUNCTION("""COMPUTED_VALUE"""),9328070357)</f>
        <v>9328070357</v>
      </c>
      <c r="G33" s="3">
        <f ca="1">IFERROR(__xludf.DUMMYFUNCTION("""COMPUTED_VALUE"""),9924076216)</f>
        <v>9924076216</v>
      </c>
      <c r="H33" s="33">
        <f ca="1">IFERROR(__xludf.DUMMYFUNCTION("""COMPUTED_VALUE"""),0.658333333333333)</f>
        <v>0.65833333333333299</v>
      </c>
      <c r="I33" s="25">
        <f ca="1">IFERROR(__xludf.DUMMYFUNCTION("""COMPUTED_VALUE"""),0.611111111111111)</f>
        <v>0.61111111111111105</v>
      </c>
      <c r="J33" s="25">
        <f ca="1">IFERROR(__xludf.DUMMYFUNCTION("""COMPUTED_VALUE"""),0.6)</f>
        <v>0.6</v>
      </c>
      <c r="K33" s="25">
        <f ca="1">IFERROR(__xludf.DUMMYFUNCTION("""COMPUTED_VALUE"""),0.705882352941176)</f>
        <v>0.70588235294117596</v>
      </c>
      <c r="L33" s="25">
        <f ca="1">IFERROR(__xludf.DUMMYFUNCTION("""COMPUTED_VALUE"""),0.727272727272727)</f>
        <v>0.72727272727272696</v>
      </c>
      <c r="M33" s="25">
        <f ca="1">IFERROR(__xludf.DUMMYFUNCTION("""COMPUTED_VALUE"""),0.694444444444444)</f>
        <v>0.69444444444444398</v>
      </c>
      <c r="N33" s="25">
        <f ca="1">IFERROR(__xludf.DUMMYFUNCTION("""COMPUTED_VALUE"""),0.545454545454545)</f>
        <v>0.54545454545454497</v>
      </c>
      <c r="O33" s="25">
        <f ca="1">IFERROR(__xludf.DUMMYFUNCTION("""COMPUTED_VALUE"""),0.787878787878787)</f>
        <v>0.78787878787878696</v>
      </c>
      <c r="P33" s="25">
        <f ca="1">IFERROR(__xludf.DUMMYFUNCTION("""COMPUTED_VALUE"""),0.833333333333333)</f>
        <v>0.83333333333333304</v>
      </c>
      <c r="Q33" s="25">
        <f ca="1">IFERROR(__xludf.DUMMYFUNCTION("""COMPUTED_VALUE"""),0)</f>
        <v>0</v>
      </c>
      <c r="R33" s="25">
        <f ca="1">IFERROR(__xludf.DUMMYFUNCTION("""COMPUTED_VALUE"""),0.545454545454545)</f>
        <v>0.54545454545454497</v>
      </c>
      <c r="S33" s="25">
        <f ca="1">IFERROR(__xludf.DUMMYFUNCTION("""COMPUTED_VALUE"""),0.3)</f>
        <v>0.3</v>
      </c>
      <c r="T33" s="25">
        <f ca="1">IFERROR(__xludf.DUMMYFUNCTION("""COMPUTED_VALUE"""),1)</f>
        <v>1</v>
      </c>
      <c r="U33" s="25">
        <f ca="1">IFERROR(__xludf.DUMMYFUNCTION("""COMPUTED_VALUE"""),0.363636363636363)</f>
        <v>0.36363636363636298</v>
      </c>
      <c r="V33" s="25">
        <f ca="1">IFERROR(__xludf.DUMMYFUNCTION("""COMPUTED_VALUE"""),0)</f>
        <v>0</v>
      </c>
      <c r="W33" s="4"/>
      <c r="X33" s="4" t="str">
        <f ca="1">IFERROR(__xludf.DUMMYFUNCTION("""COMPUTED_VALUE"""),"| 1 L PHP-CGM @ | 3 P Python @ | 5 P PHP-CGM @ ")</f>
        <v xml:space="preserve">| 1 L PHP-CGM @ | 3 P Python @ | 5 P PHP-CGM @ </v>
      </c>
      <c r="Y33" s="4" t="str">
        <f ca="1">IFERROR(__xludf.DUMMYFUNCTION("""COMPUTED_VALUE"""),"| 1 P JAVA % | 3 L JAVA @ | 4 L CPT @ | 5 P Python @ ")</f>
        <v xml:space="preserve">| 1 P JAVA % | 3 L JAVA @ | 4 L CPT @ | 5 P Python @ </v>
      </c>
      <c r="Z33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A33" s="4" t="str">
        <f ca="1">IFERROR(__xludf.DUMMYFUNCTION("""COMPUTED_VALUE"""),"| 3 L PHP-CGM % | 4 L NS % | 1 L INE % | 5 P PRO % ")</f>
        <v xml:space="preserve">| 3 L PHP-CGM % | 4 L NS % | 1 L INE % | 5 P PRO % </v>
      </c>
      <c r="AB33" s="4" t="str">
        <f ca="1">IFERROR(__xludf.DUMMYFUNCTION("""COMPUTED_VALUE"""),"| 1 L CPT % | 2 L NS % | 3 P JAVA % | 5 P CPT % ")</f>
        <v xml:space="preserve">| 1 L CPT % | 2 L NS % | 3 P JAVA % | 5 P CPT % </v>
      </c>
      <c r="AC33" s="4" t="str">
        <f ca="1">IFERROR(__xludf.DUMMYFUNCTION("""COMPUTED_VALUE"""),"| 1 L PHP-CGM % | 2 L JAVA % | 3 P Python % | 5 P PHP-CGM % ")</f>
        <v xml:space="preserve">| 1 L PHP-CGM % | 2 L JAVA % | 3 P Python % | 5 P PHP-CGM % </v>
      </c>
      <c r="AD33" s="4" t="str">
        <f ca="1">IFERROR(__xludf.DUMMYFUNCTION("""COMPUTED_VALUE"""),"| 2 P JAVA % | 3 L JAVA % | 4 L CPT % | 5 P Python @ ")</f>
        <v xml:space="preserve">| 2 P JAVA % | 3 L JAVA % | 4 L CPT % | 5 P Python @ </v>
      </c>
      <c r="AE33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33" s="4" t="str">
        <f ca="1">IFERROR(__xludf.DUMMYFUNCTION("""COMPUTED_VALUE"""),"| 3 L PHP-CGM % | 4 L NS % | 5 P PRO % ")</f>
        <v xml:space="preserve">| 3 L PHP-CGM % | 4 L NS % | 5 P PRO % </v>
      </c>
      <c r="AG33" s="4" t="str">
        <f ca="1">IFERROR(__xludf.DUMMYFUNCTION("""COMPUTED_VALUE"""),"| 1 L CPT % | 2 L NS % | 3 P JAVA % | 5 P CPT @ ")</f>
        <v xml:space="preserve">| 1 L CPT % | 2 L NS % | 3 P JAVA % | 5 P CPT @ </v>
      </c>
      <c r="AH33" s="4" t="str">
        <f ca="1">IFERROR(__xludf.DUMMYFUNCTION("""COMPUTED_VALUE"""),"| 3 L PHP-CGM % | 4 L NS % | 5 L PRO % ")</f>
        <v xml:space="preserve">| 3 L PHP-CGM % | 4 L NS % | 5 L PRO % </v>
      </c>
      <c r="AI33" s="4" t="str">
        <f ca="1">IFERROR(__xludf.DUMMYFUNCTION("""COMPUTED_VALUE"""),"| 1 L CPT % | 2 L NS % | 3 P JAVA % | 5 P CPT % ")</f>
        <v xml:space="preserve">| 1 L CPT % | 2 L NS % | 3 P JAVA % | 5 P CPT % </v>
      </c>
      <c r="AJ33" s="4" t="str">
        <f ca="1">IFERROR(__xludf.DUMMYFUNCTION("""COMPUTED_VALUE"""),"| 1 L PHP-CGM % | 2 L JAVA % | 3 P Python % | 5 P PHP-CGM % ")</f>
        <v xml:space="preserve">| 1 L PHP-CGM % | 2 L JAVA % | 3 P Python % | 5 P PHP-CGM % </v>
      </c>
      <c r="AK33" s="4" t="str">
        <f ca="1">IFERROR(__xludf.DUMMYFUNCTION("""COMPUTED_VALUE"""),"| 2 P JAVA % | 3 L JAVA % | 4 L CPT % | 5 P Python @ ")</f>
        <v xml:space="preserve">| 2 P JAVA % | 3 L JAVA % | 4 L CPT % | 5 P Python @ </v>
      </c>
      <c r="AL33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33" s="4" t="str">
        <f ca="1">IFERROR(__xludf.DUMMYFUNCTION("""COMPUTED_VALUE"""),"| 1 L INE @ | 4 L NS % | 3 L PHP-CGM % | 5 L PRO @ ")</f>
        <v xml:space="preserve">| 1 L INE @ | 4 L NS % | 3 L PHP-CGM % | 5 L PRO @ </v>
      </c>
      <c r="AN33" s="4" t="str">
        <f ca="1">IFERROR(__xludf.DUMMYFUNCTION("""COMPUTED_VALUE"""),"| 1 L CPT % | 2 L NS % | 3 P JAVA % | 5 P CPT @ ")</f>
        <v xml:space="preserve">| 1 L CPT % | 2 L NS % | 3 P JAVA % | 5 P CPT @ </v>
      </c>
      <c r="AO33" s="4" t="str">
        <f ca="1">IFERROR(__xludf.DUMMYFUNCTION("""COMPUTED_VALUE"""),"| 1 L PHP-CGM % | 2 L JAVA % | 3 P Python % | 5 P PHP-CGM % ")</f>
        <v xml:space="preserve">| 1 L PHP-CGM % | 2 L JAVA % | 3 P Python % | 5 P PHP-CGM % </v>
      </c>
      <c r="AP33" s="4" t="str">
        <f ca="1">IFERROR(__xludf.DUMMYFUNCTION("""COMPUTED_VALUE"""),"| 2 P JAVA % | 3 L JAVA % | 4 L CPT % | 5 P Python @ ")</f>
        <v xml:space="preserve">| 2 P JAVA % | 3 L JAVA % | 4 L CPT % | 5 P Python @ </v>
      </c>
      <c r="AQ33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33" s="4" t="str">
        <f ca="1">IFERROR(__xludf.DUMMYFUNCTION("""COMPUTED_VALUE"""),"| 1 L INE @ | 3 L PHP-CGM @ | 4 L NS @ | 5 L PRO @ ")</f>
        <v xml:space="preserve">| 1 L INE @ | 3 L PHP-CGM @ | 4 L NS @ | 5 L PRO @ </v>
      </c>
      <c r="AS33" s="4" t="str">
        <f ca="1">IFERROR(__xludf.DUMMYFUNCTION("""COMPUTED_VALUE"""),"| 1 L PHP-CGM % | 2 L JAVA % | 3 P Python % | 5 P PHP-CGM @ ")</f>
        <v xml:space="preserve">| 1 L PHP-CGM % | 2 L JAVA % | 3 P Python % | 5 P PHP-CGM @ </v>
      </c>
      <c r="AT33" s="4" t="str">
        <f ca="1">IFERROR(__xludf.DUMMYFUNCTION("""COMPUTED_VALUE"""),"| 2 P JAVA % | 3 L JAVA % | 4 L CPT % | 5 P Python % ")</f>
        <v xml:space="preserve">| 2 P JAVA % | 3 L JAVA % | 4 L CPT % | 5 P Python % </v>
      </c>
      <c r="AU33" s="4" t="str">
        <f ca="1">IFERROR(__xludf.DUMMYFUNCTION("""COMPUTED_VALUE"""),"| 1 P NS % | 3 L NS % | 4 L JAVA @ | 5 L PHP-CGM % | 6 L CPT % ")</f>
        <v xml:space="preserve">| 1 P NS % | 3 L NS % | 4 L JAVA @ | 5 L PHP-CGM % | 6 L CPT % </v>
      </c>
      <c r="AV33" s="4" t="str">
        <f ca="1">IFERROR(__xludf.DUMMYFUNCTION("""COMPUTED_VALUE"""),"| 1 L INE % | 3 L PHP-CGM % | 4 L NS % | 7 L PRO % ")</f>
        <v xml:space="preserve">| 1 L INE % | 3 L PHP-CGM % | 4 L NS % | 7 L PRO % </v>
      </c>
      <c r="AW33" s="4" t="str">
        <f ca="1">IFERROR(__xludf.DUMMYFUNCTION("""COMPUTED_VALUE"""),"| 1 L CPT % | 2 L NS % | 3 P JAVA % | 5 P CPT % ")</f>
        <v xml:space="preserve">| 1 L CPT % | 2 L NS % | 3 P JAVA % | 5 P CPT % </v>
      </c>
      <c r="AX33" s="4" t="str">
        <f ca="1">IFERROR(__xludf.DUMMYFUNCTION("""COMPUTED_VALUE"""),"| 1 L PHP-CGM % | 2 L JAVA % | 3 P Python % | 5 P PHP-CGM % ")</f>
        <v xml:space="preserve">| 1 L PHP-CGM % | 2 L JAVA % | 3 P Python % | 5 P PHP-CGM % </v>
      </c>
      <c r="AY33" s="4" t="str">
        <f ca="1">IFERROR(__xludf.DUMMYFUNCTION("""COMPUTED_VALUE"""),"| 2 P JAVA % | 3 L JAVA % | 4 L CPT % | 5 P Python @ ")</f>
        <v xml:space="preserve">| 2 P JAVA % | 3 L JAVA % | 4 L CPT % | 5 P Python @ </v>
      </c>
      <c r="AZ33" s="4" t="str">
        <f ca="1">IFERROR(__xludf.DUMMYFUNCTION("""COMPUTED_VALUE"""),"| 1 L INE % | 3 L PHP-CGM % | 4 L NS % | 5 L PRO % ")</f>
        <v xml:space="preserve">| 1 L INE % | 3 L PHP-CGM % | 4 L NS % | 5 L PRO % </v>
      </c>
      <c r="BA33" s="4" t="str">
        <f ca="1">IFERROR(__xludf.DUMMYFUNCTION("""COMPUTED_VALUE"""),"| 1 L CPT % | 2 L NS % | 3 P JAVA % | 5 P CPT % ")</f>
        <v xml:space="preserve">| 1 L CPT % | 2 L NS % | 3 P JAVA % | 5 P CPT % </v>
      </c>
      <c r="BB33" s="4" t="str">
        <f ca="1">IFERROR(__xludf.DUMMYFUNCTION("""COMPUTED_VALUE"""),"| 1 L PHP-CGM % | 2 L JAVA % | 3 P Python % | 5 P PHP-CGM % ")</f>
        <v xml:space="preserve">| 1 L PHP-CGM % | 2 L JAVA % | 3 P Python % | 5 P PHP-CGM % </v>
      </c>
      <c r="BC33" s="4" t="str">
        <f ca="1">IFERROR(__xludf.DUMMYFUNCTION("""COMPUTED_VALUE"""),"| 2 P JAVA % | 3 L JAVA @ | 4 L CPT @  | 5 P Python @ ")</f>
        <v xml:space="preserve">| 2 P JAVA % | 3 L JAVA @ | 4 L CPT @  | 5 P Python @ </v>
      </c>
      <c r="BD33" s="4" t="str">
        <f ca="1">IFERROR(__xludf.DUMMYFUNCTION("""COMPUTED_VALUE"""),"| 1 P NS @ | 3 L NS @ | 6 L CPT @ | 5 L PHP-CGM @ | 4 L JAVA @ ")</f>
        <v xml:space="preserve">| 1 P NS @ | 3 L NS @ | 6 L CPT @ | 5 L PHP-CGM @ | 4 L JAVA @ </v>
      </c>
      <c r="BE33" s="4" t="str">
        <f ca="1">IFERROR(__xludf.DUMMYFUNCTION("""COMPUTED_VALUE"""),"| 1 L INE @ | 3 L PHP-CGM @ | 4 L NS @ | 5 L PRO @ ")</f>
        <v xml:space="preserve">| 1 L INE @ | 3 L PHP-CGM @ | 4 L NS @ | 5 L PRO @ </v>
      </c>
      <c r="BF33" s="4" t="str">
        <f ca="1">IFERROR(__xludf.DUMMYFUNCTION("""COMPUTED_VALUE"""),"| 1 L CPT @ | 2 L NS @ | 3 P JAVA @ | 5 P CPT @ ")</f>
        <v xml:space="preserve">| 1 L CPT @ | 2 L NS @ | 3 P JAVA @ | 5 P CPT @ </v>
      </c>
      <c r="BG33" s="4" t="str">
        <f ca="1">IFERROR(__xludf.DUMMYFUNCTION("""COMPUTED_VALUE"""),"| 2 P JAVA % | 4 L CPT @ | 5 P Python % ")</f>
        <v xml:space="preserve">| 2 P JAVA % | 4 L CPT @ | 5 P Python % </v>
      </c>
      <c r="BH33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I33" s="4" t="str">
        <f ca="1">IFERROR(__xludf.DUMMYFUNCTION("""COMPUTED_VALUE"""),"| 1 L INE @ | 3 L PHP-CGM % | 4 L NS % | 5 L PRO @ ")</f>
        <v xml:space="preserve">| 1 L INE @ | 3 L PHP-CGM % | 4 L NS % | 5 L PRO @ </v>
      </c>
      <c r="BJ33" s="4" t="str">
        <f ca="1">IFERROR(__xludf.DUMMYFUNCTION("""COMPUTED_VALUE"""),"| 1 L CPT % | 2 L NS % | 3 P JAVA % | 5 P CPT @ ")</f>
        <v xml:space="preserve">| 1 L CPT % | 2 L NS % | 3 P JAVA % | 5 P CPT @ </v>
      </c>
      <c r="BK33" s="4" t="str">
        <f ca="1">IFERROR(__xludf.DUMMYFUNCTION("""COMPUTED_VALUE"""),"| 1 L PHP-CGM % | 2 L JAVA % | 3 P Python % ")</f>
        <v xml:space="preserve">| 1 L PHP-CGM % | 2 L JAVA % | 3 P Python % </v>
      </c>
      <c r="BL33" s="4" t="str">
        <f ca="1">IFERROR(__xludf.DUMMYFUNCTION("""COMPUTED_VALUE"""),"| 2 P JAVA % | 3 L JAVA % | 4 L CPT % | 5 P Python @ ")</f>
        <v xml:space="preserve">| 2 P JAVA % | 3 L JAVA % | 4 L CPT % | 5 P Python @ </v>
      </c>
      <c r="BM33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33" s="4" t="str">
        <f ca="1">IFERROR(__xludf.DUMMYFUNCTION("""COMPUTED_VALUE"""),"| 1 L INE @ | 3 L PHP-CGM @ | 4 L NS @ | 5 L PRO @ ")</f>
        <v xml:space="preserve">| 1 L INE @ | 3 L PHP-CGM @ | 4 L NS @ | 5 L PRO @ </v>
      </c>
      <c r="BO33" s="4" t="str">
        <f ca="1">IFERROR(__xludf.DUMMYFUNCTION("""COMPUTED_VALUE"""),"| 1 L CPT @ | 2 L NS @ | 3 P JAVA @ ")</f>
        <v xml:space="preserve">| 1 L CPT @ | 2 L NS @ | 3 P JAVA @ </v>
      </c>
      <c r="BP33" s="4" t="str">
        <f ca="1">IFERROR(__xludf.DUMMYFUNCTION("""COMPUTED_VALUE"""),"| 1 L PHP-CGM % | 2 L JAVA % | 3 P Python % | 5 P PHP-CGM @ ")</f>
        <v xml:space="preserve">| 1 L PHP-CGM % | 2 L JAVA % | 3 P Python % | 5 P PHP-CGM @ </v>
      </c>
      <c r="BQ33" s="4" t="str">
        <f ca="1">IFERROR(__xludf.DUMMYFUNCTION("""COMPUTED_VALUE"""),"| 5 L PHP-CGM % | 6 L CPT @ ")</f>
        <v xml:space="preserve">| 5 L PHP-CGM % | 6 L CPT @ </v>
      </c>
      <c r="BR33" s="4"/>
      <c r="BS33" s="4"/>
      <c r="BT33" s="4" t="str">
        <f ca="1">IFERROR(__xludf.DUMMYFUNCTION("""COMPUTED_VALUE"""),"| 1 L PHP-CGM % | 2 L JAVA % ")</f>
        <v xml:space="preserve">| 1 L PHP-CGM % | 2 L JAVA % </v>
      </c>
      <c r="BU33" s="4" t="str">
        <f ca="1">IFERROR(__xludf.DUMMYFUNCTION("""COMPUTED_VALUE"""),"| 2 P JAVA @ | 4 L CPT @ | 3 L JAVA @ ")</f>
        <v xml:space="preserve">| 2 P JAVA @ | 4 L CPT @ | 3 L JAVA @ </v>
      </c>
      <c r="BV33" s="4" t="str">
        <f ca="1">IFERROR(__xludf.DUMMYFUNCTION("""COMPUTED_VALUE"""),"| 1 L PHP-CGM % | 2 L JAVA % | 3 P Python @ | 5 P PHP-CGM @ ")</f>
        <v xml:space="preserve">| 1 L PHP-CGM % | 2 L JAVA % | 3 P Python @ | 5 P PHP-CGM @ </v>
      </c>
      <c r="BW33" s="4" t="str">
        <f ca="1">IFERROR(__xludf.DUMMYFUNCTION("""COMPUTED_VALUE"""),"| 2 P JAVA @ | 3 L JAVA % | 4 L CPT % ")</f>
        <v xml:space="preserve">| 2 P JAVA @ | 3 L JAVA % | 4 L CPT % </v>
      </c>
      <c r="BX33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33" s="4" t="str">
        <f ca="1">IFERROR(__xludf.DUMMYFUNCTION("""COMPUTED_VALUE"""),"| 1 L INE @ | 3 L PHP-CGM @ | 4 L NS @ | 5 L PRO @ ")</f>
        <v xml:space="preserve">| 1 L INE @ | 3 L PHP-CGM @ | 4 L NS @ | 5 L PRO @ </v>
      </c>
      <c r="BZ33" s="4" t="str">
        <f ca="1">IFERROR(__xludf.DUMMYFUNCTION("""COMPUTED_VALUE"""),"| 1 L CPT % | 2 L NS % | 3 P JAVA % | 5 P CPT % ")</f>
        <v xml:space="preserve">| 1 L CPT % | 2 L NS % | 3 P JAVA % | 5 P CPT % </v>
      </c>
      <c r="CA33" s="4" t="str">
        <f ca="1">IFERROR(__xludf.DUMMYFUNCTION("""COMPUTED_VALUE"""),"| 1 L PHP-CGM % | 2 L JAVA % | 3 P Python % | 5 P PHP-CGM @ ")</f>
        <v xml:space="preserve">| 1 L PHP-CGM % | 2 L JAVA % | 3 P Python % | 5 P PHP-CGM @ </v>
      </c>
      <c r="CB33" s="4" t="str">
        <f ca="1">IFERROR(__xludf.DUMMYFUNCTION("""COMPUTED_VALUE"""),"| 2 P JAVA % | 3 L JAVA % | 4 L CPT % | 3 P Python @ ")</f>
        <v xml:space="preserve">| 2 P JAVA % | 3 L JAVA % | 4 L CPT % | 3 P Python @ </v>
      </c>
      <c r="CC33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33" s="4" t="str">
        <f ca="1">IFERROR(__xludf.DUMMYFUNCTION("""COMPUTED_VALUE"""),"| 1 L INE % | 3 L PHP-CGM % | 4 L NS % | 5 L PRO @ ")</f>
        <v xml:space="preserve">| 1 L INE % | 3 L PHP-CGM % | 4 L NS % | 5 L PRO @ </v>
      </c>
      <c r="CE33" s="4" t="str">
        <f ca="1">IFERROR(__xludf.DUMMYFUNCTION("""COMPUTED_VALUE"""),"| 1 L CPT % | 2 L NS % | 3 P JAVA % | 5 P CPT % ")</f>
        <v xml:space="preserve">| 1 L CPT % | 2 L NS % | 3 P JAVA % | 5 P CPT % </v>
      </c>
      <c r="CF33" s="4" t="str">
        <f ca="1">IFERROR(__xludf.DUMMYFUNCTION("""COMPUTED_VALUE"""),"| 1 L PHP-CGM % | 2 L JAVA % | 3 P Python % | 5 P PHP-CGM % ")</f>
        <v xml:space="preserve">| 1 L PHP-CGM % | 2 L JAVA % | 3 P Python % | 5 P PHP-CGM % </v>
      </c>
      <c r="CG33" s="4" t="str">
        <f ca="1">IFERROR(__xludf.DUMMYFUNCTION("""COMPUTED_VALUE"""),"| 2 P JAVA % | 4 L CPT % ")</f>
        <v xml:space="preserve">| 2 P JAVA % | 4 L CPT % </v>
      </c>
      <c r="CH33" s="4" t="str">
        <f ca="1">IFERROR(__xludf.DUMMYFUNCTION("""COMPUTED_VALUE"""),"| 1 P NS % | 3 L NS @ | 6 L CPT @ ")</f>
        <v xml:space="preserve">| 1 P NS % | 3 L NS @ | 6 L CPT @ </v>
      </c>
      <c r="CI33" s="4" t="str">
        <f ca="1">IFERROR(__xludf.DUMMYFUNCTION("""COMPUTED_VALUE"""),"| 1 L INE @ ")</f>
        <v xml:space="preserve">| 1 L INE @ </v>
      </c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</row>
    <row r="34" spans="1:102" ht="12.5" x14ac:dyDescent="0.25">
      <c r="A34" s="3">
        <f ca="1">IFERROR(__xludf.DUMMYFUNCTION("""COMPUTED_VALUE"""),2)</f>
        <v>2</v>
      </c>
      <c r="B34" s="3" t="str">
        <f ca="1">IFERROR(__xludf.DUMMYFUNCTION("""COMPUTED_VALUE"""),"A")</f>
        <v>A</v>
      </c>
      <c r="C34" s="32" t="str">
        <f ca="1">IFERROR(__xludf.DUMMYFUNCTION("""COMPUTED_VALUE"""),"23291341095")</f>
        <v>23291341095</v>
      </c>
      <c r="D34" s="21" t="str">
        <f ca="1">IFERROR(__xludf.DUMMYFUNCTION("""COMPUTED_VALUE"""),"PATEL KRIMA PANKAJKUMAR")</f>
        <v>PATEL KRIMA PANKAJKUMAR</v>
      </c>
      <c r="E34" s="3" t="str">
        <f ca="1">IFERROR(__xludf.DUMMYFUNCTION("""COMPUTED_VALUE"""),"RRP-Mor")</f>
        <v>RRP-Mor</v>
      </c>
      <c r="F34" s="3">
        <f ca="1">IFERROR(__xludf.DUMMYFUNCTION("""COMPUTED_VALUE"""),9924385655)</f>
        <v>9924385655</v>
      </c>
      <c r="G34" s="3">
        <f ca="1">IFERROR(__xludf.DUMMYFUNCTION("""COMPUTED_VALUE"""),9924385655)</f>
        <v>9924385655</v>
      </c>
      <c r="H34" s="33">
        <f ca="1">IFERROR(__xludf.DUMMYFUNCTION("""COMPUTED_VALUE"""),0.2375)</f>
        <v>0.23749999999999999</v>
      </c>
      <c r="I34" s="25">
        <f ca="1">IFERROR(__xludf.DUMMYFUNCTION("""COMPUTED_VALUE"""),0.194444444444444)</f>
        <v>0.194444444444444</v>
      </c>
      <c r="J34" s="25">
        <f ca="1">IFERROR(__xludf.DUMMYFUNCTION("""COMPUTED_VALUE"""),0.2)</f>
        <v>0.2</v>
      </c>
      <c r="K34" s="25">
        <f ca="1">IFERROR(__xludf.DUMMYFUNCTION("""COMPUTED_VALUE"""),0.264705882352941)</f>
        <v>0.26470588235294101</v>
      </c>
      <c r="L34" s="25">
        <f ca="1">IFERROR(__xludf.DUMMYFUNCTION("""COMPUTED_VALUE"""),0.545454545454545)</f>
        <v>0.54545454545454497</v>
      </c>
      <c r="M34" s="25">
        <f ca="1">IFERROR(__xludf.DUMMYFUNCTION("""COMPUTED_VALUE"""),0.194444444444444)</f>
        <v>0.194444444444444</v>
      </c>
      <c r="N34" s="25">
        <f ca="1">IFERROR(__xludf.DUMMYFUNCTION("""COMPUTED_VALUE"""),0.0909090909090909)</f>
        <v>9.0909090909090898E-2</v>
      </c>
      <c r="O34" s="25">
        <f ca="1">IFERROR(__xludf.DUMMYFUNCTION("""COMPUTED_VALUE"""),0.272727272727272)</f>
        <v>0.27272727272727199</v>
      </c>
      <c r="P34" s="25">
        <f ca="1">IFERROR(__xludf.DUMMYFUNCTION("""COMPUTED_VALUE"""),0.291666666666666)</f>
        <v>0.29166666666666602</v>
      </c>
      <c r="Q34" s="25">
        <f ca="1">IFERROR(__xludf.DUMMYFUNCTION("""COMPUTED_VALUE"""),0)</f>
        <v>0</v>
      </c>
      <c r="R34" s="25">
        <f ca="1">IFERROR(__xludf.DUMMYFUNCTION("""COMPUTED_VALUE"""),0.272727272727272)</f>
        <v>0.27272727272727199</v>
      </c>
      <c r="S34" s="25">
        <f ca="1">IFERROR(__xludf.DUMMYFUNCTION("""COMPUTED_VALUE"""),0.1)</f>
        <v>0.1</v>
      </c>
      <c r="T34" s="25">
        <f ca="1">IFERROR(__xludf.DUMMYFUNCTION("""COMPUTED_VALUE"""),0)</f>
        <v>0</v>
      </c>
      <c r="U34" s="25">
        <f ca="1">IFERROR(__xludf.DUMMYFUNCTION("""COMPUTED_VALUE"""),0.181818181818181)</f>
        <v>0.18181818181818099</v>
      </c>
      <c r="V34" s="25">
        <f ca="1">IFERROR(__xludf.DUMMYFUNCTION("""COMPUTED_VALUE"""),0)</f>
        <v>0</v>
      </c>
      <c r="W34" s="4"/>
      <c r="X34" s="4" t="str">
        <f ca="1">IFERROR(__xludf.DUMMYFUNCTION("""COMPUTED_VALUE"""),"| 1 L PHP-CGM @ | 3 P Python @ | 5 P PHP-CGM @ ")</f>
        <v xml:space="preserve">| 1 L PHP-CGM @ | 3 P Python @ | 5 P PHP-CGM @ </v>
      </c>
      <c r="Y34" s="4" t="str">
        <f ca="1">IFERROR(__xludf.DUMMYFUNCTION("""COMPUTED_VALUE"""),"| 1 P JAVA @ | 3 L JAVA @ | 4 L CPT @ | 5 P Python @ ")</f>
        <v xml:space="preserve">| 1 P JAVA @ | 3 L JAVA @ | 4 L CPT @ | 5 P Python @ </v>
      </c>
      <c r="Z34" s="4" t="str">
        <f ca="1">IFERROR(__xludf.DUMMYFUNCTION("""COMPUTED_VALUE"""),"| 1 P NS % | 3 L NS @ | 4 L JAVA @ | 5 L PHP-CGM @ | 6 L CPT @ ")</f>
        <v xml:space="preserve">| 1 P NS % | 3 L NS @ | 4 L JAVA @ | 5 L PHP-CGM @ | 6 L CPT @ </v>
      </c>
      <c r="AA34" s="4" t="str">
        <f ca="1">IFERROR(__xludf.DUMMYFUNCTION("""COMPUTED_VALUE"""),"| 3 L PHP-CGM @ | 4 L NS @ | 1 L INE @ | 5 P PRO @ ")</f>
        <v xml:space="preserve">| 3 L PHP-CGM @ | 4 L NS @ | 1 L INE @ | 5 P PRO @ </v>
      </c>
      <c r="AB34" s="4" t="str">
        <f ca="1">IFERROR(__xludf.DUMMYFUNCTION("""COMPUTED_VALUE"""),"| 1 L CPT @ | 2 L NS @ | 3 P JAVA @ | 5 P CPT @ ")</f>
        <v xml:space="preserve">| 1 L CPT @ | 2 L NS @ | 3 P JAVA @ | 5 P CPT @ </v>
      </c>
      <c r="AC34" s="4" t="str">
        <f ca="1">IFERROR(__xludf.DUMMYFUNCTION("""COMPUTED_VALUE"""),"| 1 L PHP-CGM @ | 2 L JAVA @ | 3 P Python @ | 5 P PHP-CGM @ ")</f>
        <v xml:space="preserve">| 1 L PHP-CGM @ | 2 L JAVA @ | 3 P Python @ | 5 P PHP-CGM @ </v>
      </c>
      <c r="AD34" s="4" t="str">
        <f ca="1">IFERROR(__xludf.DUMMYFUNCTION("""COMPUTED_VALUE"""),"| 2 P JAVA @ | 3 L JAVA @ | 4 L CPT @ | 5 P Python @ ")</f>
        <v xml:space="preserve">| 2 P JAVA @ | 3 L JAVA @ | 4 L CPT @ | 5 P Python @ </v>
      </c>
      <c r="AE34" s="4" t="str">
        <f ca="1">IFERROR(__xludf.DUMMYFUNCTION("""COMPUTED_VALUE"""),"| 1 P NS % | 4 L JAVA % | 3 L NS % | 5 L PHP-CGM @ | 6 L CPT @ ")</f>
        <v xml:space="preserve">| 1 P NS % | 4 L JAVA % | 3 L NS % | 5 L PHP-CGM @ | 6 L CPT @ </v>
      </c>
      <c r="AF34" s="4" t="str">
        <f ca="1">IFERROR(__xludf.DUMMYFUNCTION("""COMPUTED_VALUE"""),"| 3 L PHP-CGM % | 4 L NS % | 5 P PRO @ ")</f>
        <v xml:space="preserve">| 3 L PHP-CGM % | 4 L NS % | 5 P PRO @ </v>
      </c>
      <c r="AG34" s="4" t="str">
        <f ca="1">IFERROR(__xludf.DUMMYFUNCTION("""COMPUTED_VALUE"""),"| 1 L CPT @ | 2 L NS @ | 3 P JAVA @ | 5 P CPT @ ")</f>
        <v xml:space="preserve">| 1 L CPT @ | 2 L NS @ | 3 P JAVA @ | 5 P CPT @ </v>
      </c>
      <c r="AH34" s="4" t="str">
        <f ca="1">IFERROR(__xludf.DUMMYFUNCTION("""COMPUTED_VALUE"""),"| 3 L PHP-CGM @ | 4 L NS @ | 5 L PRO @ ")</f>
        <v xml:space="preserve">| 3 L PHP-CGM @ | 4 L NS @ | 5 L PRO @ </v>
      </c>
      <c r="AI34" s="4" t="str">
        <f ca="1">IFERROR(__xludf.DUMMYFUNCTION("""COMPUTED_VALUE"""),"| 1 L CPT @ | 2 L NS @ | 3 P JAVA @ | 5 P CPT @ ")</f>
        <v xml:space="preserve">| 1 L CPT @ | 2 L NS @ | 3 P JAVA @ | 5 P CPT @ </v>
      </c>
      <c r="AJ34" s="4" t="str">
        <f ca="1">IFERROR(__xludf.DUMMYFUNCTION("""COMPUTED_VALUE"""),"| 1 L PHP-CGM @ | 2 L JAVA @ | 3 P Python @ | 5 P PHP-CGM @ ")</f>
        <v xml:space="preserve">| 1 L PHP-CGM @ | 2 L JAVA @ | 3 P Python @ | 5 P PHP-CGM @ </v>
      </c>
      <c r="AK34" s="4" t="str">
        <f ca="1">IFERROR(__xludf.DUMMYFUNCTION("""COMPUTED_VALUE"""),"| 2 P JAVA @ | 3 L JAVA @ | 4 L CPT @ | 5 P Python @ ")</f>
        <v xml:space="preserve">| 2 P JAVA @ | 3 L JAVA @ | 4 L CPT @ | 5 P Python @ </v>
      </c>
      <c r="AL34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M34" s="4" t="str">
        <f ca="1">IFERROR(__xludf.DUMMYFUNCTION("""COMPUTED_VALUE"""),"| 1 L INE @ | 4 L NS @ | 3 L PHP-CGM @ | 5 L PRO @ ")</f>
        <v xml:space="preserve">| 1 L INE @ | 4 L NS @ | 3 L PHP-CGM @ | 5 L PRO @ </v>
      </c>
      <c r="AN34" s="4" t="str">
        <f ca="1">IFERROR(__xludf.DUMMYFUNCTION("""COMPUTED_VALUE"""),"| 1 L CPT @ | 2 L NS @ | 3 P JAVA @ | 5 P CPT @ ")</f>
        <v xml:space="preserve">| 1 L CPT @ | 2 L NS @ | 3 P JAVA @ | 5 P CPT @ </v>
      </c>
      <c r="AO34" s="4" t="str">
        <f ca="1">IFERROR(__xludf.DUMMYFUNCTION("""COMPUTED_VALUE"""),"| 1 L PHP-CGM @ | 2 L JAVA @ | 3 P Python @ | 5 P PHP-CGM @ ")</f>
        <v xml:space="preserve">| 1 L PHP-CGM @ | 2 L JAVA @ | 3 P Python @ | 5 P PHP-CGM @ </v>
      </c>
      <c r="AP34" s="4" t="str">
        <f ca="1">IFERROR(__xludf.DUMMYFUNCTION("""COMPUTED_VALUE"""),"| 2 P JAVA @ | 3 L JAVA @ | 4 L CPT @ | 5 P Python @ ")</f>
        <v xml:space="preserve">| 2 P JAVA @ | 3 L JAVA @ | 4 L CPT @ | 5 P Python @ </v>
      </c>
      <c r="AQ34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R34" s="4" t="str">
        <f ca="1">IFERROR(__xludf.DUMMYFUNCTION("""COMPUTED_VALUE"""),"| 1 L INE @ | 3 L PHP-CGM @ | 4 L NS @ | 5 L PRO @ ")</f>
        <v xml:space="preserve">| 1 L INE @ | 3 L PHP-CGM @ | 4 L NS @ | 5 L PRO @ </v>
      </c>
      <c r="AS34" s="4" t="str">
        <f ca="1">IFERROR(__xludf.DUMMYFUNCTION("""COMPUTED_VALUE"""),"| 1 L PHP-CGM @ | 2 L JAVA @ | 3 P Python @ | 5 P PHP-CGM @ ")</f>
        <v xml:space="preserve">| 1 L PHP-CGM @ | 2 L JAVA @ | 3 P Python @ | 5 P PHP-CGM @ </v>
      </c>
      <c r="AT34" s="4" t="str">
        <f ca="1">IFERROR(__xludf.DUMMYFUNCTION("""COMPUTED_VALUE"""),"| 2 P JAVA % | 3 L JAVA % | 4 L CPT % | 5 P Python % ")</f>
        <v xml:space="preserve">| 2 P JAVA % | 3 L JAVA % | 4 L CPT % | 5 P Python % </v>
      </c>
      <c r="AU34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34" s="4" t="str">
        <f ca="1">IFERROR(__xludf.DUMMYFUNCTION("""COMPUTED_VALUE"""),"| 1 L INE @ | 3 L PHP-CGM @ | 4 L NS @ | 7 L PRO @ ")</f>
        <v xml:space="preserve">| 1 L INE @ | 3 L PHP-CGM @ | 4 L NS @ | 7 L PRO @ </v>
      </c>
      <c r="AW34" s="4" t="str">
        <f ca="1">IFERROR(__xludf.DUMMYFUNCTION("""COMPUTED_VALUE"""),"| 1 L CPT % | 2 L NS % | 3 P JAVA % | 5 P CPT % ")</f>
        <v xml:space="preserve">| 1 L CPT % | 2 L NS % | 3 P JAVA % | 5 P CPT % </v>
      </c>
      <c r="AX34" s="4" t="str">
        <f ca="1">IFERROR(__xludf.DUMMYFUNCTION("""COMPUTED_VALUE"""),"| 1 L PHP-CGM @ | 2 L JAVA @ | 3 P Python @ | 5 P PHP-CGM @ ")</f>
        <v xml:space="preserve">| 1 L PHP-CGM @ | 2 L JAVA @ | 3 P Python @ | 5 P PHP-CGM @ </v>
      </c>
      <c r="AY34" s="4" t="str">
        <f ca="1">IFERROR(__xludf.DUMMYFUNCTION("""COMPUTED_VALUE"""),"| 2 P JAVA % | 3 L JAVA % | 4 L CPT % | 5 P Python % ")</f>
        <v xml:space="preserve">| 2 P JAVA % | 3 L JAVA % | 4 L CPT % | 5 P Python % </v>
      </c>
      <c r="AZ34" s="4" t="str">
        <f ca="1">IFERROR(__xludf.DUMMYFUNCTION("""COMPUTED_VALUE"""),"| 1 L INE % | 3 L PHP-CGM % | 4 L NS % | 5 L PRO % ")</f>
        <v xml:space="preserve">| 1 L INE % | 3 L PHP-CGM % | 4 L NS % | 5 L PRO % </v>
      </c>
      <c r="BA34" s="4" t="str">
        <f ca="1">IFERROR(__xludf.DUMMYFUNCTION("""COMPUTED_VALUE"""),"| 1 L CPT % | 2 L NS % | 3 P JAVA % | 5 P CPT % ")</f>
        <v xml:space="preserve">| 1 L CPT % | 2 L NS % | 3 P JAVA % | 5 P CPT % </v>
      </c>
      <c r="BB34" s="4" t="str">
        <f ca="1">IFERROR(__xludf.DUMMYFUNCTION("""COMPUTED_VALUE"""),"| 1 L PHP-CGM % | 2 L JAVA % | 3 P Python % | 5 P PHP-CGM % ")</f>
        <v xml:space="preserve">| 1 L PHP-CGM % | 2 L JAVA % | 3 P Python % | 5 P PHP-CGM % </v>
      </c>
      <c r="BC34" s="4" t="str">
        <f ca="1">IFERROR(__xludf.DUMMYFUNCTION("""COMPUTED_VALUE"""),"| 2 P JAVA @ | 3 L JAVA @ | 4 L CPT @  | 5 P Python @ ")</f>
        <v xml:space="preserve">| 2 P JAVA @ | 3 L JAVA @ | 4 L CPT @  | 5 P Python @ </v>
      </c>
      <c r="BD34" s="4" t="str">
        <f ca="1">IFERROR(__xludf.DUMMYFUNCTION("""COMPUTED_VALUE"""),"| 1 P NS % | 3 L NS % | 6 L CPT @ | 5 L PHP-CGM @ | 4 L JAVA % ")</f>
        <v xml:space="preserve">| 1 P NS % | 3 L NS % | 6 L CPT @ | 5 L PHP-CGM @ | 4 L JAVA % </v>
      </c>
      <c r="BE34" s="4" t="str">
        <f ca="1">IFERROR(__xludf.DUMMYFUNCTION("""COMPUTED_VALUE"""),"| 1 L INE @ | 3 L PHP-CGM @ | 4 L NS @ | 5 L PRO @ ")</f>
        <v xml:space="preserve">| 1 L INE @ | 3 L PHP-CGM @ | 4 L NS @ | 5 L PRO @ </v>
      </c>
      <c r="BF34" s="4" t="str">
        <f ca="1">IFERROR(__xludf.DUMMYFUNCTION("""COMPUTED_VALUE"""),"| 1 L CPT @ | 2 L NS @ | 3 P JAVA @ | 5 P CPT @ ")</f>
        <v xml:space="preserve">| 1 L CPT @ | 2 L NS @ | 3 P JAVA @ | 5 P CPT @ </v>
      </c>
      <c r="BG34" s="4" t="str">
        <f ca="1">IFERROR(__xludf.DUMMYFUNCTION("""COMPUTED_VALUE"""),"| 2 P JAVA @ | 4 L CPT @ | 5 P Python @ ")</f>
        <v xml:space="preserve">| 2 P JAVA @ | 4 L CPT @ | 5 P Python @ </v>
      </c>
      <c r="BH34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I34" s="4" t="str">
        <f ca="1">IFERROR(__xludf.DUMMYFUNCTION("""COMPUTED_VALUE"""),"| 1 L INE @ | 3 L PHP-CGM @ | 4 L NS @ | 5 L PRO @ ")</f>
        <v xml:space="preserve">| 1 L INE @ | 3 L PHP-CGM @ | 4 L NS @ | 5 L PRO @ </v>
      </c>
      <c r="BJ34" s="4" t="str">
        <f ca="1">IFERROR(__xludf.DUMMYFUNCTION("""COMPUTED_VALUE"""),"| 1 L CPT @ | 2 L NS @ | 3 P JAVA @ | 5 P CPT @ ")</f>
        <v xml:space="preserve">| 1 L CPT @ | 2 L NS @ | 3 P JAVA @ | 5 P CPT @ </v>
      </c>
      <c r="BK34" s="4" t="str">
        <f ca="1">IFERROR(__xludf.DUMMYFUNCTION("""COMPUTED_VALUE"""),"| 1 L PHP-CGM @ | 2 L JAVA @ | 3 P Python @ ")</f>
        <v xml:space="preserve">| 1 L PHP-CGM @ | 2 L JAVA @ | 3 P Python @ </v>
      </c>
      <c r="BL34" s="4" t="str">
        <f ca="1">IFERROR(__xludf.DUMMYFUNCTION("""COMPUTED_VALUE"""),"| 2 P JAVA @ | 3 L JAVA @ | 4 L CPT @ | 5 P Python @ ")</f>
        <v xml:space="preserve">| 2 P JAVA @ | 3 L JAVA @ | 4 L CPT @ | 5 P Python @ </v>
      </c>
      <c r="BM34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34" s="4" t="str">
        <f ca="1">IFERROR(__xludf.DUMMYFUNCTION("""COMPUTED_VALUE"""),"| 1 L INE @ | 3 L PHP-CGM @ | 4 L NS @ | 5 L PRO @ ")</f>
        <v xml:space="preserve">| 1 L INE @ | 3 L PHP-CGM @ | 4 L NS @ | 5 L PRO @ </v>
      </c>
      <c r="BO34" s="4" t="str">
        <f ca="1">IFERROR(__xludf.DUMMYFUNCTION("""COMPUTED_VALUE"""),"| 1 L CPT @ | 2 L NS @ | 3 P JAVA @ ")</f>
        <v xml:space="preserve">| 1 L CPT @ | 2 L NS @ | 3 P JAVA @ </v>
      </c>
      <c r="BP34" s="4" t="str">
        <f ca="1">IFERROR(__xludf.DUMMYFUNCTION("""COMPUTED_VALUE"""),"| 1 L PHP-CGM % | 2 L JAVA % | 3 P Python % | 5 P PHP-CGM @ ")</f>
        <v xml:space="preserve">| 1 L PHP-CGM % | 2 L JAVA % | 3 P Python % | 5 P PHP-CGM @ </v>
      </c>
      <c r="BQ34" s="4" t="str">
        <f ca="1">IFERROR(__xludf.DUMMYFUNCTION("""COMPUTED_VALUE"""),"| 5 L PHP-CGM % | 6 L CPT @ ")</f>
        <v xml:space="preserve">| 5 L PHP-CGM % | 6 L CPT @ </v>
      </c>
      <c r="BR34" s="4"/>
      <c r="BS34" s="4"/>
      <c r="BT34" s="4" t="str">
        <f ca="1">IFERROR(__xludf.DUMMYFUNCTION("""COMPUTED_VALUE"""),"| 1 L PHP-CGM @ | 2 L JAVA @ ")</f>
        <v xml:space="preserve">| 1 L PHP-CGM @ | 2 L JAVA @ </v>
      </c>
      <c r="BU34" s="4" t="str">
        <f ca="1">IFERROR(__xludf.DUMMYFUNCTION("""COMPUTED_VALUE"""),"| 2 P JAVA @ | 4 L CPT @ | 3 L JAVA @ ")</f>
        <v xml:space="preserve">| 2 P JAVA @ | 4 L CPT @ | 3 L JAVA @ </v>
      </c>
      <c r="BV34" s="4" t="str">
        <f ca="1">IFERROR(__xludf.DUMMYFUNCTION("""COMPUTED_VALUE"""),"| 1 L PHP-CGM @ | 2 L JAVA @ | 3 P Python @ | 5 P PHP-CGM @ ")</f>
        <v xml:space="preserve">| 1 L PHP-CGM @ | 2 L JAVA @ | 3 P Python @ | 5 P PHP-CGM @ </v>
      </c>
      <c r="BW34" s="4" t="str">
        <f ca="1">IFERROR(__xludf.DUMMYFUNCTION("""COMPUTED_VALUE"""),"| 2 P JAVA % | 3 L JAVA @ | 4 L CPT @ ")</f>
        <v xml:space="preserve">| 2 P JAVA % | 3 L JAVA @ | 4 L CPT @ </v>
      </c>
      <c r="BX34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34" s="4" t="str">
        <f ca="1">IFERROR(__xludf.DUMMYFUNCTION("""COMPUTED_VALUE"""),"| 1 L INE @ | 3 L PHP-CGM @ | 4 L NS @ | 5 L PRO @ ")</f>
        <v xml:space="preserve">| 1 L INE @ | 3 L PHP-CGM @ | 4 L NS @ | 5 L PRO @ </v>
      </c>
      <c r="BZ34" s="4" t="str">
        <f ca="1">IFERROR(__xludf.DUMMYFUNCTION("""COMPUTED_VALUE"""),"| 1 L CPT @ | 2 L NS @ | 3 P JAVA @ | 5 P CPT @ ")</f>
        <v xml:space="preserve">| 1 L CPT @ | 2 L NS @ | 3 P JAVA @ | 5 P CPT @ </v>
      </c>
      <c r="CA34" s="4" t="str">
        <f ca="1">IFERROR(__xludf.DUMMYFUNCTION("""COMPUTED_VALUE"""),"| 1 L PHP-CGM @ | 2 L JAVA @ | 3 P Python @ | 5 P PHP-CGM @ ")</f>
        <v xml:space="preserve">| 1 L PHP-CGM @ | 2 L JAVA @ | 3 P Python @ | 5 P PHP-CGM @ </v>
      </c>
      <c r="CB34" s="4" t="str">
        <f ca="1">IFERROR(__xludf.DUMMYFUNCTION("""COMPUTED_VALUE"""),"| 2 P JAVA % | 3 L JAVA % | 4 L CPT % | 3 P Python % ")</f>
        <v xml:space="preserve">| 2 P JAVA % | 3 L JAVA % | 4 L CPT % | 3 P Python % </v>
      </c>
      <c r="CC34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34" s="4" t="str">
        <f ca="1">IFERROR(__xludf.DUMMYFUNCTION("""COMPUTED_VALUE"""),"| 1 L INE % | 3 L PHP-CGM % | 4 L NS % | 5 L PRO @ ")</f>
        <v xml:space="preserve">| 1 L INE % | 3 L PHP-CGM % | 4 L NS % | 5 L PRO @ </v>
      </c>
      <c r="CE34" s="4" t="str">
        <f ca="1">IFERROR(__xludf.DUMMYFUNCTION("""COMPUTED_VALUE"""),"| 1 L CPT @ | 2 L NS @ | 3 P JAVA @ | 5 P CPT @ ")</f>
        <v xml:space="preserve">| 1 L CPT @ | 2 L NS @ | 3 P JAVA @ | 5 P CPT @ </v>
      </c>
      <c r="CF34" s="4" t="str">
        <f ca="1">IFERROR(__xludf.DUMMYFUNCTION("""COMPUTED_VALUE"""),"| 1 L PHP-CGM @ | 2 L JAVA @ | 3 P Python % | 5 P PHP-CGM @ ")</f>
        <v xml:space="preserve">| 1 L PHP-CGM @ | 2 L JAVA @ | 3 P Python % | 5 P PHP-CGM @ </v>
      </c>
      <c r="CG34" s="4" t="str">
        <f ca="1">IFERROR(__xludf.DUMMYFUNCTION("""COMPUTED_VALUE"""),"| 2 P JAVA % | 4 L CPT % ")</f>
        <v xml:space="preserve">| 2 P JAVA % | 4 L CPT % </v>
      </c>
      <c r="CH34" s="4" t="str">
        <f ca="1">IFERROR(__xludf.DUMMYFUNCTION("""COMPUTED_VALUE"""),"| 1 P NS % | 3 L NS @ | 6 L CPT @ ")</f>
        <v xml:space="preserve">| 1 P NS % | 3 L NS @ | 6 L CPT @ </v>
      </c>
      <c r="CI34" s="4" t="str">
        <f ca="1">IFERROR(__xludf.DUMMYFUNCTION("""COMPUTED_VALUE"""),"| 1 L INE @ ")</f>
        <v xml:space="preserve">| 1 L INE @ </v>
      </c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</row>
    <row r="35" spans="1:102" ht="12.5" x14ac:dyDescent="0.25">
      <c r="A35" s="3">
        <f ca="1">IFERROR(__xludf.DUMMYFUNCTION("""COMPUTED_VALUE"""),2)</f>
        <v>2</v>
      </c>
      <c r="B35" s="3" t="str">
        <f ca="1">IFERROR(__xludf.DUMMYFUNCTION("""COMPUTED_VALUE"""),"A")</f>
        <v>A</v>
      </c>
      <c r="C35" s="32" t="str">
        <f ca="1">IFERROR(__xludf.DUMMYFUNCTION("""COMPUTED_VALUE"""),"23291341096")</f>
        <v>23291341096</v>
      </c>
      <c r="D35" s="21" t="str">
        <f ca="1">IFERROR(__xludf.DUMMYFUNCTION("""COMPUTED_VALUE"""),"PATEL KRISH BHARATBHAI")</f>
        <v>PATEL KRISH BHARATBHAI</v>
      </c>
      <c r="E35" s="3" t="str">
        <f ca="1">IFERROR(__xludf.DUMMYFUNCTION("""COMPUTED_VALUE"""),"RRP-Mor")</f>
        <v>RRP-Mor</v>
      </c>
      <c r="F35" s="3">
        <f ca="1">IFERROR(__xludf.DUMMYFUNCTION("""COMPUTED_VALUE"""),7863836525)</f>
        <v>7863836525</v>
      </c>
      <c r="G35" s="3">
        <f ca="1">IFERROR(__xludf.DUMMYFUNCTION("""COMPUTED_VALUE"""),9898671094)</f>
        <v>9898671094</v>
      </c>
      <c r="H35" s="33">
        <f ca="1">IFERROR(__xludf.DUMMYFUNCTION("""COMPUTED_VALUE"""),0.433333333333333)</f>
        <v>0.43333333333333302</v>
      </c>
      <c r="I35" s="25">
        <f ca="1">IFERROR(__xludf.DUMMYFUNCTION("""COMPUTED_VALUE"""),0.472222222222222)</f>
        <v>0.47222222222222199</v>
      </c>
      <c r="J35" s="25">
        <f ca="1">IFERROR(__xludf.DUMMYFUNCTION("""COMPUTED_VALUE"""),0.2)</f>
        <v>0.2</v>
      </c>
      <c r="K35" s="25">
        <f ca="1">IFERROR(__xludf.DUMMYFUNCTION("""COMPUTED_VALUE"""),0.529411764705882)</f>
        <v>0.52941176470588203</v>
      </c>
      <c r="L35" s="25">
        <f ca="1">IFERROR(__xludf.DUMMYFUNCTION("""COMPUTED_VALUE"""),0.636363636363636)</f>
        <v>0.63636363636363602</v>
      </c>
      <c r="M35" s="25">
        <f ca="1">IFERROR(__xludf.DUMMYFUNCTION("""COMPUTED_VALUE"""),0.388888888888888)</f>
        <v>0.38888888888888801</v>
      </c>
      <c r="N35" s="25">
        <f ca="1">IFERROR(__xludf.DUMMYFUNCTION("""COMPUTED_VALUE"""),0.272727272727272)</f>
        <v>0.27272727272727199</v>
      </c>
      <c r="O35" s="25">
        <f ca="1">IFERROR(__xludf.DUMMYFUNCTION("""COMPUTED_VALUE"""),0.484848484848484)</f>
        <v>0.48484848484848397</v>
      </c>
      <c r="P35" s="25">
        <f ca="1">IFERROR(__xludf.DUMMYFUNCTION("""COMPUTED_VALUE"""),0.666666666666666)</f>
        <v>0.66666666666666596</v>
      </c>
      <c r="Q35" s="25">
        <f ca="1">IFERROR(__xludf.DUMMYFUNCTION("""COMPUTED_VALUE"""),0)</f>
        <v>0</v>
      </c>
      <c r="R35" s="25">
        <f ca="1">IFERROR(__xludf.DUMMYFUNCTION("""COMPUTED_VALUE"""),0.318181818181818)</f>
        <v>0.31818181818181801</v>
      </c>
      <c r="S35" s="25">
        <f ca="1">IFERROR(__xludf.DUMMYFUNCTION("""COMPUTED_VALUE"""),0.2)</f>
        <v>0.2</v>
      </c>
      <c r="T35" s="25">
        <f ca="1">IFERROR(__xludf.DUMMYFUNCTION("""COMPUTED_VALUE"""),0)</f>
        <v>0</v>
      </c>
      <c r="U35" s="25">
        <f ca="1">IFERROR(__xludf.DUMMYFUNCTION("""COMPUTED_VALUE"""),0.181818181818181)</f>
        <v>0.18181818181818099</v>
      </c>
      <c r="V35" s="25">
        <f ca="1">IFERROR(__xludf.DUMMYFUNCTION("""COMPUTED_VALUE"""),0)</f>
        <v>0</v>
      </c>
      <c r="W35" s="4"/>
      <c r="X35" s="4" t="str">
        <f ca="1">IFERROR(__xludf.DUMMYFUNCTION("""COMPUTED_VALUE"""),"| 1 L PHP-CGM @ | 3 P Python @ | 5 P PHP-CGM @ ")</f>
        <v xml:space="preserve">| 1 L PHP-CGM @ | 3 P Python @ | 5 P PHP-CGM @ </v>
      </c>
      <c r="Y35" s="4" t="str">
        <f ca="1">IFERROR(__xludf.DUMMYFUNCTION("""COMPUTED_VALUE"""),"| 1 P JAVA % | 3 L JAVA % | 4 L CPT % | 5 P Python @ ")</f>
        <v xml:space="preserve">| 1 P JAVA % | 3 L JAVA % | 4 L CPT % | 5 P Python @ </v>
      </c>
      <c r="Z35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35" s="4" t="str">
        <f ca="1">IFERROR(__xludf.DUMMYFUNCTION("""COMPUTED_VALUE"""),"| 3 L PHP-CGM % | 4 L NS % | 1 L INE % | 5 P PRO @ ")</f>
        <v xml:space="preserve">| 3 L PHP-CGM % | 4 L NS % | 1 L INE % | 5 P PRO @ </v>
      </c>
      <c r="AB35" s="4" t="str">
        <f ca="1">IFERROR(__xludf.DUMMYFUNCTION("""COMPUTED_VALUE"""),"| 1 L CPT % | 2 L NS % | 3 P JAVA % | 5 P CPT @ ")</f>
        <v xml:space="preserve">| 1 L CPT % | 2 L NS % | 3 P JAVA % | 5 P CPT @ </v>
      </c>
      <c r="AC35" s="4" t="str">
        <f ca="1">IFERROR(__xludf.DUMMYFUNCTION("""COMPUTED_VALUE"""),"| 1 L PHP-CGM % | 2 L JAVA % | 3 P Python % | 5 P PHP-CGM @ ")</f>
        <v xml:space="preserve">| 1 L PHP-CGM % | 2 L JAVA % | 3 P Python % | 5 P PHP-CGM @ </v>
      </c>
      <c r="AD35" s="4" t="str">
        <f ca="1">IFERROR(__xludf.DUMMYFUNCTION("""COMPUTED_VALUE"""),"| 2 P JAVA % | 3 L JAVA % | 4 L CPT % | 5 P Python @ ")</f>
        <v xml:space="preserve">| 2 P JAVA % | 3 L JAVA % | 4 L CPT % | 5 P Python @ </v>
      </c>
      <c r="AE35" s="4" t="str">
        <f ca="1">IFERROR(__xludf.DUMMYFUNCTION("""COMPUTED_VALUE"""),"| 1 P NS @ | 4 L JAVA @ | 3 L NS @ | 5 L PHP-CGM @ | 6 L CPT @ ")</f>
        <v xml:space="preserve">| 1 P NS @ | 4 L JAVA @ | 3 L NS @ | 5 L PHP-CGM @ | 6 L CPT @ </v>
      </c>
      <c r="AF35" s="4" t="str">
        <f ca="1">IFERROR(__xludf.DUMMYFUNCTION("""COMPUTED_VALUE"""),"| 3 L PHP-CGM % | 4 L NS % | 5 P PRO @ ")</f>
        <v xml:space="preserve">| 3 L PHP-CGM % | 4 L NS % | 5 P PRO @ </v>
      </c>
      <c r="AG35" s="4" t="str">
        <f ca="1">IFERROR(__xludf.DUMMYFUNCTION("""COMPUTED_VALUE"""),"| 1 L CPT % | 2 L NS % | 3 P JAVA % | 5 P CPT @ ")</f>
        <v xml:space="preserve">| 1 L CPT % | 2 L NS % | 3 P JAVA % | 5 P CPT @ </v>
      </c>
      <c r="AH35" s="4" t="str">
        <f ca="1">IFERROR(__xludf.DUMMYFUNCTION("""COMPUTED_VALUE"""),"| 3 L PHP-CGM % | 4 L NS % | 5 L PRO % ")</f>
        <v xml:space="preserve">| 3 L PHP-CGM % | 4 L NS % | 5 L PRO % </v>
      </c>
      <c r="AI35" s="4" t="str">
        <f ca="1">IFERROR(__xludf.DUMMYFUNCTION("""COMPUTED_VALUE"""),"| 1 L CPT % | 2 L NS % | 3 P JAVA % | 5 P CPT @ ")</f>
        <v xml:space="preserve">| 1 L CPT % | 2 L NS % | 3 P JAVA % | 5 P CPT @ </v>
      </c>
      <c r="AJ35" s="4" t="str">
        <f ca="1">IFERROR(__xludf.DUMMYFUNCTION("""COMPUTED_VALUE"""),"| 1 L PHP-CGM % | 2 L JAVA % | 3 P Python % | 5 P PHP-CGM % ")</f>
        <v xml:space="preserve">| 1 L PHP-CGM % | 2 L JAVA % | 3 P Python % | 5 P PHP-CGM % </v>
      </c>
      <c r="AK35" s="4" t="str">
        <f ca="1">IFERROR(__xludf.DUMMYFUNCTION("""COMPUTED_VALUE"""),"| 2 P JAVA % | 3 L JAVA % | 4 L CPT % | 5 P Python @ ")</f>
        <v xml:space="preserve">| 2 P JAVA % | 3 L JAVA % | 4 L CPT % | 5 P Python @ </v>
      </c>
      <c r="AL35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M35" s="4" t="str">
        <f ca="1">IFERROR(__xludf.DUMMYFUNCTION("""COMPUTED_VALUE"""),"| 1 L INE @ | 4 L NS % | 3 L PHP-CGM % | 5 L PRO @ ")</f>
        <v xml:space="preserve">| 1 L INE @ | 4 L NS % | 3 L PHP-CGM % | 5 L PRO @ </v>
      </c>
      <c r="AN35" s="4" t="str">
        <f ca="1">IFERROR(__xludf.DUMMYFUNCTION("""COMPUTED_VALUE"""),"| 1 L CPT % | 2 L NS % | 3 P JAVA % | 5 P CPT @ ")</f>
        <v xml:space="preserve">| 1 L CPT % | 2 L NS % | 3 P JAVA % | 5 P CPT @ </v>
      </c>
      <c r="AO35" s="4" t="str">
        <f ca="1">IFERROR(__xludf.DUMMYFUNCTION("""COMPUTED_VALUE"""),"| 1 L PHP-CGM @ | 2 L JAVA @ | 3 P Python @ | 5 P PHP-CGM @ ")</f>
        <v xml:space="preserve">| 1 L PHP-CGM @ | 2 L JAVA @ | 3 P Python @ | 5 P PHP-CGM @ </v>
      </c>
      <c r="AP35" s="4" t="str">
        <f ca="1">IFERROR(__xludf.DUMMYFUNCTION("""COMPUTED_VALUE"""),"| 2 P JAVA % | 3 L JAVA % | 4 L CPT % | 5 P Python @ ")</f>
        <v xml:space="preserve">| 2 P JAVA % | 3 L JAVA % | 4 L CPT % | 5 P Python @ </v>
      </c>
      <c r="AQ35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R35" s="4" t="str">
        <f ca="1">IFERROR(__xludf.DUMMYFUNCTION("""COMPUTED_VALUE"""),"| 1 L INE @ | 3 L PHP-CGM @ | 4 L NS @ | 5 L PRO @ ")</f>
        <v xml:space="preserve">| 1 L INE @ | 3 L PHP-CGM @ | 4 L NS @ | 5 L PRO @ </v>
      </c>
      <c r="AS35" s="4" t="str">
        <f ca="1">IFERROR(__xludf.DUMMYFUNCTION("""COMPUTED_VALUE"""),"| 1 L PHP-CGM @ | 2 L JAVA @ | 3 P Python @ | 5 P PHP-CGM @ ")</f>
        <v xml:space="preserve">| 1 L PHP-CGM @ | 2 L JAVA @ | 3 P Python @ | 5 P PHP-CGM @ </v>
      </c>
      <c r="AT35" s="4" t="str">
        <f ca="1">IFERROR(__xludf.DUMMYFUNCTION("""COMPUTED_VALUE"""),"| 2 P JAVA % | 3 L JAVA % | 4 L CPT % | 5 P Python @ ")</f>
        <v xml:space="preserve">| 2 P JAVA % | 3 L JAVA % | 4 L CPT % | 5 P Python @ </v>
      </c>
      <c r="AU35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V35" s="4" t="str">
        <f ca="1">IFERROR(__xludf.DUMMYFUNCTION("""COMPUTED_VALUE"""),"| 1 L INE @ | 3 L PHP-CGM % | 4 L NS % | 7 L PRO @ ")</f>
        <v xml:space="preserve">| 1 L INE @ | 3 L PHP-CGM % | 4 L NS % | 7 L PRO @ </v>
      </c>
      <c r="AW35" s="4" t="str">
        <f ca="1">IFERROR(__xludf.DUMMYFUNCTION("""COMPUTED_VALUE"""),"| 1 L CPT % | 2 L NS % | 3 P JAVA @ | 5 P CPT @ ")</f>
        <v xml:space="preserve">| 1 L CPT % | 2 L NS % | 3 P JAVA @ | 5 P CPT @ </v>
      </c>
      <c r="AX35" s="4" t="str">
        <f ca="1">IFERROR(__xludf.DUMMYFUNCTION("""COMPUTED_VALUE"""),"| 1 L PHP-CGM % | 2 L JAVA % | 3 P Python % | 5 P PHP-CGM @ ")</f>
        <v xml:space="preserve">| 1 L PHP-CGM % | 2 L JAVA % | 3 P Python % | 5 P PHP-CGM @ </v>
      </c>
      <c r="AY35" s="4" t="str">
        <f ca="1">IFERROR(__xludf.DUMMYFUNCTION("""COMPUTED_VALUE"""),"| 2 P JAVA % | 3 L JAVA % | 4 L CPT % | 5 P Python @ ")</f>
        <v xml:space="preserve">| 2 P JAVA % | 3 L JAVA % | 4 L CPT % | 5 P Python @ </v>
      </c>
      <c r="AZ35" s="4" t="str">
        <f ca="1">IFERROR(__xludf.DUMMYFUNCTION("""COMPUTED_VALUE"""),"| 1 L INE @ | 3 L PHP-CGM @ | 4 L NS @ | 5 L PRO @ ")</f>
        <v xml:space="preserve">| 1 L INE @ | 3 L PHP-CGM @ | 4 L NS @ | 5 L PRO @ </v>
      </c>
      <c r="BA35" s="4" t="str">
        <f ca="1">IFERROR(__xludf.DUMMYFUNCTION("""COMPUTED_VALUE"""),"| 1 L CPT % | 2 L NS % | 3 P JAVA % | 5 P CPT @ ")</f>
        <v xml:space="preserve">| 1 L CPT % | 2 L NS % | 3 P JAVA % | 5 P CPT @ </v>
      </c>
      <c r="BB35" s="4" t="str">
        <f ca="1">IFERROR(__xludf.DUMMYFUNCTION("""COMPUTED_VALUE"""),"| 1 L PHP-CGM @ | 2 L JAVA @ | 3 P Python @ | 5 P PHP-CGM @ ")</f>
        <v xml:space="preserve">| 1 L PHP-CGM @ | 2 L JAVA @ | 3 P Python @ | 5 P PHP-CGM @ </v>
      </c>
      <c r="BC35" s="4" t="str">
        <f ca="1">IFERROR(__xludf.DUMMYFUNCTION("""COMPUTED_VALUE"""),"| 2 P JAVA @ | 3 L JAVA @ | 4 L CPT @  | 5 P Python % ")</f>
        <v xml:space="preserve">| 2 P JAVA @ | 3 L JAVA @ | 4 L CPT @  | 5 P Python % </v>
      </c>
      <c r="BD35" s="4" t="str">
        <f ca="1">IFERROR(__xludf.DUMMYFUNCTION("""COMPUTED_VALUE"""),"| 1 P NS @ | 3 L NS @ | 6 L CPT @ | 5 L PHP-CGM @ | 4 L JAVA @ ")</f>
        <v xml:space="preserve">| 1 P NS @ | 3 L NS @ | 6 L CPT @ | 5 L PHP-CGM @ | 4 L JAVA @ </v>
      </c>
      <c r="BE35" s="4" t="str">
        <f ca="1">IFERROR(__xludf.DUMMYFUNCTION("""COMPUTED_VALUE"""),"| 1 L INE @ | 3 L PHP-CGM @ | 4 L NS @ | 5 L PRO @ ")</f>
        <v xml:space="preserve">| 1 L INE @ | 3 L PHP-CGM @ | 4 L NS @ | 5 L PRO @ </v>
      </c>
      <c r="BF35" s="4" t="str">
        <f ca="1">IFERROR(__xludf.DUMMYFUNCTION("""COMPUTED_VALUE"""),"| 1 L CPT @ | 2 L NS @ | 3 P JAVA @ | 5 P CPT @ ")</f>
        <v xml:space="preserve">| 1 L CPT @ | 2 L NS @ | 3 P JAVA @ | 5 P CPT @ </v>
      </c>
      <c r="BG35" s="4" t="str">
        <f ca="1">IFERROR(__xludf.DUMMYFUNCTION("""COMPUTED_VALUE"""),"| 2 P JAVA % | 4 L CPT % | 5 P Python % ")</f>
        <v xml:space="preserve">| 2 P JAVA % | 4 L CPT % | 5 P Python % </v>
      </c>
      <c r="BH35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35" s="4" t="str">
        <f ca="1">IFERROR(__xludf.DUMMYFUNCTION("""COMPUTED_VALUE"""),"| 1 L INE @ | 3 L PHP-CGM % | 4 L NS % | 5 L PRO % ")</f>
        <v xml:space="preserve">| 1 L INE @ | 3 L PHP-CGM % | 4 L NS % | 5 L PRO % </v>
      </c>
      <c r="BJ35" s="4" t="str">
        <f ca="1">IFERROR(__xludf.DUMMYFUNCTION("""COMPUTED_VALUE"""),"| 1 L CPT % | 2 L NS % | 3 P JAVA % | 5 P CPT % ")</f>
        <v xml:space="preserve">| 1 L CPT % | 2 L NS % | 3 P JAVA % | 5 P CPT % </v>
      </c>
      <c r="BK35" s="4" t="str">
        <f ca="1">IFERROR(__xludf.DUMMYFUNCTION("""COMPUTED_VALUE"""),"| 1 L PHP-CGM % | 2 L JAVA % | 3 P Python @ ")</f>
        <v xml:space="preserve">| 1 L PHP-CGM % | 2 L JAVA % | 3 P Python @ </v>
      </c>
      <c r="BL35" s="4" t="str">
        <f ca="1">IFERROR(__xludf.DUMMYFUNCTION("""COMPUTED_VALUE"""),"| 2 P JAVA @ | 3 L JAVA @ | 4 L CPT @ | 5 P Python @ ")</f>
        <v xml:space="preserve">| 2 P JAVA @ | 3 L JAVA @ | 4 L CPT @ | 5 P Python @ </v>
      </c>
      <c r="BM35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N35" s="4" t="str">
        <f ca="1">IFERROR(__xludf.DUMMYFUNCTION("""COMPUTED_VALUE"""),"| 1 L INE @ | 3 L PHP-CGM @ | 4 L NS @ | 5 L PRO @ ")</f>
        <v xml:space="preserve">| 1 L INE @ | 3 L PHP-CGM @ | 4 L NS @ | 5 L PRO @ </v>
      </c>
      <c r="BO35" s="4" t="str">
        <f ca="1">IFERROR(__xludf.DUMMYFUNCTION("""COMPUTED_VALUE"""),"| 1 L CPT @ | 2 L NS @ | 3 P JAVA @ ")</f>
        <v xml:space="preserve">| 1 L CPT @ | 2 L NS @ | 3 P JAVA @ </v>
      </c>
      <c r="BP35" s="4" t="str">
        <f ca="1">IFERROR(__xludf.DUMMYFUNCTION("""COMPUTED_VALUE"""),"| 1 L PHP-CGM % | 2 L JAVA % | 3 P Python @ | 5 P PHP-CGM % ")</f>
        <v xml:space="preserve">| 1 L PHP-CGM % | 2 L JAVA % | 3 P Python @ | 5 P PHP-CGM % </v>
      </c>
      <c r="BQ35" s="4" t="str">
        <f ca="1">IFERROR(__xludf.DUMMYFUNCTION("""COMPUTED_VALUE"""),"| 5 L PHP-CGM % | 6 L CPT @ ")</f>
        <v xml:space="preserve">| 5 L PHP-CGM % | 6 L CPT @ </v>
      </c>
      <c r="BR35" s="4"/>
      <c r="BS35" s="4"/>
      <c r="BT35" s="4" t="str">
        <f ca="1">IFERROR(__xludf.DUMMYFUNCTION("""COMPUTED_VALUE"""),"| 1 L PHP-CGM @ | 2 L JAVA @ ")</f>
        <v xml:space="preserve">| 1 L PHP-CGM @ | 2 L JAVA @ </v>
      </c>
      <c r="BU35" s="4" t="str">
        <f ca="1">IFERROR(__xludf.DUMMYFUNCTION("""COMPUTED_VALUE"""),"| 2 P JAVA @ | 4 L CPT @ | 3 L JAVA @ ")</f>
        <v xml:space="preserve">| 2 P JAVA @ | 4 L CPT @ | 3 L JAVA @ </v>
      </c>
      <c r="BV35" s="4" t="str">
        <f ca="1">IFERROR(__xludf.DUMMYFUNCTION("""COMPUTED_VALUE"""),"| 1 L PHP-CGM @ | 2 L JAVA @ | 3 P Python @ | 5 P PHP-CGM @ ")</f>
        <v xml:space="preserve">| 1 L PHP-CGM @ | 2 L JAVA @ | 3 P Python @ | 5 P PHP-CGM @ </v>
      </c>
      <c r="BW35" s="4" t="str">
        <f ca="1">IFERROR(__xludf.DUMMYFUNCTION("""COMPUTED_VALUE"""),"| 2 P JAVA @ | 3 L JAVA @ | 4 L CPT @ ")</f>
        <v xml:space="preserve">| 2 P JAVA @ | 3 L JAVA @ | 4 L CPT @ </v>
      </c>
      <c r="BX35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35" s="4" t="str">
        <f ca="1">IFERROR(__xludf.DUMMYFUNCTION("""COMPUTED_VALUE"""),"| 1 L INE @ | 3 L PHP-CGM @ | 4 L NS @ | 5 L PRO @ ")</f>
        <v xml:space="preserve">| 1 L INE @ | 3 L PHP-CGM @ | 4 L NS @ | 5 L PRO @ </v>
      </c>
      <c r="BZ35" s="4" t="str">
        <f ca="1">IFERROR(__xludf.DUMMYFUNCTION("""COMPUTED_VALUE"""),"| 1 L CPT @ | 2 L NS @ | 3 P JAVA @ | 5 P CPT @ ")</f>
        <v xml:space="preserve">| 1 L CPT @ | 2 L NS @ | 3 P JAVA @ | 5 P CPT @ </v>
      </c>
      <c r="CA35" s="4" t="str">
        <f ca="1">IFERROR(__xludf.DUMMYFUNCTION("""COMPUTED_VALUE"""),"| 1 L PHP-CGM @ | 2 L JAVA @ | 3 P Python @ | 5 P PHP-CGM @ ")</f>
        <v xml:space="preserve">| 1 L PHP-CGM @ | 2 L JAVA @ | 3 P Python @ | 5 P PHP-CGM @ </v>
      </c>
      <c r="CB35" s="4" t="str">
        <f ca="1">IFERROR(__xludf.DUMMYFUNCTION("""COMPUTED_VALUE"""),"| 2 P JAVA % | 3 L JAVA @ | 4 L CPT @ | 3 P Python % ")</f>
        <v xml:space="preserve">| 2 P JAVA % | 3 L JAVA @ | 4 L CPT @ | 3 P Python % </v>
      </c>
      <c r="CC35" s="4" t="str">
        <f ca="1">IFERROR(__xludf.DUMMYFUNCTION("""COMPUTED_VALUE"""),"| 1 P NS % | 3 L NS @ | 4 L JAVA @ | 5 L PHP-CGM @ | 6 L CPT @ ")</f>
        <v xml:space="preserve">| 1 P NS % | 3 L NS @ | 4 L JAVA @ | 5 L PHP-CGM @ | 6 L CPT @ </v>
      </c>
      <c r="CD35" s="4" t="str">
        <f ca="1">IFERROR(__xludf.DUMMYFUNCTION("""COMPUTED_VALUE"""),"| 1 L INE % | 3 L PHP-CGM @ | 4 L NS @ | 5 L PRO @ ")</f>
        <v xml:space="preserve">| 1 L INE % | 3 L PHP-CGM @ | 4 L NS @ | 5 L PRO @ </v>
      </c>
      <c r="CE35" s="4" t="str">
        <f ca="1">IFERROR(__xludf.DUMMYFUNCTION("""COMPUTED_VALUE"""),"| 1 L CPT @ | 2 L NS @ | 3 P JAVA % | 5 P CPT % ")</f>
        <v xml:space="preserve">| 1 L CPT @ | 2 L NS @ | 3 P JAVA % | 5 P CPT % </v>
      </c>
      <c r="CF35" s="4" t="str">
        <f ca="1">IFERROR(__xludf.DUMMYFUNCTION("""COMPUTED_VALUE"""),"| 1 L PHP-CGM @ | 2 L JAVA @ | 3 P Python % | 5 P PHP-CGM % ")</f>
        <v xml:space="preserve">| 1 L PHP-CGM @ | 2 L JAVA @ | 3 P Python % | 5 P PHP-CGM % </v>
      </c>
      <c r="CG35" s="4" t="str">
        <f ca="1">IFERROR(__xludf.DUMMYFUNCTION("""COMPUTED_VALUE"""),"| 2 P JAVA % | 4 L CPT % ")</f>
        <v xml:space="preserve">| 2 P JAVA % | 4 L CPT % </v>
      </c>
      <c r="CH35" s="4" t="str">
        <f ca="1">IFERROR(__xludf.DUMMYFUNCTION("""COMPUTED_VALUE"""),"| 1 P NS % | 3 L NS @ | 6 L CPT @ ")</f>
        <v xml:space="preserve">| 1 P NS % | 3 L NS @ | 6 L CPT @ </v>
      </c>
      <c r="CI35" s="4" t="str">
        <f ca="1">IFERROR(__xludf.DUMMYFUNCTION("""COMPUTED_VALUE"""),"| 1 L INE @ ")</f>
        <v xml:space="preserve">| 1 L INE @ </v>
      </c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</row>
    <row r="36" spans="1:102" ht="12.5" x14ac:dyDescent="0.25">
      <c r="A36" s="3">
        <f ca="1">IFERROR(__xludf.DUMMYFUNCTION("""COMPUTED_VALUE"""),2)</f>
        <v>2</v>
      </c>
      <c r="B36" s="3" t="str">
        <f ca="1">IFERROR(__xludf.DUMMYFUNCTION("""COMPUTED_VALUE"""),"A")</f>
        <v>A</v>
      </c>
      <c r="C36" s="32" t="str">
        <f ca="1">IFERROR(__xludf.DUMMYFUNCTION("""COMPUTED_VALUE"""),"23291341097")</f>
        <v>23291341097</v>
      </c>
      <c r="D36" s="21" t="str">
        <f ca="1">IFERROR(__xludf.DUMMYFUNCTION("""COMPUTED_VALUE"""),"PATEL KRISHABEN KINJALKUMAR")</f>
        <v>PATEL KRISHABEN KINJALKUMAR</v>
      </c>
      <c r="E36" s="3" t="str">
        <f ca="1">IFERROR(__xludf.DUMMYFUNCTION("""COMPUTED_VALUE"""),"RRP-Mor")</f>
        <v>RRP-Mor</v>
      </c>
      <c r="F36" s="3">
        <f ca="1">IFERROR(__xludf.DUMMYFUNCTION("""COMPUTED_VALUE"""),8140261722)</f>
        <v>8140261722</v>
      </c>
      <c r="G36" s="3">
        <f ca="1">IFERROR(__xludf.DUMMYFUNCTION("""COMPUTED_VALUE"""),8140261722)</f>
        <v>8140261722</v>
      </c>
      <c r="H36" s="33">
        <f ca="1">IFERROR(__xludf.DUMMYFUNCTION("""COMPUTED_VALUE"""),0.8)</f>
        <v>0.8</v>
      </c>
      <c r="I36" s="25">
        <f ca="1">IFERROR(__xludf.DUMMYFUNCTION("""COMPUTED_VALUE"""),0.694444444444444)</f>
        <v>0.69444444444444398</v>
      </c>
      <c r="J36" s="25">
        <f ca="1">IFERROR(__xludf.DUMMYFUNCTION("""COMPUTED_VALUE"""),0.7)</f>
        <v>0.7</v>
      </c>
      <c r="K36" s="25">
        <f ca="1">IFERROR(__xludf.DUMMYFUNCTION("""COMPUTED_VALUE"""),0.764705882352941)</f>
        <v>0.76470588235294101</v>
      </c>
      <c r="L36" s="25">
        <f ca="1">IFERROR(__xludf.DUMMYFUNCTION("""COMPUTED_VALUE"""),0.818181818181818)</f>
        <v>0.81818181818181801</v>
      </c>
      <c r="M36" s="25">
        <f ca="1">IFERROR(__xludf.DUMMYFUNCTION("""COMPUTED_VALUE"""),0.777777777777777)</f>
        <v>0.77777777777777701</v>
      </c>
      <c r="N36" s="25">
        <f ca="1">IFERROR(__xludf.DUMMYFUNCTION("""COMPUTED_VALUE"""),0.909090909090909)</f>
        <v>0.90909090909090895</v>
      </c>
      <c r="O36" s="25">
        <f ca="1">IFERROR(__xludf.DUMMYFUNCTION("""COMPUTED_VALUE"""),0.939393939393939)</f>
        <v>0.939393939393939</v>
      </c>
      <c r="P36" s="25">
        <f ca="1">IFERROR(__xludf.DUMMYFUNCTION("""COMPUTED_VALUE"""),0.916666666666666)</f>
        <v>0.91666666666666596</v>
      </c>
      <c r="Q36" s="25">
        <f ca="1">IFERROR(__xludf.DUMMYFUNCTION("""COMPUTED_VALUE"""),0)</f>
        <v>0</v>
      </c>
      <c r="R36" s="25">
        <f ca="1">IFERROR(__xludf.DUMMYFUNCTION("""COMPUTED_VALUE"""),0.954545454545454)</f>
        <v>0.95454545454545403</v>
      </c>
      <c r="S36" s="25">
        <f ca="1">IFERROR(__xludf.DUMMYFUNCTION("""COMPUTED_VALUE"""),0.7)</f>
        <v>0.7</v>
      </c>
      <c r="T36" s="25">
        <f ca="1">IFERROR(__xludf.DUMMYFUNCTION("""COMPUTED_VALUE"""),1)</f>
        <v>1</v>
      </c>
      <c r="U36" s="25">
        <f ca="1">IFERROR(__xludf.DUMMYFUNCTION("""COMPUTED_VALUE"""),0.363636363636363)</f>
        <v>0.36363636363636298</v>
      </c>
      <c r="V36" s="25">
        <f ca="1">IFERROR(__xludf.DUMMYFUNCTION("""COMPUTED_VALUE"""),0)</f>
        <v>0</v>
      </c>
      <c r="W36" s="4"/>
      <c r="X36" s="4" t="str">
        <f ca="1">IFERROR(__xludf.DUMMYFUNCTION("""COMPUTED_VALUE"""),"| 1 L PHP-CGM % | 3 P Python % | 5 P PHP-CGM % ")</f>
        <v xml:space="preserve">| 1 L PHP-CGM % | 3 P Python % | 5 P PHP-CGM % </v>
      </c>
      <c r="Y36" s="4" t="str">
        <f ca="1">IFERROR(__xludf.DUMMYFUNCTION("""COMPUTED_VALUE"""),"| 1 P JAVA % | 3 L JAVA % | 4 L CPT % | 5 P Python % ")</f>
        <v xml:space="preserve">| 1 P JAVA % | 3 L JAVA % | 4 L CPT % | 5 P Python % </v>
      </c>
      <c r="Z3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36" s="4" t="str">
        <f ca="1">IFERROR(__xludf.DUMMYFUNCTION("""COMPUTED_VALUE"""),"| 3 L PHP-CGM % | 4 L NS % | 1 L INE % | 5 P PRO % ")</f>
        <v xml:space="preserve">| 3 L PHP-CGM % | 4 L NS % | 1 L INE % | 5 P PRO % </v>
      </c>
      <c r="AB36" s="4" t="str">
        <f ca="1">IFERROR(__xludf.DUMMYFUNCTION("""COMPUTED_VALUE"""),"| 1 L CPT % | 2 L NS % | 3 P JAVA % | 5 P CPT % ")</f>
        <v xml:space="preserve">| 1 L CPT % | 2 L NS % | 3 P JAVA % | 5 P CPT % </v>
      </c>
      <c r="AC36" s="4" t="str">
        <f ca="1">IFERROR(__xludf.DUMMYFUNCTION("""COMPUTED_VALUE"""),"| 1 L PHP-CGM % | 2 L JAVA % | 3 P Python % | 5 P PHP-CGM % ")</f>
        <v xml:space="preserve">| 1 L PHP-CGM % | 2 L JAVA % | 3 P Python % | 5 P PHP-CGM % </v>
      </c>
      <c r="AD36" s="4" t="str">
        <f ca="1">IFERROR(__xludf.DUMMYFUNCTION("""COMPUTED_VALUE"""),"| 2 P JAVA % | 3 L JAVA % | 4 L CPT % | 5 P Python % ")</f>
        <v xml:space="preserve">| 2 P JAVA % | 3 L JAVA % | 4 L CPT % | 5 P Python % </v>
      </c>
      <c r="AE36" s="4" t="str">
        <f ca="1">IFERROR(__xludf.DUMMYFUNCTION("""COMPUTED_VALUE"""),"| 1 P NS % | 4 L JAVA % | 3 L NS % | 5 L PHP-CGM @ | 6 L CPT @ ")</f>
        <v xml:space="preserve">| 1 P NS % | 4 L JAVA % | 3 L NS % | 5 L PHP-CGM @ | 6 L CPT @ </v>
      </c>
      <c r="AF36" s="4" t="str">
        <f ca="1">IFERROR(__xludf.DUMMYFUNCTION("""COMPUTED_VALUE"""),"| 3 L PHP-CGM % | 4 L NS % | 5 P PRO % ")</f>
        <v xml:space="preserve">| 3 L PHP-CGM % | 4 L NS % | 5 P PRO % </v>
      </c>
      <c r="AG36" s="4" t="str">
        <f ca="1">IFERROR(__xludf.DUMMYFUNCTION("""COMPUTED_VALUE"""),"| 1 L CPT % | 2 L NS % | 3 P JAVA % | 5 P CPT % ")</f>
        <v xml:space="preserve">| 1 L CPT % | 2 L NS % | 3 P JAVA % | 5 P CPT % </v>
      </c>
      <c r="AH36" s="4" t="str">
        <f ca="1">IFERROR(__xludf.DUMMYFUNCTION("""COMPUTED_VALUE"""),"| 3 L PHP-CGM % | 4 L NS % | 5 L PRO % ")</f>
        <v xml:space="preserve">| 3 L PHP-CGM % | 4 L NS % | 5 L PRO % </v>
      </c>
      <c r="AI36" s="4" t="str">
        <f ca="1">IFERROR(__xludf.DUMMYFUNCTION("""COMPUTED_VALUE"""),"| 1 L CPT % | 2 L NS % | 3 P JAVA % | 5 P CPT @ ")</f>
        <v xml:space="preserve">| 1 L CPT % | 2 L NS % | 3 P JAVA % | 5 P CPT @ </v>
      </c>
      <c r="AJ36" s="4" t="str">
        <f ca="1">IFERROR(__xludf.DUMMYFUNCTION("""COMPUTED_VALUE"""),"| 1 L PHP-CGM % | 2 L JAVA % | 3 P Python % | 5 P PHP-CGM % ")</f>
        <v xml:space="preserve">| 1 L PHP-CGM % | 2 L JAVA % | 3 P Python % | 5 P PHP-CGM % </v>
      </c>
      <c r="AK36" s="4" t="str">
        <f ca="1">IFERROR(__xludf.DUMMYFUNCTION("""COMPUTED_VALUE"""),"| 2 P JAVA % | 3 L JAVA % | 4 L CPT % | 5 P Python % ")</f>
        <v xml:space="preserve">| 2 P JAVA % | 3 L JAVA % | 4 L CPT % | 5 P Python % </v>
      </c>
      <c r="AL3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36" s="4" t="str">
        <f ca="1">IFERROR(__xludf.DUMMYFUNCTION("""COMPUTED_VALUE"""),"| 1 L INE @ | 4 L NS % | 3 L PHP-CGM % | 5 L PRO % ")</f>
        <v xml:space="preserve">| 1 L INE @ | 4 L NS % | 3 L PHP-CGM % | 5 L PRO % </v>
      </c>
      <c r="AN36" s="4" t="str">
        <f ca="1">IFERROR(__xludf.DUMMYFUNCTION("""COMPUTED_VALUE"""),"| 1 L CPT @ | 2 L NS % | 3 P JAVA % | 5 P CPT % ")</f>
        <v xml:space="preserve">| 1 L CPT @ | 2 L NS % | 3 P JAVA % | 5 P CPT % </v>
      </c>
      <c r="AO36" s="4" t="str">
        <f ca="1">IFERROR(__xludf.DUMMYFUNCTION("""COMPUTED_VALUE"""),"| 1 L PHP-CGM % | 2 L JAVA % | 3 P Python % | 5 P PHP-CGM % ")</f>
        <v xml:space="preserve">| 1 L PHP-CGM % | 2 L JAVA % | 3 P Python % | 5 P PHP-CGM % </v>
      </c>
      <c r="AP36" s="4" t="str">
        <f ca="1">IFERROR(__xludf.DUMMYFUNCTION("""COMPUTED_VALUE"""),"| 2 P JAVA % | 3 L JAVA % | 4 L CPT % | 5 P Python % ")</f>
        <v xml:space="preserve">| 2 P JAVA % | 3 L JAVA % | 4 L CPT % | 5 P Python % </v>
      </c>
      <c r="AQ36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R36" s="4" t="str">
        <f ca="1">IFERROR(__xludf.DUMMYFUNCTION("""COMPUTED_VALUE"""),"| 1 L INE @ | 3 L PHP-CGM @ | 4 L NS @ | 5 L PRO @ ")</f>
        <v xml:space="preserve">| 1 L INE @ | 3 L PHP-CGM @ | 4 L NS @ | 5 L PRO @ </v>
      </c>
      <c r="AS36" s="4" t="str">
        <f ca="1">IFERROR(__xludf.DUMMYFUNCTION("""COMPUTED_VALUE"""),"| 1 L PHP-CGM % | 2 L JAVA % | 3 P Python % | 5 P PHP-CGM % ")</f>
        <v xml:space="preserve">| 1 L PHP-CGM % | 2 L JAVA % | 3 P Python % | 5 P PHP-CGM % </v>
      </c>
      <c r="AT36" s="4" t="str">
        <f ca="1">IFERROR(__xludf.DUMMYFUNCTION("""COMPUTED_VALUE"""),"| 2 P JAVA % | 3 L JAVA % | 4 L CPT % | 5 P Python % ")</f>
        <v xml:space="preserve">| 2 P JAVA % | 3 L JAVA % | 4 L CPT % | 5 P Python % </v>
      </c>
      <c r="AU3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36" s="4" t="str">
        <f ca="1">IFERROR(__xludf.DUMMYFUNCTION("""COMPUTED_VALUE"""),"| 1 L INE % | 3 L PHP-CGM % | 4 L NS % | 7 L PRO % ")</f>
        <v xml:space="preserve">| 1 L INE % | 3 L PHP-CGM % | 4 L NS % | 7 L PRO % </v>
      </c>
      <c r="AW36" s="4" t="str">
        <f ca="1">IFERROR(__xludf.DUMMYFUNCTION("""COMPUTED_VALUE"""),"| 1 L CPT % | 2 L NS % | 3 P JAVA % | 5 P CPT @ ")</f>
        <v xml:space="preserve">| 1 L CPT % | 2 L NS % | 3 P JAVA % | 5 P CPT @ </v>
      </c>
      <c r="AX36" s="4" t="str">
        <f ca="1">IFERROR(__xludf.DUMMYFUNCTION("""COMPUTED_VALUE"""),"| 1 L PHP-CGM % | 2 L JAVA % | 3 P Python % | 5 P PHP-CGM % ")</f>
        <v xml:space="preserve">| 1 L PHP-CGM % | 2 L JAVA % | 3 P Python % | 5 P PHP-CGM % </v>
      </c>
      <c r="AY36" s="4" t="str">
        <f ca="1">IFERROR(__xludf.DUMMYFUNCTION("""COMPUTED_VALUE"""),"| 2 P JAVA % | 3 L JAVA % | 4 L CPT % | 5 P Python % ")</f>
        <v xml:space="preserve">| 2 P JAVA % | 3 L JAVA % | 4 L CPT % | 5 P Python % </v>
      </c>
      <c r="AZ36" s="4" t="str">
        <f ca="1">IFERROR(__xludf.DUMMYFUNCTION("""COMPUTED_VALUE"""),"| 1 L INE @ | 3 L PHP-CGM @ | 4 L NS @ | 5 L PRO % ")</f>
        <v xml:space="preserve">| 1 L INE @ | 3 L PHP-CGM @ | 4 L NS @ | 5 L PRO % </v>
      </c>
      <c r="BA36" s="4" t="str">
        <f ca="1">IFERROR(__xludf.DUMMYFUNCTION("""COMPUTED_VALUE"""),"| 1 L CPT % | 2 L NS % | 3 P JAVA % | 5 P CPT % ")</f>
        <v xml:space="preserve">| 1 L CPT % | 2 L NS % | 3 P JAVA % | 5 P CPT % </v>
      </c>
      <c r="BB36" s="4" t="str">
        <f ca="1">IFERROR(__xludf.DUMMYFUNCTION("""COMPUTED_VALUE"""),"| 1 L PHP-CGM % | 2 L JAVA % | 3 P Python % | 5 P PHP-CGM % ")</f>
        <v xml:space="preserve">| 1 L PHP-CGM % | 2 L JAVA % | 3 P Python % | 5 P PHP-CGM % </v>
      </c>
      <c r="BC36" s="4" t="str">
        <f ca="1">IFERROR(__xludf.DUMMYFUNCTION("""COMPUTED_VALUE"""),"| 2 P JAVA % | 3 L JAVA % | 4 L CPT %  | 5 P Python % ")</f>
        <v xml:space="preserve">| 2 P JAVA % | 3 L JAVA % | 4 L CPT %  | 5 P Python % </v>
      </c>
      <c r="BD36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36" s="4" t="str">
        <f ca="1">IFERROR(__xludf.DUMMYFUNCTION("""COMPUTED_VALUE"""),"| 1 L INE @ | 3 L PHP-CGM % | 4 L NS % | 5 L PRO % ")</f>
        <v xml:space="preserve">| 1 L INE @ | 3 L PHP-CGM % | 4 L NS % | 5 L PRO % </v>
      </c>
      <c r="BF36" s="4" t="str">
        <f ca="1">IFERROR(__xludf.DUMMYFUNCTION("""COMPUTED_VALUE"""),"| 1 L CPT @ | 2 L NS @ | 3 P JAVA @ | 5 P CPT @ ")</f>
        <v xml:space="preserve">| 1 L CPT @ | 2 L NS @ | 3 P JAVA @ | 5 P CPT @ </v>
      </c>
      <c r="BG36" s="4" t="str">
        <f ca="1">IFERROR(__xludf.DUMMYFUNCTION("""COMPUTED_VALUE"""),"| 2 P JAVA % | 4 L CPT % | 5 P Python % ")</f>
        <v xml:space="preserve">| 2 P JAVA % | 4 L CPT % | 5 P Python % </v>
      </c>
      <c r="BH3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36" s="4" t="str">
        <f ca="1">IFERROR(__xludf.DUMMYFUNCTION("""COMPUTED_VALUE"""),"| 1 L INE @ | 3 L PHP-CGM % | 4 L NS % | 5 L PRO % ")</f>
        <v xml:space="preserve">| 1 L INE @ | 3 L PHP-CGM % | 4 L NS % | 5 L PRO % </v>
      </c>
      <c r="BJ36" s="4" t="str">
        <f ca="1">IFERROR(__xludf.DUMMYFUNCTION("""COMPUTED_VALUE"""),"| 1 L CPT % | 2 L NS % | 3 P JAVA % | 5 P CPT % ")</f>
        <v xml:space="preserve">| 1 L CPT % | 2 L NS % | 3 P JAVA % | 5 P CPT % </v>
      </c>
      <c r="BK36" s="4" t="str">
        <f ca="1">IFERROR(__xludf.DUMMYFUNCTION("""COMPUTED_VALUE"""),"| 1 L PHP-CGM % | 2 L JAVA % | 3 P Python % ")</f>
        <v xml:space="preserve">| 1 L PHP-CGM % | 2 L JAVA % | 3 P Python % </v>
      </c>
      <c r="BL36" s="4" t="str">
        <f ca="1">IFERROR(__xludf.DUMMYFUNCTION("""COMPUTED_VALUE"""),"| 2 P JAVA % | 3 L JAVA % | 4 L CPT % | 5 P Python @ ")</f>
        <v xml:space="preserve">| 2 P JAVA % | 3 L JAVA % | 4 L CPT % | 5 P Python @ </v>
      </c>
      <c r="BM36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36" s="4" t="str">
        <f ca="1">IFERROR(__xludf.DUMMYFUNCTION("""COMPUTED_VALUE"""),"| 1 L INE @ | 3 L PHP-CGM @ | 4 L NS @ | 5 L PRO @ ")</f>
        <v xml:space="preserve">| 1 L INE @ | 3 L PHP-CGM @ | 4 L NS @ | 5 L PRO @ </v>
      </c>
      <c r="BO36" s="4" t="str">
        <f ca="1">IFERROR(__xludf.DUMMYFUNCTION("""COMPUTED_VALUE"""),"| 1 L CPT @ | 2 L NS @ | 3 P JAVA @ ")</f>
        <v xml:space="preserve">| 1 L CPT @ | 2 L NS @ | 3 P JAVA @ </v>
      </c>
      <c r="BP36" s="4" t="str">
        <f ca="1">IFERROR(__xludf.DUMMYFUNCTION("""COMPUTED_VALUE"""),"| 1 L PHP-CGM % | 2 L JAVA % | 3 P Python % | 5 P PHP-CGM % ")</f>
        <v xml:space="preserve">| 1 L PHP-CGM % | 2 L JAVA % | 3 P Python % | 5 P PHP-CGM % </v>
      </c>
      <c r="BQ36" s="4" t="str">
        <f ca="1">IFERROR(__xludf.DUMMYFUNCTION("""COMPUTED_VALUE"""),"| 5 L PHP-CGM % | 6 L CPT @ ")</f>
        <v xml:space="preserve">| 5 L PHP-CGM % | 6 L CPT @ </v>
      </c>
      <c r="BR36" s="4"/>
      <c r="BS36" s="4"/>
      <c r="BT36" s="4" t="str">
        <f ca="1">IFERROR(__xludf.DUMMYFUNCTION("""COMPUTED_VALUE"""),"| 1 L PHP-CGM % | 2 L JAVA % ")</f>
        <v xml:space="preserve">| 1 L PHP-CGM % | 2 L JAVA % </v>
      </c>
      <c r="BU36" s="4" t="str">
        <f ca="1">IFERROR(__xludf.DUMMYFUNCTION("""COMPUTED_VALUE"""),"| 2 P JAVA % | 4 L CPT % | 3 L JAVA % ")</f>
        <v xml:space="preserve">| 2 P JAVA % | 4 L CPT % | 3 L JAVA % </v>
      </c>
      <c r="BV36" s="4" t="str">
        <f ca="1">IFERROR(__xludf.DUMMYFUNCTION("""COMPUTED_VALUE"""),"| 1 L PHP-CGM % | 2 L JAVA % | 3 P Python % | 5 P PHP-CGM @ ")</f>
        <v xml:space="preserve">| 1 L PHP-CGM % | 2 L JAVA % | 3 P Python % | 5 P PHP-CGM @ </v>
      </c>
      <c r="BW36" s="4" t="str">
        <f ca="1">IFERROR(__xludf.DUMMYFUNCTION("""COMPUTED_VALUE"""),"| 2 P JAVA % | 3 L JAVA % | 4 L CPT % ")</f>
        <v xml:space="preserve">| 2 P JAVA % | 3 L JAVA % | 4 L CPT % </v>
      </c>
      <c r="BX36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Y36" s="4" t="str">
        <f ca="1">IFERROR(__xludf.DUMMYFUNCTION("""COMPUTED_VALUE"""),"| 1 L INE % | 3 L PHP-CGM % | 4 L NS % | 5 L PRO @ ")</f>
        <v xml:space="preserve">| 1 L INE % | 3 L PHP-CGM % | 4 L NS % | 5 L PRO @ </v>
      </c>
      <c r="BZ36" s="4" t="str">
        <f ca="1">IFERROR(__xludf.DUMMYFUNCTION("""COMPUTED_VALUE"""),"| 1 L CPT % | 2 L NS % | 3 P JAVA % | 5 P CPT % ")</f>
        <v xml:space="preserve">| 1 L CPT % | 2 L NS % | 3 P JAVA % | 5 P CPT % </v>
      </c>
      <c r="CA36" s="4" t="str">
        <f ca="1">IFERROR(__xludf.DUMMYFUNCTION("""COMPUTED_VALUE"""),"| 1 L PHP-CGM % | 2 L JAVA % | 3 P Python % | 5 P PHP-CGM % ")</f>
        <v xml:space="preserve">| 1 L PHP-CGM % | 2 L JAVA % | 3 P Python % | 5 P PHP-CGM % </v>
      </c>
      <c r="CB36" s="4" t="str">
        <f ca="1">IFERROR(__xludf.DUMMYFUNCTION("""COMPUTED_VALUE"""),"| 2 P JAVA % | 3 L JAVA % | 4 L CPT % | 3 P Python % ")</f>
        <v xml:space="preserve">| 2 P JAVA % | 3 L JAVA % | 4 L CPT % | 3 P Python % </v>
      </c>
      <c r="CC36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36" s="4" t="str">
        <f ca="1">IFERROR(__xludf.DUMMYFUNCTION("""COMPUTED_VALUE"""),"| 1 L INE % | 3 L PHP-CGM % | 4 L NS @ | 5 L PRO % ")</f>
        <v xml:space="preserve">| 1 L INE % | 3 L PHP-CGM % | 4 L NS @ | 5 L PRO % </v>
      </c>
      <c r="CE36" s="4" t="str">
        <f ca="1">IFERROR(__xludf.DUMMYFUNCTION("""COMPUTED_VALUE"""),"| 1 L CPT % | 2 L NS % | 3 P JAVA % | 5 P CPT % ")</f>
        <v xml:space="preserve">| 1 L CPT % | 2 L NS % | 3 P JAVA % | 5 P CPT % </v>
      </c>
      <c r="CF36" s="4" t="str">
        <f ca="1">IFERROR(__xludf.DUMMYFUNCTION("""COMPUTED_VALUE"""),"| 1 L PHP-CGM % | 2 L JAVA @ | 3 P Python % | 5 P PHP-CGM % ")</f>
        <v xml:space="preserve">| 1 L PHP-CGM % | 2 L JAVA @ | 3 P Python % | 5 P PHP-CGM % </v>
      </c>
      <c r="CG36" s="4" t="str">
        <f ca="1">IFERROR(__xludf.DUMMYFUNCTION("""COMPUTED_VALUE"""),"| 2 P JAVA % | 4 L CPT @ ")</f>
        <v xml:space="preserve">| 2 P JAVA % | 4 L CPT @ </v>
      </c>
      <c r="CH36" s="4" t="str">
        <f ca="1">IFERROR(__xludf.DUMMYFUNCTION("""COMPUTED_VALUE"""),"| 1 P NS @ | 3 L NS @ | 6 L CPT @ ")</f>
        <v xml:space="preserve">| 1 P NS @ | 3 L NS @ | 6 L CPT @ </v>
      </c>
      <c r="CI36" s="4" t="str">
        <f ca="1">IFERROR(__xludf.DUMMYFUNCTION("""COMPUTED_VALUE"""),"| 1 L INE @ ")</f>
        <v xml:space="preserve">| 1 L INE @ </v>
      </c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</row>
    <row r="37" spans="1:102" ht="12.5" x14ac:dyDescent="0.25">
      <c r="A37" s="3">
        <f ca="1">IFERROR(__xludf.DUMMYFUNCTION("""COMPUTED_VALUE"""),2)</f>
        <v>2</v>
      </c>
      <c r="B37" s="3" t="str">
        <f ca="1">IFERROR(__xludf.DUMMYFUNCTION("""COMPUTED_VALUE"""),"A")</f>
        <v>A</v>
      </c>
      <c r="C37" s="32" t="str">
        <f ca="1">IFERROR(__xludf.DUMMYFUNCTION("""COMPUTED_VALUE"""),"23291341099")</f>
        <v>23291341099</v>
      </c>
      <c r="D37" s="21" t="str">
        <f ca="1">IFERROR(__xludf.DUMMYFUNCTION("""COMPUTED_VALUE"""),"PATEL MAITRI SHAILESHBHAI")</f>
        <v>PATEL MAITRI SHAILESHBHAI</v>
      </c>
      <c r="E37" s="3" t="str">
        <f ca="1">IFERROR(__xludf.DUMMYFUNCTION("""COMPUTED_VALUE"""),"RRP-Mor")</f>
        <v>RRP-Mor</v>
      </c>
      <c r="F37" s="3">
        <f ca="1">IFERROR(__xludf.DUMMYFUNCTION("""COMPUTED_VALUE"""),8849517824)</f>
        <v>8849517824</v>
      </c>
      <c r="G37" s="3">
        <f ca="1">IFERROR(__xludf.DUMMYFUNCTION("""COMPUTED_VALUE"""),9909467453)</f>
        <v>9909467453</v>
      </c>
      <c r="H37" s="33">
        <f ca="1">IFERROR(__xludf.DUMMYFUNCTION("""COMPUTED_VALUE"""),0.716666666666666)</f>
        <v>0.71666666666666601</v>
      </c>
      <c r="I37" s="25">
        <f ca="1">IFERROR(__xludf.DUMMYFUNCTION("""COMPUTED_VALUE"""),0.666666666666666)</f>
        <v>0.66666666666666596</v>
      </c>
      <c r="J37" s="25">
        <f ca="1">IFERROR(__xludf.DUMMYFUNCTION("""COMPUTED_VALUE"""),0.7)</f>
        <v>0.7</v>
      </c>
      <c r="K37" s="25">
        <f ca="1">IFERROR(__xludf.DUMMYFUNCTION("""COMPUTED_VALUE"""),0.735294117647058)</f>
        <v>0.73529411764705799</v>
      </c>
      <c r="L37" s="25">
        <f ca="1">IFERROR(__xludf.DUMMYFUNCTION("""COMPUTED_VALUE"""),0.909090909090909)</f>
        <v>0.90909090909090895</v>
      </c>
      <c r="M37" s="25">
        <f ca="1">IFERROR(__xludf.DUMMYFUNCTION("""COMPUTED_VALUE"""),0.75)</f>
        <v>0.75</v>
      </c>
      <c r="N37" s="25">
        <f ca="1">IFERROR(__xludf.DUMMYFUNCTION("""COMPUTED_VALUE"""),0.818181818181818)</f>
        <v>0.81818181818181801</v>
      </c>
      <c r="O37" s="25">
        <f ca="1">IFERROR(__xludf.DUMMYFUNCTION("""COMPUTED_VALUE"""),0.757575757575757)</f>
        <v>0.75757575757575701</v>
      </c>
      <c r="P37" s="25">
        <f ca="1">IFERROR(__xludf.DUMMYFUNCTION("""COMPUTED_VALUE"""),0.708333333333333)</f>
        <v>0.70833333333333304</v>
      </c>
      <c r="Q37" s="25">
        <f ca="1">IFERROR(__xludf.DUMMYFUNCTION("""COMPUTED_VALUE"""),0)</f>
        <v>0</v>
      </c>
      <c r="R37" s="25">
        <f ca="1">IFERROR(__xludf.DUMMYFUNCTION("""COMPUTED_VALUE"""),0.636363636363636)</f>
        <v>0.63636363636363602</v>
      </c>
      <c r="S37" s="25">
        <f ca="1">IFERROR(__xludf.DUMMYFUNCTION("""COMPUTED_VALUE"""),0.5)</f>
        <v>0.5</v>
      </c>
      <c r="T37" s="25">
        <f ca="1">IFERROR(__xludf.DUMMYFUNCTION("""COMPUTED_VALUE"""),1)</f>
        <v>1</v>
      </c>
      <c r="U37" s="25">
        <f ca="1">IFERROR(__xludf.DUMMYFUNCTION("""COMPUTED_VALUE"""),0.636363636363636)</f>
        <v>0.63636363636363602</v>
      </c>
      <c r="V37" s="25">
        <f ca="1">IFERROR(__xludf.DUMMYFUNCTION("""COMPUTED_VALUE"""),0)</f>
        <v>0</v>
      </c>
      <c r="W37" s="4"/>
      <c r="X37" s="4" t="str">
        <f ca="1">IFERROR(__xludf.DUMMYFUNCTION("""COMPUTED_VALUE"""),"| 1 L PHP-CGM % | 3 P Python % | 5 P PHP-CGM % ")</f>
        <v xml:space="preserve">| 1 L PHP-CGM % | 3 P Python % | 5 P PHP-CGM % </v>
      </c>
      <c r="Y37" s="4" t="str">
        <f ca="1">IFERROR(__xludf.DUMMYFUNCTION("""COMPUTED_VALUE"""),"| 1 P JAVA % | 3 L JAVA % | 4 L CPT % | 5 P Python % ")</f>
        <v xml:space="preserve">| 1 P JAVA % | 3 L JAVA % | 4 L CPT % | 5 P Python % </v>
      </c>
      <c r="Z3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37" s="4" t="str">
        <f ca="1">IFERROR(__xludf.DUMMYFUNCTION("""COMPUTED_VALUE"""),"| 3 L PHP-CGM % | 4 L NS % | 1 L INE % | 5 P PRO % ")</f>
        <v xml:space="preserve">| 3 L PHP-CGM % | 4 L NS % | 1 L INE % | 5 P PRO % </v>
      </c>
      <c r="AB37" s="4" t="str">
        <f ca="1">IFERROR(__xludf.DUMMYFUNCTION("""COMPUTED_VALUE"""),"| 1 L CPT % | 2 L NS % | 3 P JAVA % | 5 P CPT % ")</f>
        <v xml:space="preserve">| 1 L CPT % | 2 L NS % | 3 P JAVA % | 5 P CPT % </v>
      </c>
      <c r="AC37" s="4" t="str">
        <f ca="1">IFERROR(__xludf.DUMMYFUNCTION("""COMPUTED_VALUE"""),"| 1 L PHP-CGM % | 2 L JAVA % | 3 P Python % | 5 P PHP-CGM % ")</f>
        <v xml:space="preserve">| 1 L PHP-CGM % | 2 L JAVA % | 3 P Python % | 5 P PHP-CGM % </v>
      </c>
      <c r="AD37" s="4" t="str">
        <f ca="1">IFERROR(__xludf.DUMMYFUNCTION("""COMPUTED_VALUE"""),"| 2 P JAVA @ | 3 L JAVA @ | 4 L CPT @ | 5 P Python @ ")</f>
        <v xml:space="preserve">| 2 P JAVA @ | 3 L JAVA @ | 4 L CPT @ | 5 P Python @ </v>
      </c>
      <c r="AE37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37" s="4" t="str">
        <f ca="1">IFERROR(__xludf.DUMMYFUNCTION("""COMPUTED_VALUE"""),"| 3 L PHP-CGM % | 4 L NS % | 5 P PRO % ")</f>
        <v xml:space="preserve">| 3 L PHP-CGM % | 4 L NS % | 5 P PRO % </v>
      </c>
      <c r="AG37" s="4" t="str">
        <f ca="1">IFERROR(__xludf.DUMMYFUNCTION("""COMPUTED_VALUE"""),"| 1 L CPT % | 2 L NS % | 3 P JAVA % | 5 P CPT % ")</f>
        <v xml:space="preserve">| 1 L CPT % | 2 L NS % | 3 P JAVA % | 5 P CPT % </v>
      </c>
      <c r="AH37" s="4" t="str">
        <f ca="1">IFERROR(__xludf.DUMMYFUNCTION("""COMPUTED_VALUE"""),"| 3 L PHP-CGM % | 4 L NS % | 5 L PRO % ")</f>
        <v xml:space="preserve">| 3 L PHP-CGM % | 4 L NS % | 5 L PRO % </v>
      </c>
      <c r="AI37" s="4" t="str">
        <f ca="1">IFERROR(__xludf.DUMMYFUNCTION("""COMPUTED_VALUE"""),"| 1 L CPT % | 2 L NS % | 3 P JAVA % | 5 P CPT % ")</f>
        <v xml:space="preserve">| 1 L CPT % | 2 L NS % | 3 P JAVA % | 5 P CPT % </v>
      </c>
      <c r="AJ37" s="4" t="str">
        <f ca="1">IFERROR(__xludf.DUMMYFUNCTION("""COMPUTED_VALUE"""),"| 1 L PHP-CGM % | 2 L JAVA % | 3 P Python % | 5 P PHP-CGM % ")</f>
        <v xml:space="preserve">| 1 L PHP-CGM % | 2 L JAVA % | 3 P Python % | 5 P PHP-CGM % </v>
      </c>
      <c r="AK37" s="4" t="str">
        <f ca="1">IFERROR(__xludf.DUMMYFUNCTION("""COMPUTED_VALUE"""),"| 2 P JAVA % | 3 L JAVA % | 4 L CPT % | 5 P Python @ ")</f>
        <v xml:space="preserve">| 2 P JAVA % | 3 L JAVA % | 4 L CPT % | 5 P Python @ </v>
      </c>
      <c r="AL37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M37" s="4" t="str">
        <f ca="1">IFERROR(__xludf.DUMMYFUNCTION("""COMPUTED_VALUE"""),"| 1 L INE @ | 4 L NS @ | 3 L PHP-CGM @ | 5 L PRO @ ")</f>
        <v xml:space="preserve">| 1 L INE @ | 4 L NS @ | 3 L PHP-CGM @ | 5 L PRO @ </v>
      </c>
      <c r="AN37" s="4" t="str">
        <f ca="1">IFERROR(__xludf.DUMMYFUNCTION("""COMPUTED_VALUE"""),"| 1 L CPT @ | 2 L NS @ | 3 P JAVA @ | 5 P CPT @ ")</f>
        <v xml:space="preserve">| 1 L CPT @ | 2 L NS @ | 3 P JAVA @ | 5 P CPT @ </v>
      </c>
      <c r="AO37" s="4" t="str">
        <f ca="1">IFERROR(__xludf.DUMMYFUNCTION("""COMPUTED_VALUE"""),"| 1 L PHP-CGM @ | 2 L JAVA @ | 3 P Python @ | 5 P PHP-CGM @ ")</f>
        <v xml:space="preserve">| 1 L PHP-CGM @ | 2 L JAVA @ | 3 P Python @ | 5 P PHP-CGM @ </v>
      </c>
      <c r="AP37" s="4" t="str">
        <f ca="1">IFERROR(__xludf.DUMMYFUNCTION("""COMPUTED_VALUE"""),"| 2 P JAVA @ | 3 L JAVA @ | 4 L CPT @ | 5 P Python @ ")</f>
        <v xml:space="preserve">| 2 P JAVA @ | 3 L JAVA @ | 4 L CPT @ | 5 P Python @ </v>
      </c>
      <c r="AQ3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37" s="4" t="str">
        <f ca="1">IFERROR(__xludf.DUMMYFUNCTION("""COMPUTED_VALUE"""),"| 1 L INE @ | 3 L PHP-CGM @ | 4 L NS @ | 5 L PRO @ ")</f>
        <v xml:space="preserve">| 1 L INE @ | 3 L PHP-CGM @ | 4 L NS @ | 5 L PRO @ </v>
      </c>
      <c r="AS37" s="4" t="str">
        <f ca="1">IFERROR(__xludf.DUMMYFUNCTION("""COMPUTED_VALUE"""),"| 1 L PHP-CGM % | 2 L JAVA % | 3 P Python % | 5 P PHP-CGM % ")</f>
        <v xml:space="preserve">| 1 L PHP-CGM % | 2 L JAVA % | 3 P Python % | 5 P PHP-CGM % </v>
      </c>
      <c r="AT37" s="4" t="str">
        <f ca="1">IFERROR(__xludf.DUMMYFUNCTION("""COMPUTED_VALUE"""),"| 2 P JAVA % | 3 L JAVA % | 4 L CPT % | 5 P Python @ ")</f>
        <v xml:space="preserve">| 2 P JAVA % | 3 L JAVA % | 4 L CPT % | 5 P Python @ </v>
      </c>
      <c r="AU3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37" s="4" t="str">
        <f ca="1">IFERROR(__xludf.DUMMYFUNCTION("""COMPUTED_VALUE"""),"| 1 L INE % | 3 L PHP-CGM % | 4 L NS % | 7 L PRO % ")</f>
        <v xml:space="preserve">| 1 L INE % | 3 L PHP-CGM % | 4 L NS % | 7 L PRO % </v>
      </c>
      <c r="AW37" s="4" t="str">
        <f ca="1">IFERROR(__xludf.DUMMYFUNCTION("""COMPUTED_VALUE"""),"| 1 L CPT @ | 2 L NS @ | 3 P JAVA @ | 5 P CPT @ ")</f>
        <v xml:space="preserve">| 1 L CPT @ | 2 L NS @ | 3 P JAVA @ | 5 P CPT @ </v>
      </c>
      <c r="AX37" s="4" t="str">
        <f ca="1">IFERROR(__xludf.DUMMYFUNCTION("""COMPUTED_VALUE"""),"| 1 L PHP-CGM % | 2 L JAVA % | 3 P Python % | 5 P PHP-CGM % ")</f>
        <v xml:space="preserve">| 1 L PHP-CGM % | 2 L JAVA % | 3 P Python % | 5 P PHP-CGM % </v>
      </c>
      <c r="AY37" s="4" t="str">
        <f ca="1">IFERROR(__xludf.DUMMYFUNCTION("""COMPUTED_VALUE"""),"| 2 P JAVA @ | 3 L JAVA @ | 4 L CPT @ | 5 P Python @ ")</f>
        <v xml:space="preserve">| 2 P JAVA @ | 3 L JAVA @ | 4 L CPT @ | 5 P Python @ </v>
      </c>
      <c r="AZ37" s="4" t="str">
        <f ca="1">IFERROR(__xludf.DUMMYFUNCTION("""COMPUTED_VALUE"""),"| 1 L INE % | 3 L PHP-CGM % | 4 L NS % | 5 L PRO % ")</f>
        <v xml:space="preserve">| 1 L INE % | 3 L PHP-CGM % | 4 L NS % | 5 L PRO % </v>
      </c>
      <c r="BA37" s="4" t="str">
        <f ca="1">IFERROR(__xludf.DUMMYFUNCTION("""COMPUTED_VALUE"""),"| 1 L CPT % | 2 L NS % | 3 P JAVA % | 5 P CPT % ")</f>
        <v xml:space="preserve">| 1 L CPT % | 2 L NS % | 3 P JAVA % | 5 P CPT % </v>
      </c>
      <c r="BB37" s="4" t="str">
        <f ca="1">IFERROR(__xludf.DUMMYFUNCTION("""COMPUTED_VALUE"""),"| 1 L PHP-CGM % | 2 L JAVA % | 3 P Python % | 5 P PHP-CGM % ")</f>
        <v xml:space="preserve">| 1 L PHP-CGM % | 2 L JAVA % | 3 P Python % | 5 P PHP-CGM % </v>
      </c>
      <c r="BC37" s="4" t="str">
        <f ca="1">IFERROR(__xludf.DUMMYFUNCTION("""COMPUTED_VALUE"""),"| 2 P JAVA % | 3 L JAVA % | 4 L CPT %  | 5 P Python % ")</f>
        <v xml:space="preserve">| 2 P JAVA % | 3 L JAVA % | 4 L CPT %  | 5 P Python % </v>
      </c>
      <c r="BD37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37" s="4" t="str">
        <f ca="1">IFERROR(__xludf.DUMMYFUNCTION("""COMPUTED_VALUE"""),"| 1 L INE % | 3 L PHP-CGM % | 4 L NS % | 5 L PRO @ ")</f>
        <v xml:space="preserve">| 1 L INE % | 3 L PHP-CGM % | 4 L NS % | 5 L PRO @ </v>
      </c>
      <c r="BF37" s="4" t="str">
        <f ca="1">IFERROR(__xludf.DUMMYFUNCTION("""COMPUTED_VALUE"""),"| 1 L CPT @ | 2 L NS @ | 3 P JAVA @ | 5 P CPT @ ")</f>
        <v xml:space="preserve">| 1 L CPT @ | 2 L NS @ | 3 P JAVA @ | 5 P CPT @ </v>
      </c>
      <c r="BG37" s="4" t="str">
        <f ca="1">IFERROR(__xludf.DUMMYFUNCTION("""COMPUTED_VALUE"""),"| 2 P JAVA % | 4 L CPT % | 5 P Python % ")</f>
        <v xml:space="preserve">| 2 P JAVA % | 4 L CPT % | 5 P Python % </v>
      </c>
      <c r="BH3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37" s="4" t="str">
        <f ca="1">IFERROR(__xludf.DUMMYFUNCTION("""COMPUTED_VALUE"""),"| 1 L INE @ | 3 L PHP-CGM % | 4 L NS % | 5 L PRO % ")</f>
        <v xml:space="preserve">| 1 L INE @ | 3 L PHP-CGM % | 4 L NS % | 5 L PRO % </v>
      </c>
      <c r="BJ37" s="4" t="str">
        <f ca="1">IFERROR(__xludf.DUMMYFUNCTION("""COMPUTED_VALUE"""),"| 1 L CPT % | 2 L NS % | 3 P JAVA % | 5 P CPT % ")</f>
        <v xml:space="preserve">| 1 L CPT % | 2 L NS % | 3 P JAVA % | 5 P CPT % </v>
      </c>
      <c r="BK37" s="4" t="str">
        <f ca="1">IFERROR(__xludf.DUMMYFUNCTION("""COMPUTED_VALUE"""),"| 1 L PHP-CGM % | 2 L JAVA % | 3 P Python % ")</f>
        <v xml:space="preserve">| 1 L PHP-CGM % | 2 L JAVA % | 3 P Python % </v>
      </c>
      <c r="BL37" s="4" t="str">
        <f ca="1">IFERROR(__xludf.DUMMYFUNCTION("""COMPUTED_VALUE"""),"| 2 P JAVA % | 3 L JAVA % | 4 L CPT % | 5 P Python @ ")</f>
        <v xml:space="preserve">| 2 P JAVA % | 3 L JAVA % | 4 L CPT % | 5 P Python @ </v>
      </c>
      <c r="BM37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N37" s="4" t="str">
        <f ca="1">IFERROR(__xludf.DUMMYFUNCTION("""COMPUTED_VALUE"""),"| 1 L INE @ | 3 L PHP-CGM @ | 4 L NS @ | 5 L PRO @ ")</f>
        <v xml:space="preserve">| 1 L INE @ | 3 L PHP-CGM @ | 4 L NS @ | 5 L PRO @ </v>
      </c>
      <c r="BO37" s="4" t="str">
        <f ca="1">IFERROR(__xludf.DUMMYFUNCTION("""COMPUTED_VALUE"""),"| 1 L CPT % | 2 L NS % | 3 P JAVA % ")</f>
        <v xml:space="preserve">| 1 L CPT % | 2 L NS % | 3 P JAVA % </v>
      </c>
      <c r="BP37" s="4" t="str">
        <f ca="1">IFERROR(__xludf.DUMMYFUNCTION("""COMPUTED_VALUE"""),"| 1 L PHP-CGM % | 2 L JAVA % | 3 P Python % | 5 P PHP-CGM % ")</f>
        <v xml:space="preserve">| 1 L PHP-CGM % | 2 L JAVA % | 3 P Python % | 5 P PHP-CGM % </v>
      </c>
      <c r="BQ37" s="4" t="str">
        <f ca="1">IFERROR(__xludf.DUMMYFUNCTION("""COMPUTED_VALUE"""),"| 5 L PHP-CGM % | 6 L CPT % ")</f>
        <v xml:space="preserve">| 5 L PHP-CGM % | 6 L CPT % </v>
      </c>
      <c r="BR37" s="4"/>
      <c r="BS37" s="4"/>
      <c r="BT37" s="4" t="str">
        <f ca="1">IFERROR(__xludf.DUMMYFUNCTION("""COMPUTED_VALUE"""),"| 1 L PHP-CGM % | 2 L JAVA % ")</f>
        <v xml:space="preserve">| 1 L PHP-CGM % | 2 L JAVA % </v>
      </c>
      <c r="BU37" s="4" t="str">
        <f ca="1">IFERROR(__xludf.DUMMYFUNCTION("""COMPUTED_VALUE"""),"| 2 P JAVA % | 4 L CPT % | 3 L JAVA % ")</f>
        <v xml:space="preserve">| 2 P JAVA % | 4 L CPT % | 3 L JAVA % </v>
      </c>
      <c r="BV37" s="4" t="str">
        <f ca="1">IFERROR(__xludf.DUMMYFUNCTION("""COMPUTED_VALUE"""),"| 1 L PHP-CGM @ | 2 L JAVA @ | 3 P Python @ | 5 P PHP-CGM @ ")</f>
        <v xml:space="preserve">| 1 L PHP-CGM @ | 2 L JAVA @ | 3 P Python @ | 5 P PHP-CGM @ </v>
      </c>
      <c r="BW37" s="4" t="str">
        <f ca="1">IFERROR(__xludf.DUMMYFUNCTION("""COMPUTED_VALUE"""),"| 2 P JAVA @ | 3 L JAVA @ | 4 L CPT @ ")</f>
        <v xml:space="preserve">| 2 P JAVA @ | 3 L JAVA @ | 4 L CPT @ </v>
      </c>
      <c r="BX37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37" s="4" t="str">
        <f ca="1">IFERROR(__xludf.DUMMYFUNCTION("""COMPUTED_VALUE"""),"| 1 L INE % | 3 L PHP-CGM % | 4 L NS % | 5 L PRO @ ")</f>
        <v xml:space="preserve">| 1 L INE % | 3 L PHP-CGM % | 4 L NS % | 5 L PRO @ </v>
      </c>
      <c r="BZ37" s="4" t="str">
        <f ca="1">IFERROR(__xludf.DUMMYFUNCTION("""COMPUTED_VALUE"""),"| 1 L CPT % | 2 L NS % | 3 P JAVA % | 5 P CPT % ")</f>
        <v xml:space="preserve">| 1 L CPT % | 2 L NS % | 3 P JAVA % | 5 P CPT % </v>
      </c>
      <c r="CA37" s="4" t="str">
        <f ca="1">IFERROR(__xludf.DUMMYFUNCTION("""COMPUTED_VALUE"""),"| 1 L PHP-CGM % | 2 L JAVA % | 3 P Python % | 5 P PHP-CGM % ")</f>
        <v xml:space="preserve">| 1 L PHP-CGM % | 2 L JAVA % | 3 P Python % | 5 P PHP-CGM % </v>
      </c>
      <c r="CB37" s="4" t="str">
        <f ca="1">IFERROR(__xludf.DUMMYFUNCTION("""COMPUTED_VALUE"""),"| 2 P JAVA % | 3 L JAVA % | 4 L CPT % | 3 P Python % ")</f>
        <v xml:space="preserve">| 2 P JAVA % | 3 L JAVA % | 4 L CPT % | 3 P Python % </v>
      </c>
      <c r="CC37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37" s="4" t="str">
        <f ca="1">IFERROR(__xludf.DUMMYFUNCTION("""COMPUTED_VALUE"""),"| 1 L INE % | 3 L PHP-CGM % | 4 L NS @ | 5 L PRO % ")</f>
        <v xml:space="preserve">| 1 L INE % | 3 L PHP-CGM % | 4 L NS @ | 5 L PRO % </v>
      </c>
      <c r="CE37" s="4" t="str">
        <f ca="1">IFERROR(__xludf.DUMMYFUNCTION("""COMPUTED_VALUE"""),"| 1 L CPT % | 2 L NS % | 3 P JAVA % | 5 P CPT % ")</f>
        <v xml:space="preserve">| 1 L CPT % | 2 L NS % | 3 P JAVA % | 5 P CPT % </v>
      </c>
      <c r="CF37" s="4" t="str">
        <f ca="1">IFERROR(__xludf.DUMMYFUNCTION("""COMPUTED_VALUE"""),"| 1 L PHP-CGM % | 2 L JAVA @ | 3 P Python % | 5 P PHP-CGM % ")</f>
        <v xml:space="preserve">| 1 L PHP-CGM % | 2 L JAVA @ | 3 P Python % | 5 P PHP-CGM % </v>
      </c>
      <c r="CG37" s="4" t="str">
        <f ca="1">IFERROR(__xludf.DUMMYFUNCTION("""COMPUTED_VALUE"""),"| 2 P JAVA % | 4 L CPT % ")</f>
        <v xml:space="preserve">| 2 P JAVA % | 4 L CPT % </v>
      </c>
      <c r="CH37" s="4" t="str">
        <f ca="1">IFERROR(__xludf.DUMMYFUNCTION("""COMPUTED_VALUE"""),"| 1 P NS % | 3 L NS @ | 6 L CPT @ ")</f>
        <v xml:space="preserve">| 1 P NS % | 3 L NS @ | 6 L CPT @ </v>
      </c>
      <c r="CI37" s="4" t="str">
        <f ca="1">IFERROR(__xludf.DUMMYFUNCTION("""COMPUTED_VALUE"""),"| 1 L INE % ")</f>
        <v xml:space="preserve">| 1 L INE % </v>
      </c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</row>
    <row r="38" spans="1:102" ht="12.5" x14ac:dyDescent="0.25">
      <c r="A38" s="3">
        <f ca="1">IFERROR(__xludf.DUMMYFUNCTION("""COMPUTED_VALUE"""),2)</f>
        <v>2</v>
      </c>
      <c r="B38" s="3" t="str">
        <f ca="1">IFERROR(__xludf.DUMMYFUNCTION("""COMPUTED_VALUE"""),"A")</f>
        <v>A</v>
      </c>
      <c r="C38" s="32" t="str">
        <f ca="1">IFERROR(__xludf.DUMMYFUNCTION("""COMPUTED_VALUE"""),"23291341102")</f>
        <v>23291341102</v>
      </c>
      <c r="D38" s="21" t="str">
        <f ca="1">IFERROR(__xludf.DUMMYFUNCTION("""COMPUTED_VALUE"""),"PATEL MANAV UTSAVKUMAR")</f>
        <v>PATEL MANAV UTSAVKUMAR</v>
      </c>
      <c r="E38" s="3" t="str">
        <f ca="1">IFERROR(__xludf.DUMMYFUNCTION("""COMPUTED_VALUE"""),"RRP-Mor")</f>
        <v>RRP-Mor</v>
      </c>
      <c r="F38" s="3">
        <f ca="1">IFERROR(__xludf.DUMMYFUNCTION("""COMPUTED_VALUE"""),8799315604)</f>
        <v>8799315604</v>
      </c>
      <c r="G38" s="3">
        <f ca="1">IFERROR(__xludf.DUMMYFUNCTION("""COMPUTED_VALUE"""),8799315604)</f>
        <v>8799315604</v>
      </c>
      <c r="H38" s="33">
        <f ca="1">IFERROR(__xludf.DUMMYFUNCTION("""COMPUTED_VALUE"""),0.633333333333333)</f>
        <v>0.63333333333333297</v>
      </c>
      <c r="I38" s="25">
        <f ca="1">IFERROR(__xludf.DUMMYFUNCTION("""COMPUTED_VALUE"""),0.611111111111111)</f>
        <v>0.61111111111111105</v>
      </c>
      <c r="J38" s="25">
        <f ca="1">IFERROR(__xludf.DUMMYFUNCTION("""COMPUTED_VALUE"""),0.5)</f>
        <v>0.5</v>
      </c>
      <c r="K38" s="25">
        <f ca="1">IFERROR(__xludf.DUMMYFUNCTION("""COMPUTED_VALUE"""),0.705882352941176)</f>
        <v>0.70588235294117596</v>
      </c>
      <c r="L38" s="25">
        <f ca="1">IFERROR(__xludf.DUMMYFUNCTION("""COMPUTED_VALUE"""),0.636363636363636)</f>
        <v>0.63636363636363602</v>
      </c>
      <c r="M38" s="25">
        <f ca="1">IFERROR(__xludf.DUMMYFUNCTION("""COMPUTED_VALUE"""),0.694444444444444)</f>
        <v>0.69444444444444398</v>
      </c>
      <c r="N38" s="25">
        <f ca="1">IFERROR(__xludf.DUMMYFUNCTION("""COMPUTED_VALUE"""),0.545454545454545)</f>
        <v>0.54545454545454497</v>
      </c>
      <c r="O38" s="25">
        <f ca="1">IFERROR(__xludf.DUMMYFUNCTION("""COMPUTED_VALUE"""),0.727272727272727)</f>
        <v>0.72727272727272696</v>
      </c>
      <c r="P38" s="25">
        <f ca="1">IFERROR(__xludf.DUMMYFUNCTION("""COMPUTED_VALUE"""),0.833333333333333)</f>
        <v>0.83333333333333304</v>
      </c>
      <c r="Q38" s="25">
        <f ca="1">IFERROR(__xludf.DUMMYFUNCTION("""COMPUTED_VALUE"""),0)</f>
        <v>0</v>
      </c>
      <c r="R38" s="25">
        <f ca="1">IFERROR(__xludf.DUMMYFUNCTION("""COMPUTED_VALUE"""),0.454545454545454)</f>
        <v>0.45454545454545398</v>
      </c>
      <c r="S38" s="25">
        <f ca="1">IFERROR(__xludf.DUMMYFUNCTION("""COMPUTED_VALUE"""),0.3)</f>
        <v>0.3</v>
      </c>
      <c r="T38" s="25">
        <f ca="1">IFERROR(__xludf.DUMMYFUNCTION("""COMPUTED_VALUE"""),0.5)</f>
        <v>0.5</v>
      </c>
      <c r="U38" s="25">
        <f ca="1">IFERROR(__xludf.DUMMYFUNCTION("""COMPUTED_VALUE"""),0.454545454545454)</f>
        <v>0.45454545454545398</v>
      </c>
      <c r="V38" s="25">
        <f ca="1">IFERROR(__xludf.DUMMYFUNCTION("""COMPUTED_VALUE"""),0)</f>
        <v>0</v>
      </c>
      <c r="W38" s="4"/>
      <c r="X38" s="4" t="str">
        <f ca="1">IFERROR(__xludf.DUMMYFUNCTION("""COMPUTED_VALUE"""),"| 1 L PHP-CGM @ | 3 P Python @ | 5 P PHP-CGM @ ")</f>
        <v xml:space="preserve">| 1 L PHP-CGM @ | 3 P Python @ | 5 P PHP-CGM @ </v>
      </c>
      <c r="Y38" s="4" t="str">
        <f ca="1">IFERROR(__xludf.DUMMYFUNCTION("""COMPUTED_VALUE"""),"| 1 P JAVA % | 3 L JAVA % | 4 L CPT % | 5 P Python @ ")</f>
        <v xml:space="preserve">| 1 P JAVA % | 3 L JAVA % | 4 L CPT % | 5 P Python @ </v>
      </c>
      <c r="Z38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A38" s="4" t="str">
        <f ca="1">IFERROR(__xludf.DUMMYFUNCTION("""COMPUTED_VALUE"""),"| 3 L PHP-CGM % | 4 L NS % | 1 L INE % | 5 P PRO % ")</f>
        <v xml:space="preserve">| 3 L PHP-CGM % | 4 L NS % | 1 L INE % | 5 P PRO % </v>
      </c>
      <c r="AB38" s="4" t="str">
        <f ca="1">IFERROR(__xludf.DUMMYFUNCTION("""COMPUTED_VALUE"""),"| 1 L CPT % | 2 L NS % | 3 P JAVA % | 5 P CPT % ")</f>
        <v xml:space="preserve">| 1 L CPT % | 2 L NS % | 3 P JAVA % | 5 P CPT % </v>
      </c>
      <c r="AC38" s="4" t="str">
        <f ca="1">IFERROR(__xludf.DUMMYFUNCTION("""COMPUTED_VALUE"""),"| 1 L PHP-CGM % | 2 L JAVA % | 3 P Python % | 5 P PHP-CGM % ")</f>
        <v xml:space="preserve">| 1 L PHP-CGM % | 2 L JAVA % | 3 P Python % | 5 P PHP-CGM % </v>
      </c>
      <c r="AD38" s="4" t="str">
        <f ca="1">IFERROR(__xludf.DUMMYFUNCTION("""COMPUTED_VALUE"""),"| 2 P JAVA % | 3 L JAVA % | 4 L CPT % | 5 P Python @ ")</f>
        <v xml:space="preserve">| 2 P JAVA % | 3 L JAVA % | 4 L CPT % | 5 P Python @ </v>
      </c>
      <c r="AE38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38" s="4" t="str">
        <f ca="1">IFERROR(__xludf.DUMMYFUNCTION("""COMPUTED_VALUE"""),"| 3 L PHP-CGM % | 4 L NS % | 5 P PRO @ ")</f>
        <v xml:space="preserve">| 3 L PHP-CGM % | 4 L NS % | 5 P PRO @ </v>
      </c>
      <c r="AG38" s="4" t="str">
        <f ca="1">IFERROR(__xludf.DUMMYFUNCTION("""COMPUTED_VALUE"""),"| 1 L CPT % | 2 L NS % | 3 P JAVA % | 5 P CPT @ ")</f>
        <v xml:space="preserve">| 1 L CPT % | 2 L NS % | 3 P JAVA % | 5 P CPT @ </v>
      </c>
      <c r="AH38" s="4" t="str">
        <f ca="1">IFERROR(__xludf.DUMMYFUNCTION("""COMPUTED_VALUE"""),"| 3 L PHP-CGM % | 4 L NS % | 5 L PRO % ")</f>
        <v xml:space="preserve">| 3 L PHP-CGM % | 4 L NS % | 5 L PRO % </v>
      </c>
      <c r="AI38" s="4" t="str">
        <f ca="1">IFERROR(__xludf.DUMMYFUNCTION("""COMPUTED_VALUE"""),"| 1 L CPT % | 2 L NS % | 3 P JAVA % | 5 P CPT @ ")</f>
        <v xml:space="preserve">| 1 L CPT % | 2 L NS % | 3 P JAVA % | 5 P CPT @ </v>
      </c>
      <c r="AJ38" s="4" t="str">
        <f ca="1">IFERROR(__xludf.DUMMYFUNCTION("""COMPUTED_VALUE"""),"| 1 L PHP-CGM % | 2 L JAVA % | 3 P Python % | 5 P PHP-CGM % ")</f>
        <v xml:space="preserve">| 1 L PHP-CGM % | 2 L JAVA % | 3 P Python % | 5 P PHP-CGM % </v>
      </c>
      <c r="AK38" s="4" t="str">
        <f ca="1">IFERROR(__xludf.DUMMYFUNCTION("""COMPUTED_VALUE"""),"| 2 P JAVA % | 3 L JAVA % | 4 L CPT % | 5 P Python @ ")</f>
        <v xml:space="preserve">| 2 P JAVA % | 3 L JAVA % | 4 L CPT % | 5 P Python @ </v>
      </c>
      <c r="AL3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38" s="4" t="str">
        <f ca="1">IFERROR(__xludf.DUMMYFUNCTION("""COMPUTED_VALUE"""),"| 1 L INE @ | 4 L NS % | 3 L PHP-CGM % | 5 L PRO @ ")</f>
        <v xml:space="preserve">| 1 L INE @ | 4 L NS % | 3 L PHP-CGM % | 5 L PRO @ </v>
      </c>
      <c r="AN38" s="4" t="str">
        <f ca="1">IFERROR(__xludf.DUMMYFUNCTION("""COMPUTED_VALUE"""),"| 1 L CPT % | 2 L NS % | 3 P JAVA % | 5 P CPT @ ")</f>
        <v xml:space="preserve">| 1 L CPT % | 2 L NS % | 3 P JAVA % | 5 P CPT @ </v>
      </c>
      <c r="AO38" s="4" t="str">
        <f ca="1">IFERROR(__xludf.DUMMYFUNCTION("""COMPUTED_VALUE"""),"| 1 L PHP-CGM % | 2 L JAVA % | 3 P Python % | 5 P PHP-CGM % ")</f>
        <v xml:space="preserve">| 1 L PHP-CGM % | 2 L JAVA % | 3 P Python % | 5 P PHP-CGM % </v>
      </c>
      <c r="AP38" s="4" t="str">
        <f ca="1">IFERROR(__xludf.DUMMYFUNCTION("""COMPUTED_VALUE"""),"| 2 P JAVA % | 3 L JAVA % | 4 L CPT % | 5 P Python @ ")</f>
        <v xml:space="preserve">| 2 P JAVA % | 3 L JAVA % | 4 L CPT % | 5 P Python @ </v>
      </c>
      <c r="AQ3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38" s="4" t="str">
        <f ca="1">IFERROR(__xludf.DUMMYFUNCTION("""COMPUTED_VALUE"""),"| 1 L INE % | 3 L PHP-CGM % | 4 L NS % | 5 L PRO @ ")</f>
        <v xml:space="preserve">| 1 L INE % | 3 L PHP-CGM % | 4 L NS % | 5 L PRO @ </v>
      </c>
      <c r="AS38" s="4" t="str">
        <f ca="1">IFERROR(__xludf.DUMMYFUNCTION("""COMPUTED_VALUE"""),"| 1 L PHP-CGM % | 2 L JAVA % | 3 P Python % | 5 P PHP-CGM @ ")</f>
        <v xml:space="preserve">| 1 L PHP-CGM % | 2 L JAVA % | 3 P Python % | 5 P PHP-CGM @ </v>
      </c>
      <c r="AT38" s="4" t="str">
        <f ca="1">IFERROR(__xludf.DUMMYFUNCTION("""COMPUTED_VALUE"""),"| 2 P JAVA % | 3 L JAVA % | 4 L CPT % | 5 P Python @ ")</f>
        <v xml:space="preserve">| 2 P JAVA % | 3 L JAVA % | 4 L CPT % | 5 P Python @ </v>
      </c>
      <c r="AU3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38" s="4" t="str">
        <f ca="1">IFERROR(__xludf.DUMMYFUNCTION("""COMPUTED_VALUE"""),"| 1 L INE % | 3 L PHP-CGM % | 4 L NS % | 7 L PRO % ")</f>
        <v xml:space="preserve">| 1 L INE % | 3 L PHP-CGM % | 4 L NS % | 7 L PRO % </v>
      </c>
      <c r="AW38" s="4" t="str">
        <f ca="1">IFERROR(__xludf.DUMMYFUNCTION("""COMPUTED_VALUE"""),"| 1 L CPT % | 2 L NS % | 3 P JAVA % | 5 P CPT % ")</f>
        <v xml:space="preserve">| 1 L CPT % | 2 L NS % | 3 P JAVA % | 5 P CPT % </v>
      </c>
      <c r="AX38" s="4" t="str">
        <f ca="1">IFERROR(__xludf.DUMMYFUNCTION("""COMPUTED_VALUE"""),"| 1 L PHP-CGM % | 2 L JAVA % | 3 P Python % | 5 P PHP-CGM % ")</f>
        <v xml:space="preserve">| 1 L PHP-CGM % | 2 L JAVA % | 3 P Python % | 5 P PHP-CGM % </v>
      </c>
      <c r="AY38" s="4" t="str">
        <f ca="1">IFERROR(__xludf.DUMMYFUNCTION("""COMPUTED_VALUE"""),"| 2 P JAVA % | 3 L JAVA % | 4 L CPT % | 5 P Python @ ")</f>
        <v xml:space="preserve">| 2 P JAVA % | 3 L JAVA % | 4 L CPT % | 5 P Python @ </v>
      </c>
      <c r="AZ38" s="4" t="str">
        <f ca="1">IFERROR(__xludf.DUMMYFUNCTION("""COMPUTED_VALUE"""),"| 1 L INE % | 3 L PHP-CGM % | 4 L NS % | 5 L PRO % ")</f>
        <v xml:space="preserve">| 1 L INE % | 3 L PHP-CGM % | 4 L NS % | 5 L PRO % </v>
      </c>
      <c r="BA38" s="4" t="str">
        <f ca="1">IFERROR(__xludf.DUMMYFUNCTION("""COMPUTED_VALUE"""),"| 1 L CPT % | 2 L NS % | 3 P JAVA % | 5 P CPT % ")</f>
        <v xml:space="preserve">| 1 L CPT % | 2 L NS % | 3 P JAVA % | 5 P CPT % </v>
      </c>
      <c r="BB38" s="4" t="str">
        <f ca="1">IFERROR(__xludf.DUMMYFUNCTION("""COMPUTED_VALUE"""),"| 1 L PHP-CGM % | 2 L JAVA % | 3 P Python % | 5 P PHP-CGM % ")</f>
        <v xml:space="preserve">| 1 L PHP-CGM % | 2 L JAVA % | 3 P Python % | 5 P PHP-CGM % </v>
      </c>
      <c r="BC38" s="4" t="str">
        <f ca="1">IFERROR(__xludf.DUMMYFUNCTION("""COMPUTED_VALUE"""),"| 2 P JAVA % | 3 L JAVA @ | 4 L CPT @  | 5 P Python @ ")</f>
        <v xml:space="preserve">| 2 P JAVA % | 3 L JAVA @ | 4 L CPT @  | 5 P Python @ </v>
      </c>
      <c r="BD38" s="4" t="str">
        <f ca="1">IFERROR(__xludf.DUMMYFUNCTION("""COMPUTED_VALUE"""),"| 1 P NS @ | 3 L NS @ | 6 L CPT @ | 5 L PHP-CGM @ | 4 L JAVA @ ")</f>
        <v xml:space="preserve">| 1 P NS @ | 3 L NS @ | 6 L CPT @ | 5 L PHP-CGM @ | 4 L JAVA @ </v>
      </c>
      <c r="BE38" s="4" t="str">
        <f ca="1">IFERROR(__xludf.DUMMYFUNCTION("""COMPUTED_VALUE"""),"| 1 L INE @ | 3 L PHP-CGM @ | 4 L NS @ | 5 L PRO @ ")</f>
        <v xml:space="preserve">| 1 L INE @ | 3 L PHP-CGM @ | 4 L NS @ | 5 L PRO @ </v>
      </c>
      <c r="BF38" s="4" t="str">
        <f ca="1">IFERROR(__xludf.DUMMYFUNCTION("""COMPUTED_VALUE"""),"| 1 L CPT @ | 2 L NS @ | 3 P JAVA @ | 5 P CPT @ ")</f>
        <v xml:space="preserve">| 1 L CPT @ | 2 L NS @ | 3 P JAVA @ | 5 P CPT @ </v>
      </c>
      <c r="BG38" s="4" t="str">
        <f ca="1">IFERROR(__xludf.DUMMYFUNCTION("""COMPUTED_VALUE"""),"| 2 P JAVA % | 4 L CPT % | 5 P Python % ")</f>
        <v xml:space="preserve">| 2 P JAVA % | 4 L CPT % | 5 P Python % </v>
      </c>
      <c r="BH38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I38" s="4" t="str">
        <f ca="1">IFERROR(__xludf.DUMMYFUNCTION("""COMPUTED_VALUE"""),"| 1 L INE @ | 3 L PHP-CGM % | 4 L NS % | 5 L PRO @ ")</f>
        <v xml:space="preserve">| 1 L INE @ | 3 L PHP-CGM % | 4 L NS % | 5 L PRO @ </v>
      </c>
      <c r="BJ38" s="4" t="str">
        <f ca="1">IFERROR(__xludf.DUMMYFUNCTION("""COMPUTED_VALUE"""),"| 1 L CPT % | 2 L NS % | 3 P JAVA % | 5 P CPT @ ")</f>
        <v xml:space="preserve">| 1 L CPT % | 2 L NS % | 3 P JAVA % | 5 P CPT @ </v>
      </c>
      <c r="BK38" s="4" t="str">
        <f ca="1">IFERROR(__xludf.DUMMYFUNCTION("""COMPUTED_VALUE"""),"| 1 L PHP-CGM @ | 2 L JAVA @ | 3 P Python @ ")</f>
        <v xml:space="preserve">| 1 L PHP-CGM @ | 2 L JAVA @ | 3 P Python @ </v>
      </c>
      <c r="BL38" s="4" t="str">
        <f ca="1">IFERROR(__xludf.DUMMYFUNCTION("""COMPUTED_VALUE"""),"| 2 P JAVA @ | 3 L JAVA @ | 4 L CPT @ | 5 P Python @ ")</f>
        <v xml:space="preserve">| 2 P JAVA @ | 3 L JAVA @ | 4 L CPT @ | 5 P Python @ </v>
      </c>
      <c r="BM38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38" s="4" t="str">
        <f ca="1">IFERROR(__xludf.DUMMYFUNCTION("""COMPUTED_VALUE"""),"| 1 L INE @ | 3 L PHP-CGM @ | 4 L NS @ | 5 L PRO @ ")</f>
        <v xml:space="preserve">| 1 L INE @ | 3 L PHP-CGM @ | 4 L NS @ | 5 L PRO @ </v>
      </c>
      <c r="BO38" s="4" t="str">
        <f ca="1">IFERROR(__xludf.DUMMYFUNCTION("""COMPUTED_VALUE"""),"| 1 L CPT @ | 2 L NS @ | 3 P JAVA @ ")</f>
        <v xml:space="preserve">| 1 L CPT @ | 2 L NS @ | 3 P JAVA @ </v>
      </c>
      <c r="BP38" s="4" t="str">
        <f ca="1">IFERROR(__xludf.DUMMYFUNCTION("""COMPUTED_VALUE"""),"| 1 L PHP-CGM % | 2 L JAVA % | 3 P Python % | 5 P PHP-CGM @ ")</f>
        <v xml:space="preserve">| 1 L PHP-CGM % | 2 L JAVA % | 3 P Python % | 5 P PHP-CGM @ </v>
      </c>
      <c r="BQ38" s="4" t="str">
        <f ca="1">IFERROR(__xludf.DUMMYFUNCTION("""COMPUTED_VALUE"""),"| 5 L PHP-CGM % | 6 L CPT @ ")</f>
        <v xml:space="preserve">| 5 L PHP-CGM % | 6 L CPT @ </v>
      </c>
      <c r="BR38" s="4"/>
      <c r="BS38" s="4"/>
      <c r="BT38" s="4" t="str">
        <f ca="1">IFERROR(__xludf.DUMMYFUNCTION("""COMPUTED_VALUE"""),"| 1 L PHP-CGM % | 2 L JAVA % ")</f>
        <v xml:space="preserve">| 1 L PHP-CGM % | 2 L JAVA % </v>
      </c>
      <c r="BU38" s="4" t="str">
        <f ca="1">IFERROR(__xludf.DUMMYFUNCTION("""COMPUTED_VALUE"""),"| 2 P JAVA @ | 4 L CPT @ | 3 L JAVA @ ")</f>
        <v xml:space="preserve">| 2 P JAVA @ | 4 L CPT @ | 3 L JAVA @ </v>
      </c>
      <c r="BV38" s="4" t="str">
        <f ca="1">IFERROR(__xludf.DUMMYFUNCTION("""COMPUTED_VALUE"""),"| 1 L PHP-CGM % | 2 L JAVA % | 3 P Python @ | 5 P PHP-CGM @ ")</f>
        <v xml:space="preserve">| 1 L PHP-CGM % | 2 L JAVA % | 3 P Python @ | 5 P PHP-CGM @ </v>
      </c>
      <c r="BW38" s="4" t="str">
        <f ca="1">IFERROR(__xludf.DUMMYFUNCTION("""COMPUTED_VALUE"""),"| 2 P JAVA % | 3 L JAVA @ | 4 L CPT @ ")</f>
        <v xml:space="preserve">| 2 P JAVA % | 3 L JAVA @ | 4 L CPT @ </v>
      </c>
      <c r="BX38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38" s="4" t="str">
        <f ca="1">IFERROR(__xludf.DUMMYFUNCTION("""COMPUTED_VALUE"""),"| 1 L INE @ | 3 L PHP-CGM @ | 4 L NS @ | 5 L PRO @ ")</f>
        <v xml:space="preserve">| 1 L INE @ | 3 L PHP-CGM @ | 4 L NS @ | 5 L PRO @ </v>
      </c>
      <c r="BZ38" s="4" t="str">
        <f ca="1">IFERROR(__xludf.DUMMYFUNCTION("""COMPUTED_VALUE"""),"| 1 L CPT % | 2 L NS % | 3 P JAVA % | 5 P CPT % ")</f>
        <v xml:space="preserve">| 1 L CPT % | 2 L NS % | 3 P JAVA % | 5 P CPT % </v>
      </c>
      <c r="CA38" s="4" t="str">
        <f ca="1">IFERROR(__xludf.DUMMYFUNCTION("""COMPUTED_VALUE"""),"| 1 L PHP-CGM % | 2 L JAVA % | 3 P Python % | 5 P PHP-CGM @ ")</f>
        <v xml:space="preserve">| 1 L PHP-CGM % | 2 L JAVA % | 3 P Python % | 5 P PHP-CGM @ </v>
      </c>
      <c r="CB38" s="4" t="str">
        <f ca="1">IFERROR(__xludf.DUMMYFUNCTION("""COMPUTED_VALUE"""),"| 2 P JAVA % | 3 L JAVA % | 4 L CPT % | 3 P Python @ ")</f>
        <v xml:space="preserve">| 2 P JAVA % | 3 L JAVA % | 4 L CPT % | 3 P Python @ </v>
      </c>
      <c r="CC38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CD38" s="4" t="str">
        <f ca="1">IFERROR(__xludf.DUMMYFUNCTION("""COMPUTED_VALUE"""),"| 1 L INE % | 3 L PHP-CGM % | 4 L NS % | 5 L PRO @ ")</f>
        <v xml:space="preserve">| 1 L INE % | 3 L PHP-CGM % | 4 L NS % | 5 L PRO @ </v>
      </c>
      <c r="CE38" s="4" t="str">
        <f ca="1">IFERROR(__xludf.DUMMYFUNCTION("""COMPUTED_VALUE"""),"| 1 L CPT % | 2 L NS % | 3 P JAVA % | 5 P CPT % ")</f>
        <v xml:space="preserve">| 1 L CPT % | 2 L NS % | 3 P JAVA % | 5 P CPT % </v>
      </c>
      <c r="CF38" s="4" t="str">
        <f ca="1">IFERROR(__xludf.DUMMYFUNCTION("""COMPUTED_VALUE"""),"| 1 L PHP-CGM % | 2 L JAVA % | 3 P Python % | 5 P PHP-CGM % ")</f>
        <v xml:space="preserve">| 1 L PHP-CGM % | 2 L JAVA % | 3 P Python % | 5 P PHP-CGM % </v>
      </c>
      <c r="CG38" s="4" t="str">
        <f ca="1">IFERROR(__xludf.DUMMYFUNCTION("""COMPUTED_VALUE"""),"| 2 P JAVA % | 4 L CPT % ")</f>
        <v xml:space="preserve">| 2 P JAVA % | 4 L CPT % </v>
      </c>
      <c r="CH38" s="4" t="str">
        <f ca="1">IFERROR(__xludf.DUMMYFUNCTION("""COMPUTED_VALUE"""),"| 1 P NS % | 3 L NS @ | 6 L CPT @ ")</f>
        <v xml:space="preserve">| 1 P NS % | 3 L NS @ | 6 L CPT @ </v>
      </c>
      <c r="CI38" s="4" t="str">
        <f ca="1">IFERROR(__xludf.DUMMYFUNCTION("""COMPUTED_VALUE"""),"| 1 L INE @ ")</f>
        <v xml:space="preserve">| 1 L INE @ </v>
      </c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</row>
    <row r="39" spans="1:102" ht="12.5" x14ac:dyDescent="0.25">
      <c r="A39" s="3">
        <f ca="1">IFERROR(__xludf.DUMMYFUNCTION("""COMPUTED_VALUE"""),2)</f>
        <v>2</v>
      </c>
      <c r="B39" s="3" t="str">
        <f ca="1">IFERROR(__xludf.DUMMYFUNCTION("""COMPUTED_VALUE"""),"A")</f>
        <v>A</v>
      </c>
      <c r="C39" s="32" t="str">
        <f ca="1">IFERROR(__xludf.DUMMYFUNCTION("""COMPUTED_VALUE"""),"23291341105")</f>
        <v>23291341105</v>
      </c>
      <c r="D39" s="21" t="str">
        <f ca="1">IFERROR(__xludf.DUMMYFUNCTION("""COMPUTED_VALUE"""),"PATEL MANTHAN JIGNESHBHAI")</f>
        <v>PATEL MANTHAN JIGNESHBHAI</v>
      </c>
      <c r="E39" s="3" t="str">
        <f ca="1">IFERROR(__xludf.DUMMYFUNCTION("""COMPUTED_VALUE"""),"RRP-Mor")</f>
        <v>RRP-Mor</v>
      </c>
      <c r="F39" s="3">
        <f ca="1">IFERROR(__xludf.DUMMYFUNCTION("""COMPUTED_VALUE"""),9327461854)</f>
        <v>9327461854</v>
      </c>
      <c r="G39" s="3">
        <f ca="1">IFERROR(__xludf.DUMMYFUNCTION("""COMPUTED_VALUE"""),9998341872)</f>
        <v>9998341872</v>
      </c>
      <c r="H39" s="33">
        <f ca="1">IFERROR(__xludf.DUMMYFUNCTION("""COMPUTED_VALUE"""),0.55)</f>
        <v>0.55000000000000004</v>
      </c>
      <c r="I39" s="25">
        <f ca="1">IFERROR(__xludf.DUMMYFUNCTION("""COMPUTED_VALUE"""),0.444444444444444)</f>
        <v>0.44444444444444398</v>
      </c>
      <c r="J39" s="25">
        <f ca="1">IFERROR(__xludf.DUMMYFUNCTION("""COMPUTED_VALUE"""),0.7)</f>
        <v>0.7</v>
      </c>
      <c r="K39" s="25">
        <f ca="1">IFERROR(__xludf.DUMMYFUNCTION("""COMPUTED_VALUE"""),0.617647058823529)</f>
        <v>0.61764705882352899</v>
      </c>
      <c r="L39" s="25">
        <f ca="1">IFERROR(__xludf.DUMMYFUNCTION("""COMPUTED_VALUE"""),0.727272727272727)</f>
        <v>0.72727272727272696</v>
      </c>
      <c r="M39" s="25">
        <f ca="1">IFERROR(__xludf.DUMMYFUNCTION("""COMPUTED_VALUE"""),0.527777777777777)</f>
        <v>0.52777777777777701</v>
      </c>
      <c r="N39" s="25">
        <f ca="1">IFERROR(__xludf.DUMMYFUNCTION("""COMPUTED_VALUE"""),0.545454545454545)</f>
        <v>0.54545454545454497</v>
      </c>
      <c r="O39" s="25">
        <f ca="1">IFERROR(__xludf.DUMMYFUNCTION("""COMPUTED_VALUE"""),0.636363636363636)</f>
        <v>0.63636363636363602</v>
      </c>
      <c r="P39" s="25">
        <f ca="1">IFERROR(__xludf.DUMMYFUNCTION("""COMPUTED_VALUE"""),0.708333333333333)</f>
        <v>0.70833333333333304</v>
      </c>
      <c r="Q39" s="25">
        <f ca="1">IFERROR(__xludf.DUMMYFUNCTION("""COMPUTED_VALUE"""),0)</f>
        <v>0</v>
      </c>
      <c r="R39" s="25">
        <f ca="1">IFERROR(__xludf.DUMMYFUNCTION("""COMPUTED_VALUE"""),0.59090909090909)</f>
        <v>0.59090909090909005</v>
      </c>
      <c r="S39" s="25">
        <f ca="1">IFERROR(__xludf.DUMMYFUNCTION("""COMPUTED_VALUE"""),0.1)</f>
        <v>0.1</v>
      </c>
      <c r="T39" s="25">
        <f ca="1">IFERROR(__xludf.DUMMYFUNCTION("""COMPUTED_VALUE"""),0.5)</f>
        <v>0.5</v>
      </c>
      <c r="U39" s="25">
        <f ca="1">IFERROR(__xludf.DUMMYFUNCTION("""COMPUTED_VALUE"""),0.181818181818181)</f>
        <v>0.18181818181818099</v>
      </c>
      <c r="V39" s="25">
        <f ca="1">IFERROR(__xludf.DUMMYFUNCTION("""COMPUTED_VALUE"""),0)</f>
        <v>0</v>
      </c>
      <c r="W39" s="4"/>
      <c r="X39" s="4" t="str">
        <f ca="1">IFERROR(__xludf.DUMMYFUNCTION("""COMPUTED_VALUE"""),"| 1 L PHP-CGM % | 3 P Python % | 5 P PHP-CGM % ")</f>
        <v xml:space="preserve">| 1 L PHP-CGM % | 3 P Python % | 5 P PHP-CGM % </v>
      </c>
      <c r="Y39" s="4" t="str">
        <f ca="1">IFERROR(__xludf.DUMMYFUNCTION("""COMPUTED_VALUE"""),"| 1 P JAVA % | 3 L JAVA % | 4 L CPT % | 5 P Python % ")</f>
        <v xml:space="preserve">| 1 P JAVA % | 3 L JAVA % | 4 L CPT % | 5 P Python % </v>
      </c>
      <c r="Z3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39" s="4" t="str">
        <f ca="1">IFERROR(__xludf.DUMMYFUNCTION("""COMPUTED_VALUE"""),"| 3 L PHP-CGM % | 4 L NS % | 1 L INE % | 5 P PRO % ")</f>
        <v xml:space="preserve">| 3 L PHP-CGM % | 4 L NS % | 1 L INE % | 5 P PRO % </v>
      </c>
      <c r="AB39" s="4" t="str">
        <f ca="1">IFERROR(__xludf.DUMMYFUNCTION("""COMPUTED_VALUE"""),"| 1 L CPT % | 2 L NS % | 3 P JAVA % | 5 P CPT % ")</f>
        <v xml:space="preserve">| 1 L CPT % | 2 L NS % | 3 P JAVA % | 5 P CPT % </v>
      </c>
      <c r="AC39" s="4" t="str">
        <f ca="1">IFERROR(__xludf.DUMMYFUNCTION("""COMPUTED_VALUE"""),"| 1 L PHP-CGM @ | 2 L JAVA @ | 3 P Python % | 5 P PHP-CGM % ")</f>
        <v xml:space="preserve">| 1 L PHP-CGM @ | 2 L JAVA @ | 3 P Python % | 5 P PHP-CGM % </v>
      </c>
      <c r="AD39" s="4" t="str">
        <f ca="1">IFERROR(__xludf.DUMMYFUNCTION("""COMPUTED_VALUE"""),"| 2 P JAVA % | 3 L JAVA % | 4 L CPT % | 5 P Python % ")</f>
        <v xml:space="preserve">| 2 P JAVA % | 3 L JAVA % | 4 L CPT % | 5 P Python % </v>
      </c>
      <c r="AE39" s="4" t="str">
        <f ca="1">IFERROR(__xludf.DUMMYFUNCTION("""COMPUTED_VALUE"""),"| 1 P NS % | 4 L JAVA % | 3 L NS % | 5 L PHP-CGM @ | 6 L CPT @ ")</f>
        <v xml:space="preserve">| 1 P NS % | 4 L JAVA % | 3 L NS % | 5 L PHP-CGM @ | 6 L CPT @ </v>
      </c>
      <c r="AF39" s="4" t="str">
        <f ca="1">IFERROR(__xludf.DUMMYFUNCTION("""COMPUTED_VALUE"""),"| 3 L PHP-CGM % | 4 L NS % | 5 P PRO @ ")</f>
        <v xml:space="preserve">| 3 L PHP-CGM % | 4 L NS % | 5 P PRO @ </v>
      </c>
      <c r="AG39" s="4" t="str">
        <f ca="1">IFERROR(__xludf.DUMMYFUNCTION("""COMPUTED_VALUE"""),"| 1 L CPT % | 2 L NS % | 3 P JAVA % | 5 P CPT % ")</f>
        <v xml:space="preserve">| 1 L CPT % | 2 L NS % | 3 P JAVA % | 5 P CPT % </v>
      </c>
      <c r="AH39" s="4" t="str">
        <f ca="1">IFERROR(__xludf.DUMMYFUNCTION("""COMPUTED_VALUE"""),"| 3 L PHP-CGM % | 4 L NS % | 5 L PRO @ ")</f>
        <v xml:space="preserve">| 3 L PHP-CGM % | 4 L NS % | 5 L PRO @ </v>
      </c>
      <c r="AI39" s="4" t="str">
        <f ca="1">IFERROR(__xludf.DUMMYFUNCTION("""COMPUTED_VALUE"""),"| 1 L CPT @ | 2 L NS @ | 3 P JAVA @ | 5 P CPT @ ")</f>
        <v xml:space="preserve">| 1 L CPT @ | 2 L NS @ | 3 P JAVA @ | 5 P CPT @ </v>
      </c>
      <c r="AJ39" s="4" t="str">
        <f ca="1">IFERROR(__xludf.DUMMYFUNCTION("""COMPUTED_VALUE"""),"| 1 L PHP-CGM @ | 2 L JAVA @ | 3 P Python @ | 5 P PHP-CGM @ ")</f>
        <v xml:space="preserve">| 1 L PHP-CGM @ | 2 L JAVA @ | 3 P Python @ | 5 P PHP-CGM @ </v>
      </c>
      <c r="AK39" s="4" t="str">
        <f ca="1">IFERROR(__xludf.DUMMYFUNCTION("""COMPUTED_VALUE"""),"| 2 P JAVA @ | 3 L JAVA @ | 4 L CPT @ | 5 P Python @ ")</f>
        <v xml:space="preserve">| 2 P JAVA @ | 3 L JAVA @ | 4 L CPT @ | 5 P Python @ </v>
      </c>
      <c r="AL39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M39" s="4" t="str">
        <f ca="1">IFERROR(__xludf.DUMMYFUNCTION("""COMPUTED_VALUE"""),"| 1 L INE @ | 4 L NS @ | 3 L PHP-CGM @ | 5 L PRO @ ")</f>
        <v xml:space="preserve">| 1 L INE @ | 4 L NS @ | 3 L PHP-CGM @ | 5 L PRO @ </v>
      </c>
      <c r="AN39" s="4" t="str">
        <f ca="1">IFERROR(__xludf.DUMMYFUNCTION("""COMPUTED_VALUE"""),"| 1 L CPT @ | 2 L NS @ | 3 P JAVA @ | 5 P CPT @ ")</f>
        <v xml:space="preserve">| 1 L CPT @ | 2 L NS @ | 3 P JAVA @ | 5 P CPT @ </v>
      </c>
      <c r="AO39" s="4" t="str">
        <f ca="1">IFERROR(__xludf.DUMMYFUNCTION("""COMPUTED_VALUE"""),"| 1 L PHP-CGM % | 2 L JAVA % | 3 P Python % | 5 P PHP-CGM % ")</f>
        <v xml:space="preserve">| 1 L PHP-CGM % | 2 L JAVA % | 3 P Python % | 5 P PHP-CGM % </v>
      </c>
      <c r="AP39" s="4" t="str">
        <f ca="1">IFERROR(__xludf.DUMMYFUNCTION("""COMPUTED_VALUE"""),"| 2 P JAVA % | 3 L JAVA @ | 4 L CPT @ | 5 P Python % ")</f>
        <v xml:space="preserve">| 2 P JAVA % | 3 L JAVA @ | 4 L CPT @ | 5 P Python % </v>
      </c>
      <c r="AQ39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R39" s="4" t="str">
        <f ca="1">IFERROR(__xludf.DUMMYFUNCTION("""COMPUTED_VALUE"""),"| 1 L INE @ | 3 L PHP-CGM @ | 4 L NS @ | 5 L PRO @ ")</f>
        <v xml:space="preserve">| 1 L INE @ | 3 L PHP-CGM @ | 4 L NS @ | 5 L PRO @ </v>
      </c>
      <c r="AS39" s="4" t="str">
        <f ca="1">IFERROR(__xludf.DUMMYFUNCTION("""COMPUTED_VALUE"""),"| 1 L PHP-CGM % | 2 L JAVA % | 3 P Python @ | 5 P PHP-CGM % ")</f>
        <v xml:space="preserve">| 1 L PHP-CGM % | 2 L JAVA % | 3 P Python @ | 5 P PHP-CGM % </v>
      </c>
      <c r="AT39" s="4" t="str">
        <f ca="1">IFERROR(__xludf.DUMMYFUNCTION("""COMPUTED_VALUE"""),"| 2 P JAVA % | 3 L JAVA % | 4 L CPT % | 5 P Python % ")</f>
        <v xml:space="preserve">| 2 P JAVA % | 3 L JAVA % | 4 L CPT % | 5 P Python % </v>
      </c>
      <c r="AU39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V39" s="4" t="str">
        <f ca="1">IFERROR(__xludf.DUMMYFUNCTION("""COMPUTED_VALUE"""),"| 1 L INE @ | 3 L PHP-CGM % | 4 L NS % | 7 L PRO @ ")</f>
        <v xml:space="preserve">| 1 L INE @ | 3 L PHP-CGM % | 4 L NS % | 7 L PRO @ </v>
      </c>
      <c r="AW39" s="4" t="str">
        <f ca="1">IFERROR(__xludf.DUMMYFUNCTION("""COMPUTED_VALUE"""),"| 1 L CPT % | 2 L NS % | 3 P JAVA @ | 5 P CPT % ")</f>
        <v xml:space="preserve">| 1 L CPT % | 2 L NS % | 3 P JAVA @ | 5 P CPT % </v>
      </c>
      <c r="AX39" s="4" t="str">
        <f ca="1">IFERROR(__xludf.DUMMYFUNCTION("""COMPUTED_VALUE"""),"| 1 L PHP-CGM % | 2 L JAVA % | 3 P Python % | 5 P PHP-CGM @ ")</f>
        <v xml:space="preserve">| 1 L PHP-CGM % | 2 L JAVA % | 3 P Python % | 5 P PHP-CGM @ </v>
      </c>
      <c r="AY39" s="4" t="str">
        <f ca="1">IFERROR(__xludf.DUMMYFUNCTION("""COMPUTED_VALUE"""),"| 2 P JAVA % | 3 L JAVA % | 4 L CPT % | 5 P Python % ")</f>
        <v xml:space="preserve">| 2 P JAVA % | 3 L JAVA % | 4 L CPT % | 5 P Python % </v>
      </c>
      <c r="AZ39" s="4" t="str">
        <f ca="1">IFERROR(__xludf.DUMMYFUNCTION("""COMPUTED_VALUE"""),"| 1 L INE @ | 3 L PHP-CGM % | 4 L NS % | 5 L PRO @ ")</f>
        <v xml:space="preserve">| 1 L INE @ | 3 L PHP-CGM % | 4 L NS % | 5 L PRO @ </v>
      </c>
      <c r="BA39" s="4" t="str">
        <f ca="1">IFERROR(__xludf.DUMMYFUNCTION("""COMPUTED_VALUE"""),"| 1 L CPT % | 2 L NS % | 3 P JAVA % | 5 P CPT @ ")</f>
        <v xml:space="preserve">| 1 L CPT % | 2 L NS % | 3 P JAVA % | 5 P CPT @ </v>
      </c>
      <c r="BB39" s="4" t="str">
        <f ca="1">IFERROR(__xludf.DUMMYFUNCTION("""COMPUTED_VALUE"""),"| 1 L PHP-CGM % | 2 L JAVA % | 3 P Python @ | 5 P PHP-CGM @ ")</f>
        <v xml:space="preserve">| 1 L PHP-CGM % | 2 L JAVA % | 3 P Python @ | 5 P PHP-CGM @ </v>
      </c>
      <c r="BC39" s="4" t="str">
        <f ca="1">IFERROR(__xludf.DUMMYFUNCTION("""COMPUTED_VALUE"""),"| 2 P JAVA % | 3 L JAVA @ | 4 L CPT @  | 5 P Python @ ")</f>
        <v xml:space="preserve">| 2 P JAVA % | 3 L JAVA @ | 4 L CPT @  | 5 P Python @ </v>
      </c>
      <c r="BD39" s="4" t="str">
        <f ca="1">IFERROR(__xludf.DUMMYFUNCTION("""COMPUTED_VALUE"""),"| 1 P NS % | 3 L NS % | 6 L CPT @ | 5 L PHP-CGM @ | 4 L JAVA % ")</f>
        <v xml:space="preserve">| 1 P NS % | 3 L NS % | 6 L CPT @ | 5 L PHP-CGM @ | 4 L JAVA % </v>
      </c>
      <c r="BE39" s="4" t="str">
        <f ca="1">IFERROR(__xludf.DUMMYFUNCTION("""COMPUTED_VALUE"""),"| 1 L INE @ | 3 L PHP-CGM % | 4 L NS % | 5 L PRO % ")</f>
        <v xml:space="preserve">| 1 L INE @ | 3 L PHP-CGM % | 4 L NS % | 5 L PRO % </v>
      </c>
      <c r="BF39" s="4" t="str">
        <f ca="1">IFERROR(__xludf.DUMMYFUNCTION("""COMPUTED_VALUE"""),"| 1 L CPT % | 2 L NS % | 3 P JAVA % | 5 P CPT % ")</f>
        <v xml:space="preserve">| 1 L CPT % | 2 L NS % | 3 P JAVA % | 5 P CPT % </v>
      </c>
      <c r="BG39" s="4" t="str">
        <f ca="1">IFERROR(__xludf.DUMMYFUNCTION("""COMPUTED_VALUE"""),"| 2 P JAVA % | 4 L CPT % | 5 P Python % ")</f>
        <v xml:space="preserve">| 2 P JAVA % | 4 L CPT % | 5 P Python % </v>
      </c>
      <c r="BH39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I39" s="4" t="str">
        <f ca="1">IFERROR(__xludf.DUMMYFUNCTION("""COMPUTED_VALUE"""),"| 1 L INE @ | 3 L PHP-CGM % | 4 L NS % | 5 L PRO @ ")</f>
        <v xml:space="preserve">| 1 L INE @ | 3 L PHP-CGM % | 4 L NS % | 5 L PRO @ </v>
      </c>
      <c r="BJ39" s="4" t="str">
        <f ca="1">IFERROR(__xludf.DUMMYFUNCTION("""COMPUTED_VALUE"""),"| 1 L CPT % | 2 L NS % | 3 P JAVA % | 5 P CPT % ")</f>
        <v xml:space="preserve">| 1 L CPT % | 2 L NS % | 3 P JAVA % | 5 P CPT % </v>
      </c>
      <c r="BK39" s="4" t="str">
        <f ca="1">IFERROR(__xludf.DUMMYFUNCTION("""COMPUTED_VALUE"""),"| 1 L PHP-CGM % | 2 L JAVA % | 3 P Python @ ")</f>
        <v xml:space="preserve">| 1 L PHP-CGM % | 2 L JAVA % | 3 P Python @ </v>
      </c>
      <c r="BL39" s="4" t="str">
        <f ca="1">IFERROR(__xludf.DUMMYFUNCTION("""COMPUTED_VALUE"""),"| 2 P JAVA % | 3 L JAVA % | 4 L CPT % | 5 P Python @ ")</f>
        <v xml:space="preserve">| 2 P JAVA % | 3 L JAVA % | 4 L CPT % | 5 P Python @ </v>
      </c>
      <c r="BM39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39" s="4" t="str">
        <f ca="1">IFERROR(__xludf.DUMMYFUNCTION("""COMPUTED_VALUE"""),"| 1 L INE @ | 3 L PHP-CGM @ | 4 L NS @ | 5 L PRO @ ")</f>
        <v xml:space="preserve">| 1 L INE @ | 3 L PHP-CGM @ | 4 L NS @ | 5 L PRO @ </v>
      </c>
      <c r="BO39" s="4" t="str">
        <f ca="1">IFERROR(__xludf.DUMMYFUNCTION("""COMPUTED_VALUE"""),"| 1 L CPT @ | 2 L NS @ | 3 P JAVA @ ")</f>
        <v xml:space="preserve">| 1 L CPT @ | 2 L NS @ | 3 P JAVA @ </v>
      </c>
      <c r="BP39" s="4" t="str">
        <f ca="1">IFERROR(__xludf.DUMMYFUNCTION("""COMPUTED_VALUE"""),"| 1 L PHP-CGM @ | 2 L JAVA % | 3 P Python % | 5 P PHP-CGM % ")</f>
        <v xml:space="preserve">| 1 L PHP-CGM @ | 2 L JAVA % | 3 P Python % | 5 P PHP-CGM % </v>
      </c>
      <c r="BQ39" s="4" t="str">
        <f ca="1">IFERROR(__xludf.DUMMYFUNCTION("""COMPUTED_VALUE"""),"| 5 L PHP-CGM % | 6 L CPT @ ")</f>
        <v xml:space="preserve">| 5 L PHP-CGM % | 6 L CPT @ </v>
      </c>
      <c r="BR39" s="4"/>
      <c r="BS39" s="4"/>
      <c r="BT39" s="4" t="str">
        <f ca="1">IFERROR(__xludf.DUMMYFUNCTION("""COMPUTED_VALUE"""),"| 1 L PHP-CGM % | 2 L JAVA % ")</f>
        <v xml:space="preserve">| 1 L PHP-CGM % | 2 L JAVA % </v>
      </c>
      <c r="BU39" s="4" t="str">
        <f ca="1">IFERROR(__xludf.DUMMYFUNCTION("""COMPUTED_VALUE"""),"| 2 P JAVA @ | 4 L CPT @ | 3 L JAVA @ ")</f>
        <v xml:space="preserve">| 2 P JAVA @ | 4 L CPT @ | 3 L JAVA @ </v>
      </c>
      <c r="BV39" s="4" t="str">
        <f ca="1">IFERROR(__xludf.DUMMYFUNCTION("""COMPUTED_VALUE"""),"| 1 L PHP-CGM % | 2 L JAVA % | 3 P Python @ | 5 P PHP-CGM @ ")</f>
        <v xml:space="preserve">| 1 L PHP-CGM % | 2 L JAVA % | 3 P Python @ | 5 P PHP-CGM @ </v>
      </c>
      <c r="BW39" s="4" t="str">
        <f ca="1">IFERROR(__xludf.DUMMYFUNCTION("""COMPUTED_VALUE"""),"| 2 P JAVA % | 3 L JAVA % | 4 L CPT % ")</f>
        <v xml:space="preserve">| 2 P JAVA % | 3 L JAVA % | 4 L CPT % </v>
      </c>
      <c r="BX39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Y39" s="4" t="str">
        <f ca="1">IFERROR(__xludf.DUMMYFUNCTION("""COMPUTED_VALUE"""),"| 1 L INE @ | 3 L PHP-CGM % | 4 L NS % | 5 L PRO @ ")</f>
        <v xml:space="preserve">| 1 L INE @ | 3 L PHP-CGM % | 4 L NS % | 5 L PRO @ </v>
      </c>
      <c r="BZ39" s="4" t="str">
        <f ca="1">IFERROR(__xludf.DUMMYFUNCTION("""COMPUTED_VALUE"""),"| 1 L CPT % | 2 L NS % | 3 P JAVA % | 5 P CPT % ")</f>
        <v xml:space="preserve">| 1 L CPT % | 2 L NS % | 3 P JAVA % | 5 P CPT % </v>
      </c>
      <c r="CA39" s="4" t="str">
        <f ca="1">IFERROR(__xludf.DUMMYFUNCTION("""COMPUTED_VALUE"""),"| 1 L PHP-CGM % | 2 L JAVA % | 3 P Python @ | 5 P PHP-CGM @ ")</f>
        <v xml:space="preserve">| 1 L PHP-CGM % | 2 L JAVA % | 3 P Python @ | 5 P PHP-CGM @ </v>
      </c>
      <c r="CB39" s="4" t="str">
        <f ca="1">IFERROR(__xludf.DUMMYFUNCTION("""COMPUTED_VALUE"""),"| 2 P JAVA % | 3 L JAVA @ | 4 L CPT @ | 3 P Python % ")</f>
        <v xml:space="preserve">| 2 P JAVA % | 3 L JAVA @ | 4 L CPT @ | 3 P Python % </v>
      </c>
      <c r="CC39" s="4" t="str">
        <f ca="1">IFERROR(__xludf.DUMMYFUNCTION("""COMPUTED_VALUE"""),"| 1 P NS % | 3 L NS @ | 4 L JAVA @ | 5 L PHP-CGM @ | 6 L CPT @ ")</f>
        <v xml:space="preserve">| 1 P NS % | 3 L NS @ | 4 L JAVA @ | 5 L PHP-CGM @ | 6 L CPT @ </v>
      </c>
      <c r="CD39" s="4" t="str">
        <f ca="1">IFERROR(__xludf.DUMMYFUNCTION("""COMPUTED_VALUE"""),"| 1 L INE % | 3 L PHP-CGM @ | 4 L NS @ | 5 L PRO @ ")</f>
        <v xml:space="preserve">| 1 L INE % | 3 L PHP-CGM @ | 4 L NS @ | 5 L PRO @ </v>
      </c>
      <c r="CE39" s="4" t="str">
        <f ca="1">IFERROR(__xludf.DUMMYFUNCTION("""COMPUTED_VALUE"""),"| 1 L CPT @ | 2 L NS @ | 3 P JAVA @ | 5 P CPT % ")</f>
        <v xml:space="preserve">| 1 L CPT @ | 2 L NS @ | 3 P JAVA @ | 5 P CPT % </v>
      </c>
      <c r="CF39" s="4" t="str">
        <f ca="1">IFERROR(__xludf.DUMMYFUNCTION("""COMPUTED_VALUE"""),"| 1 L PHP-CGM @ | 2 L JAVA @ | 3 P Python % | 5 P PHP-CGM % ")</f>
        <v xml:space="preserve">| 1 L PHP-CGM @ | 2 L JAVA @ | 3 P Python % | 5 P PHP-CGM % </v>
      </c>
      <c r="CG39" s="4" t="str">
        <f ca="1">IFERROR(__xludf.DUMMYFUNCTION("""COMPUTED_VALUE"""),"| 2 P JAVA % | 4 L CPT % ")</f>
        <v xml:space="preserve">| 2 P JAVA % | 4 L CPT % </v>
      </c>
      <c r="CH39" s="4" t="str">
        <f ca="1">IFERROR(__xludf.DUMMYFUNCTION("""COMPUTED_VALUE"""),"| 1 P NS % | 3 L NS @ | 6 L CPT @ ")</f>
        <v xml:space="preserve">| 1 P NS % | 3 L NS @ | 6 L CPT @ </v>
      </c>
      <c r="CI39" s="4" t="str">
        <f ca="1">IFERROR(__xludf.DUMMYFUNCTION("""COMPUTED_VALUE"""),"| 1 L INE @ ")</f>
        <v xml:space="preserve">| 1 L INE @ </v>
      </c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</row>
    <row r="40" spans="1:102" ht="12.5" x14ac:dyDescent="0.25">
      <c r="A40" s="3">
        <f ca="1">IFERROR(__xludf.DUMMYFUNCTION("""COMPUTED_VALUE"""),2)</f>
        <v>2</v>
      </c>
      <c r="B40" s="3" t="str">
        <f ca="1">IFERROR(__xludf.DUMMYFUNCTION("""COMPUTED_VALUE"""),"A")</f>
        <v>A</v>
      </c>
      <c r="C40" s="32" t="str">
        <f ca="1">IFERROR(__xludf.DUMMYFUNCTION("""COMPUTED_VALUE"""),"23291341109")</f>
        <v>23291341109</v>
      </c>
      <c r="D40" s="21" t="str">
        <f ca="1">IFERROR(__xludf.DUMMYFUNCTION("""COMPUTED_VALUE"""),"PATEL NEHA NARANBHAI")</f>
        <v>PATEL NEHA NARANBHAI</v>
      </c>
      <c r="E40" s="3" t="str">
        <f ca="1">IFERROR(__xludf.DUMMYFUNCTION("""COMPUTED_VALUE"""),"RRP-Mor")</f>
        <v>RRP-Mor</v>
      </c>
      <c r="F40" s="3">
        <f ca="1">IFERROR(__xludf.DUMMYFUNCTION("""COMPUTED_VALUE"""),7359738953)</f>
        <v>7359738953</v>
      </c>
      <c r="G40" s="3">
        <f ca="1">IFERROR(__xludf.DUMMYFUNCTION("""COMPUTED_VALUE"""),9429738953)</f>
        <v>9429738953</v>
      </c>
      <c r="H40" s="33">
        <f ca="1">IFERROR(__xludf.DUMMYFUNCTION("""COMPUTED_VALUE"""),0.8)</f>
        <v>0.8</v>
      </c>
      <c r="I40" s="25">
        <f ca="1">IFERROR(__xludf.DUMMYFUNCTION("""COMPUTED_VALUE"""),0.694444444444444)</f>
        <v>0.69444444444444398</v>
      </c>
      <c r="J40" s="25">
        <f ca="1">IFERROR(__xludf.DUMMYFUNCTION("""COMPUTED_VALUE"""),0.6)</f>
        <v>0.6</v>
      </c>
      <c r="K40" s="25">
        <f ca="1">IFERROR(__xludf.DUMMYFUNCTION("""COMPUTED_VALUE"""),0.764705882352941)</f>
        <v>0.76470588235294101</v>
      </c>
      <c r="L40" s="25">
        <f ca="1">IFERROR(__xludf.DUMMYFUNCTION("""COMPUTED_VALUE"""),1)</f>
        <v>1</v>
      </c>
      <c r="M40" s="25">
        <f ca="1">IFERROR(__xludf.DUMMYFUNCTION("""COMPUTED_VALUE"""),0.805555555555555)</f>
        <v>0.80555555555555503</v>
      </c>
      <c r="N40" s="25">
        <f ca="1">IFERROR(__xludf.DUMMYFUNCTION("""COMPUTED_VALUE"""),0.909090909090909)</f>
        <v>0.90909090909090895</v>
      </c>
      <c r="O40" s="25">
        <f ca="1">IFERROR(__xludf.DUMMYFUNCTION("""COMPUTED_VALUE"""),0.939393939393939)</f>
        <v>0.939393939393939</v>
      </c>
      <c r="P40" s="25">
        <f ca="1">IFERROR(__xludf.DUMMYFUNCTION("""COMPUTED_VALUE"""),0.833333333333333)</f>
        <v>0.83333333333333304</v>
      </c>
      <c r="Q40" s="25">
        <f ca="1">IFERROR(__xludf.DUMMYFUNCTION("""COMPUTED_VALUE"""),0)</f>
        <v>0</v>
      </c>
      <c r="R40" s="25">
        <f ca="1">IFERROR(__xludf.DUMMYFUNCTION("""COMPUTED_VALUE"""),0.909090909090909)</f>
        <v>0.90909090909090895</v>
      </c>
      <c r="S40" s="25">
        <f ca="1">IFERROR(__xludf.DUMMYFUNCTION("""COMPUTED_VALUE"""),0.7)</f>
        <v>0.7</v>
      </c>
      <c r="T40" s="25">
        <f ca="1">IFERROR(__xludf.DUMMYFUNCTION("""COMPUTED_VALUE"""),1)</f>
        <v>1</v>
      </c>
      <c r="U40" s="25">
        <f ca="1">IFERROR(__xludf.DUMMYFUNCTION("""COMPUTED_VALUE"""),0.454545454545454)</f>
        <v>0.45454545454545398</v>
      </c>
      <c r="V40" s="25">
        <f ca="1">IFERROR(__xludf.DUMMYFUNCTION("""COMPUTED_VALUE"""),0)</f>
        <v>0</v>
      </c>
      <c r="W40" s="4"/>
      <c r="X40" s="4" t="str">
        <f ca="1">IFERROR(__xludf.DUMMYFUNCTION("""COMPUTED_VALUE"""),"| 1 L PHP-CGM % | 3 P Python % | 5 P PHP-CGM % ")</f>
        <v xml:space="preserve">| 1 L PHP-CGM % | 3 P Python % | 5 P PHP-CGM % </v>
      </c>
      <c r="Y40" s="4" t="str">
        <f ca="1">IFERROR(__xludf.DUMMYFUNCTION("""COMPUTED_VALUE"""),"| 1 P JAVA % | 3 L JAVA % | 4 L CPT % | 5 P Python % ")</f>
        <v xml:space="preserve">| 1 P JAVA % | 3 L JAVA % | 4 L CPT % | 5 P Python % </v>
      </c>
      <c r="Z4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0" s="4" t="str">
        <f ca="1">IFERROR(__xludf.DUMMYFUNCTION("""COMPUTED_VALUE"""),"| 3 L PHP-CGM % | 4 L NS % | 1 L INE % | 5 P PRO % ")</f>
        <v xml:space="preserve">| 3 L PHP-CGM % | 4 L NS % | 1 L INE % | 5 P PRO % </v>
      </c>
      <c r="AB40" s="4" t="str">
        <f ca="1">IFERROR(__xludf.DUMMYFUNCTION("""COMPUTED_VALUE"""),"| 1 L CPT % | 2 L NS % | 3 P JAVA % | 5 P CPT % ")</f>
        <v xml:space="preserve">| 1 L CPT % | 2 L NS % | 3 P JAVA % | 5 P CPT % </v>
      </c>
      <c r="AC40" s="4" t="str">
        <f ca="1">IFERROR(__xludf.DUMMYFUNCTION("""COMPUTED_VALUE"""),"| 1 L PHP-CGM % | 2 L JAVA % | 3 P Python % | 5 P PHP-CGM % ")</f>
        <v xml:space="preserve">| 1 L PHP-CGM % | 2 L JAVA % | 3 P Python % | 5 P PHP-CGM % </v>
      </c>
      <c r="AD40" s="4" t="str">
        <f ca="1">IFERROR(__xludf.DUMMYFUNCTION("""COMPUTED_VALUE"""),"| 2 P JAVA % | 3 L JAVA % | 4 L CPT % | 5 P Python % ")</f>
        <v xml:space="preserve">| 2 P JAVA % | 3 L JAVA % | 4 L CPT % | 5 P Python % </v>
      </c>
      <c r="AE40" s="4" t="str">
        <f ca="1">IFERROR(__xludf.DUMMYFUNCTION("""COMPUTED_VALUE"""),"| 1 P NS % | 4 L JAVA % | 3 L NS % | 5 L PHP-CGM @ | 6 L CPT @ ")</f>
        <v xml:space="preserve">| 1 P NS % | 4 L JAVA % | 3 L NS % | 5 L PHP-CGM @ | 6 L CPT @ </v>
      </c>
      <c r="AF40" s="4" t="str">
        <f ca="1">IFERROR(__xludf.DUMMYFUNCTION("""COMPUTED_VALUE"""),"| 3 L PHP-CGM % | 4 L NS % | 5 P PRO % ")</f>
        <v xml:space="preserve">| 3 L PHP-CGM % | 4 L NS % | 5 P PRO % </v>
      </c>
      <c r="AG40" s="4" t="str">
        <f ca="1">IFERROR(__xludf.DUMMYFUNCTION("""COMPUTED_VALUE"""),"| 1 L CPT @ | 2 L NS @ | 3 P JAVA @ | 5 P CPT @ ")</f>
        <v xml:space="preserve">| 1 L CPT @ | 2 L NS @ | 3 P JAVA @ | 5 P CPT @ </v>
      </c>
      <c r="AH40" s="4" t="str">
        <f ca="1">IFERROR(__xludf.DUMMYFUNCTION("""COMPUTED_VALUE"""),"| 3 L PHP-CGM % | 4 L NS % | 5 L PRO % ")</f>
        <v xml:space="preserve">| 3 L PHP-CGM % | 4 L NS % | 5 L PRO % </v>
      </c>
      <c r="AI40" s="4" t="str">
        <f ca="1">IFERROR(__xludf.DUMMYFUNCTION("""COMPUTED_VALUE"""),"| 1 L CPT % | 2 L NS % | 3 P JAVA % | 5 P CPT @ ")</f>
        <v xml:space="preserve">| 1 L CPT % | 2 L NS % | 3 P JAVA % | 5 P CPT @ </v>
      </c>
      <c r="AJ40" s="4" t="str">
        <f ca="1">IFERROR(__xludf.DUMMYFUNCTION("""COMPUTED_VALUE"""),"| 1 L PHP-CGM % | 2 L JAVA % | 3 P Python % | 5 P PHP-CGM % ")</f>
        <v xml:space="preserve">| 1 L PHP-CGM % | 2 L JAVA % | 3 P Python % | 5 P PHP-CGM % </v>
      </c>
      <c r="AK40" s="4" t="str">
        <f ca="1">IFERROR(__xludf.DUMMYFUNCTION("""COMPUTED_VALUE"""),"| 2 P JAVA % | 3 L JAVA % | 4 L CPT % | 5 P Python % ")</f>
        <v xml:space="preserve">| 2 P JAVA % | 3 L JAVA % | 4 L CPT % | 5 P Python % </v>
      </c>
      <c r="AL4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0" s="4" t="str">
        <f ca="1">IFERROR(__xludf.DUMMYFUNCTION("""COMPUTED_VALUE"""),"| 1 L INE @ | 4 L NS % | 3 L PHP-CGM % | 5 L PRO % ")</f>
        <v xml:space="preserve">| 1 L INE @ | 4 L NS % | 3 L PHP-CGM % | 5 L PRO % </v>
      </c>
      <c r="AN40" s="4" t="str">
        <f ca="1">IFERROR(__xludf.DUMMYFUNCTION("""COMPUTED_VALUE"""),"| 1 L CPT @ | 2 L NS % | 3 P JAVA % | 5 P CPT % ")</f>
        <v xml:space="preserve">| 1 L CPT @ | 2 L NS % | 3 P JAVA % | 5 P CPT % </v>
      </c>
      <c r="AO40" s="4" t="str">
        <f ca="1">IFERROR(__xludf.DUMMYFUNCTION("""COMPUTED_VALUE"""),"| 1 L PHP-CGM % | 2 L JAVA % | 3 P Python % | 5 P PHP-CGM % ")</f>
        <v xml:space="preserve">| 1 L PHP-CGM % | 2 L JAVA % | 3 P Python % | 5 P PHP-CGM % </v>
      </c>
      <c r="AP40" s="4" t="str">
        <f ca="1">IFERROR(__xludf.DUMMYFUNCTION("""COMPUTED_VALUE"""),"| 2 P JAVA % | 3 L JAVA % | 4 L CPT % | 5 P Python % ")</f>
        <v xml:space="preserve">| 2 P JAVA % | 3 L JAVA % | 4 L CPT % | 5 P Python % </v>
      </c>
      <c r="AQ40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R40" s="4" t="str">
        <f ca="1">IFERROR(__xludf.DUMMYFUNCTION("""COMPUTED_VALUE"""),"| 1 L INE @ | 3 L PHP-CGM @ | 4 L NS @ | 5 L PRO @ ")</f>
        <v xml:space="preserve">| 1 L INE @ | 3 L PHP-CGM @ | 4 L NS @ | 5 L PRO @ </v>
      </c>
      <c r="AS40" s="4" t="str">
        <f ca="1">IFERROR(__xludf.DUMMYFUNCTION("""COMPUTED_VALUE"""),"| 1 L PHP-CGM % | 2 L JAVA % | 3 P Python % | 5 P PHP-CGM % ")</f>
        <v xml:space="preserve">| 1 L PHP-CGM % | 2 L JAVA % | 3 P Python % | 5 P PHP-CGM % </v>
      </c>
      <c r="AT40" s="4" t="str">
        <f ca="1">IFERROR(__xludf.DUMMYFUNCTION("""COMPUTED_VALUE"""),"| 2 P JAVA % | 3 L JAVA % | 4 L CPT % | 5 P Python % ")</f>
        <v xml:space="preserve">| 2 P JAVA % | 3 L JAVA % | 4 L CPT % | 5 P Python % </v>
      </c>
      <c r="AU4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0" s="4" t="str">
        <f ca="1">IFERROR(__xludf.DUMMYFUNCTION("""COMPUTED_VALUE"""),"| 1 L INE % | 3 L PHP-CGM % | 4 L NS % | 7 L PRO % ")</f>
        <v xml:space="preserve">| 1 L INE % | 3 L PHP-CGM % | 4 L NS % | 7 L PRO % </v>
      </c>
      <c r="AW40" s="4" t="str">
        <f ca="1">IFERROR(__xludf.DUMMYFUNCTION("""COMPUTED_VALUE"""),"| 1 L CPT % | 2 L NS % | 3 P JAVA % | 5 P CPT @ ")</f>
        <v xml:space="preserve">| 1 L CPT % | 2 L NS % | 3 P JAVA % | 5 P CPT @ </v>
      </c>
      <c r="AX40" s="4" t="str">
        <f ca="1">IFERROR(__xludf.DUMMYFUNCTION("""COMPUTED_VALUE"""),"| 1 L PHP-CGM % | 2 L JAVA % | 3 P Python % | 5 P PHP-CGM % ")</f>
        <v xml:space="preserve">| 1 L PHP-CGM % | 2 L JAVA % | 3 P Python % | 5 P PHP-CGM % </v>
      </c>
      <c r="AY40" s="4" t="str">
        <f ca="1">IFERROR(__xludf.DUMMYFUNCTION("""COMPUTED_VALUE"""),"| 2 P JAVA % | 3 L JAVA % | 4 L CPT % | 5 P Python % ")</f>
        <v xml:space="preserve">| 2 P JAVA % | 3 L JAVA % | 4 L CPT % | 5 P Python % </v>
      </c>
      <c r="AZ40" s="4" t="str">
        <f ca="1">IFERROR(__xludf.DUMMYFUNCTION("""COMPUTED_VALUE"""),"| 1 L INE @ | 3 L PHP-CGM @ | 4 L NS @ | 5 L PRO % ")</f>
        <v xml:space="preserve">| 1 L INE @ | 3 L PHP-CGM @ | 4 L NS @ | 5 L PRO % </v>
      </c>
      <c r="BA40" s="4" t="str">
        <f ca="1">IFERROR(__xludf.DUMMYFUNCTION("""COMPUTED_VALUE"""),"| 1 L CPT % | 2 L NS % | 3 P JAVA % | 5 P CPT % ")</f>
        <v xml:space="preserve">| 1 L CPT % | 2 L NS % | 3 P JAVA % | 5 P CPT % </v>
      </c>
      <c r="BB40" s="4" t="str">
        <f ca="1">IFERROR(__xludf.DUMMYFUNCTION("""COMPUTED_VALUE"""),"| 1 L PHP-CGM % | 2 L JAVA % | 3 P Python % | 5 P PHP-CGM % ")</f>
        <v xml:space="preserve">| 1 L PHP-CGM % | 2 L JAVA % | 3 P Python % | 5 P PHP-CGM % </v>
      </c>
      <c r="BC40" s="4" t="str">
        <f ca="1">IFERROR(__xludf.DUMMYFUNCTION("""COMPUTED_VALUE"""),"| 2 P JAVA @ | 3 L JAVA @ | 4 L CPT @  | 5 P Python @ ")</f>
        <v xml:space="preserve">| 2 P JAVA @ | 3 L JAVA @ | 4 L CPT @  | 5 P Python @ </v>
      </c>
      <c r="BD40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40" s="4" t="str">
        <f ca="1">IFERROR(__xludf.DUMMYFUNCTION("""COMPUTED_VALUE"""),"| 1 L INE @ | 3 L PHP-CGM % | 4 L NS % | 5 L PRO % ")</f>
        <v xml:space="preserve">| 1 L INE @ | 3 L PHP-CGM % | 4 L NS % | 5 L PRO % </v>
      </c>
      <c r="BF40" s="4" t="str">
        <f ca="1">IFERROR(__xludf.DUMMYFUNCTION("""COMPUTED_VALUE"""),"| 1 L CPT @ | 2 L NS @ | 3 P JAVA @ | 5 P CPT @ ")</f>
        <v xml:space="preserve">| 1 L CPT @ | 2 L NS @ | 3 P JAVA @ | 5 P CPT @ </v>
      </c>
      <c r="BG40" s="4" t="str">
        <f ca="1">IFERROR(__xludf.DUMMYFUNCTION("""COMPUTED_VALUE"""),"| 2 P JAVA % | 4 L CPT % | 5 P Python % ")</f>
        <v xml:space="preserve">| 2 P JAVA % | 4 L CPT % | 5 P Python % </v>
      </c>
      <c r="BH4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0" s="4" t="str">
        <f ca="1">IFERROR(__xludf.DUMMYFUNCTION("""COMPUTED_VALUE"""),"| 1 L INE @ | 3 L PHP-CGM % | 4 L NS % | 5 L PRO % ")</f>
        <v xml:space="preserve">| 1 L INE @ | 3 L PHP-CGM % | 4 L NS % | 5 L PRO % </v>
      </c>
      <c r="BJ40" s="4" t="str">
        <f ca="1">IFERROR(__xludf.DUMMYFUNCTION("""COMPUTED_VALUE"""),"| 1 L CPT % | 2 L NS % | 3 P JAVA % | 5 P CPT % ")</f>
        <v xml:space="preserve">| 1 L CPT % | 2 L NS % | 3 P JAVA % | 5 P CPT % </v>
      </c>
      <c r="BK40" s="4" t="str">
        <f ca="1">IFERROR(__xludf.DUMMYFUNCTION("""COMPUTED_VALUE"""),"| 1 L PHP-CGM % | 2 L JAVA % | 3 P Python % ")</f>
        <v xml:space="preserve">| 1 L PHP-CGM % | 2 L JAVA % | 3 P Python % </v>
      </c>
      <c r="BL40" s="4" t="str">
        <f ca="1">IFERROR(__xludf.DUMMYFUNCTION("""COMPUTED_VALUE"""),"| 2 P JAVA % | 3 L JAVA % | 4 L CPT % | 5 P Python @ ")</f>
        <v xml:space="preserve">| 2 P JAVA % | 3 L JAVA % | 4 L CPT % | 5 P Python @ </v>
      </c>
      <c r="BM4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40" s="4" t="str">
        <f ca="1">IFERROR(__xludf.DUMMYFUNCTION("""COMPUTED_VALUE"""),"| 1 L INE @ | 3 L PHP-CGM @ | 4 L NS @ | 5 L PRO @ ")</f>
        <v xml:space="preserve">| 1 L INE @ | 3 L PHP-CGM @ | 4 L NS @ | 5 L PRO @ </v>
      </c>
      <c r="BO40" s="4" t="str">
        <f ca="1">IFERROR(__xludf.DUMMYFUNCTION("""COMPUTED_VALUE"""),"| 1 L CPT @ | 2 L NS @ | 3 P JAVA @ ")</f>
        <v xml:space="preserve">| 1 L CPT @ | 2 L NS @ | 3 P JAVA @ </v>
      </c>
      <c r="BP40" s="4" t="str">
        <f ca="1">IFERROR(__xludf.DUMMYFUNCTION("""COMPUTED_VALUE"""),"| 1 L PHP-CGM % | 2 L JAVA % | 3 P Python % | 5 P PHP-CGM % ")</f>
        <v xml:space="preserve">| 1 L PHP-CGM % | 2 L JAVA % | 3 P Python % | 5 P PHP-CGM % </v>
      </c>
      <c r="BQ40" s="4" t="str">
        <f ca="1">IFERROR(__xludf.DUMMYFUNCTION("""COMPUTED_VALUE"""),"| 5 L PHP-CGM % | 6 L CPT @ ")</f>
        <v xml:space="preserve">| 5 L PHP-CGM % | 6 L CPT @ </v>
      </c>
      <c r="BR40" s="4"/>
      <c r="BS40" s="4"/>
      <c r="BT40" s="4" t="str">
        <f ca="1">IFERROR(__xludf.DUMMYFUNCTION("""COMPUTED_VALUE"""),"| 1 L PHP-CGM % | 2 L JAVA % ")</f>
        <v xml:space="preserve">| 1 L PHP-CGM % | 2 L JAVA % </v>
      </c>
      <c r="BU40" s="4" t="str">
        <f ca="1">IFERROR(__xludf.DUMMYFUNCTION("""COMPUTED_VALUE"""),"| 2 P JAVA % | 4 L CPT % | 3 L JAVA % ")</f>
        <v xml:space="preserve">| 2 P JAVA % | 4 L CPT % | 3 L JAVA % </v>
      </c>
      <c r="BV40" s="4" t="str">
        <f ca="1">IFERROR(__xludf.DUMMYFUNCTION("""COMPUTED_VALUE"""),"| 1 L PHP-CGM % | 2 L JAVA % | 3 P Python % | 5 P PHP-CGM @ ")</f>
        <v xml:space="preserve">| 1 L PHP-CGM % | 2 L JAVA % | 3 P Python % | 5 P PHP-CGM @ </v>
      </c>
      <c r="BW40" s="4" t="str">
        <f ca="1">IFERROR(__xludf.DUMMYFUNCTION("""COMPUTED_VALUE"""),"| 2 P JAVA % | 3 L JAVA % | 4 L CPT % ")</f>
        <v xml:space="preserve">| 2 P JAVA % | 3 L JAVA % | 4 L CPT % </v>
      </c>
      <c r="BX40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Y40" s="4" t="str">
        <f ca="1">IFERROR(__xludf.DUMMYFUNCTION("""COMPUTED_VALUE"""),"| 1 L INE % | 3 L PHP-CGM % | 4 L NS % | 5 L PRO @ ")</f>
        <v xml:space="preserve">| 1 L INE % | 3 L PHP-CGM % | 4 L NS % | 5 L PRO @ </v>
      </c>
      <c r="BZ40" s="4" t="str">
        <f ca="1">IFERROR(__xludf.DUMMYFUNCTION("""COMPUTED_VALUE"""),"| 1 L CPT % | 2 L NS % | 3 P JAVA % | 5 P CPT % ")</f>
        <v xml:space="preserve">| 1 L CPT % | 2 L NS % | 3 P JAVA % | 5 P CPT % </v>
      </c>
      <c r="CA40" s="4" t="str">
        <f ca="1">IFERROR(__xludf.DUMMYFUNCTION("""COMPUTED_VALUE"""),"| 1 L PHP-CGM % | 2 L JAVA % | 3 P Python % | 5 P PHP-CGM % ")</f>
        <v xml:space="preserve">| 1 L PHP-CGM % | 2 L JAVA % | 3 P Python % | 5 P PHP-CGM % </v>
      </c>
      <c r="CB40" s="4" t="str">
        <f ca="1">IFERROR(__xludf.DUMMYFUNCTION("""COMPUTED_VALUE"""),"| 2 P JAVA % | 3 L JAVA % | 4 L CPT % | 3 P Python % ")</f>
        <v xml:space="preserve">| 2 P JAVA % | 3 L JAVA % | 4 L CPT % | 3 P Python % </v>
      </c>
      <c r="CC40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0" s="4" t="str">
        <f ca="1">IFERROR(__xludf.DUMMYFUNCTION("""COMPUTED_VALUE"""),"| 1 L INE % | 3 L PHP-CGM % | 4 L NS @ | 5 L PRO % ")</f>
        <v xml:space="preserve">| 1 L INE % | 3 L PHP-CGM % | 4 L NS @ | 5 L PRO % </v>
      </c>
      <c r="CE40" s="4" t="str">
        <f ca="1">IFERROR(__xludf.DUMMYFUNCTION("""COMPUTED_VALUE"""),"| 1 L CPT % | 2 L NS % | 3 P JAVA % | 5 P CPT % ")</f>
        <v xml:space="preserve">| 1 L CPT % | 2 L NS % | 3 P JAVA % | 5 P CPT % </v>
      </c>
      <c r="CF40" s="4" t="str">
        <f ca="1">IFERROR(__xludf.DUMMYFUNCTION("""COMPUTED_VALUE"""),"| 1 L PHP-CGM % | 2 L JAVA @ | 3 P Python % | 5 P PHP-CGM % ")</f>
        <v xml:space="preserve">| 1 L PHP-CGM % | 2 L JAVA @ | 3 P Python % | 5 P PHP-CGM % </v>
      </c>
      <c r="CG40" s="4" t="str">
        <f ca="1">IFERROR(__xludf.DUMMYFUNCTION("""COMPUTED_VALUE"""),"| 2 P JAVA % | 4 L CPT % ")</f>
        <v xml:space="preserve">| 2 P JAVA % | 4 L CPT % </v>
      </c>
      <c r="CH40" s="4" t="str">
        <f ca="1">IFERROR(__xludf.DUMMYFUNCTION("""COMPUTED_VALUE"""),"| 1 P NS % | 3 L NS @ | 6 L CPT @ ")</f>
        <v xml:space="preserve">| 1 P NS % | 3 L NS @ | 6 L CPT @ </v>
      </c>
      <c r="CI40" s="4" t="str">
        <f ca="1">IFERROR(__xludf.DUMMYFUNCTION("""COMPUTED_VALUE"""),"| 1 L INE % ")</f>
        <v xml:space="preserve">| 1 L INE % </v>
      </c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 spans="1:102" ht="12.5" x14ac:dyDescent="0.25">
      <c r="A41" s="3">
        <f ca="1">IFERROR(__xludf.DUMMYFUNCTION("""COMPUTED_VALUE"""),2)</f>
        <v>2</v>
      </c>
      <c r="B41" s="3" t="str">
        <f ca="1">IFERROR(__xludf.DUMMYFUNCTION("""COMPUTED_VALUE"""),"A")</f>
        <v>A</v>
      </c>
      <c r="C41" s="32" t="str">
        <f ca="1">IFERROR(__xludf.DUMMYFUNCTION("""COMPUTED_VALUE"""),"23291341110")</f>
        <v>23291341110</v>
      </c>
      <c r="D41" s="21" t="str">
        <f ca="1">IFERROR(__xludf.DUMMYFUNCTION("""COMPUTED_VALUE"""),"PATEL NILAXI ALPESHLUMAR")</f>
        <v>PATEL NILAXI ALPESHLUMAR</v>
      </c>
      <c r="E41" s="3" t="str">
        <f ca="1">IFERROR(__xludf.DUMMYFUNCTION("""COMPUTED_VALUE"""),"RRP-Mor")</f>
        <v>RRP-Mor</v>
      </c>
      <c r="F41" s="3">
        <f ca="1">IFERROR(__xludf.DUMMYFUNCTION("""COMPUTED_VALUE"""),9727908427)</f>
        <v>9727908427</v>
      </c>
      <c r="G41" s="3"/>
      <c r="H41" s="33">
        <f ca="1">IFERROR(__xludf.DUMMYFUNCTION("""COMPUTED_VALUE"""),0.7625)</f>
        <v>0.76249999999999996</v>
      </c>
      <c r="I41" s="25">
        <f ca="1">IFERROR(__xludf.DUMMYFUNCTION("""COMPUTED_VALUE"""),0.666666666666666)</f>
        <v>0.66666666666666596</v>
      </c>
      <c r="J41" s="25">
        <f ca="1">IFERROR(__xludf.DUMMYFUNCTION("""COMPUTED_VALUE"""),0.6)</f>
        <v>0.6</v>
      </c>
      <c r="K41" s="25">
        <f ca="1">IFERROR(__xludf.DUMMYFUNCTION("""COMPUTED_VALUE"""),0.794117647058823)</f>
        <v>0.79411764705882304</v>
      </c>
      <c r="L41" s="25">
        <f ca="1">IFERROR(__xludf.DUMMYFUNCTION("""COMPUTED_VALUE"""),1)</f>
        <v>1</v>
      </c>
      <c r="M41" s="25">
        <f ca="1">IFERROR(__xludf.DUMMYFUNCTION("""COMPUTED_VALUE"""),0.833333333333333)</f>
        <v>0.83333333333333304</v>
      </c>
      <c r="N41" s="25">
        <f ca="1">IFERROR(__xludf.DUMMYFUNCTION("""COMPUTED_VALUE"""),0.909090909090909)</f>
        <v>0.90909090909090895</v>
      </c>
      <c r="O41" s="25">
        <f ca="1">IFERROR(__xludf.DUMMYFUNCTION("""COMPUTED_VALUE"""),0.787878787878787)</f>
        <v>0.78787878787878696</v>
      </c>
      <c r="P41" s="25">
        <f ca="1">IFERROR(__xludf.DUMMYFUNCTION("""COMPUTED_VALUE"""),0.833333333333333)</f>
        <v>0.83333333333333304</v>
      </c>
      <c r="Q41" s="25">
        <f ca="1">IFERROR(__xludf.DUMMYFUNCTION("""COMPUTED_VALUE"""),0)</f>
        <v>0</v>
      </c>
      <c r="R41" s="25">
        <f ca="1">IFERROR(__xludf.DUMMYFUNCTION("""COMPUTED_VALUE"""),0.772727272727272)</f>
        <v>0.77272727272727204</v>
      </c>
      <c r="S41" s="25">
        <f ca="1">IFERROR(__xludf.DUMMYFUNCTION("""COMPUTED_VALUE"""),0.6)</f>
        <v>0.6</v>
      </c>
      <c r="T41" s="25">
        <f ca="1">IFERROR(__xludf.DUMMYFUNCTION("""COMPUTED_VALUE"""),0.5)</f>
        <v>0.5</v>
      </c>
      <c r="U41" s="25">
        <f ca="1">IFERROR(__xludf.DUMMYFUNCTION("""COMPUTED_VALUE"""),0.454545454545454)</f>
        <v>0.45454545454545398</v>
      </c>
      <c r="V41" s="25">
        <f ca="1">IFERROR(__xludf.DUMMYFUNCTION("""COMPUTED_VALUE"""),0)</f>
        <v>0</v>
      </c>
      <c r="W41" s="4"/>
      <c r="X41" s="4" t="str">
        <f ca="1">IFERROR(__xludf.DUMMYFUNCTION("""COMPUTED_VALUE"""),"| 1 L PHP-CGM % | 3 P Python % | 5 P PHP-CGM % ")</f>
        <v xml:space="preserve">| 1 L PHP-CGM % | 3 P Python % | 5 P PHP-CGM % </v>
      </c>
      <c r="Y41" s="4" t="str">
        <f ca="1">IFERROR(__xludf.DUMMYFUNCTION("""COMPUTED_VALUE"""),"| 1 P JAVA % | 3 L JAVA % | 4 L CPT % | 5 P Python @ ")</f>
        <v xml:space="preserve">| 1 P JAVA % | 3 L JAVA % | 4 L CPT % | 5 P Python @ </v>
      </c>
      <c r="Z41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1" s="4" t="str">
        <f ca="1">IFERROR(__xludf.DUMMYFUNCTION("""COMPUTED_VALUE"""),"| 3 L PHP-CGM % | 4 L NS % | 1 L INE % | 5 P PRO % ")</f>
        <v xml:space="preserve">| 3 L PHP-CGM % | 4 L NS % | 1 L INE % | 5 P PRO % </v>
      </c>
      <c r="AB41" s="4" t="str">
        <f ca="1">IFERROR(__xludf.DUMMYFUNCTION("""COMPUTED_VALUE"""),"| 1 L CPT % | 2 L NS % | 3 P JAVA % | 5 P CPT % ")</f>
        <v xml:space="preserve">| 1 L CPT % | 2 L NS % | 3 P JAVA % | 5 P CPT % </v>
      </c>
      <c r="AC41" s="4" t="str">
        <f ca="1">IFERROR(__xludf.DUMMYFUNCTION("""COMPUTED_VALUE"""),"| 1 L PHP-CGM % | 2 L JAVA % | 3 P Python % | 5 P PHP-CGM % ")</f>
        <v xml:space="preserve">| 1 L PHP-CGM % | 2 L JAVA % | 3 P Python % | 5 P PHP-CGM % </v>
      </c>
      <c r="AD41" s="4" t="str">
        <f ca="1">IFERROR(__xludf.DUMMYFUNCTION("""COMPUTED_VALUE"""),"| 2 P JAVA % | 3 L JAVA % | 4 L CPT % | 5 P Python % ")</f>
        <v xml:space="preserve">| 2 P JAVA % | 3 L JAVA % | 4 L CPT % | 5 P Python % </v>
      </c>
      <c r="AE41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41" s="4" t="str">
        <f ca="1">IFERROR(__xludf.DUMMYFUNCTION("""COMPUTED_VALUE"""),"| 3 L PHP-CGM % | 4 L NS @ | 5 P PRO @ ")</f>
        <v xml:space="preserve">| 3 L PHP-CGM % | 4 L NS @ | 5 P PRO @ </v>
      </c>
      <c r="AG41" s="4" t="str">
        <f ca="1">IFERROR(__xludf.DUMMYFUNCTION("""COMPUTED_VALUE"""),"| 1 L CPT % | 2 L NS % | 3 P JAVA % | 5 P CPT % ")</f>
        <v xml:space="preserve">| 1 L CPT % | 2 L NS % | 3 P JAVA % | 5 P CPT % </v>
      </c>
      <c r="AH41" s="4" t="str">
        <f ca="1">IFERROR(__xludf.DUMMYFUNCTION("""COMPUTED_VALUE"""),"| 3 L PHP-CGM % | 4 L NS @ | 5 L PRO % ")</f>
        <v xml:space="preserve">| 3 L PHP-CGM % | 4 L NS @ | 5 L PRO % </v>
      </c>
      <c r="AI41" s="4" t="str">
        <f ca="1">IFERROR(__xludf.DUMMYFUNCTION("""COMPUTED_VALUE"""),"| 1 L CPT % | 2 L NS % | 3 P JAVA % | 5 P CPT % ")</f>
        <v xml:space="preserve">| 1 L CPT % | 2 L NS % | 3 P JAVA % | 5 P CPT % </v>
      </c>
      <c r="AJ41" s="4" t="str">
        <f ca="1">IFERROR(__xludf.DUMMYFUNCTION("""COMPUTED_VALUE"""),"| 1 L PHP-CGM % | 2 L JAVA % | 3 P Python % | 5 P PHP-CGM @ ")</f>
        <v xml:space="preserve">| 1 L PHP-CGM % | 2 L JAVA % | 3 P Python % | 5 P PHP-CGM @ </v>
      </c>
      <c r="AK41" s="4" t="str">
        <f ca="1">IFERROR(__xludf.DUMMYFUNCTION("""COMPUTED_VALUE"""),"| 2 P JAVA % | 3 L JAVA % | 4 L CPT % | 5 P Python % ")</f>
        <v xml:space="preserve">| 2 P JAVA % | 3 L JAVA % | 4 L CPT % | 5 P Python % </v>
      </c>
      <c r="AL41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M41" s="4" t="str">
        <f ca="1">IFERROR(__xludf.DUMMYFUNCTION("""COMPUTED_VALUE"""),"| 1 L INE @ | 4 L NS % | 3 L PHP-CGM % | 5 L PRO % ")</f>
        <v xml:space="preserve">| 1 L INE @ | 4 L NS % | 3 L PHP-CGM % | 5 L PRO % </v>
      </c>
      <c r="AN41" s="4" t="str">
        <f ca="1">IFERROR(__xludf.DUMMYFUNCTION("""COMPUTED_VALUE"""),"| 1 L CPT @ | 2 L NS % | 3 P JAVA % | 5 P CPT @ ")</f>
        <v xml:space="preserve">| 1 L CPT @ | 2 L NS % | 3 P JAVA % | 5 P CPT @ </v>
      </c>
      <c r="AO41" s="4" t="str">
        <f ca="1">IFERROR(__xludf.DUMMYFUNCTION("""COMPUTED_VALUE"""),"| 1 L PHP-CGM % | 2 L JAVA % | 3 P Python % | 5 P PHP-CGM % ")</f>
        <v xml:space="preserve">| 1 L PHP-CGM % | 2 L JAVA % | 3 P Python % | 5 P PHP-CGM % </v>
      </c>
      <c r="AP41" s="4" t="str">
        <f ca="1">IFERROR(__xludf.DUMMYFUNCTION("""COMPUTED_VALUE"""),"| 2 P JAVA % | 3 L JAVA % | 4 L CPT % | 5 P Python % ")</f>
        <v xml:space="preserve">| 2 P JAVA % | 3 L JAVA % | 4 L CPT % | 5 P Python % </v>
      </c>
      <c r="AQ41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41" s="4" t="str">
        <f ca="1">IFERROR(__xludf.DUMMYFUNCTION("""COMPUTED_VALUE"""),"| 1 L INE @ | 3 L PHP-CGM @ | 4 L NS @ | 5 L PRO @ ")</f>
        <v xml:space="preserve">| 1 L INE @ | 3 L PHP-CGM @ | 4 L NS @ | 5 L PRO @ </v>
      </c>
      <c r="AS41" s="4" t="str">
        <f ca="1">IFERROR(__xludf.DUMMYFUNCTION("""COMPUTED_VALUE"""),"| 1 L PHP-CGM % | 2 L JAVA % | 3 P Python % | 5 P PHP-CGM % ")</f>
        <v xml:space="preserve">| 1 L PHP-CGM % | 2 L JAVA % | 3 P Python % | 5 P PHP-CGM % </v>
      </c>
      <c r="AT41" s="4" t="str">
        <f ca="1">IFERROR(__xludf.DUMMYFUNCTION("""COMPUTED_VALUE"""),"| 2 P JAVA % | 3 L JAVA % | 4 L CPT % | 5 P Python % ")</f>
        <v xml:space="preserve">| 2 P JAVA % | 3 L JAVA % | 4 L CPT % | 5 P Python % </v>
      </c>
      <c r="AU41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1" s="4" t="str">
        <f ca="1">IFERROR(__xludf.DUMMYFUNCTION("""COMPUTED_VALUE"""),"| 1 L INE % | 3 L PHP-CGM % | 4 L NS % | 7 L PRO % ")</f>
        <v xml:space="preserve">| 1 L INE % | 3 L PHP-CGM % | 4 L NS % | 7 L PRO % </v>
      </c>
      <c r="AW41" s="4" t="str">
        <f ca="1">IFERROR(__xludf.DUMMYFUNCTION("""COMPUTED_VALUE"""),"| 1 L CPT % | 2 L NS % | 3 P JAVA % | 5 P CPT % ")</f>
        <v xml:space="preserve">| 1 L CPT % | 2 L NS % | 3 P JAVA % | 5 P CPT % </v>
      </c>
      <c r="AX41" s="4" t="str">
        <f ca="1">IFERROR(__xludf.DUMMYFUNCTION("""COMPUTED_VALUE"""),"| 1 L PHP-CGM % | 2 L JAVA % | 3 P Python % | 5 P PHP-CGM % ")</f>
        <v xml:space="preserve">| 1 L PHP-CGM % | 2 L JAVA % | 3 P Python % | 5 P PHP-CGM % </v>
      </c>
      <c r="AY41" s="4" t="str">
        <f ca="1">IFERROR(__xludf.DUMMYFUNCTION("""COMPUTED_VALUE"""),"| 2 P JAVA % | 3 L JAVA % | 4 L CPT % | 5 P Python % ")</f>
        <v xml:space="preserve">| 2 P JAVA % | 3 L JAVA % | 4 L CPT % | 5 P Python % </v>
      </c>
      <c r="AZ41" s="4" t="str">
        <f ca="1">IFERROR(__xludf.DUMMYFUNCTION("""COMPUTED_VALUE"""),"| 1 L INE % | 3 L PHP-CGM % | 4 L NS % | 5 L PRO % ")</f>
        <v xml:space="preserve">| 1 L INE % | 3 L PHP-CGM % | 4 L NS % | 5 L PRO % </v>
      </c>
      <c r="BA41" s="4" t="str">
        <f ca="1">IFERROR(__xludf.DUMMYFUNCTION("""COMPUTED_VALUE"""),"| 1 L CPT % | 2 L NS % | 3 P JAVA % | 5 P CPT % ")</f>
        <v xml:space="preserve">| 1 L CPT % | 2 L NS % | 3 P JAVA % | 5 P CPT % </v>
      </c>
      <c r="BB41" s="4" t="str">
        <f ca="1">IFERROR(__xludf.DUMMYFUNCTION("""COMPUTED_VALUE"""),"| 1 L PHP-CGM % | 2 L JAVA % | 3 P Python % | 5 P PHP-CGM % ")</f>
        <v xml:space="preserve">| 1 L PHP-CGM % | 2 L JAVA % | 3 P Python % | 5 P PHP-CGM % </v>
      </c>
      <c r="BC41" s="4" t="str">
        <f ca="1">IFERROR(__xludf.DUMMYFUNCTION("""COMPUTED_VALUE"""),"| 2 P JAVA % | 3 L JAVA % | 4 L CPT %  | 5 P Python @ ")</f>
        <v xml:space="preserve">| 2 P JAVA % | 3 L JAVA % | 4 L CPT %  | 5 P Python @ </v>
      </c>
      <c r="BD41" s="4" t="str">
        <f ca="1">IFERROR(__xludf.DUMMYFUNCTION("""COMPUTED_VALUE"""),"| 1 P NS % | 3 L NS % | 6 L CPT @ | 5 L PHP-CGM @ | 4 L JAVA @ ")</f>
        <v xml:space="preserve">| 1 P NS % | 3 L NS % | 6 L CPT @ | 5 L PHP-CGM @ | 4 L JAVA @ </v>
      </c>
      <c r="BE41" s="4" t="str">
        <f ca="1">IFERROR(__xludf.DUMMYFUNCTION("""COMPUTED_VALUE"""),"| 1 L INE % | 3 L PHP-CGM % | 4 L NS % | 5 L PRO % ")</f>
        <v xml:space="preserve">| 1 L INE % | 3 L PHP-CGM % | 4 L NS % | 5 L PRO % </v>
      </c>
      <c r="BF41" s="4" t="str">
        <f ca="1">IFERROR(__xludf.DUMMYFUNCTION("""COMPUTED_VALUE"""),"| 1 L CPT % | 2 L NS % | 3 P JAVA @ | 5 P CPT @ ")</f>
        <v xml:space="preserve">| 1 L CPT % | 2 L NS % | 3 P JAVA @ | 5 P CPT @ </v>
      </c>
      <c r="BG41" s="4" t="str">
        <f ca="1">IFERROR(__xludf.DUMMYFUNCTION("""COMPUTED_VALUE"""),"| 2 P JAVA % | 4 L CPT % | 5 P Python % ")</f>
        <v xml:space="preserve">| 2 P JAVA % | 4 L CPT % | 5 P Python % </v>
      </c>
      <c r="BH41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1" s="4" t="str">
        <f ca="1">IFERROR(__xludf.DUMMYFUNCTION("""COMPUTED_VALUE"""),"| 1 L INE @ | 3 L PHP-CGM @ | 4 L NS @ | 5 L PRO @ ")</f>
        <v xml:space="preserve">| 1 L INE @ | 3 L PHP-CGM @ | 4 L NS @ | 5 L PRO @ </v>
      </c>
      <c r="BJ41" s="4" t="str">
        <f ca="1">IFERROR(__xludf.DUMMYFUNCTION("""COMPUTED_VALUE"""),"| 1 L CPT @ | 2 L NS % | 3 P JAVA % | 5 P CPT @ ")</f>
        <v xml:space="preserve">| 1 L CPT @ | 2 L NS % | 3 P JAVA % | 5 P CPT @ </v>
      </c>
      <c r="BK41" s="4" t="str">
        <f ca="1">IFERROR(__xludf.DUMMYFUNCTION("""COMPUTED_VALUE"""),"| 1 L PHP-CGM % | 2 L JAVA % | 3 P Python @ ")</f>
        <v xml:space="preserve">| 1 L PHP-CGM % | 2 L JAVA % | 3 P Python @ </v>
      </c>
      <c r="BL41" s="4" t="str">
        <f ca="1">IFERROR(__xludf.DUMMYFUNCTION("""COMPUTED_VALUE"""),"| 2 P JAVA % | 3 L JAVA @ | 4 L CPT @ | 5 P Python @ ")</f>
        <v xml:space="preserve">| 2 P JAVA % | 3 L JAVA @ | 4 L CPT @ | 5 P Python @ </v>
      </c>
      <c r="BM41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41" s="4" t="str">
        <f ca="1">IFERROR(__xludf.DUMMYFUNCTION("""COMPUTED_VALUE"""),"| 1 L INE @ | 3 L PHP-CGM @ | 4 L NS @ | 5 L PRO @ ")</f>
        <v xml:space="preserve">| 1 L INE @ | 3 L PHP-CGM @ | 4 L NS @ | 5 L PRO @ </v>
      </c>
      <c r="BO41" s="4" t="str">
        <f ca="1">IFERROR(__xludf.DUMMYFUNCTION("""COMPUTED_VALUE"""),"| 1 L CPT % | 2 L NS % | 3 P JAVA @ ")</f>
        <v xml:space="preserve">| 1 L CPT % | 2 L NS % | 3 P JAVA @ </v>
      </c>
      <c r="BP41" s="4" t="str">
        <f ca="1">IFERROR(__xludf.DUMMYFUNCTION("""COMPUTED_VALUE"""),"| 1 L PHP-CGM % | 2 L JAVA % | 3 P Python % | 5 P PHP-CGM % ")</f>
        <v xml:space="preserve">| 1 L PHP-CGM % | 2 L JAVA % | 3 P Python % | 5 P PHP-CGM % </v>
      </c>
      <c r="BQ41" s="4" t="str">
        <f ca="1">IFERROR(__xludf.DUMMYFUNCTION("""COMPUTED_VALUE"""),"| 5 L PHP-CGM % | 6 L CPT @ ")</f>
        <v xml:space="preserve">| 5 L PHP-CGM % | 6 L CPT @ </v>
      </c>
      <c r="BR41" s="4"/>
      <c r="BS41" s="4"/>
      <c r="BT41" s="4" t="str">
        <f ca="1">IFERROR(__xludf.DUMMYFUNCTION("""COMPUTED_VALUE"""),"| 1 L PHP-CGM % | 2 L JAVA % ")</f>
        <v xml:space="preserve">| 1 L PHP-CGM % | 2 L JAVA % </v>
      </c>
      <c r="BU41" s="4" t="str">
        <f ca="1">IFERROR(__xludf.DUMMYFUNCTION("""COMPUTED_VALUE"""),"| 2 P JAVA @ | 4 L CPT @ | 3 L JAVA @ ")</f>
        <v xml:space="preserve">| 2 P JAVA @ | 4 L CPT @ | 3 L JAVA @ </v>
      </c>
      <c r="BV41" s="4" t="str">
        <f ca="1">IFERROR(__xludf.DUMMYFUNCTION("""COMPUTED_VALUE"""),"| 1 L PHP-CGM % | 2 L JAVA % | 3 P Python @ | 5 P PHP-CGM % ")</f>
        <v xml:space="preserve">| 1 L PHP-CGM % | 2 L JAVA % | 3 P Python @ | 5 P PHP-CGM % </v>
      </c>
      <c r="BW41" s="4" t="str">
        <f ca="1">IFERROR(__xludf.DUMMYFUNCTION("""COMPUTED_VALUE"""),"| 2 P JAVA % | 3 L JAVA @ | 4 L CPT @ ")</f>
        <v xml:space="preserve">| 2 P JAVA % | 3 L JAVA @ | 4 L CPT @ </v>
      </c>
      <c r="BX41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41" s="4" t="str">
        <f ca="1">IFERROR(__xludf.DUMMYFUNCTION("""COMPUTED_VALUE"""),"| 1 L INE @ | 3 L PHP-CGM % | 4 L NS % | 5 L PRO @ ")</f>
        <v xml:space="preserve">| 1 L INE @ | 3 L PHP-CGM % | 4 L NS % | 5 L PRO @ </v>
      </c>
      <c r="BZ41" s="4" t="str">
        <f ca="1">IFERROR(__xludf.DUMMYFUNCTION("""COMPUTED_VALUE"""),"| 1 L CPT % | 2 L NS % | 3 P JAVA @ | 5 P CPT @ ")</f>
        <v xml:space="preserve">| 1 L CPT % | 2 L NS % | 3 P JAVA @ | 5 P CPT @ </v>
      </c>
      <c r="CA41" s="4" t="str">
        <f ca="1">IFERROR(__xludf.DUMMYFUNCTION("""COMPUTED_VALUE"""),"| 1 L PHP-CGM % | 2 L JAVA % | 3 P Python % | 5 P PHP-CGM % ")</f>
        <v xml:space="preserve">| 1 L PHP-CGM % | 2 L JAVA % | 3 P Python % | 5 P PHP-CGM % </v>
      </c>
      <c r="CB41" s="4" t="str">
        <f ca="1">IFERROR(__xludf.DUMMYFUNCTION("""COMPUTED_VALUE"""),"| 2 P JAVA % | 3 L JAVA @ | 4 L CPT @ | 3 P Python % ")</f>
        <v xml:space="preserve">| 2 P JAVA % | 3 L JAVA @ | 4 L CPT @ | 3 P Python % </v>
      </c>
      <c r="CC41" s="4" t="str">
        <f ca="1">IFERROR(__xludf.DUMMYFUNCTION("""COMPUTED_VALUE"""),"| 1 P NS % | 3 L NS % | 4 L JAVA @ | 5 L PHP-CGM @ | 6 L CPT @ ")</f>
        <v xml:space="preserve">| 1 P NS % | 3 L NS % | 4 L JAVA @ | 5 L PHP-CGM @ | 6 L CPT @ </v>
      </c>
      <c r="CD41" s="4" t="str">
        <f ca="1">IFERROR(__xludf.DUMMYFUNCTION("""COMPUTED_VALUE"""),"| 1 L INE % | 3 L PHP-CGM % | 4 L NS % | 5 L PRO % ")</f>
        <v xml:space="preserve">| 1 L INE % | 3 L PHP-CGM % | 4 L NS % | 5 L PRO % </v>
      </c>
      <c r="CE41" s="4" t="str">
        <f ca="1">IFERROR(__xludf.DUMMYFUNCTION("""COMPUTED_VALUE"""),"| 1 L CPT @ | 2 L NS @ | 3 P JAVA % | 5 P CPT % ")</f>
        <v xml:space="preserve">| 1 L CPT @ | 2 L NS @ | 3 P JAVA % | 5 P CPT % </v>
      </c>
      <c r="CF41" s="4" t="str">
        <f ca="1">IFERROR(__xludf.DUMMYFUNCTION("""COMPUTED_VALUE"""),"| 1 L PHP-CGM % | 2 L JAVA @ | 3 P Python % | 5 P PHP-CGM % ")</f>
        <v xml:space="preserve">| 1 L PHP-CGM % | 2 L JAVA @ | 3 P Python % | 5 P PHP-CGM % </v>
      </c>
      <c r="CG41" s="4" t="str">
        <f ca="1">IFERROR(__xludf.DUMMYFUNCTION("""COMPUTED_VALUE"""),"| 2 P JAVA % | 4 L CPT % ")</f>
        <v xml:space="preserve">| 2 P JAVA % | 4 L CPT % </v>
      </c>
      <c r="CH41" s="4" t="str">
        <f ca="1">IFERROR(__xludf.DUMMYFUNCTION("""COMPUTED_VALUE"""),"| 1 P NS % | 3 L NS @ | 6 L CPT @ ")</f>
        <v xml:space="preserve">| 1 P NS % | 3 L NS @ | 6 L CPT @ </v>
      </c>
      <c r="CI41" s="4" t="str">
        <f ca="1">IFERROR(__xludf.DUMMYFUNCTION("""COMPUTED_VALUE"""),"| 1 L INE @ ")</f>
        <v xml:space="preserve">| 1 L INE @ </v>
      </c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 spans="1:102" ht="12.5" x14ac:dyDescent="0.25">
      <c r="A42" s="3">
        <f ca="1">IFERROR(__xludf.DUMMYFUNCTION("""COMPUTED_VALUE"""),2)</f>
        <v>2</v>
      </c>
      <c r="B42" s="3" t="str">
        <f ca="1">IFERROR(__xludf.DUMMYFUNCTION("""COMPUTED_VALUE"""),"A")</f>
        <v>A</v>
      </c>
      <c r="C42" s="32" t="str">
        <f ca="1">IFERROR(__xludf.DUMMYFUNCTION("""COMPUTED_VALUE"""),"23291341111")</f>
        <v>23291341111</v>
      </c>
      <c r="D42" s="21" t="str">
        <f ca="1">IFERROR(__xludf.DUMMYFUNCTION("""COMPUTED_VALUE"""),"PATEL NISARG BHAVESHKUMAR")</f>
        <v>PATEL NISARG BHAVESHKUMAR</v>
      </c>
      <c r="E42" s="3" t="str">
        <f ca="1">IFERROR(__xludf.DUMMYFUNCTION("""COMPUTED_VALUE"""),"RRP-Mor")</f>
        <v>RRP-Mor</v>
      </c>
      <c r="F42" s="3">
        <f ca="1">IFERROR(__xludf.DUMMYFUNCTION("""COMPUTED_VALUE"""),9328200755)</f>
        <v>9328200755</v>
      </c>
      <c r="G42" s="3">
        <f ca="1">IFERROR(__xludf.DUMMYFUNCTION("""COMPUTED_VALUE"""),9924929155)</f>
        <v>9924929155</v>
      </c>
      <c r="H42" s="33">
        <f ca="1">IFERROR(__xludf.DUMMYFUNCTION("""COMPUTED_VALUE"""),0.845833333333333)</f>
        <v>0.84583333333333299</v>
      </c>
      <c r="I42" s="25">
        <f ca="1">IFERROR(__xludf.DUMMYFUNCTION("""COMPUTED_VALUE"""),0.888888888888888)</f>
        <v>0.88888888888888795</v>
      </c>
      <c r="J42" s="25">
        <f ca="1">IFERROR(__xludf.DUMMYFUNCTION("""COMPUTED_VALUE"""),0.9)</f>
        <v>0.9</v>
      </c>
      <c r="K42" s="25">
        <f ca="1">IFERROR(__xludf.DUMMYFUNCTION("""COMPUTED_VALUE"""),0.823529411764705)</f>
        <v>0.82352941176470495</v>
      </c>
      <c r="L42" s="25">
        <f ca="1">IFERROR(__xludf.DUMMYFUNCTION("""COMPUTED_VALUE"""),1)</f>
        <v>1</v>
      </c>
      <c r="M42" s="25">
        <f ca="1">IFERROR(__xludf.DUMMYFUNCTION("""COMPUTED_VALUE"""),0.805555555555555)</f>
        <v>0.80555555555555503</v>
      </c>
      <c r="N42" s="25">
        <f ca="1">IFERROR(__xludf.DUMMYFUNCTION("""COMPUTED_VALUE"""),0.909090909090909)</f>
        <v>0.90909090909090895</v>
      </c>
      <c r="O42" s="25">
        <f ca="1">IFERROR(__xludf.DUMMYFUNCTION("""COMPUTED_VALUE"""),0.939393939393939)</f>
        <v>0.939393939393939</v>
      </c>
      <c r="P42" s="25">
        <f ca="1">IFERROR(__xludf.DUMMYFUNCTION("""COMPUTED_VALUE"""),0.916666666666666)</f>
        <v>0.91666666666666596</v>
      </c>
      <c r="Q42" s="25">
        <f ca="1">IFERROR(__xludf.DUMMYFUNCTION("""COMPUTED_VALUE"""),0)</f>
        <v>0</v>
      </c>
      <c r="R42" s="25">
        <f ca="1">IFERROR(__xludf.DUMMYFUNCTION("""COMPUTED_VALUE"""),0.909090909090909)</f>
        <v>0.90909090909090895</v>
      </c>
      <c r="S42" s="25">
        <f ca="1">IFERROR(__xludf.DUMMYFUNCTION("""COMPUTED_VALUE"""),0.5)</f>
        <v>0.5</v>
      </c>
      <c r="T42" s="25">
        <f ca="1">IFERROR(__xludf.DUMMYFUNCTION("""COMPUTED_VALUE"""),0.5)</f>
        <v>0.5</v>
      </c>
      <c r="U42" s="25">
        <f ca="1">IFERROR(__xludf.DUMMYFUNCTION("""COMPUTED_VALUE"""),0.454545454545454)</f>
        <v>0.45454545454545398</v>
      </c>
      <c r="V42" s="25">
        <f ca="1">IFERROR(__xludf.DUMMYFUNCTION("""COMPUTED_VALUE"""),0)</f>
        <v>0</v>
      </c>
      <c r="W42" s="4"/>
      <c r="X42" s="4" t="str">
        <f ca="1">IFERROR(__xludf.DUMMYFUNCTION("""COMPUTED_VALUE"""),"| 1 L PHP-CGM % | 3 P Python % | 5 P PHP-CGM % ")</f>
        <v xml:space="preserve">| 1 L PHP-CGM % | 3 P Python % | 5 P PHP-CGM % </v>
      </c>
      <c r="Y42" s="4" t="str">
        <f ca="1">IFERROR(__xludf.DUMMYFUNCTION("""COMPUTED_VALUE"""),"| 1 P JAVA % | 3 L JAVA % | 4 L CPT % | 5 P Python % ")</f>
        <v xml:space="preserve">| 1 P JAVA % | 3 L JAVA % | 4 L CPT % | 5 P Python % </v>
      </c>
      <c r="Z4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2" s="4" t="str">
        <f ca="1">IFERROR(__xludf.DUMMYFUNCTION("""COMPUTED_VALUE"""),"| 3 L PHP-CGM % | 4 L NS % | 1 L INE % | 5 P PRO % ")</f>
        <v xml:space="preserve">| 3 L PHP-CGM % | 4 L NS % | 1 L INE % | 5 P PRO % </v>
      </c>
      <c r="AB42" s="4" t="str">
        <f ca="1">IFERROR(__xludf.DUMMYFUNCTION("""COMPUTED_VALUE"""),"| 1 L CPT % | 2 L NS % | 3 P JAVA % | 5 P CPT % ")</f>
        <v xml:space="preserve">| 1 L CPT % | 2 L NS % | 3 P JAVA % | 5 P CPT % </v>
      </c>
      <c r="AC42" s="4" t="str">
        <f ca="1">IFERROR(__xludf.DUMMYFUNCTION("""COMPUTED_VALUE"""),"| 1 L PHP-CGM % | 2 L JAVA % | 3 P Python % | 5 P PHP-CGM % ")</f>
        <v xml:space="preserve">| 1 L PHP-CGM % | 2 L JAVA % | 3 P Python % | 5 P PHP-CGM % </v>
      </c>
      <c r="AD42" s="4" t="str">
        <f ca="1">IFERROR(__xludf.DUMMYFUNCTION("""COMPUTED_VALUE"""),"| 2 P JAVA % | 3 L JAVA % | 4 L CPT % | 5 P Python % ")</f>
        <v xml:space="preserve">| 2 P JAVA % | 3 L JAVA % | 4 L CPT % | 5 P Python % </v>
      </c>
      <c r="AE42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42" s="4" t="str">
        <f ca="1">IFERROR(__xludf.DUMMYFUNCTION("""COMPUTED_VALUE"""),"| 3 L PHP-CGM % | 4 L NS % | 5 P PRO @ ")</f>
        <v xml:space="preserve">| 3 L PHP-CGM % | 4 L NS % | 5 P PRO @ </v>
      </c>
      <c r="AG42" s="4" t="str">
        <f ca="1">IFERROR(__xludf.DUMMYFUNCTION("""COMPUTED_VALUE"""),"| 1 L CPT % | 2 L NS % | 3 P JAVA % | 5 P CPT % ")</f>
        <v xml:space="preserve">| 1 L CPT % | 2 L NS % | 3 P JAVA % | 5 P CPT % </v>
      </c>
      <c r="AH42" s="4" t="str">
        <f ca="1">IFERROR(__xludf.DUMMYFUNCTION("""COMPUTED_VALUE"""),"| 3 L PHP-CGM % | 4 L NS % | 5 L PRO % ")</f>
        <v xml:space="preserve">| 3 L PHP-CGM % | 4 L NS % | 5 L PRO % </v>
      </c>
      <c r="AI42" s="4" t="str">
        <f ca="1">IFERROR(__xludf.DUMMYFUNCTION("""COMPUTED_VALUE"""),"| 1 L CPT % | 2 L NS % | 3 P JAVA % | 5 P CPT % ")</f>
        <v xml:space="preserve">| 1 L CPT % | 2 L NS % | 3 P JAVA % | 5 P CPT % </v>
      </c>
      <c r="AJ42" s="4" t="str">
        <f ca="1">IFERROR(__xludf.DUMMYFUNCTION("""COMPUTED_VALUE"""),"| 1 L PHP-CGM % | 2 L JAVA % | 3 P Python % | 5 P PHP-CGM % ")</f>
        <v xml:space="preserve">| 1 L PHP-CGM % | 2 L JAVA % | 3 P Python % | 5 P PHP-CGM % </v>
      </c>
      <c r="AK42" s="4" t="str">
        <f ca="1">IFERROR(__xludf.DUMMYFUNCTION("""COMPUTED_VALUE"""),"| 2 P JAVA % | 3 L JAVA % | 4 L CPT % | 5 P Python % ")</f>
        <v xml:space="preserve">| 2 P JAVA % | 3 L JAVA % | 4 L CPT % | 5 P Python % </v>
      </c>
      <c r="AL4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2" s="4" t="str">
        <f ca="1">IFERROR(__xludf.DUMMYFUNCTION("""COMPUTED_VALUE"""),"| 1 L INE @ | 4 L NS % | 3 L PHP-CGM % | 5 L PRO % ")</f>
        <v xml:space="preserve">| 1 L INE @ | 4 L NS % | 3 L PHP-CGM % | 5 L PRO % </v>
      </c>
      <c r="AN42" s="4" t="str">
        <f ca="1">IFERROR(__xludf.DUMMYFUNCTION("""COMPUTED_VALUE"""),"| 1 L CPT % | 2 L NS % | 3 P JAVA % | 5 P CPT % ")</f>
        <v xml:space="preserve">| 1 L CPT % | 2 L NS % | 3 P JAVA % | 5 P CPT % </v>
      </c>
      <c r="AO42" s="4" t="str">
        <f ca="1">IFERROR(__xludf.DUMMYFUNCTION("""COMPUTED_VALUE"""),"| 1 L PHP-CGM @ | 2 L JAVA @ | 3 P Python @ | 5 P PHP-CGM @ ")</f>
        <v xml:space="preserve">| 1 L PHP-CGM @ | 2 L JAVA @ | 3 P Python @ | 5 P PHP-CGM @ </v>
      </c>
      <c r="AP42" s="4" t="str">
        <f ca="1">IFERROR(__xludf.DUMMYFUNCTION("""COMPUTED_VALUE"""),"| 2 P JAVA % | 3 L JAVA % | 4 L CPT % | 5 P Python % ")</f>
        <v xml:space="preserve">| 2 P JAVA % | 3 L JAVA % | 4 L CPT % | 5 P Python % </v>
      </c>
      <c r="AQ4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42" s="4" t="str">
        <f ca="1">IFERROR(__xludf.DUMMYFUNCTION("""COMPUTED_VALUE"""),"| 1 L INE @ | 3 L PHP-CGM @ | 4 L NS @ | 5 L PRO @ ")</f>
        <v xml:space="preserve">| 1 L INE @ | 3 L PHP-CGM @ | 4 L NS @ | 5 L PRO @ </v>
      </c>
      <c r="AS42" s="4" t="str">
        <f ca="1">IFERROR(__xludf.DUMMYFUNCTION("""COMPUTED_VALUE"""),"| 1 L PHP-CGM % | 2 L JAVA % | 3 P Python % | 5 P PHP-CGM % ")</f>
        <v xml:space="preserve">| 1 L PHP-CGM % | 2 L JAVA % | 3 P Python % | 5 P PHP-CGM % </v>
      </c>
      <c r="AT42" s="4" t="str">
        <f ca="1">IFERROR(__xludf.DUMMYFUNCTION("""COMPUTED_VALUE"""),"| 2 P JAVA % | 3 L JAVA % | 4 L CPT % | 5 P Python % ")</f>
        <v xml:space="preserve">| 2 P JAVA % | 3 L JAVA % | 4 L CPT % | 5 P Python % </v>
      </c>
      <c r="AU4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2" s="4" t="str">
        <f ca="1">IFERROR(__xludf.DUMMYFUNCTION("""COMPUTED_VALUE"""),"| 1 L INE % | 3 L PHP-CGM % | 4 L NS % | 7 L PRO % ")</f>
        <v xml:space="preserve">| 1 L INE % | 3 L PHP-CGM % | 4 L NS % | 7 L PRO % </v>
      </c>
      <c r="AW42" s="4" t="str">
        <f ca="1">IFERROR(__xludf.DUMMYFUNCTION("""COMPUTED_VALUE"""),"| 1 L CPT % | 2 L NS % | 3 P JAVA % | 5 P CPT % ")</f>
        <v xml:space="preserve">| 1 L CPT % | 2 L NS % | 3 P JAVA % | 5 P CPT % </v>
      </c>
      <c r="AX42" s="4" t="str">
        <f ca="1">IFERROR(__xludf.DUMMYFUNCTION("""COMPUTED_VALUE"""),"| 1 L PHP-CGM % | 2 L JAVA % | 3 P Python % | 5 P PHP-CGM % ")</f>
        <v xml:space="preserve">| 1 L PHP-CGM % | 2 L JAVA % | 3 P Python % | 5 P PHP-CGM % </v>
      </c>
      <c r="AY42" s="4" t="str">
        <f ca="1">IFERROR(__xludf.DUMMYFUNCTION("""COMPUTED_VALUE"""),"| 2 P JAVA % | 3 L JAVA % | 4 L CPT % | 5 P Python % ")</f>
        <v xml:space="preserve">| 2 P JAVA % | 3 L JAVA % | 4 L CPT % | 5 P Python % </v>
      </c>
      <c r="AZ42" s="4" t="str">
        <f ca="1">IFERROR(__xludf.DUMMYFUNCTION("""COMPUTED_VALUE"""),"| 1 L INE @ | 3 L PHP-CGM @ | 4 L NS @ | 5 L PRO @ ")</f>
        <v xml:space="preserve">| 1 L INE @ | 3 L PHP-CGM @ | 4 L NS @ | 5 L PRO @ </v>
      </c>
      <c r="BA42" s="4" t="str">
        <f ca="1">IFERROR(__xludf.DUMMYFUNCTION("""COMPUTED_VALUE"""),"| 1 L CPT % | 2 L NS % | 3 P JAVA % | 5 P CPT % ")</f>
        <v xml:space="preserve">| 1 L CPT % | 2 L NS % | 3 P JAVA % | 5 P CPT % </v>
      </c>
      <c r="BB42" s="4" t="str">
        <f ca="1">IFERROR(__xludf.DUMMYFUNCTION("""COMPUTED_VALUE"""),"| 1 L PHP-CGM % | 2 L JAVA % | 3 P Python % | 5 P PHP-CGM % ")</f>
        <v xml:space="preserve">| 1 L PHP-CGM % | 2 L JAVA % | 3 P Python % | 5 P PHP-CGM % </v>
      </c>
      <c r="BC42" s="4" t="str">
        <f ca="1">IFERROR(__xludf.DUMMYFUNCTION("""COMPUTED_VALUE"""),"| 2 P JAVA % | 3 L JAVA % | 4 L CPT %  | 5 P Python % ")</f>
        <v xml:space="preserve">| 2 P JAVA % | 3 L JAVA % | 4 L CPT %  | 5 P Python % </v>
      </c>
      <c r="BD42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42" s="4" t="str">
        <f ca="1">IFERROR(__xludf.DUMMYFUNCTION("""COMPUTED_VALUE"""),"| 1 L INE @ | 3 L PHP-CGM % | 4 L NS % | 5 L PRO % ")</f>
        <v xml:space="preserve">| 1 L INE @ | 3 L PHP-CGM % | 4 L NS % | 5 L PRO % </v>
      </c>
      <c r="BF42" s="4" t="str">
        <f ca="1">IFERROR(__xludf.DUMMYFUNCTION("""COMPUTED_VALUE"""),"| 1 L CPT @ | 2 L NS @ | 3 P JAVA @ | 5 P CPT @ ")</f>
        <v xml:space="preserve">| 1 L CPT @ | 2 L NS @ | 3 P JAVA @ | 5 P CPT @ </v>
      </c>
      <c r="BG42" s="4" t="str">
        <f ca="1">IFERROR(__xludf.DUMMYFUNCTION("""COMPUTED_VALUE"""),"| 2 P JAVA % | 4 L CPT % | 5 P Python % ")</f>
        <v xml:space="preserve">| 2 P JAVA % | 4 L CPT % | 5 P Python % </v>
      </c>
      <c r="BH4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2" s="4" t="str">
        <f ca="1">IFERROR(__xludf.DUMMYFUNCTION("""COMPUTED_VALUE"""),"| 1 L INE @ | 3 L PHP-CGM @ | 4 L NS @ | 5 L PRO @ ")</f>
        <v xml:space="preserve">| 1 L INE @ | 3 L PHP-CGM @ | 4 L NS @ | 5 L PRO @ </v>
      </c>
      <c r="BJ42" s="4" t="str">
        <f ca="1">IFERROR(__xludf.DUMMYFUNCTION("""COMPUTED_VALUE"""),"| 1 L CPT % | 2 L NS % | 3 P JAVA % | 5 P CPT % ")</f>
        <v xml:space="preserve">| 1 L CPT % | 2 L NS % | 3 P JAVA % | 5 P CPT % </v>
      </c>
      <c r="BK42" s="4" t="str">
        <f ca="1">IFERROR(__xludf.DUMMYFUNCTION("""COMPUTED_VALUE"""),"| 1 L PHP-CGM @ | 2 L JAVA @ | 3 P Python @ ")</f>
        <v xml:space="preserve">| 1 L PHP-CGM @ | 2 L JAVA @ | 3 P Python @ </v>
      </c>
      <c r="BL42" s="4" t="str">
        <f ca="1">IFERROR(__xludf.DUMMYFUNCTION("""COMPUTED_VALUE"""),"| 2 P JAVA % | 3 L JAVA % | 4 L CPT % | 5 P Python % ")</f>
        <v xml:space="preserve">| 2 P JAVA % | 3 L JAVA % | 4 L CPT % | 5 P Python % </v>
      </c>
      <c r="BM4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42" s="4" t="str">
        <f ca="1">IFERROR(__xludf.DUMMYFUNCTION("""COMPUTED_VALUE"""),"| 1 L INE @ | 3 L PHP-CGM @ | 4 L NS @ | 5 L PRO @ ")</f>
        <v xml:space="preserve">| 1 L INE @ | 3 L PHP-CGM @ | 4 L NS @ | 5 L PRO @ </v>
      </c>
      <c r="BO42" s="4" t="str">
        <f ca="1">IFERROR(__xludf.DUMMYFUNCTION("""COMPUTED_VALUE"""),"| 1 L CPT @ | 2 L NS @ | 3 P JAVA @ ")</f>
        <v xml:space="preserve">| 1 L CPT @ | 2 L NS @ | 3 P JAVA @ </v>
      </c>
      <c r="BP42" s="4" t="str">
        <f ca="1">IFERROR(__xludf.DUMMYFUNCTION("""COMPUTED_VALUE"""),"| 1 L PHP-CGM % | 2 L JAVA % | 3 P Python % | 5 P PHP-CGM % ")</f>
        <v xml:space="preserve">| 1 L PHP-CGM % | 2 L JAVA % | 3 P Python % | 5 P PHP-CGM % </v>
      </c>
      <c r="BQ42" s="4" t="str">
        <f ca="1">IFERROR(__xludf.DUMMYFUNCTION("""COMPUTED_VALUE"""),"| 5 L PHP-CGM % | 6 L CPT % ")</f>
        <v xml:space="preserve">| 5 L PHP-CGM % | 6 L CPT % </v>
      </c>
      <c r="BR42" s="4"/>
      <c r="BS42" s="4"/>
      <c r="BT42" s="4" t="str">
        <f ca="1">IFERROR(__xludf.DUMMYFUNCTION("""COMPUTED_VALUE"""),"| 1 L PHP-CGM % | 2 L JAVA % ")</f>
        <v xml:space="preserve">| 1 L PHP-CGM % | 2 L JAVA % </v>
      </c>
      <c r="BU42" s="4" t="str">
        <f ca="1">IFERROR(__xludf.DUMMYFUNCTION("""COMPUTED_VALUE"""),"| 2 P JAVA % | 4 L CPT % | 3 L JAVA % ")</f>
        <v xml:space="preserve">| 2 P JAVA % | 4 L CPT % | 3 L JAVA % </v>
      </c>
      <c r="BV42" s="4" t="str">
        <f ca="1">IFERROR(__xludf.DUMMYFUNCTION("""COMPUTED_VALUE"""),"| 1 L PHP-CGM % | 2 L JAVA % | 3 P Python % | 5 P PHP-CGM % ")</f>
        <v xml:space="preserve">| 1 L PHP-CGM % | 2 L JAVA % | 3 P Python % | 5 P PHP-CGM % </v>
      </c>
      <c r="BW42" s="4" t="str">
        <f ca="1">IFERROR(__xludf.DUMMYFUNCTION("""COMPUTED_VALUE"""),"| 2 P JAVA % | 3 L JAVA % | 4 L CPT % ")</f>
        <v xml:space="preserve">| 2 P JAVA % | 3 L JAVA % | 4 L CPT % </v>
      </c>
      <c r="BX42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42" s="4" t="str">
        <f ca="1">IFERROR(__xludf.DUMMYFUNCTION("""COMPUTED_VALUE"""),"| 1 L INE % | 3 L PHP-CGM % | 4 L NS % | 5 L PRO @ ")</f>
        <v xml:space="preserve">| 1 L INE % | 3 L PHP-CGM % | 4 L NS % | 5 L PRO @ </v>
      </c>
      <c r="BZ42" s="4" t="str">
        <f ca="1">IFERROR(__xludf.DUMMYFUNCTION("""COMPUTED_VALUE"""),"| 1 L CPT % | 2 L NS % | 3 P JAVA % | 5 P CPT % ")</f>
        <v xml:space="preserve">| 1 L CPT % | 2 L NS % | 3 P JAVA % | 5 P CPT % </v>
      </c>
      <c r="CA42" s="4" t="str">
        <f ca="1">IFERROR(__xludf.DUMMYFUNCTION("""COMPUTED_VALUE"""),"| 1 L PHP-CGM % | 2 L JAVA % | 3 P Python % | 5 P PHP-CGM % ")</f>
        <v xml:space="preserve">| 1 L PHP-CGM % | 2 L JAVA % | 3 P Python % | 5 P PHP-CGM % </v>
      </c>
      <c r="CB42" s="4" t="str">
        <f ca="1">IFERROR(__xludf.DUMMYFUNCTION("""COMPUTED_VALUE"""),"| 2 P JAVA % | 3 L JAVA % | 4 L CPT % | 3 P Python % ")</f>
        <v xml:space="preserve">| 2 P JAVA % | 3 L JAVA % | 4 L CPT % | 3 P Python % </v>
      </c>
      <c r="CC42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2" s="4" t="str">
        <f ca="1">IFERROR(__xludf.DUMMYFUNCTION("""COMPUTED_VALUE"""),"| 1 L INE % | 3 L PHP-CGM % | 4 L NS % | 5 L PRO % ")</f>
        <v xml:space="preserve">| 1 L INE % | 3 L PHP-CGM % | 4 L NS % | 5 L PRO % </v>
      </c>
      <c r="CE42" s="4" t="str">
        <f ca="1">IFERROR(__xludf.DUMMYFUNCTION("""COMPUTED_VALUE"""),"| 1 L CPT % | 2 L NS % | 3 P JAVA % | 5 P CPT % ")</f>
        <v xml:space="preserve">| 1 L CPT % | 2 L NS % | 3 P JAVA % | 5 P CPT % </v>
      </c>
      <c r="CF42" s="4" t="str">
        <f ca="1">IFERROR(__xludf.DUMMYFUNCTION("""COMPUTED_VALUE"""),"| 1 L PHP-CGM % | 2 L JAVA % | 3 P Python % | 5 P PHP-CGM % ")</f>
        <v xml:space="preserve">| 1 L PHP-CGM % | 2 L JAVA % | 3 P Python % | 5 P PHP-CGM % </v>
      </c>
      <c r="CG42" s="4" t="str">
        <f ca="1">IFERROR(__xludf.DUMMYFUNCTION("""COMPUTED_VALUE"""),"| 2 P JAVA % | 4 L CPT % ")</f>
        <v xml:space="preserve">| 2 P JAVA % | 4 L CPT % </v>
      </c>
      <c r="CH42" s="4" t="str">
        <f ca="1">IFERROR(__xludf.DUMMYFUNCTION("""COMPUTED_VALUE"""),"| 1 P NS % | 3 L NS % | 6 L CPT @ ")</f>
        <v xml:space="preserve">| 1 P NS % | 3 L NS % | 6 L CPT @ </v>
      </c>
      <c r="CI42" s="4" t="str">
        <f ca="1">IFERROR(__xludf.DUMMYFUNCTION("""COMPUTED_VALUE"""),"| 1 L INE % ")</f>
        <v xml:space="preserve">| 1 L INE % </v>
      </c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</row>
    <row r="43" spans="1:102" ht="12.5" x14ac:dyDescent="0.25">
      <c r="A43" s="3">
        <f ca="1">IFERROR(__xludf.DUMMYFUNCTION("""COMPUTED_VALUE"""),2)</f>
        <v>2</v>
      </c>
      <c r="B43" s="3" t="str">
        <f ca="1">IFERROR(__xludf.DUMMYFUNCTION("""COMPUTED_VALUE"""),"A")</f>
        <v>A</v>
      </c>
      <c r="C43" s="32" t="str">
        <f ca="1">IFERROR(__xludf.DUMMYFUNCTION("""COMPUTED_VALUE"""),"23291341114")</f>
        <v>23291341114</v>
      </c>
      <c r="D43" s="21" t="str">
        <f ca="1">IFERROR(__xludf.DUMMYFUNCTION("""COMPUTED_VALUE"""),"PATEL PRACHI JAYESHKUMAR")</f>
        <v>PATEL PRACHI JAYESHKUMAR</v>
      </c>
      <c r="E43" s="3" t="str">
        <f ca="1">IFERROR(__xludf.DUMMYFUNCTION("""COMPUTED_VALUE"""),"RRP-Mor")</f>
        <v>RRP-Mor</v>
      </c>
      <c r="F43" s="3">
        <f ca="1">IFERROR(__xludf.DUMMYFUNCTION("""COMPUTED_VALUE"""),8511869227)</f>
        <v>8511869227</v>
      </c>
      <c r="G43" s="3">
        <f ca="1">IFERROR(__xludf.DUMMYFUNCTION("""COMPUTED_VALUE"""),9898421260)</f>
        <v>9898421260</v>
      </c>
      <c r="H43" s="33">
        <f ca="1">IFERROR(__xludf.DUMMYFUNCTION("""COMPUTED_VALUE"""),0.479166666666666)</f>
        <v>0.47916666666666602</v>
      </c>
      <c r="I43" s="25">
        <f ca="1">IFERROR(__xludf.DUMMYFUNCTION("""COMPUTED_VALUE"""),0.333333333333333)</f>
        <v>0.33333333333333298</v>
      </c>
      <c r="J43" s="25">
        <f ca="1">IFERROR(__xludf.DUMMYFUNCTION("""COMPUTED_VALUE"""),0.4)</f>
        <v>0.4</v>
      </c>
      <c r="K43" s="25">
        <f ca="1">IFERROR(__xludf.DUMMYFUNCTION("""COMPUTED_VALUE"""),0.558823529411764)</f>
        <v>0.55882352941176405</v>
      </c>
      <c r="L43" s="25">
        <f ca="1">IFERROR(__xludf.DUMMYFUNCTION("""COMPUTED_VALUE"""),0.545454545454545)</f>
        <v>0.54545454545454497</v>
      </c>
      <c r="M43" s="25">
        <f ca="1">IFERROR(__xludf.DUMMYFUNCTION("""COMPUTED_VALUE"""),0.444444444444444)</f>
        <v>0.44444444444444398</v>
      </c>
      <c r="N43" s="25">
        <f ca="1">IFERROR(__xludf.DUMMYFUNCTION("""COMPUTED_VALUE"""),0.454545454545454)</f>
        <v>0.45454545454545398</v>
      </c>
      <c r="O43" s="25">
        <f ca="1">IFERROR(__xludf.DUMMYFUNCTION("""COMPUTED_VALUE"""),0.575757575757575)</f>
        <v>0.57575757575757502</v>
      </c>
      <c r="P43" s="25">
        <f ca="1">IFERROR(__xludf.DUMMYFUNCTION("""COMPUTED_VALUE"""),0.541666666666666)</f>
        <v>0.54166666666666596</v>
      </c>
      <c r="Q43" s="25">
        <f ca="1">IFERROR(__xludf.DUMMYFUNCTION("""COMPUTED_VALUE"""),0)</f>
        <v>0</v>
      </c>
      <c r="R43" s="25">
        <f ca="1">IFERROR(__xludf.DUMMYFUNCTION("""COMPUTED_VALUE"""),0.545454545454545)</f>
        <v>0.54545454545454497</v>
      </c>
      <c r="S43" s="25">
        <f ca="1">IFERROR(__xludf.DUMMYFUNCTION("""COMPUTED_VALUE"""),0.3)</f>
        <v>0.3</v>
      </c>
      <c r="T43" s="25">
        <f ca="1">IFERROR(__xludf.DUMMYFUNCTION("""COMPUTED_VALUE"""),0)</f>
        <v>0</v>
      </c>
      <c r="U43" s="25">
        <f ca="1">IFERROR(__xludf.DUMMYFUNCTION("""COMPUTED_VALUE"""),0.545454545454545)</f>
        <v>0.54545454545454497</v>
      </c>
      <c r="V43" s="25">
        <f ca="1">IFERROR(__xludf.DUMMYFUNCTION("""COMPUTED_VALUE"""),0)</f>
        <v>0</v>
      </c>
      <c r="W43" s="4"/>
      <c r="X43" s="4" t="str">
        <f ca="1">IFERROR(__xludf.DUMMYFUNCTION("""COMPUTED_VALUE"""),"| 1 L PHP-CGM @ | 3 P Python @ | 5 P PHP-CGM @ ")</f>
        <v xml:space="preserve">| 1 L PHP-CGM @ | 3 P Python @ | 5 P PHP-CGM @ </v>
      </c>
      <c r="Y43" s="4" t="str">
        <f ca="1">IFERROR(__xludf.DUMMYFUNCTION("""COMPUTED_VALUE"""),"| 1 P JAVA % | 3 L JAVA @ | 4 L CPT @ | 5 P Python @ ")</f>
        <v xml:space="preserve">| 1 P JAVA % | 3 L JAVA @ | 4 L CPT @ | 5 P Python @ </v>
      </c>
      <c r="Z43" s="4" t="str">
        <f ca="1">IFERROR(__xludf.DUMMYFUNCTION("""COMPUTED_VALUE"""),"| 1 P NS % | 3 L NS % | 4 L JAVA @ | 5 L PHP-CGM @ | 6 L CPT @ ")</f>
        <v xml:space="preserve">| 1 P NS % | 3 L NS % | 4 L JAVA @ | 5 L PHP-CGM @ | 6 L CPT @ </v>
      </c>
      <c r="AA43" s="4" t="str">
        <f ca="1">IFERROR(__xludf.DUMMYFUNCTION("""COMPUTED_VALUE"""),"| 3 L PHP-CGM @ | 4 L NS @ | 1 L INE % | 5 P PRO @ ")</f>
        <v xml:space="preserve">| 3 L PHP-CGM @ | 4 L NS @ | 1 L INE % | 5 P PRO @ </v>
      </c>
      <c r="AB43" s="4" t="str">
        <f ca="1">IFERROR(__xludf.DUMMYFUNCTION("""COMPUTED_VALUE"""),"| 1 L CPT @ | 2 L NS @ | 3 P JAVA @ | 5 P CPT @ ")</f>
        <v xml:space="preserve">| 1 L CPT @ | 2 L NS @ | 3 P JAVA @ | 5 P CPT @ </v>
      </c>
      <c r="AC43" s="4" t="str">
        <f ca="1">IFERROR(__xludf.DUMMYFUNCTION("""COMPUTED_VALUE"""),"| 1 L PHP-CGM % | 2 L JAVA % | 3 P Python % | 5 P PHP-CGM % ")</f>
        <v xml:space="preserve">| 1 L PHP-CGM % | 2 L JAVA % | 3 P Python % | 5 P PHP-CGM % </v>
      </c>
      <c r="AD43" s="4" t="str">
        <f ca="1">IFERROR(__xludf.DUMMYFUNCTION("""COMPUTED_VALUE"""),"| 2 P JAVA % | 3 L JAVA % | 4 L CPT % | 5 P Python @ ")</f>
        <v xml:space="preserve">| 2 P JAVA % | 3 L JAVA % | 4 L CPT % | 5 P Python @ </v>
      </c>
      <c r="AE43" s="4" t="str">
        <f ca="1">IFERROR(__xludf.DUMMYFUNCTION("""COMPUTED_VALUE"""),"| 1 P NS @ | 4 L JAVA @ | 3 L NS @ | 5 L PHP-CGM @ | 6 L CPT @ ")</f>
        <v xml:space="preserve">| 1 P NS @ | 4 L JAVA @ | 3 L NS @ | 5 L PHP-CGM @ | 6 L CPT @ </v>
      </c>
      <c r="AF43" s="4" t="str">
        <f ca="1">IFERROR(__xludf.DUMMYFUNCTION("""COMPUTED_VALUE"""),"| 3 L PHP-CGM % | 4 L NS % | 5 P PRO @ ")</f>
        <v xml:space="preserve">| 3 L PHP-CGM % | 4 L NS % | 5 P PRO @ </v>
      </c>
      <c r="AG43" s="4" t="str">
        <f ca="1">IFERROR(__xludf.DUMMYFUNCTION("""COMPUTED_VALUE"""),"| 1 L CPT % | 2 L NS % | 3 P JAVA % | 5 P CPT % ")</f>
        <v xml:space="preserve">| 1 L CPT % | 2 L NS % | 3 P JAVA % | 5 P CPT % </v>
      </c>
      <c r="AH43" s="4" t="str">
        <f ca="1">IFERROR(__xludf.DUMMYFUNCTION("""COMPUTED_VALUE"""),"| 3 L PHP-CGM % | 4 L NS % | 5 L PRO @ ")</f>
        <v xml:space="preserve">| 3 L PHP-CGM % | 4 L NS % | 5 L PRO @ </v>
      </c>
      <c r="AI43" s="4" t="str">
        <f ca="1">IFERROR(__xludf.DUMMYFUNCTION("""COMPUTED_VALUE"""),"| 1 L CPT % | 2 L NS % | 3 P JAVA @ | 5 P CPT @ ")</f>
        <v xml:space="preserve">| 1 L CPT % | 2 L NS % | 3 P JAVA @ | 5 P CPT @ </v>
      </c>
      <c r="AJ43" s="4" t="str">
        <f ca="1">IFERROR(__xludf.DUMMYFUNCTION("""COMPUTED_VALUE"""),"| 1 L PHP-CGM % | 2 L JAVA % | 3 P Python % | 5 P PHP-CGM @ ")</f>
        <v xml:space="preserve">| 1 L PHP-CGM % | 2 L JAVA % | 3 P Python % | 5 P PHP-CGM @ </v>
      </c>
      <c r="AK43" s="4" t="str">
        <f ca="1">IFERROR(__xludf.DUMMYFUNCTION("""COMPUTED_VALUE"""),"| 2 P JAVA % | 3 L JAVA % | 4 L CPT % | 5 P Python @ ")</f>
        <v xml:space="preserve">| 2 P JAVA % | 3 L JAVA % | 4 L CPT % | 5 P Python @ </v>
      </c>
      <c r="AL43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3" s="4" t="str">
        <f ca="1">IFERROR(__xludf.DUMMYFUNCTION("""COMPUTED_VALUE"""),"| 1 L INE @ | 4 L NS @ | 3 L PHP-CGM @ | 5 L PRO @ ")</f>
        <v xml:space="preserve">| 1 L INE @ | 4 L NS @ | 3 L PHP-CGM @ | 5 L PRO @ </v>
      </c>
      <c r="AN43" s="4" t="str">
        <f ca="1">IFERROR(__xludf.DUMMYFUNCTION("""COMPUTED_VALUE"""),"| 1 L CPT @ | 2 L NS % | 3 P JAVA % | 5 P CPT @ ")</f>
        <v xml:space="preserve">| 1 L CPT @ | 2 L NS % | 3 P JAVA % | 5 P CPT @ </v>
      </c>
      <c r="AO43" s="4" t="str">
        <f ca="1">IFERROR(__xludf.DUMMYFUNCTION("""COMPUTED_VALUE"""),"| 1 L PHP-CGM % | 2 L JAVA % | 3 P Python % | 5 P PHP-CGM % ")</f>
        <v xml:space="preserve">| 1 L PHP-CGM % | 2 L JAVA % | 3 P Python % | 5 P PHP-CGM % </v>
      </c>
      <c r="AP43" s="4" t="str">
        <f ca="1">IFERROR(__xludf.DUMMYFUNCTION("""COMPUTED_VALUE"""),"| 2 P JAVA % | 3 L JAVA % | 4 L CPT % | 5 P Python @ ")</f>
        <v xml:space="preserve">| 2 P JAVA % | 3 L JAVA % | 4 L CPT % | 5 P Python @ </v>
      </c>
      <c r="AQ43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R43" s="4" t="str">
        <f ca="1">IFERROR(__xludf.DUMMYFUNCTION("""COMPUTED_VALUE"""),"| 1 L INE @ | 3 L PHP-CGM @ | 4 L NS @ | 5 L PRO @ ")</f>
        <v xml:space="preserve">| 1 L INE @ | 3 L PHP-CGM @ | 4 L NS @ | 5 L PRO @ </v>
      </c>
      <c r="AS43" s="4" t="str">
        <f ca="1">IFERROR(__xludf.DUMMYFUNCTION("""COMPUTED_VALUE"""),"| 1 L PHP-CGM % | 2 L JAVA % | 3 P Python % | 5 P PHP-CGM % ")</f>
        <v xml:space="preserve">| 1 L PHP-CGM % | 2 L JAVA % | 3 P Python % | 5 P PHP-CGM % </v>
      </c>
      <c r="AT43" s="4" t="str">
        <f ca="1">IFERROR(__xludf.DUMMYFUNCTION("""COMPUTED_VALUE"""),"| 2 P JAVA % | 3 L JAVA % | 4 L CPT % | 5 P Python % ")</f>
        <v xml:space="preserve">| 2 P JAVA % | 3 L JAVA % | 4 L CPT % | 5 P Python % </v>
      </c>
      <c r="AU43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V43" s="4" t="str">
        <f ca="1">IFERROR(__xludf.DUMMYFUNCTION("""COMPUTED_VALUE"""),"| 1 L INE % | 3 L PHP-CGM % | 4 L NS % | 7 L PRO % ")</f>
        <v xml:space="preserve">| 1 L INE % | 3 L PHP-CGM % | 4 L NS % | 7 L PRO % </v>
      </c>
      <c r="AW43" s="4" t="str">
        <f ca="1">IFERROR(__xludf.DUMMYFUNCTION("""COMPUTED_VALUE"""),"| 1 L CPT % | 2 L NS % | 3 P JAVA % | 5 P CPT % ")</f>
        <v xml:space="preserve">| 1 L CPT % | 2 L NS % | 3 P JAVA % | 5 P CPT % </v>
      </c>
      <c r="AX43" s="4" t="str">
        <f ca="1">IFERROR(__xludf.DUMMYFUNCTION("""COMPUTED_VALUE"""),"| 1 L PHP-CGM % | 2 L JAVA % | 3 P Python % | 5 P PHP-CGM % ")</f>
        <v xml:space="preserve">| 1 L PHP-CGM % | 2 L JAVA % | 3 P Python % | 5 P PHP-CGM % </v>
      </c>
      <c r="AY43" s="4" t="str">
        <f ca="1">IFERROR(__xludf.DUMMYFUNCTION("""COMPUTED_VALUE"""),"| 2 P JAVA % | 3 L JAVA % | 4 L CPT % | 5 P Python % ")</f>
        <v xml:space="preserve">| 2 P JAVA % | 3 L JAVA % | 4 L CPT % | 5 P Python % </v>
      </c>
      <c r="AZ43" s="4" t="str">
        <f ca="1">IFERROR(__xludf.DUMMYFUNCTION("""COMPUTED_VALUE"""),"| 1 L INE % | 3 L PHP-CGM % | 4 L NS % | 5 L PRO @ ")</f>
        <v xml:space="preserve">| 1 L INE % | 3 L PHP-CGM % | 4 L NS % | 5 L PRO @ </v>
      </c>
      <c r="BA43" s="4" t="str">
        <f ca="1">IFERROR(__xludf.DUMMYFUNCTION("""COMPUTED_VALUE"""),"| 1 L CPT % | 2 L NS % | 3 P JAVA @ | 5 P CPT % ")</f>
        <v xml:space="preserve">| 1 L CPT % | 2 L NS % | 3 P JAVA @ | 5 P CPT % </v>
      </c>
      <c r="BB43" s="4" t="str">
        <f ca="1">IFERROR(__xludf.DUMMYFUNCTION("""COMPUTED_VALUE"""),"| 1 L PHP-CGM @ | 2 L JAVA @ | 3 P Python @ | 5 P PHP-CGM @ ")</f>
        <v xml:space="preserve">| 1 L PHP-CGM @ | 2 L JAVA @ | 3 P Python @ | 5 P PHP-CGM @ </v>
      </c>
      <c r="BC43" s="4" t="str">
        <f ca="1">IFERROR(__xludf.DUMMYFUNCTION("""COMPUTED_VALUE"""),"| 2 P JAVA % | 3 L JAVA % | 4 L CPT %  | 5 P Python % ")</f>
        <v xml:space="preserve">| 2 P JAVA % | 3 L JAVA % | 4 L CPT %  | 5 P Python % </v>
      </c>
      <c r="BD43" s="4" t="str">
        <f ca="1">IFERROR(__xludf.DUMMYFUNCTION("""COMPUTED_VALUE"""),"| 1 P NS @ | 3 L NS @ | 6 L CPT @ | 5 L PHP-CGM @ | 4 L JAVA @ ")</f>
        <v xml:space="preserve">| 1 P NS @ | 3 L NS @ | 6 L CPT @ | 5 L PHP-CGM @ | 4 L JAVA @ </v>
      </c>
      <c r="BE43" s="4" t="str">
        <f ca="1">IFERROR(__xludf.DUMMYFUNCTION("""COMPUTED_VALUE"""),"| 1 L INE % | 3 L PHP-CGM % | 4 L NS % | 5 L PRO % ")</f>
        <v xml:space="preserve">| 1 L INE % | 3 L PHP-CGM % | 4 L NS % | 5 L PRO % </v>
      </c>
      <c r="BF43" s="4" t="str">
        <f ca="1">IFERROR(__xludf.DUMMYFUNCTION("""COMPUTED_VALUE"""),"| 1 L CPT @ | 2 L NS % | 3 P JAVA % | 5 P CPT % ")</f>
        <v xml:space="preserve">| 1 L CPT @ | 2 L NS % | 3 P JAVA % | 5 P CPT % </v>
      </c>
      <c r="BG43" s="4" t="str">
        <f ca="1">IFERROR(__xludf.DUMMYFUNCTION("""COMPUTED_VALUE"""),"| 2 P JAVA % | 4 L CPT @ | 5 P Python % ")</f>
        <v xml:space="preserve">| 2 P JAVA % | 4 L CPT @ | 5 P Python % </v>
      </c>
      <c r="BH43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I43" s="4" t="str">
        <f ca="1">IFERROR(__xludf.DUMMYFUNCTION("""COMPUTED_VALUE"""),"| 1 L INE % | 3 L PHP-CGM % | 4 L NS % | 5 L PRO % ")</f>
        <v xml:space="preserve">| 1 L INE % | 3 L PHP-CGM % | 4 L NS % | 5 L PRO % </v>
      </c>
      <c r="BJ43" s="4" t="str">
        <f ca="1">IFERROR(__xludf.DUMMYFUNCTION("""COMPUTED_VALUE"""),"| 1 L CPT @ | 2 L NS @ | 3 P JAVA @ | 5 P CPT @ ")</f>
        <v xml:space="preserve">| 1 L CPT @ | 2 L NS @ | 3 P JAVA @ | 5 P CPT @ </v>
      </c>
      <c r="BK43" s="4" t="str">
        <f ca="1">IFERROR(__xludf.DUMMYFUNCTION("""COMPUTED_VALUE"""),"| 1 L PHP-CGM % | 2 L JAVA % | 3 P Python % ")</f>
        <v xml:space="preserve">| 1 L PHP-CGM % | 2 L JAVA % | 3 P Python % </v>
      </c>
      <c r="BL43" s="4" t="str">
        <f ca="1">IFERROR(__xludf.DUMMYFUNCTION("""COMPUTED_VALUE"""),"| 2 P JAVA % | 3 L JAVA % | 4 L CPT % | 5 P Python @ ")</f>
        <v xml:space="preserve">| 2 P JAVA % | 3 L JAVA % | 4 L CPT % | 5 P Python @ </v>
      </c>
      <c r="BM43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N43" s="4" t="str">
        <f ca="1">IFERROR(__xludf.DUMMYFUNCTION("""COMPUTED_VALUE"""),"| 1 L INE @ | 3 L PHP-CGM @ | 4 L NS @ | 5 L PRO @ ")</f>
        <v xml:space="preserve">| 1 L INE @ | 3 L PHP-CGM @ | 4 L NS @ | 5 L PRO @ </v>
      </c>
      <c r="BO43" s="4" t="str">
        <f ca="1">IFERROR(__xludf.DUMMYFUNCTION("""COMPUTED_VALUE"""),"| 1 L CPT @ | 2 L NS @ | 3 P JAVA @ ")</f>
        <v xml:space="preserve">| 1 L CPT @ | 2 L NS @ | 3 P JAVA @ </v>
      </c>
      <c r="BP43" s="4" t="str">
        <f ca="1">IFERROR(__xludf.DUMMYFUNCTION("""COMPUTED_VALUE"""),"| 1 L PHP-CGM % | 2 L JAVA % | 3 P Python % | 5 P PHP-CGM % ")</f>
        <v xml:space="preserve">| 1 L PHP-CGM % | 2 L JAVA % | 3 P Python % | 5 P PHP-CGM % </v>
      </c>
      <c r="BQ43" s="4" t="str">
        <f ca="1">IFERROR(__xludf.DUMMYFUNCTION("""COMPUTED_VALUE"""),"| 5 L PHP-CGM % | 6 L CPT @ ")</f>
        <v xml:space="preserve">| 5 L PHP-CGM % | 6 L CPT @ </v>
      </c>
      <c r="BR43" s="4"/>
      <c r="BS43" s="4"/>
      <c r="BT43" s="4" t="str">
        <f ca="1">IFERROR(__xludf.DUMMYFUNCTION("""COMPUTED_VALUE"""),"| 1 L PHP-CGM @ | 2 L JAVA @ ")</f>
        <v xml:space="preserve">| 1 L PHP-CGM @ | 2 L JAVA @ </v>
      </c>
      <c r="BU43" s="4" t="str">
        <f ca="1">IFERROR(__xludf.DUMMYFUNCTION("""COMPUTED_VALUE"""),"| 2 P JAVA @ | 4 L CPT @ | 3 L JAVA @ ")</f>
        <v xml:space="preserve">| 2 P JAVA @ | 4 L CPT @ | 3 L JAVA @ </v>
      </c>
      <c r="BV43" s="4" t="str">
        <f ca="1">IFERROR(__xludf.DUMMYFUNCTION("""COMPUTED_VALUE"""),"| 1 L PHP-CGM @ | 2 L JAVA @ | 3 P Python @ | 5 P PHP-CGM @ ")</f>
        <v xml:space="preserve">| 1 L PHP-CGM @ | 2 L JAVA @ | 3 P Python @ | 5 P PHP-CGM @ </v>
      </c>
      <c r="BW43" s="4" t="str">
        <f ca="1">IFERROR(__xludf.DUMMYFUNCTION("""COMPUTED_VALUE"""),"| 2 P JAVA @ | 3 L JAVA @ | 4 L CPT @ ")</f>
        <v xml:space="preserve">| 2 P JAVA @ | 3 L JAVA @ | 4 L CPT @ </v>
      </c>
      <c r="BX43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Y43" s="4" t="str">
        <f ca="1">IFERROR(__xludf.DUMMYFUNCTION("""COMPUTED_VALUE"""),"| 1 L INE @ | 3 L PHP-CGM @ | 4 L NS @ | 5 L PRO @ ")</f>
        <v xml:space="preserve">| 1 L INE @ | 3 L PHP-CGM @ | 4 L NS @ | 5 L PRO @ </v>
      </c>
      <c r="BZ43" s="4" t="str">
        <f ca="1">IFERROR(__xludf.DUMMYFUNCTION("""COMPUTED_VALUE"""),"| 1 L CPT @ | 2 L NS @ | 3 P JAVA @ | 5 P CPT @ ")</f>
        <v xml:space="preserve">| 1 L CPT @ | 2 L NS @ | 3 P JAVA @ | 5 P CPT @ </v>
      </c>
      <c r="CA43" s="4" t="str">
        <f ca="1">IFERROR(__xludf.DUMMYFUNCTION("""COMPUTED_VALUE"""),"| 1 L PHP-CGM @ | 2 L JAVA @ | 3 P Python @ | 5 P PHP-CGM @ ")</f>
        <v xml:space="preserve">| 1 L PHP-CGM @ | 2 L JAVA @ | 3 P Python @ | 5 P PHP-CGM @ </v>
      </c>
      <c r="CB43" s="4" t="str">
        <f ca="1">IFERROR(__xludf.DUMMYFUNCTION("""COMPUTED_VALUE"""),"| 2 P JAVA @ | 3 L JAVA @ | 4 L CPT @ | 3 P Python @ ")</f>
        <v xml:space="preserve">| 2 P JAVA @ | 3 L JAVA @ | 4 L CPT @ | 3 P Python @ </v>
      </c>
      <c r="CC43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3" s="4" t="str">
        <f ca="1">IFERROR(__xludf.DUMMYFUNCTION("""COMPUTED_VALUE"""),"| 1 L INE % | 3 L PHP-CGM % | 4 L NS % | 5 L PRO @ ")</f>
        <v xml:space="preserve">| 1 L INE % | 3 L PHP-CGM % | 4 L NS % | 5 L PRO @ </v>
      </c>
      <c r="CE43" s="4" t="str">
        <f ca="1">IFERROR(__xludf.DUMMYFUNCTION("""COMPUTED_VALUE"""),"| 1 L CPT @ | 2 L NS @ | 3 P JAVA @ | 5 P CPT @ ")</f>
        <v xml:space="preserve">| 1 L CPT @ | 2 L NS @ | 3 P JAVA @ | 5 P CPT @ </v>
      </c>
      <c r="CF43" s="4" t="str">
        <f ca="1">IFERROR(__xludf.DUMMYFUNCTION("""COMPUTED_VALUE"""),"| 1 L PHP-CGM @ | 2 L JAVA @ | 3 P Python % | 5 P PHP-CGM @ ")</f>
        <v xml:space="preserve">| 1 L PHP-CGM @ | 2 L JAVA @ | 3 P Python % | 5 P PHP-CGM @ </v>
      </c>
      <c r="CG43" s="4" t="str">
        <f ca="1">IFERROR(__xludf.DUMMYFUNCTION("""COMPUTED_VALUE"""),"| 2 P JAVA @ | 4 L CPT @ ")</f>
        <v xml:space="preserve">| 2 P JAVA @ | 4 L CPT @ </v>
      </c>
      <c r="CH43" s="4" t="str">
        <f ca="1">IFERROR(__xludf.DUMMYFUNCTION("""COMPUTED_VALUE"""),"| 1 P NS @ | 3 L NS @ | 6 L CPT @ ")</f>
        <v xml:space="preserve">| 1 P NS @ | 3 L NS @ | 6 L CPT @ </v>
      </c>
      <c r="CI43" s="4" t="str">
        <f ca="1">IFERROR(__xludf.DUMMYFUNCTION("""COMPUTED_VALUE"""),"| 1 L INE @ ")</f>
        <v xml:space="preserve">| 1 L INE @ </v>
      </c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</row>
    <row r="44" spans="1:102" ht="12.5" x14ac:dyDescent="0.25">
      <c r="A44" s="3">
        <f ca="1">IFERROR(__xludf.DUMMYFUNCTION("""COMPUTED_VALUE"""),2)</f>
        <v>2</v>
      </c>
      <c r="B44" s="3" t="str">
        <f ca="1">IFERROR(__xludf.DUMMYFUNCTION("""COMPUTED_VALUE"""),"A")</f>
        <v>A</v>
      </c>
      <c r="C44" s="32" t="str">
        <f ca="1">IFERROR(__xludf.DUMMYFUNCTION("""COMPUTED_VALUE"""),"23291341115")</f>
        <v>23291341115</v>
      </c>
      <c r="D44" s="21" t="str">
        <f ca="1">IFERROR(__xludf.DUMMYFUNCTION("""COMPUTED_VALUE"""),"PATEL PRINCE KAMLESHKUMAR")</f>
        <v>PATEL PRINCE KAMLESHKUMAR</v>
      </c>
      <c r="E44" s="3" t="str">
        <f ca="1">IFERROR(__xludf.DUMMYFUNCTION("""COMPUTED_VALUE"""),"RRP-Mor")</f>
        <v>RRP-Mor</v>
      </c>
      <c r="F44" s="3">
        <f ca="1">IFERROR(__xludf.DUMMYFUNCTION("""COMPUTED_VALUE"""),9375144770)</f>
        <v>9375144770</v>
      </c>
      <c r="G44" s="3">
        <f ca="1">IFERROR(__xludf.DUMMYFUNCTION("""COMPUTED_VALUE"""),9375144770)</f>
        <v>9375144770</v>
      </c>
      <c r="H44" s="33">
        <f ca="1">IFERROR(__xludf.DUMMYFUNCTION("""COMPUTED_VALUE"""),0.775)</f>
        <v>0.77500000000000002</v>
      </c>
      <c r="I44" s="25">
        <f ca="1">IFERROR(__xludf.DUMMYFUNCTION("""COMPUTED_VALUE"""),0.805555555555555)</f>
        <v>0.80555555555555503</v>
      </c>
      <c r="J44" s="25">
        <f ca="1">IFERROR(__xludf.DUMMYFUNCTION("""COMPUTED_VALUE"""),0.9)</f>
        <v>0.9</v>
      </c>
      <c r="K44" s="25">
        <f ca="1">IFERROR(__xludf.DUMMYFUNCTION("""COMPUTED_VALUE"""),0.735294117647058)</f>
        <v>0.73529411764705799</v>
      </c>
      <c r="L44" s="25">
        <f ca="1">IFERROR(__xludf.DUMMYFUNCTION("""COMPUTED_VALUE"""),0.909090909090909)</f>
        <v>0.90909090909090895</v>
      </c>
      <c r="M44" s="25">
        <f ca="1">IFERROR(__xludf.DUMMYFUNCTION("""COMPUTED_VALUE"""),0.722222222222222)</f>
        <v>0.72222222222222199</v>
      </c>
      <c r="N44" s="25">
        <f ca="1">IFERROR(__xludf.DUMMYFUNCTION("""COMPUTED_VALUE"""),0.909090909090909)</f>
        <v>0.90909090909090895</v>
      </c>
      <c r="O44" s="25">
        <f ca="1">IFERROR(__xludf.DUMMYFUNCTION("""COMPUTED_VALUE"""),0.909090909090909)</f>
        <v>0.90909090909090895</v>
      </c>
      <c r="P44" s="25">
        <f ca="1">IFERROR(__xludf.DUMMYFUNCTION("""COMPUTED_VALUE"""),0.875)</f>
        <v>0.875</v>
      </c>
      <c r="Q44" s="25">
        <f ca="1">IFERROR(__xludf.DUMMYFUNCTION("""COMPUTED_VALUE"""),0)</f>
        <v>0</v>
      </c>
      <c r="R44" s="25">
        <f ca="1">IFERROR(__xludf.DUMMYFUNCTION("""COMPUTED_VALUE"""),0.863636363636363)</f>
        <v>0.86363636363636298</v>
      </c>
      <c r="S44" s="25">
        <f ca="1">IFERROR(__xludf.DUMMYFUNCTION("""COMPUTED_VALUE"""),0.5)</f>
        <v>0.5</v>
      </c>
      <c r="T44" s="25">
        <f ca="1">IFERROR(__xludf.DUMMYFUNCTION("""COMPUTED_VALUE"""),0)</f>
        <v>0</v>
      </c>
      <c r="U44" s="25">
        <f ca="1">IFERROR(__xludf.DUMMYFUNCTION("""COMPUTED_VALUE"""),0.181818181818181)</f>
        <v>0.18181818181818099</v>
      </c>
      <c r="V44" s="25">
        <f ca="1">IFERROR(__xludf.DUMMYFUNCTION("""COMPUTED_VALUE"""),0)</f>
        <v>0</v>
      </c>
      <c r="W44" s="4"/>
      <c r="X44" s="4" t="str">
        <f ca="1">IFERROR(__xludf.DUMMYFUNCTION("""COMPUTED_VALUE"""),"| 1 L PHP-CGM @ | 3 P Python @ | 5 P PHP-CGM @ ")</f>
        <v xml:space="preserve">| 1 L PHP-CGM @ | 3 P Python @ | 5 P PHP-CGM @ </v>
      </c>
      <c r="Y44" s="4" t="str">
        <f ca="1">IFERROR(__xludf.DUMMYFUNCTION("""COMPUTED_VALUE"""),"| 1 P JAVA % | 3 L JAVA % | 4 L CPT % | 5 P Python % ")</f>
        <v xml:space="preserve">| 1 P JAVA % | 3 L JAVA % | 4 L CPT % | 5 P Python % </v>
      </c>
      <c r="Z44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4" s="4" t="str">
        <f ca="1">IFERROR(__xludf.DUMMYFUNCTION("""COMPUTED_VALUE"""),"| 3 L PHP-CGM @ | 4 L NS @ | 1 L INE @ | 5 P PRO @ ")</f>
        <v xml:space="preserve">| 3 L PHP-CGM @ | 4 L NS @ | 1 L INE @ | 5 P PRO @ </v>
      </c>
      <c r="AB44" s="4" t="str">
        <f ca="1">IFERROR(__xludf.DUMMYFUNCTION("""COMPUTED_VALUE"""),"| 1 L CPT % | 2 L NS % | 3 P JAVA % | 5 P CPT % ")</f>
        <v xml:space="preserve">| 1 L CPT % | 2 L NS % | 3 P JAVA % | 5 P CPT % </v>
      </c>
      <c r="AC44" s="4" t="str">
        <f ca="1">IFERROR(__xludf.DUMMYFUNCTION("""COMPUTED_VALUE"""),"| 1 L PHP-CGM % | 2 L JAVA % | 3 P Python % | 5 P PHP-CGM % ")</f>
        <v xml:space="preserve">| 1 L PHP-CGM % | 2 L JAVA % | 3 P Python % | 5 P PHP-CGM % </v>
      </c>
      <c r="AD44" s="4" t="str">
        <f ca="1">IFERROR(__xludf.DUMMYFUNCTION("""COMPUTED_VALUE"""),"| 2 P JAVA % | 3 L JAVA % | 4 L CPT % | 5 P Python % ")</f>
        <v xml:space="preserve">| 2 P JAVA % | 3 L JAVA % | 4 L CPT % | 5 P Python % </v>
      </c>
      <c r="AE44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44" s="4" t="str">
        <f ca="1">IFERROR(__xludf.DUMMYFUNCTION("""COMPUTED_VALUE"""),"| 3 L PHP-CGM % | 4 L NS % | 5 P PRO @ ")</f>
        <v xml:space="preserve">| 3 L PHP-CGM % | 4 L NS % | 5 P PRO @ </v>
      </c>
      <c r="AG44" s="4" t="str">
        <f ca="1">IFERROR(__xludf.DUMMYFUNCTION("""COMPUTED_VALUE"""),"| 1 L CPT % | 2 L NS % | 3 P JAVA % | 5 P CPT % ")</f>
        <v xml:space="preserve">| 1 L CPT % | 2 L NS % | 3 P JAVA % | 5 P CPT % </v>
      </c>
      <c r="AH44" s="4" t="str">
        <f ca="1">IFERROR(__xludf.DUMMYFUNCTION("""COMPUTED_VALUE"""),"| 3 L PHP-CGM % | 4 L NS % | 5 L PRO % ")</f>
        <v xml:space="preserve">| 3 L PHP-CGM % | 4 L NS % | 5 L PRO % </v>
      </c>
      <c r="AI44" s="4" t="str">
        <f ca="1">IFERROR(__xludf.DUMMYFUNCTION("""COMPUTED_VALUE"""),"| 1 L CPT % | 2 L NS % | 3 P JAVA % | 5 P CPT % ")</f>
        <v xml:space="preserve">| 1 L CPT % | 2 L NS % | 3 P JAVA % | 5 P CPT % </v>
      </c>
      <c r="AJ44" s="4" t="str">
        <f ca="1">IFERROR(__xludf.DUMMYFUNCTION("""COMPUTED_VALUE"""),"| 1 L PHP-CGM % | 2 L JAVA % | 3 P Python % | 5 P PHP-CGM % ")</f>
        <v xml:space="preserve">| 1 L PHP-CGM % | 2 L JAVA % | 3 P Python % | 5 P PHP-CGM % </v>
      </c>
      <c r="AK44" s="4" t="str">
        <f ca="1">IFERROR(__xludf.DUMMYFUNCTION("""COMPUTED_VALUE"""),"| 2 P JAVA % | 3 L JAVA % | 4 L CPT % | 5 P Python % ")</f>
        <v xml:space="preserve">| 2 P JAVA % | 3 L JAVA % | 4 L CPT % | 5 P Python % </v>
      </c>
      <c r="AL44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4" s="4" t="str">
        <f ca="1">IFERROR(__xludf.DUMMYFUNCTION("""COMPUTED_VALUE"""),"| 1 L INE @ | 4 L NS % | 3 L PHP-CGM % | 5 L PRO % ")</f>
        <v xml:space="preserve">| 1 L INE @ | 4 L NS % | 3 L PHP-CGM % | 5 L PRO % </v>
      </c>
      <c r="AN44" s="4" t="str">
        <f ca="1">IFERROR(__xludf.DUMMYFUNCTION("""COMPUTED_VALUE"""),"| 1 L CPT % | 2 L NS % | 3 P JAVA % | 5 P CPT % ")</f>
        <v xml:space="preserve">| 1 L CPT % | 2 L NS % | 3 P JAVA % | 5 P CPT % </v>
      </c>
      <c r="AO44" s="4" t="str">
        <f ca="1">IFERROR(__xludf.DUMMYFUNCTION("""COMPUTED_VALUE"""),"| 1 L PHP-CGM % | 2 L JAVA % | 3 P Python % | 5 P PHP-CGM % ")</f>
        <v xml:space="preserve">| 1 L PHP-CGM % | 2 L JAVA % | 3 P Python % | 5 P PHP-CGM % </v>
      </c>
      <c r="AP44" s="4" t="str">
        <f ca="1">IFERROR(__xludf.DUMMYFUNCTION("""COMPUTED_VALUE"""),"| 2 P JAVA % | 3 L JAVA % | 4 L CPT % | 5 P Python % ")</f>
        <v xml:space="preserve">| 2 P JAVA % | 3 L JAVA % | 4 L CPT % | 5 P Python % </v>
      </c>
      <c r="AQ44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R44" s="4" t="str">
        <f ca="1">IFERROR(__xludf.DUMMYFUNCTION("""COMPUTED_VALUE"""),"| 1 L INE @ | 3 L PHP-CGM @ | 4 L NS @ | 5 L PRO @ ")</f>
        <v xml:space="preserve">| 1 L INE @ | 3 L PHP-CGM @ | 4 L NS @ | 5 L PRO @ </v>
      </c>
      <c r="AS44" s="4" t="str">
        <f ca="1">IFERROR(__xludf.DUMMYFUNCTION("""COMPUTED_VALUE"""),"| 1 L PHP-CGM % | 2 L JAVA % | 3 P Python % | 5 P PHP-CGM % ")</f>
        <v xml:space="preserve">| 1 L PHP-CGM % | 2 L JAVA % | 3 P Python % | 5 P PHP-CGM % </v>
      </c>
      <c r="AT44" s="4" t="str">
        <f ca="1">IFERROR(__xludf.DUMMYFUNCTION("""COMPUTED_VALUE"""),"| 2 P JAVA % | 3 L JAVA % | 4 L CPT % | 5 P Python % ")</f>
        <v xml:space="preserve">| 2 P JAVA % | 3 L JAVA % | 4 L CPT % | 5 P Python % </v>
      </c>
      <c r="AU44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4" s="4" t="str">
        <f ca="1">IFERROR(__xludf.DUMMYFUNCTION("""COMPUTED_VALUE"""),"| 1 L INE @ | 3 L PHP-CGM @ | 4 L NS @ | 7 L PRO @ ")</f>
        <v xml:space="preserve">| 1 L INE @ | 3 L PHP-CGM @ | 4 L NS @ | 7 L PRO @ </v>
      </c>
      <c r="AW44" s="4" t="str">
        <f ca="1">IFERROR(__xludf.DUMMYFUNCTION("""COMPUTED_VALUE"""),"| 1 L CPT % | 2 L NS % | 3 P JAVA % | 5 P CPT % ")</f>
        <v xml:space="preserve">| 1 L CPT % | 2 L NS % | 3 P JAVA % | 5 P CPT % </v>
      </c>
      <c r="AX44" s="4" t="str">
        <f ca="1">IFERROR(__xludf.DUMMYFUNCTION("""COMPUTED_VALUE"""),"| 1 L PHP-CGM % | 2 L JAVA % | 3 P Python % | 5 P PHP-CGM % ")</f>
        <v xml:space="preserve">| 1 L PHP-CGM % | 2 L JAVA % | 3 P Python % | 5 P PHP-CGM % </v>
      </c>
      <c r="AY44" s="4" t="str">
        <f ca="1">IFERROR(__xludf.DUMMYFUNCTION("""COMPUTED_VALUE"""),"| 2 P JAVA % | 3 L JAVA % | 4 L CPT % | 5 P Python % ")</f>
        <v xml:space="preserve">| 2 P JAVA % | 3 L JAVA % | 4 L CPT % | 5 P Python % </v>
      </c>
      <c r="AZ44" s="4" t="str">
        <f ca="1">IFERROR(__xludf.DUMMYFUNCTION("""COMPUTED_VALUE"""),"| 1 L INE @ | 3 L PHP-CGM @ | 4 L NS @ | 5 L PRO @ ")</f>
        <v xml:space="preserve">| 1 L INE @ | 3 L PHP-CGM @ | 4 L NS @ | 5 L PRO @ </v>
      </c>
      <c r="BA44" s="4" t="str">
        <f ca="1">IFERROR(__xludf.DUMMYFUNCTION("""COMPUTED_VALUE"""),"| 1 L CPT % | 2 L NS % | 3 P JAVA % | 5 P CPT % ")</f>
        <v xml:space="preserve">| 1 L CPT % | 2 L NS % | 3 P JAVA % | 5 P CPT % </v>
      </c>
      <c r="BB44" s="4" t="str">
        <f ca="1">IFERROR(__xludf.DUMMYFUNCTION("""COMPUTED_VALUE"""),"| 1 L PHP-CGM % | 2 L JAVA % | 3 P Python % | 5 P PHP-CGM % ")</f>
        <v xml:space="preserve">| 1 L PHP-CGM % | 2 L JAVA % | 3 P Python % | 5 P PHP-CGM % </v>
      </c>
      <c r="BC44" s="4" t="str">
        <f ca="1">IFERROR(__xludf.DUMMYFUNCTION("""COMPUTED_VALUE"""),"| 2 P JAVA % | 3 L JAVA % | 4 L CPT %  | 5 P Python % ")</f>
        <v xml:space="preserve">| 2 P JAVA % | 3 L JAVA % | 4 L CPT %  | 5 P Python % </v>
      </c>
      <c r="BD44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44" s="4" t="str">
        <f ca="1">IFERROR(__xludf.DUMMYFUNCTION("""COMPUTED_VALUE"""),"| 1 L INE @ | 3 L PHP-CGM % | 4 L NS % | 5 L PRO % ")</f>
        <v xml:space="preserve">| 1 L INE @ | 3 L PHP-CGM % | 4 L NS % | 5 L PRO % </v>
      </c>
      <c r="BF44" s="4" t="str">
        <f ca="1">IFERROR(__xludf.DUMMYFUNCTION("""COMPUTED_VALUE"""),"| 1 L CPT @ | 2 L NS @ | 3 P JAVA @ | 5 P CPT @ ")</f>
        <v xml:space="preserve">| 1 L CPT @ | 2 L NS @ | 3 P JAVA @ | 5 P CPT @ </v>
      </c>
      <c r="BG44" s="4" t="str">
        <f ca="1">IFERROR(__xludf.DUMMYFUNCTION("""COMPUTED_VALUE"""),"| 2 P JAVA % | 4 L CPT @ | 5 P Python % ")</f>
        <v xml:space="preserve">| 2 P JAVA % | 4 L CPT @ | 5 P Python % </v>
      </c>
      <c r="BH44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4" s="4" t="str">
        <f ca="1">IFERROR(__xludf.DUMMYFUNCTION("""COMPUTED_VALUE"""),"| 1 L INE @ | 3 L PHP-CGM % | 4 L NS % | 5 L PRO % ")</f>
        <v xml:space="preserve">| 1 L INE @ | 3 L PHP-CGM % | 4 L NS % | 5 L PRO % </v>
      </c>
      <c r="BJ44" s="4" t="str">
        <f ca="1">IFERROR(__xludf.DUMMYFUNCTION("""COMPUTED_VALUE"""),"| 1 L CPT % | 2 L NS % | 3 P JAVA % | 5 P CPT % ")</f>
        <v xml:space="preserve">| 1 L CPT % | 2 L NS % | 3 P JAVA % | 5 P CPT % </v>
      </c>
      <c r="BK44" s="4" t="str">
        <f ca="1">IFERROR(__xludf.DUMMYFUNCTION("""COMPUTED_VALUE"""),"| 1 L PHP-CGM @ | 2 L JAVA @ | 3 P Python @ ")</f>
        <v xml:space="preserve">| 1 L PHP-CGM @ | 2 L JAVA @ | 3 P Python @ </v>
      </c>
      <c r="BL44" s="4" t="str">
        <f ca="1">IFERROR(__xludf.DUMMYFUNCTION("""COMPUTED_VALUE"""),"| 2 P JAVA @ | 3 L JAVA @ | 4 L CPT @ | 5 P Python @ ")</f>
        <v xml:space="preserve">| 2 P JAVA @ | 3 L JAVA @ | 4 L CPT @ | 5 P Python @ </v>
      </c>
      <c r="BM44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44" s="4" t="str">
        <f ca="1">IFERROR(__xludf.DUMMYFUNCTION("""COMPUTED_VALUE"""),"| 1 L INE @ | 3 L PHP-CGM @ | 4 L NS @ | 5 L PRO @ ")</f>
        <v xml:space="preserve">| 1 L INE @ | 3 L PHP-CGM @ | 4 L NS @ | 5 L PRO @ </v>
      </c>
      <c r="BO44" s="4" t="str">
        <f ca="1">IFERROR(__xludf.DUMMYFUNCTION("""COMPUTED_VALUE"""),"| 1 L CPT @ | 2 L NS @ | 3 P JAVA @ ")</f>
        <v xml:space="preserve">| 1 L CPT @ | 2 L NS @ | 3 P JAVA @ </v>
      </c>
      <c r="BP44" s="4" t="str">
        <f ca="1">IFERROR(__xludf.DUMMYFUNCTION("""COMPUTED_VALUE"""),"| 1 L PHP-CGM % | 2 L JAVA % | 3 P Python % | 5 P PHP-CGM % ")</f>
        <v xml:space="preserve">| 1 L PHP-CGM % | 2 L JAVA % | 3 P Python % | 5 P PHP-CGM % </v>
      </c>
      <c r="BQ44" s="4" t="str">
        <f ca="1">IFERROR(__xludf.DUMMYFUNCTION("""COMPUTED_VALUE"""),"| 5 L PHP-CGM % | 6 L CPT % ")</f>
        <v xml:space="preserve">| 5 L PHP-CGM % | 6 L CPT % </v>
      </c>
      <c r="BR44" s="4"/>
      <c r="BS44" s="4"/>
      <c r="BT44" s="4" t="str">
        <f ca="1">IFERROR(__xludf.DUMMYFUNCTION("""COMPUTED_VALUE"""),"| 1 L PHP-CGM % | 2 L JAVA % ")</f>
        <v xml:space="preserve">| 1 L PHP-CGM % | 2 L JAVA % </v>
      </c>
      <c r="BU44" s="4" t="str">
        <f ca="1">IFERROR(__xludf.DUMMYFUNCTION("""COMPUTED_VALUE"""),"| 2 P JAVA % | 4 L CPT % | 3 L JAVA % ")</f>
        <v xml:space="preserve">| 2 P JAVA % | 4 L CPT % | 3 L JAVA % </v>
      </c>
      <c r="BV44" s="4" t="str">
        <f ca="1">IFERROR(__xludf.DUMMYFUNCTION("""COMPUTED_VALUE"""),"| 1 L PHP-CGM % | 2 L JAVA % | 3 P Python % | 5 P PHP-CGM % ")</f>
        <v xml:space="preserve">| 1 L PHP-CGM % | 2 L JAVA % | 3 P Python % | 5 P PHP-CGM % </v>
      </c>
      <c r="BW44" s="4" t="str">
        <f ca="1">IFERROR(__xludf.DUMMYFUNCTION("""COMPUTED_VALUE"""),"| 2 P JAVA % | 3 L JAVA % | 4 L CPT % ")</f>
        <v xml:space="preserve">| 2 P JAVA % | 3 L JAVA % | 4 L CPT % </v>
      </c>
      <c r="BX44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44" s="4" t="str">
        <f ca="1">IFERROR(__xludf.DUMMYFUNCTION("""COMPUTED_VALUE"""),"| 1 L INE @ | 3 L PHP-CGM @ | 4 L NS @ | 5 L PRO @ ")</f>
        <v xml:space="preserve">| 1 L INE @ | 3 L PHP-CGM @ | 4 L NS @ | 5 L PRO @ </v>
      </c>
      <c r="BZ44" s="4" t="str">
        <f ca="1">IFERROR(__xludf.DUMMYFUNCTION("""COMPUTED_VALUE"""),"| 1 L CPT % | 2 L NS % | 3 P JAVA % | 5 P CPT % ")</f>
        <v xml:space="preserve">| 1 L CPT % | 2 L NS % | 3 P JAVA % | 5 P CPT % </v>
      </c>
      <c r="CA44" s="4" t="str">
        <f ca="1">IFERROR(__xludf.DUMMYFUNCTION("""COMPUTED_VALUE"""),"| 1 L PHP-CGM % | 2 L JAVA % | 3 P Python % | 5 P PHP-CGM % ")</f>
        <v xml:space="preserve">| 1 L PHP-CGM % | 2 L JAVA % | 3 P Python % | 5 P PHP-CGM % </v>
      </c>
      <c r="CB44" s="4" t="str">
        <f ca="1">IFERROR(__xludf.DUMMYFUNCTION("""COMPUTED_VALUE"""),"| 2 P JAVA % | 3 L JAVA % | 4 L CPT % | 3 P Python % ")</f>
        <v xml:space="preserve">| 2 P JAVA % | 3 L JAVA % | 4 L CPT % | 3 P Python % </v>
      </c>
      <c r="CC44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4" s="4" t="str">
        <f ca="1">IFERROR(__xludf.DUMMYFUNCTION("""COMPUTED_VALUE"""),"| 1 L INE % | 3 L PHP-CGM % | 4 L NS % | 5 L PRO % ")</f>
        <v xml:space="preserve">| 1 L INE % | 3 L PHP-CGM % | 4 L NS % | 5 L PRO % </v>
      </c>
      <c r="CE44" s="4" t="str">
        <f ca="1">IFERROR(__xludf.DUMMYFUNCTION("""COMPUTED_VALUE"""),"| 1 L CPT % | 2 L NS % | 3 P JAVA % | 5 P CPT % ")</f>
        <v xml:space="preserve">| 1 L CPT % | 2 L NS % | 3 P JAVA % | 5 P CPT % </v>
      </c>
      <c r="CF44" s="4" t="str">
        <f ca="1">IFERROR(__xludf.DUMMYFUNCTION("""COMPUTED_VALUE"""),"| 1 L PHP-CGM % | 2 L JAVA % | 3 P Python % | 5 P PHP-CGM % ")</f>
        <v xml:space="preserve">| 1 L PHP-CGM % | 2 L JAVA % | 3 P Python % | 5 P PHP-CGM % </v>
      </c>
      <c r="CG44" s="4" t="str">
        <f ca="1">IFERROR(__xludf.DUMMYFUNCTION("""COMPUTED_VALUE"""),"| 2 P JAVA % | 4 L CPT % ")</f>
        <v xml:space="preserve">| 2 P JAVA % | 4 L CPT % </v>
      </c>
      <c r="CH44" s="4" t="str">
        <f ca="1">IFERROR(__xludf.DUMMYFUNCTION("""COMPUTED_VALUE"""),"| 1 P NS % | 3 L NS % | 6 L CPT @ ")</f>
        <v xml:space="preserve">| 1 P NS % | 3 L NS % | 6 L CPT @ </v>
      </c>
      <c r="CI44" s="4" t="str">
        <f ca="1">IFERROR(__xludf.DUMMYFUNCTION("""COMPUTED_VALUE"""),"| 1 L INE % ")</f>
        <v xml:space="preserve">| 1 L INE % </v>
      </c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</row>
    <row r="45" spans="1:102" ht="12.5" x14ac:dyDescent="0.25">
      <c r="A45" s="3">
        <f ca="1">IFERROR(__xludf.DUMMYFUNCTION("""COMPUTED_VALUE"""),2)</f>
        <v>2</v>
      </c>
      <c r="B45" s="3" t="str">
        <f ca="1">IFERROR(__xludf.DUMMYFUNCTION("""COMPUTED_VALUE"""),"A")</f>
        <v>A</v>
      </c>
      <c r="C45" s="32" t="str">
        <f ca="1">IFERROR(__xludf.DUMMYFUNCTION("""COMPUTED_VALUE"""),"23291341117")</f>
        <v>23291341117</v>
      </c>
      <c r="D45" s="21" t="str">
        <f ca="1">IFERROR(__xludf.DUMMYFUNCTION("""COMPUTED_VALUE"""),"PATEL PRIYAMKUMAR VINODBHAI")</f>
        <v>PATEL PRIYAMKUMAR VINODBHAI</v>
      </c>
      <c r="E45" s="3" t="str">
        <f ca="1">IFERROR(__xludf.DUMMYFUNCTION("""COMPUTED_VALUE"""),"RRP-Mor")</f>
        <v>RRP-Mor</v>
      </c>
      <c r="F45" s="3" t="str">
        <f ca="1">IFERROR(__xludf.DUMMYFUNCTION("""COMPUTED_VALUE"""),"6356489758, 9558107632")</f>
        <v>6356489758, 9558107632</v>
      </c>
      <c r="G45" s="3">
        <f ca="1">IFERROR(__xludf.DUMMYFUNCTION("""COMPUTED_VALUE"""),9879426959)</f>
        <v>9879426959</v>
      </c>
      <c r="H45" s="33">
        <f ca="1">IFERROR(__xludf.DUMMYFUNCTION("""COMPUTED_VALUE"""),0.725)</f>
        <v>0.72499999999999998</v>
      </c>
      <c r="I45" s="25">
        <f ca="1">IFERROR(__xludf.DUMMYFUNCTION("""COMPUTED_VALUE"""),0.694444444444444)</f>
        <v>0.69444444444444398</v>
      </c>
      <c r="J45" s="25">
        <f ca="1">IFERROR(__xludf.DUMMYFUNCTION("""COMPUTED_VALUE"""),0.8)</f>
        <v>0.8</v>
      </c>
      <c r="K45" s="25">
        <f ca="1">IFERROR(__xludf.DUMMYFUNCTION("""COMPUTED_VALUE"""),0.794117647058823)</f>
        <v>0.79411764705882304</v>
      </c>
      <c r="L45" s="25">
        <f ca="1">IFERROR(__xludf.DUMMYFUNCTION("""COMPUTED_VALUE"""),0.909090909090909)</f>
        <v>0.90909090909090895</v>
      </c>
      <c r="M45" s="25">
        <f ca="1">IFERROR(__xludf.DUMMYFUNCTION("""COMPUTED_VALUE"""),0.722222222222222)</f>
        <v>0.72222222222222199</v>
      </c>
      <c r="N45" s="25">
        <f ca="1">IFERROR(__xludf.DUMMYFUNCTION("""COMPUTED_VALUE"""),0.909090909090909)</f>
        <v>0.90909090909090895</v>
      </c>
      <c r="O45" s="25">
        <f ca="1">IFERROR(__xludf.DUMMYFUNCTION("""COMPUTED_VALUE"""),0.818181818181818)</f>
        <v>0.81818181818181801</v>
      </c>
      <c r="P45" s="25">
        <f ca="1">IFERROR(__xludf.DUMMYFUNCTION("""COMPUTED_VALUE"""),0.791666666666666)</f>
        <v>0.79166666666666596</v>
      </c>
      <c r="Q45" s="25">
        <f ca="1">IFERROR(__xludf.DUMMYFUNCTION("""COMPUTED_VALUE"""),0)</f>
        <v>0</v>
      </c>
      <c r="R45" s="25">
        <f ca="1">IFERROR(__xludf.DUMMYFUNCTION("""COMPUTED_VALUE"""),0.636363636363636)</f>
        <v>0.63636363636363602</v>
      </c>
      <c r="S45" s="25">
        <f ca="1">IFERROR(__xludf.DUMMYFUNCTION("""COMPUTED_VALUE"""),0.5)</f>
        <v>0.5</v>
      </c>
      <c r="T45" s="25">
        <f ca="1">IFERROR(__xludf.DUMMYFUNCTION("""COMPUTED_VALUE"""),0.5)</f>
        <v>0.5</v>
      </c>
      <c r="U45" s="25">
        <f ca="1">IFERROR(__xludf.DUMMYFUNCTION("""COMPUTED_VALUE"""),0.181818181818181)</f>
        <v>0.18181818181818099</v>
      </c>
      <c r="V45" s="25">
        <f ca="1">IFERROR(__xludf.DUMMYFUNCTION("""COMPUTED_VALUE"""),0)</f>
        <v>0</v>
      </c>
      <c r="W45" s="4"/>
      <c r="X45" s="4" t="str">
        <f ca="1">IFERROR(__xludf.DUMMYFUNCTION("""COMPUTED_VALUE"""),"| 1 L PHP-CGM % | 3 P Python % | 5 P PHP-CGM % ")</f>
        <v xml:space="preserve">| 1 L PHP-CGM % | 3 P Python % | 5 P PHP-CGM % </v>
      </c>
      <c r="Y45" s="4" t="str">
        <f ca="1">IFERROR(__xludf.DUMMYFUNCTION("""COMPUTED_VALUE"""),"| 1 P JAVA % | 3 L JAVA % | 4 L CPT % | 5 P Python % ")</f>
        <v xml:space="preserve">| 1 P JAVA % | 3 L JAVA % | 4 L CPT % | 5 P Python % </v>
      </c>
      <c r="Z45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5" s="4" t="str">
        <f ca="1">IFERROR(__xludf.DUMMYFUNCTION("""COMPUTED_VALUE"""),"| 3 L PHP-CGM % | 4 L NS % | 1 L INE % | 5 P PRO % ")</f>
        <v xml:space="preserve">| 3 L PHP-CGM % | 4 L NS % | 1 L INE % | 5 P PRO % </v>
      </c>
      <c r="AB45" s="4" t="str">
        <f ca="1">IFERROR(__xludf.DUMMYFUNCTION("""COMPUTED_VALUE"""),"| 1 L CPT % | 2 L NS % | 3 P JAVA % | 5 P CPT @ ")</f>
        <v xml:space="preserve">| 1 L CPT % | 2 L NS % | 3 P JAVA % | 5 P CPT @ </v>
      </c>
      <c r="AC45" s="4" t="str">
        <f ca="1">IFERROR(__xludf.DUMMYFUNCTION("""COMPUTED_VALUE"""),"| 1 L PHP-CGM % | 2 L JAVA % | 3 P Python % | 5 P PHP-CGM % ")</f>
        <v xml:space="preserve">| 1 L PHP-CGM % | 2 L JAVA % | 3 P Python % | 5 P PHP-CGM % </v>
      </c>
      <c r="AD45" s="4" t="str">
        <f ca="1">IFERROR(__xludf.DUMMYFUNCTION("""COMPUTED_VALUE"""),"| 2 P JAVA % | 3 L JAVA % | 4 L CPT % | 5 P Python % ")</f>
        <v xml:space="preserve">| 2 P JAVA % | 3 L JAVA % | 4 L CPT % | 5 P Python % </v>
      </c>
      <c r="AE45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45" s="4" t="str">
        <f ca="1">IFERROR(__xludf.DUMMYFUNCTION("""COMPUTED_VALUE"""),"| 3 L PHP-CGM % | 4 L NS % | 5 P PRO @ ")</f>
        <v xml:space="preserve">| 3 L PHP-CGM % | 4 L NS % | 5 P PRO @ </v>
      </c>
      <c r="AG45" s="4" t="str">
        <f ca="1">IFERROR(__xludf.DUMMYFUNCTION("""COMPUTED_VALUE"""),"| 1 L CPT % | 2 L NS % | 3 P JAVA % | 5 P CPT % ")</f>
        <v xml:space="preserve">| 1 L CPT % | 2 L NS % | 3 P JAVA % | 5 P CPT % </v>
      </c>
      <c r="AH45" s="4" t="str">
        <f ca="1">IFERROR(__xludf.DUMMYFUNCTION("""COMPUTED_VALUE"""),"| 3 L PHP-CGM % | 4 L NS % | 5 L PRO % ")</f>
        <v xml:space="preserve">| 3 L PHP-CGM % | 4 L NS % | 5 L PRO % </v>
      </c>
      <c r="AI45" s="4" t="str">
        <f ca="1">IFERROR(__xludf.DUMMYFUNCTION("""COMPUTED_VALUE"""),"| 1 L CPT % | 2 L NS % | 3 P JAVA % | 5 P CPT % ")</f>
        <v xml:space="preserve">| 1 L CPT % | 2 L NS % | 3 P JAVA % | 5 P CPT % </v>
      </c>
      <c r="AJ45" s="4" t="str">
        <f ca="1">IFERROR(__xludf.DUMMYFUNCTION("""COMPUTED_VALUE"""),"| 1 L PHP-CGM % | 2 L JAVA % | 3 P Python % | 5 P PHP-CGM % ")</f>
        <v xml:space="preserve">| 1 L PHP-CGM % | 2 L JAVA % | 3 P Python % | 5 P PHP-CGM % </v>
      </c>
      <c r="AK45" s="4" t="str">
        <f ca="1">IFERROR(__xludf.DUMMYFUNCTION("""COMPUTED_VALUE"""),"| 2 P JAVA % | 3 L JAVA % | 4 L CPT % | 5 P Python @ ")</f>
        <v xml:space="preserve">| 2 P JAVA % | 3 L JAVA % | 4 L CPT % | 5 P Python @ </v>
      </c>
      <c r="AL45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5" s="4" t="str">
        <f ca="1">IFERROR(__xludf.DUMMYFUNCTION("""COMPUTED_VALUE"""),"| 1 L INE @ | 4 L NS % | 3 L PHP-CGM @ | 5 L PRO % ")</f>
        <v xml:space="preserve">| 1 L INE @ | 4 L NS % | 3 L PHP-CGM @ | 5 L PRO % </v>
      </c>
      <c r="AN45" s="4" t="str">
        <f ca="1">IFERROR(__xludf.DUMMYFUNCTION("""COMPUTED_VALUE"""),"| 1 L CPT % | 2 L NS % | 3 P JAVA % | 5 P CPT % ")</f>
        <v xml:space="preserve">| 1 L CPT % | 2 L NS % | 3 P JAVA % | 5 P CPT % </v>
      </c>
      <c r="AO45" s="4" t="str">
        <f ca="1">IFERROR(__xludf.DUMMYFUNCTION("""COMPUTED_VALUE"""),"| 1 L PHP-CGM % | 2 L JAVA % | 3 P Python % | 5 P PHP-CGM % ")</f>
        <v xml:space="preserve">| 1 L PHP-CGM % | 2 L JAVA % | 3 P Python % | 5 P PHP-CGM % </v>
      </c>
      <c r="AP45" s="4" t="str">
        <f ca="1">IFERROR(__xludf.DUMMYFUNCTION("""COMPUTED_VALUE"""),"| 2 P JAVA % | 3 L JAVA % | 4 L CPT % | 5 P Python @ ")</f>
        <v xml:space="preserve">| 2 P JAVA % | 3 L JAVA % | 4 L CPT % | 5 P Python @ </v>
      </c>
      <c r="AQ45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R45" s="4" t="str">
        <f ca="1">IFERROR(__xludf.DUMMYFUNCTION("""COMPUTED_VALUE"""),"| 1 L INE @ | 3 L PHP-CGM @ | 4 L NS @ | 5 L PRO @ ")</f>
        <v xml:space="preserve">| 1 L INE @ | 3 L PHP-CGM @ | 4 L NS @ | 5 L PRO @ </v>
      </c>
      <c r="AS45" s="4" t="str">
        <f ca="1">IFERROR(__xludf.DUMMYFUNCTION("""COMPUTED_VALUE"""),"| 1 L PHP-CGM % | 2 L JAVA % | 3 P Python % | 5 P PHP-CGM % ")</f>
        <v xml:space="preserve">| 1 L PHP-CGM % | 2 L JAVA % | 3 P Python % | 5 P PHP-CGM % </v>
      </c>
      <c r="AT45" s="4" t="str">
        <f ca="1">IFERROR(__xludf.DUMMYFUNCTION("""COMPUTED_VALUE"""),"| 2 P JAVA % | 3 L JAVA % | 4 L CPT % | 5 P Python % ")</f>
        <v xml:space="preserve">| 2 P JAVA % | 3 L JAVA % | 4 L CPT % | 5 P Python % </v>
      </c>
      <c r="AU45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5" s="4" t="str">
        <f ca="1">IFERROR(__xludf.DUMMYFUNCTION("""COMPUTED_VALUE"""),"| 1 L INE @ | 3 L PHP-CGM % | 4 L NS % | 7 L PRO % ")</f>
        <v xml:space="preserve">| 1 L INE @ | 3 L PHP-CGM % | 4 L NS % | 7 L PRO % </v>
      </c>
      <c r="AW45" s="4" t="str">
        <f ca="1">IFERROR(__xludf.DUMMYFUNCTION("""COMPUTED_VALUE"""),"| 1 L CPT % | 2 L NS % | 3 P JAVA @ | 5 P CPT % ")</f>
        <v xml:space="preserve">| 1 L CPT % | 2 L NS % | 3 P JAVA @ | 5 P CPT % </v>
      </c>
      <c r="AX45" s="4" t="str">
        <f ca="1">IFERROR(__xludf.DUMMYFUNCTION("""COMPUTED_VALUE"""),"| 1 L PHP-CGM % | 2 L JAVA % | 3 P Python % | 5 P PHP-CGM % ")</f>
        <v xml:space="preserve">| 1 L PHP-CGM % | 2 L JAVA % | 3 P Python % | 5 P PHP-CGM % </v>
      </c>
      <c r="AY45" s="4" t="str">
        <f ca="1">IFERROR(__xludf.DUMMYFUNCTION("""COMPUTED_VALUE"""),"| 2 P JAVA % | 3 L JAVA % | 4 L CPT % | 5 P Python @ ")</f>
        <v xml:space="preserve">| 2 P JAVA % | 3 L JAVA % | 4 L CPT % | 5 P Python @ </v>
      </c>
      <c r="AZ45" s="4" t="str">
        <f ca="1">IFERROR(__xludf.DUMMYFUNCTION("""COMPUTED_VALUE"""),"| 1 L INE @ | 3 L PHP-CGM @ | 4 L NS @ | 5 L PRO @ ")</f>
        <v xml:space="preserve">| 1 L INE @ | 3 L PHP-CGM @ | 4 L NS @ | 5 L PRO @ </v>
      </c>
      <c r="BA45" s="4" t="str">
        <f ca="1">IFERROR(__xludf.DUMMYFUNCTION("""COMPUTED_VALUE"""),"| 1 L CPT % | 2 L NS % | 3 P JAVA % | 5 P CPT % ")</f>
        <v xml:space="preserve">| 1 L CPT % | 2 L NS % | 3 P JAVA % | 5 P CPT % </v>
      </c>
      <c r="BB45" s="4" t="str">
        <f ca="1">IFERROR(__xludf.DUMMYFUNCTION("""COMPUTED_VALUE"""),"| 1 L PHP-CGM % | 2 L JAVA % | 3 P Python % | 5 P PHP-CGM % ")</f>
        <v xml:space="preserve">| 1 L PHP-CGM % | 2 L JAVA % | 3 P Python % | 5 P PHP-CGM % </v>
      </c>
      <c r="BC45" s="4" t="str">
        <f ca="1">IFERROR(__xludf.DUMMYFUNCTION("""COMPUTED_VALUE"""),"| 2 P JAVA % | 3 L JAVA @ | 4 L CPT @  | 5 P Python % ")</f>
        <v xml:space="preserve">| 2 P JAVA % | 3 L JAVA @ | 4 L CPT @  | 5 P Python % </v>
      </c>
      <c r="BD45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45" s="4" t="str">
        <f ca="1">IFERROR(__xludf.DUMMYFUNCTION("""COMPUTED_VALUE"""),"| 1 L INE @ | 3 L PHP-CGM % | 4 L NS % | 5 L PRO % ")</f>
        <v xml:space="preserve">| 1 L INE @ | 3 L PHP-CGM % | 4 L NS % | 5 L PRO % </v>
      </c>
      <c r="BF45" s="4" t="str">
        <f ca="1">IFERROR(__xludf.DUMMYFUNCTION("""COMPUTED_VALUE"""),"| 1 L CPT @ | 2 L NS @ | 3 P JAVA @ | 5 P CPT @ ")</f>
        <v xml:space="preserve">| 1 L CPT @ | 2 L NS @ | 3 P JAVA @ | 5 P CPT @ </v>
      </c>
      <c r="BG45" s="4" t="str">
        <f ca="1">IFERROR(__xludf.DUMMYFUNCTION("""COMPUTED_VALUE"""),"| 2 P JAVA % | 4 L CPT @ | 5 P Python % ")</f>
        <v xml:space="preserve">| 2 P JAVA % | 4 L CPT @ | 5 P Python % </v>
      </c>
      <c r="BH45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5" s="4" t="str">
        <f ca="1">IFERROR(__xludf.DUMMYFUNCTION("""COMPUTED_VALUE"""),"| 1 L INE @ | 3 L PHP-CGM % | 4 L NS % | 5 L PRO % ")</f>
        <v xml:space="preserve">| 1 L INE @ | 3 L PHP-CGM % | 4 L NS % | 5 L PRO % </v>
      </c>
      <c r="BJ45" s="4" t="str">
        <f ca="1">IFERROR(__xludf.DUMMYFUNCTION("""COMPUTED_VALUE"""),"| 1 L CPT % | 2 L NS % | 3 P JAVA % | 5 P CPT % ")</f>
        <v xml:space="preserve">| 1 L CPT % | 2 L NS % | 3 P JAVA % | 5 P CPT % </v>
      </c>
      <c r="BK45" s="4" t="str">
        <f ca="1">IFERROR(__xludf.DUMMYFUNCTION("""COMPUTED_VALUE"""),"| 1 L PHP-CGM @ | 2 L JAVA @ | 3 P Python @ ")</f>
        <v xml:space="preserve">| 1 L PHP-CGM @ | 2 L JAVA @ | 3 P Python @ </v>
      </c>
      <c r="BL45" s="4" t="str">
        <f ca="1">IFERROR(__xludf.DUMMYFUNCTION("""COMPUTED_VALUE"""),"| 2 P JAVA @ | 3 L JAVA @ | 4 L CPT @ | 5 P Python @ ")</f>
        <v xml:space="preserve">| 2 P JAVA @ | 3 L JAVA @ | 4 L CPT @ | 5 P Python @ </v>
      </c>
      <c r="BM45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N45" s="4" t="str">
        <f ca="1">IFERROR(__xludf.DUMMYFUNCTION("""COMPUTED_VALUE"""),"| 1 L INE @ | 3 L PHP-CGM @ | 4 L NS @ | 5 L PRO @ ")</f>
        <v xml:space="preserve">| 1 L INE @ | 3 L PHP-CGM @ | 4 L NS @ | 5 L PRO @ </v>
      </c>
      <c r="BO45" s="4" t="str">
        <f ca="1">IFERROR(__xludf.DUMMYFUNCTION("""COMPUTED_VALUE"""),"| 1 L CPT @ | 2 L NS @ | 3 P JAVA @ ")</f>
        <v xml:space="preserve">| 1 L CPT @ | 2 L NS @ | 3 P JAVA @ </v>
      </c>
      <c r="BP45" s="4" t="str">
        <f ca="1">IFERROR(__xludf.DUMMYFUNCTION("""COMPUTED_VALUE"""),"| 1 L PHP-CGM % | 2 L JAVA % | 3 P Python @ | 5 P PHP-CGM % ")</f>
        <v xml:space="preserve">| 1 L PHP-CGM % | 2 L JAVA % | 3 P Python @ | 5 P PHP-CGM % </v>
      </c>
      <c r="BQ45" s="4" t="str">
        <f ca="1">IFERROR(__xludf.DUMMYFUNCTION("""COMPUTED_VALUE"""),"| 5 L PHP-CGM % | 6 L CPT @ ")</f>
        <v xml:space="preserve">| 5 L PHP-CGM % | 6 L CPT @ </v>
      </c>
      <c r="BR45" s="4"/>
      <c r="BS45" s="4"/>
      <c r="BT45" s="4" t="str">
        <f ca="1">IFERROR(__xludf.DUMMYFUNCTION("""COMPUTED_VALUE"""),"| 1 L PHP-CGM % | 2 L JAVA % ")</f>
        <v xml:space="preserve">| 1 L PHP-CGM % | 2 L JAVA % </v>
      </c>
      <c r="BU45" s="4" t="str">
        <f ca="1">IFERROR(__xludf.DUMMYFUNCTION("""COMPUTED_VALUE"""),"| 2 P JAVA @ | 4 L CPT @ | 3 L JAVA @ ")</f>
        <v xml:space="preserve">| 2 P JAVA @ | 4 L CPT @ | 3 L JAVA @ </v>
      </c>
      <c r="BV45" s="4" t="str">
        <f ca="1">IFERROR(__xludf.DUMMYFUNCTION("""COMPUTED_VALUE"""),"| 1 L PHP-CGM % | 2 L JAVA % | 3 P Python @ | 5 P PHP-CGM @ ")</f>
        <v xml:space="preserve">| 1 L PHP-CGM % | 2 L JAVA % | 3 P Python @ | 5 P PHP-CGM @ </v>
      </c>
      <c r="BW45" s="4" t="str">
        <f ca="1">IFERROR(__xludf.DUMMYFUNCTION("""COMPUTED_VALUE"""),"| 2 P JAVA % | 3 L JAVA % | 4 L CPT % ")</f>
        <v xml:space="preserve">| 2 P JAVA % | 3 L JAVA % | 4 L CPT % </v>
      </c>
      <c r="BX45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45" s="4" t="str">
        <f ca="1">IFERROR(__xludf.DUMMYFUNCTION("""COMPUTED_VALUE"""),"| 1 L INE @ | 3 L PHP-CGM % | 4 L NS % | 5 L PRO @ ")</f>
        <v xml:space="preserve">| 1 L INE @ | 3 L PHP-CGM % | 4 L NS % | 5 L PRO @ </v>
      </c>
      <c r="BZ45" s="4" t="str">
        <f ca="1">IFERROR(__xludf.DUMMYFUNCTION("""COMPUTED_VALUE"""),"| 1 L CPT % | 2 L NS % | 3 P JAVA % | 5 P CPT % ")</f>
        <v xml:space="preserve">| 1 L CPT % | 2 L NS % | 3 P JAVA % | 5 P CPT % </v>
      </c>
      <c r="CA45" s="4" t="str">
        <f ca="1">IFERROR(__xludf.DUMMYFUNCTION("""COMPUTED_VALUE"""),"| 1 L PHP-CGM % | 2 L JAVA % | 3 P Python @ | 5 P PHP-CGM % ")</f>
        <v xml:space="preserve">| 1 L PHP-CGM % | 2 L JAVA % | 3 P Python @ | 5 P PHP-CGM % </v>
      </c>
      <c r="CB45" s="4" t="str">
        <f ca="1">IFERROR(__xludf.DUMMYFUNCTION("""COMPUTED_VALUE"""),"| 2 P JAVA % | 3 L JAVA % | 4 L CPT % | 3 P Python % ")</f>
        <v xml:space="preserve">| 2 P JAVA % | 3 L JAVA % | 4 L CPT % | 3 P Python % </v>
      </c>
      <c r="CC45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5" s="4" t="str">
        <f ca="1">IFERROR(__xludf.DUMMYFUNCTION("""COMPUTED_VALUE"""),"| 1 L INE % | 3 L PHP-CGM @ | 4 L NS @ | 5 L PRO @ ")</f>
        <v xml:space="preserve">| 1 L INE % | 3 L PHP-CGM @ | 4 L NS @ | 5 L PRO @ </v>
      </c>
      <c r="CE45" s="4" t="str">
        <f ca="1">IFERROR(__xludf.DUMMYFUNCTION("""COMPUTED_VALUE"""),"| 1 L CPT % | 2 L NS % | 3 P JAVA % | 5 P CPT % ")</f>
        <v xml:space="preserve">| 1 L CPT % | 2 L NS % | 3 P JAVA % | 5 P CPT % </v>
      </c>
      <c r="CF45" s="4" t="str">
        <f ca="1">IFERROR(__xludf.DUMMYFUNCTION("""COMPUTED_VALUE"""),"| 1 L PHP-CGM @ | 2 L JAVA @ | 3 P Python % | 5 P PHP-CGM % ")</f>
        <v xml:space="preserve">| 1 L PHP-CGM @ | 2 L JAVA @ | 3 P Python % | 5 P PHP-CGM % </v>
      </c>
      <c r="CG45" s="4" t="str">
        <f ca="1">IFERROR(__xludf.DUMMYFUNCTION("""COMPUTED_VALUE"""),"| 2 P JAVA % | 4 L CPT % ")</f>
        <v xml:space="preserve">| 2 P JAVA % | 4 L CPT % </v>
      </c>
      <c r="CH45" s="4" t="str">
        <f ca="1">IFERROR(__xludf.DUMMYFUNCTION("""COMPUTED_VALUE"""),"| 1 P NS % | 3 L NS % | 6 L CPT @ ")</f>
        <v xml:space="preserve">| 1 P NS % | 3 L NS % | 6 L CPT @ </v>
      </c>
      <c r="CI45" s="4" t="str">
        <f ca="1">IFERROR(__xludf.DUMMYFUNCTION("""COMPUTED_VALUE"""),"| 1 L INE @ ")</f>
        <v xml:space="preserve">| 1 L INE @ </v>
      </c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</row>
    <row r="46" spans="1:102" ht="12.5" x14ac:dyDescent="0.25">
      <c r="A46" s="3">
        <f ca="1">IFERROR(__xludf.DUMMYFUNCTION("""COMPUTED_VALUE"""),2)</f>
        <v>2</v>
      </c>
      <c r="B46" s="3" t="str">
        <f ca="1">IFERROR(__xludf.DUMMYFUNCTION("""COMPUTED_VALUE"""),"A")</f>
        <v>A</v>
      </c>
      <c r="C46" s="32" t="str">
        <f ca="1">IFERROR(__xludf.DUMMYFUNCTION("""COMPUTED_VALUE"""),"23291341118")</f>
        <v>23291341118</v>
      </c>
      <c r="D46" s="21" t="str">
        <f ca="1">IFERROR(__xludf.DUMMYFUNCTION("""COMPUTED_VALUE"""),"PATEL RUDRAKSH SANJAYBHAI")</f>
        <v>PATEL RUDRAKSH SANJAYBHAI</v>
      </c>
      <c r="E46" s="3" t="str">
        <f ca="1">IFERROR(__xludf.DUMMYFUNCTION("""COMPUTED_VALUE"""),"RRP-Mor")</f>
        <v>RRP-Mor</v>
      </c>
      <c r="F46" s="3">
        <f ca="1">IFERROR(__xludf.DUMMYFUNCTION("""COMPUTED_VALUE"""),9875037397)</f>
        <v>9875037397</v>
      </c>
      <c r="G46" s="3">
        <f ca="1">IFERROR(__xludf.DUMMYFUNCTION("""COMPUTED_VALUE"""),9925440442)</f>
        <v>9925440442</v>
      </c>
      <c r="H46" s="33">
        <f ca="1">IFERROR(__xludf.DUMMYFUNCTION("""COMPUTED_VALUE"""),0.695833333333333)</f>
        <v>0.69583333333333297</v>
      </c>
      <c r="I46" s="25">
        <f ca="1">IFERROR(__xludf.DUMMYFUNCTION("""COMPUTED_VALUE"""),0.638888888888888)</f>
        <v>0.63888888888888795</v>
      </c>
      <c r="J46" s="25">
        <f ca="1">IFERROR(__xludf.DUMMYFUNCTION("""COMPUTED_VALUE"""),0.9)</f>
        <v>0.9</v>
      </c>
      <c r="K46" s="25">
        <f ca="1">IFERROR(__xludf.DUMMYFUNCTION("""COMPUTED_VALUE"""),0.764705882352941)</f>
        <v>0.76470588235294101</v>
      </c>
      <c r="L46" s="25">
        <f ca="1">IFERROR(__xludf.DUMMYFUNCTION("""COMPUTED_VALUE"""),0.909090909090909)</f>
        <v>0.90909090909090895</v>
      </c>
      <c r="M46" s="25">
        <f ca="1">IFERROR(__xludf.DUMMYFUNCTION("""COMPUTED_VALUE"""),0.694444444444444)</f>
        <v>0.69444444444444398</v>
      </c>
      <c r="N46" s="25">
        <f ca="1">IFERROR(__xludf.DUMMYFUNCTION("""COMPUTED_VALUE"""),0.818181818181818)</f>
        <v>0.81818181818181801</v>
      </c>
      <c r="O46" s="25">
        <f ca="1">IFERROR(__xludf.DUMMYFUNCTION("""COMPUTED_VALUE"""),0.787878787878787)</f>
        <v>0.78787878787878696</v>
      </c>
      <c r="P46" s="25">
        <f ca="1">IFERROR(__xludf.DUMMYFUNCTION("""COMPUTED_VALUE"""),0.75)</f>
        <v>0.75</v>
      </c>
      <c r="Q46" s="25">
        <f ca="1">IFERROR(__xludf.DUMMYFUNCTION("""COMPUTED_VALUE"""),0)</f>
        <v>0</v>
      </c>
      <c r="R46" s="25">
        <f ca="1">IFERROR(__xludf.DUMMYFUNCTION("""COMPUTED_VALUE"""),0.59090909090909)</f>
        <v>0.59090909090909005</v>
      </c>
      <c r="S46" s="25">
        <f ca="1">IFERROR(__xludf.DUMMYFUNCTION("""COMPUTED_VALUE"""),0.5)</f>
        <v>0.5</v>
      </c>
      <c r="T46" s="25">
        <f ca="1">IFERROR(__xludf.DUMMYFUNCTION("""COMPUTED_VALUE"""),0.5)</f>
        <v>0.5</v>
      </c>
      <c r="U46" s="25">
        <f ca="1">IFERROR(__xludf.DUMMYFUNCTION("""COMPUTED_VALUE"""),0.181818181818181)</f>
        <v>0.18181818181818099</v>
      </c>
      <c r="V46" s="25">
        <f ca="1">IFERROR(__xludf.DUMMYFUNCTION("""COMPUTED_VALUE"""),0)</f>
        <v>0</v>
      </c>
      <c r="W46" s="4"/>
      <c r="X46" s="4" t="str">
        <f ca="1">IFERROR(__xludf.DUMMYFUNCTION("""COMPUTED_VALUE"""),"| 1 L PHP-CGM % | 3 P Python % | 5 P PHP-CGM % ")</f>
        <v xml:space="preserve">| 1 L PHP-CGM % | 3 P Python % | 5 P PHP-CGM % </v>
      </c>
      <c r="Y46" s="4" t="str">
        <f ca="1">IFERROR(__xludf.DUMMYFUNCTION("""COMPUTED_VALUE"""),"| 1 P JAVA % | 3 L JAVA % | 4 L CPT % | 5 P Python % ")</f>
        <v xml:space="preserve">| 1 P JAVA % | 3 L JAVA % | 4 L CPT % | 5 P Python % </v>
      </c>
      <c r="Z4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6" s="4" t="str">
        <f ca="1">IFERROR(__xludf.DUMMYFUNCTION("""COMPUTED_VALUE"""),"| 3 L PHP-CGM % | 4 L NS % | 1 L INE % | 5 P PRO % ")</f>
        <v xml:space="preserve">| 3 L PHP-CGM % | 4 L NS % | 1 L INE % | 5 P PRO % </v>
      </c>
      <c r="AB46" s="4" t="str">
        <f ca="1">IFERROR(__xludf.DUMMYFUNCTION("""COMPUTED_VALUE"""),"| 1 L CPT % | 2 L NS % | 3 P JAVA % | 5 P CPT % ")</f>
        <v xml:space="preserve">| 1 L CPT % | 2 L NS % | 3 P JAVA % | 5 P CPT % </v>
      </c>
      <c r="AC46" s="4" t="str">
        <f ca="1">IFERROR(__xludf.DUMMYFUNCTION("""COMPUTED_VALUE"""),"| 1 L PHP-CGM % | 2 L JAVA % | 3 P Python % | 5 P PHP-CGM % ")</f>
        <v xml:space="preserve">| 1 L PHP-CGM % | 2 L JAVA % | 3 P Python % | 5 P PHP-CGM % </v>
      </c>
      <c r="AD46" s="4" t="str">
        <f ca="1">IFERROR(__xludf.DUMMYFUNCTION("""COMPUTED_VALUE"""),"| 2 P JAVA % | 3 L JAVA % | 4 L CPT % | 5 P Python % ")</f>
        <v xml:space="preserve">| 2 P JAVA % | 3 L JAVA % | 4 L CPT % | 5 P Python % </v>
      </c>
      <c r="AE46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46" s="4" t="str">
        <f ca="1">IFERROR(__xludf.DUMMYFUNCTION("""COMPUTED_VALUE"""),"| 3 L PHP-CGM % | 4 L NS % | 5 P PRO @ ")</f>
        <v xml:space="preserve">| 3 L PHP-CGM % | 4 L NS % | 5 P PRO @ </v>
      </c>
      <c r="AG46" s="4" t="str">
        <f ca="1">IFERROR(__xludf.DUMMYFUNCTION("""COMPUTED_VALUE"""),"| 1 L CPT % | 2 L NS % | 3 P JAVA % | 5 P CPT % ")</f>
        <v xml:space="preserve">| 1 L CPT % | 2 L NS % | 3 P JAVA % | 5 P CPT % </v>
      </c>
      <c r="AH46" s="4" t="str">
        <f ca="1">IFERROR(__xludf.DUMMYFUNCTION("""COMPUTED_VALUE"""),"| 3 L PHP-CGM % | 4 L NS % | 5 L PRO % ")</f>
        <v xml:space="preserve">| 3 L PHP-CGM % | 4 L NS % | 5 L PRO % </v>
      </c>
      <c r="AI46" s="4" t="str">
        <f ca="1">IFERROR(__xludf.DUMMYFUNCTION("""COMPUTED_VALUE"""),"| 1 L CPT % | 2 L NS % | 3 P JAVA % | 5 P CPT % ")</f>
        <v xml:space="preserve">| 1 L CPT % | 2 L NS % | 3 P JAVA % | 5 P CPT % </v>
      </c>
      <c r="AJ46" s="4" t="str">
        <f ca="1">IFERROR(__xludf.DUMMYFUNCTION("""COMPUTED_VALUE"""),"| 1 L PHP-CGM % | 2 L JAVA % | 3 P Python % | 5 P PHP-CGM % ")</f>
        <v xml:space="preserve">| 1 L PHP-CGM % | 2 L JAVA % | 3 P Python % | 5 P PHP-CGM % </v>
      </c>
      <c r="AK46" s="4" t="str">
        <f ca="1">IFERROR(__xludf.DUMMYFUNCTION("""COMPUTED_VALUE"""),"| 2 P JAVA % | 3 L JAVA % | 4 L CPT % | 5 P Python @ ")</f>
        <v xml:space="preserve">| 2 P JAVA % | 3 L JAVA % | 4 L CPT % | 5 P Python @ </v>
      </c>
      <c r="AL4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6" s="4" t="str">
        <f ca="1">IFERROR(__xludf.DUMMYFUNCTION("""COMPUTED_VALUE"""),"| 1 L INE @ | 4 L NS % | 3 L PHP-CGM % | 5 L PRO % ")</f>
        <v xml:space="preserve">| 1 L INE @ | 4 L NS % | 3 L PHP-CGM % | 5 L PRO % </v>
      </c>
      <c r="AN46" s="4" t="str">
        <f ca="1">IFERROR(__xludf.DUMMYFUNCTION("""COMPUTED_VALUE"""),"| 1 L CPT % | 2 L NS % | 3 P JAVA % | 5 P CPT % ")</f>
        <v xml:space="preserve">| 1 L CPT % | 2 L NS % | 3 P JAVA % | 5 P CPT % </v>
      </c>
      <c r="AO46" s="4" t="str">
        <f ca="1">IFERROR(__xludf.DUMMYFUNCTION("""COMPUTED_VALUE"""),"| 1 L PHP-CGM % | 2 L JAVA % | 3 P Python % | 5 P PHP-CGM % ")</f>
        <v xml:space="preserve">| 1 L PHP-CGM % | 2 L JAVA % | 3 P Python % | 5 P PHP-CGM % </v>
      </c>
      <c r="AP46" s="4" t="str">
        <f ca="1">IFERROR(__xludf.DUMMYFUNCTION("""COMPUTED_VALUE"""),"| 2 P JAVA % | 3 L JAVA % | 4 L CPT % | 5 P Python % ")</f>
        <v xml:space="preserve">| 2 P JAVA % | 3 L JAVA % | 4 L CPT % | 5 P Python % </v>
      </c>
      <c r="AQ46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R46" s="4" t="str">
        <f ca="1">IFERROR(__xludf.DUMMYFUNCTION("""COMPUTED_VALUE"""),"| 1 L INE @ | 3 L PHP-CGM @ | 4 L NS @ | 5 L PRO @ ")</f>
        <v xml:space="preserve">| 1 L INE @ | 3 L PHP-CGM @ | 4 L NS @ | 5 L PRO @ </v>
      </c>
      <c r="AS46" s="4" t="str">
        <f ca="1">IFERROR(__xludf.DUMMYFUNCTION("""COMPUTED_VALUE"""),"| 1 L PHP-CGM % | 2 L JAVA % | 3 P Python % | 5 P PHP-CGM % ")</f>
        <v xml:space="preserve">| 1 L PHP-CGM % | 2 L JAVA % | 3 P Python % | 5 P PHP-CGM % </v>
      </c>
      <c r="AT46" s="4" t="str">
        <f ca="1">IFERROR(__xludf.DUMMYFUNCTION("""COMPUTED_VALUE"""),"| 2 P JAVA % | 3 L JAVA % | 4 L CPT % | 5 P Python % ")</f>
        <v xml:space="preserve">| 2 P JAVA % | 3 L JAVA % | 4 L CPT % | 5 P Python % </v>
      </c>
      <c r="AU4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6" s="4" t="str">
        <f ca="1">IFERROR(__xludf.DUMMYFUNCTION("""COMPUTED_VALUE"""),"| 1 L INE @ | 3 L PHP-CGM % | 4 L NS % | 7 L PRO % ")</f>
        <v xml:space="preserve">| 1 L INE @ | 3 L PHP-CGM % | 4 L NS % | 7 L PRO % </v>
      </c>
      <c r="AW46" s="4" t="str">
        <f ca="1">IFERROR(__xludf.DUMMYFUNCTION("""COMPUTED_VALUE"""),"| 1 L CPT % | 2 L NS % | 3 P JAVA @ | 5 P CPT % ")</f>
        <v xml:space="preserve">| 1 L CPT % | 2 L NS % | 3 P JAVA @ | 5 P CPT % </v>
      </c>
      <c r="AX46" s="4" t="str">
        <f ca="1">IFERROR(__xludf.DUMMYFUNCTION("""COMPUTED_VALUE"""),"| 1 L PHP-CGM % | 2 L JAVA % | 3 P Python @ | 5 P PHP-CGM % ")</f>
        <v xml:space="preserve">| 1 L PHP-CGM % | 2 L JAVA % | 3 P Python @ | 5 P PHP-CGM % </v>
      </c>
      <c r="AY46" s="4" t="str">
        <f ca="1">IFERROR(__xludf.DUMMYFUNCTION("""COMPUTED_VALUE"""),"| 2 P JAVA @ | 3 L JAVA @ | 4 L CPT @ | 5 P Python @ ")</f>
        <v xml:space="preserve">| 2 P JAVA @ | 3 L JAVA @ | 4 L CPT @ | 5 P Python @ </v>
      </c>
      <c r="AZ46" s="4" t="str">
        <f ca="1">IFERROR(__xludf.DUMMYFUNCTION("""COMPUTED_VALUE"""),"| 1 L INE @ | 3 L PHP-CGM @ | 4 L NS @ | 5 L PRO @ ")</f>
        <v xml:space="preserve">| 1 L INE @ | 3 L PHP-CGM @ | 4 L NS @ | 5 L PRO @ </v>
      </c>
      <c r="BA46" s="4" t="str">
        <f ca="1">IFERROR(__xludf.DUMMYFUNCTION("""COMPUTED_VALUE"""),"| 1 L CPT % | 2 L NS % | 3 P JAVA % | 5 P CPT % ")</f>
        <v xml:space="preserve">| 1 L CPT % | 2 L NS % | 3 P JAVA % | 5 P CPT % </v>
      </c>
      <c r="BB46" s="4" t="str">
        <f ca="1">IFERROR(__xludf.DUMMYFUNCTION("""COMPUTED_VALUE"""),"| 1 L PHP-CGM @ | 2 L JAVA @ | 3 P Python @ | 5 P PHP-CGM @ ")</f>
        <v xml:space="preserve">| 1 L PHP-CGM @ | 2 L JAVA @ | 3 P Python @ | 5 P PHP-CGM @ </v>
      </c>
      <c r="BC46" s="4" t="str">
        <f ca="1">IFERROR(__xludf.DUMMYFUNCTION("""COMPUTED_VALUE"""),"| 2 P JAVA % | 3 L JAVA @ | 4 L CPT @  | 5 P Python % ")</f>
        <v xml:space="preserve">| 2 P JAVA % | 3 L JAVA @ | 4 L CPT @  | 5 P Python % </v>
      </c>
      <c r="BD46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46" s="4" t="str">
        <f ca="1">IFERROR(__xludf.DUMMYFUNCTION("""COMPUTED_VALUE"""),"| 1 L INE @ | 3 L PHP-CGM % | 4 L NS % | 5 L PRO % ")</f>
        <v xml:space="preserve">| 1 L INE @ | 3 L PHP-CGM % | 4 L NS % | 5 L PRO % </v>
      </c>
      <c r="BF46" s="4" t="str">
        <f ca="1">IFERROR(__xludf.DUMMYFUNCTION("""COMPUTED_VALUE"""),"| 1 L CPT @ | 2 L NS @ | 3 P JAVA @ | 5 P CPT @ ")</f>
        <v xml:space="preserve">| 1 L CPT @ | 2 L NS @ | 3 P JAVA @ | 5 P CPT @ </v>
      </c>
      <c r="BG46" s="4" t="str">
        <f ca="1">IFERROR(__xludf.DUMMYFUNCTION("""COMPUTED_VALUE"""),"| 2 P JAVA % | 4 L CPT @ | 5 P Python % ")</f>
        <v xml:space="preserve">| 2 P JAVA % | 4 L CPT @ | 5 P Python % </v>
      </c>
      <c r="BH46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6" s="4" t="str">
        <f ca="1">IFERROR(__xludf.DUMMYFUNCTION("""COMPUTED_VALUE"""),"| 1 L INE @ | 3 L PHP-CGM % | 4 L NS % | 5 L PRO % ")</f>
        <v xml:space="preserve">| 1 L INE @ | 3 L PHP-CGM % | 4 L NS % | 5 L PRO % </v>
      </c>
      <c r="BJ46" s="4" t="str">
        <f ca="1">IFERROR(__xludf.DUMMYFUNCTION("""COMPUTED_VALUE"""),"| 1 L CPT % | 2 L NS % | 3 P JAVA % | 5 P CPT % ")</f>
        <v xml:space="preserve">| 1 L CPT % | 2 L NS % | 3 P JAVA % | 5 P CPT % </v>
      </c>
      <c r="BK46" s="4" t="str">
        <f ca="1">IFERROR(__xludf.DUMMYFUNCTION("""COMPUTED_VALUE"""),"| 1 L PHP-CGM % | 2 L JAVA % | 3 P Python @ ")</f>
        <v xml:space="preserve">| 1 L PHP-CGM % | 2 L JAVA % | 3 P Python @ </v>
      </c>
      <c r="BL46" s="4" t="str">
        <f ca="1">IFERROR(__xludf.DUMMYFUNCTION("""COMPUTED_VALUE"""),"| 2 P JAVA @ | 3 L JAVA @ | 4 L CPT @ | 5 P Python @ ")</f>
        <v xml:space="preserve">| 2 P JAVA @ | 3 L JAVA @ | 4 L CPT @ | 5 P Python @ </v>
      </c>
      <c r="BM46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N46" s="4" t="str">
        <f ca="1">IFERROR(__xludf.DUMMYFUNCTION("""COMPUTED_VALUE"""),"| 1 L INE @ | 3 L PHP-CGM @ | 4 L NS @ | 5 L PRO @ ")</f>
        <v xml:space="preserve">| 1 L INE @ | 3 L PHP-CGM @ | 4 L NS @ | 5 L PRO @ </v>
      </c>
      <c r="BO46" s="4" t="str">
        <f ca="1">IFERROR(__xludf.DUMMYFUNCTION("""COMPUTED_VALUE"""),"| 1 L CPT @ | 2 L NS @ | 3 P JAVA @ ")</f>
        <v xml:space="preserve">| 1 L CPT @ | 2 L NS @ | 3 P JAVA @ </v>
      </c>
      <c r="BP46" s="4" t="str">
        <f ca="1">IFERROR(__xludf.DUMMYFUNCTION("""COMPUTED_VALUE"""),"| 1 L PHP-CGM % | 2 L JAVA % | 3 P Python @ | 5 P PHP-CGM % ")</f>
        <v xml:space="preserve">| 1 L PHP-CGM % | 2 L JAVA % | 3 P Python @ | 5 P PHP-CGM % </v>
      </c>
      <c r="BQ46" s="4" t="str">
        <f ca="1">IFERROR(__xludf.DUMMYFUNCTION("""COMPUTED_VALUE"""),"| 5 L PHP-CGM % | 6 L CPT @ ")</f>
        <v xml:space="preserve">| 5 L PHP-CGM % | 6 L CPT @ </v>
      </c>
      <c r="BR46" s="4"/>
      <c r="BS46" s="4"/>
      <c r="BT46" s="4" t="str">
        <f ca="1">IFERROR(__xludf.DUMMYFUNCTION("""COMPUTED_VALUE"""),"| 1 L PHP-CGM % | 2 L JAVA % ")</f>
        <v xml:space="preserve">| 1 L PHP-CGM % | 2 L JAVA % </v>
      </c>
      <c r="BU46" s="4" t="str">
        <f ca="1">IFERROR(__xludf.DUMMYFUNCTION("""COMPUTED_VALUE"""),"| 2 P JAVA @ | 4 L CPT @ | 3 L JAVA @ ")</f>
        <v xml:space="preserve">| 2 P JAVA @ | 4 L CPT @ | 3 L JAVA @ </v>
      </c>
      <c r="BV46" s="4" t="str">
        <f ca="1">IFERROR(__xludf.DUMMYFUNCTION("""COMPUTED_VALUE"""),"| 1 L PHP-CGM % | 2 L JAVA % | 3 P Python @ | 5 P PHP-CGM @ ")</f>
        <v xml:space="preserve">| 1 L PHP-CGM % | 2 L JAVA % | 3 P Python @ | 5 P PHP-CGM @ </v>
      </c>
      <c r="BW46" s="4" t="str">
        <f ca="1">IFERROR(__xludf.DUMMYFUNCTION("""COMPUTED_VALUE"""),"| 2 P JAVA % | 3 L JAVA % | 4 L CPT % ")</f>
        <v xml:space="preserve">| 2 P JAVA % | 3 L JAVA % | 4 L CPT % </v>
      </c>
      <c r="BX46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Y46" s="4" t="str">
        <f ca="1">IFERROR(__xludf.DUMMYFUNCTION("""COMPUTED_VALUE"""),"| 1 L INE @ | 3 L PHP-CGM @ | 4 L NS @ | 5 L PRO @ ")</f>
        <v xml:space="preserve">| 1 L INE @ | 3 L PHP-CGM @ | 4 L NS @ | 5 L PRO @ </v>
      </c>
      <c r="BZ46" s="4" t="str">
        <f ca="1">IFERROR(__xludf.DUMMYFUNCTION("""COMPUTED_VALUE"""),"| 1 L CPT % | 2 L NS % | 3 P JAVA % | 5 P CPT % ")</f>
        <v xml:space="preserve">| 1 L CPT % | 2 L NS % | 3 P JAVA % | 5 P CPT % </v>
      </c>
      <c r="CA46" s="4" t="str">
        <f ca="1">IFERROR(__xludf.DUMMYFUNCTION("""COMPUTED_VALUE"""),"| 1 L PHP-CGM % | 2 L JAVA % | 3 P Python @ | 5 P PHP-CGM % ")</f>
        <v xml:space="preserve">| 1 L PHP-CGM % | 2 L JAVA % | 3 P Python @ | 5 P PHP-CGM % </v>
      </c>
      <c r="CB46" s="4" t="str">
        <f ca="1">IFERROR(__xludf.DUMMYFUNCTION("""COMPUTED_VALUE"""),"| 2 P JAVA % | 3 L JAVA % | 4 L CPT % | 3 P Python % ")</f>
        <v xml:space="preserve">| 2 P JAVA % | 3 L JAVA % | 4 L CPT % | 3 P Python % </v>
      </c>
      <c r="CC46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6" s="4" t="str">
        <f ca="1">IFERROR(__xludf.DUMMYFUNCTION("""COMPUTED_VALUE"""),"| 1 L INE % | 3 L PHP-CGM @ | 4 L NS @ | 5 L PRO @ ")</f>
        <v xml:space="preserve">| 1 L INE % | 3 L PHP-CGM @ | 4 L NS @ | 5 L PRO @ </v>
      </c>
      <c r="CE46" s="4" t="str">
        <f ca="1">IFERROR(__xludf.DUMMYFUNCTION("""COMPUTED_VALUE"""),"| 1 L CPT % | 2 L NS % | 3 P JAVA % | 5 P CPT % ")</f>
        <v xml:space="preserve">| 1 L CPT % | 2 L NS % | 3 P JAVA % | 5 P CPT % </v>
      </c>
      <c r="CF46" s="4" t="str">
        <f ca="1">IFERROR(__xludf.DUMMYFUNCTION("""COMPUTED_VALUE"""),"| 1 L PHP-CGM @ | 2 L JAVA @ | 3 P Python % | 5 P PHP-CGM % ")</f>
        <v xml:space="preserve">| 1 L PHP-CGM @ | 2 L JAVA @ | 3 P Python % | 5 P PHP-CGM % </v>
      </c>
      <c r="CG46" s="4" t="str">
        <f ca="1">IFERROR(__xludf.DUMMYFUNCTION("""COMPUTED_VALUE"""),"| 2 P JAVA % | 4 L CPT % ")</f>
        <v xml:space="preserve">| 2 P JAVA % | 4 L CPT % </v>
      </c>
      <c r="CH46" s="4" t="str">
        <f ca="1">IFERROR(__xludf.DUMMYFUNCTION("""COMPUTED_VALUE"""),"| 1 P NS % | 3 L NS % | 6 L CPT @ ")</f>
        <v xml:space="preserve">| 1 P NS % | 3 L NS % | 6 L CPT @ </v>
      </c>
      <c r="CI46" s="4" t="str">
        <f ca="1">IFERROR(__xludf.DUMMYFUNCTION("""COMPUTED_VALUE"""),"| 1 L INE @ ")</f>
        <v xml:space="preserve">| 1 L INE @ </v>
      </c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</row>
    <row r="47" spans="1:102" ht="12.5" x14ac:dyDescent="0.25">
      <c r="A47" s="3">
        <f ca="1">IFERROR(__xludf.DUMMYFUNCTION("""COMPUTED_VALUE"""),2)</f>
        <v>2</v>
      </c>
      <c r="B47" s="3" t="str">
        <f ca="1">IFERROR(__xludf.DUMMYFUNCTION("""COMPUTED_VALUE"""),"A")</f>
        <v>A</v>
      </c>
      <c r="C47" s="32" t="str">
        <f ca="1">IFERROR(__xludf.DUMMYFUNCTION("""COMPUTED_VALUE"""),"23291341123")</f>
        <v>23291341123</v>
      </c>
      <c r="D47" s="21" t="str">
        <f ca="1">IFERROR(__xludf.DUMMYFUNCTION("""COMPUTED_VALUE"""),"PATEL TAKSH DHARMENDRAKUMAR")</f>
        <v>PATEL TAKSH DHARMENDRAKUMAR</v>
      </c>
      <c r="E47" s="3" t="str">
        <f ca="1">IFERROR(__xludf.DUMMYFUNCTION("""COMPUTED_VALUE"""),"RRP-Mor")</f>
        <v>RRP-Mor</v>
      </c>
      <c r="F47" s="3">
        <f ca="1">IFERROR(__xludf.DUMMYFUNCTION("""COMPUTED_VALUE"""),9723960893)</f>
        <v>9723960893</v>
      </c>
      <c r="G47" s="3">
        <f ca="1">IFERROR(__xludf.DUMMYFUNCTION("""COMPUTED_VALUE"""),9879285984)</f>
        <v>9879285984</v>
      </c>
      <c r="H47" s="33">
        <f ca="1">IFERROR(__xludf.DUMMYFUNCTION("""COMPUTED_VALUE"""),0.470833333333333)</f>
        <v>0.47083333333333299</v>
      </c>
      <c r="I47" s="25">
        <f ca="1">IFERROR(__xludf.DUMMYFUNCTION("""COMPUTED_VALUE"""),0.416666666666666)</f>
        <v>0.41666666666666602</v>
      </c>
      <c r="J47" s="25">
        <f ca="1">IFERROR(__xludf.DUMMYFUNCTION("""COMPUTED_VALUE"""),0.2)</f>
        <v>0.2</v>
      </c>
      <c r="K47" s="25">
        <f ca="1">IFERROR(__xludf.DUMMYFUNCTION("""COMPUTED_VALUE"""),0.529411764705882)</f>
        <v>0.52941176470588203</v>
      </c>
      <c r="L47" s="25">
        <f ca="1">IFERROR(__xludf.DUMMYFUNCTION("""COMPUTED_VALUE"""),0.727272727272727)</f>
        <v>0.72727272727272696</v>
      </c>
      <c r="M47" s="25">
        <f ca="1">IFERROR(__xludf.DUMMYFUNCTION("""COMPUTED_VALUE"""),0.527777777777777)</f>
        <v>0.52777777777777701</v>
      </c>
      <c r="N47" s="25">
        <f ca="1">IFERROR(__xludf.DUMMYFUNCTION("""COMPUTED_VALUE"""),0.363636363636363)</f>
        <v>0.36363636363636298</v>
      </c>
      <c r="O47" s="25">
        <f ca="1">IFERROR(__xludf.DUMMYFUNCTION("""COMPUTED_VALUE"""),0.636363636363636)</f>
        <v>0.63636363636363602</v>
      </c>
      <c r="P47" s="25">
        <f ca="1">IFERROR(__xludf.DUMMYFUNCTION("""COMPUTED_VALUE"""),0.625)</f>
        <v>0.625</v>
      </c>
      <c r="Q47" s="25">
        <f ca="1">IFERROR(__xludf.DUMMYFUNCTION("""COMPUTED_VALUE"""),0)</f>
        <v>0</v>
      </c>
      <c r="R47" s="25">
        <f ca="1">IFERROR(__xludf.DUMMYFUNCTION("""COMPUTED_VALUE"""),0.272727272727272)</f>
        <v>0.27272727272727199</v>
      </c>
      <c r="S47" s="25">
        <f ca="1">IFERROR(__xludf.DUMMYFUNCTION("""COMPUTED_VALUE"""),0.3)</f>
        <v>0.3</v>
      </c>
      <c r="T47" s="25">
        <f ca="1">IFERROR(__xludf.DUMMYFUNCTION("""COMPUTED_VALUE"""),0)</f>
        <v>0</v>
      </c>
      <c r="U47" s="25">
        <f ca="1">IFERROR(__xludf.DUMMYFUNCTION("""COMPUTED_VALUE"""),0.181818181818181)</f>
        <v>0.18181818181818099</v>
      </c>
      <c r="V47" s="25">
        <f ca="1">IFERROR(__xludf.DUMMYFUNCTION("""COMPUTED_VALUE"""),0)</f>
        <v>0</v>
      </c>
      <c r="W47" s="4"/>
      <c r="X47" s="4" t="str">
        <f ca="1">IFERROR(__xludf.DUMMYFUNCTION("""COMPUTED_VALUE"""),"| 1 L PHP-CGM @ | 3 P Python @ | 5 P PHP-CGM @ ")</f>
        <v xml:space="preserve">| 1 L PHP-CGM @ | 3 P Python @ | 5 P PHP-CGM @ </v>
      </c>
      <c r="Y47" s="4" t="str">
        <f ca="1">IFERROR(__xludf.DUMMYFUNCTION("""COMPUTED_VALUE"""),"| 1 P JAVA % | 3 L JAVA % | 4 L CPT % | 5 P Python @ ")</f>
        <v xml:space="preserve">| 1 P JAVA % | 3 L JAVA % | 4 L CPT % | 5 P Python @ </v>
      </c>
      <c r="Z47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A47" s="4" t="str">
        <f ca="1">IFERROR(__xludf.DUMMYFUNCTION("""COMPUTED_VALUE"""),"| 3 L PHP-CGM % | 4 L NS % | 1 L INE % | 5 P PRO @ ")</f>
        <v xml:space="preserve">| 3 L PHP-CGM % | 4 L NS % | 1 L INE % | 5 P PRO @ </v>
      </c>
      <c r="AB47" s="4" t="str">
        <f ca="1">IFERROR(__xludf.DUMMYFUNCTION("""COMPUTED_VALUE"""),"| 1 L CPT % | 2 L NS % | 3 P JAVA % | 5 P CPT @ ")</f>
        <v xml:space="preserve">| 1 L CPT % | 2 L NS % | 3 P JAVA % | 5 P CPT @ </v>
      </c>
      <c r="AC47" s="4" t="str">
        <f ca="1">IFERROR(__xludf.DUMMYFUNCTION("""COMPUTED_VALUE"""),"| 1 L PHP-CGM % | 2 L JAVA % | 3 P Python % | 5 P PHP-CGM @ ")</f>
        <v xml:space="preserve">| 1 L PHP-CGM % | 2 L JAVA % | 3 P Python % | 5 P PHP-CGM @ </v>
      </c>
      <c r="AD47" s="4" t="str">
        <f ca="1">IFERROR(__xludf.DUMMYFUNCTION("""COMPUTED_VALUE"""),"| 2 P JAVA % | 3 L JAVA % | 4 L CPT % | 5 P Python @ ")</f>
        <v xml:space="preserve">| 2 P JAVA % | 3 L JAVA % | 4 L CPT % | 5 P Python @ </v>
      </c>
      <c r="AE47" s="4" t="str">
        <f ca="1">IFERROR(__xludf.DUMMYFUNCTION("""COMPUTED_VALUE"""),"| 1 P NS @ | 4 L JAVA @ | 3 L NS @ | 5 L PHP-CGM @ | 6 L CPT @ ")</f>
        <v xml:space="preserve">| 1 P NS @ | 4 L JAVA @ | 3 L NS @ | 5 L PHP-CGM @ | 6 L CPT @ </v>
      </c>
      <c r="AF47" s="4" t="str">
        <f ca="1">IFERROR(__xludf.DUMMYFUNCTION("""COMPUTED_VALUE"""),"| 3 L PHP-CGM % | 4 L NS % | 5 P PRO @ ")</f>
        <v xml:space="preserve">| 3 L PHP-CGM % | 4 L NS % | 5 P PRO @ </v>
      </c>
      <c r="AG47" s="4" t="str">
        <f ca="1">IFERROR(__xludf.DUMMYFUNCTION("""COMPUTED_VALUE"""),"| 1 L CPT % | 2 L NS % | 3 P JAVA % | 5 P CPT @ ")</f>
        <v xml:space="preserve">| 1 L CPT % | 2 L NS % | 3 P JAVA % | 5 P CPT @ </v>
      </c>
      <c r="AH47" s="4" t="str">
        <f ca="1">IFERROR(__xludf.DUMMYFUNCTION("""COMPUTED_VALUE"""),"| 3 L PHP-CGM % | 4 L NS % | 5 L PRO % ")</f>
        <v xml:space="preserve">| 3 L PHP-CGM % | 4 L NS % | 5 L PRO % </v>
      </c>
      <c r="AI47" s="4" t="str">
        <f ca="1">IFERROR(__xludf.DUMMYFUNCTION("""COMPUTED_VALUE"""),"| 1 L CPT % | 2 L NS % | 3 P JAVA % | 5 P CPT @ ")</f>
        <v xml:space="preserve">| 1 L CPT % | 2 L NS % | 3 P JAVA % | 5 P CPT @ </v>
      </c>
      <c r="AJ47" s="4" t="str">
        <f ca="1">IFERROR(__xludf.DUMMYFUNCTION("""COMPUTED_VALUE"""),"| 1 L PHP-CGM @ | 2 L JAVA @ | 3 P Python @ | 5 P PHP-CGM @ ")</f>
        <v xml:space="preserve">| 1 L PHP-CGM @ | 2 L JAVA @ | 3 P Python @ | 5 P PHP-CGM @ </v>
      </c>
      <c r="AK47" s="4" t="str">
        <f ca="1">IFERROR(__xludf.DUMMYFUNCTION("""COMPUTED_VALUE"""),"| 2 P JAVA % | 3 L JAVA % | 4 L CPT % | 5 P Python @ ")</f>
        <v xml:space="preserve">| 2 P JAVA % | 3 L JAVA % | 4 L CPT % | 5 P Python @ </v>
      </c>
      <c r="AL47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M47" s="4" t="str">
        <f ca="1">IFERROR(__xludf.DUMMYFUNCTION("""COMPUTED_VALUE"""),"| 1 L INE @ | 4 L NS % | 3 L PHP-CGM % | 5 L PRO @ ")</f>
        <v xml:space="preserve">| 1 L INE @ | 4 L NS % | 3 L PHP-CGM % | 5 L PRO @ </v>
      </c>
      <c r="AN47" s="4" t="str">
        <f ca="1">IFERROR(__xludf.DUMMYFUNCTION("""COMPUTED_VALUE"""),"| 1 L CPT @ | 2 L NS @ | 3 P JAVA @ | 5 P CPT @ ")</f>
        <v xml:space="preserve">| 1 L CPT @ | 2 L NS @ | 3 P JAVA @ | 5 P CPT @ </v>
      </c>
      <c r="AO47" s="4" t="str">
        <f ca="1">IFERROR(__xludf.DUMMYFUNCTION("""COMPUTED_VALUE"""),"| 1 L PHP-CGM % | 2 L JAVA % | 3 P Python % | 5 P PHP-CGM % ")</f>
        <v xml:space="preserve">| 1 L PHP-CGM % | 2 L JAVA % | 3 P Python % | 5 P PHP-CGM % </v>
      </c>
      <c r="AP47" s="4" t="str">
        <f ca="1">IFERROR(__xludf.DUMMYFUNCTION("""COMPUTED_VALUE"""),"| 2 P JAVA % | 3 L JAVA % | 4 L CPT % | 5 P Python @ ")</f>
        <v xml:space="preserve">| 2 P JAVA % | 3 L JAVA % | 4 L CPT % | 5 P Python @ </v>
      </c>
      <c r="AQ47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AR47" s="4" t="str">
        <f ca="1">IFERROR(__xludf.DUMMYFUNCTION("""COMPUTED_VALUE"""),"| 1 L INE @ | 3 L PHP-CGM @ | 4 L NS @ | 5 L PRO @ ")</f>
        <v xml:space="preserve">| 1 L INE @ | 3 L PHP-CGM @ | 4 L NS @ | 5 L PRO @ </v>
      </c>
      <c r="AS47" s="4" t="str">
        <f ca="1">IFERROR(__xludf.DUMMYFUNCTION("""COMPUTED_VALUE"""),"| 1 L PHP-CGM % | 2 L JAVA % | 3 P Python % | 5 P PHP-CGM @ ")</f>
        <v xml:space="preserve">| 1 L PHP-CGM % | 2 L JAVA % | 3 P Python % | 5 P PHP-CGM @ </v>
      </c>
      <c r="AT47" s="4" t="str">
        <f ca="1">IFERROR(__xludf.DUMMYFUNCTION("""COMPUTED_VALUE"""),"| 2 P JAVA % | 3 L JAVA % | 4 L CPT % | 5 P Python @ ")</f>
        <v xml:space="preserve">| 2 P JAVA % | 3 L JAVA % | 4 L CPT % | 5 P Python @ </v>
      </c>
      <c r="AU47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AV47" s="4" t="str">
        <f ca="1">IFERROR(__xludf.DUMMYFUNCTION("""COMPUTED_VALUE"""),"| 1 L INE @ | 3 L PHP-CGM % | 4 L NS % | 7 L PRO @ ")</f>
        <v xml:space="preserve">| 1 L INE @ | 3 L PHP-CGM % | 4 L NS % | 7 L PRO @ </v>
      </c>
      <c r="AW47" s="4" t="str">
        <f ca="1">IFERROR(__xludf.DUMMYFUNCTION("""COMPUTED_VALUE"""),"| 1 L CPT @ | 2 L NS % | 3 P JAVA @ | 5 P CPT @ ")</f>
        <v xml:space="preserve">| 1 L CPT @ | 2 L NS % | 3 P JAVA @ | 5 P CPT @ </v>
      </c>
      <c r="AX47" s="4" t="str">
        <f ca="1">IFERROR(__xludf.DUMMYFUNCTION("""COMPUTED_VALUE"""),"| 1 L PHP-CGM % | 2 L JAVA % | 3 P Python % | 5 P PHP-CGM % ")</f>
        <v xml:space="preserve">| 1 L PHP-CGM % | 2 L JAVA % | 3 P Python % | 5 P PHP-CGM % </v>
      </c>
      <c r="AY47" s="4" t="str">
        <f ca="1">IFERROR(__xludf.DUMMYFUNCTION("""COMPUTED_VALUE"""),"| 2 P JAVA % | 3 L JAVA % | 4 L CPT % | 5 P Python @ ")</f>
        <v xml:space="preserve">| 2 P JAVA % | 3 L JAVA % | 4 L CPT % | 5 P Python @ </v>
      </c>
      <c r="AZ47" s="4" t="str">
        <f ca="1">IFERROR(__xludf.DUMMYFUNCTION("""COMPUTED_VALUE"""),"| 1 L INE @ | 3 L PHP-CGM @ | 4 L NS @ | 5 L PRO @ ")</f>
        <v xml:space="preserve">| 1 L INE @ | 3 L PHP-CGM @ | 4 L NS @ | 5 L PRO @ </v>
      </c>
      <c r="BA47" s="4" t="str">
        <f ca="1">IFERROR(__xludf.DUMMYFUNCTION("""COMPUTED_VALUE"""),"| 1 L CPT @ | 2 L NS @ | 3 P JAVA @ | 5 P CPT @ ")</f>
        <v xml:space="preserve">| 1 L CPT @ | 2 L NS @ | 3 P JAVA @ | 5 P CPT @ </v>
      </c>
      <c r="BB47" s="4" t="str">
        <f ca="1">IFERROR(__xludf.DUMMYFUNCTION("""COMPUTED_VALUE"""),"| 1 L PHP-CGM % | 2 L JAVA @ | 3 P Python @ | 5 P PHP-CGM @ ")</f>
        <v xml:space="preserve">| 1 L PHP-CGM % | 2 L JAVA @ | 3 P Python @ | 5 P PHP-CGM @ </v>
      </c>
      <c r="BC47" s="4" t="str">
        <f ca="1">IFERROR(__xludf.DUMMYFUNCTION("""COMPUTED_VALUE"""),"| 2 P JAVA @ | 3 L JAVA @ | 4 L CPT @  | 5 P Python @ ")</f>
        <v xml:space="preserve">| 2 P JAVA @ | 3 L JAVA @ | 4 L CPT @  | 5 P Python @ </v>
      </c>
      <c r="BD47" s="4" t="str">
        <f ca="1">IFERROR(__xludf.DUMMYFUNCTION("""COMPUTED_VALUE"""),"| 1 P NS % | 3 L NS % | 6 L CPT @ | 5 L PHP-CGM % | 4 L JAVA % ")</f>
        <v xml:space="preserve">| 1 P NS % | 3 L NS % | 6 L CPT @ | 5 L PHP-CGM % | 4 L JAVA % </v>
      </c>
      <c r="BE47" s="4" t="str">
        <f ca="1">IFERROR(__xludf.DUMMYFUNCTION("""COMPUTED_VALUE"""),"| 1 L INE @ | 3 L PHP-CGM % | 4 L NS @ | 5 L PRO % ")</f>
        <v xml:space="preserve">| 1 L INE @ | 3 L PHP-CGM % | 4 L NS @ | 5 L PRO % </v>
      </c>
      <c r="BF47" s="4" t="str">
        <f ca="1">IFERROR(__xludf.DUMMYFUNCTION("""COMPUTED_VALUE"""),"| 1 L CPT % | 2 L NS % | 3 P JAVA % | 5 P CPT % ")</f>
        <v xml:space="preserve">| 1 L CPT % | 2 L NS % | 3 P JAVA % | 5 P CPT % </v>
      </c>
      <c r="BG47" s="4" t="str">
        <f ca="1">IFERROR(__xludf.DUMMYFUNCTION("""COMPUTED_VALUE"""),"| 2 P JAVA % | 4 L CPT % | 5 P Python % ")</f>
        <v xml:space="preserve">| 2 P JAVA % | 4 L CPT % | 5 P Python % </v>
      </c>
      <c r="BH47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7" s="4" t="str">
        <f ca="1">IFERROR(__xludf.DUMMYFUNCTION("""COMPUTED_VALUE"""),"| 1 L INE @ | 3 L PHP-CGM % | 4 L NS % | 5 L PRO % ")</f>
        <v xml:space="preserve">| 1 L INE @ | 3 L PHP-CGM % | 4 L NS % | 5 L PRO % </v>
      </c>
      <c r="BJ47" s="4" t="str">
        <f ca="1">IFERROR(__xludf.DUMMYFUNCTION("""COMPUTED_VALUE"""),"| 1 L CPT @ | 2 L NS @ | 3 P JAVA @ | 5 P CPT @ ")</f>
        <v xml:space="preserve">| 1 L CPT @ | 2 L NS @ | 3 P JAVA @ | 5 P CPT @ </v>
      </c>
      <c r="BK47" s="4" t="str">
        <f ca="1">IFERROR(__xludf.DUMMYFUNCTION("""COMPUTED_VALUE"""),"| 1 L PHP-CGM @ | 2 L JAVA @ | 3 P Python @ ")</f>
        <v xml:space="preserve">| 1 L PHP-CGM @ | 2 L JAVA @ | 3 P Python @ </v>
      </c>
      <c r="BL47" s="4" t="str">
        <f ca="1">IFERROR(__xludf.DUMMYFUNCTION("""COMPUTED_VALUE"""),"| 2 P JAVA @ | 3 L JAVA @ | 4 L CPT @ | 5 P Python @ ")</f>
        <v xml:space="preserve">| 2 P JAVA @ | 3 L JAVA @ | 4 L CPT @ | 5 P Python @ </v>
      </c>
      <c r="BM47" s="4" t="str">
        <f ca="1">IFERROR(__xludf.DUMMYFUNCTION("""COMPUTED_VALUE"""),"| 1 P NS @ | 3 L NS @ | 4 L JAVA @ | 5 L PHP-CGM @ | 6 L CPT @ ")</f>
        <v xml:space="preserve">| 1 P NS @ | 3 L NS @ | 4 L JAVA @ | 5 L PHP-CGM @ | 6 L CPT @ </v>
      </c>
      <c r="BN47" s="4" t="str">
        <f ca="1">IFERROR(__xludf.DUMMYFUNCTION("""COMPUTED_VALUE"""),"| 1 L INE @ | 3 L PHP-CGM @ | 4 L NS @ | 5 L PRO @ ")</f>
        <v xml:space="preserve">| 1 L INE @ | 3 L PHP-CGM @ | 4 L NS @ | 5 L PRO @ </v>
      </c>
      <c r="BO47" s="4" t="str">
        <f ca="1">IFERROR(__xludf.DUMMYFUNCTION("""COMPUTED_VALUE"""),"| 1 L CPT @ | 2 L NS @ | 3 P JAVA @ ")</f>
        <v xml:space="preserve">| 1 L CPT @ | 2 L NS @ | 3 P JAVA @ </v>
      </c>
      <c r="BP47" s="4" t="str">
        <f ca="1">IFERROR(__xludf.DUMMYFUNCTION("""COMPUTED_VALUE"""),"| 1 L PHP-CGM % | 2 L JAVA % | 3 P Python @ | 5 P PHP-CGM % ")</f>
        <v xml:space="preserve">| 1 L PHP-CGM % | 2 L JAVA % | 3 P Python @ | 5 P PHP-CGM % </v>
      </c>
      <c r="BQ47" s="4" t="str">
        <f ca="1">IFERROR(__xludf.DUMMYFUNCTION("""COMPUTED_VALUE"""),"| 5 L PHP-CGM % | 6 L CPT @ ")</f>
        <v xml:space="preserve">| 5 L PHP-CGM % | 6 L CPT @ </v>
      </c>
      <c r="BR47" s="4"/>
      <c r="BS47" s="4"/>
      <c r="BT47" s="4" t="str">
        <f ca="1">IFERROR(__xludf.DUMMYFUNCTION("""COMPUTED_VALUE"""),"| 1 L PHP-CGM % | 2 L JAVA % ")</f>
        <v xml:space="preserve">| 1 L PHP-CGM % | 2 L JAVA % </v>
      </c>
      <c r="BU47" s="4" t="str">
        <f ca="1">IFERROR(__xludf.DUMMYFUNCTION("""COMPUTED_VALUE"""),"| 2 P JAVA @ | 4 L CPT @ | 3 L JAVA @ ")</f>
        <v xml:space="preserve">| 2 P JAVA @ | 4 L CPT @ | 3 L JAVA @ </v>
      </c>
      <c r="BV47" s="4" t="str">
        <f ca="1">IFERROR(__xludf.DUMMYFUNCTION("""COMPUTED_VALUE"""),"| 1 L PHP-CGM % | 2 L JAVA % | 3 P Python @ | 5 P PHP-CGM @ ")</f>
        <v xml:space="preserve">| 1 L PHP-CGM % | 2 L JAVA % | 3 P Python @ | 5 P PHP-CGM @ </v>
      </c>
      <c r="BW47" s="4" t="str">
        <f ca="1">IFERROR(__xludf.DUMMYFUNCTION("""COMPUTED_VALUE"""),"| 2 P JAVA % | 3 L JAVA % | 4 L CPT % ")</f>
        <v xml:space="preserve">| 2 P JAVA % | 3 L JAVA % | 4 L CPT % </v>
      </c>
      <c r="BX47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BY47" s="4" t="str">
        <f ca="1">IFERROR(__xludf.DUMMYFUNCTION("""COMPUTED_VALUE"""),"| 1 L INE @ | 3 L PHP-CGM % | 4 L NS % | 5 L PRO @ ")</f>
        <v xml:space="preserve">| 1 L INE @ | 3 L PHP-CGM % | 4 L NS % | 5 L PRO @ </v>
      </c>
      <c r="BZ47" s="4" t="str">
        <f ca="1">IFERROR(__xludf.DUMMYFUNCTION("""COMPUTED_VALUE"""),"| 1 L CPT @ | 2 L NS @ | 3 P JAVA @ | 5 P CPT @ ")</f>
        <v xml:space="preserve">| 1 L CPT @ | 2 L NS @ | 3 P JAVA @ | 5 P CPT @ </v>
      </c>
      <c r="CA47" s="4" t="str">
        <f ca="1">IFERROR(__xludf.DUMMYFUNCTION("""COMPUTED_VALUE"""),"| 1 L PHP-CGM @ | 2 L JAVA @ | 3 P Python @ | 5 P PHP-CGM @ ")</f>
        <v xml:space="preserve">| 1 L PHP-CGM @ | 2 L JAVA @ | 3 P Python @ | 5 P PHP-CGM @ </v>
      </c>
      <c r="CB47" s="4" t="str">
        <f ca="1">IFERROR(__xludf.DUMMYFUNCTION("""COMPUTED_VALUE"""),"| 2 P JAVA % | 3 L JAVA % | 4 L CPT % | 3 P Python @ ")</f>
        <v xml:space="preserve">| 2 P JAVA % | 3 L JAVA % | 4 L CPT % | 3 P Python @ </v>
      </c>
      <c r="CC47" s="4" t="str">
        <f ca="1">IFERROR(__xludf.DUMMYFUNCTION("""COMPUTED_VALUE"""),"| 1 P NS % | 3 L NS @ | 4 L JAVA @ | 5 L PHP-CGM @ | 6 L CPT @ ")</f>
        <v xml:space="preserve">| 1 P NS % | 3 L NS @ | 4 L JAVA @ | 5 L PHP-CGM @ | 6 L CPT @ </v>
      </c>
      <c r="CD47" s="4" t="str">
        <f ca="1">IFERROR(__xludf.DUMMYFUNCTION("""COMPUTED_VALUE"""),"| 1 L INE % | 3 L PHP-CGM @ | 4 L NS @ | 5 L PRO @ ")</f>
        <v xml:space="preserve">| 1 L INE % | 3 L PHP-CGM @ | 4 L NS @ | 5 L PRO @ </v>
      </c>
      <c r="CE47" s="4" t="str">
        <f ca="1">IFERROR(__xludf.DUMMYFUNCTION("""COMPUTED_VALUE"""),"| 1 L CPT @ | 2 L NS @ | 3 P JAVA % | 5 P CPT % ")</f>
        <v xml:space="preserve">| 1 L CPT @ | 2 L NS @ | 3 P JAVA % | 5 P CPT % </v>
      </c>
      <c r="CF47" s="4" t="str">
        <f ca="1">IFERROR(__xludf.DUMMYFUNCTION("""COMPUTED_VALUE"""),"| 1 L PHP-CGM @ | 2 L JAVA @ | 3 P Python % | 5 P PHP-CGM % ")</f>
        <v xml:space="preserve">| 1 L PHP-CGM @ | 2 L JAVA @ | 3 P Python % | 5 P PHP-CGM % </v>
      </c>
      <c r="CG47" s="4" t="str">
        <f ca="1">IFERROR(__xludf.DUMMYFUNCTION("""COMPUTED_VALUE"""),"| 2 P JAVA % | 4 L CPT % ")</f>
        <v xml:space="preserve">| 2 P JAVA % | 4 L CPT % </v>
      </c>
      <c r="CH47" s="4" t="str">
        <f ca="1">IFERROR(__xludf.DUMMYFUNCTION("""COMPUTED_VALUE"""),"| 1 P NS % | 3 L NS @ | 6 L CPT @ ")</f>
        <v xml:space="preserve">| 1 P NS % | 3 L NS @ | 6 L CPT @ </v>
      </c>
      <c r="CI47" s="4" t="str">
        <f ca="1">IFERROR(__xludf.DUMMYFUNCTION("""COMPUTED_VALUE"""),"| 1 L INE @ ")</f>
        <v xml:space="preserve">| 1 L INE @ </v>
      </c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</row>
    <row r="48" spans="1:102" ht="12.5" x14ac:dyDescent="0.25">
      <c r="A48" s="3">
        <f ca="1">IFERROR(__xludf.DUMMYFUNCTION("""COMPUTED_VALUE"""),2)</f>
        <v>2</v>
      </c>
      <c r="B48" s="3" t="str">
        <f ca="1">IFERROR(__xludf.DUMMYFUNCTION("""COMPUTED_VALUE"""),"A")</f>
        <v>A</v>
      </c>
      <c r="C48" s="32" t="str">
        <f ca="1">IFERROR(__xludf.DUMMYFUNCTION("""COMPUTED_VALUE"""),"23291341124")</f>
        <v>23291341124</v>
      </c>
      <c r="D48" s="21" t="str">
        <f ca="1">IFERROR(__xludf.DUMMYFUNCTION("""COMPUTED_VALUE"""),"PATEL TIRTH BHARATKUMAR")</f>
        <v>PATEL TIRTH BHARATKUMAR</v>
      </c>
      <c r="E48" s="3" t="str">
        <f ca="1">IFERROR(__xludf.DUMMYFUNCTION("""COMPUTED_VALUE"""),"RRP-Mor")</f>
        <v>RRP-Mor</v>
      </c>
      <c r="F48" s="3">
        <f ca="1">IFERROR(__xludf.DUMMYFUNCTION("""COMPUTED_VALUE"""),9429746534)</f>
        <v>9429746534</v>
      </c>
      <c r="G48" s="3">
        <f ca="1">IFERROR(__xludf.DUMMYFUNCTION("""COMPUTED_VALUE"""),9898650034)</f>
        <v>9898650034</v>
      </c>
      <c r="H48" s="33">
        <f ca="1">IFERROR(__xludf.DUMMYFUNCTION("""COMPUTED_VALUE"""),0.858333333333333)</f>
        <v>0.85833333333333295</v>
      </c>
      <c r="I48" s="25">
        <f ca="1">IFERROR(__xludf.DUMMYFUNCTION("""COMPUTED_VALUE"""),0.833333333333333)</f>
        <v>0.83333333333333304</v>
      </c>
      <c r="J48" s="25">
        <f ca="1">IFERROR(__xludf.DUMMYFUNCTION("""COMPUTED_VALUE"""),0.9)</f>
        <v>0.9</v>
      </c>
      <c r="K48" s="25">
        <f ca="1">IFERROR(__xludf.DUMMYFUNCTION("""COMPUTED_VALUE"""),0.852941176470588)</f>
        <v>0.85294117647058798</v>
      </c>
      <c r="L48" s="25">
        <f ca="1">IFERROR(__xludf.DUMMYFUNCTION("""COMPUTED_VALUE"""),1)</f>
        <v>1</v>
      </c>
      <c r="M48" s="25">
        <f ca="1">IFERROR(__xludf.DUMMYFUNCTION("""COMPUTED_VALUE"""),0.805555555555555)</f>
        <v>0.80555555555555503</v>
      </c>
      <c r="N48" s="25">
        <f ca="1">IFERROR(__xludf.DUMMYFUNCTION("""COMPUTED_VALUE"""),1)</f>
        <v>1</v>
      </c>
      <c r="O48" s="25">
        <f ca="1">IFERROR(__xludf.DUMMYFUNCTION("""COMPUTED_VALUE"""),0.969696969696969)</f>
        <v>0.96969696969696895</v>
      </c>
      <c r="P48" s="25">
        <f ca="1">IFERROR(__xludf.DUMMYFUNCTION("""COMPUTED_VALUE"""),0.916666666666666)</f>
        <v>0.91666666666666596</v>
      </c>
      <c r="Q48" s="25">
        <f ca="1">IFERROR(__xludf.DUMMYFUNCTION("""COMPUTED_VALUE"""),0)</f>
        <v>0</v>
      </c>
      <c r="R48" s="25">
        <f ca="1">IFERROR(__xludf.DUMMYFUNCTION("""COMPUTED_VALUE"""),0.954545454545454)</f>
        <v>0.95454545454545403</v>
      </c>
      <c r="S48" s="25">
        <f ca="1">IFERROR(__xludf.DUMMYFUNCTION("""COMPUTED_VALUE"""),0.6)</f>
        <v>0.6</v>
      </c>
      <c r="T48" s="25">
        <f ca="1">IFERROR(__xludf.DUMMYFUNCTION("""COMPUTED_VALUE"""),0.5)</f>
        <v>0.5</v>
      </c>
      <c r="U48" s="25">
        <f ca="1">IFERROR(__xludf.DUMMYFUNCTION("""COMPUTED_VALUE"""),0.454545454545454)</f>
        <v>0.45454545454545398</v>
      </c>
      <c r="V48" s="25">
        <f ca="1">IFERROR(__xludf.DUMMYFUNCTION("""COMPUTED_VALUE"""),0)</f>
        <v>0</v>
      </c>
      <c r="W48" s="4"/>
      <c r="X48" s="4" t="str">
        <f ca="1">IFERROR(__xludf.DUMMYFUNCTION("""COMPUTED_VALUE"""),"| 1 L PHP-CGM @ | 3 P Python % | 5 P PHP-CGM % ")</f>
        <v xml:space="preserve">| 1 L PHP-CGM @ | 3 P Python % | 5 P PHP-CGM % </v>
      </c>
      <c r="Y48" s="4" t="str">
        <f ca="1">IFERROR(__xludf.DUMMYFUNCTION("""COMPUTED_VALUE"""),"| 1 P JAVA % | 3 L JAVA % | 4 L CPT % | 5 P Python % ")</f>
        <v xml:space="preserve">| 1 P JAVA % | 3 L JAVA % | 4 L CPT % | 5 P Python % </v>
      </c>
      <c r="Z4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8" s="4" t="str">
        <f ca="1">IFERROR(__xludf.DUMMYFUNCTION("""COMPUTED_VALUE"""),"| 3 L PHP-CGM % | 4 L NS % | 1 L INE % | 5 P PRO % ")</f>
        <v xml:space="preserve">| 3 L PHP-CGM % | 4 L NS % | 1 L INE % | 5 P PRO % </v>
      </c>
      <c r="AB48" s="4" t="str">
        <f ca="1">IFERROR(__xludf.DUMMYFUNCTION("""COMPUTED_VALUE"""),"| 1 L CPT % | 2 L NS % | 3 P JAVA % | 5 P CPT % ")</f>
        <v xml:space="preserve">| 1 L CPT % | 2 L NS % | 3 P JAVA % | 5 P CPT % </v>
      </c>
      <c r="AC48" s="4" t="str">
        <f ca="1">IFERROR(__xludf.DUMMYFUNCTION("""COMPUTED_VALUE"""),"| 1 L PHP-CGM @ | 2 L JAVA % | 3 P Python % | 5 P PHP-CGM % ")</f>
        <v xml:space="preserve">| 1 L PHP-CGM @ | 2 L JAVA % | 3 P Python % | 5 P PHP-CGM % </v>
      </c>
      <c r="AD48" s="4" t="str">
        <f ca="1">IFERROR(__xludf.DUMMYFUNCTION("""COMPUTED_VALUE"""),"| 2 P JAVA % | 3 L JAVA % | 4 L CPT % | 5 P Python % ")</f>
        <v xml:space="preserve">| 2 P JAVA % | 3 L JAVA % | 4 L CPT % | 5 P Python % </v>
      </c>
      <c r="AE48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48" s="4" t="str">
        <f ca="1">IFERROR(__xludf.DUMMYFUNCTION("""COMPUTED_VALUE"""),"| 3 L PHP-CGM % | 4 L NS % | 5 P PRO @ ")</f>
        <v xml:space="preserve">| 3 L PHP-CGM % | 4 L NS % | 5 P PRO @ </v>
      </c>
      <c r="AG48" s="4" t="str">
        <f ca="1">IFERROR(__xludf.DUMMYFUNCTION("""COMPUTED_VALUE"""),"| 1 L CPT % | 2 L NS % | 3 P JAVA % | 5 P CPT % ")</f>
        <v xml:space="preserve">| 1 L CPT % | 2 L NS % | 3 P JAVA % | 5 P CPT % </v>
      </c>
      <c r="AH48" s="4" t="str">
        <f ca="1">IFERROR(__xludf.DUMMYFUNCTION("""COMPUTED_VALUE"""),"| 3 L PHP-CGM % | 4 L NS % | 5 L PRO % ")</f>
        <v xml:space="preserve">| 3 L PHP-CGM % | 4 L NS % | 5 L PRO % </v>
      </c>
      <c r="AI48" s="4" t="str">
        <f ca="1">IFERROR(__xludf.DUMMYFUNCTION("""COMPUTED_VALUE"""),"| 1 L CPT % | 2 L NS % | 3 P JAVA % | 5 P CPT % ")</f>
        <v xml:space="preserve">| 1 L CPT % | 2 L NS % | 3 P JAVA % | 5 P CPT % </v>
      </c>
      <c r="AJ48" s="4" t="str">
        <f ca="1">IFERROR(__xludf.DUMMYFUNCTION("""COMPUTED_VALUE"""),"| 1 L PHP-CGM % | 2 L JAVA % | 3 P Python % | 5 P PHP-CGM % ")</f>
        <v xml:space="preserve">| 1 L PHP-CGM % | 2 L JAVA % | 3 P Python % | 5 P PHP-CGM % </v>
      </c>
      <c r="AK48" s="4" t="str">
        <f ca="1">IFERROR(__xludf.DUMMYFUNCTION("""COMPUTED_VALUE"""),"| 2 P JAVA % | 3 L JAVA % | 4 L CPT % | 5 P Python % ")</f>
        <v xml:space="preserve">| 2 P JAVA % | 3 L JAVA % | 4 L CPT % | 5 P Python % </v>
      </c>
      <c r="AL4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8" s="4" t="str">
        <f ca="1">IFERROR(__xludf.DUMMYFUNCTION("""COMPUTED_VALUE"""),"| 1 L INE @ | 4 L NS % | 3 L PHP-CGM % | 5 L PRO % ")</f>
        <v xml:space="preserve">| 1 L INE @ | 4 L NS % | 3 L PHP-CGM % | 5 L PRO % </v>
      </c>
      <c r="AN48" s="4" t="str">
        <f ca="1">IFERROR(__xludf.DUMMYFUNCTION("""COMPUTED_VALUE"""),"| 1 L CPT % | 2 L NS % | 3 P JAVA % | 5 P CPT % ")</f>
        <v xml:space="preserve">| 1 L CPT % | 2 L NS % | 3 P JAVA % | 5 P CPT % </v>
      </c>
      <c r="AO48" s="4" t="str">
        <f ca="1">IFERROR(__xludf.DUMMYFUNCTION("""COMPUTED_VALUE"""),"| 1 L PHP-CGM % | 2 L JAVA % | 3 P Python % | 5 P PHP-CGM % ")</f>
        <v xml:space="preserve">| 1 L PHP-CGM % | 2 L JAVA % | 3 P Python % | 5 P PHP-CGM % </v>
      </c>
      <c r="AP48" s="4" t="str">
        <f ca="1">IFERROR(__xludf.DUMMYFUNCTION("""COMPUTED_VALUE"""),"| 2 P JAVA % | 3 L JAVA % | 4 L CPT % | 5 P Python % ")</f>
        <v xml:space="preserve">| 2 P JAVA % | 3 L JAVA % | 4 L CPT % | 5 P Python % </v>
      </c>
      <c r="AQ4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48" s="4" t="str">
        <f ca="1">IFERROR(__xludf.DUMMYFUNCTION("""COMPUTED_VALUE"""),"| 1 L INE @ | 3 L PHP-CGM @ | 4 L NS @ | 5 L PRO @ ")</f>
        <v xml:space="preserve">| 1 L INE @ | 3 L PHP-CGM @ | 4 L NS @ | 5 L PRO @ </v>
      </c>
      <c r="AS48" s="4" t="str">
        <f ca="1">IFERROR(__xludf.DUMMYFUNCTION("""COMPUTED_VALUE"""),"| 1 L PHP-CGM % | 2 L JAVA % | 3 P Python % | 5 P PHP-CGM % ")</f>
        <v xml:space="preserve">| 1 L PHP-CGM % | 2 L JAVA % | 3 P Python % | 5 P PHP-CGM % </v>
      </c>
      <c r="AT48" s="4" t="str">
        <f ca="1">IFERROR(__xludf.DUMMYFUNCTION("""COMPUTED_VALUE"""),"| 2 P JAVA % | 3 L JAVA % | 4 L CPT % | 5 P Python % ")</f>
        <v xml:space="preserve">| 2 P JAVA % | 3 L JAVA % | 4 L CPT % | 5 P Python % </v>
      </c>
      <c r="AU4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8" s="4" t="str">
        <f ca="1">IFERROR(__xludf.DUMMYFUNCTION("""COMPUTED_VALUE"""),"| 1 L INE % | 3 L PHP-CGM % | 4 L NS % | 7 L PRO % ")</f>
        <v xml:space="preserve">| 1 L INE % | 3 L PHP-CGM % | 4 L NS % | 7 L PRO % </v>
      </c>
      <c r="AW48" s="4" t="str">
        <f ca="1">IFERROR(__xludf.DUMMYFUNCTION("""COMPUTED_VALUE"""),"| 1 L CPT % | 2 L NS % | 3 P JAVA % | 5 P CPT % ")</f>
        <v xml:space="preserve">| 1 L CPT % | 2 L NS % | 3 P JAVA % | 5 P CPT % </v>
      </c>
      <c r="AX48" s="4" t="str">
        <f ca="1">IFERROR(__xludf.DUMMYFUNCTION("""COMPUTED_VALUE"""),"| 1 L PHP-CGM % | 2 L JAVA % | 3 P Python % | 5 P PHP-CGM % ")</f>
        <v xml:space="preserve">| 1 L PHP-CGM % | 2 L JAVA % | 3 P Python % | 5 P PHP-CGM % </v>
      </c>
      <c r="AY48" s="4" t="str">
        <f ca="1">IFERROR(__xludf.DUMMYFUNCTION("""COMPUTED_VALUE"""),"| 2 P JAVA % | 3 L JAVA % | 4 L CPT % | 5 P Python % ")</f>
        <v xml:space="preserve">| 2 P JAVA % | 3 L JAVA % | 4 L CPT % | 5 P Python % </v>
      </c>
      <c r="AZ48" s="4" t="str">
        <f ca="1">IFERROR(__xludf.DUMMYFUNCTION("""COMPUTED_VALUE"""),"| 1 L INE @ | 3 L PHP-CGM @ | 4 L NS @ | 5 L PRO @ ")</f>
        <v xml:space="preserve">| 1 L INE @ | 3 L PHP-CGM @ | 4 L NS @ | 5 L PRO @ </v>
      </c>
      <c r="BA48" s="4" t="str">
        <f ca="1">IFERROR(__xludf.DUMMYFUNCTION("""COMPUTED_VALUE"""),"| 1 L CPT @ | 2 L NS % | 3 P JAVA % | 5 P CPT % ")</f>
        <v xml:space="preserve">| 1 L CPT @ | 2 L NS % | 3 P JAVA % | 5 P CPT % </v>
      </c>
      <c r="BB48" s="4" t="str">
        <f ca="1">IFERROR(__xludf.DUMMYFUNCTION("""COMPUTED_VALUE"""),"| 1 L PHP-CGM % | 2 L JAVA % | 3 P Python % | 5 P PHP-CGM % ")</f>
        <v xml:space="preserve">| 1 L PHP-CGM % | 2 L JAVA % | 3 P Python % | 5 P PHP-CGM % </v>
      </c>
      <c r="BC48" s="4" t="str">
        <f ca="1">IFERROR(__xludf.DUMMYFUNCTION("""COMPUTED_VALUE"""),"| 2 P JAVA % | 3 L JAVA % | 4 L CPT %  | 5 P Python % ")</f>
        <v xml:space="preserve">| 2 P JAVA % | 3 L JAVA % | 4 L CPT %  | 5 P Python % </v>
      </c>
      <c r="BD48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48" s="4" t="str">
        <f ca="1">IFERROR(__xludf.DUMMYFUNCTION("""COMPUTED_VALUE"""),"| 1 L INE @ | 3 L PHP-CGM % | 4 L NS % | 5 L PRO % ")</f>
        <v xml:space="preserve">| 1 L INE @ | 3 L PHP-CGM % | 4 L NS % | 5 L PRO % </v>
      </c>
      <c r="BF48" s="4" t="str">
        <f ca="1">IFERROR(__xludf.DUMMYFUNCTION("""COMPUTED_VALUE"""),"| 1 L CPT @ | 2 L NS @ | 3 P JAVA @ | 5 P CPT @ ")</f>
        <v xml:space="preserve">| 1 L CPT @ | 2 L NS @ | 3 P JAVA @ | 5 P CPT @ </v>
      </c>
      <c r="BG48" s="4" t="str">
        <f ca="1">IFERROR(__xludf.DUMMYFUNCTION("""COMPUTED_VALUE"""),"| 2 P JAVA % | 4 L CPT % | 5 P Python % ")</f>
        <v xml:space="preserve">| 2 P JAVA % | 4 L CPT % | 5 P Python % </v>
      </c>
      <c r="BH4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8" s="4" t="str">
        <f ca="1">IFERROR(__xludf.DUMMYFUNCTION("""COMPUTED_VALUE"""),"| 1 L INE @ | 3 L PHP-CGM % | 4 L NS % | 5 L PRO % ")</f>
        <v xml:space="preserve">| 1 L INE @ | 3 L PHP-CGM % | 4 L NS % | 5 L PRO % </v>
      </c>
      <c r="BJ48" s="4" t="str">
        <f ca="1">IFERROR(__xludf.DUMMYFUNCTION("""COMPUTED_VALUE"""),"| 1 L CPT % | 2 L NS % | 3 P JAVA % | 5 P CPT % ")</f>
        <v xml:space="preserve">| 1 L CPT % | 2 L NS % | 3 P JAVA % | 5 P CPT % </v>
      </c>
      <c r="BK48" s="4" t="str">
        <f ca="1">IFERROR(__xludf.DUMMYFUNCTION("""COMPUTED_VALUE"""),"| 1 L PHP-CGM @ | 2 L JAVA @ | 3 P Python @ ")</f>
        <v xml:space="preserve">| 1 L PHP-CGM @ | 2 L JAVA @ | 3 P Python @ </v>
      </c>
      <c r="BL48" s="4" t="str">
        <f ca="1">IFERROR(__xludf.DUMMYFUNCTION("""COMPUTED_VALUE"""),"| 2 P JAVA % | 3 L JAVA % | 4 L CPT % | 5 P Python % ")</f>
        <v xml:space="preserve">| 2 P JAVA % | 3 L JAVA % | 4 L CPT % | 5 P Python % </v>
      </c>
      <c r="BM4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48" s="4" t="str">
        <f ca="1">IFERROR(__xludf.DUMMYFUNCTION("""COMPUTED_VALUE"""),"| 1 L INE @ | 3 L PHP-CGM @ | 4 L NS @ | 5 L PRO @ ")</f>
        <v xml:space="preserve">| 1 L INE @ | 3 L PHP-CGM @ | 4 L NS @ | 5 L PRO @ </v>
      </c>
      <c r="BO48" s="4" t="str">
        <f ca="1">IFERROR(__xludf.DUMMYFUNCTION("""COMPUTED_VALUE"""),"| 1 L CPT @ | 2 L NS @ | 3 P JAVA @ ")</f>
        <v xml:space="preserve">| 1 L CPT @ | 2 L NS @ | 3 P JAVA @ </v>
      </c>
      <c r="BP48" s="4" t="str">
        <f ca="1">IFERROR(__xludf.DUMMYFUNCTION("""COMPUTED_VALUE"""),"| 1 L PHP-CGM % | 2 L JAVA % | 3 P Python % | 5 P PHP-CGM % ")</f>
        <v xml:space="preserve">| 1 L PHP-CGM % | 2 L JAVA % | 3 P Python % | 5 P PHP-CGM % </v>
      </c>
      <c r="BQ48" s="4" t="str">
        <f ca="1">IFERROR(__xludf.DUMMYFUNCTION("""COMPUTED_VALUE"""),"| 5 L PHP-CGM % | 6 L CPT @ ")</f>
        <v xml:space="preserve">| 5 L PHP-CGM % | 6 L CPT @ </v>
      </c>
      <c r="BR48" s="4"/>
      <c r="BS48" s="4"/>
      <c r="BT48" s="4" t="str">
        <f ca="1">IFERROR(__xludf.DUMMYFUNCTION("""COMPUTED_VALUE"""),"| 1 L PHP-CGM % | 2 L JAVA % ")</f>
        <v xml:space="preserve">| 1 L PHP-CGM % | 2 L JAVA % </v>
      </c>
      <c r="BU48" s="4" t="str">
        <f ca="1">IFERROR(__xludf.DUMMYFUNCTION("""COMPUTED_VALUE"""),"| 2 P JAVA % | 4 L CPT % | 3 L JAVA % ")</f>
        <v xml:space="preserve">| 2 P JAVA % | 4 L CPT % | 3 L JAVA % </v>
      </c>
      <c r="BV48" s="4" t="str">
        <f ca="1">IFERROR(__xludf.DUMMYFUNCTION("""COMPUTED_VALUE"""),"| 1 L PHP-CGM % | 2 L JAVA % | 3 P Python % | 5 P PHP-CGM % ")</f>
        <v xml:space="preserve">| 1 L PHP-CGM % | 2 L JAVA % | 3 P Python % | 5 P PHP-CGM % </v>
      </c>
      <c r="BW48" s="4" t="str">
        <f ca="1">IFERROR(__xludf.DUMMYFUNCTION("""COMPUTED_VALUE"""),"| 2 P JAVA % | 3 L JAVA % | 4 L CPT % ")</f>
        <v xml:space="preserve">| 2 P JAVA % | 3 L JAVA % | 4 L CPT % </v>
      </c>
      <c r="BX48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48" s="4" t="str">
        <f ca="1">IFERROR(__xludf.DUMMYFUNCTION("""COMPUTED_VALUE"""),"| 1 L INE % | 3 L PHP-CGM % | 4 L NS % | 5 L PRO @ ")</f>
        <v xml:space="preserve">| 1 L INE % | 3 L PHP-CGM % | 4 L NS % | 5 L PRO @ </v>
      </c>
      <c r="BZ48" s="4" t="str">
        <f ca="1">IFERROR(__xludf.DUMMYFUNCTION("""COMPUTED_VALUE"""),"| 1 L CPT % | 2 L NS % | 3 P JAVA % | 5 P CPT % ")</f>
        <v xml:space="preserve">| 1 L CPT % | 2 L NS % | 3 P JAVA % | 5 P CPT % </v>
      </c>
      <c r="CA48" s="4" t="str">
        <f ca="1">IFERROR(__xludf.DUMMYFUNCTION("""COMPUTED_VALUE"""),"| 1 L PHP-CGM % | 2 L JAVA % | 3 P Python % | 5 P PHP-CGM % ")</f>
        <v xml:space="preserve">| 1 L PHP-CGM % | 2 L JAVA % | 3 P Python % | 5 P PHP-CGM % </v>
      </c>
      <c r="CB48" s="4" t="str">
        <f ca="1">IFERROR(__xludf.DUMMYFUNCTION("""COMPUTED_VALUE"""),"| 2 P JAVA % | 3 L JAVA % | 4 L CPT % | 3 P Python % ")</f>
        <v xml:space="preserve">| 2 P JAVA % | 3 L JAVA % | 4 L CPT % | 3 P Python % </v>
      </c>
      <c r="CC48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8" s="4" t="str">
        <f ca="1">IFERROR(__xludf.DUMMYFUNCTION("""COMPUTED_VALUE"""),"| 1 L INE % | 3 L PHP-CGM % | 4 L NS % | 5 L PRO % ")</f>
        <v xml:space="preserve">| 1 L INE % | 3 L PHP-CGM % | 4 L NS % | 5 L PRO % </v>
      </c>
      <c r="CE48" s="4" t="str">
        <f ca="1">IFERROR(__xludf.DUMMYFUNCTION("""COMPUTED_VALUE"""),"| 1 L CPT % | 2 L NS % | 3 P JAVA % | 5 P CPT % ")</f>
        <v xml:space="preserve">| 1 L CPT % | 2 L NS % | 3 P JAVA % | 5 P CPT % </v>
      </c>
      <c r="CF48" s="4" t="str">
        <f ca="1">IFERROR(__xludf.DUMMYFUNCTION("""COMPUTED_VALUE"""),"| 1 L PHP-CGM % | 2 L JAVA % | 3 P Python % | 5 P PHP-CGM % ")</f>
        <v xml:space="preserve">| 1 L PHP-CGM % | 2 L JAVA % | 3 P Python % | 5 P PHP-CGM % </v>
      </c>
      <c r="CG48" s="4" t="str">
        <f ca="1">IFERROR(__xludf.DUMMYFUNCTION("""COMPUTED_VALUE"""),"| 2 P JAVA % | 4 L CPT % ")</f>
        <v xml:space="preserve">| 2 P JAVA % | 4 L CPT % </v>
      </c>
      <c r="CH48" s="4" t="str">
        <f ca="1">IFERROR(__xludf.DUMMYFUNCTION("""COMPUTED_VALUE"""),"| 1 P NS % | 3 L NS % | 6 L CPT @ ")</f>
        <v xml:space="preserve">| 1 P NS % | 3 L NS % | 6 L CPT @ </v>
      </c>
      <c r="CI48" s="4" t="str">
        <f ca="1">IFERROR(__xludf.DUMMYFUNCTION("""COMPUTED_VALUE"""),"| 1 L INE % ")</f>
        <v xml:space="preserve">| 1 L INE % </v>
      </c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</row>
    <row r="49" spans="1:102" ht="12.5" x14ac:dyDescent="0.25">
      <c r="A49" s="3">
        <f ca="1">IFERROR(__xludf.DUMMYFUNCTION("""COMPUTED_VALUE"""),2)</f>
        <v>2</v>
      </c>
      <c r="B49" s="3" t="str">
        <f ca="1">IFERROR(__xludf.DUMMYFUNCTION("""COMPUTED_VALUE"""),"A")</f>
        <v>A</v>
      </c>
      <c r="C49" s="32" t="str">
        <f ca="1">IFERROR(__xludf.DUMMYFUNCTION("""COMPUTED_VALUE"""),"23291341125")</f>
        <v>23291341125</v>
      </c>
      <c r="D49" s="21" t="str">
        <f ca="1">IFERROR(__xludf.DUMMYFUNCTION("""COMPUTED_VALUE"""),"PATEL TITHI BHARATKUMAR")</f>
        <v>PATEL TITHI BHARATKUMAR</v>
      </c>
      <c r="E49" s="3" t="str">
        <f ca="1">IFERROR(__xludf.DUMMYFUNCTION("""COMPUTED_VALUE"""),"RRP-Mor")</f>
        <v>RRP-Mor</v>
      </c>
      <c r="F49" s="3">
        <f ca="1">IFERROR(__xludf.DUMMYFUNCTION("""COMPUTED_VALUE"""),9724069432)</f>
        <v>9724069432</v>
      </c>
      <c r="G49" s="3">
        <f ca="1">IFERROR(__xludf.DUMMYFUNCTION("""COMPUTED_VALUE"""),9898560034)</f>
        <v>9898560034</v>
      </c>
      <c r="H49" s="33">
        <f ca="1">IFERROR(__xludf.DUMMYFUNCTION("""COMPUTED_VALUE"""),0.808333333333333)</f>
        <v>0.80833333333333302</v>
      </c>
      <c r="I49" s="25">
        <f ca="1">IFERROR(__xludf.DUMMYFUNCTION("""COMPUTED_VALUE"""),0.777777777777777)</f>
        <v>0.77777777777777701</v>
      </c>
      <c r="J49" s="25">
        <f ca="1">IFERROR(__xludf.DUMMYFUNCTION("""COMPUTED_VALUE"""),0.8)</f>
        <v>0.8</v>
      </c>
      <c r="K49" s="25">
        <f ca="1">IFERROR(__xludf.DUMMYFUNCTION("""COMPUTED_VALUE"""),0.735294117647058)</f>
        <v>0.73529411764705799</v>
      </c>
      <c r="L49" s="25">
        <f ca="1">IFERROR(__xludf.DUMMYFUNCTION("""COMPUTED_VALUE"""),1)</f>
        <v>1</v>
      </c>
      <c r="M49" s="25">
        <f ca="1">IFERROR(__xludf.DUMMYFUNCTION("""COMPUTED_VALUE"""),0.777777777777777)</f>
        <v>0.77777777777777701</v>
      </c>
      <c r="N49" s="25">
        <f ca="1">IFERROR(__xludf.DUMMYFUNCTION("""COMPUTED_VALUE"""),0.909090909090909)</f>
        <v>0.90909090909090895</v>
      </c>
      <c r="O49" s="25">
        <f ca="1">IFERROR(__xludf.DUMMYFUNCTION("""COMPUTED_VALUE"""),0.909090909090909)</f>
        <v>0.90909090909090895</v>
      </c>
      <c r="P49" s="25">
        <f ca="1">IFERROR(__xludf.DUMMYFUNCTION("""COMPUTED_VALUE"""),0.875)</f>
        <v>0.875</v>
      </c>
      <c r="Q49" s="25">
        <f ca="1">IFERROR(__xludf.DUMMYFUNCTION("""COMPUTED_VALUE"""),0)</f>
        <v>0</v>
      </c>
      <c r="R49" s="25">
        <f ca="1">IFERROR(__xludf.DUMMYFUNCTION("""COMPUTED_VALUE"""),0.909090909090909)</f>
        <v>0.90909090909090895</v>
      </c>
      <c r="S49" s="25">
        <f ca="1">IFERROR(__xludf.DUMMYFUNCTION("""COMPUTED_VALUE"""),0.7)</f>
        <v>0.7</v>
      </c>
      <c r="T49" s="25">
        <f ca="1">IFERROR(__xludf.DUMMYFUNCTION("""COMPUTED_VALUE"""),1)</f>
        <v>1</v>
      </c>
      <c r="U49" s="25">
        <f ca="1">IFERROR(__xludf.DUMMYFUNCTION("""COMPUTED_VALUE"""),0.363636363636363)</f>
        <v>0.36363636363636298</v>
      </c>
      <c r="V49" s="25">
        <f ca="1">IFERROR(__xludf.DUMMYFUNCTION("""COMPUTED_VALUE"""),0)</f>
        <v>0</v>
      </c>
      <c r="W49" s="4"/>
      <c r="X49" s="4" t="str">
        <f ca="1">IFERROR(__xludf.DUMMYFUNCTION("""COMPUTED_VALUE"""),"| 1 L PHP-CGM @ | 3 P Python % | 5 P PHP-CGM % ")</f>
        <v xml:space="preserve">| 1 L PHP-CGM @ | 3 P Python % | 5 P PHP-CGM % </v>
      </c>
      <c r="Y49" s="4" t="str">
        <f ca="1">IFERROR(__xludf.DUMMYFUNCTION("""COMPUTED_VALUE"""),"| 1 P JAVA % | 3 L JAVA % | 4 L CPT % | 5 P Python % ")</f>
        <v xml:space="preserve">| 1 P JAVA % | 3 L JAVA % | 4 L CPT % | 5 P Python % </v>
      </c>
      <c r="Z4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49" s="4" t="str">
        <f ca="1">IFERROR(__xludf.DUMMYFUNCTION("""COMPUTED_VALUE"""),"| 3 L PHP-CGM % | 4 L NS % | 1 L INE % | 5 P PRO % ")</f>
        <v xml:space="preserve">| 3 L PHP-CGM % | 4 L NS % | 1 L INE % | 5 P PRO % </v>
      </c>
      <c r="AB49" s="4" t="str">
        <f ca="1">IFERROR(__xludf.DUMMYFUNCTION("""COMPUTED_VALUE"""),"| 1 L CPT % | 2 L NS % | 3 P JAVA % | 5 P CPT % ")</f>
        <v xml:space="preserve">| 1 L CPT % | 2 L NS % | 3 P JAVA % | 5 P CPT % </v>
      </c>
      <c r="AC49" s="4" t="str">
        <f ca="1">IFERROR(__xludf.DUMMYFUNCTION("""COMPUTED_VALUE"""),"| 1 L PHP-CGM @ | 2 L JAVA % | 3 P Python % | 5 P PHP-CGM % ")</f>
        <v xml:space="preserve">| 1 L PHP-CGM @ | 2 L JAVA % | 3 P Python % | 5 P PHP-CGM % </v>
      </c>
      <c r="AD49" s="4" t="str">
        <f ca="1">IFERROR(__xludf.DUMMYFUNCTION("""COMPUTED_VALUE"""),"| 2 P JAVA % | 3 L JAVA % | 4 L CPT @ | 5 P Python % ")</f>
        <v xml:space="preserve">| 2 P JAVA % | 3 L JAVA % | 4 L CPT @ | 5 P Python % </v>
      </c>
      <c r="AE49" s="4" t="str">
        <f ca="1">IFERROR(__xludf.DUMMYFUNCTION("""COMPUTED_VALUE"""),"| 1 P NS % | 4 L JAVA % | 3 L NS % | 5 L PHP-CGM % | 6 L CPT % ")</f>
        <v xml:space="preserve">| 1 P NS % | 4 L JAVA % | 3 L NS % | 5 L PHP-CGM % | 6 L CPT % </v>
      </c>
      <c r="AF49" s="4" t="str">
        <f ca="1">IFERROR(__xludf.DUMMYFUNCTION("""COMPUTED_VALUE"""),"| 3 L PHP-CGM % | 4 L NS % | 5 P PRO % ")</f>
        <v xml:space="preserve">| 3 L PHP-CGM % | 4 L NS % | 5 P PRO % </v>
      </c>
      <c r="AG49" s="4" t="str">
        <f ca="1">IFERROR(__xludf.DUMMYFUNCTION("""COMPUTED_VALUE"""),"| 1 L CPT % | 2 L NS % | 3 P JAVA % | 5 P CPT % ")</f>
        <v xml:space="preserve">| 1 L CPT % | 2 L NS % | 3 P JAVA % | 5 P CPT % </v>
      </c>
      <c r="AH49" s="4" t="str">
        <f ca="1">IFERROR(__xludf.DUMMYFUNCTION("""COMPUTED_VALUE"""),"| 3 L PHP-CGM % | 4 L NS % | 5 L PRO % ")</f>
        <v xml:space="preserve">| 3 L PHP-CGM % | 4 L NS % | 5 L PRO % </v>
      </c>
      <c r="AI49" s="4" t="str">
        <f ca="1">IFERROR(__xludf.DUMMYFUNCTION("""COMPUTED_VALUE"""),"| 1 L CPT % | 2 L NS % | 3 P JAVA % | 5 P CPT % ")</f>
        <v xml:space="preserve">| 1 L CPT % | 2 L NS % | 3 P JAVA % | 5 P CPT % </v>
      </c>
      <c r="AJ49" s="4" t="str">
        <f ca="1">IFERROR(__xludf.DUMMYFUNCTION("""COMPUTED_VALUE"""),"| 1 L PHP-CGM @ | 2 L JAVA @ | 3 P Python @ | 5 P PHP-CGM @ ")</f>
        <v xml:space="preserve">| 1 L PHP-CGM @ | 2 L JAVA @ | 3 P Python @ | 5 P PHP-CGM @ </v>
      </c>
      <c r="AK49" s="4" t="str">
        <f ca="1">IFERROR(__xludf.DUMMYFUNCTION("""COMPUTED_VALUE"""),"| 2 P JAVA % | 3 L JAVA % | 4 L CPT % | 5 P Python % ")</f>
        <v xml:space="preserve">| 2 P JAVA % | 3 L JAVA % | 4 L CPT % | 5 P Python % </v>
      </c>
      <c r="AL4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M49" s="4" t="str">
        <f ca="1">IFERROR(__xludf.DUMMYFUNCTION("""COMPUTED_VALUE"""),"| 1 L INE @ | 4 L NS @ | 3 L PHP-CGM % | 5 L PRO % ")</f>
        <v xml:space="preserve">| 1 L INE @ | 4 L NS @ | 3 L PHP-CGM % | 5 L PRO % </v>
      </c>
      <c r="AN49" s="4" t="str">
        <f ca="1">IFERROR(__xludf.DUMMYFUNCTION("""COMPUTED_VALUE"""),"| 1 L CPT @ | 2 L NS % | 3 P JAVA % | 5 P CPT % ")</f>
        <v xml:space="preserve">| 1 L CPT @ | 2 L NS % | 3 P JAVA % | 5 P CPT % </v>
      </c>
      <c r="AO49" s="4" t="str">
        <f ca="1">IFERROR(__xludf.DUMMYFUNCTION("""COMPUTED_VALUE"""),"| 1 L PHP-CGM % | 2 L JAVA % | 3 P Python % | 5 P PHP-CGM % ")</f>
        <v xml:space="preserve">| 1 L PHP-CGM % | 2 L JAVA % | 3 P Python % | 5 P PHP-CGM % </v>
      </c>
      <c r="AP49" s="4" t="str">
        <f ca="1">IFERROR(__xludf.DUMMYFUNCTION("""COMPUTED_VALUE"""),"| 2 P JAVA % | 3 L JAVA % | 4 L CPT % | 5 P Python % ")</f>
        <v xml:space="preserve">| 2 P JAVA % | 3 L JAVA % | 4 L CPT % | 5 P Python % </v>
      </c>
      <c r="AQ4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R49" s="4" t="str">
        <f ca="1">IFERROR(__xludf.DUMMYFUNCTION("""COMPUTED_VALUE"""),"| 1 L INE @ | 3 L PHP-CGM @ | 4 L NS @ | 5 L PRO @ ")</f>
        <v xml:space="preserve">| 1 L INE @ | 3 L PHP-CGM @ | 4 L NS @ | 5 L PRO @ </v>
      </c>
      <c r="AS49" s="4" t="str">
        <f ca="1">IFERROR(__xludf.DUMMYFUNCTION("""COMPUTED_VALUE"""),"| 1 L PHP-CGM % | 2 L JAVA % | 3 P Python % | 5 P PHP-CGM % ")</f>
        <v xml:space="preserve">| 1 L PHP-CGM % | 2 L JAVA % | 3 P Python % | 5 P PHP-CGM % </v>
      </c>
      <c r="AT49" s="4" t="str">
        <f ca="1">IFERROR(__xludf.DUMMYFUNCTION("""COMPUTED_VALUE"""),"| 2 P JAVA % | 3 L JAVA % | 4 L CPT % | 5 P Python % ")</f>
        <v xml:space="preserve">| 2 P JAVA % | 3 L JAVA % | 4 L CPT % | 5 P Python % </v>
      </c>
      <c r="AU4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V49" s="4" t="str">
        <f ca="1">IFERROR(__xludf.DUMMYFUNCTION("""COMPUTED_VALUE"""),"| 1 L INE % | 3 L PHP-CGM % | 4 L NS % | 7 L PRO % ")</f>
        <v xml:space="preserve">| 1 L INE % | 3 L PHP-CGM % | 4 L NS % | 7 L PRO % </v>
      </c>
      <c r="AW49" s="4" t="str">
        <f ca="1">IFERROR(__xludf.DUMMYFUNCTION("""COMPUTED_VALUE"""),"| 1 L CPT @ | 2 L NS @ | 3 P JAVA @ | 5 P CPT @ ")</f>
        <v xml:space="preserve">| 1 L CPT @ | 2 L NS @ | 3 P JAVA @ | 5 P CPT @ </v>
      </c>
      <c r="AX49" s="4" t="str">
        <f ca="1">IFERROR(__xludf.DUMMYFUNCTION("""COMPUTED_VALUE"""),"| 1 L PHP-CGM % | 2 L JAVA % | 3 P Python % | 5 P PHP-CGM % ")</f>
        <v xml:space="preserve">| 1 L PHP-CGM % | 2 L JAVA % | 3 P Python % | 5 P PHP-CGM % </v>
      </c>
      <c r="AY49" s="4" t="str">
        <f ca="1">IFERROR(__xludf.DUMMYFUNCTION("""COMPUTED_VALUE"""),"| 2 P JAVA % | 3 L JAVA % | 4 L CPT % | 5 P Python % ")</f>
        <v xml:space="preserve">| 2 P JAVA % | 3 L JAVA % | 4 L CPT % | 5 P Python % </v>
      </c>
      <c r="AZ49" s="4" t="str">
        <f ca="1">IFERROR(__xludf.DUMMYFUNCTION("""COMPUTED_VALUE"""),"| 1 L INE @ | 3 L PHP-CGM @ | 4 L NS @ | 5 L PRO % ")</f>
        <v xml:space="preserve">| 1 L INE @ | 3 L PHP-CGM @ | 4 L NS @ | 5 L PRO % </v>
      </c>
      <c r="BA49" s="4" t="str">
        <f ca="1">IFERROR(__xludf.DUMMYFUNCTION("""COMPUTED_VALUE"""),"| 1 L CPT @ | 2 L NS % | 3 P JAVA % | 5 P CPT % ")</f>
        <v xml:space="preserve">| 1 L CPT @ | 2 L NS % | 3 P JAVA % | 5 P CPT % </v>
      </c>
      <c r="BB49" s="4" t="str">
        <f ca="1">IFERROR(__xludf.DUMMYFUNCTION("""COMPUTED_VALUE"""),"| 1 L PHP-CGM % | 2 L JAVA % | 3 P Python % | 5 P PHP-CGM % ")</f>
        <v xml:space="preserve">| 1 L PHP-CGM % | 2 L JAVA % | 3 P Python % | 5 P PHP-CGM % </v>
      </c>
      <c r="BC49" s="4" t="str">
        <f ca="1">IFERROR(__xludf.DUMMYFUNCTION("""COMPUTED_VALUE"""),"| 2 P JAVA % | 3 L JAVA % | 4 L CPT %  | 5 P Python % ")</f>
        <v xml:space="preserve">| 2 P JAVA % | 3 L JAVA % | 4 L CPT %  | 5 P Python % </v>
      </c>
      <c r="BD49" s="4" t="str">
        <f ca="1">IFERROR(__xludf.DUMMYFUNCTION("""COMPUTED_VALUE"""),"| 1 P NS % | 3 L NS % | 6 L CPT % | 5 L PHP-CGM % | 4 L JAVA % ")</f>
        <v xml:space="preserve">| 1 P NS % | 3 L NS % | 6 L CPT % | 5 L PHP-CGM % | 4 L JAVA % </v>
      </c>
      <c r="BE49" s="4" t="str">
        <f ca="1">IFERROR(__xludf.DUMMYFUNCTION("""COMPUTED_VALUE"""),"| 1 L INE @ | 3 L PHP-CGM % | 4 L NS % | 5 L PRO % ")</f>
        <v xml:space="preserve">| 1 L INE @ | 3 L PHP-CGM % | 4 L NS % | 5 L PRO % </v>
      </c>
      <c r="BF49" s="4" t="str">
        <f ca="1">IFERROR(__xludf.DUMMYFUNCTION("""COMPUTED_VALUE"""),"| 1 L CPT @ | 2 L NS @ | 3 P JAVA @ | 5 P CPT @ ")</f>
        <v xml:space="preserve">| 1 L CPT @ | 2 L NS @ | 3 P JAVA @ | 5 P CPT @ </v>
      </c>
      <c r="BG49" s="4" t="str">
        <f ca="1">IFERROR(__xludf.DUMMYFUNCTION("""COMPUTED_VALUE"""),"| 2 P JAVA % | 4 L CPT % | 5 P Python % ")</f>
        <v xml:space="preserve">| 2 P JAVA % | 4 L CPT % | 5 P Python % </v>
      </c>
      <c r="BH4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I49" s="4" t="str">
        <f ca="1">IFERROR(__xludf.DUMMYFUNCTION("""COMPUTED_VALUE"""),"| 1 L INE @ | 3 L PHP-CGM % | 4 L NS % | 5 L PRO % ")</f>
        <v xml:space="preserve">| 1 L INE @ | 3 L PHP-CGM % | 4 L NS % | 5 L PRO % </v>
      </c>
      <c r="BJ49" s="4" t="str">
        <f ca="1">IFERROR(__xludf.DUMMYFUNCTION("""COMPUTED_VALUE"""),"| 1 L CPT % | 2 L NS % | 3 P JAVA % | 5 P CPT % ")</f>
        <v xml:space="preserve">| 1 L CPT % | 2 L NS % | 3 P JAVA % | 5 P CPT % </v>
      </c>
      <c r="BK49" s="4" t="str">
        <f ca="1">IFERROR(__xludf.DUMMYFUNCTION("""COMPUTED_VALUE"""),"| 1 L PHP-CGM @ | 2 L JAVA @ | 3 P Python @ ")</f>
        <v xml:space="preserve">| 1 L PHP-CGM @ | 2 L JAVA @ | 3 P Python @ </v>
      </c>
      <c r="BL49" s="4" t="str">
        <f ca="1">IFERROR(__xludf.DUMMYFUNCTION("""COMPUTED_VALUE"""),"| 2 P JAVA % | 3 L JAVA % | 4 L CPT % | 5 P Python % ")</f>
        <v xml:space="preserve">| 2 P JAVA % | 3 L JAVA % | 4 L CPT % | 5 P Python % </v>
      </c>
      <c r="BM4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N49" s="4" t="str">
        <f ca="1">IFERROR(__xludf.DUMMYFUNCTION("""COMPUTED_VALUE"""),"| 1 L INE @ | 3 L PHP-CGM @ | 4 L NS @ | 5 L PRO @ ")</f>
        <v xml:space="preserve">| 1 L INE @ | 3 L PHP-CGM @ | 4 L NS @ | 5 L PRO @ </v>
      </c>
      <c r="BO49" s="4" t="str">
        <f ca="1">IFERROR(__xludf.DUMMYFUNCTION("""COMPUTED_VALUE"""),"| 1 L CPT @ | 2 L NS @ | 3 P JAVA @ ")</f>
        <v xml:space="preserve">| 1 L CPT @ | 2 L NS @ | 3 P JAVA @ </v>
      </c>
      <c r="BP49" s="4" t="str">
        <f ca="1">IFERROR(__xludf.DUMMYFUNCTION("""COMPUTED_VALUE"""),"| 1 L PHP-CGM % | 2 L JAVA % | 3 P Python % | 5 P PHP-CGM % ")</f>
        <v xml:space="preserve">| 1 L PHP-CGM % | 2 L JAVA % | 3 P Python % | 5 P PHP-CGM % </v>
      </c>
      <c r="BQ49" s="4" t="str">
        <f ca="1">IFERROR(__xludf.DUMMYFUNCTION("""COMPUTED_VALUE"""),"| 5 L PHP-CGM % | 6 L CPT % ")</f>
        <v xml:space="preserve">| 5 L PHP-CGM % | 6 L CPT % </v>
      </c>
      <c r="BR49" s="4"/>
      <c r="BS49" s="4"/>
      <c r="BT49" s="4" t="str">
        <f ca="1">IFERROR(__xludf.DUMMYFUNCTION("""COMPUTED_VALUE"""),"| 1 L PHP-CGM % | 2 L JAVA % ")</f>
        <v xml:space="preserve">| 1 L PHP-CGM % | 2 L JAVA % </v>
      </c>
      <c r="BU49" s="4" t="str">
        <f ca="1">IFERROR(__xludf.DUMMYFUNCTION("""COMPUTED_VALUE"""),"| 2 P JAVA % | 4 L CPT % | 3 L JAVA % ")</f>
        <v xml:space="preserve">| 2 P JAVA % | 4 L CPT % | 3 L JAVA % </v>
      </c>
      <c r="BV49" s="4" t="str">
        <f ca="1">IFERROR(__xludf.DUMMYFUNCTION("""COMPUTED_VALUE"""),"| 1 L PHP-CGM % | 2 L JAVA % | 3 P Python % | 5 P PHP-CGM % ")</f>
        <v xml:space="preserve">| 1 L PHP-CGM % | 2 L JAVA % | 3 P Python % | 5 P PHP-CGM % </v>
      </c>
      <c r="BW49" s="4" t="str">
        <f ca="1">IFERROR(__xludf.DUMMYFUNCTION("""COMPUTED_VALUE"""),"| 2 P JAVA % | 3 L JAVA % | 4 L CPT % ")</f>
        <v xml:space="preserve">| 2 P JAVA % | 3 L JAVA % | 4 L CPT % </v>
      </c>
      <c r="BX49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BY49" s="4" t="str">
        <f ca="1">IFERROR(__xludf.DUMMYFUNCTION("""COMPUTED_VALUE"""),"| 1 L INE @ | 3 L PHP-CGM % | 4 L NS % | 5 L PRO @ ")</f>
        <v xml:space="preserve">| 1 L INE @ | 3 L PHP-CGM % | 4 L NS % | 5 L PRO @ </v>
      </c>
      <c r="BZ49" s="4" t="str">
        <f ca="1">IFERROR(__xludf.DUMMYFUNCTION("""COMPUTED_VALUE"""),"| 1 L CPT % | 2 L NS % | 3 P JAVA % | 5 P CPT % ")</f>
        <v xml:space="preserve">| 1 L CPT % | 2 L NS % | 3 P JAVA % | 5 P CPT % </v>
      </c>
      <c r="CA49" s="4" t="str">
        <f ca="1">IFERROR(__xludf.DUMMYFUNCTION("""COMPUTED_VALUE"""),"| 1 L PHP-CGM % | 2 L JAVA % | 3 P Python % | 5 P PHP-CGM % ")</f>
        <v xml:space="preserve">| 1 L PHP-CGM % | 2 L JAVA % | 3 P Python % | 5 P PHP-CGM % </v>
      </c>
      <c r="CB49" s="4" t="str">
        <f ca="1">IFERROR(__xludf.DUMMYFUNCTION("""COMPUTED_VALUE"""),"| 2 P JAVA % | 3 L JAVA % | 4 L CPT % | 3 P Python % ")</f>
        <v xml:space="preserve">| 2 P JAVA % | 3 L JAVA % | 4 L CPT % | 3 P Python % </v>
      </c>
      <c r="CC49" s="4" t="str">
        <f ca="1">IFERROR(__xludf.DUMMYFUNCTION("""COMPUTED_VALUE"""),"| 1 P NS % | 3 L NS % | 4 L JAVA % | 5 L PHP-CGM @ | 6 L CPT @ ")</f>
        <v xml:space="preserve">| 1 P NS % | 3 L NS % | 4 L JAVA % | 5 L PHP-CGM @ | 6 L CPT @ </v>
      </c>
      <c r="CD49" s="4" t="str">
        <f ca="1">IFERROR(__xludf.DUMMYFUNCTION("""COMPUTED_VALUE"""),"| 1 L INE % | 3 L PHP-CGM % | 4 L NS @ | 5 L PRO % ")</f>
        <v xml:space="preserve">| 1 L INE % | 3 L PHP-CGM % | 4 L NS @ | 5 L PRO % </v>
      </c>
      <c r="CE49" s="4" t="str">
        <f ca="1">IFERROR(__xludf.DUMMYFUNCTION("""COMPUTED_VALUE"""),"| 1 L CPT % | 2 L NS % | 3 P JAVA % | 5 P CPT % ")</f>
        <v xml:space="preserve">| 1 L CPT % | 2 L NS % | 3 P JAVA % | 5 P CPT % </v>
      </c>
      <c r="CF49" s="4" t="str">
        <f ca="1">IFERROR(__xludf.DUMMYFUNCTION("""COMPUTED_VALUE"""),"| 1 L PHP-CGM % | 2 L JAVA @ | 3 P Python % | 5 P PHP-CGM % ")</f>
        <v xml:space="preserve">| 1 L PHP-CGM % | 2 L JAVA @ | 3 P Python % | 5 P PHP-CGM % </v>
      </c>
      <c r="CG49" s="4" t="str">
        <f ca="1">IFERROR(__xludf.DUMMYFUNCTION("""COMPUTED_VALUE"""),"| 2 P JAVA % | 4 L CPT % ")</f>
        <v xml:space="preserve">| 2 P JAVA % | 4 L CPT % </v>
      </c>
      <c r="CH49" s="4" t="str">
        <f ca="1">IFERROR(__xludf.DUMMYFUNCTION("""COMPUTED_VALUE"""),"| 1 P NS % | 3 L NS @ | 6 L CPT @ ")</f>
        <v xml:space="preserve">| 1 P NS % | 3 L NS @ | 6 L CPT @ </v>
      </c>
      <c r="CI49" s="4" t="str">
        <f ca="1">IFERROR(__xludf.DUMMYFUNCTION("""COMPUTED_VALUE"""),"| 1 L INE % ")</f>
        <v xml:space="preserve">| 1 L INE % </v>
      </c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</row>
    <row r="50" spans="1:102" ht="12.5" x14ac:dyDescent="0.25">
      <c r="A50" s="3">
        <f ca="1">IFERROR(__xludf.DUMMYFUNCTION("""COMPUTED_VALUE"""),3)</f>
        <v>3</v>
      </c>
      <c r="B50" s="3" t="str">
        <f ca="1">IFERROR(__xludf.DUMMYFUNCTION("""COMPUTED_VALUE"""),"A")</f>
        <v>A</v>
      </c>
      <c r="C50" s="32" t="str">
        <f ca="1">IFERROR(__xludf.DUMMYFUNCTION("""COMPUTED_VALUE"""),"23291341127")</f>
        <v>23291341127</v>
      </c>
      <c r="D50" s="21" t="str">
        <f ca="1">IFERROR(__xludf.DUMMYFUNCTION("""COMPUTED_VALUE"""),"PATEL VED MUKESHBHAI")</f>
        <v>PATEL VED MUKESHBHAI</v>
      </c>
      <c r="E50" s="3" t="str">
        <f ca="1">IFERROR(__xludf.DUMMYFUNCTION("""COMPUTED_VALUE"""),"RRP-Mor")</f>
        <v>RRP-Mor</v>
      </c>
      <c r="F50" s="3">
        <f ca="1">IFERROR(__xludf.DUMMYFUNCTION("""COMPUTED_VALUE"""),8488968682)</f>
        <v>8488968682</v>
      </c>
      <c r="G50" s="3">
        <f ca="1">IFERROR(__xludf.DUMMYFUNCTION("""COMPUTED_VALUE"""),9228853965)</f>
        <v>9228853965</v>
      </c>
      <c r="H50" s="33">
        <f ca="1">IFERROR(__xludf.DUMMYFUNCTION("""COMPUTED_VALUE"""),0.555555555555555)</f>
        <v>0.55555555555555503</v>
      </c>
      <c r="I50" s="25">
        <f ca="1">IFERROR(__xludf.DUMMYFUNCTION("""COMPUTED_VALUE"""),0.5)</f>
        <v>0.5</v>
      </c>
      <c r="J50" s="25">
        <f ca="1">IFERROR(__xludf.DUMMYFUNCTION("""COMPUTED_VALUE"""),0.692307692307692)</f>
        <v>0.69230769230769196</v>
      </c>
      <c r="K50" s="25">
        <f ca="1">IFERROR(__xludf.DUMMYFUNCTION("""COMPUTED_VALUE"""),0.647058823529411)</f>
        <v>0.64705882352941102</v>
      </c>
      <c r="L50" s="25">
        <f ca="1">IFERROR(__xludf.DUMMYFUNCTION("""COMPUTED_VALUE"""),0.727272727272727)</f>
        <v>0.72727272727272696</v>
      </c>
      <c r="M50" s="25">
        <f ca="1">IFERROR(__xludf.DUMMYFUNCTION("""COMPUTED_VALUE"""),0.611111111111111)</f>
        <v>0.61111111111111105</v>
      </c>
      <c r="N50" s="25">
        <f ca="1">IFERROR(__xludf.DUMMYFUNCTION("""COMPUTED_VALUE"""),0.538461538461538)</f>
        <v>0.53846153846153799</v>
      </c>
      <c r="O50" s="25">
        <f ca="1">IFERROR(__xludf.DUMMYFUNCTION("""COMPUTED_VALUE"""),0.727272727272727)</f>
        <v>0.72727272727272696</v>
      </c>
      <c r="P50" s="25">
        <f ca="1">IFERROR(__xludf.DUMMYFUNCTION("""COMPUTED_VALUE"""),0.571428571428571)</f>
        <v>0.57142857142857095</v>
      </c>
      <c r="Q50" s="25">
        <f ca="1">IFERROR(__xludf.DUMMYFUNCTION("""COMPUTED_VALUE"""),0)</f>
        <v>0</v>
      </c>
      <c r="R50" s="25">
        <f ca="1">IFERROR(__xludf.DUMMYFUNCTION("""COMPUTED_VALUE"""),0.347826086956521)</f>
        <v>0.34782608695652101</v>
      </c>
      <c r="S50" s="25">
        <f ca="1">IFERROR(__xludf.DUMMYFUNCTION("""COMPUTED_VALUE"""),0.3)</f>
        <v>0.3</v>
      </c>
      <c r="T50" s="25">
        <f ca="1">IFERROR(__xludf.DUMMYFUNCTION("""COMPUTED_VALUE"""),0)</f>
        <v>0</v>
      </c>
      <c r="U50" s="25">
        <f ca="1">IFERROR(__xludf.DUMMYFUNCTION("""COMPUTED_VALUE"""),0.181818181818181)</f>
        <v>0.18181818181818099</v>
      </c>
      <c r="V50" s="25">
        <f ca="1">IFERROR(__xludf.DUMMYFUNCTION("""COMPUTED_VALUE"""),0)</f>
        <v>0</v>
      </c>
      <c r="W50" s="4"/>
      <c r="X50" s="4" t="str">
        <f ca="1">IFERROR(__xludf.DUMMYFUNCTION("""COMPUTED_VALUE"""),"| 1 L PHP-CGM @ | 3 P Python @ | 5 P PHP-CGM @ ")</f>
        <v xml:space="preserve">| 1 L PHP-CGM @ | 3 P Python @ | 5 P PHP-CGM @ </v>
      </c>
      <c r="Y50" s="4" t="str">
        <f ca="1">IFERROR(__xludf.DUMMYFUNCTION("""COMPUTED_VALUE"""),"| 1 P JAVA % | 3 L JAVA % | 4 L CPT % | 5 P Python % ")</f>
        <v xml:space="preserve">| 1 P JAVA % | 3 L JAVA % | 4 L CPT % | 5 P Python % </v>
      </c>
      <c r="Z50" s="4" t="str">
        <f ca="1">IFERROR(__xludf.DUMMYFUNCTION("""COMPUTED_VALUE"""),"| 1 P NS % | 3 L NS % | 4 L JAVA % | 5 L PHP-CGM % | 6 L CPT % ")</f>
        <v xml:space="preserve">| 1 P NS % | 3 L NS % | 4 L JAVA % | 5 L PHP-CGM % | 6 L CPT % </v>
      </c>
      <c r="AA50" s="4" t="str">
        <f ca="1">IFERROR(__xludf.DUMMYFUNCTION("""COMPUTED_VALUE"""),"| 3 L PHP-CGM % | 4 L NS % | 1 L INE % | 5 P PRO @ ")</f>
        <v xml:space="preserve">| 3 L PHP-CGM % | 4 L NS % | 1 L INE % | 5 P PRO @ </v>
      </c>
      <c r="AB50" s="4" t="str">
        <f ca="1">IFERROR(__xludf.DUMMYFUNCTION("""COMPUTED_VALUE"""),"| 1 L CPT % | 2 L NS % | 3 P JAVA % | 5 P CPT @ ")</f>
        <v xml:space="preserve">| 1 L CPT % | 2 L NS % | 3 P JAVA % | 5 P CPT @ </v>
      </c>
      <c r="AC50" s="4" t="str">
        <f ca="1">IFERROR(__xludf.DUMMYFUNCTION("""COMPUTED_VALUE"""),"| 1 L PHP-CGM % | 2 L JAVA % | 3 P PHP-CGM % | 5 P Python @ ")</f>
        <v xml:space="preserve">| 1 L PHP-CGM % | 2 L JAVA % | 3 P PHP-CGM % | 5 P Python @ </v>
      </c>
      <c r="AD50" s="4" t="str">
        <f ca="1">IFERROR(__xludf.DUMMYFUNCTION("""COMPUTED_VALUE"""),"| 1 P CPT % | 3 L JAVA % | 4 L CPT % | 5 P Python % ")</f>
        <v xml:space="preserve">| 1 P CPT % | 3 L JAVA % | 4 L CPT % | 5 P Python % </v>
      </c>
      <c r="AE50" s="4" t="str">
        <f ca="1">IFERROR(__xludf.DUMMYFUNCTION("""COMPUTED_VALUE"""),"| 1 P JAVA @ | 4 L JAVA @ | 3 L NS @ | 5 L PHP-CGM @ | 6 L CPT @ ")</f>
        <v xml:space="preserve">| 1 P JAVA @ | 4 L JAVA @ | 3 L NS @ | 5 L PHP-CGM @ | 6 L CPT @ </v>
      </c>
      <c r="AF50" s="4" t="str">
        <f ca="1">IFERROR(__xludf.DUMMYFUNCTION("""COMPUTED_VALUE"""),"| 3 L PHP-CGM % | 4 L NS % | 5 P PRO @ ")</f>
        <v xml:space="preserve">| 3 L PHP-CGM % | 4 L NS % | 5 P PRO @ </v>
      </c>
      <c r="AG50" s="4" t="str">
        <f ca="1">IFERROR(__xludf.DUMMYFUNCTION("""COMPUTED_VALUE"""),"| 1 L CPT % | 2 L NS % | 3 P NS % | 5 P JAVA @ ")</f>
        <v xml:space="preserve">| 1 L CPT % | 2 L NS % | 3 P NS % | 5 P JAVA @ </v>
      </c>
      <c r="AH50" s="4" t="str">
        <f ca="1">IFERROR(__xludf.DUMMYFUNCTION("""COMPUTED_VALUE"""),"| 3 L PHP-CGM % | 4 L NS % | 5 L PRO % ")</f>
        <v xml:space="preserve">| 3 L PHP-CGM % | 4 L NS % | 5 L PRO % </v>
      </c>
      <c r="AI50" s="4" t="str">
        <f ca="1">IFERROR(__xludf.DUMMYFUNCTION("""COMPUTED_VALUE"""),"| 1 L CPT % | 2 L NS % | 3 P NS % | 5 P JAVA @ ")</f>
        <v xml:space="preserve">| 1 L CPT % | 2 L NS % | 3 P NS % | 5 P JAVA @ </v>
      </c>
      <c r="AJ50" s="4" t="str">
        <f ca="1">IFERROR(__xludf.DUMMYFUNCTION("""COMPUTED_VALUE"""),"| 1 L PHP-CGM % | 2 L JAVA % | 3 P PHP-CGM % | 5 P Python % ")</f>
        <v xml:space="preserve">| 1 L PHP-CGM % | 2 L JAVA % | 3 P PHP-CGM % | 5 P Python % </v>
      </c>
      <c r="AK50" s="4" t="str">
        <f ca="1">IFERROR(__xludf.DUMMYFUNCTION("""COMPUTED_VALUE"""),"| 1 P CPT % | 3 L JAVA % | 4 L CPT % | 5 P Python @ ")</f>
        <v xml:space="preserve">| 1 P CPT % | 3 L JAVA % | 4 L CPT % | 5 P Python @ </v>
      </c>
      <c r="AL50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M50" s="4" t="str">
        <f ca="1">IFERROR(__xludf.DUMMYFUNCTION("""COMPUTED_VALUE"""),"| 1 L INE @ | 4 L NS % | 3 L PHP-CGM % | 5 L PRO % ")</f>
        <v xml:space="preserve">| 1 L INE @ | 4 L NS % | 3 L PHP-CGM % | 5 L PRO % </v>
      </c>
      <c r="AN50" s="4" t="str">
        <f ca="1">IFERROR(__xludf.DUMMYFUNCTION("""COMPUTED_VALUE"""),"| 1 L CPT % | 2 L NS % | 3 P NS % | 5 P JAVA % ")</f>
        <v xml:space="preserve">| 1 L CPT % | 2 L NS % | 3 P NS % | 5 P JAVA % </v>
      </c>
      <c r="AO50" s="4" t="str">
        <f ca="1">IFERROR(__xludf.DUMMYFUNCTION("""COMPUTED_VALUE"""),"| 1 L PHP-CGM % | 2 L JAVA % | 3 P PHP-CGM % | 5 P Python % ")</f>
        <v xml:space="preserve">| 1 L PHP-CGM % | 2 L JAVA % | 3 P PHP-CGM % | 5 P Python % </v>
      </c>
      <c r="AP50" s="4" t="str">
        <f ca="1">IFERROR(__xludf.DUMMYFUNCTION("""COMPUTED_VALUE"""),"| 1 P CPT % | 3 L JAVA % | 4 L CPT % | 5 P Python @ ")</f>
        <v xml:space="preserve">| 1 P CPT % | 3 L JAVA % | 4 L CPT % | 5 P Python @ </v>
      </c>
      <c r="AQ50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50" s="4" t="str">
        <f ca="1">IFERROR(__xludf.DUMMYFUNCTION("""COMPUTED_VALUE"""),"| 1 L INE @ | 3 L PHP-CGM @ | 4 L NS @ | 5 L PRO @ ")</f>
        <v xml:space="preserve">| 1 L INE @ | 3 L PHP-CGM @ | 4 L NS @ | 5 L PRO @ </v>
      </c>
      <c r="AS50" s="4" t="str">
        <f ca="1">IFERROR(__xludf.DUMMYFUNCTION("""COMPUTED_VALUE"""),"| 1 L PHP-CGM % | 2 L JAVA % | 3 P PHP-CGM % | 5 P Python @ ")</f>
        <v xml:space="preserve">| 1 L PHP-CGM % | 2 L JAVA % | 3 P PHP-CGM % | 5 P Python @ </v>
      </c>
      <c r="AT50" s="4" t="str">
        <f ca="1">IFERROR(__xludf.DUMMYFUNCTION("""COMPUTED_VALUE"""),"| 1 P CPT % | 3 L JAVA % | 4 L CPT % | 5 P Python @ ")</f>
        <v xml:space="preserve">| 1 P CPT % | 3 L JAVA % | 4 L CPT % | 5 P Python @ </v>
      </c>
      <c r="AU50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V50" s="4" t="str">
        <f ca="1">IFERROR(__xludf.DUMMYFUNCTION("""COMPUTED_VALUE"""),"| 1 L INE @ | 3 L PHP-CGM % | 4 L NS % | 7 L PRO @ ")</f>
        <v xml:space="preserve">| 1 L INE @ | 3 L PHP-CGM % | 4 L NS % | 7 L PRO @ </v>
      </c>
      <c r="AW50" s="4" t="str">
        <f ca="1">IFERROR(__xludf.DUMMYFUNCTION("""COMPUTED_VALUE"""),"| 1 L CPT % | 3 P NS @ | 2 L NS % | 5 P JAVA @ ")</f>
        <v xml:space="preserve">| 1 L CPT % | 3 P NS @ | 2 L NS % | 5 P JAVA @ </v>
      </c>
      <c r="AX50" s="4" t="str">
        <f ca="1">IFERROR(__xludf.DUMMYFUNCTION("""COMPUTED_VALUE"""),"| 1 L PHP-CGM % | 2 L JAVA % | 3 P PHP-CGM % | 5 P Python % ")</f>
        <v xml:space="preserve">| 1 L PHP-CGM % | 2 L JAVA % | 3 P PHP-CGM % | 5 P Python % </v>
      </c>
      <c r="AY50" s="4" t="str">
        <f ca="1">IFERROR(__xludf.DUMMYFUNCTION("""COMPUTED_VALUE"""),"| 1 P CPT % | 3 L JAVA % | 4 L CPT % | 5 P Python @ ")</f>
        <v xml:space="preserve">| 1 P CPT % | 3 L JAVA % | 4 L CPT % | 5 P Python @ </v>
      </c>
      <c r="AZ50" s="4" t="str">
        <f ca="1">IFERROR(__xludf.DUMMYFUNCTION("""COMPUTED_VALUE"""),"| 1 L INE @ | 3 L PHP-CGM @ | 4 L NS @ | 5 L PRO @ ")</f>
        <v xml:space="preserve">| 1 L INE @ | 3 L PHP-CGM @ | 4 L NS @ | 5 L PRO @ </v>
      </c>
      <c r="BA50" s="4" t="str">
        <f ca="1">IFERROR(__xludf.DUMMYFUNCTION("""COMPUTED_VALUE"""),"| 1 L CPT % | 2 L NS % | 3 P NS % | 5 P JAVA % ")</f>
        <v xml:space="preserve">| 1 L CPT % | 2 L NS % | 3 P NS % | 5 P JAVA % </v>
      </c>
      <c r="BB50" s="4" t="str">
        <f ca="1">IFERROR(__xludf.DUMMYFUNCTION("""COMPUTED_VALUE"""),"| 1 L PHP-CGM @ | 2 L JAVA @ | 3 P PHP-CGM @ | 5 P Python @ ")</f>
        <v xml:space="preserve">| 1 L PHP-CGM @ | 2 L JAVA @ | 3 P PHP-CGM @ | 5 P Python @ </v>
      </c>
      <c r="BC50" s="4" t="str">
        <f ca="1">IFERROR(__xludf.DUMMYFUNCTION("""COMPUTED_VALUE"""),"| 1 P CPT @ | 3 L JAVA @ | 4 L CPT @ | 5 P Python @ ")</f>
        <v xml:space="preserve">| 1 P CPT @ | 3 L JAVA @ | 4 L CPT @ | 5 P Python @ </v>
      </c>
      <c r="BD50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50" s="4" t="str">
        <f ca="1">IFERROR(__xludf.DUMMYFUNCTION("""COMPUTED_VALUE"""),"| 1 L INE @ | 3 L PHP-CGM % | 4 L NS % | 5 L PRO @ ")</f>
        <v xml:space="preserve">| 1 L INE @ | 3 L PHP-CGM % | 4 L NS % | 5 L PRO @ </v>
      </c>
      <c r="BF50" s="4" t="str">
        <f ca="1">IFERROR(__xludf.DUMMYFUNCTION("""COMPUTED_VALUE"""),"| 1 L CPT @ | 2 L NS @ | 3 P NS @ | 5 P JAVA @ ")</f>
        <v xml:space="preserve">| 1 L CPT @ | 2 L NS @ | 3 P NS @ | 5 P JAVA @ </v>
      </c>
      <c r="BG50" s="4" t="str">
        <f ca="1">IFERROR(__xludf.DUMMYFUNCTION("""COMPUTED_VALUE"""),"| 1 P CPT % | 4 L CPT @ | 5 P Python @ ")</f>
        <v xml:space="preserve">| 1 P CPT % | 4 L CPT @ | 5 P Python @ </v>
      </c>
      <c r="BH5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50" s="4" t="str">
        <f ca="1">IFERROR(__xludf.DUMMYFUNCTION("""COMPUTED_VALUE"""),"| 1 L INE @ | 3 L PHP-CGM % | 4 L NS % | 5 L PRO % ")</f>
        <v xml:space="preserve">| 1 L INE @ | 3 L PHP-CGM % | 4 L NS % | 5 L PRO % </v>
      </c>
      <c r="BJ50" s="4" t="str">
        <f ca="1">IFERROR(__xludf.DUMMYFUNCTION("""COMPUTED_VALUE"""),"| 1 L CPT % | 2 L NS % | 3 P NS % | 5 P JAVA @ ")</f>
        <v xml:space="preserve">| 1 L CPT % | 2 L NS % | 3 P NS % | 5 P JAVA @ </v>
      </c>
      <c r="BK50" s="4" t="str">
        <f ca="1">IFERROR(__xludf.DUMMYFUNCTION("""COMPUTED_VALUE"""),"| 1 L PHP-CGM % | 2 L JAVA % | 3 P PHP-CGM @ | 5 P Python @ ")</f>
        <v xml:space="preserve">| 1 L PHP-CGM % | 2 L JAVA % | 3 P PHP-CGM @ | 5 P Python @ </v>
      </c>
      <c r="BL50" s="4" t="str">
        <f ca="1">IFERROR(__xludf.DUMMYFUNCTION("""COMPUTED_VALUE"""),"| 1 P CPT @ | 3 L JAVA @ | 4 L CPT @ | 5 P Python @ ")</f>
        <v xml:space="preserve">| 1 P CPT @ | 3 L JAVA @ | 4 L CPT @ | 5 P Python @ </v>
      </c>
      <c r="BM50" s="4" t="str">
        <f ca="1">IFERROR(__xludf.DUMMYFUNCTION("""COMPUTED_VALUE"""),"| 1 P JAVA % | 3 L NS @ | 4 L JAVA % | 5 L PHP-CGM @ | 6 L CPT @ ")</f>
        <v xml:space="preserve">| 1 P JAVA % | 3 L NS @ | 4 L JAVA % | 5 L PHP-CGM @ | 6 L CPT @ </v>
      </c>
      <c r="BN50" s="4" t="str">
        <f ca="1">IFERROR(__xludf.DUMMYFUNCTION("""COMPUTED_VALUE"""),"| 1 L INE @ | 3 L PHP-CGM @ | 4 L NS @ | 5 L PRO @ ")</f>
        <v xml:space="preserve">| 1 L INE @ | 3 L PHP-CGM @ | 4 L NS @ | 5 L PRO @ </v>
      </c>
      <c r="BO50" s="4" t="str">
        <f ca="1">IFERROR(__xludf.DUMMYFUNCTION("""COMPUTED_VALUE"""),"| 1 L CPT @ | 2 L NS @ | 3 P NS @ ")</f>
        <v xml:space="preserve">| 1 L CPT @ | 2 L NS @ | 3 P NS @ </v>
      </c>
      <c r="BP50" s="4" t="str">
        <f ca="1">IFERROR(__xludf.DUMMYFUNCTION("""COMPUTED_VALUE"""),"| 1 L PHP-CGM % | 2 L JAVA % | 3 P PHP-CGM % | 5 P Python @ ")</f>
        <v xml:space="preserve">| 1 L PHP-CGM % | 2 L JAVA % | 3 P PHP-CGM % | 5 P Python @ </v>
      </c>
      <c r="BQ50" s="4" t="str">
        <f ca="1">IFERROR(__xludf.DUMMYFUNCTION("""COMPUTED_VALUE"""),"| 5 L PHP-CGM % | 6 L CPT @ ")</f>
        <v xml:space="preserve">| 5 L PHP-CGM % | 6 L CPT @ </v>
      </c>
      <c r="BR50" s="4"/>
      <c r="BS50" s="4"/>
      <c r="BT50" s="4" t="str">
        <f ca="1">IFERROR(__xludf.DUMMYFUNCTION("""COMPUTED_VALUE"""),"| 1 L PHP-CGM % | 2 L JAVA % | 3 P PHP-CGM @ ")</f>
        <v xml:space="preserve">| 1 L PHP-CGM % | 2 L JAVA % | 3 P PHP-CGM @ </v>
      </c>
      <c r="BU50" s="4" t="str">
        <f ca="1">IFERROR(__xludf.DUMMYFUNCTION("""COMPUTED_VALUE"""),"| 1 P CPT @ | 4 L CPT @ | 3 L JAVA @ ")</f>
        <v xml:space="preserve">| 1 P CPT @ | 4 L CPT @ | 3 L JAVA @ </v>
      </c>
      <c r="BV50" s="4" t="str">
        <f ca="1">IFERROR(__xludf.DUMMYFUNCTION("""COMPUTED_VALUE"""),"| 1 L PHP-CGM % | 2 L JAVA % | 3 P PHP-CGM @ | 5 P Python @ ")</f>
        <v xml:space="preserve">| 1 L PHP-CGM % | 2 L JAVA % | 3 P PHP-CGM @ | 5 P Python @ </v>
      </c>
      <c r="BW50" s="4" t="str">
        <f ca="1">IFERROR(__xludf.DUMMYFUNCTION("""COMPUTED_VALUE"""),"| 1 P CPT % | 3 L JAVA % | 4 L CPT % ")</f>
        <v xml:space="preserve">| 1 P CPT % | 3 L JAVA % | 4 L CPT % </v>
      </c>
      <c r="BX50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Y50" s="4" t="str">
        <f ca="1">IFERROR(__xludf.DUMMYFUNCTION("""COMPUTED_VALUE"""),"| 1 L INE @ | 3 L PHP-CGM % | 4 L NS % | 5 L PRO @ ")</f>
        <v xml:space="preserve">| 1 L INE @ | 3 L PHP-CGM % | 4 L NS % | 5 L PRO @ </v>
      </c>
      <c r="BZ50" s="4" t="str">
        <f ca="1">IFERROR(__xludf.DUMMYFUNCTION("""COMPUTED_VALUE"""),"| 1 L CPT % | 2 L NS % | 3 P NS % | 5 P JAVA @ ")</f>
        <v xml:space="preserve">| 1 L CPT % | 2 L NS % | 3 P NS % | 5 P JAVA @ </v>
      </c>
      <c r="CA50" s="4" t="str">
        <f ca="1">IFERROR(__xludf.DUMMYFUNCTION("""COMPUTED_VALUE"""),"| 1 L PHP-CGM % | 2 L JAVA % | 3 P PHP-CGM @ | 5 P Python % ")</f>
        <v xml:space="preserve">| 1 L PHP-CGM % | 2 L JAVA % | 3 P PHP-CGM @ | 5 P Python % </v>
      </c>
      <c r="CB50" s="4" t="str">
        <f ca="1">IFERROR(__xludf.DUMMYFUNCTION("""COMPUTED_VALUE"""),"| 1 P CPT % | 3 L JAVA @ | 4 L CPT @ | 5 P Python % ")</f>
        <v xml:space="preserve">| 1 P CPT % | 3 L JAVA @ | 4 L CPT @ | 5 P Python % </v>
      </c>
      <c r="CC50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CD50" s="4" t="str">
        <f ca="1">IFERROR(__xludf.DUMMYFUNCTION("""COMPUTED_VALUE"""),"| 1 L INE % | 3 L PHP-CGM @ | 4 L NS @ | 5 L PRO @ ")</f>
        <v xml:space="preserve">| 1 L INE % | 3 L PHP-CGM @ | 4 L NS @ | 5 L PRO @ </v>
      </c>
      <c r="CE50" s="4" t="str">
        <f ca="1">IFERROR(__xludf.DUMMYFUNCTION("""COMPUTED_VALUE"""),"| 1 L CPT @ | 2 L NS @ | 3 P NS % | 5 P JAVA @ ")</f>
        <v xml:space="preserve">| 1 L CPT @ | 2 L NS @ | 3 P NS % | 5 P JAVA @ </v>
      </c>
      <c r="CF50" s="4" t="str">
        <f ca="1">IFERROR(__xludf.DUMMYFUNCTION("""COMPUTED_VALUE"""),"| 1 L PHP-CGM @ | 2 L JAVA @ | 3 P PHP-CGM % | 5 P Python % ")</f>
        <v xml:space="preserve">| 1 L PHP-CGM @ | 2 L JAVA @ | 3 P PHP-CGM % | 5 P Python % </v>
      </c>
      <c r="CG50" s="4" t="str">
        <f ca="1">IFERROR(__xludf.DUMMYFUNCTION("""COMPUTED_VALUE"""),"| 1 P CPT % | 4 L CPT @ | 5 P Python @ ")</f>
        <v xml:space="preserve">| 1 P CPT % | 4 L CPT @ | 5 P Python @ </v>
      </c>
      <c r="CH50" s="4" t="str">
        <f ca="1">IFERROR(__xludf.DUMMYFUNCTION("""COMPUTED_VALUE"""),"| 1 P JAVA % | 3 L NS @ | 6 L CPT @ ")</f>
        <v xml:space="preserve">| 1 P JAVA % | 3 L NS @ | 6 L CPT @ </v>
      </c>
      <c r="CI50" s="4" t="str">
        <f ca="1">IFERROR(__xludf.DUMMYFUNCTION("""COMPUTED_VALUE"""),"| 1 L INE @ ")</f>
        <v xml:space="preserve">| 1 L INE @ </v>
      </c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</row>
    <row r="51" spans="1:102" ht="12.5" x14ac:dyDescent="0.25">
      <c r="A51" s="3">
        <f ca="1">IFERROR(__xludf.DUMMYFUNCTION("""COMPUTED_VALUE"""),3)</f>
        <v>3</v>
      </c>
      <c r="B51" s="3" t="str">
        <f ca="1">IFERROR(__xludf.DUMMYFUNCTION("""COMPUTED_VALUE"""),"A")</f>
        <v>A</v>
      </c>
      <c r="C51" s="32" t="str">
        <f ca="1">IFERROR(__xludf.DUMMYFUNCTION("""COMPUTED_VALUE"""),"23291341129")</f>
        <v>23291341129</v>
      </c>
      <c r="D51" s="21" t="str">
        <f ca="1">IFERROR(__xludf.DUMMYFUNCTION("""COMPUTED_VALUE"""),"PATEL YASHVI SURESHBHAI")</f>
        <v>PATEL YASHVI SURESHBHAI</v>
      </c>
      <c r="E51" s="3" t="str">
        <f ca="1">IFERROR(__xludf.DUMMYFUNCTION("""COMPUTED_VALUE"""),"RRP-Mor")</f>
        <v>RRP-Mor</v>
      </c>
      <c r="F51" s="3">
        <f ca="1">IFERROR(__xludf.DUMMYFUNCTION("""COMPUTED_VALUE"""),9510529270)</f>
        <v>9510529270</v>
      </c>
      <c r="G51" s="3">
        <f ca="1">IFERROR(__xludf.DUMMYFUNCTION("""COMPUTED_VALUE"""),9879591675)</f>
        <v>9879591675</v>
      </c>
      <c r="H51" s="33">
        <f ca="1">IFERROR(__xludf.DUMMYFUNCTION("""COMPUTED_VALUE"""),0.736625514403292)</f>
        <v>0.73662551440329205</v>
      </c>
      <c r="I51" s="25">
        <f ca="1">IFERROR(__xludf.DUMMYFUNCTION("""COMPUTED_VALUE"""),0.694444444444444)</f>
        <v>0.69444444444444398</v>
      </c>
      <c r="J51" s="25">
        <f ca="1">IFERROR(__xludf.DUMMYFUNCTION("""COMPUTED_VALUE"""),0.615384615384615)</f>
        <v>0.61538461538461497</v>
      </c>
      <c r="K51" s="25">
        <f ca="1">IFERROR(__xludf.DUMMYFUNCTION("""COMPUTED_VALUE"""),0.794117647058823)</f>
        <v>0.79411764705882304</v>
      </c>
      <c r="L51" s="25">
        <f ca="1">IFERROR(__xludf.DUMMYFUNCTION("""COMPUTED_VALUE"""),0.909090909090909)</f>
        <v>0.90909090909090895</v>
      </c>
      <c r="M51" s="25">
        <f ca="1">IFERROR(__xludf.DUMMYFUNCTION("""COMPUTED_VALUE"""),0.694444444444444)</f>
        <v>0.69444444444444398</v>
      </c>
      <c r="N51" s="25">
        <f ca="1">IFERROR(__xludf.DUMMYFUNCTION("""COMPUTED_VALUE"""),0.769230769230769)</f>
        <v>0.76923076923076905</v>
      </c>
      <c r="O51" s="25">
        <f ca="1">IFERROR(__xludf.DUMMYFUNCTION("""COMPUTED_VALUE"""),0.636363636363636)</f>
        <v>0.63636363636363602</v>
      </c>
      <c r="P51" s="25">
        <f ca="1">IFERROR(__xludf.DUMMYFUNCTION("""COMPUTED_VALUE"""),0.857142857142857)</f>
        <v>0.85714285714285698</v>
      </c>
      <c r="Q51" s="25">
        <f ca="1">IFERROR(__xludf.DUMMYFUNCTION("""COMPUTED_VALUE"""),0)</f>
        <v>0</v>
      </c>
      <c r="R51" s="25">
        <f ca="1">IFERROR(__xludf.DUMMYFUNCTION("""COMPUTED_VALUE"""),0.782608695652174)</f>
        <v>0.78260869565217395</v>
      </c>
      <c r="S51" s="25">
        <f ca="1">IFERROR(__xludf.DUMMYFUNCTION("""COMPUTED_VALUE"""),0.7)</f>
        <v>0.7</v>
      </c>
      <c r="T51" s="25">
        <f ca="1">IFERROR(__xludf.DUMMYFUNCTION("""COMPUTED_VALUE"""),1)</f>
        <v>1</v>
      </c>
      <c r="U51" s="25">
        <f ca="1">IFERROR(__xludf.DUMMYFUNCTION("""COMPUTED_VALUE"""),0.727272727272727)</f>
        <v>0.72727272727272696</v>
      </c>
      <c r="V51" s="25">
        <f ca="1">IFERROR(__xludf.DUMMYFUNCTION("""COMPUTED_VALUE"""),0)</f>
        <v>0</v>
      </c>
      <c r="W51" s="4"/>
      <c r="X51" s="4" t="str">
        <f ca="1">IFERROR(__xludf.DUMMYFUNCTION("""COMPUTED_VALUE"""),"| 1 L PHP-CGM % | 3 P PHP-CGM % | 5 P Python % ")</f>
        <v xml:space="preserve">| 1 L PHP-CGM % | 3 P PHP-CGM % | 5 P Python % </v>
      </c>
      <c r="Y51" s="4" t="str">
        <f ca="1">IFERROR(__xludf.DUMMYFUNCTION("""COMPUTED_VALUE"""),"| 1 P CPT % | 3 L JAVA % | 4 L CPT % | 5 P Python % ")</f>
        <v xml:space="preserve">| 1 P CPT % | 3 L JAVA % | 4 L CPT % | 5 P Python % </v>
      </c>
      <c r="Z5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51" s="4" t="str">
        <f ca="1">IFERROR(__xludf.DUMMYFUNCTION("""COMPUTED_VALUE"""),"| 3 L PHP-CGM % | 4 L NS % | 1 L INE % | 5 P PRO % ")</f>
        <v xml:space="preserve">| 3 L PHP-CGM % | 4 L NS % | 1 L INE % | 5 P PRO % </v>
      </c>
      <c r="AB51" s="4" t="str">
        <f ca="1">IFERROR(__xludf.DUMMYFUNCTION("""COMPUTED_VALUE"""),"| 1 L CPT % | 2 L NS % | 3 P NS % | 5 P JAVA % ")</f>
        <v xml:space="preserve">| 1 L CPT % | 2 L NS % | 3 P NS % | 5 P JAVA % </v>
      </c>
      <c r="AC51" s="4" t="str">
        <f ca="1">IFERROR(__xludf.DUMMYFUNCTION("""COMPUTED_VALUE"""),"| 1 L PHP-CGM % | 2 L JAVA % | 3 P PHP-CGM % | 5 P Python % ")</f>
        <v xml:space="preserve">| 1 L PHP-CGM % | 2 L JAVA % | 3 P PHP-CGM % | 5 P Python % </v>
      </c>
      <c r="AD51" s="4" t="str">
        <f ca="1">IFERROR(__xludf.DUMMYFUNCTION("""COMPUTED_VALUE"""),"| 1 P CPT % | 3 L JAVA % | 4 L CPT % | 5 P Python % ")</f>
        <v xml:space="preserve">| 1 P CPT % | 3 L JAVA % | 4 L CPT % | 5 P Python % </v>
      </c>
      <c r="AE51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51" s="4" t="str">
        <f ca="1">IFERROR(__xludf.DUMMYFUNCTION("""COMPUTED_VALUE"""),"| 3 L PHP-CGM @ | 4 L NS % | 5 P PRO % ")</f>
        <v xml:space="preserve">| 3 L PHP-CGM @ | 4 L NS % | 5 P PRO % </v>
      </c>
      <c r="AG51" s="4" t="str">
        <f ca="1">IFERROR(__xludf.DUMMYFUNCTION("""COMPUTED_VALUE"""),"| 1 L CPT % | 2 L NS % | 3 P NS % | 5 P JAVA % ")</f>
        <v xml:space="preserve">| 1 L CPT % | 2 L NS % | 3 P NS % | 5 P JAVA % </v>
      </c>
      <c r="AH51" s="4" t="str">
        <f ca="1">IFERROR(__xludf.DUMMYFUNCTION("""COMPUTED_VALUE"""),"| 3 L PHP-CGM @ | 4 L NS @ | 5 L PRO @ ")</f>
        <v xml:space="preserve">| 3 L PHP-CGM @ | 4 L NS @ | 5 L PRO @ </v>
      </c>
      <c r="AI51" s="4" t="str">
        <f ca="1">IFERROR(__xludf.DUMMYFUNCTION("""COMPUTED_VALUE"""),"| 1 L CPT % | 2 L NS % | 3 P NS % | 5 P JAVA % ")</f>
        <v xml:space="preserve">| 1 L CPT % | 2 L NS % | 3 P NS % | 5 P JAVA % </v>
      </c>
      <c r="AJ51" s="4" t="str">
        <f ca="1">IFERROR(__xludf.DUMMYFUNCTION("""COMPUTED_VALUE"""),"| 1 L PHP-CGM % | 2 L JAVA % | 3 P PHP-CGM % | 5 P Python % ")</f>
        <v xml:space="preserve">| 1 L PHP-CGM % | 2 L JAVA % | 3 P PHP-CGM % | 5 P Python % </v>
      </c>
      <c r="AK51" s="4" t="str">
        <f ca="1">IFERROR(__xludf.DUMMYFUNCTION("""COMPUTED_VALUE"""),"| 1 P CPT % | 3 L JAVA % | 4 L CPT % | 5 P Python % ")</f>
        <v xml:space="preserve">| 1 P CPT % | 3 L JAVA % | 4 L CPT % | 5 P Python % </v>
      </c>
      <c r="AL5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51" s="4" t="str">
        <f ca="1">IFERROR(__xludf.DUMMYFUNCTION("""COMPUTED_VALUE"""),"| 1 L INE % | 4 L NS % | 3 L PHP-CGM % | 5 L PRO % ")</f>
        <v xml:space="preserve">| 1 L INE % | 4 L NS % | 3 L PHP-CGM % | 5 L PRO % </v>
      </c>
      <c r="AN51" s="4" t="str">
        <f ca="1">IFERROR(__xludf.DUMMYFUNCTION("""COMPUTED_VALUE"""),"| 1 L CPT % | 2 L NS % | 3 P NS % | 5 P JAVA % ")</f>
        <v xml:space="preserve">| 1 L CPT % | 2 L NS % | 3 P NS % | 5 P JAVA % </v>
      </c>
      <c r="AO51" s="4" t="str">
        <f ca="1">IFERROR(__xludf.DUMMYFUNCTION("""COMPUTED_VALUE"""),"| 1 L PHP-CGM % | 2 L JAVA % | 3 P PHP-CGM % | 5 P Python % ")</f>
        <v xml:space="preserve">| 1 L PHP-CGM % | 2 L JAVA % | 3 P PHP-CGM % | 5 P Python % </v>
      </c>
      <c r="AP51" s="4" t="str">
        <f ca="1">IFERROR(__xludf.DUMMYFUNCTION("""COMPUTED_VALUE"""),"| 1 P CPT % | 3 L JAVA % | 4 L CPT % | 5 P Python % ")</f>
        <v xml:space="preserve">| 1 P CPT % | 3 L JAVA % | 4 L CPT % | 5 P Python % </v>
      </c>
      <c r="AQ51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51" s="4" t="str">
        <f ca="1">IFERROR(__xludf.DUMMYFUNCTION("""COMPUTED_VALUE"""),"| 1 L INE @ | 3 L PHP-CGM @ | 4 L NS @ | 5 L PRO @ ")</f>
        <v xml:space="preserve">| 1 L INE @ | 3 L PHP-CGM @ | 4 L NS @ | 5 L PRO @ </v>
      </c>
      <c r="AS51" s="4" t="str">
        <f ca="1">IFERROR(__xludf.DUMMYFUNCTION("""COMPUTED_VALUE"""),"| 1 L PHP-CGM % | 2 L JAVA % | 3 P PHP-CGM % | 5 P Python % ")</f>
        <v xml:space="preserve">| 1 L PHP-CGM % | 2 L JAVA % | 3 P PHP-CGM % | 5 P Python % </v>
      </c>
      <c r="AT51" s="4" t="str">
        <f ca="1">IFERROR(__xludf.DUMMYFUNCTION("""COMPUTED_VALUE"""),"| 1 P CPT % | 3 L JAVA % | 4 L CPT % | 5 P Python % ")</f>
        <v xml:space="preserve">| 1 P CPT % | 3 L JAVA % | 4 L CPT % | 5 P Python % </v>
      </c>
      <c r="AU5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51" s="4" t="str">
        <f ca="1">IFERROR(__xludf.DUMMYFUNCTION("""COMPUTED_VALUE"""),"| 1 L INE % | 3 L PHP-CGM % | 4 L NS % | 7 L PRO % ")</f>
        <v xml:space="preserve">| 1 L INE % | 3 L PHP-CGM % | 4 L NS % | 7 L PRO % </v>
      </c>
      <c r="AW51" s="4" t="str">
        <f ca="1">IFERROR(__xludf.DUMMYFUNCTION("""COMPUTED_VALUE"""),"| 1 L CPT % | 3 P NS % | 2 L NS % | 5 P JAVA % ")</f>
        <v xml:space="preserve">| 1 L CPT % | 3 P NS % | 2 L NS % | 5 P JAVA % </v>
      </c>
      <c r="AX51" s="4" t="str">
        <f ca="1">IFERROR(__xludf.DUMMYFUNCTION("""COMPUTED_VALUE"""),"| 1 L PHP-CGM % | 2 L JAVA % | 3 P PHP-CGM % | 5 P Python % ")</f>
        <v xml:space="preserve">| 1 L PHP-CGM % | 2 L JAVA % | 3 P PHP-CGM % | 5 P Python % </v>
      </c>
      <c r="AY51" s="4" t="str">
        <f ca="1">IFERROR(__xludf.DUMMYFUNCTION("""COMPUTED_VALUE"""),"| 1 P CPT % | 3 L JAVA % | 4 L CPT % | 5 P Python % ")</f>
        <v xml:space="preserve">| 1 P CPT % | 3 L JAVA % | 4 L CPT % | 5 P Python % </v>
      </c>
      <c r="AZ51" s="4" t="str">
        <f ca="1">IFERROR(__xludf.DUMMYFUNCTION("""COMPUTED_VALUE"""),"| 1 L INE % | 3 L PHP-CGM % | 4 L NS % | 5 L PRO % ")</f>
        <v xml:space="preserve">| 1 L INE % | 3 L PHP-CGM % | 4 L NS % | 5 L PRO % </v>
      </c>
      <c r="BA51" s="4" t="str">
        <f ca="1">IFERROR(__xludf.DUMMYFUNCTION("""COMPUTED_VALUE"""),"| 1 L CPT % | 2 L NS % | 3 P NS % | 5 P JAVA % ")</f>
        <v xml:space="preserve">| 1 L CPT % | 2 L NS % | 3 P NS % | 5 P JAVA % </v>
      </c>
      <c r="BB51" s="4" t="str">
        <f ca="1">IFERROR(__xludf.DUMMYFUNCTION("""COMPUTED_VALUE"""),"| 1 L PHP-CGM % | 2 L JAVA % | 3 P PHP-CGM % | 5 P Python % ")</f>
        <v xml:space="preserve">| 1 L PHP-CGM % | 2 L JAVA % | 3 P PHP-CGM % | 5 P Python % </v>
      </c>
      <c r="BC51" s="4" t="str">
        <f ca="1">IFERROR(__xludf.DUMMYFUNCTION("""COMPUTED_VALUE"""),"| 1 P CPT @ | 3 L JAVA @ | 4 L CPT @ | 5 P Python % ")</f>
        <v xml:space="preserve">| 1 P CPT @ | 3 L JAVA @ | 4 L CPT @ | 5 P Python % </v>
      </c>
      <c r="BD51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51" s="4" t="str">
        <f ca="1">IFERROR(__xludf.DUMMYFUNCTION("""COMPUTED_VALUE"""),"| 1 L INE % | 3 L PHP-CGM % | 4 L NS % | 5 L PRO % ")</f>
        <v xml:space="preserve">| 1 L INE % | 3 L PHP-CGM % | 4 L NS % | 5 L PRO % </v>
      </c>
      <c r="BF51" s="4" t="str">
        <f ca="1">IFERROR(__xludf.DUMMYFUNCTION("""COMPUTED_VALUE"""),"| 1 L CPT % | 2 L NS % | 3 P NS % | 5 P JAVA % ")</f>
        <v xml:space="preserve">| 1 L CPT % | 2 L NS % | 3 P NS % | 5 P JAVA % </v>
      </c>
      <c r="BG51" s="4" t="str">
        <f ca="1">IFERROR(__xludf.DUMMYFUNCTION("""COMPUTED_VALUE"""),"| 1 P CPT % | 4 L CPT % | 5 P Python % ")</f>
        <v xml:space="preserve">| 1 P CPT % | 4 L CPT % | 5 P Python % </v>
      </c>
      <c r="BH5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51" s="4" t="str">
        <f ca="1">IFERROR(__xludf.DUMMYFUNCTION("""COMPUTED_VALUE"""),"| 1 L INE % | 3 L PHP-CGM % | 4 L NS % | 5 L PRO % ")</f>
        <v xml:space="preserve">| 1 L INE % | 3 L PHP-CGM % | 4 L NS % | 5 L PRO % </v>
      </c>
      <c r="BJ51" s="4" t="str">
        <f ca="1">IFERROR(__xludf.DUMMYFUNCTION("""COMPUTED_VALUE"""),"| 1 L CPT % | 2 L NS % | 3 P NS % | 5 P JAVA % ")</f>
        <v xml:space="preserve">| 1 L CPT % | 2 L NS % | 3 P NS % | 5 P JAVA % </v>
      </c>
      <c r="BK51" s="4" t="str">
        <f ca="1">IFERROR(__xludf.DUMMYFUNCTION("""COMPUTED_VALUE"""),"| 1 L PHP-CGM @ | 2 L JAVA @ | 3 P PHP-CGM @ | 5 P Python @ ")</f>
        <v xml:space="preserve">| 1 L PHP-CGM @ | 2 L JAVA @ | 3 P PHP-CGM @ | 5 P Python @ </v>
      </c>
      <c r="BL51" s="4" t="str">
        <f ca="1">IFERROR(__xludf.DUMMYFUNCTION("""COMPUTED_VALUE"""),"| 1 P CPT @ | 3 L JAVA @ | 4 L CPT @ | 5 P Python @ ")</f>
        <v xml:space="preserve">| 1 P CPT @ | 3 L JAVA @ | 4 L CPT @ | 5 P Python @ </v>
      </c>
      <c r="BM5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51" s="4" t="str">
        <f ca="1">IFERROR(__xludf.DUMMYFUNCTION("""COMPUTED_VALUE"""),"| 1 L INE % | 3 L PHP-CGM % | 4 L NS % | 5 L PRO % ")</f>
        <v xml:space="preserve">| 1 L INE % | 3 L PHP-CGM % | 4 L NS % | 5 L PRO % </v>
      </c>
      <c r="BO51" s="4" t="str">
        <f ca="1">IFERROR(__xludf.DUMMYFUNCTION("""COMPUTED_VALUE"""),"| 1 L CPT @ | 2 L NS @ | 3 P NS @ ")</f>
        <v xml:space="preserve">| 1 L CPT @ | 2 L NS @ | 3 P NS @ </v>
      </c>
      <c r="BP51" s="4" t="str">
        <f ca="1">IFERROR(__xludf.DUMMYFUNCTION("""COMPUTED_VALUE"""),"| 1 L PHP-CGM % | 2 L JAVA % | 3 P PHP-CGM % | 5 P Python % ")</f>
        <v xml:space="preserve">| 1 L PHP-CGM % | 2 L JAVA % | 3 P PHP-CGM % | 5 P Python % </v>
      </c>
      <c r="BQ51" s="4" t="str">
        <f ca="1">IFERROR(__xludf.DUMMYFUNCTION("""COMPUTED_VALUE"""),"| 5 L PHP-CGM % | 6 L CPT @ ")</f>
        <v xml:space="preserve">| 5 L PHP-CGM % | 6 L CPT @ </v>
      </c>
      <c r="BR51" s="4"/>
      <c r="BS51" s="4"/>
      <c r="BT51" s="4" t="str">
        <f ca="1">IFERROR(__xludf.DUMMYFUNCTION("""COMPUTED_VALUE"""),"| 1 L PHP-CGM @ | 2 L JAVA @ | 3 P PHP-CGM @ ")</f>
        <v xml:space="preserve">| 1 L PHP-CGM @ | 2 L JAVA @ | 3 P PHP-CGM @ </v>
      </c>
      <c r="BU51" s="4" t="str">
        <f ca="1">IFERROR(__xludf.DUMMYFUNCTION("""COMPUTED_VALUE"""),"| 1 P CPT @ | 4 L CPT @ | 3 L JAVA @ ")</f>
        <v xml:space="preserve">| 1 P CPT @ | 4 L CPT @ | 3 L JAVA @ </v>
      </c>
      <c r="BV51" s="4" t="str">
        <f ca="1">IFERROR(__xludf.DUMMYFUNCTION("""COMPUTED_VALUE"""),"| 1 L PHP-CGM @ | 2 L JAVA @ | 3 P PHP-CGM @ | 5 P Python @ ")</f>
        <v xml:space="preserve">| 1 L PHP-CGM @ | 2 L JAVA @ | 3 P PHP-CGM @ | 5 P Python @ </v>
      </c>
      <c r="BW51" s="4" t="str">
        <f ca="1">IFERROR(__xludf.DUMMYFUNCTION("""COMPUTED_VALUE"""),"| 1 P CPT @ | 3 L JAVA @ | 4 L CPT @ ")</f>
        <v xml:space="preserve">| 1 P CPT @ | 3 L JAVA @ | 4 L CPT @ </v>
      </c>
      <c r="BX51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51" s="4" t="str">
        <f ca="1">IFERROR(__xludf.DUMMYFUNCTION("""COMPUTED_VALUE"""),"| 1 L INE @ | 3 L PHP-CGM @ | 4 L NS @ | 5 L PRO @ ")</f>
        <v xml:space="preserve">| 1 L INE @ | 3 L PHP-CGM @ | 4 L NS @ | 5 L PRO @ </v>
      </c>
      <c r="BZ51" s="4" t="str">
        <f ca="1">IFERROR(__xludf.DUMMYFUNCTION("""COMPUTED_VALUE"""),"| 1 L CPT % | 2 L NS % | 3 P NS % | 5 P JAVA % ")</f>
        <v xml:space="preserve">| 1 L CPT % | 2 L NS % | 3 P NS % | 5 P JAVA % </v>
      </c>
      <c r="CA51" s="4" t="str">
        <f ca="1">IFERROR(__xludf.DUMMYFUNCTION("""COMPUTED_VALUE"""),"| 1 L PHP-CGM % | 2 L JAVA % | 3 P PHP-CGM % | 5 P Python % ")</f>
        <v xml:space="preserve">| 1 L PHP-CGM % | 2 L JAVA % | 3 P PHP-CGM % | 5 P Python % </v>
      </c>
      <c r="CB51" s="4" t="str">
        <f ca="1">IFERROR(__xludf.DUMMYFUNCTION("""COMPUTED_VALUE"""),"| 1 P CPT @ | 3 L JAVA @ | 4 L CPT @ | 5 P Python @ ")</f>
        <v xml:space="preserve">| 1 P CPT @ | 3 L JAVA @ | 4 L CPT @ | 5 P Python @ </v>
      </c>
      <c r="CC51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CD51" s="4" t="str">
        <f ca="1">IFERROR(__xludf.DUMMYFUNCTION("""COMPUTED_VALUE"""),"| 1 L INE % | 3 L PHP-CGM % | 4 L NS % | 5 L PRO % ")</f>
        <v xml:space="preserve">| 1 L INE % | 3 L PHP-CGM % | 4 L NS % | 5 L PRO % </v>
      </c>
      <c r="CE51" s="4" t="str">
        <f ca="1">IFERROR(__xludf.DUMMYFUNCTION("""COMPUTED_VALUE"""),"| 1 L CPT % | 2 L NS % | 3 P NS % | 5 P JAVA % ")</f>
        <v xml:space="preserve">| 1 L CPT % | 2 L NS % | 3 P NS % | 5 P JAVA % </v>
      </c>
      <c r="CF51" s="4" t="str">
        <f ca="1">IFERROR(__xludf.DUMMYFUNCTION("""COMPUTED_VALUE"""),"| 1 L PHP-CGM @ | 2 L JAVA @ | 3 P PHP-CGM % | 5 P Python % ")</f>
        <v xml:space="preserve">| 1 L PHP-CGM @ | 2 L JAVA @ | 3 P PHP-CGM % | 5 P Python % </v>
      </c>
      <c r="CG51" s="4" t="str">
        <f ca="1">IFERROR(__xludf.DUMMYFUNCTION("""COMPUTED_VALUE"""),"| 1 P CPT % | 4 L CPT % | 5 P Python @ ")</f>
        <v xml:space="preserve">| 1 P CPT % | 4 L CPT % | 5 P Python @ </v>
      </c>
      <c r="CH51" s="4" t="str">
        <f ca="1">IFERROR(__xludf.DUMMYFUNCTION("""COMPUTED_VALUE"""),"| 1 P JAVA % | 3 L NS % | 6 L CPT @ ")</f>
        <v xml:space="preserve">| 1 P JAVA % | 3 L NS % | 6 L CPT @ </v>
      </c>
      <c r="CI51" s="4" t="str">
        <f ca="1">IFERROR(__xludf.DUMMYFUNCTION("""COMPUTED_VALUE"""),"| 1 L INE @ ")</f>
        <v xml:space="preserve">| 1 L INE @ </v>
      </c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</row>
    <row r="52" spans="1:102" ht="12.5" x14ac:dyDescent="0.25">
      <c r="A52" s="3">
        <f ca="1">IFERROR(__xludf.DUMMYFUNCTION("""COMPUTED_VALUE"""),3)</f>
        <v>3</v>
      </c>
      <c r="B52" s="3" t="str">
        <f ca="1">IFERROR(__xludf.DUMMYFUNCTION("""COMPUTED_VALUE"""),"A")</f>
        <v>A</v>
      </c>
      <c r="C52" s="32" t="str">
        <f ca="1">IFERROR(__xludf.DUMMYFUNCTION("""COMPUTED_VALUE"""),"23291341130")</f>
        <v>23291341130</v>
      </c>
      <c r="D52" s="21" t="str">
        <f ca="1">IFERROR(__xludf.DUMMYFUNCTION("""COMPUTED_VALUE"""),"PATEL YOGI DINESHCHANDRA")</f>
        <v>PATEL YOGI DINESHCHANDRA</v>
      </c>
      <c r="E52" s="3" t="str">
        <f ca="1">IFERROR(__xludf.DUMMYFUNCTION("""COMPUTED_VALUE"""),"RRP-Mor")</f>
        <v>RRP-Mor</v>
      </c>
      <c r="F52" s="3">
        <f ca="1">IFERROR(__xludf.DUMMYFUNCTION("""COMPUTED_VALUE"""),9974383831)</f>
        <v>9974383831</v>
      </c>
      <c r="G52" s="3">
        <f ca="1">IFERROR(__xludf.DUMMYFUNCTION("""COMPUTED_VALUE"""),9427839888)</f>
        <v>9427839888</v>
      </c>
      <c r="H52" s="33">
        <f ca="1">IFERROR(__xludf.DUMMYFUNCTION("""COMPUTED_VALUE"""),0.765432098765432)</f>
        <v>0.76543209876543195</v>
      </c>
      <c r="I52" s="25">
        <f ca="1">IFERROR(__xludf.DUMMYFUNCTION("""COMPUTED_VALUE"""),0.722222222222222)</f>
        <v>0.72222222222222199</v>
      </c>
      <c r="J52" s="25">
        <f ca="1">IFERROR(__xludf.DUMMYFUNCTION("""COMPUTED_VALUE"""),0.923076923076923)</f>
        <v>0.92307692307692302</v>
      </c>
      <c r="K52" s="25">
        <f ca="1">IFERROR(__xludf.DUMMYFUNCTION("""COMPUTED_VALUE"""),0.735294117647058)</f>
        <v>0.73529411764705799</v>
      </c>
      <c r="L52" s="25">
        <f ca="1">IFERROR(__xludf.DUMMYFUNCTION("""COMPUTED_VALUE"""),0.636363636363636)</f>
        <v>0.63636363636363602</v>
      </c>
      <c r="M52" s="25">
        <f ca="1">IFERROR(__xludf.DUMMYFUNCTION("""COMPUTED_VALUE"""),0.777777777777777)</f>
        <v>0.77777777777777701</v>
      </c>
      <c r="N52" s="25">
        <f ca="1">IFERROR(__xludf.DUMMYFUNCTION("""COMPUTED_VALUE"""),0.846153846153846)</f>
        <v>0.84615384615384603</v>
      </c>
      <c r="O52" s="25">
        <f ca="1">IFERROR(__xludf.DUMMYFUNCTION("""COMPUTED_VALUE"""),0.909090909090909)</f>
        <v>0.90909090909090895</v>
      </c>
      <c r="P52" s="25">
        <f ca="1">IFERROR(__xludf.DUMMYFUNCTION("""COMPUTED_VALUE"""),0.809523809523809)</f>
        <v>0.80952380952380898</v>
      </c>
      <c r="Q52" s="25">
        <f ca="1">IFERROR(__xludf.DUMMYFUNCTION("""COMPUTED_VALUE"""),0)</f>
        <v>0</v>
      </c>
      <c r="R52" s="25">
        <f ca="1">IFERROR(__xludf.DUMMYFUNCTION("""COMPUTED_VALUE"""),0.826086956521739)</f>
        <v>0.82608695652173902</v>
      </c>
      <c r="S52" s="25">
        <f ca="1">IFERROR(__xludf.DUMMYFUNCTION("""COMPUTED_VALUE"""),0.5)</f>
        <v>0.5</v>
      </c>
      <c r="T52" s="25">
        <f ca="1">IFERROR(__xludf.DUMMYFUNCTION("""COMPUTED_VALUE"""),0.5)</f>
        <v>0.5</v>
      </c>
      <c r="U52" s="25">
        <f ca="1">IFERROR(__xludf.DUMMYFUNCTION("""COMPUTED_VALUE"""),0.454545454545454)</f>
        <v>0.45454545454545398</v>
      </c>
      <c r="V52" s="25">
        <f ca="1">IFERROR(__xludf.DUMMYFUNCTION("""COMPUTED_VALUE"""),0)</f>
        <v>0</v>
      </c>
      <c r="W52" s="4"/>
      <c r="X52" s="4" t="str">
        <f ca="1">IFERROR(__xludf.DUMMYFUNCTION("""COMPUTED_VALUE"""),"| 1 L PHP-CGM % | 3 P PHP-CGM % | 5 P Python % ")</f>
        <v xml:space="preserve">| 1 L PHP-CGM % | 3 P PHP-CGM % | 5 P Python % </v>
      </c>
      <c r="Y52" s="4" t="str">
        <f ca="1">IFERROR(__xludf.DUMMYFUNCTION("""COMPUTED_VALUE"""),"| 1 P CPT % | 3 L JAVA % | 4 L CPT % | 5 P Python % ")</f>
        <v xml:space="preserve">| 1 P CPT % | 3 L JAVA % | 4 L CPT % | 5 P Python % </v>
      </c>
      <c r="Z5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52" s="4" t="str">
        <f ca="1">IFERROR(__xludf.DUMMYFUNCTION("""COMPUTED_VALUE"""),"| 3 L PHP-CGM % | 4 L NS % | 1 L INE % | 5 P PRO % ")</f>
        <v xml:space="preserve">| 3 L PHP-CGM % | 4 L NS % | 1 L INE % | 5 P PRO % </v>
      </c>
      <c r="AB52" s="4" t="str">
        <f ca="1">IFERROR(__xludf.DUMMYFUNCTION("""COMPUTED_VALUE"""),"| 1 L CPT % | 2 L NS % | 3 P NS % | 5 P JAVA % ")</f>
        <v xml:space="preserve">| 1 L CPT % | 2 L NS % | 3 P NS % | 5 P JAVA % </v>
      </c>
      <c r="AC52" s="4" t="str">
        <f ca="1">IFERROR(__xludf.DUMMYFUNCTION("""COMPUTED_VALUE"""),"| 1 L PHP-CGM % | 2 L JAVA % | 3 P PHP-CGM % | 5 P Python % ")</f>
        <v xml:space="preserve">| 1 L PHP-CGM % | 2 L JAVA % | 3 P PHP-CGM % | 5 P Python % </v>
      </c>
      <c r="AD52" s="4" t="str">
        <f ca="1">IFERROR(__xludf.DUMMYFUNCTION("""COMPUTED_VALUE"""),"| 1 P CPT % | 3 L JAVA % | 4 L CPT % | 5 P Python % ")</f>
        <v xml:space="preserve">| 1 P CPT % | 3 L JAVA % | 4 L CPT % | 5 P Python % </v>
      </c>
      <c r="AE52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52" s="4" t="str">
        <f ca="1">IFERROR(__xludf.DUMMYFUNCTION("""COMPUTED_VALUE"""),"| 3 L PHP-CGM % | 4 L NS % | 5 P PRO @ ")</f>
        <v xml:space="preserve">| 3 L PHP-CGM % | 4 L NS % | 5 P PRO @ </v>
      </c>
      <c r="AG52" s="4" t="str">
        <f ca="1">IFERROR(__xludf.DUMMYFUNCTION("""COMPUTED_VALUE"""),"| 1 L CPT % | 2 L NS % | 3 P NS % | 5 P JAVA % ")</f>
        <v xml:space="preserve">| 1 L CPT % | 2 L NS % | 3 P NS % | 5 P JAVA % </v>
      </c>
      <c r="AH52" s="4" t="str">
        <f ca="1">IFERROR(__xludf.DUMMYFUNCTION("""COMPUTED_VALUE"""),"| 3 L PHP-CGM % | 4 L NS % | 5 L PRO % ")</f>
        <v xml:space="preserve">| 3 L PHP-CGM % | 4 L NS % | 5 L PRO % </v>
      </c>
      <c r="AI52" s="4" t="str">
        <f ca="1">IFERROR(__xludf.DUMMYFUNCTION("""COMPUTED_VALUE"""),"| 1 L CPT % | 2 L NS % | 3 P NS % | 5 P JAVA % ")</f>
        <v xml:space="preserve">| 1 L CPT % | 2 L NS % | 3 P NS % | 5 P JAVA % </v>
      </c>
      <c r="AJ52" s="4" t="str">
        <f ca="1">IFERROR(__xludf.DUMMYFUNCTION("""COMPUTED_VALUE"""),"| 1 L PHP-CGM % | 2 L JAVA % | 3 P PHP-CGM % | 5 P Python % ")</f>
        <v xml:space="preserve">| 1 L PHP-CGM % | 2 L JAVA % | 3 P PHP-CGM % | 5 P Python % </v>
      </c>
      <c r="AK52" s="4" t="str">
        <f ca="1">IFERROR(__xludf.DUMMYFUNCTION("""COMPUTED_VALUE"""),"| 1 P CPT % | 3 L JAVA % | 4 L CPT % | 5 P Python % ")</f>
        <v xml:space="preserve">| 1 P CPT % | 3 L JAVA % | 4 L CPT % | 5 P Python % </v>
      </c>
      <c r="AL5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52" s="4" t="str">
        <f ca="1">IFERROR(__xludf.DUMMYFUNCTION("""COMPUTED_VALUE"""),"| 1 L INE @ | 4 L NS % | 3 L PHP-CGM % | 5 L PRO % ")</f>
        <v xml:space="preserve">| 1 L INE @ | 4 L NS % | 3 L PHP-CGM % | 5 L PRO % </v>
      </c>
      <c r="AN52" s="4" t="str">
        <f ca="1">IFERROR(__xludf.DUMMYFUNCTION("""COMPUTED_VALUE"""),"| 1 L CPT % | 2 L NS % | 3 P NS % | 5 P JAVA % ")</f>
        <v xml:space="preserve">| 1 L CPT % | 2 L NS % | 3 P NS % | 5 P JAVA % </v>
      </c>
      <c r="AO52" s="4" t="str">
        <f ca="1">IFERROR(__xludf.DUMMYFUNCTION("""COMPUTED_VALUE"""),"| 1 L PHP-CGM % | 2 L JAVA % | 3 P PHP-CGM % | 5 P Python % ")</f>
        <v xml:space="preserve">| 1 L PHP-CGM % | 2 L JAVA % | 3 P PHP-CGM % | 5 P Python % </v>
      </c>
      <c r="AP52" s="4" t="str">
        <f ca="1">IFERROR(__xludf.DUMMYFUNCTION("""COMPUTED_VALUE"""),"| 1 P CPT % | 3 L JAVA % | 4 L CPT % | 5 P Python % ")</f>
        <v xml:space="preserve">| 1 P CPT % | 3 L JAVA % | 4 L CPT % | 5 P Python % </v>
      </c>
      <c r="AQ5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52" s="4" t="str">
        <f ca="1">IFERROR(__xludf.DUMMYFUNCTION("""COMPUTED_VALUE"""),"| 1 L INE @ | 3 L PHP-CGM @ | 4 L NS @ | 5 L PRO @ ")</f>
        <v xml:space="preserve">| 1 L INE @ | 3 L PHP-CGM @ | 4 L NS @ | 5 L PRO @ </v>
      </c>
      <c r="AS52" s="4" t="str">
        <f ca="1">IFERROR(__xludf.DUMMYFUNCTION("""COMPUTED_VALUE"""),"| 1 L PHP-CGM % | 2 L JAVA % | 3 P PHP-CGM % | 5 P Python % ")</f>
        <v xml:space="preserve">| 1 L PHP-CGM % | 2 L JAVA % | 3 P PHP-CGM % | 5 P Python % </v>
      </c>
      <c r="AT52" s="4" t="str">
        <f ca="1">IFERROR(__xludf.DUMMYFUNCTION("""COMPUTED_VALUE"""),"| 1 P CPT % | 3 L JAVA % | 4 L CPT % | 5 P Python % ")</f>
        <v xml:space="preserve">| 1 P CPT % | 3 L JAVA % | 4 L CPT % | 5 P Python % </v>
      </c>
      <c r="AU5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52" s="4" t="str">
        <f ca="1">IFERROR(__xludf.DUMMYFUNCTION("""COMPUTED_VALUE"""),"| 1 L INE % | 3 L PHP-CGM % | 4 L NS % | 7 L PRO % ")</f>
        <v xml:space="preserve">| 1 L INE % | 3 L PHP-CGM % | 4 L NS % | 7 L PRO % </v>
      </c>
      <c r="AW52" s="4" t="str">
        <f ca="1">IFERROR(__xludf.DUMMYFUNCTION("""COMPUTED_VALUE"""),"| 1 L CPT % | 3 P NS % | 2 L NS % | 5 P JAVA % ")</f>
        <v xml:space="preserve">| 1 L CPT % | 3 P NS % | 2 L NS % | 5 P JAVA % </v>
      </c>
      <c r="AX52" s="4" t="str">
        <f ca="1">IFERROR(__xludf.DUMMYFUNCTION("""COMPUTED_VALUE"""),"| 1 L PHP-CGM @ | 2 L JAVA @ | 3 P PHP-CGM @ | 5 P Python @ ")</f>
        <v xml:space="preserve">| 1 L PHP-CGM @ | 2 L JAVA @ | 3 P PHP-CGM @ | 5 P Python @ </v>
      </c>
      <c r="AY52" s="4" t="str">
        <f ca="1">IFERROR(__xludf.DUMMYFUNCTION("""COMPUTED_VALUE"""),"| 1 P CPT % | 3 L JAVA % | 4 L CPT % | 5 P Python % ")</f>
        <v xml:space="preserve">| 1 P CPT % | 3 L JAVA % | 4 L CPT % | 5 P Python % </v>
      </c>
      <c r="AZ52" s="4" t="str">
        <f ca="1">IFERROR(__xludf.DUMMYFUNCTION("""COMPUTED_VALUE"""),"| 1 L INE @ | 3 L PHP-CGM @ | 4 L NS @ | 5 L PRO @ ")</f>
        <v xml:space="preserve">| 1 L INE @ | 3 L PHP-CGM @ | 4 L NS @ | 5 L PRO @ </v>
      </c>
      <c r="BA52" s="4" t="str">
        <f ca="1">IFERROR(__xludf.DUMMYFUNCTION("""COMPUTED_VALUE"""),"| 1 L CPT @ | 2 L NS @ | 3 P NS @ | 5 P JAVA @ ")</f>
        <v xml:space="preserve">| 1 L CPT @ | 2 L NS @ | 3 P NS @ | 5 P JAVA @ </v>
      </c>
      <c r="BB52" s="4" t="str">
        <f ca="1">IFERROR(__xludf.DUMMYFUNCTION("""COMPUTED_VALUE"""),"| 1 L PHP-CGM % | 2 L JAVA % | 3 P PHP-CGM % | 5 P Python % ")</f>
        <v xml:space="preserve">| 1 L PHP-CGM % | 2 L JAVA % | 3 P PHP-CGM % | 5 P Python % </v>
      </c>
      <c r="BC52" s="4" t="str">
        <f ca="1">IFERROR(__xludf.DUMMYFUNCTION("""COMPUTED_VALUE"""),"| 1 P CPT % | 3 L JAVA % | 4 L CPT @ | 5 P Python % ")</f>
        <v xml:space="preserve">| 1 P CPT % | 3 L JAVA % | 4 L CPT @ | 5 P Python % </v>
      </c>
      <c r="BD52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52" s="4" t="str">
        <f ca="1">IFERROR(__xludf.DUMMYFUNCTION("""COMPUTED_VALUE"""),"| 1 L INE @ | 3 L PHP-CGM % | 4 L NS % | 5 L PRO % ")</f>
        <v xml:space="preserve">| 1 L INE @ | 3 L PHP-CGM % | 4 L NS % | 5 L PRO % </v>
      </c>
      <c r="BF52" s="4" t="str">
        <f ca="1">IFERROR(__xludf.DUMMYFUNCTION("""COMPUTED_VALUE"""),"| 1 L CPT @ | 2 L NS @ | 3 P NS @ | 5 P JAVA @ ")</f>
        <v xml:space="preserve">| 1 L CPT @ | 2 L NS @ | 3 P NS @ | 5 P JAVA @ </v>
      </c>
      <c r="BG52" s="4" t="str">
        <f ca="1">IFERROR(__xludf.DUMMYFUNCTION("""COMPUTED_VALUE"""),"| 1 P CPT @ | 4 L CPT @ | 5 P Python @ ")</f>
        <v xml:space="preserve">| 1 P CPT @ | 4 L CPT @ | 5 P Python @ </v>
      </c>
      <c r="BH52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I52" s="4" t="str">
        <f ca="1">IFERROR(__xludf.DUMMYFUNCTION("""COMPUTED_VALUE"""),"| 1 L INE @ | 3 L PHP-CGM @ | 4 L NS @ | 5 L PRO @ ")</f>
        <v xml:space="preserve">| 1 L INE @ | 3 L PHP-CGM @ | 4 L NS @ | 5 L PRO @ </v>
      </c>
      <c r="BJ52" s="4" t="str">
        <f ca="1">IFERROR(__xludf.DUMMYFUNCTION("""COMPUTED_VALUE"""),"| 1 L CPT @ | 2 L NS @ | 3 P NS @ | 5 P JAVA @ ")</f>
        <v xml:space="preserve">| 1 L CPT @ | 2 L NS @ | 3 P NS @ | 5 P JAVA @ </v>
      </c>
      <c r="BK52" s="4" t="str">
        <f ca="1">IFERROR(__xludf.DUMMYFUNCTION("""COMPUTED_VALUE"""),"| 1 L PHP-CGM @ | 2 L JAVA @ | 3 P PHP-CGM @ | 5 P Python @ ")</f>
        <v xml:space="preserve">| 1 L PHP-CGM @ | 2 L JAVA @ | 3 P PHP-CGM @ | 5 P Python @ </v>
      </c>
      <c r="BL52" s="4" t="str">
        <f ca="1">IFERROR(__xludf.DUMMYFUNCTION("""COMPUTED_VALUE"""),"| 1 P CPT % | 3 L JAVA % | 4 L CPT % | 5 P Python % ")</f>
        <v xml:space="preserve">| 1 P CPT % | 3 L JAVA % | 4 L CPT % | 5 P Python % </v>
      </c>
      <c r="BM5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52" s="4" t="str">
        <f ca="1">IFERROR(__xludf.DUMMYFUNCTION("""COMPUTED_VALUE"""),"| 1 L INE @ | 3 L PHP-CGM @ | 4 L NS @ | 5 L PRO @ ")</f>
        <v xml:space="preserve">| 1 L INE @ | 3 L PHP-CGM @ | 4 L NS @ | 5 L PRO @ </v>
      </c>
      <c r="BO52" s="4" t="str">
        <f ca="1">IFERROR(__xludf.DUMMYFUNCTION("""COMPUTED_VALUE"""),"| 1 L CPT @ | 2 L NS @ | 3 P NS @ ")</f>
        <v xml:space="preserve">| 1 L CPT @ | 2 L NS @ | 3 P NS @ </v>
      </c>
      <c r="BP52" s="4" t="str">
        <f ca="1">IFERROR(__xludf.DUMMYFUNCTION("""COMPUTED_VALUE"""),"| 1 L PHP-CGM % | 2 L JAVA % | 3 P PHP-CGM % | 5 P Python % ")</f>
        <v xml:space="preserve">| 1 L PHP-CGM % | 2 L JAVA % | 3 P PHP-CGM % | 5 P Python % </v>
      </c>
      <c r="BQ52" s="4" t="str">
        <f ca="1">IFERROR(__xludf.DUMMYFUNCTION("""COMPUTED_VALUE"""),"| 5 L PHP-CGM % | 6 L CPT @ ")</f>
        <v xml:space="preserve">| 5 L PHP-CGM % | 6 L CPT @ </v>
      </c>
      <c r="BR52" s="4"/>
      <c r="BS52" s="4"/>
      <c r="BT52" s="4" t="str">
        <f ca="1">IFERROR(__xludf.DUMMYFUNCTION("""COMPUTED_VALUE"""),"| 1 L PHP-CGM % | 2 L JAVA % | 3 P PHP-CGM % ")</f>
        <v xml:space="preserve">| 1 L PHP-CGM % | 2 L JAVA % | 3 P PHP-CGM % </v>
      </c>
      <c r="BU52" s="4" t="str">
        <f ca="1">IFERROR(__xludf.DUMMYFUNCTION("""COMPUTED_VALUE"""),"| 1 P CPT % | 4 L CPT % | 3 L JAVA % ")</f>
        <v xml:space="preserve">| 1 P CPT % | 4 L CPT % | 3 L JAVA % </v>
      </c>
      <c r="BV52" s="4" t="str">
        <f ca="1">IFERROR(__xludf.DUMMYFUNCTION("""COMPUTED_VALUE"""),"| 1 L PHP-CGM % | 2 L JAVA % | 3 P PHP-CGM % | 5 P Python % ")</f>
        <v xml:space="preserve">| 1 L PHP-CGM % | 2 L JAVA % | 3 P PHP-CGM % | 5 P Python % </v>
      </c>
      <c r="BW52" s="4" t="str">
        <f ca="1">IFERROR(__xludf.DUMMYFUNCTION("""COMPUTED_VALUE"""),"| 1 P CPT % | 3 L JAVA % | 4 L CPT % ")</f>
        <v xml:space="preserve">| 1 P CPT % | 3 L JAVA % | 4 L CPT % </v>
      </c>
      <c r="BX5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Y52" s="4" t="str">
        <f ca="1">IFERROR(__xludf.DUMMYFUNCTION("""COMPUTED_VALUE"""),"| 1 L INE % | 3 L PHP-CGM % | 4 L NS % | 5 L PRO @ ")</f>
        <v xml:space="preserve">| 1 L INE % | 3 L PHP-CGM % | 4 L NS % | 5 L PRO @ </v>
      </c>
      <c r="BZ52" s="4" t="str">
        <f ca="1">IFERROR(__xludf.DUMMYFUNCTION("""COMPUTED_VALUE"""),"| 1 L CPT % | 2 L NS % | 3 P NS % | 5 P JAVA % ")</f>
        <v xml:space="preserve">| 1 L CPT % | 2 L NS % | 3 P NS % | 5 P JAVA % </v>
      </c>
      <c r="CA52" s="4" t="str">
        <f ca="1">IFERROR(__xludf.DUMMYFUNCTION("""COMPUTED_VALUE"""),"| 1 L PHP-CGM % | 2 L JAVA % | 3 P PHP-CGM % | 5 P Python % ")</f>
        <v xml:space="preserve">| 1 L PHP-CGM % | 2 L JAVA % | 3 P PHP-CGM % | 5 P Python % </v>
      </c>
      <c r="CB52" s="4" t="str">
        <f ca="1">IFERROR(__xludf.DUMMYFUNCTION("""COMPUTED_VALUE"""),"| 1 P CPT % | 3 L JAVA % | 4 L CPT % | 5 P Python % ")</f>
        <v xml:space="preserve">| 1 P CPT % | 3 L JAVA % | 4 L CPT % | 5 P Python % </v>
      </c>
      <c r="CC52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52" s="4" t="str">
        <f ca="1">IFERROR(__xludf.DUMMYFUNCTION("""COMPUTED_VALUE"""),"| 1 L INE % | 3 L PHP-CGM % | 4 L NS % | 5 L PRO % ")</f>
        <v xml:space="preserve">| 1 L INE % | 3 L PHP-CGM % | 4 L NS % | 5 L PRO % </v>
      </c>
      <c r="CE52" s="4" t="str">
        <f ca="1">IFERROR(__xludf.DUMMYFUNCTION("""COMPUTED_VALUE"""),"| 1 L CPT % | 2 L NS % | 3 P NS % | 5 P JAVA % ")</f>
        <v xml:space="preserve">| 1 L CPT % | 2 L NS % | 3 P NS % | 5 P JAVA % </v>
      </c>
      <c r="CF52" s="4" t="str">
        <f ca="1">IFERROR(__xludf.DUMMYFUNCTION("""COMPUTED_VALUE"""),"| 1 L PHP-CGM % | 2 L JAVA % | 3 P PHP-CGM % | 5 P Python % ")</f>
        <v xml:space="preserve">| 1 L PHP-CGM % | 2 L JAVA % | 3 P PHP-CGM % | 5 P Python % </v>
      </c>
      <c r="CG52" s="4" t="str">
        <f ca="1">IFERROR(__xludf.DUMMYFUNCTION("""COMPUTED_VALUE"""),"| 1 P CPT % | 4 L CPT % | 5 P Python @ ")</f>
        <v xml:space="preserve">| 1 P CPT % | 4 L CPT % | 5 P Python @ </v>
      </c>
      <c r="CH52" s="4" t="str">
        <f ca="1">IFERROR(__xludf.DUMMYFUNCTION("""COMPUTED_VALUE"""),"| 1 P JAVA % | 3 L NS % | 6 L CPT @ ")</f>
        <v xml:space="preserve">| 1 P JAVA % | 3 L NS % | 6 L CPT @ </v>
      </c>
      <c r="CI52" s="4" t="str">
        <f ca="1">IFERROR(__xludf.DUMMYFUNCTION("""COMPUTED_VALUE"""),"| 1 L INE % ")</f>
        <v xml:space="preserve">| 1 L INE % </v>
      </c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</row>
    <row r="53" spans="1:102" ht="12.5" x14ac:dyDescent="0.25">
      <c r="A53" s="3">
        <f ca="1">IFERROR(__xludf.DUMMYFUNCTION("""COMPUTED_VALUE"""),3)</f>
        <v>3</v>
      </c>
      <c r="B53" s="3" t="str">
        <f ca="1">IFERROR(__xludf.DUMMYFUNCTION("""COMPUTED_VALUE"""),"A")</f>
        <v>A</v>
      </c>
      <c r="C53" s="32" t="str">
        <f ca="1">IFERROR(__xludf.DUMMYFUNCTION("""COMPUTED_VALUE"""),"23291341132")</f>
        <v>23291341132</v>
      </c>
      <c r="D53" s="21" t="str">
        <f ca="1">IFERROR(__xludf.DUMMYFUNCTION("""COMPUTED_VALUE"""),"PRAJAPATI DAKSH MUKESHBHAI")</f>
        <v>PRAJAPATI DAKSH MUKESHBHAI</v>
      </c>
      <c r="E53" s="3" t="str">
        <f ca="1">IFERROR(__xludf.DUMMYFUNCTION("""COMPUTED_VALUE"""),"RRP-Mor")</f>
        <v>RRP-Mor</v>
      </c>
      <c r="F53" s="3">
        <f ca="1">IFERROR(__xludf.DUMMYFUNCTION("""COMPUTED_VALUE"""),6351911493)</f>
        <v>6351911493</v>
      </c>
      <c r="G53" s="3">
        <f ca="1">IFERROR(__xludf.DUMMYFUNCTION("""COMPUTED_VALUE"""),9904035202)</f>
        <v>9904035202</v>
      </c>
      <c r="H53" s="33">
        <f ca="1">IFERROR(__xludf.DUMMYFUNCTION("""COMPUTED_VALUE"""),0.695473251028806)</f>
        <v>0.69547325102880597</v>
      </c>
      <c r="I53" s="25">
        <f ca="1">IFERROR(__xludf.DUMMYFUNCTION("""COMPUTED_VALUE"""),0.694444444444444)</f>
        <v>0.69444444444444398</v>
      </c>
      <c r="J53" s="25">
        <f ca="1">IFERROR(__xludf.DUMMYFUNCTION("""COMPUTED_VALUE"""),0.923076923076923)</f>
        <v>0.92307692307692302</v>
      </c>
      <c r="K53" s="25">
        <f ca="1">IFERROR(__xludf.DUMMYFUNCTION("""COMPUTED_VALUE"""),0.617647058823529)</f>
        <v>0.61764705882352899</v>
      </c>
      <c r="L53" s="25">
        <f ca="1">IFERROR(__xludf.DUMMYFUNCTION("""COMPUTED_VALUE"""),0.727272727272727)</f>
        <v>0.72727272727272696</v>
      </c>
      <c r="M53" s="25">
        <f ca="1">IFERROR(__xludf.DUMMYFUNCTION("""COMPUTED_VALUE"""),0.694444444444444)</f>
        <v>0.69444444444444398</v>
      </c>
      <c r="N53" s="25">
        <f ca="1">IFERROR(__xludf.DUMMYFUNCTION("""COMPUTED_VALUE"""),0.923076923076923)</f>
        <v>0.92307692307692302</v>
      </c>
      <c r="O53" s="25">
        <f ca="1">IFERROR(__xludf.DUMMYFUNCTION("""COMPUTED_VALUE"""),0.818181818181818)</f>
        <v>0.81818181818181801</v>
      </c>
      <c r="P53" s="25">
        <f ca="1">IFERROR(__xludf.DUMMYFUNCTION("""COMPUTED_VALUE"""),0.619047619047619)</f>
        <v>0.61904761904761896</v>
      </c>
      <c r="Q53" s="25">
        <f ca="1">IFERROR(__xludf.DUMMYFUNCTION("""COMPUTED_VALUE"""),0)</f>
        <v>0</v>
      </c>
      <c r="R53" s="25">
        <f ca="1">IFERROR(__xludf.DUMMYFUNCTION("""COMPUTED_VALUE"""),0.695652173913043)</f>
        <v>0.69565217391304301</v>
      </c>
      <c r="S53" s="25">
        <f ca="1">IFERROR(__xludf.DUMMYFUNCTION("""COMPUTED_VALUE"""),0.5)</f>
        <v>0.5</v>
      </c>
      <c r="T53" s="25">
        <f ca="1">IFERROR(__xludf.DUMMYFUNCTION("""COMPUTED_VALUE"""),1)</f>
        <v>1</v>
      </c>
      <c r="U53" s="25">
        <f ca="1">IFERROR(__xludf.DUMMYFUNCTION("""COMPUTED_VALUE"""),0.272727272727272)</f>
        <v>0.27272727272727199</v>
      </c>
      <c r="V53" s="25">
        <f ca="1">IFERROR(__xludf.DUMMYFUNCTION("""COMPUTED_VALUE"""),0)</f>
        <v>0</v>
      </c>
      <c r="W53" s="4"/>
      <c r="X53" s="4" t="str">
        <f ca="1">IFERROR(__xludf.DUMMYFUNCTION("""COMPUTED_VALUE"""),"| 1 L PHP-CGM % | 3 P PHP-CGM % | 5 P Python % ")</f>
        <v xml:space="preserve">| 1 L PHP-CGM % | 3 P PHP-CGM % | 5 P Python % </v>
      </c>
      <c r="Y53" s="4" t="str">
        <f ca="1">IFERROR(__xludf.DUMMYFUNCTION("""COMPUTED_VALUE"""),"| 1 P CPT % | 3 L JAVA % | 4 L CPT % | 5 P Python % ")</f>
        <v xml:space="preserve">| 1 P CPT % | 3 L JAVA % | 4 L CPT % | 5 P Python % </v>
      </c>
      <c r="Z5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53" s="4" t="str">
        <f ca="1">IFERROR(__xludf.DUMMYFUNCTION("""COMPUTED_VALUE"""),"| 3 L PHP-CGM % | 4 L NS % | 1 L INE % | 5 P PRO % ")</f>
        <v xml:space="preserve">| 3 L PHP-CGM % | 4 L NS % | 1 L INE % | 5 P PRO % </v>
      </c>
      <c r="AB53" s="4" t="str">
        <f ca="1">IFERROR(__xludf.DUMMYFUNCTION("""COMPUTED_VALUE"""),"| 1 L CPT % | 2 L NS % | 3 P NS % | 5 P JAVA @ ")</f>
        <v xml:space="preserve">| 1 L CPT % | 2 L NS % | 3 P NS % | 5 P JAVA @ </v>
      </c>
      <c r="AC53" s="4" t="str">
        <f ca="1">IFERROR(__xludf.DUMMYFUNCTION("""COMPUTED_VALUE"""),"| 1 L PHP-CGM % | 2 L JAVA % | 3 P PHP-CGM % | 5 P Python % ")</f>
        <v xml:space="preserve">| 1 L PHP-CGM % | 2 L JAVA % | 3 P PHP-CGM % | 5 P Python % </v>
      </c>
      <c r="AD53" s="4" t="str">
        <f ca="1">IFERROR(__xludf.DUMMYFUNCTION("""COMPUTED_VALUE"""),"| 1 P CPT % | 3 L JAVA % | 4 L CPT % | 5 P Python % ")</f>
        <v xml:space="preserve">| 1 P CPT % | 3 L JAVA % | 4 L CPT % | 5 P Python % </v>
      </c>
      <c r="AE53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53" s="4" t="str">
        <f ca="1">IFERROR(__xludf.DUMMYFUNCTION("""COMPUTED_VALUE"""),"| 3 L PHP-CGM % | 4 L NS % | 5 P PRO % ")</f>
        <v xml:space="preserve">| 3 L PHP-CGM % | 4 L NS % | 5 P PRO % </v>
      </c>
      <c r="AG53" s="4" t="str">
        <f ca="1">IFERROR(__xludf.DUMMYFUNCTION("""COMPUTED_VALUE"""),"| 1 L CPT % | 2 L NS % | 3 P NS % | 5 P JAVA % ")</f>
        <v xml:space="preserve">| 1 L CPT % | 2 L NS % | 3 P NS % | 5 P JAVA % </v>
      </c>
      <c r="AH53" s="4" t="str">
        <f ca="1">IFERROR(__xludf.DUMMYFUNCTION("""COMPUTED_VALUE"""),"| 3 L PHP-CGM @ | 4 L NS @ | 5 L PRO @ ")</f>
        <v xml:space="preserve">| 3 L PHP-CGM @ | 4 L NS @ | 5 L PRO @ </v>
      </c>
      <c r="AI53" s="4" t="str">
        <f ca="1">IFERROR(__xludf.DUMMYFUNCTION("""COMPUTED_VALUE"""),"| 1 L CPT @ | 2 L NS @ | 3 P NS @ | 5 P JAVA @ ")</f>
        <v xml:space="preserve">| 1 L CPT @ | 2 L NS @ | 3 P NS @ | 5 P JAVA @ </v>
      </c>
      <c r="AJ53" s="4" t="str">
        <f ca="1">IFERROR(__xludf.DUMMYFUNCTION("""COMPUTED_VALUE"""),"| 1 L PHP-CGM % | 2 L JAVA % | 3 P PHP-CGM % | 5 P Python @ ")</f>
        <v xml:space="preserve">| 1 L PHP-CGM % | 2 L JAVA % | 3 P PHP-CGM % | 5 P Python @ </v>
      </c>
      <c r="AK53" s="4" t="str">
        <f ca="1">IFERROR(__xludf.DUMMYFUNCTION("""COMPUTED_VALUE"""),"| 1 P CPT % | 3 L JAVA % | 4 L CPT % | 5 P Python % ")</f>
        <v xml:space="preserve">| 1 P CPT % | 3 L JAVA % | 4 L CPT % | 5 P Python % </v>
      </c>
      <c r="AL5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53" s="4" t="str">
        <f ca="1">IFERROR(__xludf.DUMMYFUNCTION("""COMPUTED_VALUE"""),"| 1 L INE @ | 4 L NS % | 3 L PHP-CGM % | 5 L PRO % ")</f>
        <v xml:space="preserve">| 1 L INE @ | 4 L NS % | 3 L PHP-CGM % | 5 L PRO % </v>
      </c>
      <c r="AN53" s="4" t="str">
        <f ca="1">IFERROR(__xludf.DUMMYFUNCTION("""COMPUTED_VALUE"""),"| 1 L CPT % | 2 L NS % | 3 P NS % | 5 P JAVA % ")</f>
        <v xml:space="preserve">| 1 L CPT % | 2 L NS % | 3 P NS % | 5 P JAVA % </v>
      </c>
      <c r="AO53" s="4" t="str">
        <f ca="1">IFERROR(__xludf.DUMMYFUNCTION("""COMPUTED_VALUE"""),"| 1 L PHP-CGM % | 2 L JAVA % | 3 P PHP-CGM % | 5 P Python @ ")</f>
        <v xml:space="preserve">| 1 L PHP-CGM % | 2 L JAVA % | 3 P PHP-CGM % | 5 P Python @ </v>
      </c>
      <c r="AP53" s="4" t="str">
        <f ca="1">IFERROR(__xludf.DUMMYFUNCTION("""COMPUTED_VALUE"""),"| 1 P CPT % | 3 L JAVA % | 4 L CPT % | 5 P Python % ")</f>
        <v xml:space="preserve">| 1 P CPT % | 3 L JAVA % | 4 L CPT % | 5 P Python % </v>
      </c>
      <c r="AQ53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53" s="4" t="str">
        <f ca="1">IFERROR(__xludf.DUMMYFUNCTION("""COMPUTED_VALUE"""),"| 1 L INE @ | 3 L PHP-CGM @ | 4 L NS @ | 5 L PRO @ ")</f>
        <v xml:space="preserve">| 1 L INE @ | 3 L PHP-CGM @ | 4 L NS @ | 5 L PRO @ </v>
      </c>
      <c r="AS53" s="4" t="str">
        <f ca="1">IFERROR(__xludf.DUMMYFUNCTION("""COMPUTED_VALUE"""),"| 1 L PHP-CGM @ | 2 L JAVA % | 3 P PHP-CGM % | 5 P Python % ")</f>
        <v xml:space="preserve">| 1 L PHP-CGM @ | 2 L JAVA % | 3 P PHP-CGM % | 5 P Python % </v>
      </c>
      <c r="AT53" s="4" t="str">
        <f ca="1">IFERROR(__xludf.DUMMYFUNCTION("""COMPUTED_VALUE"""),"| 1 P CPT % | 3 L JAVA % | 4 L CPT % | 5 P Python % ")</f>
        <v xml:space="preserve">| 1 P CPT % | 3 L JAVA % | 4 L CPT % | 5 P Python % </v>
      </c>
      <c r="AU53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V53" s="4" t="str">
        <f ca="1">IFERROR(__xludf.DUMMYFUNCTION("""COMPUTED_VALUE"""),"| 1 L INE % | 3 L PHP-CGM % | 4 L NS % | 7 L PRO % ")</f>
        <v xml:space="preserve">| 1 L INE % | 3 L PHP-CGM % | 4 L NS % | 7 L PRO % </v>
      </c>
      <c r="AW53" s="4" t="str">
        <f ca="1">IFERROR(__xludf.DUMMYFUNCTION("""COMPUTED_VALUE"""),"| 1 L CPT % | 3 P NS % | 2 L NS % | 5 P JAVA % ")</f>
        <v xml:space="preserve">| 1 L CPT % | 3 P NS % | 2 L NS % | 5 P JAVA % </v>
      </c>
      <c r="AX53" s="4" t="str">
        <f ca="1">IFERROR(__xludf.DUMMYFUNCTION("""COMPUTED_VALUE"""),"| 1 L PHP-CGM % | 2 L JAVA % | 3 P PHP-CGM % | 5 P Python % ")</f>
        <v xml:space="preserve">| 1 L PHP-CGM % | 2 L JAVA % | 3 P PHP-CGM % | 5 P Python % </v>
      </c>
      <c r="AY53" s="4" t="str">
        <f ca="1">IFERROR(__xludf.DUMMYFUNCTION("""COMPUTED_VALUE"""),"| 1 P CPT % | 3 L JAVA % | 4 L CPT % | 5 P Python % ")</f>
        <v xml:space="preserve">| 1 P CPT % | 3 L JAVA % | 4 L CPT % | 5 P Python % </v>
      </c>
      <c r="AZ53" s="4" t="str">
        <f ca="1">IFERROR(__xludf.DUMMYFUNCTION("""COMPUTED_VALUE"""),"| 1 L INE @ | 3 L PHP-CGM @ | 4 L NS @ | 5 L PRO @ ")</f>
        <v xml:space="preserve">| 1 L INE @ | 3 L PHP-CGM @ | 4 L NS @ | 5 L PRO @ </v>
      </c>
      <c r="BA53" s="4" t="str">
        <f ca="1">IFERROR(__xludf.DUMMYFUNCTION("""COMPUTED_VALUE"""),"| 1 L CPT % | 2 L NS % | 3 P NS % | 5 P JAVA % ")</f>
        <v xml:space="preserve">| 1 L CPT % | 2 L NS % | 3 P NS % | 5 P JAVA % </v>
      </c>
      <c r="BB53" s="4" t="str">
        <f ca="1">IFERROR(__xludf.DUMMYFUNCTION("""COMPUTED_VALUE"""),"| 1 L PHP-CGM % | 2 L JAVA % | 3 P PHP-CGM % | 5 P Python @ ")</f>
        <v xml:space="preserve">| 1 L PHP-CGM % | 2 L JAVA % | 3 P PHP-CGM % | 5 P Python @ </v>
      </c>
      <c r="BC53" s="4" t="str">
        <f ca="1">IFERROR(__xludf.DUMMYFUNCTION("""COMPUTED_VALUE"""),"| 1 P CPT % | 3 L JAVA % | 4 L CPT % | 5 P Python % ")</f>
        <v xml:space="preserve">| 1 P CPT % | 3 L JAVA % | 4 L CPT % | 5 P Python % </v>
      </c>
      <c r="BD53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53" s="4" t="str">
        <f ca="1">IFERROR(__xludf.DUMMYFUNCTION("""COMPUTED_VALUE"""),"| 1 L INE @ | 3 L PHP-CGM % | 4 L NS % | 5 L PRO % ")</f>
        <v xml:space="preserve">| 1 L INE @ | 3 L PHP-CGM % | 4 L NS % | 5 L PRO % </v>
      </c>
      <c r="BF53" s="4" t="str">
        <f ca="1">IFERROR(__xludf.DUMMYFUNCTION("""COMPUTED_VALUE"""),"| 1 L CPT @ | 2 L NS @ | 3 P NS @ | 5 P JAVA @ ")</f>
        <v xml:space="preserve">| 1 L CPT @ | 2 L NS @ | 3 P NS @ | 5 P JAVA @ </v>
      </c>
      <c r="BG53" s="4" t="str">
        <f ca="1">IFERROR(__xludf.DUMMYFUNCTION("""COMPUTED_VALUE"""),"| 1 P CPT % | 4 L CPT % | 5 P Python % ")</f>
        <v xml:space="preserve">| 1 P CPT % | 4 L CPT % | 5 P Python % </v>
      </c>
      <c r="BH5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53" s="4" t="str">
        <f ca="1">IFERROR(__xludf.DUMMYFUNCTION("""COMPUTED_VALUE"""),"| 1 L INE @ | 3 L PHP-CGM % | 4 L NS % | 5 L PRO % ")</f>
        <v xml:space="preserve">| 1 L INE @ | 3 L PHP-CGM % | 4 L NS % | 5 L PRO % </v>
      </c>
      <c r="BJ53" s="4" t="str">
        <f ca="1">IFERROR(__xludf.DUMMYFUNCTION("""COMPUTED_VALUE"""),"| 1 L CPT % | 2 L NS % | 3 P NS % | 5 P JAVA @ ")</f>
        <v xml:space="preserve">| 1 L CPT % | 2 L NS % | 3 P NS % | 5 P JAVA @ </v>
      </c>
      <c r="BK53" s="4" t="str">
        <f ca="1">IFERROR(__xludf.DUMMYFUNCTION("""COMPUTED_VALUE"""),"| 1 L PHP-CGM @ | 2 L JAVA @ | 3 P PHP-CGM @ | 5 P Python @ ")</f>
        <v xml:space="preserve">| 1 L PHP-CGM @ | 2 L JAVA @ | 3 P PHP-CGM @ | 5 P Python @ </v>
      </c>
      <c r="BL53" s="4" t="str">
        <f ca="1">IFERROR(__xludf.DUMMYFUNCTION("""COMPUTED_VALUE"""),"| 1 P CPT % | 3 L JAVA % | 4 L CPT % | 5 P Python @ ")</f>
        <v xml:space="preserve">| 1 P CPT % | 3 L JAVA % | 4 L CPT % | 5 P Python @ </v>
      </c>
      <c r="BM5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53" s="4" t="str">
        <f ca="1">IFERROR(__xludf.DUMMYFUNCTION("""COMPUTED_VALUE"""),"| 1 L INE @ | 3 L PHP-CGM @ | 4 L NS @ | 5 L PRO @ ")</f>
        <v xml:space="preserve">| 1 L INE @ | 3 L PHP-CGM @ | 4 L NS @ | 5 L PRO @ </v>
      </c>
      <c r="BO53" s="4" t="str">
        <f ca="1">IFERROR(__xludf.DUMMYFUNCTION("""COMPUTED_VALUE"""),"| 1 L CPT @ | 2 L NS @ | 3 P NS @ ")</f>
        <v xml:space="preserve">| 1 L CPT @ | 2 L NS @ | 3 P NS @ </v>
      </c>
      <c r="BP53" s="4" t="str">
        <f ca="1">IFERROR(__xludf.DUMMYFUNCTION("""COMPUTED_VALUE"""),"| 1 L PHP-CGM % | 2 L JAVA % | 3 P PHP-CGM % | 5 P Python % ")</f>
        <v xml:space="preserve">| 1 L PHP-CGM % | 2 L JAVA % | 3 P PHP-CGM % | 5 P Python % </v>
      </c>
      <c r="BQ53" s="4" t="str">
        <f ca="1">IFERROR(__xludf.DUMMYFUNCTION("""COMPUTED_VALUE"""),"| 5 L PHP-CGM % | 6 L CPT @ ")</f>
        <v xml:space="preserve">| 5 L PHP-CGM % | 6 L CPT @ </v>
      </c>
      <c r="BR53" s="4"/>
      <c r="BS53" s="4"/>
      <c r="BT53" s="4" t="str">
        <f ca="1">IFERROR(__xludf.DUMMYFUNCTION("""COMPUTED_VALUE"""),"| 1 L PHP-CGM % | 2 L JAVA % | 3 P PHP-CGM % ")</f>
        <v xml:space="preserve">| 1 L PHP-CGM % | 2 L JAVA % | 3 P PHP-CGM % </v>
      </c>
      <c r="BU53" s="4" t="str">
        <f ca="1">IFERROR(__xludf.DUMMYFUNCTION("""COMPUTED_VALUE"""),"| 1 P CPT % | 4 L CPT % | 3 L JAVA % ")</f>
        <v xml:space="preserve">| 1 P CPT % | 4 L CPT % | 3 L JAVA % </v>
      </c>
      <c r="BV53" s="4" t="str">
        <f ca="1">IFERROR(__xludf.DUMMYFUNCTION("""COMPUTED_VALUE"""),"| 1 L PHP-CGM % | 2 L JAVA % | 3 P PHP-CGM % | 5 P Python @ ")</f>
        <v xml:space="preserve">| 1 L PHP-CGM % | 2 L JAVA % | 3 P PHP-CGM % | 5 P Python @ </v>
      </c>
      <c r="BW53" s="4" t="str">
        <f ca="1">IFERROR(__xludf.DUMMYFUNCTION("""COMPUTED_VALUE"""),"| 1 P CPT @ | 3 L JAVA @ | 4 L CPT @ ")</f>
        <v xml:space="preserve">| 1 P CPT @ | 3 L JAVA @ | 4 L CPT @ </v>
      </c>
      <c r="BX53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53" s="4" t="str">
        <f ca="1">IFERROR(__xludf.DUMMYFUNCTION("""COMPUTED_VALUE"""),"| 1 L INE @ | 3 L PHP-CGM @ | 4 L NS @ | 5 L PRO @ ")</f>
        <v xml:space="preserve">| 1 L INE @ | 3 L PHP-CGM @ | 4 L NS @ | 5 L PRO @ </v>
      </c>
      <c r="BZ53" s="4" t="str">
        <f ca="1">IFERROR(__xludf.DUMMYFUNCTION("""COMPUTED_VALUE"""),"| 1 L CPT % | 2 L NS % | 3 P NS % | 5 P JAVA % ")</f>
        <v xml:space="preserve">| 1 L CPT % | 2 L NS % | 3 P NS % | 5 P JAVA % </v>
      </c>
      <c r="CA53" s="4" t="str">
        <f ca="1">IFERROR(__xludf.DUMMYFUNCTION("""COMPUTED_VALUE"""),"| 1 L PHP-CGM % | 2 L JAVA % | 3 P PHP-CGM % | 5 P Python % ")</f>
        <v xml:space="preserve">| 1 L PHP-CGM % | 2 L JAVA % | 3 P PHP-CGM % | 5 P Python % </v>
      </c>
      <c r="CB53" s="4" t="str">
        <f ca="1">IFERROR(__xludf.DUMMYFUNCTION("""COMPUTED_VALUE"""),"| 1 P CPT % | 3 L JAVA % | 4 L CPT % | 5 P Python % ")</f>
        <v xml:space="preserve">| 1 P CPT % | 3 L JAVA % | 4 L CPT % | 5 P Python % </v>
      </c>
      <c r="CC53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53" s="4" t="str">
        <f ca="1">IFERROR(__xludf.DUMMYFUNCTION("""COMPUTED_VALUE"""),"| 1 L INE % | 3 L PHP-CGM % | 4 L NS @ | 5 L PRO % ")</f>
        <v xml:space="preserve">| 1 L INE % | 3 L PHP-CGM % | 4 L NS @ | 5 L PRO % </v>
      </c>
      <c r="CE53" s="4" t="str">
        <f ca="1">IFERROR(__xludf.DUMMYFUNCTION("""COMPUTED_VALUE"""),"| 1 L CPT % | 2 L NS % | 3 P NS % | 5 P JAVA @ ")</f>
        <v xml:space="preserve">| 1 L CPT % | 2 L NS % | 3 P NS % | 5 P JAVA @ </v>
      </c>
      <c r="CF53" s="4" t="str">
        <f ca="1">IFERROR(__xludf.DUMMYFUNCTION("""COMPUTED_VALUE"""),"| 1 L PHP-CGM % | 2 L JAVA @ | 3 P PHP-CGM % | 5 P Python % ")</f>
        <v xml:space="preserve">| 1 L PHP-CGM % | 2 L JAVA @ | 3 P PHP-CGM % | 5 P Python % </v>
      </c>
      <c r="CG53" s="4" t="str">
        <f ca="1">IFERROR(__xludf.DUMMYFUNCTION("""COMPUTED_VALUE"""),"| 1 P CPT % | 4 L CPT @ | 5 P Python @ ")</f>
        <v xml:space="preserve">| 1 P CPT % | 4 L CPT @ | 5 P Python @ </v>
      </c>
      <c r="CH53" s="4" t="str">
        <f ca="1">IFERROR(__xludf.DUMMYFUNCTION("""COMPUTED_VALUE"""),"| 1 P JAVA % | 3 L NS @ | 6 L CPT @ ")</f>
        <v xml:space="preserve">| 1 P JAVA % | 3 L NS @ | 6 L CPT @ </v>
      </c>
      <c r="CI53" s="4" t="str">
        <f ca="1">IFERROR(__xludf.DUMMYFUNCTION("""COMPUTED_VALUE"""),"| 1 L INE @ ")</f>
        <v xml:space="preserve">| 1 L INE @ </v>
      </c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</row>
    <row r="54" spans="1:102" ht="12.5" x14ac:dyDescent="0.25">
      <c r="A54" s="3">
        <f ca="1">IFERROR(__xludf.DUMMYFUNCTION("""COMPUTED_VALUE"""),3)</f>
        <v>3</v>
      </c>
      <c r="B54" s="3" t="str">
        <f ca="1">IFERROR(__xludf.DUMMYFUNCTION("""COMPUTED_VALUE"""),"A")</f>
        <v>A</v>
      </c>
      <c r="C54" s="32" t="str">
        <f ca="1">IFERROR(__xludf.DUMMYFUNCTION("""COMPUTED_VALUE"""),"23291341135")</f>
        <v>23291341135</v>
      </c>
      <c r="D54" s="21" t="str">
        <f ca="1">IFERROR(__xludf.DUMMYFUNCTION("""COMPUTED_VALUE"""),"PRAJAPATI NENCY VISHNUBHAI")</f>
        <v>PRAJAPATI NENCY VISHNUBHAI</v>
      </c>
      <c r="E54" s="3" t="str">
        <f ca="1">IFERROR(__xludf.DUMMYFUNCTION("""COMPUTED_VALUE"""),"RRP-Mor")</f>
        <v>RRP-Mor</v>
      </c>
      <c r="F54" s="3">
        <f ca="1">IFERROR(__xludf.DUMMYFUNCTION("""COMPUTED_VALUE"""),8780781623)</f>
        <v>8780781623</v>
      </c>
      <c r="G54" s="3">
        <f ca="1">IFERROR(__xludf.DUMMYFUNCTION("""COMPUTED_VALUE"""),8000690023)</f>
        <v>8000690023</v>
      </c>
      <c r="H54" s="33">
        <f ca="1">IFERROR(__xludf.DUMMYFUNCTION("""COMPUTED_VALUE"""),0.707818930041152)</f>
        <v>0.70781893004115204</v>
      </c>
      <c r="I54" s="25">
        <f ca="1">IFERROR(__xludf.DUMMYFUNCTION("""COMPUTED_VALUE"""),0.694444444444444)</f>
        <v>0.69444444444444398</v>
      </c>
      <c r="J54" s="25">
        <f ca="1">IFERROR(__xludf.DUMMYFUNCTION("""COMPUTED_VALUE"""),0.846153846153846)</f>
        <v>0.84615384615384603</v>
      </c>
      <c r="K54" s="25">
        <f ca="1">IFERROR(__xludf.DUMMYFUNCTION("""COMPUTED_VALUE"""),0.647058823529411)</f>
        <v>0.64705882352941102</v>
      </c>
      <c r="L54" s="25">
        <f ca="1">IFERROR(__xludf.DUMMYFUNCTION("""COMPUTED_VALUE"""),0.727272727272727)</f>
        <v>0.72727272727272696</v>
      </c>
      <c r="M54" s="25">
        <f ca="1">IFERROR(__xludf.DUMMYFUNCTION("""COMPUTED_VALUE"""),0.75)</f>
        <v>0.75</v>
      </c>
      <c r="N54" s="25">
        <f ca="1">IFERROR(__xludf.DUMMYFUNCTION("""COMPUTED_VALUE"""),0.923076923076923)</f>
        <v>0.92307692307692302</v>
      </c>
      <c r="O54" s="25">
        <f ca="1">IFERROR(__xludf.DUMMYFUNCTION("""COMPUTED_VALUE"""),0.818181818181818)</f>
        <v>0.81818181818181801</v>
      </c>
      <c r="P54" s="25">
        <f ca="1">IFERROR(__xludf.DUMMYFUNCTION("""COMPUTED_VALUE"""),0.761904761904761)</f>
        <v>0.76190476190476097</v>
      </c>
      <c r="Q54" s="25">
        <f ca="1">IFERROR(__xludf.DUMMYFUNCTION("""COMPUTED_VALUE"""),0)</f>
        <v>0</v>
      </c>
      <c r="R54" s="25">
        <f ca="1">IFERROR(__xludf.DUMMYFUNCTION("""COMPUTED_VALUE"""),0.695652173913043)</f>
        <v>0.69565217391304301</v>
      </c>
      <c r="S54" s="25">
        <f ca="1">IFERROR(__xludf.DUMMYFUNCTION("""COMPUTED_VALUE"""),0.2)</f>
        <v>0.2</v>
      </c>
      <c r="T54" s="25">
        <f ca="1">IFERROR(__xludf.DUMMYFUNCTION("""COMPUTED_VALUE"""),1)</f>
        <v>1</v>
      </c>
      <c r="U54" s="25">
        <f ca="1">IFERROR(__xludf.DUMMYFUNCTION("""COMPUTED_VALUE"""),0.363636363636363)</f>
        <v>0.36363636363636298</v>
      </c>
      <c r="V54" s="25">
        <f ca="1">IFERROR(__xludf.DUMMYFUNCTION("""COMPUTED_VALUE"""),0)</f>
        <v>0</v>
      </c>
      <c r="W54" s="4"/>
      <c r="X54" s="4" t="str">
        <f ca="1">IFERROR(__xludf.DUMMYFUNCTION("""COMPUTED_VALUE"""),"| 1 L PHP-CGM % | 3 P PHP-CGM % | 5 P Python % ")</f>
        <v xml:space="preserve">| 1 L PHP-CGM % | 3 P PHP-CGM % | 5 P Python % </v>
      </c>
      <c r="Y54" s="4" t="str">
        <f ca="1">IFERROR(__xludf.DUMMYFUNCTION("""COMPUTED_VALUE"""),"| 1 P CPT % | 3 L JAVA % | 4 L CPT % | 5 P Python % ")</f>
        <v xml:space="preserve">| 1 P CPT % | 3 L JAVA % | 4 L CPT % | 5 P Python % </v>
      </c>
      <c r="Z5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54" s="4" t="str">
        <f ca="1">IFERROR(__xludf.DUMMYFUNCTION("""COMPUTED_VALUE"""),"| 3 L PHP-CGM % | 4 L NS % | 1 L INE % | 5 P PRO % ")</f>
        <v xml:space="preserve">| 3 L PHP-CGM % | 4 L NS % | 1 L INE % | 5 P PRO % </v>
      </c>
      <c r="AB54" s="4" t="str">
        <f ca="1">IFERROR(__xludf.DUMMYFUNCTION("""COMPUTED_VALUE"""),"| 1 L CPT % | 2 L NS % | 3 P NS % | 5 P JAVA % ")</f>
        <v xml:space="preserve">| 1 L CPT % | 2 L NS % | 3 P NS % | 5 P JAVA % </v>
      </c>
      <c r="AC54" s="4" t="str">
        <f ca="1">IFERROR(__xludf.DUMMYFUNCTION("""COMPUTED_VALUE"""),"| 1 L PHP-CGM % | 2 L JAVA % | 3 P PHP-CGM % | 5 P Python % ")</f>
        <v xml:space="preserve">| 1 L PHP-CGM % | 2 L JAVA % | 3 P PHP-CGM % | 5 P Python % </v>
      </c>
      <c r="AD54" s="4" t="str">
        <f ca="1">IFERROR(__xludf.DUMMYFUNCTION("""COMPUTED_VALUE"""),"| 1 P CPT % | 3 L JAVA % | 4 L CPT % | 5 P Python % ")</f>
        <v xml:space="preserve">| 1 P CPT % | 3 L JAVA % | 4 L CPT % | 5 P Python % </v>
      </c>
      <c r="AE54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54" s="4" t="str">
        <f ca="1">IFERROR(__xludf.DUMMYFUNCTION("""COMPUTED_VALUE"""),"| 3 L PHP-CGM % | 4 L NS % | 5 P PRO % ")</f>
        <v xml:space="preserve">| 3 L PHP-CGM % | 4 L NS % | 5 P PRO % </v>
      </c>
      <c r="AG54" s="4" t="str">
        <f ca="1">IFERROR(__xludf.DUMMYFUNCTION("""COMPUTED_VALUE"""),"| 1 L CPT % | 2 L NS % | 3 P NS % | 5 P JAVA % ")</f>
        <v xml:space="preserve">| 1 L CPT % | 2 L NS % | 3 P NS % | 5 P JAVA % </v>
      </c>
      <c r="AH54" s="4" t="str">
        <f ca="1">IFERROR(__xludf.DUMMYFUNCTION("""COMPUTED_VALUE"""),"| 3 L PHP-CGM % | 4 L NS % | 5 L PRO @ ")</f>
        <v xml:space="preserve">| 3 L PHP-CGM % | 4 L NS % | 5 L PRO @ </v>
      </c>
      <c r="AI54" s="4" t="str">
        <f ca="1">IFERROR(__xludf.DUMMYFUNCTION("""COMPUTED_VALUE"""),"| 1 L CPT % | 2 L NS % | 3 P NS % | 5 P JAVA @ ")</f>
        <v xml:space="preserve">| 1 L CPT % | 2 L NS % | 3 P NS % | 5 P JAVA @ </v>
      </c>
      <c r="AJ54" s="4" t="str">
        <f ca="1">IFERROR(__xludf.DUMMYFUNCTION("""COMPUTED_VALUE"""),"| 1 L PHP-CGM % | 2 L JAVA % | 3 P PHP-CGM % | 5 P Python % ")</f>
        <v xml:space="preserve">| 1 L PHP-CGM % | 2 L JAVA % | 3 P PHP-CGM % | 5 P Python % </v>
      </c>
      <c r="AK54" s="4" t="str">
        <f ca="1">IFERROR(__xludf.DUMMYFUNCTION("""COMPUTED_VALUE"""),"| 1 P CPT % | 3 L JAVA % | 4 L CPT % | 5 P Python % ")</f>
        <v xml:space="preserve">| 1 P CPT % | 3 L JAVA % | 4 L CPT % | 5 P Python % </v>
      </c>
      <c r="AL5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54" s="4" t="str">
        <f ca="1">IFERROR(__xludf.DUMMYFUNCTION("""COMPUTED_VALUE"""),"| 1 L INE @ | 4 L NS % | 3 L PHP-CGM % | 5 L PRO @ ")</f>
        <v xml:space="preserve">| 1 L INE @ | 4 L NS % | 3 L PHP-CGM % | 5 L PRO @ </v>
      </c>
      <c r="AN54" s="4" t="str">
        <f ca="1">IFERROR(__xludf.DUMMYFUNCTION("""COMPUTED_VALUE"""),"| 1 L CPT % | 2 L NS % | 3 P NS % | 5 P JAVA % ")</f>
        <v xml:space="preserve">| 1 L CPT % | 2 L NS % | 3 P NS % | 5 P JAVA % </v>
      </c>
      <c r="AO54" s="4" t="str">
        <f ca="1">IFERROR(__xludf.DUMMYFUNCTION("""COMPUTED_VALUE"""),"| 1 L PHP-CGM % | 2 L JAVA % | 3 P PHP-CGM % | 5 P Python % ")</f>
        <v xml:space="preserve">| 1 L PHP-CGM % | 2 L JAVA % | 3 P PHP-CGM % | 5 P Python % </v>
      </c>
      <c r="AP54" s="4" t="str">
        <f ca="1">IFERROR(__xludf.DUMMYFUNCTION("""COMPUTED_VALUE"""),"| 1 P CPT % | 3 L JAVA % | 4 L CPT % | 5 P Python % ")</f>
        <v xml:space="preserve">| 1 P CPT % | 3 L JAVA % | 4 L CPT % | 5 P Python % </v>
      </c>
      <c r="AQ54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R54" s="4" t="str">
        <f ca="1">IFERROR(__xludf.DUMMYFUNCTION("""COMPUTED_VALUE"""),"| 1 L INE @ | 3 L PHP-CGM @ | 4 L NS @ | 5 L PRO @ ")</f>
        <v xml:space="preserve">| 1 L INE @ | 3 L PHP-CGM @ | 4 L NS @ | 5 L PRO @ </v>
      </c>
      <c r="AS54" s="4" t="str">
        <f ca="1">IFERROR(__xludf.DUMMYFUNCTION("""COMPUTED_VALUE"""),"| 1 L PHP-CGM % | 2 L JAVA % | 3 P PHP-CGM % | 5 P Python % ")</f>
        <v xml:space="preserve">| 1 L PHP-CGM % | 2 L JAVA % | 3 P PHP-CGM % | 5 P Python % </v>
      </c>
      <c r="AT54" s="4" t="str">
        <f ca="1">IFERROR(__xludf.DUMMYFUNCTION("""COMPUTED_VALUE"""),"| 1 P CPT % | 3 L JAVA % | 4 L CPT % | 5 P Python % ")</f>
        <v xml:space="preserve">| 1 P CPT % | 3 L JAVA % | 4 L CPT % | 5 P Python % </v>
      </c>
      <c r="AU5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54" s="4" t="str">
        <f ca="1">IFERROR(__xludf.DUMMYFUNCTION("""COMPUTED_VALUE"""),"| 1 L INE % | 3 L PHP-CGM % | 4 L NS % | 7 L PRO % ")</f>
        <v xml:space="preserve">| 1 L INE % | 3 L PHP-CGM % | 4 L NS % | 7 L PRO % </v>
      </c>
      <c r="AW54" s="4" t="str">
        <f ca="1">IFERROR(__xludf.DUMMYFUNCTION("""COMPUTED_VALUE"""),"| 1 L CPT % | 3 P NS % | 2 L NS % | 5 P JAVA % ")</f>
        <v xml:space="preserve">| 1 L CPT % | 3 P NS % | 2 L NS % | 5 P JAVA % </v>
      </c>
      <c r="AX54" s="4" t="str">
        <f ca="1">IFERROR(__xludf.DUMMYFUNCTION("""COMPUTED_VALUE"""),"| 1 L PHP-CGM % | 2 L JAVA % | 3 P PHP-CGM % | 5 P Python % ")</f>
        <v xml:space="preserve">| 1 L PHP-CGM % | 2 L JAVA % | 3 P PHP-CGM % | 5 P Python % </v>
      </c>
      <c r="AY54" s="4" t="str">
        <f ca="1">IFERROR(__xludf.DUMMYFUNCTION("""COMPUTED_VALUE"""),"| 1 P CPT % | 3 L JAVA % | 4 L CPT % | 5 P Python % ")</f>
        <v xml:space="preserve">| 1 P CPT % | 3 L JAVA % | 4 L CPT % | 5 P Python % </v>
      </c>
      <c r="AZ54" s="4" t="str">
        <f ca="1">IFERROR(__xludf.DUMMYFUNCTION("""COMPUTED_VALUE"""),"| 1 L INE % | 3 L PHP-CGM @ | 4 L NS @ | 5 L PRO @ ")</f>
        <v xml:space="preserve">| 1 L INE % | 3 L PHP-CGM @ | 4 L NS @ | 5 L PRO @ </v>
      </c>
      <c r="BA54" s="4" t="str">
        <f ca="1">IFERROR(__xludf.DUMMYFUNCTION("""COMPUTED_VALUE"""),"| 1 L CPT @ | 2 L NS @ | 3 P NS @ | 5 P JAVA @ ")</f>
        <v xml:space="preserve">| 1 L CPT @ | 2 L NS @ | 3 P NS @ | 5 P JAVA @ </v>
      </c>
      <c r="BB54" s="4" t="str">
        <f ca="1">IFERROR(__xludf.DUMMYFUNCTION("""COMPUTED_VALUE"""),"| 1 L PHP-CGM % | 2 L JAVA % | 3 P PHP-CGM % | 5 P Python @ ")</f>
        <v xml:space="preserve">| 1 L PHP-CGM % | 2 L JAVA % | 3 P PHP-CGM % | 5 P Python @ </v>
      </c>
      <c r="BC54" s="4" t="str">
        <f ca="1">IFERROR(__xludf.DUMMYFUNCTION("""COMPUTED_VALUE"""),"| 1 P CPT @ | 3 L JAVA @ | 4 L CPT % | 5 P Python % ")</f>
        <v xml:space="preserve">| 1 P CPT @ | 3 L JAVA @ | 4 L CPT % | 5 P Python % </v>
      </c>
      <c r="BD54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54" s="4" t="str">
        <f ca="1">IFERROR(__xludf.DUMMYFUNCTION("""COMPUTED_VALUE"""),"| 1 L INE @ | 3 L PHP-CGM @ | 4 L NS @ | 5 L PRO % ")</f>
        <v xml:space="preserve">| 1 L INE @ | 3 L PHP-CGM @ | 4 L NS @ | 5 L PRO % </v>
      </c>
      <c r="BF54" s="4" t="str">
        <f ca="1">IFERROR(__xludf.DUMMYFUNCTION("""COMPUTED_VALUE"""),"| 1 L CPT % | 2 L NS % | 3 P NS % | 5 P JAVA % ")</f>
        <v xml:space="preserve">| 1 L CPT % | 2 L NS % | 3 P NS % | 5 P JAVA % </v>
      </c>
      <c r="BG54" s="4" t="str">
        <f ca="1">IFERROR(__xludf.DUMMYFUNCTION("""COMPUTED_VALUE"""),"| 1 P CPT % | 4 L CPT @ | 5 P Python % ")</f>
        <v xml:space="preserve">| 1 P CPT % | 4 L CPT @ | 5 P Python % </v>
      </c>
      <c r="BH54" s="4" t="str">
        <f ca="1">IFERROR(__xludf.DUMMYFUNCTION("""COMPUTED_VALUE"""),"| 1 P JAVA % | 3 L NS @ | 4 L JAVA @ | 5 L PHP-CGM % | 6 L CPT % ")</f>
        <v xml:space="preserve">| 1 P JAVA % | 3 L NS @ | 4 L JAVA @ | 5 L PHP-CGM % | 6 L CPT % </v>
      </c>
      <c r="BI54" s="4" t="str">
        <f ca="1">IFERROR(__xludf.DUMMYFUNCTION("""COMPUTED_VALUE"""),"| 1 L INE @ | 3 L PHP-CGM @ | 4 L NS @ | 5 L PRO @ ")</f>
        <v xml:space="preserve">| 1 L INE @ | 3 L PHP-CGM @ | 4 L NS @ | 5 L PRO @ </v>
      </c>
      <c r="BJ54" s="4" t="str">
        <f ca="1">IFERROR(__xludf.DUMMYFUNCTION("""COMPUTED_VALUE"""),"| 1 L CPT @ | 2 L NS @ | 3 P NS @ | 5 P JAVA @ ")</f>
        <v xml:space="preserve">| 1 L CPT @ | 2 L NS @ | 3 P NS @ | 5 P JAVA @ </v>
      </c>
      <c r="BK54" s="4" t="str">
        <f ca="1">IFERROR(__xludf.DUMMYFUNCTION("""COMPUTED_VALUE"""),"| 1 L PHP-CGM @ | 2 L JAVA @ | 3 P PHP-CGM @ | 5 P Python @ ")</f>
        <v xml:space="preserve">| 1 L PHP-CGM @ | 2 L JAVA @ | 3 P PHP-CGM @ | 5 P Python @ </v>
      </c>
      <c r="BL54" s="4" t="str">
        <f ca="1">IFERROR(__xludf.DUMMYFUNCTION("""COMPUTED_VALUE"""),"| 1 P CPT % | 3 L JAVA % | 4 L CPT % | 5 P Python @ ")</f>
        <v xml:space="preserve">| 1 P CPT % | 3 L JAVA % | 4 L CPT % | 5 P Python @ </v>
      </c>
      <c r="BM54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N54" s="4" t="str">
        <f ca="1">IFERROR(__xludf.DUMMYFUNCTION("""COMPUTED_VALUE"""),"| 1 L INE @ | 3 L PHP-CGM @ | 4 L NS @ | 5 L PRO @ ")</f>
        <v xml:space="preserve">| 1 L INE @ | 3 L PHP-CGM @ | 4 L NS @ | 5 L PRO @ </v>
      </c>
      <c r="BO54" s="4" t="str">
        <f ca="1">IFERROR(__xludf.DUMMYFUNCTION("""COMPUTED_VALUE"""),"| 1 L CPT % | 2 L NS % | 3 P NS % ")</f>
        <v xml:space="preserve">| 1 L CPT % | 2 L NS % | 3 P NS % </v>
      </c>
      <c r="BP54" s="4" t="str">
        <f ca="1">IFERROR(__xludf.DUMMYFUNCTION("""COMPUTED_VALUE"""),"| 1 L PHP-CGM % | 2 L JAVA % | 3 P PHP-CGM % | 5 P Python @ ")</f>
        <v xml:space="preserve">| 1 L PHP-CGM % | 2 L JAVA % | 3 P PHP-CGM % | 5 P Python @ </v>
      </c>
      <c r="BQ54" s="4" t="str">
        <f ca="1">IFERROR(__xludf.DUMMYFUNCTION("""COMPUTED_VALUE"""),"| 5 L PHP-CGM % | 6 L CPT @ ")</f>
        <v xml:space="preserve">| 5 L PHP-CGM % | 6 L CPT @ </v>
      </c>
      <c r="BR54" s="4"/>
      <c r="BS54" s="4"/>
      <c r="BT54" s="4" t="str">
        <f ca="1">IFERROR(__xludf.DUMMYFUNCTION("""COMPUTED_VALUE"""),"| 1 L PHP-CGM % | 2 L JAVA % | 3 P PHP-CGM % ")</f>
        <v xml:space="preserve">| 1 L PHP-CGM % | 2 L JAVA % | 3 P PHP-CGM % </v>
      </c>
      <c r="BU54" s="4" t="str">
        <f ca="1">IFERROR(__xludf.DUMMYFUNCTION("""COMPUTED_VALUE"""),"| 1 P CPT % | 4 L CPT % | 3 L JAVA % ")</f>
        <v xml:space="preserve">| 1 P CPT % | 4 L CPT % | 3 L JAVA % </v>
      </c>
      <c r="BV54" s="4" t="str">
        <f ca="1">IFERROR(__xludf.DUMMYFUNCTION("""COMPUTED_VALUE"""),"| 1 L PHP-CGM % | 2 L JAVA % | 3 P PHP-CGM % | 5 P Python @ ")</f>
        <v xml:space="preserve">| 1 L PHP-CGM % | 2 L JAVA % | 3 P PHP-CGM % | 5 P Python @ </v>
      </c>
      <c r="BW54" s="4" t="str">
        <f ca="1">IFERROR(__xludf.DUMMYFUNCTION("""COMPUTED_VALUE"""),"| 1 P CPT % | 3 L JAVA % | 4 L CPT % ")</f>
        <v xml:space="preserve">| 1 P CPT % | 3 L JAVA % | 4 L CPT % </v>
      </c>
      <c r="BX54" s="4" t="str">
        <f ca="1">IFERROR(__xludf.DUMMYFUNCTION("""COMPUTED_VALUE"""),"| 1 P JAVA % | 3 L NS @ | 4 L JAVA @ | 5 L PHP-CGM % | 6 L CPT % ")</f>
        <v xml:space="preserve">| 1 P JAVA % | 3 L NS @ | 4 L JAVA @ | 5 L PHP-CGM % | 6 L CPT % </v>
      </c>
      <c r="BY54" s="4" t="str">
        <f ca="1">IFERROR(__xludf.DUMMYFUNCTION("""COMPUTED_VALUE"""),"| 1 L INE @ | 3 L PHP-CGM % | 4 L NS % | 5 L PRO @ ")</f>
        <v xml:space="preserve">| 1 L INE @ | 3 L PHP-CGM % | 4 L NS % | 5 L PRO @ </v>
      </c>
      <c r="BZ54" s="4" t="str">
        <f ca="1">IFERROR(__xludf.DUMMYFUNCTION("""COMPUTED_VALUE"""),"| 1 L CPT % | 2 L NS % | 3 P NS % | 5 P JAVA % ")</f>
        <v xml:space="preserve">| 1 L CPT % | 2 L NS % | 3 P NS % | 5 P JAVA % </v>
      </c>
      <c r="CA54" s="4" t="str">
        <f ca="1">IFERROR(__xludf.DUMMYFUNCTION("""COMPUTED_VALUE"""),"| 1 L PHP-CGM % | 2 L JAVA % | 3 P PHP-CGM % | 5 P Python % ")</f>
        <v xml:space="preserve">| 1 L PHP-CGM % | 2 L JAVA % | 3 P PHP-CGM % | 5 P Python % </v>
      </c>
      <c r="CB54" s="4" t="str">
        <f ca="1">IFERROR(__xludf.DUMMYFUNCTION("""COMPUTED_VALUE"""),"| 1 P CPT @ | 3 L JAVA @ | 4 L CPT @ | 5 P Python @ ")</f>
        <v xml:space="preserve">| 1 P CPT @ | 3 L JAVA @ | 4 L CPT @ | 5 P Python @ </v>
      </c>
      <c r="CC54" s="4" t="str">
        <f ca="1">IFERROR(__xludf.DUMMYFUNCTION("""COMPUTED_VALUE"""),"| 1 P JAVA @ | 3 L NS % | 4 L JAVA % | 5 L PHP-CGM @ | 6 L CPT @ ")</f>
        <v xml:space="preserve">| 1 P JAVA @ | 3 L NS % | 4 L JAVA % | 5 L PHP-CGM @ | 6 L CPT @ </v>
      </c>
      <c r="CD54" s="4" t="str">
        <f ca="1">IFERROR(__xludf.DUMMYFUNCTION("""COMPUTED_VALUE"""),"| 1 L INE % | 3 L PHP-CGM % | 4 L NS @ | 5 L PRO @ ")</f>
        <v xml:space="preserve">| 1 L INE % | 3 L PHP-CGM % | 4 L NS @ | 5 L PRO @ </v>
      </c>
      <c r="CE54" s="4" t="str">
        <f ca="1">IFERROR(__xludf.DUMMYFUNCTION("""COMPUTED_VALUE"""),"| 1 L CPT @ | 2 L NS @ | 3 P NS @ | 5 P JAVA @ ")</f>
        <v xml:space="preserve">| 1 L CPT @ | 2 L NS @ | 3 P NS @ | 5 P JAVA @ </v>
      </c>
      <c r="CF54" s="4" t="str">
        <f ca="1">IFERROR(__xludf.DUMMYFUNCTION("""COMPUTED_VALUE"""),"| 1 L PHP-CGM % | 2 L JAVA @ | 3 P PHP-CGM % | 5 P Python % ")</f>
        <v xml:space="preserve">| 1 L PHP-CGM % | 2 L JAVA @ | 3 P PHP-CGM % | 5 P Python % </v>
      </c>
      <c r="CG54" s="4" t="str">
        <f ca="1">IFERROR(__xludf.DUMMYFUNCTION("""COMPUTED_VALUE"""),"| 1 P CPT % | 4 L CPT @ | 5 P Python @ ")</f>
        <v xml:space="preserve">| 1 P CPT % | 4 L CPT @ | 5 P Python @ </v>
      </c>
      <c r="CH54" s="4" t="str">
        <f ca="1">IFERROR(__xludf.DUMMYFUNCTION("""COMPUTED_VALUE"""),"| 1 P JAVA % | 3 L NS @ | 6 L CPT @ ")</f>
        <v xml:space="preserve">| 1 P JAVA % | 3 L NS @ | 6 L CPT @ </v>
      </c>
      <c r="CI54" s="4" t="str">
        <f ca="1">IFERROR(__xludf.DUMMYFUNCTION("""COMPUTED_VALUE"""),"| 1 L INE @ ")</f>
        <v xml:space="preserve">| 1 L INE @ </v>
      </c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</row>
    <row r="55" spans="1:102" ht="12.5" x14ac:dyDescent="0.25">
      <c r="A55" s="3">
        <f ca="1">IFERROR(__xludf.DUMMYFUNCTION("""COMPUTED_VALUE"""),3)</f>
        <v>3</v>
      </c>
      <c r="B55" s="3" t="str">
        <f ca="1">IFERROR(__xludf.DUMMYFUNCTION("""COMPUTED_VALUE"""),"A")</f>
        <v>A</v>
      </c>
      <c r="C55" s="32" t="str">
        <f ca="1">IFERROR(__xludf.DUMMYFUNCTION("""COMPUTED_VALUE"""),"23291341139")</f>
        <v>23291341139</v>
      </c>
      <c r="D55" s="21" t="str">
        <f ca="1">IFERROR(__xludf.DUMMYFUNCTION("""COMPUTED_VALUE"""),"RABARI DEVKUMAR GEMARBHAI")</f>
        <v>RABARI DEVKUMAR GEMARBHAI</v>
      </c>
      <c r="E55" s="3" t="str">
        <f ca="1">IFERROR(__xludf.DUMMYFUNCTION("""COMPUTED_VALUE"""),"RRP-Mor")</f>
        <v>RRP-Mor</v>
      </c>
      <c r="F55" s="3">
        <f ca="1">IFERROR(__xludf.DUMMYFUNCTION("""COMPUTED_VALUE"""),9328878577)</f>
        <v>9328878577</v>
      </c>
      <c r="G55" s="3">
        <f ca="1">IFERROR(__xludf.DUMMYFUNCTION("""COMPUTED_VALUE"""),9979073767)</f>
        <v>9979073767</v>
      </c>
      <c r="H55" s="33">
        <f ca="1">IFERROR(__xludf.DUMMYFUNCTION("""COMPUTED_VALUE"""),0.0168067226890756)</f>
        <v>1.6806722689075598E-2</v>
      </c>
      <c r="I55" s="25">
        <f ca="1">IFERROR(__xludf.DUMMYFUNCTION("""COMPUTED_VALUE"""),0)</f>
        <v>0</v>
      </c>
      <c r="J55" s="25">
        <f ca="1">IFERROR(__xludf.DUMMYFUNCTION("""COMPUTED_VALUE"""),0.0833333333333333)</f>
        <v>8.3333333333333301E-2</v>
      </c>
      <c r="K55" s="25">
        <f ca="1">IFERROR(__xludf.DUMMYFUNCTION("""COMPUTED_VALUE"""),0.0588235294117647)</f>
        <v>5.8823529411764698E-2</v>
      </c>
      <c r="L55" s="25">
        <f ca="1">IFERROR(__xludf.DUMMYFUNCTION("""COMPUTED_VALUE"""),0)</f>
        <v>0</v>
      </c>
      <c r="M55" s="25">
        <f ca="1">IFERROR(__xludf.DUMMYFUNCTION("""COMPUTED_VALUE"""),0.0277777777777777)</f>
        <v>2.77777777777777E-2</v>
      </c>
      <c r="N55" s="25">
        <f ca="1">IFERROR(__xludf.DUMMYFUNCTION("""COMPUTED_VALUE"""),0)</f>
        <v>0</v>
      </c>
      <c r="O55" s="25">
        <f ca="1">IFERROR(__xludf.DUMMYFUNCTION("""COMPUTED_VALUE"""),0)</f>
        <v>0</v>
      </c>
      <c r="P55" s="25">
        <f ca="1">IFERROR(__xludf.DUMMYFUNCTION("""COMPUTED_VALUE"""),0)</f>
        <v>0</v>
      </c>
      <c r="Q55" s="25">
        <f ca="1">IFERROR(__xludf.DUMMYFUNCTION("""COMPUTED_VALUE"""),0)</f>
        <v>0</v>
      </c>
      <c r="R55" s="25">
        <f ca="1">IFERROR(__xludf.DUMMYFUNCTION("""COMPUTED_VALUE"""),0)</f>
        <v>0</v>
      </c>
      <c r="S55" s="25">
        <f ca="1">IFERROR(__xludf.DUMMYFUNCTION("""COMPUTED_VALUE"""),0)</f>
        <v>0</v>
      </c>
      <c r="T55" s="25">
        <f ca="1">IFERROR(__xludf.DUMMYFUNCTION("""COMPUTED_VALUE"""),0)</f>
        <v>0</v>
      </c>
      <c r="U55" s="25">
        <f ca="1">IFERROR(__xludf.DUMMYFUNCTION("""COMPUTED_VALUE"""),0)</f>
        <v>0</v>
      </c>
      <c r="V55" s="25">
        <f ca="1">IFERROR(__xludf.DUMMYFUNCTION("""COMPUTED_VALUE"""),0)</f>
        <v>0</v>
      </c>
      <c r="W55" s="4"/>
      <c r="X55" s="4" t="str">
        <f ca="1">IFERROR(__xludf.DUMMYFUNCTION("""COMPUTED_VALUE"""),"| 1 L PHP-CGM @ | 3 P PHP-CGM @ ")</f>
        <v xml:space="preserve">| 1 L PHP-CGM @ | 3 P PHP-CGM @ </v>
      </c>
      <c r="Y55" s="4"/>
      <c r="Z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A55" s="4" t="str">
        <f ca="1">IFERROR(__xludf.DUMMYFUNCTION("""COMPUTED_VALUE"""),"| 3 L PHP-CGM @ | 4 L NS @ | 1 L INE @ | 5 P PRO @ ")</f>
        <v xml:space="preserve">| 3 L PHP-CGM @ | 4 L NS @ | 1 L INE @ | 5 P PRO @ </v>
      </c>
      <c r="AB55" s="4" t="str">
        <f ca="1">IFERROR(__xludf.DUMMYFUNCTION("""COMPUTED_VALUE"""),"| 1 L CPT @ | 2 L NS @ | 3 P NS @ | 5 P JAVA @ ")</f>
        <v xml:space="preserve">| 1 L CPT @ | 2 L NS @ | 3 P NS @ | 5 P JAVA @ </v>
      </c>
      <c r="AC55" s="4" t="str">
        <f ca="1">IFERROR(__xludf.DUMMYFUNCTION("""COMPUTED_VALUE"""),"| 1 L PHP-CGM @ | 2 L JAVA @ | 3 P PHP-CGM @ | 5 P Python @ ")</f>
        <v xml:space="preserve">| 1 L PHP-CGM @ | 2 L JAVA @ | 3 P PHP-CGM @ | 5 P Python @ </v>
      </c>
      <c r="AD55" s="4" t="str">
        <f ca="1">IFERROR(__xludf.DUMMYFUNCTION("""COMPUTED_VALUE"""),"| 1 P CPT @ | 3 L JAVA @ | 4 L CPT @ | 5 P Python @ ")</f>
        <v xml:space="preserve">| 1 P CPT @ | 3 L JAVA @ | 4 L CPT @ | 5 P Python @ </v>
      </c>
      <c r="AE55" s="4" t="str">
        <f ca="1">IFERROR(__xludf.DUMMYFUNCTION("""COMPUTED_VALUE"""),"| 1 P JAVA @ | 4 L JAVA @ | 3 L NS @ | 5 L PHP-CGM @ | 6 L CPT @ ")</f>
        <v xml:space="preserve">| 1 P JAVA @ | 4 L JAVA @ | 3 L NS @ | 5 L PHP-CGM @ | 6 L CPT @ </v>
      </c>
      <c r="AF55" s="4" t="str">
        <f ca="1">IFERROR(__xludf.DUMMYFUNCTION("""COMPUTED_VALUE"""),"| 3 L PHP-CGM @ | 4 L NS @ | 5 P PRO @ ")</f>
        <v xml:space="preserve">| 3 L PHP-CGM @ | 4 L NS @ | 5 P PRO @ </v>
      </c>
      <c r="AG55" s="4" t="str">
        <f ca="1">IFERROR(__xludf.DUMMYFUNCTION("""COMPUTED_VALUE"""),"| 1 L CPT @ | 2 L NS @ | 3 P NS @ | 5 P JAVA @ ")</f>
        <v xml:space="preserve">| 1 L CPT @ | 2 L NS @ | 3 P NS @ | 5 P JAVA @ </v>
      </c>
      <c r="AH55" s="4" t="str">
        <f ca="1">IFERROR(__xludf.DUMMYFUNCTION("""COMPUTED_VALUE"""),"| 3 L PHP-CGM % | 4 L NS % | 5 L PRO @ ")</f>
        <v xml:space="preserve">| 3 L PHP-CGM % | 4 L NS % | 5 L PRO @ </v>
      </c>
      <c r="AI55" s="4" t="str">
        <f ca="1">IFERROR(__xludf.DUMMYFUNCTION("""COMPUTED_VALUE"""),"| 1 L CPT @ | 2 L NS @ | 3 P NS @ | 5 P JAVA @ ")</f>
        <v xml:space="preserve">| 1 L CPT @ | 2 L NS @ | 3 P NS @ | 5 P JAVA @ </v>
      </c>
      <c r="AJ55" s="4" t="str">
        <f ca="1">IFERROR(__xludf.DUMMYFUNCTION("""COMPUTED_VALUE"""),"| 1 L PHP-CGM @ | 2 L JAVA @ | 3 P PHP-CGM @ | 5 P Python @ ")</f>
        <v xml:space="preserve">| 1 L PHP-CGM @ | 2 L JAVA @ | 3 P PHP-CGM @ | 5 P Python @ </v>
      </c>
      <c r="AK55" s="4" t="str">
        <f ca="1">IFERROR(__xludf.DUMMYFUNCTION("""COMPUTED_VALUE"""),"| 1 P CPT @ | 3 L JAVA @ | 4 L CPT @ | 5 P Python @ ")</f>
        <v xml:space="preserve">| 1 P CPT @ | 3 L JAVA @ | 4 L CPT @ | 5 P Python @ </v>
      </c>
      <c r="AL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M55" s="4" t="str">
        <f ca="1">IFERROR(__xludf.DUMMYFUNCTION("""COMPUTED_VALUE"""),"| 1 L INE @ | 4 L NS @ | 3 L PHP-CGM @ | 5 L PRO @ ")</f>
        <v xml:space="preserve">| 1 L INE @ | 4 L NS @ | 3 L PHP-CGM @ | 5 L PRO @ </v>
      </c>
      <c r="AN55" s="4" t="str">
        <f ca="1">IFERROR(__xludf.DUMMYFUNCTION("""COMPUTED_VALUE"""),"| 1 L CPT @ | 2 L NS @ | 3 P NS @ | 5 P JAVA @ ")</f>
        <v xml:space="preserve">| 1 L CPT @ | 2 L NS @ | 3 P NS @ | 5 P JAVA @ </v>
      </c>
      <c r="AO55" s="4" t="str">
        <f ca="1">IFERROR(__xludf.DUMMYFUNCTION("""COMPUTED_VALUE"""),"| 1 L PHP-CGM @ | 2 L JAVA @ | 3 P PHP-CGM @ | 5 P Python @ ")</f>
        <v xml:space="preserve">| 1 L PHP-CGM @ | 2 L JAVA @ | 3 P PHP-CGM @ | 5 P Python @ </v>
      </c>
      <c r="AP55" s="4" t="str">
        <f ca="1">IFERROR(__xludf.DUMMYFUNCTION("""COMPUTED_VALUE"""),"| 1 P CPT @ | 3 L JAVA @ | 4 L CPT @ | 5 P Python @ ")</f>
        <v xml:space="preserve">| 1 P CPT @ | 3 L JAVA @ | 4 L CPT @ | 5 P Python @ </v>
      </c>
      <c r="AQ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55" s="4" t="str">
        <f ca="1">IFERROR(__xludf.DUMMYFUNCTION("""COMPUTED_VALUE"""),"| 1 L INE @ | 3 L PHP-CGM @ | 4 L NS @ | 5 L PRO @ ")</f>
        <v xml:space="preserve">| 1 L INE @ | 3 L PHP-CGM @ | 4 L NS @ | 5 L PRO @ </v>
      </c>
      <c r="AS55" s="4" t="str">
        <f ca="1">IFERROR(__xludf.DUMMYFUNCTION("""COMPUTED_VALUE"""),"| 1 L PHP-CGM @ | 2 L JAVA @ | 3 P PHP-CGM @ | 5 P Python @ ")</f>
        <v xml:space="preserve">| 1 L PHP-CGM @ | 2 L JAVA @ | 3 P PHP-CGM @ | 5 P Python @ </v>
      </c>
      <c r="AT55" s="4" t="str">
        <f ca="1">IFERROR(__xludf.DUMMYFUNCTION("""COMPUTED_VALUE"""),"| 1 P CPT % | 3 L JAVA @ | 4 L CPT @ | 5 P Python @ ")</f>
        <v xml:space="preserve">| 1 P CPT % | 3 L JAVA @ | 4 L CPT @ | 5 P Python @ </v>
      </c>
      <c r="AU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V55" s="4" t="str">
        <f ca="1">IFERROR(__xludf.DUMMYFUNCTION("""COMPUTED_VALUE"""),"| 1 L INE @ | 3 L PHP-CGM @ | 4 L NS % | 7 L PRO @ ")</f>
        <v xml:space="preserve">| 1 L INE @ | 3 L PHP-CGM @ | 4 L NS % | 7 L PRO @ </v>
      </c>
      <c r="AW55" s="4" t="str">
        <f ca="1">IFERROR(__xludf.DUMMYFUNCTION("""COMPUTED_VALUE"""),"| 1 L CPT @ | 3 P NS @ | 2 L NS @ | 5 P JAVA @ ")</f>
        <v xml:space="preserve">| 1 L CPT @ | 3 P NS @ | 2 L NS @ | 5 P JAVA @ </v>
      </c>
      <c r="AX55" s="4" t="str">
        <f ca="1">IFERROR(__xludf.DUMMYFUNCTION("""COMPUTED_VALUE"""),"| 1 L PHP-CGM @ | 2 L JAVA @ | 3 P PHP-CGM @ | 5 P Python @ ")</f>
        <v xml:space="preserve">| 1 L PHP-CGM @ | 2 L JAVA @ | 3 P PHP-CGM @ | 5 P Python @ </v>
      </c>
      <c r="AY55" s="4" t="str">
        <f ca="1">IFERROR(__xludf.DUMMYFUNCTION("""COMPUTED_VALUE"""),"| 1 P CPT @ | 3 L JAVA @ | 4 L CPT @ | 5 P Python @ ")</f>
        <v xml:space="preserve">| 1 P CPT @ | 3 L JAVA @ | 4 L CPT @ | 5 P Python @ </v>
      </c>
      <c r="AZ55" s="4" t="str">
        <f ca="1">IFERROR(__xludf.DUMMYFUNCTION("""COMPUTED_VALUE"""),"| 1 L INE @ | 3 L PHP-CGM @ | 4 L NS @ | 5 L PRO @ ")</f>
        <v xml:space="preserve">| 1 L INE @ | 3 L PHP-CGM @ | 4 L NS @ | 5 L PRO @ </v>
      </c>
      <c r="BA55" s="4" t="str">
        <f ca="1">IFERROR(__xludf.DUMMYFUNCTION("""COMPUTED_VALUE"""),"| 1 L CPT @ | 2 L NS @ | 3 P NS @ | 5 P JAVA @ ")</f>
        <v xml:space="preserve">| 1 L CPT @ | 2 L NS @ | 3 P NS @ | 5 P JAVA @ </v>
      </c>
      <c r="BB55" s="4" t="str">
        <f ca="1">IFERROR(__xludf.DUMMYFUNCTION("""COMPUTED_VALUE"""),"| 1 L PHP-CGM @ | 2 L JAVA @ | 3 P PHP-CGM @ | 5 P Python @ ")</f>
        <v xml:space="preserve">| 1 L PHP-CGM @ | 2 L JAVA @ | 3 P PHP-CGM @ | 5 P Python @ </v>
      </c>
      <c r="BC55" s="4" t="str">
        <f ca="1">IFERROR(__xludf.DUMMYFUNCTION("""COMPUTED_VALUE"""),"| 1 P CPT @ | 3 L JAVA @ | 4 L CPT @ | 5 P Python @ ")</f>
        <v xml:space="preserve">| 1 P CPT @ | 3 L JAVA @ | 4 L CPT @ | 5 P Python @ </v>
      </c>
      <c r="BD55" s="4" t="str">
        <f ca="1">IFERROR(__xludf.DUMMYFUNCTION("""COMPUTED_VALUE"""),"| 1 P JAVA @ | 3 L NS @ | 6 L CPT @ | 5 L PHP-CGM @ | 4 L JAVA @ ")</f>
        <v xml:space="preserve">| 1 P JAVA @ | 3 L NS @ | 6 L CPT @ | 5 L PHP-CGM @ | 4 L JAVA @ </v>
      </c>
      <c r="BE55" s="4" t="str">
        <f ca="1">IFERROR(__xludf.DUMMYFUNCTION("""COMPUTED_VALUE"""),"| 1 L INE @ | 3 L PHP-CGM @ | 4 L NS @ | 5 L PRO @ ")</f>
        <v xml:space="preserve">| 1 L INE @ | 3 L PHP-CGM @ | 4 L NS @ | 5 L PRO @ </v>
      </c>
      <c r="BF55" s="4" t="str">
        <f ca="1">IFERROR(__xludf.DUMMYFUNCTION("""COMPUTED_VALUE"""),"| 1 L CPT @ | 2 L NS @ | 3 P NS @ | 5 P JAVA @ ")</f>
        <v xml:space="preserve">| 1 L CPT @ | 2 L NS @ | 3 P NS @ | 5 P JAVA @ </v>
      </c>
      <c r="BG55" s="4" t="str">
        <f ca="1">IFERROR(__xludf.DUMMYFUNCTION("""COMPUTED_VALUE"""),"| 1 P CPT @ | 4 L CPT @ | 5 P Python @ ")</f>
        <v xml:space="preserve">| 1 P CPT @ | 4 L CPT @ | 5 P Python @ </v>
      </c>
      <c r="BH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I55" s="4" t="str">
        <f ca="1">IFERROR(__xludf.DUMMYFUNCTION("""COMPUTED_VALUE"""),"| 1 L INE @ | 3 L PHP-CGM @ | 4 L NS @ | 5 L PRO @ ")</f>
        <v xml:space="preserve">| 1 L INE @ | 3 L PHP-CGM @ | 4 L NS @ | 5 L PRO @ </v>
      </c>
      <c r="BJ55" s="4" t="str">
        <f ca="1">IFERROR(__xludf.DUMMYFUNCTION("""COMPUTED_VALUE"""),"| 1 L CPT @ | 2 L NS @ | 3 P NS @ | 5 P JAVA @ ")</f>
        <v xml:space="preserve">| 1 L CPT @ | 2 L NS @ | 3 P NS @ | 5 P JAVA @ </v>
      </c>
      <c r="BK55" s="4" t="str">
        <f ca="1">IFERROR(__xludf.DUMMYFUNCTION("""COMPUTED_VALUE"""),"| 1 L PHP-CGM @ | 2 L JAVA @ | 3 P PHP-CGM @ | 5 P Python @ ")</f>
        <v xml:space="preserve">| 1 L PHP-CGM @ | 2 L JAVA @ | 3 P PHP-CGM @ | 5 P Python @ </v>
      </c>
      <c r="BL55" s="4" t="str">
        <f ca="1">IFERROR(__xludf.DUMMYFUNCTION("""COMPUTED_VALUE"""),"| 1 P CPT @ | 3 L JAVA @ | 4 L CPT @ | 5 P Python @ ")</f>
        <v xml:space="preserve">| 1 P CPT @ | 3 L JAVA @ | 4 L CPT @ | 5 P Python @ </v>
      </c>
      <c r="BM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55" s="4" t="str">
        <f ca="1">IFERROR(__xludf.DUMMYFUNCTION("""COMPUTED_VALUE"""),"| 1 L INE @ | 3 L PHP-CGM @ | 4 L NS @ | 5 L PRO @ ")</f>
        <v xml:space="preserve">| 1 L INE @ | 3 L PHP-CGM @ | 4 L NS @ | 5 L PRO @ </v>
      </c>
      <c r="BO55" s="4" t="str">
        <f ca="1">IFERROR(__xludf.DUMMYFUNCTION("""COMPUTED_VALUE"""),"| 1 L CPT @ | 2 L NS @ | 3 P NS @ ")</f>
        <v xml:space="preserve">| 1 L CPT @ | 2 L NS @ | 3 P NS @ </v>
      </c>
      <c r="BP55" s="4" t="str">
        <f ca="1">IFERROR(__xludf.DUMMYFUNCTION("""COMPUTED_VALUE"""),"| 1 L PHP-CGM @ | 2 L JAVA @ | 3 P PHP-CGM @ | 5 P Python @ ")</f>
        <v xml:space="preserve">| 1 L PHP-CGM @ | 2 L JAVA @ | 3 P PHP-CGM @ | 5 P Python @ </v>
      </c>
      <c r="BQ55" s="4" t="str">
        <f ca="1">IFERROR(__xludf.DUMMYFUNCTION("""COMPUTED_VALUE"""),"| 5 L PHP-CGM @ | 6 L CPT @ ")</f>
        <v xml:space="preserve">| 5 L PHP-CGM @ | 6 L CPT @ </v>
      </c>
      <c r="BR55" s="4"/>
      <c r="BS55" s="4"/>
      <c r="BT55" s="4" t="str">
        <f ca="1">IFERROR(__xludf.DUMMYFUNCTION("""COMPUTED_VALUE"""),"| 1 L PHP-CGM @ | 2 L JAVA @ | 3 P PHP-CGM @ ")</f>
        <v xml:space="preserve">| 1 L PHP-CGM @ | 2 L JAVA @ | 3 P PHP-CGM @ </v>
      </c>
      <c r="BU55" s="4" t="str">
        <f ca="1">IFERROR(__xludf.DUMMYFUNCTION("""COMPUTED_VALUE"""),"| 1 P CPT @ | 4 L CPT @ | 3 L JAVA @ ")</f>
        <v xml:space="preserve">| 1 P CPT @ | 4 L CPT @ | 3 L JAVA @ </v>
      </c>
      <c r="BV55" s="4" t="str">
        <f ca="1">IFERROR(__xludf.DUMMYFUNCTION("""COMPUTED_VALUE"""),"| 1 L PHP-CGM @ | 2 L JAVA @ | 3 P PHP-CGM @ | 5 P Python @ ")</f>
        <v xml:space="preserve">| 1 L PHP-CGM @ | 2 L JAVA @ | 3 P PHP-CGM @ | 5 P Python @ </v>
      </c>
      <c r="BW55" s="4" t="str">
        <f ca="1">IFERROR(__xludf.DUMMYFUNCTION("""COMPUTED_VALUE"""),"| 1 P CPT @ | 3 L JAVA @ | 4 L CPT @ ")</f>
        <v xml:space="preserve">| 1 P CPT @ | 3 L JAVA @ | 4 L CPT @ </v>
      </c>
      <c r="BX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55" s="4" t="str">
        <f ca="1">IFERROR(__xludf.DUMMYFUNCTION("""COMPUTED_VALUE"""),"| 1 L INE @ | 3 L PHP-CGM @ | 4 L NS @ | 5 L PRO @ ")</f>
        <v xml:space="preserve">| 1 L INE @ | 3 L PHP-CGM @ | 4 L NS @ | 5 L PRO @ </v>
      </c>
      <c r="BZ55" s="4" t="str">
        <f ca="1">IFERROR(__xludf.DUMMYFUNCTION("""COMPUTED_VALUE"""),"| 1 L CPT @ | 2 L NS @ | 3 P NS @ | 5 P JAVA @ ")</f>
        <v xml:space="preserve">| 1 L CPT @ | 2 L NS @ | 3 P NS @ | 5 P JAVA @ </v>
      </c>
      <c r="CA55" s="4" t="str">
        <f ca="1">IFERROR(__xludf.DUMMYFUNCTION("""COMPUTED_VALUE"""),"| 1 L PHP-CGM @ | 2 L JAVA @ | 3 P PHP-CGM @ | 5 P Python @ ")</f>
        <v xml:space="preserve">| 1 L PHP-CGM @ | 2 L JAVA @ | 3 P PHP-CGM @ | 5 P Python @ </v>
      </c>
      <c r="CB55" s="4" t="str">
        <f ca="1">IFERROR(__xludf.DUMMYFUNCTION("""COMPUTED_VALUE"""),"| 1 P CPT @ | 3 L JAVA @ | 4 L CPT @ | 5 P Python @ ")</f>
        <v xml:space="preserve">| 1 P CPT @ | 3 L JAVA @ | 4 L CPT @ | 5 P Python @ </v>
      </c>
      <c r="CC5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CD55" s="4" t="str">
        <f ca="1">IFERROR(__xludf.DUMMYFUNCTION("""COMPUTED_VALUE"""),"| 1 L INE @ | 3 L PHP-CGM @ | 4 L NS @ | 5 L PRO @ ")</f>
        <v xml:space="preserve">| 1 L INE @ | 3 L PHP-CGM @ | 4 L NS @ | 5 L PRO @ </v>
      </c>
      <c r="CE55" s="4" t="str">
        <f ca="1">IFERROR(__xludf.DUMMYFUNCTION("""COMPUTED_VALUE"""),"| 1 L CPT @ | 2 L NS @ | 3 P NS @ | 5 P JAVA @ ")</f>
        <v xml:space="preserve">| 1 L CPT @ | 2 L NS @ | 3 P NS @ | 5 P JAVA @ </v>
      </c>
      <c r="CF55" s="4" t="str">
        <f ca="1">IFERROR(__xludf.DUMMYFUNCTION("""COMPUTED_VALUE"""),"| 1 L PHP-CGM @ | 2 L JAVA @ | 3 P PHP-CGM @ | 5 P Python @ ")</f>
        <v xml:space="preserve">| 1 L PHP-CGM @ | 2 L JAVA @ | 3 P PHP-CGM @ | 5 P Python @ </v>
      </c>
      <c r="CG55" s="4" t="str">
        <f ca="1">IFERROR(__xludf.DUMMYFUNCTION("""COMPUTED_VALUE"""),"| 1 P CPT @ | 4 L CPT @ | 5 P Python @ ")</f>
        <v xml:space="preserve">| 1 P CPT @ | 4 L CPT @ | 5 P Python @ </v>
      </c>
      <c r="CH55" s="4" t="str">
        <f ca="1">IFERROR(__xludf.DUMMYFUNCTION("""COMPUTED_VALUE"""),"| 1 P JAVA @ | 3 L NS @ | 6 L CPT @ ")</f>
        <v xml:space="preserve">| 1 P JAVA @ | 3 L NS @ | 6 L CPT @ </v>
      </c>
      <c r="CI55" s="4" t="str">
        <f ca="1">IFERROR(__xludf.DUMMYFUNCTION("""COMPUTED_VALUE"""),"| 1 L INE @ ")</f>
        <v xml:space="preserve">| 1 L INE @ </v>
      </c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</row>
    <row r="56" spans="1:102" ht="12.5" x14ac:dyDescent="0.25">
      <c r="A56" s="3">
        <f ca="1">IFERROR(__xludf.DUMMYFUNCTION("""COMPUTED_VALUE"""),3)</f>
        <v>3</v>
      </c>
      <c r="B56" s="3" t="str">
        <f ca="1">IFERROR(__xludf.DUMMYFUNCTION("""COMPUTED_VALUE"""),"A")</f>
        <v>A</v>
      </c>
      <c r="C56" s="32" t="str">
        <f ca="1">IFERROR(__xludf.DUMMYFUNCTION("""COMPUTED_VALUE"""),"23291341145")</f>
        <v>23291341145</v>
      </c>
      <c r="D56" s="21" t="str">
        <f ca="1">IFERROR(__xludf.DUMMYFUNCTION("""COMPUTED_VALUE"""),"RATHOD DASHARATH RAJUBHAI")</f>
        <v>RATHOD DASHARATH RAJUBHAI</v>
      </c>
      <c r="E56" s="3" t="str">
        <f ca="1">IFERROR(__xludf.DUMMYFUNCTION("""COMPUTED_VALUE"""),"RRP-Mor")</f>
        <v>RRP-Mor</v>
      </c>
      <c r="F56" s="3">
        <f ca="1">IFERROR(__xludf.DUMMYFUNCTION("""COMPUTED_VALUE"""),8128255328)</f>
        <v>8128255328</v>
      </c>
      <c r="G56" s="3">
        <f ca="1">IFERROR(__xludf.DUMMYFUNCTION("""COMPUTED_VALUE"""),9925970331)</f>
        <v>9925970331</v>
      </c>
      <c r="H56" s="33">
        <f ca="1">IFERROR(__xludf.DUMMYFUNCTION("""COMPUTED_VALUE"""),0.366255144032921)</f>
        <v>0.36625514403292098</v>
      </c>
      <c r="I56" s="25">
        <f ca="1">IFERROR(__xludf.DUMMYFUNCTION("""COMPUTED_VALUE"""),0.277777777777777)</f>
        <v>0.27777777777777701</v>
      </c>
      <c r="J56" s="25">
        <f ca="1">IFERROR(__xludf.DUMMYFUNCTION("""COMPUTED_VALUE"""),0.538461538461538)</f>
        <v>0.53846153846153799</v>
      </c>
      <c r="K56" s="25">
        <f ca="1">IFERROR(__xludf.DUMMYFUNCTION("""COMPUTED_VALUE"""),0.411764705882352)</f>
        <v>0.41176470588235198</v>
      </c>
      <c r="L56" s="25">
        <f ca="1">IFERROR(__xludf.DUMMYFUNCTION("""COMPUTED_VALUE"""),0.454545454545454)</f>
        <v>0.45454545454545398</v>
      </c>
      <c r="M56" s="25">
        <f ca="1">IFERROR(__xludf.DUMMYFUNCTION("""COMPUTED_VALUE"""),0.472222222222222)</f>
        <v>0.47222222222222199</v>
      </c>
      <c r="N56" s="25">
        <f ca="1">IFERROR(__xludf.DUMMYFUNCTION("""COMPUTED_VALUE"""),0.384615384615384)</f>
        <v>0.38461538461538403</v>
      </c>
      <c r="O56" s="25">
        <f ca="1">IFERROR(__xludf.DUMMYFUNCTION("""COMPUTED_VALUE"""),0.515151515151515)</f>
        <v>0.51515151515151503</v>
      </c>
      <c r="P56" s="25">
        <f ca="1">IFERROR(__xludf.DUMMYFUNCTION("""COMPUTED_VALUE"""),0.38095238095238)</f>
        <v>0.38095238095237999</v>
      </c>
      <c r="Q56" s="25">
        <f ca="1">IFERROR(__xludf.DUMMYFUNCTION("""COMPUTED_VALUE"""),0)</f>
        <v>0</v>
      </c>
      <c r="R56" s="25">
        <f ca="1">IFERROR(__xludf.DUMMYFUNCTION("""COMPUTED_VALUE"""),0.130434782608695)</f>
        <v>0.13043478260869501</v>
      </c>
      <c r="S56" s="25">
        <f ca="1">IFERROR(__xludf.DUMMYFUNCTION("""COMPUTED_VALUE"""),0.1)</f>
        <v>0.1</v>
      </c>
      <c r="T56" s="25">
        <f ca="1">IFERROR(__xludf.DUMMYFUNCTION("""COMPUTED_VALUE"""),0)</f>
        <v>0</v>
      </c>
      <c r="U56" s="25">
        <f ca="1">IFERROR(__xludf.DUMMYFUNCTION("""COMPUTED_VALUE"""),0.181818181818181)</f>
        <v>0.18181818181818099</v>
      </c>
      <c r="V56" s="25">
        <f ca="1">IFERROR(__xludf.DUMMYFUNCTION("""COMPUTED_VALUE"""),0)</f>
        <v>0</v>
      </c>
      <c r="W56" s="4"/>
      <c r="X56" s="4" t="str">
        <f ca="1">IFERROR(__xludf.DUMMYFUNCTION("""COMPUTED_VALUE"""),"| 1 L PHP-CGM % | 3 P PHP-CGM @ | 5 P Python @ ")</f>
        <v xml:space="preserve">| 1 L PHP-CGM % | 3 P PHP-CGM @ | 5 P Python @ </v>
      </c>
      <c r="Y56" s="4" t="str">
        <f ca="1">IFERROR(__xludf.DUMMYFUNCTION("""COMPUTED_VALUE"""),"| 1 P CPT % | 3 L JAVA @ | 4 L CPT @ | 5 P Python @ ")</f>
        <v xml:space="preserve">| 1 P CPT % | 3 L JAVA @ | 4 L CPT @ | 5 P Python @ </v>
      </c>
      <c r="Z56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AA56" s="4" t="str">
        <f ca="1">IFERROR(__xludf.DUMMYFUNCTION("""COMPUTED_VALUE"""),"| 3 L PHP-CGM @ | 4 L NS @ | 1 L INE % | 5 P PRO @ ")</f>
        <v xml:space="preserve">| 3 L PHP-CGM @ | 4 L NS @ | 1 L INE % | 5 P PRO @ </v>
      </c>
      <c r="AB56" s="4" t="str">
        <f ca="1">IFERROR(__xludf.DUMMYFUNCTION("""COMPUTED_VALUE"""),"| 1 L CPT @ | 2 L NS @ | 3 P NS @ | 5 P JAVA @ ")</f>
        <v xml:space="preserve">| 1 L CPT @ | 2 L NS @ | 3 P NS @ | 5 P JAVA @ </v>
      </c>
      <c r="AC56" s="4" t="str">
        <f ca="1">IFERROR(__xludf.DUMMYFUNCTION("""COMPUTED_VALUE"""),"| 1 L PHP-CGM % | 2 L JAVA % | 3 P PHP-CGM % | 5 P Python @ ")</f>
        <v xml:space="preserve">| 1 L PHP-CGM % | 2 L JAVA % | 3 P PHP-CGM % | 5 P Python @ </v>
      </c>
      <c r="AD56" s="4" t="str">
        <f ca="1">IFERROR(__xludf.DUMMYFUNCTION("""COMPUTED_VALUE"""),"| 1 P CPT % | 3 L JAVA % | 4 L CPT % | 5 P Python @ ")</f>
        <v xml:space="preserve">| 1 P CPT % | 3 L JAVA % | 4 L CPT % | 5 P Python @ </v>
      </c>
      <c r="AE56" s="4" t="str">
        <f ca="1">IFERROR(__xludf.DUMMYFUNCTION("""COMPUTED_VALUE"""),"| 1 P JAVA % | 4 L JAVA @ | 3 L NS @ | 5 L PHP-CGM @ | 6 L CPT @ ")</f>
        <v xml:space="preserve">| 1 P JAVA % | 4 L JAVA @ | 3 L NS @ | 5 L PHP-CGM @ | 6 L CPT @ </v>
      </c>
      <c r="AF56" s="4" t="str">
        <f ca="1">IFERROR(__xludf.DUMMYFUNCTION("""COMPUTED_VALUE"""),"| 3 L PHP-CGM @ | 4 L NS @ | 5 P PRO @ ")</f>
        <v xml:space="preserve">| 3 L PHP-CGM @ | 4 L NS @ | 5 P PRO @ </v>
      </c>
      <c r="AG56" s="4" t="str">
        <f ca="1">IFERROR(__xludf.DUMMYFUNCTION("""COMPUTED_VALUE"""),"| 1 L CPT @ | 2 L NS @ | 3 P NS @ | 5 P JAVA @ ")</f>
        <v xml:space="preserve">| 1 L CPT @ | 2 L NS @ | 3 P NS @ | 5 P JAVA @ </v>
      </c>
      <c r="AH56" s="4" t="str">
        <f ca="1">IFERROR(__xludf.DUMMYFUNCTION("""COMPUTED_VALUE"""),"| 3 L PHP-CGM @ | 4 L NS @ | 5 L PRO @ ")</f>
        <v xml:space="preserve">| 3 L PHP-CGM @ | 4 L NS @ | 5 L PRO @ </v>
      </c>
      <c r="AI56" s="4" t="str">
        <f ca="1">IFERROR(__xludf.DUMMYFUNCTION("""COMPUTED_VALUE"""),"| 1 L CPT % | 2 L NS % | 3 P NS % | 5 P JAVA @ ")</f>
        <v xml:space="preserve">| 1 L CPT % | 2 L NS % | 3 P NS % | 5 P JAVA @ </v>
      </c>
      <c r="AJ56" s="4" t="str">
        <f ca="1">IFERROR(__xludf.DUMMYFUNCTION("""COMPUTED_VALUE"""),"| 1 L PHP-CGM % | 2 L JAVA % | 3 P PHP-CGM % | 5 P Python % ")</f>
        <v xml:space="preserve">| 1 L PHP-CGM % | 2 L JAVA % | 3 P PHP-CGM % | 5 P Python % </v>
      </c>
      <c r="AK56" s="4" t="str">
        <f ca="1">IFERROR(__xludf.DUMMYFUNCTION("""COMPUTED_VALUE"""),"| 1 P CPT % | 3 L JAVA % | 4 L CPT % | 5 P Python @ ")</f>
        <v xml:space="preserve">| 1 P CPT % | 3 L JAVA % | 4 L CPT % | 5 P Python @ </v>
      </c>
      <c r="AL56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AM56" s="4" t="str">
        <f ca="1">IFERROR(__xludf.DUMMYFUNCTION("""COMPUTED_VALUE"""),"| 1 L INE @ | 4 L NS % | 3 L PHP-CGM % | 5 L PRO @ ")</f>
        <v xml:space="preserve">| 1 L INE @ | 4 L NS % | 3 L PHP-CGM % | 5 L PRO @ </v>
      </c>
      <c r="AN56" s="4" t="str">
        <f ca="1">IFERROR(__xludf.DUMMYFUNCTION("""COMPUTED_VALUE"""),"| 1 L CPT % | 2 L NS % | 3 P NS % | 5 P JAVA @ ")</f>
        <v xml:space="preserve">| 1 L CPT % | 2 L NS % | 3 P NS % | 5 P JAVA @ </v>
      </c>
      <c r="AO56" s="4" t="str">
        <f ca="1">IFERROR(__xludf.DUMMYFUNCTION("""COMPUTED_VALUE"""),"| 1 L PHP-CGM % | 2 L JAVA % | 3 P PHP-CGM % | 5 P Python @ ")</f>
        <v xml:space="preserve">| 1 L PHP-CGM % | 2 L JAVA % | 3 P PHP-CGM % | 5 P Python @ </v>
      </c>
      <c r="AP56" s="4" t="str">
        <f ca="1">IFERROR(__xludf.DUMMYFUNCTION("""COMPUTED_VALUE"""),"| 1 P CPT % | 3 L JAVA % | 4 L CPT @ | 5 P Python @ ")</f>
        <v xml:space="preserve">| 1 P CPT % | 3 L JAVA % | 4 L CPT @ | 5 P Python @ </v>
      </c>
      <c r="AQ56" s="4" t="str">
        <f ca="1">IFERROR(__xludf.DUMMYFUNCTION("""COMPUTED_VALUE"""),"| 1 P JAVA % | 3 L NS % | 4 L JAVA @ | 5 L PHP-CGM % | 6 L CPT @ ")</f>
        <v xml:space="preserve">| 1 P JAVA % | 3 L NS % | 4 L JAVA @ | 5 L PHP-CGM % | 6 L CPT @ </v>
      </c>
      <c r="AR56" s="4" t="str">
        <f ca="1">IFERROR(__xludf.DUMMYFUNCTION("""COMPUTED_VALUE"""),"| 1 L INE @ | 3 L PHP-CGM @ | 4 L NS @ | 5 L PRO @ ")</f>
        <v xml:space="preserve">| 1 L INE @ | 3 L PHP-CGM @ | 4 L NS @ | 5 L PRO @ </v>
      </c>
      <c r="AS56" s="4" t="str">
        <f ca="1">IFERROR(__xludf.DUMMYFUNCTION("""COMPUTED_VALUE"""),"| 1 L PHP-CGM % | 2 L JAVA % | 3 P PHP-CGM @ | 5 P Python @ ")</f>
        <v xml:space="preserve">| 1 L PHP-CGM % | 2 L JAVA % | 3 P PHP-CGM @ | 5 P Python @ </v>
      </c>
      <c r="AT56" s="4" t="str">
        <f ca="1">IFERROR(__xludf.DUMMYFUNCTION("""COMPUTED_VALUE"""),"| 1 P CPT % | 3 L JAVA % | 4 L CPT % | 5 P Python @ ")</f>
        <v xml:space="preserve">| 1 P CPT % | 3 L JAVA % | 4 L CPT % | 5 P Python @ </v>
      </c>
      <c r="AU56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V56" s="4" t="str">
        <f ca="1">IFERROR(__xludf.DUMMYFUNCTION("""COMPUTED_VALUE"""),"| 1 L INE @ | 3 L PHP-CGM @ | 4 L NS @ | 7 L PRO % ")</f>
        <v xml:space="preserve">| 1 L INE @ | 3 L PHP-CGM @ | 4 L NS @ | 7 L PRO % </v>
      </c>
      <c r="AW56" s="4" t="str">
        <f ca="1">IFERROR(__xludf.DUMMYFUNCTION("""COMPUTED_VALUE"""),"| 1 L CPT % | 3 P NS @ | 2 L NS % | 5 P JAVA @ ")</f>
        <v xml:space="preserve">| 1 L CPT % | 3 P NS @ | 2 L NS % | 5 P JAVA @ </v>
      </c>
      <c r="AX56" s="4" t="str">
        <f ca="1">IFERROR(__xludf.DUMMYFUNCTION("""COMPUTED_VALUE"""),"| 1 L PHP-CGM % | 2 L JAVA % | 3 P PHP-CGM @ | 5 P Python @ ")</f>
        <v xml:space="preserve">| 1 L PHP-CGM % | 2 L JAVA % | 3 P PHP-CGM @ | 5 P Python @ </v>
      </c>
      <c r="AY56" s="4" t="str">
        <f ca="1">IFERROR(__xludf.DUMMYFUNCTION("""COMPUTED_VALUE"""),"| 1 P CPT @ | 3 L JAVA @ | 4 L CPT @ | 5 P Python @ ")</f>
        <v xml:space="preserve">| 1 P CPT @ | 3 L JAVA @ | 4 L CPT @ | 5 P Python @ </v>
      </c>
      <c r="AZ56" s="4" t="str">
        <f ca="1">IFERROR(__xludf.DUMMYFUNCTION("""COMPUTED_VALUE"""),"| 1 L INE @ | 3 L PHP-CGM @ | 4 L NS @ | 5 L PRO @ ")</f>
        <v xml:space="preserve">| 1 L INE @ | 3 L PHP-CGM @ | 4 L NS @ | 5 L PRO @ </v>
      </c>
      <c r="BA56" s="4" t="str">
        <f ca="1">IFERROR(__xludf.DUMMYFUNCTION("""COMPUTED_VALUE"""),"| 1 L CPT % | 2 L NS % | 3 P NS @ | 5 P JAVA @ ")</f>
        <v xml:space="preserve">| 1 L CPT % | 2 L NS % | 3 P NS @ | 5 P JAVA @ </v>
      </c>
      <c r="BB56" s="4" t="str">
        <f ca="1">IFERROR(__xludf.DUMMYFUNCTION("""COMPUTED_VALUE"""),"| 1 L PHP-CGM % | 2 L JAVA @ | 3 P PHP-CGM @ | 5 P Python @ ")</f>
        <v xml:space="preserve">| 1 L PHP-CGM % | 2 L JAVA @ | 3 P PHP-CGM @ | 5 P Python @ </v>
      </c>
      <c r="BC56" s="4" t="str">
        <f ca="1">IFERROR(__xludf.DUMMYFUNCTION("""COMPUTED_VALUE"""),"| 1 P CPT % | 3 L JAVA @ | 4 L CPT @ | 5 P Python @ ")</f>
        <v xml:space="preserve">| 1 P CPT % | 3 L JAVA @ | 4 L CPT @ | 5 P Python @ </v>
      </c>
      <c r="BD56" s="4" t="str">
        <f ca="1">IFERROR(__xludf.DUMMYFUNCTION("""COMPUTED_VALUE"""),"| 1 P JAVA @ | 3 L NS @ | 6 L CPT @ | 5 L PHP-CGM @ | 4 L JAVA @ ")</f>
        <v xml:space="preserve">| 1 P JAVA @ | 3 L NS @ | 6 L CPT @ | 5 L PHP-CGM @ | 4 L JAVA @ </v>
      </c>
      <c r="BE56" s="4" t="str">
        <f ca="1">IFERROR(__xludf.DUMMYFUNCTION("""COMPUTED_VALUE"""),"| 1 L INE @ | 3 L PHP-CGM @ | 4 L NS @ | 5 L PRO @ ")</f>
        <v xml:space="preserve">| 1 L INE @ | 3 L PHP-CGM @ | 4 L NS @ | 5 L PRO @ </v>
      </c>
      <c r="BF56" s="4" t="str">
        <f ca="1">IFERROR(__xludf.DUMMYFUNCTION("""COMPUTED_VALUE"""),"| 1 L CPT @ | 2 L NS @ | 3 P NS @ | 5 P JAVA @ ")</f>
        <v xml:space="preserve">| 1 L CPT @ | 2 L NS @ | 3 P NS @ | 5 P JAVA @ </v>
      </c>
      <c r="BG56" s="4" t="str">
        <f ca="1">IFERROR(__xludf.DUMMYFUNCTION("""COMPUTED_VALUE"""),"| 1 P CPT @ | 4 L CPT @ | 5 P Python @ ")</f>
        <v xml:space="preserve">| 1 P CPT @ | 4 L CPT @ | 5 P Python @ </v>
      </c>
      <c r="BH56" s="4" t="str">
        <f ca="1">IFERROR(__xludf.DUMMYFUNCTION("""COMPUTED_VALUE"""),"| 1 P JAVA @ | 3 L NS % | 4 L JAVA % | 5 L PHP-CGM @ | 6 L CPT @ ")</f>
        <v xml:space="preserve">| 1 P JAVA @ | 3 L NS % | 4 L JAVA % | 5 L PHP-CGM @ | 6 L CPT @ </v>
      </c>
      <c r="BI56" s="4" t="str">
        <f ca="1">IFERROR(__xludf.DUMMYFUNCTION("""COMPUTED_VALUE"""),"| 1 L INE @ | 3 L PHP-CGM @ | 4 L NS @ | 5 L PRO @ ")</f>
        <v xml:space="preserve">| 1 L INE @ | 3 L PHP-CGM @ | 4 L NS @ | 5 L PRO @ </v>
      </c>
      <c r="BJ56" s="4" t="str">
        <f ca="1">IFERROR(__xludf.DUMMYFUNCTION("""COMPUTED_VALUE"""),"| 1 L CPT @ | 2 L NS % | 3 P NS % | 5 P JAVA @ ")</f>
        <v xml:space="preserve">| 1 L CPT @ | 2 L NS % | 3 P NS % | 5 P JAVA @ </v>
      </c>
      <c r="BK56" s="4" t="str">
        <f ca="1">IFERROR(__xludf.DUMMYFUNCTION("""COMPUTED_VALUE"""),"| 1 L PHP-CGM @ | 2 L JAVA @ | 3 P PHP-CGM @ | 5 P Python @ ")</f>
        <v xml:space="preserve">| 1 L PHP-CGM @ | 2 L JAVA @ | 3 P PHP-CGM @ | 5 P Python @ </v>
      </c>
      <c r="BL56" s="4" t="str">
        <f ca="1">IFERROR(__xludf.DUMMYFUNCTION("""COMPUTED_VALUE"""),"| 1 P CPT @ | 3 L JAVA @ | 4 L CPT @ | 5 P Python @ ")</f>
        <v xml:space="preserve">| 1 P CPT @ | 3 L JAVA @ | 4 L CPT @ | 5 P Python @ </v>
      </c>
      <c r="BM56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56" s="4" t="str">
        <f ca="1">IFERROR(__xludf.DUMMYFUNCTION("""COMPUTED_VALUE"""),"| 1 L INE @ | 3 L PHP-CGM % | 4 L NS % | 5 L PRO @ ")</f>
        <v xml:space="preserve">| 1 L INE @ | 3 L PHP-CGM % | 4 L NS % | 5 L PRO @ </v>
      </c>
      <c r="BO56" s="4" t="str">
        <f ca="1">IFERROR(__xludf.DUMMYFUNCTION("""COMPUTED_VALUE"""),"| 1 L CPT @ | 2 L NS @ | 3 P NS @ ")</f>
        <v xml:space="preserve">| 1 L CPT @ | 2 L NS @ | 3 P NS @ </v>
      </c>
      <c r="BP56" s="4" t="str">
        <f ca="1">IFERROR(__xludf.DUMMYFUNCTION("""COMPUTED_VALUE"""),"| 1 L PHP-CGM % | 2 L JAVA % | 3 P PHP-CGM @ | 5 P Python @ ")</f>
        <v xml:space="preserve">| 1 L PHP-CGM % | 2 L JAVA % | 3 P PHP-CGM @ | 5 P Python @ </v>
      </c>
      <c r="BQ56" s="4" t="str">
        <f ca="1">IFERROR(__xludf.DUMMYFUNCTION("""COMPUTED_VALUE"""),"| 5 L PHP-CGM % | 6 L CPT % ")</f>
        <v xml:space="preserve">| 5 L PHP-CGM % | 6 L CPT % </v>
      </c>
      <c r="BR56" s="4"/>
      <c r="BS56" s="4"/>
      <c r="BT56" s="4" t="str">
        <f ca="1">IFERROR(__xludf.DUMMYFUNCTION("""COMPUTED_VALUE"""),"| 1 L PHP-CGM @ | 2 L JAVA @ | 3 P PHP-CGM @ ")</f>
        <v xml:space="preserve">| 1 L PHP-CGM @ | 2 L JAVA @ | 3 P PHP-CGM @ </v>
      </c>
      <c r="BU56" s="4" t="str">
        <f ca="1">IFERROR(__xludf.DUMMYFUNCTION("""COMPUTED_VALUE"""),"| 1 P CPT @ | 4 L CPT @ | 3 L JAVA @ ")</f>
        <v xml:space="preserve">| 1 P CPT @ | 4 L CPT @ | 3 L JAVA @ </v>
      </c>
      <c r="BV56" s="4" t="str">
        <f ca="1">IFERROR(__xludf.DUMMYFUNCTION("""COMPUTED_VALUE"""),"| 1 L PHP-CGM % | 2 L JAVA % | 3 P PHP-CGM @ | 5 P Python @ ")</f>
        <v xml:space="preserve">| 1 L PHP-CGM % | 2 L JAVA % | 3 P PHP-CGM @ | 5 P Python @ </v>
      </c>
      <c r="BW56" s="4" t="str">
        <f ca="1">IFERROR(__xludf.DUMMYFUNCTION("""COMPUTED_VALUE"""),"| 1 P CPT @ | 3 L JAVA @ | 4 L CPT @ ")</f>
        <v xml:space="preserve">| 1 P CPT @ | 3 L JAVA @ | 4 L CPT @ </v>
      </c>
      <c r="BX56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56" s="4" t="str">
        <f ca="1">IFERROR(__xludf.DUMMYFUNCTION("""COMPUTED_VALUE"""),"| 1 L INE @ | 3 L PHP-CGM % | 4 L NS % | 5 L PRO @ ")</f>
        <v xml:space="preserve">| 1 L INE @ | 3 L PHP-CGM % | 4 L NS % | 5 L PRO @ </v>
      </c>
      <c r="BZ56" s="4" t="str">
        <f ca="1">IFERROR(__xludf.DUMMYFUNCTION("""COMPUTED_VALUE"""),"| 1 L CPT % | 2 L NS % | 3 P NS % | 5 P JAVA @ ")</f>
        <v xml:space="preserve">| 1 L CPT % | 2 L NS % | 3 P NS % | 5 P JAVA @ </v>
      </c>
      <c r="CA56" s="4" t="str">
        <f ca="1">IFERROR(__xludf.DUMMYFUNCTION("""COMPUTED_VALUE"""),"| 1 L PHP-CGM % | 2 L JAVA % | 3 P PHP-CGM % | 5 P Python % ")</f>
        <v xml:space="preserve">| 1 L PHP-CGM % | 2 L JAVA % | 3 P PHP-CGM % | 5 P Python % </v>
      </c>
      <c r="CB56" s="4" t="str">
        <f ca="1">IFERROR(__xludf.DUMMYFUNCTION("""COMPUTED_VALUE"""),"| 1 P CPT @ | 3 L JAVA % | 4 L CPT @ | 5 P Python @ ")</f>
        <v xml:space="preserve">| 1 P CPT @ | 3 L JAVA % | 4 L CPT @ | 5 P Python @ </v>
      </c>
      <c r="CC56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56" s="4" t="str">
        <f ca="1">IFERROR(__xludf.DUMMYFUNCTION("""COMPUTED_VALUE"""),"| 1 L INE % | 3 L PHP-CGM % | 4 L NS @ | 5 L PRO @ ")</f>
        <v xml:space="preserve">| 1 L INE % | 3 L PHP-CGM % | 4 L NS @ | 5 L PRO @ </v>
      </c>
      <c r="CE56" s="4" t="str">
        <f ca="1">IFERROR(__xludf.DUMMYFUNCTION("""COMPUTED_VALUE"""),"| 1 L CPT % | 2 L NS % | 3 P NS % | 5 P JAVA % ")</f>
        <v xml:space="preserve">| 1 L CPT % | 2 L NS % | 3 P NS % | 5 P JAVA % </v>
      </c>
      <c r="CF56" s="4" t="str">
        <f ca="1">IFERROR(__xludf.DUMMYFUNCTION("""COMPUTED_VALUE"""),"| 1 L PHP-CGM % | 2 L JAVA % | 3 P PHP-CGM % | 5 P Python @ ")</f>
        <v xml:space="preserve">| 1 L PHP-CGM % | 2 L JAVA % | 3 P PHP-CGM % | 5 P Python @ </v>
      </c>
      <c r="CG56" s="4" t="str">
        <f ca="1">IFERROR(__xludf.DUMMYFUNCTION("""COMPUTED_VALUE"""),"| 1 P CPT % | 4 L CPT @ | 5 P Python % ")</f>
        <v xml:space="preserve">| 1 P CPT % | 4 L CPT @ | 5 P Python % </v>
      </c>
      <c r="CH56" s="4" t="str">
        <f ca="1">IFERROR(__xludf.DUMMYFUNCTION("""COMPUTED_VALUE"""),"| 1 P JAVA % | 3 L NS @ | 6 L CPT @ ")</f>
        <v xml:space="preserve">| 1 P JAVA % | 3 L NS @ | 6 L CPT @ </v>
      </c>
      <c r="CI56" s="4" t="str">
        <f ca="1">IFERROR(__xludf.DUMMYFUNCTION("""COMPUTED_VALUE"""),"| 1 L INE @ ")</f>
        <v xml:space="preserve">| 1 L INE @ </v>
      </c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</row>
    <row r="57" spans="1:102" ht="12.5" x14ac:dyDescent="0.25">
      <c r="A57" s="3">
        <f ca="1">IFERROR(__xludf.DUMMYFUNCTION("""COMPUTED_VALUE"""),3)</f>
        <v>3</v>
      </c>
      <c r="B57" s="3" t="str">
        <f ca="1">IFERROR(__xludf.DUMMYFUNCTION("""COMPUTED_VALUE"""),"A")</f>
        <v>A</v>
      </c>
      <c r="C57" s="32" t="str">
        <f ca="1">IFERROR(__xludf.DUMMYFUNCTION("""COMPUTED_VALUE"""),"23291341146")</f>
        <v>23291341146</v>
      </c>
      <c r="D57" s="21" t="str">
        <f ca="1">IFERROR(__xludf.DUMMYFUNCTION("""COMPUTED_VALUE"""),"RATHOD SUHANI")</f>
        <v>RATHOD SUHANI</v>
      </c>
      <c r="E57" s="3" t="str">
        <f ca="1">IFERROR(__xludf.DUMMYFUNCTION("""COMPUTED_VALUE"""),"RRP-Mor")</f>
        <v>RRP-Mor</v>
      </c>
      <c r="F57" s="3">
        <f ca="1">IFERROR(__xludf.DUMMYFUNCTION("""COMPUTED_VALUE"""),8735966501)</f>
        <v>8735966501</v>
      </c>
      <c r="G57" s="3"/>
      <c r="H57" s="33">
        <f ca="1">IFERROR(__xludf.DUMMYFUNCTION("""COMPUTED_VALUE"""),0.604938271604938)</f>
        <v>0.60493827160493796</v>
      </c>
      <c r="I57" s="25">
        <f ca="1">IFERROR(__xludf.DUMMYFUNCTION("""COMPUTED_VALUE"""),0.5)</f>
        <v>0.5</v>
      </c>
      <c r="J57" s="25">
        <f ca="1">IFERROR(__xludf.DUMMYFUNCTION("""COMPUTED_VALUE"""),0.538461538461538)</f>
        <v>0.53846153846153799</v>
      </c>
      <c r="K57" s="25">
        <f ca="1">IFERROR(__xludf.DUMMYFUNCTION("""COMPUTED_VALUE"""),0.794117647058823)</f>
        <v>0.79411764705882304</v>
      </c>
      <c r="L57" s="25">
        <f ca="1">IFERROR(__xludf.DUMMYFUNCTION("""COMPUTED_VALUE"""),0.909090909090909)</f>
        <v>0.90909090909090895</v>
      </c>
      <c r="M57" s="25">
        <f ca="1">IFERROR(__xludf.DUMMYFUNCTION("""COMPUTED_VALUE"""),0.722222222222222)</f>
        <v>0.72222222222222199</v>
      </c>
      <c r="N57" s="25">
        <f ca="1">IFERROR(__xludf.DUMMYFUNCTION("""COMPUTED_VALUE"""),0.538461538461538)</f>
        <v>0.53846153846153799</v>
      </c>
      <c r="O57" s="25">
        <f ca="1">IFERROR(__xludf.DUMMYFUNCTION("""COMPUTED_VALUE"""),0.757575757575757)</f>
        <v>0.75757575757575701</v>
      </c>
      <c r="P57" s="25">
        <f ca="1">IFERROR(__xludf.DUMMYFUNCTION("""COMPUTED_VALUE"""),0.428571428571428)</f>
        <v>0.42857142857142799</v>
      </c>
      <c r="Q57" s="25">
        <f ca="1">IFERROR(__xludf.DUMMYFUNCTION("""COMPUTED_VALUE"""),0)</f>
        <v>0</v>
      </c>
      <c r="R57" s="25">
        <f ca="1">IFERROR(__xludf.DUMMYFUNCTION("""COMPUTED_VALUE"""),0.521739130434782)</f>
        <v>0.52173913043478204</v>
      </c>
      <c r="S57" s="25">
        <f ca="1">IFERROR(__xludf.DUMMYFUNCTION("""COMPUTED_VALUE"""),0.2)</f>
        <v>0.2</v>
      </c>
      <c r="T57" s="25">
        <f ca="1">IFERROR(__xludf.DUMMYFUNCTION("""COMPUTED_VALUE"""),1)</f>
        <v>1</v>
      </c>
      <c r="U57" s="25">
        <f ca="1">IFERROR(__xludf.DUMMYFUNCTION("""COMPUTED_VALUE"""),0.181818181818181)</f>
        <v>0.18181818181818099</v>
      </c>
      <c r="V57" s="25">
        <f ca="1">IFERROR(__xludf.DUMMYFUNCTION("""COMPUTED_VALUE"""),0)</f>
        <v>0</v>
      </c>
      <c r="W57" s="4"/>
      <c r="X57" s="4" t="str">
        <f ca="1">IFERROR(__xludf.DUMMYFUNCTION("""COMPUTED_VALUE"""),"| 1 L PHP-CGM @ | 3 P PHP-CGM @ | 5 P Python @ ")</f>
        <v xml:space="preserve">| 1 L PHP-CGM @ | 3 P PHP-CGM @ | 5 P Python @ </v>
      </c>
      <c r="Y57" s="4" t="str">
        <f ca="1">IFERROR(__xludf.DUMMYFUNCTION("""COMPUTED_VALUE"""),"| 1 P CPT % | 3 L JAVA @ | 4 L CPT @ | 5 P Python % ")</f>
        <v xml:space="preserve">| 1 P CPT % | 3 L JAVA @ | 4 L CPT @ | 5 P Python % </v>
      </c>
      <c r="Z57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A57" s="4" t="str">
        <f ca="1">IFERROR(__xludf.DUMMYFUNCTION("""COMPUTED_VALUE"""),"| 3 L PHP-CGM % | 4 L NS % | 1 L INE % | 5 P PRO % ")</f>
        <v xml:space="preserve">| 3 L PHP-CGM % | 4 L NS % | 1 L INE % | 5 P PRO % </v>
      </c>
      <c r="AB57" s="4" t="str">
        <f ca="1">IFERROR(__xludf.DUMMYFUNCTION("""COMPUTED_VALUE"""),"| 1 L CPT % | 2 L NS % | 3 P NS % | 5 P JAVA @ ")</f>
        <v xml:space="preserve">| 1 L CPT % | 2 L NS % | 3 P NS % | 5 P JAVA @ </v>
      </c>
      <c r="AC57" s="4" t="str">
        <f ca="1">IFERROR(__xludf.DUMMYFUNCTION("""COMPUTED_VALUE"""),"| 1 L PHP-CGM % | 2 L JAVA % | 3 P PHP-CGM % | 5 P Python @ ")</f>
        <v xml:space="preserve">| 1 L PHP-CGM % | 2 L JAVA % | 3 P PHP-CGM % | 5 P Python @ </v>
      </c>
      <c r="AD57" s="4" t="str">
        <f ca="1">IFERROR(__xludf.DUMMYFUNCTION("""COMPUTED_VALUE"""),"| 1 P CPT @ | 3 L JAVA @ | 4 L CPT @ | 5 P Python @ ")</f>
        <v xml:space="preserve">| 1 P CPT @ | 3 L JAVA @ | 4 L CPT @ | 5 P Python @ </v>
      </c>
      <c r="AE57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57" s="4" t="str">
        <f ca="1">IFERROR(__xludf.DUMMYFUNCTION("""COMPUTED_VALUE"""),"| 3 L PHP-CGM % | 4 L NS % | 5 P PRO % ")</f>
        <v xml:space="preserve">| 3 L PHP-CGM % | 4 L NS % | 5 P PRO % </v>
      </c>
      <c r="AG57" s="4" t="str">
        <f ca="1">IFERROR(__xludf.DUMMYFUNCTION("""COMPUTED_VALUE"""),"| 1 L CPT % | 2 L NS % | 3 P NS % | 5 P JAVA @ ")</f>
        <v xml:space="preserve">| 1 L CPT % | 2 L NS % | 3 P NS % | 5 P JAVA @ </v>
      </c>
      <c r="AH57" s="4" t="str">
        <f ca="1">IFERROR(__xludf.DUMMYFUNCTION("""COMPUTED_VALUE"""),"| 3 L PHP-CGM % | 4 L NS % | 5 L PRO % ")</f>
        <v xml:space="preserve">| 3 L PHP-CGM % | 4 L NS % | 5 L PRO % </v>
      </c>
      <c r="AI57" s="4" t="str">
        <f ca="1">IFERROR(__xludf.DUMMYFUNCTION("""COMPUTED_VALUE"""),"| 1 L CPT % | 2 L NS % | 3 P NS % | 5 P JAVA @ ")</f>
        <v xml:space="preserve">| 1 L CPT % | 2 L NS % | 3 P NS % | 5 P JAVA @ </v>
      </c>
      <c r="AJ57" s="4" t="str">
        <f ca="1">IFERROR(__xludf.DUMMYFUNCTION("""COMPUTED_VALUE"""),"| 1 L PHP-CGM % | 2 L JAVA % | 3 P PHP-CGM % | 5 P Python % ")</f>
        <v xml:space="preserve">| 1 L PHP-CGM % | 2 L JAVA % | 3 P PHP-CGM % | 5 P Python % </v>
      </c>
      <c r="AK57" s="4" t="str">
        <f ca="1">IFERROR(__xludf.DUMMYFUNCTION("""COMPUTED_VALUE"""),"| 1 P CPT % | 3 L JAVA % | 4 L CPT % | 5 P Python @ ")</f>
        <v xml:space="preserve">| 1 P CPT % | 3 L JAVA % | 4 L CPT % | 5 P Python @ </v>
      </c>
      <c r="AL5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57" s="4" t="str">
        <f ca="1">IFERROR(__xludf.DUMMYFUNCTION("""COMPUTED_VALUE"""),"| 1 L INE @ | 4 L NS % | 3 L PHP-CGM % | 5 L PRO @ ")</f>
        <v xml:space="preserve">| 1 L INE @ | 4 L NS % | 3 L PHP-CGM % | 5 L PRO @ </v>
      </c>
      <c r="AN57" s="4" t="str">
        <f ca="1">IFERROR(__xludf.DUMMYFUNCTION("""COMPUTED_VALUE"""),"| 1 L CPT % | 2 L NS % | 3 P NS % | 5 P JAVA @ ")</f>
        <v xml:space="preserve">| 1 L CPT % | 2 L NS % | 3 P NS % | 5 P JAVA @ </v>
      </c>
      <c r="AO57" s="4" t="str">
        <f ca="1">IFERROR(__xludf.DUMMYFUNCTION("""COMPUTED_VALUE"""),"| 1 L PHP-CGM % | 2 L JAVA % | 3 P PHP-CGM % | 5 P Python % ")</f>
        <v xml:space="preserve">| 1 L PHP-CGM % | 2 L JAVA % | 3 P PHP-CGM % | 5 P Python % </v>
      </c>
      <c r="AP57" s="4" t="str">
        <f ca="1">IFERROR(__xludf.DUMMYFUNCTION("""COMPUTED_VALUE"""),"| 1 P CPT % | 3 L JAVA % | 4 L CPT % | 5 P Python % ")</f>
        <v xml:space="preserve">| 1 P CPT % | 3 L JAVA % | 4 L CPT % | 5 P Python % </v>
      </c>
      <c r="AQ5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57" s="4" t="str">
        <f ca="1">IFERROR(__xludf.DUMMYFUNCTION("""COMPUTED_VALUE"""),"| 1 L INE @ | 3 L PHP-CGM @ | 4 L NS @ | 5 L PRO @ ")</f>
        <v xml:space="preserve">| 1 L INE @ | 3 L PHP-CGM @ | 4 L NS @ | 5 L PRO @ </v>
      </c>
      <c r="AS57" s="4" t="str">
        <f ca="1">IFERROR(__xludf.DUMMYFUNCTION("""COMPUTED_VALUE"""),"| 1 L PHP-CGM % | 2 L JAVA % | 3 P PHP-CGM % | 5 P Python % ")</f>
        <v xml:space="preserve">| 1 L PHP-CGM % | 2 L JAVA % | 3 P PHP-CGM % | 5 P Python % </v>
      </c>
      <c r="AT57" s="4" t="str">
        <f ca="1">IFERROR(__xludf.DUMMYFUNCTION("""COMPUTED_VALUE"""),"| 1 P CPT @ | 3 L JAVA % | 4 L CPT @ | 5 P Python % ")</f>
        <v xml:space="preserve">| 1 P CPT @ | 3 L JAVA % | 4 L CPT @ | 5 P Python % </v>
      </c>
      <c r="AU5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57" s="4" t="str">
        <f ca="1">IFERROR(__xludf.DUMMYFUNCTION("""COMPUTED_VALUE"""),"| 1 L INE @ | 3 L PHP-CGM % | 4 L NS % | 7 L PRO @ ")</f>
        <v xml:space="preserve">| 1 L INE @ | 3 L PHP-CGM % | 4 L NS % | 7 L PRO @ </v>
      </c>
      <c r="AW57" s="4" t="str">
        <f ca="1">IFERROR(__xludf.DUMMYFUNCTION("""COMPUTED_VALUE"""),"| 1 L CPT % | 3 P NS % | 2 L NS % | 5 P JAVA @ ")</f>
        <v xml:space="preserve">| 1 L CPT % | 3 P NS % | 2 L NS % | 5 P JAVA @ </v>
      </c>
      <c r="AX57" s="4" t="str">
        <f ca="1">IFERROR(__xludf.DUMMYFUNCTION("""COMPUTED_VALUE"""),"| 1 L PHP-CGM % | 2 L JAVA % | 3 P PHP-CGM @ | 5 P Python % ")</f>
        <v xml:space="preserve">| 1 L PHP-CGM % | 2 L JAVA % | 3 P PHP-CGM @ | 5 P Python % </v>
      </c>
      <c r="AY57" s="4" t="str">
        <f ca="1">IFERROR(__xludf.DUMMYFUNCTION("""COMPUTED_VALUE"""),"| 1 P CPT % | 3 L JAVA % | 4 L CPT % | 5 P Python @ ")</f>
        <v xml:space="preserve">| 1 P CPT % | 3 L JAVA % | 4 L CPT % | 5 P Python @ </v>
      </c>
      <c r="AZ57" s="4" t="str">
        <f ca="1">IFERROR(__xludf.DUMMYFUNCTION("""COMPUTED_VALUE"""),"| 1 L INE @ | 3 L PHP-CGM % | 4 L NS @ | 5 L PRO % ")</f>
        <v xml:space="preserve">| 1 L INE @ | 3 L PHP-CGM % | 4 L NS @ | 5 L PRO % </v>
      </c>
      <c r="BA57" s="4" t="str">
        <f ca="1">IFERROR(__xludf.DUMMYFUNCTION("""COMPUTED_VALUE"""),"| 1 L CPT % | 2 L NS % | 3 P NS % | 5 P JAVA @ ")</f>
        <v xml:space="preserve">| 1 L CPT % | 2 L NS % | 3 P NS % | 5 P JAVA @ </v>
      </c>
      <c r="BB57" s="4" t="str">
        <f ca="1">IFERROR(__xludf.DUMMYFUNCTION("""COMPUTED_VALUE"""),"| 1 L PHP-CGM % | 2 L JAVA % | 3 P PHP-CGM % | 5 P Python % ")</f>
        <v xml:space="preserve">| 1 L PHP-CGM % | 2 L JAVA % | 3 P PHP-CGM % | 5 P Python % </v>
      </c>
      <c r="BC57" s="4" t="str">
        <f ca="1">IFERROR(__xludf.DUMMYFUNCTION("""COMPUTED_VALUE"""),"| 1 P CPT @ | 3 L JAVA @ | 4 L CPT @ | 5 P Python @ ")</f>
        <v xml:space="preserve">| 1 P CPT @ | 3 L JAVA @ | 4 L CPT @ | 5 P Python @ </v>
      </c>
      <c r="BD57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57" s="4" t="str">
        <f ca="1">IFERROR(__xludf.DUMMYFUNCTION("""COMPUTED_VALUE"""),"| 1 L INE @ | 3 L PHP-CGM % | 4 L NS % | 5 L PRO @ ")</f>
        <v xml:space="preserve">| 1 L INE @ | 3 L PHP-CGM % | 4 L NS % | 5 L PRO @ </v>
      </c>
      <c r="BF57" s="4" t="str">
        <f ca="1">IFERROR(__xludf.DUMMYFUNCTION("""COMPUTED_VALUE"""),"| 1 L CPT @ | 2 L NS % | 3 P NS % | 5 P JAVA @ ")</f>
        <v xml:space="preserve">| 1 L CPT @ | 2 L NS % | 3 P NS % | 5 P JAVA @ </v>
      </c>
      <c r="BG57" s="4" t="str">
        <f ca="1">IFERROR(__xludf.DUMMYFUNCTION("""COMPUTED_VALUE"""),"| 1 P CPT @ | 4 L CPT @ | 5 P Python % ")</f>
        <v xml:space="preserve">| 1 P CPT @ | 4 L CPT @ | 5 P Python % </v>
      </c>
      <c r="BH57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I57" s="4" t="str">
        <f ca="1">IFERROR(__xludf.DUMMYFUNCTION("""COMPUTED_VALUE"""),"| 1 L INE @ | 3 L PHP-CGM % | 4 L NS % | 5 L PRO @ ")</f>
        <v xml:space="preserve">| 1 L INE @ | 3 L PHP-CGM % | 4 L NS % | 5 L PRO @ </v>
      </c>
      <c r="BJ57" s="4" t="str">
        <f ca="1">IFERROR(__xludf.DUMMYFUNCTION("""COMPUTED_VALUE"""),"| 1 L CPT % | 2 L NS % | 3 P NS % | 5 P JAVA @ ")</f>
        <v xml:space="preserve">| 1 L CPT % | 2 L NS % | 3 P NS % | 5 P JAVA @ </v>
      </c>
      <c r="BK57" s="4" t="str">
        <f ca="1">IFERROR(__xludf.DUMMYFUNCTION("""COMPUTED_VALUE"""),"| 1 L PHP-CGM @ | 2 L JAVA @ | 3 P PHP-CGM @ | 5 P Python @ ")</f>
        <v xml:space="preserve">| 1 L PHP-CGM @ | 2 L JAVA @ | 3 P PHP-CGM @ | 5 P Python @ </v>
      </c>
      <c r="BL57" s="4" t="str">
        <f ca="1">IFERROR(__xludf.DUMMYFUNCTION("""COMPUTED_VALUE"""),"| 1 P CPT @ | 3 L JAVA @ | 4 L CPT @ | 5 P Python @ ")</f>
        <v xml:space="preserve">| 1 P CPT @ | 3 L JAVA @ | 4 L CPT @ | 5 P Python @ </v>
      </c>
      <c r="BM57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57" s="4" t="str">
        <f ca="1">IFERROR(__xludf.DUMMYFUNCTION("""COMPUTED_VALUE"""),"| 1 L INE @ | 3 L PHP-CGM % | 4 L NS % | 5 L PRO @ ")</f>
        <v xml:space="preserve">| 1 L INE @ | 3 L PHP-CGM % | 4 L NS % | 5 L PRO @ </v>
      </c>
      <c r="BO57" s="4" t="str">
        <f ca="1">IFERROR(__xludf.DUMMYFUNCTION("""COMPUTED_VALUE"""),"| 1 L CPT @ | 2 L NS @ | 3 P NS @ ")</f>
        <v xml:space="preserve">| 1 L CPT @ | 2 L NS @ | 3 P NS @ </v>
      </c>
      <c r="BP57" s="4" t="str">
        <f ca="1">IFERROR(__xludf.DUMMYFUNCTION("""COMPUTED_VALUE"""),"| 1 L PHP-CGM @ | 2 L JAVA % | 3 P PHP-CGM @ | 5 P Python @ ")</f>
        <v xml:space="preserve">| 1 L PHP-CGM @ | 2 L JAVA % | 3 P PHP-CGM @ | 5 P Python @ </v>
      </c>
      <c r="BQ57" s="4" t="str">
        <f ca="1">IFERROR(__xludf.DUMMYFUNCTION("""COMPUTED_VALUE"""),"| 5 L PHP-CGM % | 6 L CPT @ ")</f>
        <v xml:space="preserve">| 5 L PHP-CGM % | 6 L CPT @ </v>
      </c>
      <c r="BR57" s="4"/>
      <c r="BS57" s="4"/>
      <c r="BT57" s="4" t="str">
        <f ca="1">IFERROR(__xludf.DUMMYFUNCTION("""COMPUTED_VALUE"""),"| 1 L PHP-CGM % | 2 L JAVA % | 3 P PHP-CGM @ ")</f>
        <v xml:space="preserve">| 1 L PHP-CGM % | 2 L JAVA % | 3 P PHP-CGM @ </v>
      </c>
      <c r="BU57" s="4" t="str">
        <f ca="1">IFERROR(__xludf.DUMMYFUNCTION("""COMPUTED_VALUE"""),"| 1 P CPT @ | 4 L CPT @ | 3 L JAVA @ ")</f>
        <v xml:space="preserve">| 1 P CPT @ | 4 L CPT @ | 3 L JAVA @ </v>
      </c>
      <c r="BV57" s="4" t="str">
        <f ca="1">IFERROR(__xludf.DUMMYFUNCTION("""COMPUTED_VALUE"""),"| 1 L PHP-CGM % | 2 L JAVA % | 3 P PHP-CGM @ | 5 P Python @ ")</f>
        <v xml:space="preserve">| 1 L PHP-CGM % | 2 L JAVA % | 3 P PHP-CGM @ | 5 P Python @ </v>
      </c>
      <c r="BW57" s="4" t="str">
        <f ca="1">IFERROR(__xludf.DUMMYFUNCTION("""COMPUTED_VALUE"""),"| 1 P CPT % | 3 L JAVA % | 4 L CPT % ")</f>
        <v xml:space="preserve">| 1 P CPT % | 3 L JAVA % | 4 L CPT % </v>
      </c>
      <c r="BX57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57" s="4" t="str">
        <f ca="1">IFERROR(__xludf.DUMMYFUNCTION("""COMPUTED_VALUE"""),"| 1 L INE @ | 3 L PHP-CGM @ | 4 L NS @ | 5 L PRO @ ")</f>
        <v xml:space="preserve">| 1 L INE @ | 3 L PHP-CGM @ | 4 L NS @ | 5 L PRO @ </v>
      </c>
      <c r="BZ57" s="4" t="str">
        <f ca="1">IFERROR(__xludf.DUMMYFUNCTION("""COMPUTED_VALUE"""),"| 1 L CPT % | 2 L NS % | 3 P NS % | 5 P JAVA @ ")</f>
        <v xml:space="preserve">| 1 L CPT % | 2 L NS % | 3 P NS % | 5 P JAVA @ </v>
      </c>
      <c r="CA57" s="4" t="str">
        <f ca="1">IFERROR(__xludf.DUMMYFUNCTION("""COMPUTED_VALUE"""),"| 1 L PHP-CGM % | 2 L JAVA % | 3 P PHP-CGM % | 5 P Python @ ")</f>
        <v xml:space="preserve">| 1 L PHP-CGM % | 2 L JAVA % | 3 P PHP-CGM % | 5 P Python @ </v>
      </c>
      <c r="CB57" s="4" t="str">
        <f ca="1">IFERROR(__xludf.DUMMYFUNCTION("""COMPUTED_VALUE"""),"| 1 P CPT % | 3 L JAVA % | 4 L CPT % | 5 P Python % ")</f>
        <v xml:space="preserve">| 1 P CPT % | 3 L JAVA % | 4 L CPT % | 5 P Python % </v>
      </c>
      <c r="CC57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57" s="4" t="str">
        <f ca="1">IFERROR(__xludf.DUMMYFUNCTION("""COMPUTED_VALUE"""),"| 1 L INE % | 3 L PHP-CGM % | 4 L NS % | 5 L PRO @ ")</f>
        <v xml:space="preserve">| 1 L INE % | 3 L PHP-CGM % | 4 L NS % | 5 L PRO @ </v>
      </c>
      <c r="CE57" s="4" t="str">
        <f ca="1">IFERROR(__xludf.DUMMYFUNCTION("""COMPUTED_VALUE"""),"| 1 L CPT @ | 2 L NS % | 3 P NS % | 5 P JAVA @ ")</f>
        <v xml:space="preserve">| 1 L CPT @ | 2 L NS % | 3 P NS % | 5 P JAVA @ </v>
      </c>
      <c r="CF57" s="4" t="str">
        <f ca="1">IFERROR(__xludf.DUMMYFUNCTION("""COMPUTED_VALUE"""),"| 1 L PHP-CGM % | 2 L JAVA % | 3 P PHP-CGM % | 5 P Python % ")</f>
        <v xml:space="preserve">| 1 L PHP-CGM % | 2 L JAVA % | 3 P PHP-CGM % | 5 P Python % </v>
      </c>
      <c r="CG57" s="4" t="str">
        <f ca="1">IFERROR(__xludf.DUMMYFUNCTION("""COMPUTED_VALUE"""),"| 1 P CPT % | 4 L CPT @ | 5 P Python % ")</f>
        <v xml:space="preserve">| 1 P CPT % | 4 L CPT @ | 5 P Python % </v>
      </c>
      <c r="CH57" s="4" t="str">
        <f ca="1">IFERROR(__xludf.DUMMYFUNCTION("""COMPUTED_VALUE"""),"| 1 P JAVA % | 3 L NS @ | 6 L CPT @ ")</f>
        <v xml:space="preserve">| 1 P JAVA % | 3 L NS @ | 6 L CPT @ </v>
      </c>
      <c r="CI57" s="4" t="str">
        <f ca="1">IFERROR(__xludf.DUMMYFUNCTION("""COMPUTED_VALUE"""),"| 1 L INE @ ")</f>
        <v xml:space="preserve">| 1 L INE @ </v>
      </c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</row>
    <row r="58" spans="1:102" ht="12.5" x14ac:dyDescent="0.25">
      <c r="A58" s="3">
        <f ca="1">IFERROR(__xludf.DUMMYFUNCTION("""COMPUTED_VALUE"""),3)</f>
        <v>3</v>
      </c>
      <c r="B58" s="3" t="str">
        <f ca="1">IFERROR(__xludf.DUMMYFUNCTION("""COMPUTED_VALUE"""),"A")</f>
        <v>A</v>
      </c>
      <c r="C58" s="32" t="str">
        <f ca="1">IFERROR(__xludf.DUMMYFUNCTION("""COMPUTED_VALUE"""),"23291341149")</f>
        <v>23291341149</v>
      </c>
      <c r="D58" s="21" t="str">
        <f ca="1">IFERROR(__xludf.DUMMYFUNCTION("""COMPUTED_VALUE"""),"RAVAL YADITI VINODBHAI")</f>
        <v>RAVAL YADITI VINODBHAI</v>
      </c>
      <c r="E58" s="3" t="str">
        <f ca="1">IFERROR(__xludf.DUMMYFUNCTION("""COMPUTED_VALUE"""),"RRP-Mor")</f>
        <v>RRP-Mor</v>
      </c>
      <c r="F58" s="3">
        <f ca="1">IFERROR(__xludf.DUMMYFUNCTION("""COMPUTED_VALUE"""),9904532961)</f>
        <v>9904532961</v>
      </c>
      <c r="G58" s="3">
        <f ca="1">IFERROR(__xludf.DUMMYFUNCTION("""COMPUTED_VALUE"""),7600945317)</f>
        <v>7600945317</v>
      </c>
      <c r="H58" s="33">
        <f ca="1">IFERROR(__xludf.DUMMYFUNCTION("""COMPUTED_VALUE"""),0.48559670781893)</f>
        <v>0.48559670781893</v>
      </c>
      <c r="I58" s="25">
        <f ca="1">IFERROR(__xludf.DUMMYFUNCTION("""COMPUTED_VALUE"""),0.416666666666666)</f>
        <v>0.41666666666666602</v>
      </c>
      <c r="J58" s="25">
        <f ca="1">IFERROR(__xludf.DUMMYFUNCTION("""COMPUTED_VALUE"""),0.23076923076923)</f>
        <v>0.23076923076923</v>
      </c>
      <c r="K58" s="25">
        <f ca="1">IFERROR(__xludf.DUMMYFUNCTION("""COMPUTED_VALUE"""),0.617647058823529)</f>
        <v>0.61764705882352899</v>
      </c>
      <c r="L58" s="25">
        <f ca="1">IFERROR(__xludf.DUMMYFUNCTION("""COMPUTED_VALUE"""),0.454545454545454)</f>
        <v>0.45454545454545398</v>
      </c>
      <c r="M58" s="25">
        <f ca="1">IFERROR(__xludf.DUMMYFUNCTION("""COMPUTED_VALUE"""),0.5)</f>
        <v>0.5</v>
      </c>
      <c r="N58" s="25">
        <f ca="1">IFERROR(__xludf.DUMMYFUNCTION("""COMPUTED_VALUE"""),0.461538461538461)</f>
        <v>0.46153846153846101</v>
      </c>
      <c r="O58" s="25">
        <f ca="1">IFERROR(__xludf.DUMMYFUNCTION("""COMPUTED_VALUE"""),0.484848484848484)</f>
        <v>0.48484848484848397</v>
      </c>
      <c r="P58" s="25">
        <f ca="1">IFERROR(__xludf.DUMMYFUNCTION("""COMPUTED_VALUE"""),0.619047619047619)</f>
        <v>0.61904761904761896</v>
      </c>
      <c r="Q58" s="25">
        <f ca="1">IFERROR(__xludf.DUMMYFUNCTION("""COMPUTED_VALUE"""),0)</f>
        <v>0</v>
      </c>
      <c r="R58" s="25">
        <f ca="1">IFERROR(__xludf.DUMMYFUNCTION("""COMPUTED_VALUE"""),0.434782608695652)</f>
        <v>0.434782608695652</v>
      </c>
      <c r="S58" s="25">
        <f ca="1">IFERROR(__xludf.DUMMYFUNCTION("""COMPUTED_VALUE"""),0.5)</f>
        <v>0.5</v>
      </c>
      <c r="T58" s="25">
        <f ca="1">IFERROR(__xludf.DUMMYFUNCTION("""COMPUTED_VALUE"""),0.5)</f>
        <v>0.5</v>
      </c>
      <c r="U58" s="25">
        <f ca="1">IFERROR(__xludf.DUMMYFUNCTION("""COMPUTED_VALUE"""),0.454545454545454)</f>
        <v>0.45454545454545398</v>
      </c>
      <c r="V58" s="25">
        <f ca="1">IFERROR(__xludf.DUMMYFUNCTION("""COMPUTED_VALUE"""),0)</f>
        <v>0</v>
      </c>
      <c r="W58" s="4"/>
      <c r="X58" s="4" t="str">
        <f ca="1">IFERROR(__xludf.DUMMYFUNCTION("""COMPUTED_VALUE"""),"| 1 L PHP-CGM @ | 3 P PHP-CGM @ | 5 P Python @ ")</f>
        <v xml:space="preserve">| 1 L PHP-CGM @ | 3 P PHP-CGM @ | 5 P Python @ </v>
      </c>
      <c r="Y58" s="4" t="str">
        <f ca="1">IFERROR(__xludf.DUMMYFUNCTION("""COMPUTED_VALUE"""),"| 1 P CPT @ | 3 L JAVA @ | 4 L CPT @ | 5 P Python @ ")</f>
        <v xml:space="preserve">| 1 P CPT @ | 3 L JAVA @ | 4 L CPT @ | 5 P Python @ </v>
      </c>
      <c r="Z58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A58" s="4" t="str">
        <f ca="1">IFERROR(__xludf.DUMMYFUNCTION("""COMPUTED_VALUE"""),"| 3 L PHP-CGM @ | 4 L NS @ | 1 L INE @ | 5 P PRO @ ")</f>
        <v xml:space="preserve">| 3 L PHP-CGM @ | 4 L NS @ | 1 L INE @ | 5 P PRO @ </v>
      </c>
      <c r="AB58" s="4" t="str">
        <f ca="1">IFERROR(__xludf.DUMMYFUNCTION("""COMPUTED_VALUE"""),"| 1 L CPT @ | 2 L NS @ | 3 P NS @ | 5 P JAVA @ ")</f>
        <v xml:space="preserve">| 1 L CPT @ | 2 L NS @ | 3 P NS @ | 5 P JAVA @ </v>
      </c>
      <c r="AC58" s="4" t="str">
        <f ca="1">IFERROR(__xludf.DUMMYFUNCTION("""COMPUTED_VALUE"""),"| 1 L PHP-CGM % | 2 L JAVA % | 3 P PHP-CGM % | 5 P Python % ")</f>
        <v xml:space="preserve">| 1 L PHP-CGM % | 2 L JAVA % | 3 P PHP-CGM % | 5 P Python % </v>
      </c>
      <c r="AD58" s="4" t="str">
        <f ca="1">IFERROR(__xludf.DUMMYFUNCTION("""COMPUTED_VALUE"""),"| 1 P CPT @ | 3 L JAVA @ | 4 L CPT @ | 5 P Python @ ")</f>
        <v xml:space="preserve">| 1 P CPT @ | 3 L JAVA @ | 4 L CPT @ | 5 P Python @ </v>
      </c>
      <c r="AE58" s="4" t="str">
        <f ca="1">IFERROR(__xludf.DUMMYFUNCTION("""COMPUTED_VALUE"""),"| 1 P JAVA @ | 4 L JAVA @ | 3 L NS @ | 5 L PHP-CGM @ | 6 L CPT @ ")</f>
        <v xml:space="preserve">| 1 P JAVA @ | 4 L JAVA @ | 3 L NS @ | 5 L PHP-CGM @ | 6 L CPT @ </v>
      </c>
      <c r="AF58" s="4" t="str">
        <f ca="1">IFERROR(__xludf.DUMMYFUNCTION("""COMPUTED_VALUE"""),"| 3 L PHP-CGM @ | 4 L NS % | 5 P PRO % ")</f>
        <v xml:space="preserve">| 3 L PHP-CGM @ | 4 L NS % | 5 P PRO % </v>
      </c>
      <c r="AG58" s="4" t="str">
        <f ca="1">IFERROR(__xludf.DUMMYFUNCTION("""COMPUTED_VALUE"""),"| 1 L CPT @ | 2 L NS @ | 3 P NS @ | 5 P JAVA @ ")</f>
        <v xml:space="preserve">| 1 L CPT @ | 2 L NS @ | 3 P NS @ | 5 P JAVA @ </v>
      </c>
      <c r="AH58" s="4" t="str">
        <f ca="1">IFERROR(__xludf.DUMMYFUNCTION("""COMPUTED_VALUE"""),"| 3 L PHP-CGM % | 4 L NS % | 5 L PRO % ")</f>
        <v xml:space="preserve">| 3 L PHP-CGM % | 4 L NS % | 5 L PRO % </v>
      </c>
      <c r="AI58" s="4" t="str">
        <f ca="1">IFERROR(__xludf.DUMMYFUNCTION("""COMPUTED_VALUE"""),"| 1 L CPT % | 2 L NS % | 3 P NS @ | 5 P JAVA % ")</f>
        <v xml:space="preserve">| 1 L CPT % | 2 L NS % | 3 P NS @ | 5 P JAVA % </v>
      </c>
      <c r="AJ58" s="4" t="str">
        <f ca="1">IFERROR(__xludf.DUMMYFUNCTION("""COMPUTED_VALUE"""),"| 1 L PHP-CGM % | 2 L JAVA % | 3 P PHP-CGM % | 5 P Python % ")</f>
        <v xml:space="preserve">| 1 L PHP-CGM % | 2 L JAVA % | 3 P PHP-CGM % | 5 P Python % </v>
      </c>
      <c r="AK58" s="4" t="str">
        <f ca="1">IFERROR(__xludf.DUMMYFUNCTION("""COMPUTED_VALUE"""),"| 1 P CPT % | 3 L JAVA % | 4 L CPT % | 5 P Python % ")</f>
        <v xml:space="preserve">| 1 P CPT % | 3 L JAVA % | 4 L CPT % | 5 P Python % </v>
      </c>
      <c r="AL58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M58" s="4" t="str">
        <f ca="1">IFERROR(__xludf.DUMMYFUNCTION("""COMPUTED_VALUE"""),"| 1 L INE % | 4 L NS % | 3 L PHP-CGM % | 5 L PRO % ")</f>
        <v xml:space="preserve">| 1 L INE % | 4 L NS % | 3 L PHP-CGM % | 5 L PRO % </v>
      </c>
      <c r="AN58" s="4" t="str">
        <f ca="1">IFERROR(__xludf.DUMMYFUNCTION("""COMPUTED_VALUE"""),"| 1 L CPT @ | 2 L NS % | 3 P NS % | 5 P JAVA % ")</f>
        <v xml:space="preserve">| 1 L CPT @ | 2 L NS % | 3 P NS % | 5 P JAVA % </v>
      </c>
      <c r="AO58" s="4" t="str">
        <f ca="1">IFERROR(__xludf.DUMMYFUNCTION("""COMPUTED_VALUE"""),"| 1 L PHP-CGM @ | 2 L JAVA @ | 3 P PHP-CGM @ | 5 P Python @ ")</f>
        <v xml:space="preserve">| 1 L PHP-CGM @ | 2 L JAVA @ | 3 P PHP-CGM @ | 5 P Python @ </v>
      </c>
      <c r="AP58" s="4" t="str">
        <f ca="1">IFERROR(__xludf.DUMMYFUNCTION("""COMPUTED_VALUE"""),"| 1 P CPT @ | 3 L JAVA @ | 4 L CPT @ | 5 P Python @ ")</f>
        <v xml:space="preserve">| 1 P CPT @ | 3 L JAVA @ | 4 L CPT @ | 5 P Python @ </v>
      </c>
      <c r="AQ58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58" s="4" t="str">
        <f ca="1">IFERROR(__xludf.DUMMYFUNCTION("""COMPUTED_VALUE"""),"| 1 L INE @ | 3 L PHP-CGM @ | 4 L NS @ | 5 L PRO @ ")</f>
        <v xml:space="preserve">| 1 L INE @ | 3 L PHP-CGM @ | 4 L NS @ | 5 L PRO @ </v>
      </c>
      <c r="AS58" s="4" t="str">
        <f ca="1">IFERROR(__xludf.DUMMYFUNCTION("""COMPUTED_VALUE"""),"| 1 L PHP-CGM @ | 2 L JAVA @ | 3 P PHP-CGM @ | 5 P Python @ ")</f>
        <v xml:space="preserve">| 1 L PHP-CGM @ | 2 L JAVA @ | 3 P PHP-CGM @ | 5 P Python @ </v>
      </c>
      <c r="AT58" s="4" t="str">
        <f ca="1">IFERROR(__xludf.DUMMYFUNCTION("""COMPUTED_VALUE"""),"| 1 P CPT @ | 3 L JAVA @ | 4 L CPT @ | 5 P Python @ ")</f>
        <v xml:space="preserve">| 1 P CPT @ | 3 L JAVA @ | 4 L CPT @ | 5 P Python @ </v>
      </c>
      <c r="AU58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V58" s="4" t="str">
        <f ca="1">IFERROR(__xludf.DUMMYFUNCTION("""COMPUTED_VALUE"""),"| 1 L INE @ | 3 L PHP-CGM @ | 4 L NS @ | 7 L PRO @ ")</f>
        <v xml:space="preserve">| 1 L INE @ | 3 L PHP-CGM @ | 4 L NS @ | 7 L PRO @ </v>
      </c>
      <c r="AW58" s="4" t="str">
        <f ca="1">IFERROR(__xludf.DUMMYFUNCTION("""COMPUTED_VALUE"""),"| 1 L CPT @ | 3 P NS @ | 2 L NS @ | 5 P JAVA % ")</f>
        <v xml:space="preserve">| 1 L CPT @ | 3 P NS @ | 2 L NS @ | 5 P JAVA % </v>
      </c>
      <c r="AX58" s="4" t="str">
        <f ca="1">IFERROR(__xludf.DUMMYFUNCTION("""COMPUTED_VALUE"""),"| 1 L PHP-CGM @ | 2 L JAVA @ | 3 P PHP-CGM @ | 5 P Python @ ")</f>
        <v xml:space="preserve">| 1 L PHP-CGM @ | 2 L JAVA @ | 3 P PHP-CGM @ | 5 P Python @ </v>
      </c>
      <c r="AY58" s="4" t="str">
        <f ca="1">IFERROR(__xludf.DUMMYFUNCTION("""COMPUTED_VALUE"""),"| 1 P CPT @ | 3 L JAVA @ | 4 L CPT @ | 5 P Python @ ")</f>
        <v xml:space="preserve">| 1 P CPT @ | 3 L JAVA @ | 4 L CPT @ | 5 P Python @ </v>
      </c>
      <c r="AZ58" s="4" t="str">
        <f ca="1">IFERROR(__xludf.DUMMYFUNCTION("""COMPUTED_VALUE"""),"| 1 L INE % | 3 L PHP-CGM % | 4 L NS % | 5 L PRO % ")</f>
        <v xml:space="preserve">| 1 L INE % | 3 L PHP-CGM % | 4 L NS % | 5 L PRO % </v>
      </c>
      <c r="BA58" s="4" t="str">
        <f ca="1">IFERROR(__xludf.DUMMYFUNCTION("""COMPUTED_VALUE"""),"| 1 L CPT % | 2 L NS % | 3 P NS % | 5 P JAVA % ")</f>
        <v xml:space="preserve">| 1 L CPT % | 2 L NS % | 3 P NS % | 5 P JAVA % </v>
      </c>
      <c r="BB58" s="4" t="str">
        <f ca="1">IFERROR(__xludf.DUMMYFUNCTION("""COMPUTED_VALUE"""),"| 1 L PHP-CGM % | 2 L JAVA % | 3 P PHP-CGM % | 5 P Python % ")</f>
        <v xml:space="preserve">| 1 L PHP-CGM % | 2 L JAVA % | 3 P PHP-CGM % | 5 P Python % </v>
      </c>
      <c r="BC58" s="4" t="str">
        <f ca="1">IFERROR(__xludf.DUMMYFUNCTION("""COMPUTED_VALUE"""),"| 1 P CPT @ | 3 L JAVA @ | 4 L CPT @ | 5 P Python @ ")</f>
        <v xml:space="preserve">| 1 P CPT @ | 3 L JAVA @ | 4 L CPT @ | 5 P Python @ </v>
      </c>
      <c r="BD58" s="4" t="str">
        <f ca="1">IFERROR(__xludf.DUMMYFUNCTION("""COMPUTED_VALUE"""),"| 1 P JAVA @ | 3 L NS % | 6 L CPT % | 5 L PHP-CGM % | 4 L JAVA % ")</f>
        <v xml:space="preserve">| 1 P JAVA @ | 3 L NS % | 6 L CPT % | 5 L PHP-CGM % | 4 L JAVA % </v>
      </c>
      <c r="BE58" s="4" t="str">
        <f ca="1">IFERROR(__xludf.DUMMYFUNCTION("""COMPUTED_VALUE"""),"| 1 L INE @ | 3 L PHP-CGM % | 4 L NS % | 5 L PRO % ")</f>
        <v xml:space="preserve">| 1 L INE @ | 3 L PHP-CGM % | 4 L NS % | 5 L PRO % </v>
      </c>
      <c r="BF58" s="4" t="str">
        <f ca="1">IFERROR(__xludf.DUMMYFUNCTION("""COMPUTED_VALUE"""),"| 1 L CPT @ | 2 L NS @ | 3 P NS @ | 5 P JAVA @ ")</f>
        <v xml:space="preserve">| 1 L CPT @ | 2 L NS @ | 3 P NS @ | 5 P JAVA @ </v>
      </c>
      <c r="BG58" s="4" t="str">
        <f ca="1">IFERROR(__xludf.DUMMYFUNCTION("""COMPUTED_VALUE"""),"| 1 P CPT % | 4 L CPT % | 5 P Python % ")</f>
        <v xml:space="preserve">| 1 P CPT % | 4 L CPT % | 5 P Python % </v>
      </c>
      <c r="BH58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58" s="4" t="str">
        <f ca="1">IFERROR(__xludf.DUMMYFUNCTION("""COMPUTED_VALUE"""),"| 1 L INE @ | 3 L PHP-CGM % | 4 L NS % | 5 L PRO % ")</f>
        <v xml:space="preserve">| 1 L INE @ | 3 L PHP-CGM % | 4 L NS % | 5 L PRO % </v>
      </c>
      <c r="BJ58" s="4" t="str">
        <f ca="1">IFERROR(__xludf.DUMMYFUNCTION("""COMPUTED_VALUE"""),"| 1 L CPT % | 2 L NS % | 3 P NS % | 5 P JAVA % ")</f>
        <v xml:space="preserve">| 1 L CPT % | 2 L NS % | 3 P NS % | 5 P JAVA % </v>
      </c>
      <c r="BK58" s="4" t="str">
        <f ca="1">IFERROR(__xludf.DUMMYFUNCTION("""COMPUTED_VALUE"""),"| 1 L PHP-CGM % | 2 L JAVA % | 3 P PHP-CGM % | 5 P Python % ")</f>
        <v xml:space="preserve">| 1 L PHP-CGM % | 2 L JAVA % | 3 P PHP-CGM % | 5 P Python % </v>
      </c>
      <c r="BL58" s="4" t="str">
        <f ca="1">IFERROR(__xludf.DUMMYFUNCTION("""COMPUTED_VALUE"""),"| 1 P CPT % | 3 L JAVA % | 4 L CPT % | 5 P Python % ")</f>
        <v xml:space="preserve">| 1 P CPT % | 3 L JAVA % | 4 L CPT % | 5 P Python % </v>
      </c>
      <c r="BM58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58" s="4" t="str">
        <f ca="1">IFERROR(__xludf.DUMMYFUNCTION("""COMPUTED_VALUE"""),"| 1 L INE % | 3 L PHP-CGM @ | 4 L NS @ | 5 L PRO @ ")</f>
        <v xml:space="preserve">| 1 L INE % | 3 L PHP-CGM @ | 4 L NS @ | 5 L PRO @ </v>
      </c>
      <c r="BO58" s="4" t="str">
        <f ca="1">IFERROR(__xludf.DUMMYFUNCTION("""COMPUTED_VALUE"""),"| 1 L CPT @ | 2 L NS @ | 3 P NS @ ")</f>
        <v xml:space="preserve">| 1 L CPT @ | 2 L NS @ | 3 P NS @ </v>
      </c>
      <c r="BP58" s="4" t="str">
        <f ca="1">IFERROR(__xludf.DUMMYFUNCTION("""COMPUTED_VALUE"""),"| 1 L PHP-CGM @ | 2 L JAVA % | 3 P PHP-CGM @ | 5 P Python @ ")</f>
        <v xml:space="preserve">| 1 L PHP-CGM @ | 2 L JAVA % | 3 P PHP-CGM @ | 5 P Python @ </v>
      </c>
      <c r="BQ58" s="4" t="str">
        <f ca="1">IFERROR(__xludf.DUMMYFUNCTION("""COMPUTED_VALUE"""),"| 5 L PHP-CGM % | 6 L CPT @ ")</f>
        <v xml:space="preserve">| 5 L PHP-CGM % | 6 L CPT @ </v>
      </c>
      <c r="BR58" s="4"/>
      <c r="BS58" s="4"/>
      <c r="BT58" s="4" t="str">
        <f ca="1">IFERROR(__xludf.DUMMYFUNCTION("""COMPUTED_VALUE"""),"| 1 L PHP-CGM @ | 2 L JAVA @ | 3 P PHP-CGM @ ")</f>
        <v xml:space="preserve">| 1 L PHP-CGM @ | 2 L JAVA @ | 3 P PHP-CGM @ </v>
      </c>
      <c r="BU58" s="4" t="str">
        <f ca="1">IFERROR(__xludf.DUMMYFUNCTION("""COMPUTED_VALUE"""),"| 1 P CPT @ | 4 L CPT @ | 3 L JAVA @ ")</f>
        <v xml:space="preserve">| 1 P CPT @ | 4 L CPT @ | 3 L JAVA @ </v>
      </c>
      <c r="BV58" s="4" t="str">
        <f ca="1">IFERROR(__xludf.DUMMYFUNCTION("""COMPUTED_VALUE"""),"| 1 L PHP-CGM @ | 2 L JAVA % | 3 P PHP-CGM % | 5 P Python @ ")</f>
        <v xml:space="preserve">| 1 L PHP-CGM @ | 2 L JAVA % | 3 P PHP-CGM % | 5 P Python @ </v>
      </c>
      <c r="BW58" s="4" t="str">
        <f ca="1">IFERROR(__xludf.DUMMYFUNCTION("""COMPUTED_VALUE"""),"| 1 P CPT @ | 3 L JAVA @ | 4 L CPT @ ")</f>
        <v xml:space="preserve">| 1 P CPT @ | 3 L JAVA @ | 4 L CPT @ </v>
      </c>
      <c r="BX58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Y58" s="4" t="str">
        <f ca="1">IFERROR(__xludf.DUMMYFUNCTION("""COMPUTED_VALUE"""),"| 1 L INE @ | 3 L PHP-CGM % | 4 L NS % | 5 L PRO @ ")</f>
        <v xml:space="preserve">| 1 L INE @ | 3 L PHP-CGM % | 4 L NS % | 5 L PRO @ </v>
      </c>
      <c r="BZ58" s="4" t="str">
        <f ca="1">IFERROR(__xludf.DUMMYFUNCTION("""COMPUTED_VALUE"""),"| 1 L CPT % | 2 L NS % | 3 P NS % | 5 P JAVA % ")</f>
        <v xml:space="preserve">| 1 L CPT % | 2 L NS % | 3 P NS % | 5 P JAVA % </v>
      </c>
      <c r="CA58" s="4" t="str">
        <f ca="1">IFERROR(__xludf.DUMMYFUNCTION("""COMPUTED_VALUE"""),"| 1 L PHP-CGM @ | 2 L JAVA % | 3 P PHP-CGM % | 5 P Python % ")</f>
        <v xml:space="preserve">| 1 L PHP-CGM @ | 2 L JAVA % | 3 P PHP-CGM % | 5 P Python % </v>
      </c>
      <c r="CB58" s="4" t="str">
        <f ca="1">IFERROR(__xludf.DUMMYFUNCTION("""COMPUTED_VALUE"""),"| 1 P CPT @ | 3 L JAVA @ | 4 L CPT @ | 5 P Python % ")</f>
        <v xml:space="preserve">| 1 P CPT @ | 3 L JAVA @ | 4 L CPT @ | 5 P Python % </v>
      </c>
      <c r="CC58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58" s="4" t="str">
        <f ca="1">IFERROR(__xludf.DUMMYFUNCTION("""COMPUTED_VALUE"""),"| 1 L INE % | 3 L PHP-CGM % | 4 L NS % | 5 L PRO @ ")</f>
        <v xml:space="preserve">| 1 L INE % | 3 L PHP-CGM % | 4 L NS % | 5 L PRO @ </v>
      </c>
      <c r="CE58" s="4" t="str">
        <f ca="1">IFERROR(__xludf.DUMMYFUNCTION("""COMPUTED_VALUE"""),"| 1 L CPT % | 2 L NS % | 3 P NS % | 5 P JAVA % ")</f>
        <v xml:space="preserve">| 1 L CPT % | 2 L NS % | 3 P NS % | 5 P JAVA % </v>
      </c>
      <c r="CF58" s="4" t="str">
        <f ca="1">IFERROR(__xludf.DUMMYFUNCTION("""COMPUTED_VALUE"""),"| 1 L PHP-CGM @ | 2 L JAVA @ | 3 P PHP-CGM @ | 5 P Python @ ")</f>
        <v xml:space="preserve">| 1 L PHP-CGM @ | 2 L JAVA @ | 3 P PHP-CGM @ | 5 P Python @ </v>
      </c>
      <c r="CG58" s="4" t="str">
        <f ca="1">IFERROR(__xludf.DUMMYFUNCTION("""COMPUTED_VALUE"""),"| 1 P CPT @ | 4 L CPT % | 5 P Python % ")</f>
        <v xml:space="preserve">| 1 P CPT @ | 4 L CPT % | 5 P Python % </v>
      </c>
      <c r="CH58" s="4" t="str">
        <f ca="1">IFERROR(__xludf.DUMMYFUNCTION("""COMPUTED_VALUE"""),"| 1 P JAVA @ | 3 L NS @ | 6 L CPT @ ")</f>
        <v xml:space="preserve">| 1 P JAVA @ | 3 L NS @ | 6 L CPT @ </v>
      </c>
      <c r="CI58" s="4" t="str">
        <f ca="1">IFERROR(__xludf.DUMMYFUNCTION("""COMPUTED_VALUE"""),"| 1 L INE % ")</f>
        <v xml:space="preserve">| 1 L INE % </v>
      </c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</row>
    <row r="59" spans="1:102" ht="12.5" x14ac:dyDescent="0.25">
      <c r="A59" s="3">
        <f ca="1">IFERROR(__xludf.DUMMYFUNCTION("""COMPUTED_VALUE"""),3)</f>
        <v>3</v>
      </c>
      <c r="B59" s="3" t="str">
        <f ca="1">IFERROR(__xludf.DUMMYFUNCTION("""COMPUTED_VALUE"""),"A")</f>
        <v>A</v>
      </c>
      <c r="C59" s="32" t="str">
        <f ca="1">IFERROR(__xludf.DUMMYFUNCTION("""COMPUTED_VALUE"""),"23291341150")</f>
        <v>23291341150</v>
      </c>
      <c r="D59" s="21" t="str">
        <f ca="1">IFERROR(__xludf.DUMMYFUNCTION("""COMPUTED_VALUE"""),"RAVAT KRUNAL VININDRAKUMAR")</f>
        <v>RAVAT KRUNAL VININDRAKUMAR</v>
      </c>
      <c r="E59" s="3" t="str">
        <f ca="1">IFERROR(__xludf.DUMMYFUNCTION("""COMPUTED_VALUE"""),"RRP-Mor")</f>
        <v>RRP-Mor</v>
      </c>
      <c r="F59" s="3">
        <f ca="1">IFERROR(__xludf.DUMMYFUNCTION("""COMPUTED_VALUE"""),9016424249)</f>
        <v>9016424249</v>
      </c>
      <c r="G59" s="3">
        <f ca="1">IFERROR(__xludf.DUMMYFUNCTION("""COMPUTED_VALUE"""),9714373724)</f>
        <v>9714373724</v>
      </c>
      <c r="H59" s="33">
        <f ca="1">IFERROR(__xludf.DUMMYFUNCTION("""COMPUTED_VALUE"""),0.893004115226337)</f>
        <v>0.89300411522633705</v>
      </c>
      <c r="I59" s="25">
        <f ca="1">IFERROR(__xludf.DUMMYFUNCTION("""COMPUTED_VALUE"""),0.888888888888888)</f>
        <v>0.88888888888888795</v>
      </c>
      <c r="J59" s="25">
        <f ca="1">IFERROR(__xludf.DUMMYFUNCTION("""COMPUTED_VALUE"""),1)</f>
        <v>1</v>
      </c>
      <c r="K59" s="25">
        <f ca="1">IFERROR(__xludf.DUMMYFUNCTION("""COMPUTED_VALUE"""),0.941176470588235)</f>
        <v>0.94117647058823495</v>
      </c>
      <c r="L59" s="25">
        <f ca="1">IFERROR(__xludf.DUMMYFUNCTION("""COMPUTED_VALUE"""),1)</f>
        <v>1</v>
      </c>
      <c r="M59" s="25">
        <f ca="1">IFERROR(__xludf.DUMMYFUNCTION("""COMPUTED_VALUE"""),0.888888888888888)</f>
        <v>0.88888888888888795</v>
      </c>
      <c r="N59" s="25">
        <f ca="1">IFERROR(__xludf.DUMMYFUNCTION("""COMPUTED_VALUE"""),0.769230769230769)</f>
        <v>0.76923076923076905</v>
      </c>
      <c r="O59" s="25">
        <f ca="1">IFERROR(__xludf.DUMMYFUNCTION("""COMPUTED_VALUE"""),0.939393939393939)</f>
        <v>0.939393939393939</v>
      </c>
      <c r="P59" s="25">
        <f ca="1">IFERROR(__xludf.DUMMYFUNCTION("""COMPUTED_VALUE"""),1)</f>
        <v>1</v>
      </c>
      <c r="Q59" s="25">
        <f ca="1">IFERROR(__xludf.DUMMYFUNCTION("""COMPUTED_VALUE"""),0)</f>
        <v>0</v>
      </c>
      <c r="R59" s="25">
        <f ca="1">IFERROR(__xludf.DUMMYFUNCTION("""COMPUTED_VALUE"""),0.826086956521739)</f>
        <v>0.82608695652173902</v>
      </c>
      <c r="S59" s="25">
        <f ca="1">IFERROR(__xludf.DUMMYFUNCTION("""COMPUTED_VALUE"""),0.8)</f>
        <v>0.8</v>
      </c>
      <c r="T59" s="25">
        <f ca="1">IFERROR(__xludf.DUMMYFUNCTION("""COMPUTED_VALUE"""),1)</f>
        <v>1</v>
      </c>
      <c r="U59" s="25">
        <f ca="1">IFERROR(__xludf.DUMMYFUNCTION("""COMPUTED_VALUE"""),0.545454545454545)</f>
        <v>0.54545454545454497</v>
      </c>
      <c r="V59" s="25">
        <f ca="1">IFERROR(__xludf.DUMMYFUNCTION("""COMPUTED_VALUE"""),0)</f>
        <v>0</v>
      </c>
      <c r="W59" s="4"/>
      <c r="X59" s="4" t="str">
        <f ca="1">IFERROR(__xludf.DUMMYFUNCTION("""COMPUTED_VALUE"""),"| 1 L PHP-CGM % | 3 P PHP-CGM % | 5 P Python % ")</f>
        <v xml:space="preserve">| 1 L PHP-CGM % | 3 P PHP-CGM % | 5 P Python % </v>
      </c>
      <c r="Y59" s="4" t="str">
        <f ca="1">IFERROR(__xludf.DUMMYFUNCTION("""COMPUTED_VALUE"""),"| 1 P CPT % | 3 L JAVA % | 4 L CPT % | 5 P Python % ")</f>
        <v xml:space="preserve">| 1 P CPT % | 3 L JAVA % | 4 L CPT % | 5 P Python % </v>
      </c>
      <c r="Z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59" s="4" t="str">
        <f ca="1">IFERROR(__xludf.DUMMYFUNCTION("""COMPUTED_VALUE"""),"| 3 L PHP-CGM % | 4 L NS % | 1 L INE % | 5 P PRO % ")</f>
        <v xml:space="preserve">| 3 L PHP-CGM % | 4 L NS % | 1 L INE % | 5 P PRO % </v>
      </c>
      <c r="AB59" s="4" t="str">
        <f ca="1">IFERROR(__xludf.DUMMYFUNCTION("""COMPUTED_VALUE"""),"| 1 L CPT % | 2 L NS % | 3 P NS % | 5 P JAVA % ")</f>
        <v xml:space="preserve">| 1 L CPT % | 2 L NS % | 3 P NS % | 5 P JAVA % </v>
      </c>
      <c r="AC59" s="4" t="str">
        <f ca="1">IFERROR(__xludf.DUMMYFUNCTION("""COMPUTED_VALUE"""),"| 1 L PHP-CGM % | 2 L JAVA % | 3 P PHP-CGM % | 5 P Python % ")</f>
        <v xml:space="preserve">| 1 L PHP-CGM % | 2 L JAVA % | 3 P PHP-CGM % | 5 P Python % </v>
      </c>
      <c r="AD59" s="4" t="str">
        <f ca="1">IFERROR(__xludf.DUMMYFUNCTION("""COMPUTED_VALUE"""),"| 1 P CPT % | 3 L JAVA % | 4 L CPT % | 5 P Python @ ")</f>
        <v xml:space="preserve">| 1 P CPT % | 3 L JAVA % | 4 L CPT % | 5 P Python @ </v>
      </c>
      <c r="AE59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59" s="4" t="str">
        <f ca="1">IFERROR(__xludf.DUMMYFUNCTION("""COMPUTED_VALUE"""),"| 3 L PHP-CGM % | 4 L NS % | 5 P PRO % ")</f>
        <v xml:space="preserve">| 3 L PHP-CGM % | 4 L NS % | 5 P PRO % </v>
      </c>
      <c r="AG59" s="4" t="str">
        <f ca="1">IFERROR(__xludf.DUMMYFUNCTION("""COMPUTED_VALUE"""),"| 1 L CPT % | 2 L NS % | 3 P NS % | 5 P JAVA % ")</f>
        <v xml:space="preserve">| 1 L CPT % | 2 L NS % | 3 P NS % | 5 P JAVA % </v>
      </c>
      <c r="AH59" s="4" t="str">
        <f ca="1">IFERROR(__xludf.DUMMYFUNCTION("""COMPUTED_VALUE"""),"| 3 L PHP-CGM @ | 4 L NS @ | 5 L PRO @ ")</f>
        <v xml:space="preserve">| 3 L PHP-CGM @ | 4 L NS @ | 5 L PRO @ </v>
      </c>
      <c r="AI59" s="4" t="str">
        <f ca="1">IFERROR(__xludf.DUMMYFUNCTION("""COMPUTED_VALUE"""),"| 1 L CPT % | 2 L NS % | 3 P NS % | 5 P JAVA % ")</f>
        <v xml:space="preserve">| 1 L CPT % | 2 L NS % | 3 P NS % | 5 P JAVA % </v>
      </c>
      <c r="AJ59" s="4" t="str">
        <f ca="1">IFERROR(__xludf.DUMMYFUNCTION("""COMPUTED_VALUE"""),"| 1 L PHP-CGM % | 2 L JAVA % | 3 P PHP-CGM % | 5 P Python % ")</f>
        <v xml:space="preserve">| 1 L PHP-CGM % | 2 L JAVA % | 3 P PHP-CGM % | 5 P Python % </v>
      </c>
      <c r="AK59" s="4" t="str">
        <f ca="1">IFERROR(__xludf.DUMMYFUNCTION("""COMPUTED_VALUE"""),"| 1 P CPT % | 3 L JAVA % | 4 L CPT % | 5 P Python % ")</f>
        <v xml:space="preserve">| 1 P CPT % | 3 L JAVA % | 4 L CPT % | 5 P Python % </v>
      </c>
      <c r="AL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59" s="4" t="str">
        <f ca="1">IFERROR(__xludf.DUMMYFUNCTION("""COMPUTED_VALUE"""),"| 1 L INE @ | 4 L NS % | 3 L PHP-CGM % | 5 L PRO % ")</f>
        <v xml:space="preserve">| 1 L INE @ | 4 L NS % | 3 L PHP-CGM % | 5 L PRO % </v>
      </c>
      <c r="AN59" s="4" t="str">
        <f ca="1">IFERROR(__xludf.DUMMYFUNCTION("""COMPUTED_VALUE"""),"| 1 L CPT % | 2 L NS % | 3 P NS % | 5 P JAVA % ")</f>
        <v xml:space="preserve">| 1 L CPT % | 2 L NS % | 3 P NS % | 5 P JAVA % </v>
      </c>
      <c r="AO59" s="4" t="str">
        <f ca="1">IFERROR(__xludf.DUMMYFUNCTION("""COMPUTED_VALUE"""),"| 1 L PHP-CGM % | 2 L JAVA % | 3 P PHP-CGM % | 5 P Python % ")</f>
        <v xml:space="preserve">| 1 L PHP-CGM % | 2 L JAVA % | 3 P PHP-CGM % | 5 P Python % </v>
      </c>
      <c r="AP59" s="4" t="str">
        <f ca="1">IFERROR(__xludf.DUMMYFUNCTION("""COMPUTED_VALUE"""),"| 1 P CPT % | 3 L JAVA % | 4 L CPT % | 5 P Python % ")</f>
        <v xml:space="preserve">| 1 P CPT % | 3 L JAVA % | 4 L CPT % | 5 P Python % </v>
      </c>
      <c r="AQ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59" s="4" t="str">
        <f ca="1">IFERROR(__xludf.DUMMYFUNCTION("""COMPUTED_VALUE"""),"| 1 L INE % | 3 L PHP-CGM % | 4 L NS % | 5 L PRO % ")</f>
        <v xml:space="preserve">| 1 L INE % | 3 L PHP-CGM % | 4 L NS % | 5 L PRO % </v>
      </c>
      <c r="AS59" s="4" t="str">
        <f ca="1">IFERROR(__xludf.DUMMYFUNCTION("""COMPUTED_VALUE"""),"| 1 L PHP-CGM % | 2 L JAVA % | 3 P PHP-CGM % | 5 P Python % ")</f>
        <v xml:space="preserve">| 1 L PHP-CGM % | 2 L JAVA % | 3 P PHP-CGM % | 5 P Python % </v>
      </c>
      <c r="AT59" s="4" t="str">
        <f ca="1">IFERROR(__xludf.DUMMYFUNCTION("""COMPUTED_VALUE"""),"| 1 P CPT % | 3 L JAVA % | 4 L CPT % | 5 P Python % ")</f>
        <v xml:space="preserve">| 1 P CPT % | 3 L JAVA % | 4 L CPT % | 5 P Python % </v>
      </c>
      <c r="AU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59" s="4" t="str">
        <f ca="1">IFERROR(__xludf.DUMMYFUNCTION("""COMPUTED_VALUE"""),"| 1 L INE % | 3 L PHP-CGM % | 4 L NS % | 7 L PRO % ")</f>
        <v xml:space="preserve">| 1 L INE % | 3 L PHP-CGM % | 4 L NS % | 7 L PRO % </v>
      </c>
      <c r="AW59" s="4" t="str">
        <f ca="1">IFERROR(__xludf.DUMMYFUNCTION("""COMPUTED_VALUE"""),"| 1 L CPT % | 3 P NS % | 2 L NS % | 5 P JAVA % ")</f>
        <v xml:space="preserve">| 1 L CPT % | 3 P NS % | 2 L NS % | 5 P JAVA % </v>
      </c>
      <c r="AX59" s="4" t="str">
        <f ca="1">IFERROR(__xludf.DUMMYFUNCTION("""COMPUTED_VALUE"""),"| 1 L PHP-CGM % | 2 L JAVA % | 3 P PHP-CGM % | 5 P Python % ")</f>
        <v xml:space="preserve">| 1 L PHP-CGM % | 2 L JAVA % | 3 P PHP-CGM % | 5 P Python % </v>
      </c>
      <c r="AY59" s="4" t="str">
        <f ca="1">IFERROR(__xludf.DUMMYFUNCTION("""COMPUTED_VALUE"""),"| 1 P CPT % | 3 L JAVA % | 4 L CPT % | 5 P Python % ")</f>
        <v xml:space="preserve">| 1 P CPT % | 3 L JAVA % | 4 L CPT % | 5 P Python % </v>
      </c>
      <c r="AZ59" s="4" t="str">
        <f ca="1">IFERROR(__xludf.DUMMYFUNCTION("""COMPUTED_VALUE"""),"| 1 L INE % | 3 L PHP-CGM @ | 4 L NS % | 5 L PRO % ")</f>
        <v xml:space="preserve">| 1 L INE % | 3 L PHP-CGM @ | 4 L NS % | 5 L PRO % </v>
      </c>
      <c r="BA59" s="4" t="str">
        <f ca="1">IFERROR(__xludf.DUMMYFUNCTION("""COMPUTED_VALUE"""),"| 1 L CPT % | 2 L NS % | 3 P NS % | 5 P JAVA % ")</f>
        <v xml:space="preserve">| 1 L CPT % | 2 L NS % | 3 P NS % | 5 P JAVA % </v>
      </c>
      <c r="BB59" s="4" t="str">
        <f ca="1">IFERROR(__xludf.DUMMYFUNCTION("""COMPUTED_VALUE"""),"| 1 L PHP-CGM @ | 2 L JAVA @ | 3 P PHP-CGM @ | 5 P Python @ ")</f>
        <v xml:space="preserve">| 1 L PHP-CGM @ | 2 L JAVA @ | 3 P PHP-CGM @ | 5 P Python @ </v>
      </c>
      <c r="BC59" s="4" t="str">
        <f ca="1">IFERROR(__xludf.DUMMYFUNCTION("""COMPUTED_VALUE"""),"| 1 P CPT % | 3 L JAVA % | 4 L CPT % | 5 P Python % ")</f>
        <v xml:space="preserve">| 1 P CPT % | 3 L JAVA % | 4 L CPT % | 5 P Python % </v>
      </c>
      <c r="BD59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59" s="4" t="str">
        <f ca="1">IFERROR(__xludf.DUMMYFUNCTION("""COMPUTED_VALUE"""),"| 1 L INE @ | 3 L PHP-CGM % | 4 L NS % | 5 L PRO % ")</f>
        <v xml:space="preserve">| 1 L INE @ | 3 L PHP-CGM % | 4 L NS % | 5 L PRO % </v>
      </c>
      <c r="BF59" s="4" t="str">
        <f ca="1">IFERROR(__xludf.DUMMYFUNCTION("""COMPUTED_VALUE"""),"| 1 L CPT % | 2 L NS % | 3 P NS % | 5 P JAVA % ")</f>
        <v xml:space="preserve">| 1 L CPT % | 2 L NS % | 3 P NS % | 5 P JAVA % </v>
      </c>
      <c r="BG59" s="4" t="str">
        <f ca="1">IFERROR(__xludf.DUMMYFUNCTION("""COMPUTED_VALUE"""),"| 1 P CPT % | 4 L CPT % | 5 P Python % ")</f>
        <v xml:space="preserve">| 1 P CPT % | 4 L CPT % | 5 P Python % </v>
      </c>
      <c r="BH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59" s="4" t="str">
        <f ca="1">IFERROR(__xludf.DUMMYFUNCTION("""COMPUTED_VALUE"""),"| 1 L INE @ | 3 L PHP-CGM % | 4 L NS % | 5 L PRO % ")</f>
        <v xml:space="preserve">| 1 L INE @ | 3 L PHP-CGM % | 4 L NS % | 5 L PRO % </v>
      </c>
      <c r="BJ59" s="4" t="str">
        <f ca="1">IFERROR(__xludf.DUMMYFUNCTION("""COMPUTED_VALUE"""),"| 1 L CPT % | 2 L NS % | 3 P NS % | 5 P JAVA % ")</f>
        <v xml:space="preserve">| 1 L CPT % | 2 L NS % | 3 P NS % | 5 P JAVA % </v>
      </c>
      <c r="BK59" s="4" t="str">
        <f ca="1">IFERROR(__xludf.DUMMYFUNCTION("""COMPUTED_VALUE"""),"| 1 L PHP-CGM % | 2 L JAVA % | 3 P PHP-CGM @ | 5 P Python @ ")</f>
        <v xml:space="preserve">| 1 L PHP-CGM % | 2 L JAVA % | 3 P PHP-CGM @ | 5 P Python @ </v>
      </c>
      <c r="BL59" s="4" t="str">
        <f ca="1">IFERROR(__xludf.DUMMYFUNCTION("""COMPUTED_VALUE"""),"| 1 P CPT % | 3 L JAVA % | 4 L CPT % | 5 P Python % ")</f>
        <v xml:space="preserve">| 1 P CPT % | 3 L JAVA % | 4 L CPT % | 5 P Python % </v>
      </c>
      <c r="BM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59" s="4" t="str">
        <f ca="1">IFERROR(__xludf.DUMMYFUNCTION("""COMPUTED_VALUE"""),"| 1 L INE @ | 3 L PHP-CGM % | 4 L NS % | 5 L PRO @ ")</f>
        <v xml:space="preserve">| 1 L INE @ | 3 L PHP-CGM % | 4 L NS % | 5 L PRO @ </v>
      </c>
      <c r="BO59" s="4" t="str">
        <f ca="1">IFERROR(__xludf.DUMMYFUNCTION("""COMPUTED_VALUE"""),"| 1 L CPT % | 2 L NS % | 3 P NS % ")</f>
        <v xml:space="preserve">| 1 L CPT % | 2 L NS % | 3 P NS % </v>
      </c>
      <c r="BP59" s="4" t="str">
        <f ca="1">IFERROR(__xludf.DUMMYFUNCTION("""COMPUTED_VALUE"""),"| 1 L PHP-CGM % | 2 L JAVA % | 3 P PHP-CGM % | 5 P Python % ")</f>
        <v xml:space="preserve">| 1 L PHP-CGM % | 2 L JAVA % | 3 P PHP-CGM % | 5 P Python % </v>
      </c>
      <c r="BQ59" s="4" t="str">
        <f ca="1">IFERROR(__xludf.DUMMYFUNCTION("""COMPUTED_VALUE"""),"| 5 L PHP-CGM % | 6 L CPT @ ")</f>
        <v xml:space="preserve">| 5 L PHP-CGM % | 6 L CPT @ </v>
      </c>
      <c r="BR59" s="4"/>
      <c r="BS59" s="4"/>
      <c r="BT59" s="4" t="str">
        <f ca="1">IFERROR(__xludf.DUMMYFUNCTION("""COMPUTED_VALUE"""),"| 1 L PHP-CGM % | 2 L JAVA % | 3 P PHP-CGM @ ")</f>
        <v xml:space="preserve">| 1 L PHP-CGM % | 2 L JAVA % | 3 P PHP-CGM @ </v>
      </c>
      <c r="BU59" s="4" t="str">
        <f ca="1">IFERROR(__xludf.DUMMYFUNCTION("""COMPUTED_VALUE"""),"| 1 P CPT % | 4 L CPT % | 3 L JAVA % ")</f>
        <v xml:space="preserve">| 1 P CPT % | 4 L CPT % | 3 L JAVA % </v>
      </c>
      <c r="BV59" s="4" t="str">
        <f ca="1">IFERROR(__xludf.DUMMYFUNCTION("""COMPUTED_VALUE"""),"| 1 L PHP-CGM % | 2 L JAVA % | 3 P PHP-CGM % | 5 P Python % ")</f>
        <v xml:space="preserve">| 1 L PHP-CGM % | 2 L JAVA % | 3 P PHP-CGM % | 5 P Python % </v>
      </c>
      <c r="BW59" s="4" t="str">
        <f ca="1">IFERROR(__xludf.DUMMYFUNCTION("""COMPUTED_VALUE"""),"| 1 P CPT % | 3 L JAVA % | 4 L CPT % ")</f>
        <v xml:space="preserve">| 1 P CPT % | 3 L JAVA % | 4 L CPT % </v>
      </c>
      <c r="BX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Y59" s="4" t="str">
        <f ca="1">IFERROR(__xludf.DUMMYFUNCTION("""COMPUTED_VALUE"""),"| 1 L INE % | 3 L PHP-CGM % | 4 L NS % | 5 L PRO % ")</f>
        <v xml:space="preserve">| 1 L INE % | 3 L PHP-CGM % | 4 L NS % | 5 L PRO % </v>
      </c>
      <c r="BZ59" s="4" t="str">
        <f ca="1">IFERROR(__xludf.DUMMYFUNCTION("""COMPUTED_VALUE"""),"| 1 L CPT @ | 2 L NS @ | 3 P NS % | 5 P JAVA % ")</f>
        <v xml:space="preserve">| 1 L CPT @ | 2 L NS @ | 3 P NS % | 5 P JAVA % </v>
      </c>
      <c r="CA59" s="4" t="str">
        <f ca="1">IFERROR(__xludf.DUMMYFUNCTION("""COMPUTED_VALUE"""),"| 1 L PHP-CGM % | 2 L JAVA % | 3 P PHP-CGM % | 5 P Python % ")</f>
        <v xml:space="preserve">| 1 L PHP-CGM % | 2 L JAVA % | 3 P PHP-CGM % | 5 P Python % </v>
      </c>
      <c r="CB59" s="4" t="str">
        <f ca="1">IFERROR(__xludf.DUMMYFUNCTION("""COMPUTED_VALUE"""),"| 1 P CPT % | 3 L JAVA @ | 4 L CPT % | 5 P Python % ")</f>
        <v xml:space="preserve">| 1 P CPT % | 3 L JAVA @ | 4 L CPT % | 5 P Python % </v>
      </c>
      <c r="CC5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59" s="4" t="str">
        <f ca="1">IFERROR(__xludf.DUMMYFUNCTION("""COMPUTED_VALUE"""),"| 1 L INE % | 3 L PHP-CGM % | 4 L NS % | 5 L PRO % ")</f>
        <v xml:space="preserve">| 1 L INE % | 3 L PHP-CGM % | 4 L NS % | 5 L PRO % </v>
      </c>
      <c r="CE59" s="4" t="str">
        <f ca="1">IFERROR(__xludf.DUMMYFUNCTION("""COMPUTED_VALUE"""),"| 1 L CPT % | 2 L NS % | 3 P NS % | 5 P JAVA % ")</f>
        <v xml:space="preserve">| 1 L CPT % | 2 L NS % | 3 P NS % | 5 P JAVA % </v>
      </c>
      <c r="CF59" s="4" t="str">
        <f ca="1">IFERROR(__xludf.DUMMYFUNCTION("""COMPUTED_VALUE"""),"| 1 L PHP-CGM @ | 2 L JAVA % | 3 P PHP-CGM % | 5 P Python % ")</f>
        <v xml:space="preserve">| 1 L PHP-CGM @ | 2 L JAVA % | 3 P PHP-CGM % | 5 P Python % </v>
      </c>
      <c r="CG59" s="4" t="str">
        <f ca="1">IFERROR(__xludf.DUMMYFUNCTION("""COMPUTED_VALUE"""),"| 1 P CPT % | 4 L CPT @ | 5 P Python @ ")</f>
        <v xml:space="preserve">| 1 P CPT % | 4 L CPT @ | 5 P Python @ </v>
      </c>
      <c r="CH59" s="4" t="str">
        <f ca="1">IFERROR(__xludf.DUMMYFUNCTION("""COMPUTED_VALUE"""),"| 1 P JAVA % | 3 L NS % | 6 L CPT @ ")</f>
        <v xml:space="preserve">| 1 P JAVA % | 3 L NS % | 6 L CPT @ </v>
      </c>
      <c r="CI59" s="4" t="str">
        <f ca="1">IFERROR(__xludf.DUMMYFUNCTION("""COMPUTED_VALUE"""),"| 1 L INE @ ")</f>
        <v xml:space="preserve">| 1 L INE @ </v>
      </c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</row>
    <row r="60" spans="1:102" ht="12.5" x14ac:dyDescent="0.25">
      <c r="A60" s="3">
        <f ca="1">IFERROR(__xludf.DUMMYFUNCTION("""COMPUTED_VALUE"""),3)</f>
        <v>3</v>
      </c>
      <c r="B60" s="3" t="str">
        <f ca="1">IFERROR(__xludf.DUMMYFUNCTION("""COMPUTED_VALUE"""),"A")</f>
        <v>A</v>
      </c>
      <c r="C60" s="32" t="str">
        <f ca="1">IFERROR(__xludf.DUMMYFUNCTION("""COMPUTED_VALUE"""),"23291341153")</f>
        <v>23291341153</v>
      </c>
      <c r="D60" s="21" t="str">
        <f ca="1">IFERROR(__xludf.DUMMYFUNCTION("""COMPUTED_VALUE"""),"SADHU SAHIL SUNILKUMAR")</f>
        <v>SADHU SAHIL SUNILKUMAR</v>
      </c>
      <c r="E60" s="3" t="str">
        <f ca="1">IFERROR(__xludf.DUMMYFUNCTION("""COMPUTED_VALUE"""),"RRP-Mor")</f>
        <v>RRP-Mor</v>
      </c>
      <c r="F60" s="3">
        <f ca="1">IFERROR(__xludf.DUMMYFUNCTION("""COMPUTED_VALUE"""),9662392666)</f>
        <v>9662392666</v>
      </c>
      <c r="G60" s="3">
        <f ca="1">IFERROR(__xludf.DUMMYFUNCTION("""COMPUTED_VALUE"""),9662392666)</f>
        <v>9662392666</v>
      </c>
      <c r="H60" s="33">
        <f ca="1">IFERROR(__xludf.DUMMYFUNCTION("""COMPUTED_VALUE"""),0.559670781893004)</f>
        <v>0.55967078189300401</v>
      </c>
      <c r="I60" s="25">
        <f ca="1">IFERROR(__xludf.DUMMYFUNCTION("""COMPUTED_VALUE"""),0.527777777777777)</f>
        <v>0.52777777777777701</v>
      </c>
      <c r="J60" s="25">
        <f ca="1">IFERROR(__xludf.DUMMYFUNCTION("""COMPUTED_VALUE"""),0.538461538461538)</f>
        <v>0.53846153846153799</v>
      </c>
      <c r="K60" s="25">
        <f ca="1">IFERROR(__xludf.DUMMYFUNCTION("""COMPUTED_VALUE"""),0.647058823529411)</f>
        <v>0.64705882352941102</v>
      </c>
      <c r="L60" s="25">
        <f ca="1">IFERROR(__xludf.DUMMYFUNCTION("""COMPUTED_VALUE"""),0.727272727272727)</f>
        <v>0.72727272727272696</v>
      </c>
      <c r="M60" s="25">
        <f ca="1">IFERROR(__xludf.DUMMYFUNCTION("""COMPUTED_VALUE"""),0.583333333333333)</f>
        <v>0.58333333333333304</v>
      </c>
      <c r="N60" s="25">
        <f ca="1">IFERROR(__xludf.DUMMYFUNCTION("""COMPUTED_VALUE"""),0.461538461538461)</f>
        <v>0.46153846153846101</v>
      </c>
      <c r="O60" s="25">
        <f ca="1">IFERROR(__xludf.DUMMYFUNCTION("""COMPUTED_VALUE"""),0.515151515151515)</f>
        <v>0.51515151515151503</v>
      </c>
      <c r="P60" s="25">
        <f ca="1">IFERROR(__xludf.DUMMYFUNCTION("""COMPUTED_VALUE"""),0.571428571428571)</f>
        <v>0.57142857142857095</v>
      </c>
      <c r="Q60" s="25">
        <f ca="1">IFERROR(__xludf.DUMMYFUNCTION("""COMPUTED_VALUE"""),0)</f>
        <v>0</v>
      </c>
      <c r="R60" s="25">
        <f ca="1">IFERROR(__xludf.DUMMYFUNCTION("""COMPUTED_VALUE"""),0.434782608695652)</f>
        <v>0.434782608695652</v>
      </c>
      <c r="S60" s="25">
        <f ca="1">IFERROR(__xludf.DUMMYFUNCTION("""COMPUTED_VALUE"""),0.8)</f>
        <v>0.8</v>
      </c>
      <c r="T60" s="25">
        <f ca="1">IFERROR(__xludf.DUMMYFUNCTION("""COMPUTED_VALUE"""),1)</f>
        <v>1</v>
      </c>
      <c r="U60" s="25">
        <f ca="1">IFERROR(__xludf.DUMMYFUNCTION("""COMPUTED_VALUE"""),0.363636363636363)</f>
        <v>0.36363636363636298</v>
      </c>
      <c r="V60" s="25">
        <f ca="1">IFERROR(__xludf.DUMMYFUNCTION("""COMPUTED_VALUE"""),0)</f>
        <v>0</v>
      </c>
      <c r="W60" s="4"/>
      <c r="X60" s="4" t="str">
        <f ca="1">IFERROR(__xludf.DUMMYFUNCTION("""COMPUTED_VALUE"""),"| 1 L PHP-CGM % | 3 P PHP-CGM % | 5 P Python % ")</f>
        <v xml:space="preserve">| 1 L PHP-CGM % | 3 P PHP-CGM % | 5 P Python % </v>
      </c>
      <c r="Y60" s="4" t="str">
        <f ca="1">IFERROR(__xludf.DUMMYFUNCTION("""COMPUTED_VALUE"""),"| 1 P CPT % | 3 L JAVA % | 4 L CPT % | 5 P Python % ")</f>
        <v xml:space="preserve">| 1 P CPT % | 3 L JAVA % | 4 L CPT % | 5 P Python % </v>
      </c>
      <c r="Z6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60" s="4" t="str">
        <f ca="1">IFERROR(__xludf.DUMMYFUNCTION("""COMPUTED_VALUE"""),"| 3 L PHP-CGM % | 4 L NS % | 1 L INE % | 5 P PRO % ")</f>
        <v xml:space="preserve">| 3 L PHP-CGM % | 4 L NS % | 1 L INE % | 5 P PRO % </v>
      </c>
      <c r="AB60" s="4" t="str">
        <f ca="1">IFERROR(__xludf.DUMMYFUNCTION("""COMPUTED_VALUE"""),"| 1 L CPT % | 2 L NS % | 3 P NS % | 5 P JAVA % ")</f>
        <v xml:space="preserve">| 1 L CPT % | 2 L NS % | 3 P NS % | 5 P JAVA % </v>
      </c>
      <c r="AC60" s="4" t="str">
        <f ca="1">IFERROR(__xludf.DUMMYFUNCTION("""COMPUTED_VALUE"""),"| 1 L PHP-CGM @ | 2 L JAVA @ | 3 P PHP-CGM @ | 5 P Python @ ")</f>
        <v xml:space="preserve">| 1 L PHP-CGM @ | 2 L JAVA @ | 3 P PHP-CGM @ | 5 P Python @ </v>
      </c>
      <c r="AD60" s="4" t="str">
        <f ca="1">IFERROR(__xludf.DUMMYFUNCTION("""COMPUTED_VALUE"""),"| 1 P CPT % | 3 L JAVA % | 4 L CPT % | 5 P Python @ ")</f>
        <v xml:space="preserve">| 1 P CPT % | 3 L JAVA % | 4 L CPT % | 5 P Python @ </v>
      </c>
      <c r="AE60" s="4" t="str">
        <f ca="1">IFERROR(__xludf.DUMMYFUNCTION("""COMPUTED_VALUE"""),"| 1 P JAVA @ | 4 L JAVA @ | 3 L NS @ | 5 L PHP-CGM @ | 6 L CPT @ ")</f>
        <v xml:space="preserve">| 1 P JAVA @ | 4 L JAVA @ | 3 L NS @ | 5 L PHP-CGM @ | 6 L CPT @ </v>
      </c>
      <c r="AF60" s="4" t="str">
        <f ca="1">IFERROR(__xludf.DUMMYFUNCTION("""COMPUTED_VALUE"""),"| 3 L PHP-CGM % | 4 L NS % | 5 P PRO % ")</f>
        <v xml:space="preserve">| 3 L PHP-CGM % | 4 L NS % | 5 P PRO % </v>
      </c>
      <c r="AG60" s="4" t="str">
        <f ca="1">IFERROR(__xludf.DUMMYFUNCTION("""COMPUTED_VALUE"""),"| 1 L CPT @ | 2 L NS @ | 3 P NS @ | 5 P JAVA @ ")</f>
        <v xml:space="preserve">| 1 L CPT @ | 2 L NS @ | 3 P NS @ | 5 P JAVA @ </v>
      </c>
      <c r="AH60" s="4" t="str">
        <f ca="1">IFERROR(__xludf.DUMMYFUNCTION("""COMPUTED_VALUE"""),"| 3 L PHP-CGM % | 4 L NS % | 5 L PRO % ")</f>
        <v xml:space="preserve">| 3 L PHP-CGM % | 4 L NS % | 5 L PRO % </v>
      </c>
      <c r="AI60" s="4" t="str">
        <f ca="1">IFERROR(__xludf.DUMMYFUNCTION("""COMPUTED_VALUE"""),"| 1 L CPT % | 2 L NS % | 3 P NS % | 5 P JAVA % ")</f>
        <v xml:space="preserve">| 1 L CPT % | 2 L NS % | 3 P NS % | 5 P JAVA % </v>
      </c>
      <c r="AJ60" s="4" t="str">
        <f ca="1">IFERROR(__xludf.DUMMYFUNCTION("""COMPUTED_VALUE"""),"| 1 L PHP-CGM @ | 2 L JAVA @ | 3 P PHP-CGM % | 5 P Python @ ")</f>
        <v xml:space="preserve">| 1 L PHP-CGM @ | 2 L JAVA @ | 3 P PHP-CGM % | 5 P Python @ </v>
      </c>
      <c r="AK60" s="4" t="str">
        <f ca="1">IFERROR(__xludf.DUMMYFUNCTION("""COMPUTED_VALUE"""),"| 1 P CPT @ | 3 L JAVA % | 4 L CPT % | 5 P Python @ ")</f>
        <v xml:space="preserve">| 1 P CPT @ | 3 L JAVA % | 4 L CPT % | 5 P Python @ </v>
      </c>
      <c r="AL60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M60" s="4" t="str">
        <f ca="1">IFERROR(__xludf.DUMMYFUNCTION("""COMPUTED_VALUE"""),"| 1 L INE @ | 4 L NS % | 3 L PHP-CGM % | 5 L PRO % ")</f>
        <v xml:space="preserve">| 1 L INE @ | 4 L NS % | 3 L PHP-CGM % | 5 L PRO % </v>
      </c>
      <c r="AN60" s="4" t="str">
        <f ca="1">IFERROR(__xludf.DUMMYFUNCTION("""COMPUTED_VALUE"""),"| 1 L CPT @ | 2 L NS @ | 3 P NS % | 5 P JAVA % ")</f>
        <v xml:space="preserve">| 1 L CPT @ | 2 L NS @ | 3 P NS % | 5 P JAVA % </v>
      </c>
      <c r="AO60" s="4" t="str">
        <f ca="1">IFERROR(__xludf.DUMMYFUNCTION("""COMPUTED_VALUE"""),"| 1 L PHP-CGM % | 2 L JAVA % | 3 P PHP-CGM % | 5 P Python % ")</f>
        <v xml:space="preserve">| 1 L PHP-CGM % | 2 L JAVA % | 3 P PHP-CGM % | 5 P Python % </v>
      </c>
      <c r="AP60" s="4" t="str">
        <f ca="1">IFERROR(__xludf.DUMMYFUNCTION("""COMPUTED_VALUE"""),"| 1 P CPT % | 3 L JAVA % | 4 L CPT % | 5 P Python % ")</f>
        <v xml:space="preserve">| 1 P CPT % | 3 L JAVA % | 4 L CPT % | 5 P Python % </v>
      </c>
      <c r="AQ6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60" s="4" t="str">
        <f ca="1">IFERROR(__xludf.DUMMYFUNCTION("""COMPUTED_VALUE"""),"| 1 L INE @ | 3 L PHP-CGM % | 4 L NS % | 5 L PRO % ")</f>
        <v xml:space="preserve">| 1 L INE @ | 3 L PHP-CGM % | 4 L NS % | 5 L PRO % </v>
      </c>
      <c r="AS60" s="4" t="str">
        <f ca="1">IFERROR(__xludf.DUMMYFUNCTION("""COMPUTED_VALUE"""),"| 1 L PHP-CGM % | 2 L JAVA % | 3 P PHP-CGM % | 5 P Python @ ")</f>
        <v xml:space="preserve">| 1 L PHP-CGM % | 2 L JAVA % | 3 P PHP-CGM % | 5 P Python @ </v>
      </c>
      <c r="AT60" s="4" t="str">
        <f ca="1">IFERROR(__xludf.DUMMYFUNCTION("""COMPUTED_VALUE"""),"| 1 P CPT % | 3 L JAVA % | 4 L CPT % | 5 P Python % ")</f>
        <v xml:space="preserve">| 1 P CPT % | 3 L JAVA % | 4 L CPT % | 5 P Python % </v>
      </c>
      <c r="AU60" s="4" t="str">
        <f ca="1">IFERROR(__xludf.DUMMYFUNCTION("""COMPUTED_VALUE"""),"| 1 P JAVA @ | 3 L NS % | 4 L JAVA % | 5 L PHP-CGM % | 6 L CPT % ")</f>
        <v xml:space="preserve">| 1 P JAVA @ | 3 L NS % | 4 L JAVA % | 5 L PHP-CGM % | 6 L CPT % </v>
      </c>
      <c r="AV60" s="4" t="str">
        <f ca="1">IFERROR(__xludf.DUMMYFUNCTION("""COMPUTED_VALUE"""),"| 1 L INE @ | 3 L PHP-CGM % | 4 L NS % | 7 L PRO % ")</f>
        <v xml:space="preserve">| 1 L INE @ | 3 L PHP-CGM % | 4 L NS % | 7 L PRO % </v>
      </c>
      <c r="AW60" s="4" t="str">
        <f ca="1">IFERROR(__xludf.DUMMYFUNCTION("""COMPUTED_VALUE"""),"| 1 L CPT % | 3 P NS % | 2 L NS % | 5 P JAVA % ")</f>
        <v xml:space="preserve">| 1 L CPT % | 3 P NS % | 2 L NS % | 5 P JAVA % </v>
      </c>
      <c r="AX60" s="4" t="str">
        <f ca="1">IFERROR(__xludf.DUMMYFUNCTION("""COMPUTED_VALUE"""),"| 1 L PHP-CGM @ | 2 L JAVA @ | 3 P PHP-CGM @ | 5 P Python @ ")</f>
        <v xml:space="preserve">| 1 L PHP-CGM @ | 2 L JAVA @ | 3 P PHP-CGM @ | 5 P Python @ </v>
      </c>
      <c r="AY60" s="4" t="str">
        <f ca="1">IFERROR(__xludf.DUMMYFUNCTION("""COMPUTED_VALUE"""),"| 1 P CPT % | 3 L JAVA % | 4 L CPT % | 5 P Python % ")</f>
        <v xml:space="preserve">| 1 P CPT % | 3 L JAVA % | 4 L CPT % | 5 P Python % </v>
      </c>
      <c r="AZ60" s="4" t="str">
        <f ca="1">IFERROR(__xludf.DUMMYFUNCTION("""COMPUTED_VALUE"""),"| 1 L INE @ | 3 L PHP-CGM @ | 4 L NS @ | 5 L PRO @ ")</f>
        <v xml:space="preserve">| 1 L INE @ | 3 L PHP-CGM @ | 4 L NS @ | 5 L PRO @ </v>
      </c>
      <c r="BA60" s="4" t="str">
        <f ca="1">IFERROR(__xludf.DUMMYFUNCTION("""COMPUTED_VALUE"""),"| 1 L CPT @ | 2 L NS @ | 3 P NS @ | 5 P JAVA @ ")</f>
        <v xml:space="preserve">| 1 L CPT @ | 2 L NS @ | 3 P NS @ | 5 P JAVA @ </v>
      </c>
      <c r="BB60" s="4" t="str">
        <f ca="1">IFERROR(__xludf.DUMMYFUNCTION("""COMPUTED_VALUE"""),"| 1 L PHP-CGM @ | 2 L JAVA @ | 3 P PHP-CGM @ | 5 P Python @ ")</f>
        <v xml:space="preserve">| 1 L PHP-CGM @ | 2 L JAVA @ | 3 P PHP-CGM @ | 5 P Python @ </v>
      </c>
      <c r="BC60" s="4" t="str">
        <f ca="1">IFERROR(__xludf.DUMMYFUNCTION("""COMPUTED_VALUE"""),"| 1 P CPT % | 3 L JAVA % | 4 L CPT % | 5 P Python % ")</f>
        <v xml:space="preserve">| 1 P CPT % | 3 L JAVA % | 4 L CPT % | 5 P Python % </v>
      </c>
      <c r="BD60" s="4" t="str">
        <f ca="1">IFERROR(__xludf.DUMMYFUNCTION("""COMPUTED_VALUE"""),"| 1 P JAVA % | 3 L NS @ | 6 L CPT @ | 5 L PHP-CGM @ | 4 L JAVA @ ")</f>
        <v xml:space="preserve">| 1 P JAVA % | 3 L NS @ | 6 L CPT @ | 5 L PHP-CGM @ | 4 L JAVA @ </v>
      </c>
      <c r="BE60" s="4" t="str">
        <f ca="1">IFERROR(__xludf.DUMMYFUNCTION("""COMPUTED_VALUE"""),"| 1 L INE @ | 3 L PHP-CGM % | 4 L NS % | 5 L PRO % ")</f>
        <v xml:space="preserve">| 1 L INE @ | 3 L PHP-CGM % | 4 L NS % | 5 L PRO % </v>
      </c>
      <c r="BF60" s="4" t="str">
        <f ca="1">IFERROR(__xludf.DUMMYFUNCTION("""COMPUTED_VALUE"""),"| 1 L CPT % | 2 L NS % | 3 P NS % | 5 P JAVA @ ")</f>
        <v xml:space="preserve">| 1 L CPT % | 2 L NS % | 3 P NS % | 5 P JAVA @ </v>
      </c>
      <c r="BG60" s="4" t="str">
        <f ca="1">IFERROR(__xludf.DUMMYFUNCTION("""COMPUTED_VALUE"""),"| 1 P CPT @ | 4 L CPT @ | 5 P Python @ ")</f>
        <v xml:space="preserve">| 1 P CPT @ | 4 L CPT @ | 5 P Python @ </v>
      </c>
      <c r="BH6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60" s="4" t="str">
        <f ca="1">IFERROR(__xludf.DUMMYFUNCTION("""COMPUTED_VALUE"""),"| 1 L INE @ | 3 L PHP-CGM % | 4 L NS % | 5 L PRO % ")</f>
        <v xml:space="preserve">| 1 L INE @ | 3 L PHP-CGM % | 4 L NS % | 5 L PRO % </v>
      </c>
      <c r="BJ60" s="4" t="str">
        <f ca="1">IFERROR(__xludf.DUMMYFUNCTION("""COMPUTED_VALUE"""),"| 1 L CPT % | 2 L NS % | 3 P NS % | 5 P JAVA @ ")</f>
        <v xml:space="preserve">| 1 L CPT % | 2 L NS % | 3 P NS % | 5 P JAVA @ </v>
      </c>
      <c r="BK60" s="4" t="str">
        <f ca="1">IFERROR(__xludf.DUMMYFUNCTION("""COMPUTED_VALUE"""),"| 1 L PHP-CGM @ | 2 L JAVA @ | 3 P PHP-CGM @ | 5 P Python @ ")</f>
        <v xml:space="preserve">| 1 L PHP-CGM @ | 2 L JAVA @ | 3 P PHP-CGM @ | 5 P Python @ </v>
      </c>
      <c r="BL60" s="4" t="str">
        <f ca="1">IFERROR(__xludf.DUMMYFUNCTION("""COMPUTED_VALUE"""),"| 1 P CPT @ | 3 L JAVA @ | 4 L CPT @ | 5 P Python @ ")</f>
        <v xml:space="preserve">| 1 P CPT @ | 3 L JAVA @ | 4 L CPT @ | 5 P Python @ </v>
      </c>
      <c r="BM60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60" s="4" t="str">
        <f ca="1">IFERROR(__xludf.DUMMYFUNCTION("""COMPUTED_VALUE"""),"| 1 L INE % | 3 L PHP-CGM @ | 4 L NS @ | 5 L PRO @ ")</f>
        <v xml:space="preserve">| 1 L INE % | 3 L PHP-CGM @ | 4 L NS @ | 5 L PRO @ </v>
      </c>
      <c r="BO60" s="4" t="str">
        <f ca="1">IFERROR(__xludf.DUMMYFUNCTION("""COMPUTED_VALUE"""),"| 1 L CPT @ | 2 L NS @ | 3 P NS @ ")</f>
        <v xml:space="preserve">| 1 L CPT @ | 2 L NS @ | 3 P NS @ </v>
      </c>
      <c r="BP60" s="4" t="str">
        <f ca="1">IFERROR(__xludf.DUMMYFUNCTION("""COMPUTED_VALUE"""),"| 1 L PHP-CGM @ | 2 L JAVA % | 3 P PHP-CGM @ | 5 P Python @ ")</f>
        <v xml:space="preserve">| 1 L PHP-CGM @ | 2 L JAVA % | 3 P PHP-CGM @ | 5 P Python @ </v>
      </c>
      <c r="BQ60" s="4" t="str">
        <f ca="1">IFERROR(__xludf.DUMMYFUNCTION("""COMPUTED_VALUE"""),"| 5 L PHP-CGM % | 6 L CPT @ ")</f>
        <v xml:space="preserve">| 5 L PHP-CGM % | 6 L CPT @ </v>
      </c>
      <c r="BR60" s="4"/>
      <c r="BS60" s="4"/>
      <c r="BT60" s="4" t="str">
        <f ca="1">IFERROR(__xludf.DUMMYFUNCTION("""COMPUTED_VALUE"""),"| 1 L PHP-CGM @ | 2 L JAVA @ | 3 P PHP-CGM @ ")</f>
        <v xml:space="preserve">| 1 L PHP-CGM @ | 2 L JAVA @ | 3 P PHP-CGM @ </v>
      </c>
      <c r="BU60" s="4" t="str">
        <f ca="1">IFERROR(__xludf.DUMMYFUNCTION("""COMPUTED_VALUE"""),"| 1 P CPT @ | 4 L CPT @ | 3 L JAVA @ ")</f>
        <v xml:space="preserve">| 1 P CPT @ | 4 L CPT @ | 3 L JAVA @ </v>
      </c>
      <c r="BV60" s="4" t="str">
        <f ca="1">IFERROR(__xludf.DUMMYFUNCTION("""COMPUTED_VALUE"""),"| 1 L PHP-CGM @ | 2 L JAVA @ | 3 P PHP-CGM @ | 5 P Python @ ")</f>
        <v xml:space="preserve">| 1 L PHP-CGM @ | 2 L JAVA @ | 3 P PHP-CGM @ | 5 P Python @ </v>
      </c>
      <c r="BW60" s="4" t="str">
        <f ca="1">IFERROR(__xludf.DUMMYFUNCTION("""COMPUTED_VALUE"""),"| 1 P CPT @ | 3 L JAVA @ | 4 L CPT @ ")</f>
        <v xml:space="preserve">| 1 P CPT @ | 3 L JAVA @ | 4 L CPT @ </v>
      </c>
      <c r="BX60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60" s="4" t="str">
        <f ca="1">IFERROR(__xludf.DUMMYFUNCTION("""COMPUTED_VALUE"""),"| 1 L INE % | 3 L PHP-CGM % | 4 L NS % | 5 L PRO % ")</f>
        <v xml:space="preserve">| 1 L INE % | 3 L PHP-CGM % | 4 L NS % | 5 L PRO % </v>
      </c>
      <c r="BZ60" s="4" t="str">
        <f ca="1">IFERROR(__xludf.DUMMYFUNCTION("""COMPUTED_VALUE"""),"| 1 L CPT % | 2 L NS % | 3 P NS % | 5 P JAVA @ ")</f>
        <v xml:space="preserve">| 1 L CPT % | 2 L NS % | 3 P NS % | 5 P JAVA @ </v>
      </c>
      <c r="CA60" s="4" t="str">
        <f ca="1">IFERROR(__xludf.DUMMYFUNCTION("""COMPUTED_VALUE"""),"| 1 L PHP-CGM % | 2 L JAVA % | 3 P PHP-CGM % | 5 P Python % ")</f>
        <v xml:space="preserve">| 1 L PHP-CGM % | 2 L JAVA % | 3 P PHP-CGM % | 5 P Python % </v>
      </c>
      <c r="CB60" s="4" t="str">
        <f ca="1">IFERROR(__xludf.DUMMYFUNCTION("""COMPUTED_VALUE"""),"| 1 P CPT @ | 3 L JAVA @ | 4 L CPT @ | 5 P Python @ ")</f>
        <v xml:space="preserve">| 1 P CPT @ | 3 L JAVA @ | 4 L CPT @ | 5 P Python @ </v>
      </c>
      <c r="CC6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60" s="4" t="str">
        <f ca="1">IFERROR(__xludf.DUMMYFUNCTION("""COMPUTED_VALUE"""),"| 1 L INE % | 3 L PHP-CGM % | 4 L NS @ | 5 L PRO % ")</f>
        <v xml:space="preserve">| 1 L INE % | 3 L PHP-CGM % | 4 L NS @ | 5 L PRO % </v>
      </c>
      <c r="CE60" s="4" t="str">
        <f ca="1">IFERROR(__xludf.DUMMYFUNCTION("""COMPUTED_VALUE"""),"| 1 L CPT % | 2 L NS % | 3 P NS % | 5 P JAVA % ")</f>
        <v xml:space="preserve">| 1 L CPT % | 2 L NS % | 3 P NS % | 5 P JAVA % </v>
      </c>
      <c r="CF60" s="4" t="str">
        <f ca="1">IFERROR(__xludf.DUMMYFUNCTION("""COMPUTED_VALUE"""),"| 1 L PHP-CGM % | 2 L JAVA @ | 3 P PHP-CGM % | 5 P Python % ")</f>
        <v xml:space="preserve">| 1 L PHP-CGM % | 2 L JAVA @ | 3 P PHP-CGM % | 5 P Python % </v>
      </c>
      <c r="CG60" s="4" t="str">
        <f ca="1">IFERROR(__xludf.DUMMYFUNCTION("""COMPUTED_VALUE"""),"| 1 P CPT % | 4 L CPT @ | 5 P Python % ")</f>
        <v xml:space="preserve">| 1 P CPT % | 4 L CPT @ | 5 P Python % </v>
      </c>
      <c r="CH60" s="4" t="str">
        <f ca="1">IFERROR(__xludf.DUMMYFUNCTION("""COMPUTED_VALUE"""),"| 1 P JAVA % | 3 L NS @ | 6 L CPT @ ")</f>
        <v xml:space="preserve">| 1 P JAVA % | 3 L NS @ | 6 L CPT @ </v>
      </c>
      <c r="CI60" s="4" t="str">
        <f ca="1">IFERROR(__xludf.DUMMYFUNCTION("""COMPUTED_VALUE"""),"| 1 L INE @ ")</f>
        <v xml:space="preserve">| 1 L INE @ </v>
      </c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</row>
    <row r="61" spans="1:102" ht="12.5" x14ac:dyDescent="0.25">
      <c r="A61" s="3">
        <f ca="1">IFERROR(__xludf.DUMMYFUNCTION("""COMPUTED_VALUE"""),3)</f>
        <v>3</v>
      </c>
      <c r="B61" s="3" t="str">
        <f ca="1">IFERROR(__xludf.DUMMYFUNCTION("""COMPUTED_VALUE"""),"A")</f>
        <v>A</v>
      </c>
      <c r="C61" s="32" t="str">
        <f ca="1">IFERROR(__xludf.DUMMYFUNCTION("""COMPUTED_VALUE"""),"23291341158")</f>
        <v>23291341158</v>
      </c>
      <c r="D61" s="21" t="str">
        <f ca="1">IFERROR(__xludf.DUMMYFUNCTION("""COMPUTED_VALUE"""),"SUTHAR DHYAN SUNIL")</f>
        <v>SUTHAR DHYAN SUNIL</v>
      </c>
      <c r="E61" s="3" t="str">
        <f ca="1">IFERROR(__xludf.DUMMYFUNCTION("""COMPUTED_VALUE"""),"RRP-Mor")</f>
        <v>RRP-Mor</v>
      </c>
      <c r="F61" s="3">
        <f ca="1">IFERROR(__xludf.DUMMYFUNCTION("""COMPUTED_VALUE"""),8200578586)</f>
        <v>8200578586</v>
      </c>
      <c r="G61" s="3">
        <f ca="1">IFERROR(__xludf.DUMMYFUNCTION("""COMPUTED_VALUE"""),9825678756)</f>
        <v>9825678756</v>
      </c>
      <c r="H61" s="33">
        <f ca="1">IFERROR(__xludf.DUMMYFUNCTION("""COMPUTED_VALUE"""),0.242798353909465)</f>
        <v>0.242798353909465</v>
      </c>
      <c r="I61" s="25">
        <f ca="1">IFERROR(__xludf.DUMMYFUNCTION("""COMPUTED_VALUE"""),0.138888888888888)</f>
        <v>0.13888888888888801</v>
      </c>
      <c r="J61" s="25">
        <f ca="1">IFERROR(__xludf.DUMMYFUNCTION("""COMPUTED_VALUE"""),0.538461538461538)</f>
        <v>0.53846153846153799</v>
      </c>
      <c r="K61" s="25">
        <f ca="1">IFERROR(__xludf.DUMMYFUNCTION("""COMPUTED_VALUE"""),0.294117647058823)</f>
        <v>0.29411764705882298</v>
      </c>
      <c r="L61" s="25">
        <f ca="1">IFERROR(__xludf.DUMMYFUNCTION("""COMPUTED_VALUE"""),0.181818181818181)</f>
        <v>0.18181818181818099</v>
      </c>
      <c r="M61" s="25">
        <f ca="1">IFERROR(__xludf.DUMMYFUNCTION("""COMPUTED_VALUE"""),0.166666666666666)</f>
        <v>0.16666666666666599</v>
      </c>
      <c r="N61" s="25">
        <f ca="1">IFERROR(__xludf.DUMMYFUNCTION("""COMPUTED_VALUE"""),0.23076923076923)</f>
        <v>0.23076923076923</v>
      </c>
      <c r="O61" s="25">
        <f ca="1">IFERROR(__xludf.DUMMYFUNCTION("""COMPUTED_VALUE"""),0.333333333333333)</f>
        <v>0.33333333333333298</v>
      </c>
      <c r="P61" s="25">
        <f ca="1">IFERROR(__xludf.DUMMYFUNCTION("""COMPUTED_VALUE"""),0.285714285714285)</f>
        <v>0.28571428571428498</v>
      </c>
      <c r="Q61" s="25">
        <f ca="1">IFERROR(__xludf.DUMMYFUNCTION("""COMPUTED_VALUE"""),0)</f>
        <v>0</v>
      </c>
      <c r="R61" s="25">
        <f ca="1">IFERROR(__xludf.DUMMYFUNCTION("""COMPUTED_VALUE"""),0.17391304347826)</f>
        <v>0.17391304347826</v>
      </c>
      <c r="S61" s="25">
        <f ca="1">IFERROR(__xludf.DUMMYFUNCTION("""COMPUTED_VALUE"""),0.3)</f>
        <v>0.3</v>
      </c>
      <c r="T61" s="25">
        <f ca="1">IFERROR(__xludf.DUMMYFUNCTION("""COMPUTED_VALUE"""),0)</f>
        <v>0</v>
      </c>
      <c r="U61" s="25">
        <f ca="1">IFERROR(__xludf.DUMMYFUNCTION("""COMPUTED_VALUE"""),0.181818181818181)</f>
        <v>0.18181818181818099</v>
      </c>
      <c r="V61" s="25">
        <f ca="1">IFERROR(__xludf.DUMMYFUNCTION("""COMPUTED_VALUE"""),0)</f>
        <v>0</v>
      </c>
      <c r="W61" s="4"/>
      <c r="X61" s="4" t="str">
        <f ca="1">IFERROR(__xludf.DUMMYFUNCTION("""COMPUTED_VALUE"""),"| 1 L PHP-CGM @ | 3 P PHP-CGM @ | 5 P Python @ ")</f>
        <v xml:space="preserve">| 1 L PHP-CGM @ | 3 P PHP-CGM @ | 5 P Python @ </v>
      </c>
      <c r="Y61" s="4" t="str">
        <f ca="1">IFERROR(__xludf.DUMMYFUNCTION("""COMPUTED_VALUE"""),"| 1 P CPT % | 3 L JAVA % | 4 L CPT % | 5 P Python % ")</f>
        <v xml:space="preserve">| 1 P CPT % | 3 L JAVA % | 4 L CPT % | 5 P Python % </v>
      </c>
      <c r="Z61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A61" s="4" t="str">
        <f ca="1">IFERROR(__xludf.DUMMYFUNCTION("""COMPUTED_VALUE"""),"| 3 L PHP-CGM @ | 4 L NS @ | 1 L INE % | 5 P PRO @ ")</f>
        <v xml:space="preserve">| 3 L PHP-CGM @ | 4 L NS @ | 1 L INE % | 5 P PRO @ </v>
      </c>
      <c r="AB61" s="4" t="str">
        <f ca="1">IFERROR(__xludf.DUMMYFUNCTION("""COMPUTED_VALUE"""),"| 1 L CPT @ | 2 L NS @ | 3 P NS @ | 5 P JAVA @ ")</f>
        <v xml:space="preserve">| 1 L CPT @ | 2 L NS @ | 3 P NS @ | 5 P JAVA @ </v>
      </c>
      <c r="AC61" s="4" t="str">
        <f ca="1">IFERROR(__xludf.DUMMYFUNCTION("""COMPUTED_VALUE"""),"| 1 L PHP-CGM @ | 2 L JAVA @ | 3 P PHP-CGM % | 5 P Python @ ")</f>
        <v xml:space="preserve">| 1 L PHP-CGM @ | 2 L JAVA @ | 3 P PHP-CGM % | 5 P Python @ </v>
      </c>
      <c r="AD61" s="4" t="str">
        <f ca="1">IFERROR(__xludf.DUMMYFUNCTION("""COMPUTED_VALUE"""),"| 1 P CPT % | 3 L JAVA % | 4 L CPT @ | 5 P Python @ ")</f>
        <v xml:space="preserve">| 1 P CPT % | 3 L JAVA % | 4 L CPT @ | 5 P Python @ </v>
      </c>
      <c r="AE61" s="4" t="str">
        <f ca="1">IFERROR(__xludf.DUMMYFUNCTION("""COMPUTED_VALUE"""),"| 1 P JAVA @ | 4 L JAVA @ | 3 L NS @ | 5 L PHP-CGM @ | 6 L CPT @ ")</f>
        <v xml:space="preserve">| 1 P JAVA @ | 4 L JAVA @ | 3 L NS @ | 5 L PHP-CGM @ | 6 L CPT @ </v>
      </c>
      <c r="AF61" s="4" t="str">
        <f ca="1">IFERROR(__xludf.DUMMYFUNCTION("""COMPUTED_VALUE"""),"| 3 L PHP-CGM % | 4 L NS % | 5 P PRO @ ")</f>
        <v xml:space="preserve">| 3 L PHP-CGM % | 4 L NS % | 5 P PRO @ </v>
      </c>
      <c r="AG61" s="4" t="str">
        <f ca="1">IFERROR(__xludf.DUMMYFUNCTION("""COMPUTED_VALUE"""),"| 1 L CPT % | 2 L NS % | 3 P NS @ | 5 P JAVA @ ")</f>
        <v xml:space="preserve">| 1 L CPT % | 2 L NS % | 3 P NS @ | 5 P JAVA @ </v>
      </c>
      <c r="AH61" s="4" t="str">
        <f ca="1">IFERROR(__xludf.DUMMYFUNCTION("""COMPUTED_VALUE"""),"| 3 L PHP-CGM % | 4 L NS % | 5 L PRO % ")</f>
        <v xml:space="preserve">| 3 L PHP-CGM % | 4 L NS % | 5 L PRO % </v>
      </c>
      <c r="AI61" s="4" t="str">
        <f ca="1">IFERROR(__xludf.DUMMYFUNCTION("""COMPUTED_VALUE"""),"| 1 L CPT % | 2 L NS % | 3 P NS % | 5 P JAVA @ ")</f>
        <v xml:space="preserve">| 1 L CPT % | 2 L NS % | 3 P NS % | 5 P JAVA @ </v>
      </c>
      <c r="AJ61" s="4" t="str">
        <f ca="1">IFERROR(__xludf.DUMMYFUNCTION("""COMPUTED_VALUE"""),"| 1 L PHP-CGM @ | 2 L JAVA @ | 3 P PHP-CGM @ | 5 P Python @ ")</f>
        <v xml:space="preserve">| 1 L PHP-CGM @ | 2 L JAVA @ | 3 P PHP-CGM @ | 5 P Python @ </v>
      </c>
      <c r="AK61" s="4" t="str">
        <f ca="1">IFERROR(__xludf.DUMMYFUNCTION("""COMPUTED_VALUE"""),"| 1 P CPT % | 3 L JAVA % | 4 L CPT % | 5 P Python @ ")</f>
        <v xml:space="preserve">| 1 P CPT % | 3 L JAVA % | 4 L CPT % | 5 P Python @ </v>
      </c>
      <c r="AL61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M61" s="4" t="str">
        <f ca="1">IFERROR(__xludf.DUMMYFUNCTION("""COMPUTED_VALUE"""),"| 1 L INE @ | 4 L NS @ | 3 L PHP-CGM @ | 5 L PRO % ")</f>
        <v xml:space="preserve">| 1 L INE @ | 4 L NS @ | 3 L PHP-CGM @ | 5 L PRO % </v>
      </c>
      <c r="AN61" s="4" t="str">
        <f ca="1">IFERROR(__xludf.DUMMYFUNCTION("""COMPUTED_VALUE"""),"| 1 L CPT @ | 2 L NS @ | 3 P NS @ | 5 P JAVA @ ")</f>
        <v xml:space="preserve">| 1 L CPT @ | 2 L NS @ | 3 P NS @ | 5 P JAVA @ </v>
      </c>
      <c r="AO61" s="4" t="str">
        <f ca="1">IFERROR(__xludf.DUMMYFUNCTION("""COMPUTED_VALUE"""),"| 1 L PHP-CGM @ | 2 L JAVA @ | 3 P PHP-CGM @ | 5 P Python @ ")</f>
        <v xml:space="preserve">| 1 L PHP-CGM @ | 2 L JAVA @ | 3 P PHP-CGM @ | 5 P Python @ </v>
      </c>
      <c r="AP61" s="4" t="str">
        <f ca="1">IFERROR(__xludf.DUMMYFUNCTION("""COMPUTED_VALUE"""),"| 1 P CPT % | 3 L JAVA % | 4 L CPT % | 5 P Python % ")</f>
        <v xml:space="preserve">| 1 P CPT % | 3 L JAVA % | 4 L CPT % | 5 P Python % </v>
      </c>
      <c r="AQ61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R61" s="4" t="str">
        <f ca="1">IFERROR(__xludf.DUMMYFUNCTION("""COMPUTED_VALUE"""),"| 1 L INE @ | 3 L PHP-CGM @ | 4 L NS @ | 5 L PRO @ ")</f>
        <v xml:space="preserve">| 1 L INE @ | 3 L PHP-CGM @ | 4 L NS @ | 5 L PRO @ </v>
      </c>
      <c r="AS61" s="4" t="str">
        <f ca="1">IFERROR(__xludf.DUMMYFUNCTION("""COMPUTED_VALUE"""),"| 1 L PHP-CGM % | 2 L JAVA % | 3 P PHP-CGM % | 5 P Python @ ")</f>
        <v xml:space="preserve">| 1 L PHP-CGM % | 2 L JAVA % | 3 P PHP-CGM % | 5 P Python @ </v>
      </c>
      <c r="AT61" s="4" t="str">
        <f ca="1">IFERROR(__xludf.DUMMYFUNCTION("""COMPUTED_VALUE"""),"| 1 P CPT % | 3 L JAVA @ | 4 L CPT @ | 5 P Python @ ")</f>
        <v xml:space="preserve">| 1 P CPT % | 3 L JAVA @ | 4 L CPT @ | 5 P Python @ </v>
      </c>
      <c r="AU61" s="4" t="str">
        <f ca="1">IFERROR(__xludf.DUMMYFUNCTION("""COMPUTED_VALUE"""),"| 1 P JAVA @ | 3 L NS % | 4 L JAVA % | 5 L PHP-CGM @ | 6 L CPT @ ")</f>
        <v xml:space="preserve">| 1 P JAVA @ | 3 L NS % | 4 L JAVA % | 5 L PHP-CGM @ | 6 L CPT @ </v>
      </c>
      <c r="AV61" s="4" t="str">
        <f ca="1">IFERROR(__xludf.DUMMYFUNCTION("""COMPUTED_VALUE"""),"| 1 L INE @ | 3 L PHP-CGM @ | 4 L NS @ | 7 L PRO @ ")</f>
        <v xml:space="preserve">| 1 L INE @ | 3 L PHP-CGM @ | 4 L NS @ | 7 L PRO @ </v>
      </c>
      <c r="AW61" s="4" t="str">
        <f ca="1">IFERROR(__xludf.DUMMYFUNCTION("""COMPUTED_VALUE"""),"| 1 L CPT @ | 3 P NS @ | 2 L NS @ | 5 P JAVA @ ")</f>
        <v xml:space="preserve">| 1 L CPT @ | 3 P NS @ | 2 L NS @ | 5 P JAVA @ </v>
      </c>
      <c r="AX61" s="4" t="str">
        <f ca="1">IFERROR(__xludf.DUMMYFUNCTION("""COMPUTED_VALUE"""),"| 1 L PHP-CGM @ | 2 L JAVA @ | 3 P PHP-CGM @ | 5 P Python @ ")</f>
        <v xml:space="preserve">| 1 L PHP-CGM @ | 2 L JAVA @ | 3 P PHP-CGM @ | 5 P Python @ </v>
      </c>
      <c r="AY61" s="4" t="str">
        <f ca="1">IFERROR(__xludf.DUMMYFUNCTION("""COMPUTED_VALUE"""),"| 1 P CPT @ | 3 L JAVA @ | 4 L CPT @ | 5 P Python @ ")</f>
        <v xml:space="preserve">| 1 P CPT @ | 3 L JAVA @ | 4 L CPT @ | 5 P Python @ </v>
      </c>
      <c r="AZ61" s="4" t="str">
        <f ca="1">IFERROR(__xludf.DUMMYFUNCTION("""COMPUTED_VALUE"""),"| 1 L INE @ | 3 L PHP-CGM @ | 4 L NS @ | 5 L PRO @ ")</f>
        <v xml:space="preserve">| 1 L INE @ | 3 L PHP-CGM @ | 4 L NS @ | 5 L PRO @ </v>
      </c>
      <c r="BA61" s="4" t="str">
        <f ca="1">IFERROR(__xludf.DUMMYFUNCTION("""COMPUTED_VALUE"""),"| 1 L CPT @ | 2 L NS @ | 3 P NS @ | 5 P JAVA @ ")</f>
        <v xml:space="preserve">| 1 L CPT @ | 2 L NS @ | 3 P NS @ | 5 P JAVA @ </v>
      </c>
      <c r="BB61" s="4" t="str">
        <f ca="1">IFERROR(__xludf.DUMMYFUNCTION("""COMPUTED_VALUE"""),"| 1 L PHP-CGM @ | 2 L JAVA @ | 3 P PHP-CGM @ | 5 P Python @ ")</f>
        <v xml:space="preserve">| 1 L PHP-CGM @ | 2 L JAVA @ | 3 P PHP-CGM @ | 5 P Python @ </v>
      </c>
      <c r="BC61" s="4" t="str">
        <f ca="1">IFERROR(__xludf.DUMMYFUNCTION("""COMPUTED_VALUE"""),"| 1 P CPT @ | 3 L JAVA @ | 4 L CPT @ | 5 P Python @ ")</f>
        <v xml:space="preserve">| 1 P CPT @ | 3 L JAVA @ | 4 L CPT @ | 5 P Python @ </v>
      </c>
      <c r="BD61" s="4" t="str">
        <f ca="1">IFERROR(__xludf.DUMMYFUNCTION("""COMPUTED_VALUE"""),"| 1 P JAVA @ | 3 L NS @ | 6 L CPT @ | 5 L PHP-CGM @ | 4 L JAVA @ ")</f>
        <v xml:space="preserve">| 1 P JAVA @ | 3 L NS @ | 6 L CPT @ | 5 L PHP-CGM @ | 4 L JAVA @ </v>
      </c>
      <c r="BE61" s="4" t="str">
        <f ca="1">IFERROR(__xludf.DUMMYFUNCTION("""COMPUTED_VALUE"""),"| 1 L INE @ | 3 L PHP-CGM @ | 4 L NS @ | 5 L PRO @ ")</f>
        <v xml:space="preserve">| 1 L INE @ | 3 L PHP-CGM @ | 4 L NS @ | 5 L PRO @ </v>
      </c>
      <c r="BF61" s="4" t="str">
        <f ca="1">IFERROR(__xludf.DUMMYFUNCTION("""COMPUTED_VALUE"""),"| 1 L CPT @ | 2 L NS @ | 3 P NS @ | 5 P JAVA @ ")</f>
        <v xml:space="preserve">| 1 L CPT @ | 2 L NS @ | 3 P NS @ | 5 P JAVA @ </v>
      </c>
      <c r="BG61" s="4" t="str">
        <f ca="1">IFERROR(__xludf.DUMMYFUNCTION("""COMPUTED_VALUE"""),"| 1 P CPT @ | 4 L CPT @ | 5 P Python @ ")</f>
        <v xml:space="preserve">| 1 P CPT @ | 4 L CPT @ | 5 P Python @ </v>
      </c>
      <c r="BH61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BI61" s="4" t="str">
        <f ca="1">IFERROR(__xludf.DUMMYFUNCTION("""COMPUTED_VALUE"""),"| 1 L INE @ | 3 L PHP-CGM @ | 4 L NS @ | 5 L PRO @ ")</f>
        <v xml:space="preserve">| 1 L INE @ | 3 L PHP-CGM @ | 4 L NS @ | 5 L PRO @ </v>
      </c>
      <c r="BJ61" s="4" t="str">
        <f ca="1">IFERROR(__xludf.DUMMYFUNCTION("""COMPUTED_VALUE"""),"| 1 L CPT @ | 2 L NS @ | 3 P NS @ | 5 P JAVA @ ")</f>
        <v xml:space="preserve">| 1 L CPT @ | 2 L NS @ | 3 P NS @ | 5 P JAVA @ </v>
      </c>
      <c r="BK61" s="4" t="str">
        <f ca="1">IFERROR(__xludf.DUMMYFUNCTION("""COMPUTED_VALUE"""),"| 1 L PHP-CGM @ | 2 L JAVA @ | 3 P PHP-CGM @ | 5 P Python @ ")</f>
        <v xml:space="preserve">| 1 L PHP-CGM @ | 2 L JAVA @ | 3 P PHP-CGM @ | 5 P Python @ </v>
      </c>
      <c r="BL61" s="4" t="str">
        <f ca="1">IFERROR(__xludf.DUMMYFUNCTION("""COMPUTED_VALUE"""),"| 1 P CPT @ | 3 L JAVA @ | 4 L CPT @ | 5 P Python @ ")</f>
        <v xml:space="preserve">| 1 P CPT @ | 3 L JAVA @ | 4 L CPT @ | 5 P Python @ </v>
      </c>
      <c r="BM61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BN61" s="4" t="str">
        <f ca="1">IFERROR(__xludf.DUMMYFUNCTION("""COMPUTED_VALUE"""),"| 1 L INE @ | 3 L PHP-CGM @ | 4 L NS @ | 5 L PRO @ ")</f>
        <v xml:space="preserve">| 1 L INE @ | 3 L PHP-CGM @ | 4 L NS @ | 5 L PRO @ </v>
      </c>
      <c r="BO61" s="4" t="str">
        <f ca="1">IFERROR(__xludf.DUMMYFUNCTION("""COMPUTED_VALUE"""),"| 1 L CPT @ | 2 L NS @ | 3 P NS @ ")</f>
        <v xml:space="preserve">| 1 L CPT @ | 2 L NS @ | 3 P NS @ </v>
      </c>
      <c r="BP61" s="4" t="str">
        <f ca="1">IFERROR(__xludf.DUMMYFUNCTION("""COMPUTED_VALUE"""),"| 1 L PHP-CGM @ | 2 L JAVA % | 3 P PHP-CGM @ | 5 P Python @ ")</f>
        <v xml:space="preserve">| 1 L PHP-CGM @ | 2 L JAVA % | 3 P PHP-CGM @ | 5 P Python @ </v>
      </c>
      <c r="BQ61" s="4" t="str">
        <f ca="1">IFERROR(__xludf.DUMMYFUNCTION("""COMPUTED_VALUE"""),"| 5 L PHP-CGM % | 6 L CPT @ ")</f>
        <v xml:space="preserve">| 5 L PHP-CGM % | 6 L CPT @ </v>
      </c>
      <c r="BR61" s="4"/>
      <c r="BS61" s="4"/>
      <c r="BT61" s="4" t="str">
        <f ca="1">IFERROR(__xludf.DUMMYFUNCTION("""COMPUTED_VALUE"""),"| 1 L PHP-CGM @ | 2 L JAVA @ | 3 P PHP-CGM @ ")</f>
        <v xml:space="preserve">| 1 L PHP-CGM @ | 2 L JAVA @ | 3 P PHP-CGM @ </v>
      </c>
      <c r="BU61" s="4" t="str">
        <f ca="1">IFERROR(__xludf.DUMMYFUNCTION("""COMPUTED_VALUE"""),"| 1 P CPT @ | 4 L CPT @ | 3 L JAVA @ ")</f>
        <v xml:space="preserve">| 1 P CPT @ | 4 L CPT @ | 3 L JAVA @ </v>
      </c>
      <c r="BV61" s="4" t="str">
        <f ca="1">IFERROR(__xludf.DUMMYFUNCTION("""COMPUTED_VALUE"""),"| 1 L PHP-CGM % | 2 L JAVA % | 3 P PHP-CGM @ | 5 P Python @ ")</f>
        <v xml:space="preserve">| 1 L PHP-CGM % | 2 L JAVA % | 3 P PHP-CGM @ | 5 P Python @ </v>
      </c>
      <c r="BW61" s="4" t="str">
        <f ca="1">IFERROR(__xludf.DUMMYFUNCTION("""COMPUTED_VALUE"""),"| 1 P CPT @ | 3 L JAVA @ | 4 L CPT @ ")</f>
        <v xml:space="preserve">| 1 P CPT @ | 3 L JAVA @ | 4 L CPT @ </v>
      </c>
      <c r="BX61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61" s="4" t="str">
        <f ca="1">IFERROR(__xludf.DUMMYFUNCTION("""COMPUTED_VALUE"""),"| 1 L INE @ | 3 L PHP-CGM % | 4 L NS % | 5 L PRO @ ")</f>
        <v xml:space="preserve">| 1 L INE @ | 3 L PHP-CGM % | 4 L NS % | 5 L PRO @ </v>
      </c>
      <c r="BZ61" s="4" t="str">
        <f ca="1">IFERROR(__xludf.DUMMYFUNCTION("""COMPUTED_VALUE"""),"| 1 L CPT @ | 2 L NS % | 3 P NS % | 5 P JAVA @ ")</f>
        <v xml:space="preserve">| 1 L CPT @ | 2 L NS % | 3 P NS % | 5 P JAVA @ </v>
      </c>
      <c r="CA61" s="4" t="str">
        <f ca="1">IFERROR(__xludf.DUMMYFUNCTION("""COMPUTED_VALUE"""),"| 1 L PHP-CGM @ | 2 L JAVA @ | 3 P PHP-CGM @ | 5 P Python @ ")</f>
        <v xml:space="preserve">| 1 L PHP-CGM @ | 2 L JAVA @ | 3 P PHP-CGM @ | 5 P Python @ </v>
      </c>
      <c r="CB61" s="4" t="str">
        <f ca="1">IFERROR(__xludf.DUMMYFUNCTION("""COMPUTED_VALUE"""),"| 1 P CPT % | 3 L JAVA @ | 4 L CPT @ | 5 P Python @ ")</f>
        <v xml:space="preserve">| 1 P CPT % | 3 L JAVA @ | 4 L CPT @ | 5 P Python @ </v>
      </c>
      <c r="CC61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61" s="4" t="str">
        <f ca="1">IFERROR(__xludf.DUMMYFUNCTION("""COMPUTED_VALUE"""),"| 1 L INE % | 3 L PHP-CGM @ | 4 L NS @ | 5 L PRO % ")</f>
        <v xml:space="preserve">| 1 L INE % | 3 L PHP-CGM @ | 4 L NS @ | 5 L PRO % </v>
      </c>
      <c r="CE61" s="4" t="str">
        <f ca="1">IFERROR(__xludf.DUMMYFUNCTION("""COMPUTED_VALUE"""),"| 1 L CPT @ | 2 L NS @ | 3 P NS @ | 5 P JAVA @ ")</f>
        <v xml:space="preserve">| 1 L CPT @ | 2 L NS @ | 3 P NS @ | 5 P JAVA @ </v>
      </c>
      <c r="CF61" s="4" t="str">
        <f ca="1">IFERROR(__xludf.DUMMYFUNCTION("""COMPUTED_VALUE"""),"| 1 L PHP-CGM @ | 2 L JAVA @ | 3 P PHP-CGM % | 5 P Python % ")</f>
        <v xml:space="preserve">| 1 L PHP-CGM @ | 2 L JAVA @ | 3 P PHP-CGM % | 5 P Python % </v>
      </c>
      <c r="CG61" s="4" t="str">
        <f ca="1">IFERROR(__xludf.DUMMYFUNCTION("""COMPUTED_VALUE"""),"| 1 P CPT % | 4 L CPT @ | 5 P Python % ")</f>
        <v xml:space="preserve">| 1 P CPT % | 4 L CPT @ | 5 P Python % </v>
      </c>
      <c r="CH61" s="4" t="str">
        <f ca="1">IFERROR(__xludf.DUMMYFUNCTION("""COMPUTED_VALUE"""),"| 1 P JAVA % | 3 L NS @ | 6 L CPT @ ")</f>
        <v xml:space="preserve">| 1 P JAVA % | 3 L NS @ | 6 L CPT @ </v>
      </c>
      <c r="CI61" s="4" t="str">
        <f ca="1">IFERROR(__xludf.DUMMYFUNCTION("""COMPUTED_VALUE"""),"| 1 L INE @ ")</f>
        <v xml:space="preserve">| 1 L INE @ </v>
      </c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</row>
    <row r="62" spans="1:102" ht="12.5" x14ac:dyDescent="0.25">
      <c r="A62" s="3">
        <f ca="1">IFERROR(__xludf.DUMMYFUNCTION("""COMPUTED_VALUE"""),3)</f>
        <v>3</v>
      </c>
      <c r="B62" s="3" t="str">
        <f ca="1">IFERROR(__xludf.DUMMYFUNCTION("""COMPUTED_VALUE"""),"A")</f>
        <v>A</v>
      </c>
      <c r="C62" s="32" t="str">
        <f ca="1">IFERROR(__xludf.DUMMYFUNCTION("""COMPUTED_VALUE"""),"23291341165")</f>
        <v>23291341165</v>
      </c>
      <c r="D62" s="21" t="str">
        <f ca="1">IFERROR(__xludf.DUMMYFUNCTION("""COMPUTED_VALUE"""),"TRIVEDI JAINISH KAUMITKUMAR")</f>
        <v>TRIVEDI JAINISH KAUMITKUMAR</v>
      </c>
      <c r="E62" s="3" t="str">
        <f ca="1">IFERROR(__xludf.DUMMYFUNCTION("""COMPUTED_VALUE"""),"RRP-Mor")</f>
        <v>RRP-Mor</v>
      </c>
      <c r="F62" s="3">
        <f ca="1">IFERROR(__xludf.DUMMYFUNCTION("""COMPUTED_VALUE"""),7284876394)</f>
        <v>7284876394</v>
      </c>
      <c r="G62" s="3" t="str">
        <f ca="1">IFERROR(__xludf.DUMMYFUNCTION("""COMPUTED_VALUE"""),"8799572418, 9586989426")</f>
        <v>8799572418, 9586989426</v>
      </c>
      <c r="H62" s="33">
        <f ca="1">IFERROR(__xludf.DUMMYFUNCTION("""COMPUTED_VALUE"""),0.543209876543209)</f>
        <v>0.54320987654320896</v>
      </c>
      <c r="I62" s="25">
        <f ca="1">IFERROR(__xludf.DUMMYFUNCTION("""COMPUTED_VALUE"""),0.666666666666666)</f>
        <v>0.66666666666666596</v>
      </c>
      <c r="J62" s="25">
        <f ca="1">IFERROR(__xludf.DUMMYFUNCTION("""COMPUTED_VALUE"""),0.307692307692307)</f>
        <v>0.30769230769230699</v>
      </c>
      <c r="K62" s="25">
        <f ca="1">IFERROR(__xludf.DUMMYFUNCTION("""COMPUTED_VALUE"""),0.823529411764705)</f>
        <v>0.82352941176470495</v>
      </c>
      <c r="L62" s="25">
        <f ca="1">IFERROR(__xludf.DUMMYFUNCTION("""COMPUTED_VALUE"""),0.545454545454545)</f>
        <v>0.54545454545454497</v>
      </c>
      <c r="M62" s="25">
        <f ca="1">IFERROR(__xludf.DUMMYFUNCTION("""COMPUTED_VALUE"""),0.638888888888888)</f>
        <v>0.63888888888888795</v>
      </c>
      <c r="N62" s="25">
        <f ca="1">IFERROR(__xludf.DUMMYFUNCTION("""COMPUTED_VALUE"""),0.384615384615384)</f>
        <v>0.38461538461538403</v>
      </c>
      <c r="O62" s="25">
        <f ca="1">IFERROR(__xludf.DUMMYFUNCTION("""COMPUTED_VALUE"""),0.757575757575757)</f>
        <v>0.75757575757575701</v>
      </c>
      <c r="P62" s="25">
        <f ca="1">IFERROR(__xludf.DUMMYFUNCTION("""COMPUTED_VALUE"""),0.19047619047619)</f>
        <v>0.19047619047618999</v>
      </c>
      <c r="Q62" s="25">
        <f ca="1">IFERROR(__xludf.DUMMYFUNCTION("""COMPUTED_VALUE"""),0)</f>
        <v>0</v>
      </c>
      <c r="R62" s="25">
        <f ca="1">IFERROR(__xludf.DUMMYFUNCTION("""COMPUTED_VALUE"""),0.17391304347826)</f>
        <v>0.17391304347826</v>
      </c>
      <c r="S62" s="25">
        <f ca="1">IFERROR(__xludf.DUMMYFUNCTION("""COMPUTED_VALUE"""),0.4)</f>
        <v>0.4</v>
      </c>
      <c r="T62" s="25">
        <f ca="1">IFERROR(__xludf.DUMMYFUNCTION("""COMPUTED_VALUE"""),0.5)</f>
        <v>0.5</v>
      </c>
      <c r="U62" s="25">
        <f ca="1">IFERROR(__xludf.DUMMYFUNCTION("""COMPUTED_VALUE"""),0.363636363636363)</f>
        <v>0.36363636363636298</v>
      </c>
      <c r="V62" s="25">
        <f ca="1">IFERROR(__xludf.DUMMYFUNCTION("""COMPUTED_VALUE"""),0)</f>
        <v>0</v>
      </c>
      <c r="W62" s="4"/>
      <c r="X62" s="4" t="str">
        <f ca="1">IFERROR(__xludf.DUMMYFUNCTION("""COMPUTED_VALUE"""),"| 1 L PHP-CGM @ | 3 P PHP-CGM @ | 5 P Python @ ")</f>
        <v xml:space="preserve">| 1 L PHP-CGM @ | 3 P PHP-CGM @ | 5 P Python @ </v>
      </c>
      <c r="Y62" s="4" t="str">
        <f ca="1">IFERROR(__xludf.DUMMYFUNCTION("""COMPUTED_VALUE"""),"| 1 P CPT @ | 3 L JAVA % | 4 L CPT % | 5 P Python @ ")</f>
        <v xml:space="preserve">| 1 P CPT @ | 3 L JAVA % | 4 L CPT % | 5 P Python @ </v>
      </c>
      <c r="Z62" s="4" t="str">
        <f ca="1">IFERROR(__xludf.DUMMYFUNCTION("""COMPUTED_VALUE"""),"| 1 P JAVA @ | 3 L NS % | 4 L JAVA % | 5 L PHP-CGM @ | 6 L CPT @ ")</f>
        <v xml:space="preserve">| 1 P JAVA @ | 3 L NS % | 4 L JAVA % | 5 L PHP-CGM @ | 6 L CPT @ </v>
      </c>
      <c r="AA62" s="4" t="str">
        <f ca="1">IFERROR(__xludf.DUMMYFUNCTION("""COMPUTED_VALUE"""),"| 3 L PHP-CGM % | 4 L NS % | 1 L INE % | 5 P PRO @ ")</f>
        <v xml:space="preserve">| 3 L PHP-CGM % | 4 L NS % | 1 L INE % | 5 P PRO @ </v>
      </c>
      <c r="AB62" s="4" t="str">
        <f ca="1">IFERROR(__xludf.DUMMYFUNCTION("""COMPUTED_VALUE"""),"| 1 L CPT @ | 2 L NS @ | 3 P NS @ | 5 P JAVA @ ")</f>
        <v xml:space="preserve">| 1 L CPT @ | 2 L NS @ | 3 P NS @ | 5 P JAVA @ </v>
      </c>
      <c r="AC62" s="4" t="str">
        <f ca="1">IFERROR(__xludf.DUMMYFUNCTION("""COMPUTED_VALUE"""),"| 1 L PHP-CGM % | 2 L JAVA % | 3 P PHP-CGM % | 5 P Python @ ")</f>
        <v xml:space="preserve">| 1 L PHP-CGM % | 2 L JAVA % | 3 P PHP-CGM % | 5 P Python @ </v>
      </c>
      <c r="AD62" s="4" t="str">
        <f ca="1">IFERROR(__xludf.DUMMYFUNCTION("""COMPUTED_VALUE"""),"| 1 P CPT @ | 3 L JAVA % | 4 L CPT % | 5 P Python @ ")</f>
        <v xml:space="preserve">| 1 P CPT @ | 3 L JAVA % | 4 L CPT % | 5 P Python @ </v>
      </c>
      <c r="AE62" s="4" t="str">
        <f ca="1">IFERROR(__xludf.DUMMYFUNCTION("""COMPUTED_VALUE"""),"| 1 P JAVA @ | 4 L JAVA % | 3 L NS % | 5 L PHP-CGM % | 6 L CPT % ")</f>
        <v xml:space="preserve">| 1 P JAVA @ | 4 L JAVA % | 3 L NS % | 5 L PHP-CGM % | 6 L CPT % </v>
      </c>
      <c r="AF62" s="4" t="str">
        <f ca="1">IFERROR(__xludf.DUMMYFUNCTION("""COMPUTED_VALUE"""),"| 3 L PHP-CGM % | 4 L NS % | 5 P PRO % ")</f>
        <v xml:space="preserve">| 3 L PHP-CGM % | 4 L NS % | 5 P PRO % </v>
      </c>
      <c r="AG62" s="4" t="str">
        <f ca="1">IFERROR(__xludf.DUMMYFUNCTION("""COMPUTED_VALUE"""),"| 1 L CPT % | 2 L NS % | 3 P NS % | 5 P JAVA @ ")</f>
        <v xml:space="preserve">| 1 L CPT % | 2 L NS % | 3 P NS % | 5 P JAVA @ </v>
      </c>
      <c r="AH62" s="4" t="str">
        <f ca="1">IFERROR(__xludf.DUMMYFUNCTION("""COMPUTED_VALUE"""),"| 3 L PHP-CGM % | 4 L NS % | 5 L PRO % ")</f>
        <v xml:space="preserve">| 3 L PHP-CGM % | 4 L NS % | 5 L PRO % </v>
      </c>
      <c r="AI62" s="4" t="str">
        <f ca="1">IFERROR(__xludf.DUMMYFUNCTION("""COMPUTED_VALUE"""),"| 1 L CPT @ | 2 L NS @ | 3 P NS @ | 5 P JAVA @ ")</f>
        <v xml:space="preserve">| 1 L CPT @ | 2 L NS @ | 3 P NS @ | 5 P JAVA @ </v>
      </c>
      <c r="AJ62" s="4" t="str">
        <f ca="1">IFERROR(__xludf.DUMMYFUNCTION("""COMPUTED_VALUE"""),"| 1 L PHP-CGM @ | 2 L JAVA @ | 3 P PHP-CGM @ | 5 P Python @ ")</f>
        <v xml:space="preserve">| 1 L PHP-CGM @ | 2 L JAVA @ | 3 P PHP-CGM @ | 5 P Python @ </v>
      </c>
      <c r="AK62" s="4" t="str">
        <f ca="1">IFERROR(__xludf.DUMMYFUNCTION("""COMPUTED_VALUE"""),"| 1 P CPT @ | 3 L JAVA % | 4 L CPT % | 5 P Python @ ")</f>
        <v xml:space="preserve">| 1 P CPT @ | 3 L JAVA % | 4 L CPT % | 5 P Python @ </v>
      </c>
      <c r="AL62" s="4" t="str">
        <f ca="1">IFERROR(__xludf.DUMMYFUNCTION("""COMPUTED_VALUE"""),"| 1 P JAVA @ | 3 L NS % | 4 L JAVA % | 5 L PHP-CGM % | 6 L CPT % ")</f>
        <v xml:space="preserve">| 1 P JAVA @ | 3 L NS % | 4 L JAVA % | 5 L PHP-CGM % | 6 L CPT % </v>
      </c>
      <c r="AM62" s="4" t="str">
        <f ca="1">IFERROR(__xludf.DUMMYFUNCTION("""COMPUTED_VALUE"""),"| 1 L INE @ | 4 L NS % | 3 L PHP-CGM % | 5 L PRO @ ")</f>
        <v xml:space="preserve">| 1 L INE @ | 4 L NS % | 3 L PHP-CGM % | 5 L PRO @ </v>
      </c>
      <c r="AN62" s="4" t="str">
        <f ca="1">IFERROR(__xludf.DUMMYFUNCTION("""COMPUTED_VALUE"""),"| 1 L CPT % | 2 L NS % | 3 P NS % | 5 P JAVA % ")</f>
        <v xml:space="preserve">| 1 L CPT % | 2 L NS % | 3 P NS % | 5 P JAVA % </v>
      </c>
      <c r="AO62" s="4" t="str">
        <f ca="1">IFERROR(__xludf.DUMMYFUNCTION("""COMPUTED_VALUE"""),"| 1 L PHP-CGM % | 2 L JAVA % | 3 P PHP-CGM % | 5 P Python % ")</f>
        <v xml:space="preserve">| 1 L PHP-CGM % | 2 L JAVA % | 3 P PHP-CGM % | 5 P Python % </v>
      </c>
      <c r="AP62" s="4" t="str">
        <f ca="1">IFERROR(__xludf.DUMMYFUNCTION("""COMPUTED_VALUE"""),"| 1 P CPT @ | 3 L JAVA @ | 4 L CPT @ | 5 P Python @ ")</f>
        <v xml:space="preserve">| 1 P CPT @ | 3 L JAVA @ | 4 L CPT @ | 5 P Python @ </v>
      </c>
      <c r="AQ62" s="4" t="str">
        <f ca="1">IFERROR(__xludf.DUMMYFUNCTION("""COMPUTED_VALUE"""),"| 1 P JAVA @ | 3 L NS % | 4 L JAVA % | 5 L PHP-CGM % | 6 L CPT % ")</f>
        <v xml:space="preserve">| 1 P JAVA @ | 3 L NS % | 4 L JAVA % | 5 L PHP-CGM % | 6 L CPT % </v>
      </c>
      <c r="AR62" s="4" t="str">
        <f ca="1">IFERROR(__xludf.DUMMYFUNCTION("""COMPUTED_VALUE"""),"| 1 L INE @ | 3 L PHP-CGM % | 4 L NS % | 5 L PRO % ")</f>
        <v xml:space="preserve">| 1 L INE @ | 3 L PHP-CGM % | 4 L NS % | 5 L PRO % </v>
      </c>
      <c r="AS62" s="4" t="str">
        <f ca="1">IFERROR(__xludf.DUMMYFUNCTION("""COMPUTED_VALUE"""),"| 1 L PHP-CGM @ | 2 L JAVA @ | 3 P PHP-CGM @ | 5 P Python @ ")</f>
        <v xml:space="preserve">| 1 L PHP-CGM @ | 2 L JAVA @ | 3 P PHP-CGM @ | 5 P Python @ </v>
      </c>
      <c r="AT62" s="4" t="str">
        <f ca="1">IFERROR(__xludf.DUMMYFUNCTION("""COMPUTED_VALUE"""),"| 1 P CPT @ | 3 L JAVA % | 4 L CPT % | 5 P Python @ ")</f>
        <v xml:space="preserve">| 1 P CPT @ | 3 L JAVA % | 4 L CPT % | 5 P Python @ </v>
      </c>
      <c r="AU62" s="4" t="str">
        <f ca="1">IFERROR(__xludf.DUMMYFUNCTION("""COMPUTED_VALUE"""),"| 1 P JAVA @ | 3 L NS % | 4 L JAVA % | 5 L PHP-CGM % | 6 L CPT % ")</f>
        <v xml:space="preserve">| 1 P JAVA @ | 3 L NS % | 4 L JAVA % | 5 L PHP-CGM % | 6 L CPT % </v>
      </c>
      <c r="AV62" s="4" t="str">
        <f ca="1">IFERROR(__xludf.DUMMYFUNCTION("""COMPUTED_VALUE"""),"| 1 L INE % | 3 L PHP-CGM % | 4 L NS % | 7 L PRO % ")</f>
        <v xml:space="preserve">| 1 L INE % | 3 L PHP-CGM % | 4 L NS % | 7 L PRO % </v>
      </c>
      <c r="AW62" s="4" t="str">
        <f ca="1">IFERROR(__xludf.DUMMYFUNCTION("""COMPUTED_VALUE"""),"| 1 L CPT % | 3 P NS @ | 2 L NS % | 5 P JAVA @ ")</f>
        <v xml:space="preserve">| 1 L CPT % | 3 P NS @ | 2 L NS % | 5 P JAVA @ </v>
      </c>
      <c r="AX62" s="4" t="str">
        <f ca="1">IFERROR(__xludf.DUMMYFUNCTION("""COMPUTED_VALUE"""),"| 1 L PHP-CGM % | 2 L JAVA % | 3 P PHP-CGM % | 5 P Python % ")</f>
        <v xml:space="preserve">| 1 L PHP-CGM % | 2 L JAVA % | 3 P PHP-CGM % | 5 P Python % </v>
      </c>
      <c r="AY62" s="4" t="str">
        <f ca="1">IFERROR(__xludf.DUMMYFUNCTION("""COMPUTED_VALUE"""),"| 1 P CPT % | 3 L JAVA % | 4 L CPT % | 5 P Python @ ")</f>
        <v xml:space="preserve">| 1 P CPT % | 3 L JAVA % | 4 L CPT % | 5 P Python @ </v>
      </c>
      <c r="AZ62" s="4" t="str">
        <f ca="1">IFERROR(__xludf.DUMMYFUNCTION("""COMPUTED_VALUE"""),"| 1 L INE @ | 3 L PHP-CGM @ | 4 L NS @ | 5 L PRO @ ")</f>
        <v xml:space="preserve">| 1 L INE @ | 3 L PHP-CGM @ | 4 L NS @ | 5 L PRO @ </v>
      </c>
      <c r="BA62" s="4" t="str">
        <f ca="1">IFERROR(__xludf.DUMMYFUNCTION("""COMPUTED_VALUE"""),"| 1 L CPT % | 2 L NS % | 3 P NS @ | 5 P JAVA @ ")</f>
        <v xml:space="preserve">| 1 L CPT % | 2 L NS % | 3 P NS @ | 5 P JAVA @ </v>
      </c>
      <c r="BB62" s="4" t="str">
        <f ca="1">IFERROR(__xludf.DUMMYFUNCTION("""COMPUTED_VALUE"""),"| 1 L PHP-CGM % | 2 L JAVA % | 3 P PHP-CGM @ | 5 P Python @ ")</f>
        <v xml:space="preserve">| 1 L PHP-CGM % | 2 L JAVA % | 3 P PHP-CGM @ | 5 P Python @ </v>
      </c>
      <c r="BC62" s="4" t="str">
        <f ca="1">IFERROR(__xludf.DUMMYFUNCTION("""COMPUTED_VALUE"""),"| 1 P CPT % | 3 L JAVA % | 4 L CPT % | 5 P Python % ")</f>
        <v xml:space="preserve">| 1 P CPT % | 3 L JAVA % | 4 L CPT % | 5 P Python % </v>
      </c>
      <c r="BD62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62" s="4" t="str">
        <f ca="1">IFERROR(__xludf.DUMMYFUNCTION("""COMPUTED_VALUE"""),"| 1 L INE @ | 3 L PHP-CGM % | 4 L NS % | 5 L PRO % ")</f>
        <v xml:space="preserve">| 1 L INE @ | 3 L PHP-CGM % | 4 L NS % | 5 L PRO % </v>
      </c>
      <c r="BF62" s="4" t="str">
        <f ca="1">IFERROR(__xludf.DUMMYFUNCTION("""COMPUTED_VALUE"""),"| 1 L CPT @ | 2 L NS % | 3 P NS % | 5 P JAVA @ ")</f>
        <v xml:space="preserve">| 1 L CPT @ | 2 L NS % | 3 P NS % | 5 P JAVA @ </v>
      </c>
      <c r="BG62" s="4" t="str">
        <f ca="1">IFERROR(__xludf.DUMMYFUNCTION("""COMPUTED_VALUE"""),"| 1 P CPT @ | 4 L CPT @ | 5 P Python @ ")</f>
        <v xml:space="preserve">| 1 P CPT @ | 4 L CPT @ | 5 P Python @ </v>
      </c>
      <c r="BH62" s="4" t="str">
        <f ca="1">IFERROR(__xludf.DUMMYFUNCTION("""COMPUTED_VALUE"""),"| 1 P JAVA @ | 3 L NS % | 4 L JAVA % | 5 L PHP-CGM % | 6 L CPT % ")</f>
        <v xml:space="preserve">| 1 P JAVA @ | 3 L NS % | 4 L JAVA % | 5 L PHP-CGM % | 6 L CPT % </v>
      </c>
      <c r="BI62" s="4" t="str">
        <f ca="1">IFERROR(__xludf.DUMMYFUNCTION("""COMPUTED_VALUE"""),"| 1 L INE @ | 3 L PHP-CGM % | 4 L NS % | 5 L PRO @ ")</f>
        <v xml:space="preserve">| 1 L INE @ | 3 L PHP-CGM % | 4 L NS % | 5 L PRO @ </v>
      </c>
      <c r="BJ62" s="4" t="str">
        <f ca="1">IFERROR(__xludf.DUMMYFUNCTION("""COMPUTED_VALUE"""),"| 1 L CPT % | 2 L NS % | 3 P NS % | 5 P JAVA @ ")</f>
        <v xml:space="preserve">| 1 L CPT % | 2 L NS % | 3 P NS % | 5 P JAVA @ </v>
      </c>
      <c r="BK62" s="4" t="str">
        <f ca="1">IFERROR(__xludf.DUMMYFUNCTION("""COMPUTED_VALUE"""),"| 1 L PHP-CGM % | 2 L JAVA % | 3 P PHP-CGM @ | 5 P Python @ ")</f>
        <v xml:space="preserve">| 1 L PHP-CGM % | 2 L JAVA % | 3 P PHP-CGM @ | 5 P Python @ </v>
      </c>
      <c r="BL62" s="4" t="str">
        <f ca="1">IFERROR(__xludf.DUMMYFUNCTION("""COMPUTED_VALUE"""),"| 1 P CPT @ | 3 L JAVA @ | 4 L CPT @ | 5 P Python @ ")</f>
        <v xml:space="preserve">| 1 P CPT @ | 3 L JAVA @ | 4 L CPT @ | 5 P Python @ </v>
      </c>
      <c r="BM62" s="4" t="str">
        <f ca="1">IFERROR(__xludf.DUMMYFUNCTION("""COMPUTED_VALUE"""),"| 1 P JAVA @ | 3 L NS % | 4 L JAVA % | 5 L PHP-CGM @ | 6 L CPT @ ")</f>
        <v xml:space="preserve">| 1 P JAVA @ | 3 L NS % | 4 L JAVA % | 5 L PHP-CGM @ | 6 L CPT @ </v>
      </c>
      <c r="BN62" s="4" t="str">
        <f ca="1">IFERROR(__xludf.DUMMYFUNCTION("""COMPUTED_VALUE"""),"| 1 L INE % | 3 L PHP-CGM @ | 4 L NS @ | 5 L PRO @ ")</f>
        <v xml:space="preserve">| 1 L INE % | 3 L PHP-CGM @ | 4 L NS @ | 5 L PRO @ </v>
      </c>
      <c r="BO62" s="4" t="str">
        <f ca="1">IFERROR(__xludf.DUMMYFUNCTION("""COMPUTED_VALUE"""),"| 1 L CPT @ | 2 L NS @ | 3 P NS @ ")</f>
        <v xml:space="preserve">| 1 L CPT @ | 2 L NS @ | 3 P NS @ </v>
      </c>
      <c r="BP62" s="4" t="str">
        <f ca="1">IFERROR(__xludf.DUMMYFUNCTION("""COMPUTED_VALUE"""),"| 1 L PHP-CGM @ | 2 L JAVA % | 3 P PHP-CGM @ | 5 P Python @ ")</f>
        <v xml:space="preserve">| 1 L PHP-CGM @ | 2 L JAVA % | 3 P PHP-CGM @ | 5 P Python @ </v>
      </c>
      <c r="BQ62" s="4" t="str">
        <f ca="1">IFERROR(__xludf.DUMMYFUNCTION("""COMPUTED_VALUE"""),"| 5 L PHP-CGM % | 6 L CPT % ")</f>
        <v xml:space="preserve">| 5 L PHP-CGM % | 6 L CPT % </v>
      </c>
      <c r="BR62" s="4"/>
      <c r="BS62" s="4"/>
      <c r="BT62" s="4" t="str">
        <f ca="1">IFERROR(__xludf.DUMMYFUNCTION("""COMPUTED_VALUE"""),"| 1 L PHP-CGM @ | 2 L JAVA @ | 3 P PHP-CGM @ ")</f>
        <v xml:space="preserve">| 1 L PHP-CGM @ | 2 L JAVA @ | 3 P PHP-CGM @ </v>
      </c>
      <c r="BU62" s="4" t="str">
        <f ca="1">IFERROR(__xludf.DUMMYFUNCTION("""COMPUTED_VALUE"""),"| 1 P CPT @ | 4 L CPT % | 3 L JAVA @ ")</f>
        <v xml:space="preserve">| 1 P CPT @ | 4 L CPT % | 3 L JAVA @ </v>
      </c>
      <c r="BV62" s="4" t="str">
        <f ca="1">IFERROR(__xludf.DUMMYFUNCTION("""COMPUTED_VALUE"""),"| 1 L PHP-CGM @ | 2 L JAVA @ | 3 P PHP-CGM @ | 5 P Python @ ")</f>
        <v xml:space="preserve">| 1 L PHP-CGM @ | 2 L JAVA @ | 3 P PHP-CGM @ | 5 P Python @ </v>
      </c>
      <c r="BW62" s="4" t="str">
        <f ca="1">IFERROR(__xludf.DUMMYFUNCTION("""COMPUTED_VALUE"""),"| 1 P CPT @ | 3 L JAVA % | 4 L CPT % ")</f>
        <v xml:space="preserve">| 1 P CPT @ | 3 L JAVA % | 4 L CPT % </v>
      </c>
      <c r="BX6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Y62" s="4" t="str">
        <f ca="1">IFERROR(__xludf.DUMMYFUNCTION("""COMPUTED_VALUE"""),"| 1 L INE @ | 3 L PHP-CGM % | 4 L NS % | 5 L PRO @ ")</f>
        <v xml:space="preserve">| 1 L INE @ | 3 L PHP-CGM % | 4 L NS % | 5 L PRO @ </v>
      </c>
      <c r="BZ62" s="4" t="str">
        <f ca="1">IFERROR(__xludf.DUMMYFUNCTION("""COMPUTED_VALUE"""),"| 1 L CPT @ | 2 L NS % | 3 P NS % | 5 P JAVA @ ")</f>
        <v xml:space="preserve">| 1 L CPT @ | 2 L NS % | 3 P NS % | 5 P JAVA @ </v>
      </c>
      <c r="CA62" s="4" t="str">
        <f ca="1">IFERROR(__xludf.DUMMYFUNCTION("""COMPUTED_VALUE"""),"| 1 L PHP-CGM @ | 2 L JAVA % | 3 P PHP-CGM % | 5 P Python @ ")</f>
        <v xml:space="preserve">| 1 L PHP-CGM @ | 2 L JAVA % | 3 P PHP-CGM % | 5 P Python @ </v>
      </c>
      <c r="CB62" s="4" t="str">
        <f ca="1">IFERROR(__xludf.DUMMYFUNCTION("""COMPUTED_VALUE"""),"| 1 P CPT % | 3 L JAVA % | 4 L CPT % | 5 P Python @ ")</f>
        <v xml:space="preserve">| 1 P CPT % | 3 L JAVA % | 4 L CPT % | 5 P Python @ </v>
      </c>
      <c r="CC62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62" s="4" t="str">
        <f ca="1">IFERROR(__xludf.DUMMYFUNCTION("""COMPUTED_VALUE"""),"| 1 L INE % | 3 L PHP-CGM % | 4 L NS % | 5 L PRO @ ")</f>
        <v xml:space="preserve">| 1 L INE % | 3 L PHP-CGM % | 4 L NS % | 5 L PRO @ </v>
      </c>
      <c r="CE62" s="4" t="str">
        <f ca="1">IFERROR(__xludf.DUMMYFUNCTION("""COMPUTED_VALUE"""),"| 1 L CPT % | 2 L NS % | 3 P NS % | 5 P JAVA @ ")</f>
        <v xml:space="preserve">| 1 L CPT % | 2 L NS % | 3 P NS % | 5 P JAVA @ </v>
      </c>
      <c r="CF62" s="4" t="str">
        <f ca="1">IFERROR(__xludf.DUMMYFUNCTION("""COMPUTED_VALUE"""),"| 1 L PHP-CGM @ | 2 L JAVA @ | 3 P PHP-CGM % | 5 P Python @ ")</f>
        <v xml:space="preserve">| 1 L PHP-CGM @ | 2 L JAVA @ | 3 P PHP-CGM % | 5 P Python @ </v>
      </c>
      <c r="CG62" s="4" t="str">
        <f ca="1">IFERROR(__xludf.DUMMYFUNCTION("""COMPUTED_VALUE"""),"| 1 P CPT % | 4 L CPT % | 5 P Python % ")</f>
        <v xml:space="preserve">| 1 P CPT % | 4 L CPT % | 5 P Python % </v>
      </c>
      <c r="CH62" s="4" t="str">
        <f ca="1">IFERROR(__xludf.DUMMYFUNCTION("""COMPUTED_VALUE"""),"| 1 P JAVA @ | 3 L NS @ | 6 L CPT @ ")</f>
        <v xml:space="preserve">| 1 P JAVA @ | 3 L NS @ | 6 L CPT @ </v>
      </c>
      <c r="CI62" s="4" t="str">
        <f ca="1">IFERROR(__xludf.DUMMYFUNCTION("""COMPUTED_VALUE"""),"| 1 L INE @ ")</f>
        <v xml:space="preserve">| 1 L INE @ </v>
      </c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</row>
    <row r="63" spans="1:102" ht="12.5" x14ac:dyDescent="0.25">
      <c r="A63" s="3">
        <f ca="1">IFERROR(__xludf.DUMMYFUNCTION("""COMPUTED_VALUE"""),3)</f>
        <v>3</v>
      </c>
      <c r="B63" s="3" t="str">
        <f ca="1">IFERROR(__xludf.DUMMYFUNCTION("""COMPUTED_VALUE"""),"A")</f>
        <v>A</v>
      </c>
      <c r="C63" s="32" t="str">
        <f ca="1">IFERROR(__xludf.DUMMYFUNCTION("""COMPUTED_VALUE"""),"23291341168")</f>
        <v>23291341168</v>
      </c>
      <c r="D63" s="21" t="str">
        <f ca="1">IFERROR(__xludf.DUMMYFUNCTION("""COMPUTED_VALUE"""),"VAGHARI MAULIK JAGDISHBHAI")</f>
        <v>VAGHARI MAULIK JAGDISHBHAI</v>
      </c>
      <c r="E63" s="3" t="str">
        <f ca="1">IFERROR(__xludf.DUMMYFUNCTION("""COMPUTED_VALUE"""),"RRP-Mor")</f>
        <v>RRP-Mor</v>
      </c>
      <c r="F63" s="3">
        <f ca="1">IFERROR(__xludf.DUMMYFUNCTION("""COMPUTED_VALUE"""),9904151238)</f>
        <v>9904151238</v>
      </c>
      <c r="G63" s="3">
        <f ca="1">IFERROR(__xludf.DUMMYFUNCTION("""COMPUTED_VALUE"""),9904151238)</f>
        <v>9904151238</v>
      </c>
      <c r="H63" s="33">
        <f ca="1">IFERROR(__xludf.DUMMYFUNCTION("""COMPUTED_VALUE"""),0.897119341563786)</f>
        <v>0.89711934156378603</v>
      </c>
      <c r="I63" s="25">
        <f ca="1">IFERROR(__xludf.DUMMYFUNCTION("""COMPUTED_VALUE"""),0.833333333333333)</f>
        <v>0.83333333333333304</v>
      </c>
      <c r="J63" s="25">
        <f ca="1">IFERROR(__xludf.DUMMYFUNCTION("""COMPUTED_VALUE"""),0.769230769230769)</f>
        <v>0.76923076923076905</v>
      </c>
      <c r="K63" s="25">
        <f ca="1">IFERROR(__xludf.DUMMYFUNCTION("""COMPUTED_VALUE"""),1)</f>
        <v>1</v>
      </c>
      <c r="L63" s="25">
        <f ca="1">IFERROR(__xludf.DUMMYFUNCTION("""COMPUTED_VALUE"""),1)</f>
        <v>1</v>
      </c>
      <c r="M63" s="25">
        <f ca="1">IFERROR(__xludf.DUMMYFUNCTION("""COMPUTED_VALUE"""),0.972222222222222)</f>
        <v>0.97222222222222199</v>
      </c>
      <c r="N63" s="25">
        <f ca="1">IFERROR(__xludf.DUMMYFUNCTION("""COMPUTED_VALUE"""),0.923076923076923)</f>
        <v>0.92307692307692302</v>
      </c>
      <c r="O63" s="25">
        <f ca="1">IFERROR(__xludf.DUMMYFUNCTION("""COMPUTED_VALUE"""),0.909090909090909)</f>
        <v>0.90909090909090895</v>
      </c>
      <c r="P63" s="25">
        <f ca="1">IFERROR(__xludf.DUMMYFUNCTION("""COMPUTED_VALUE"""),0.952380952380952)</f>
        <v>0.952380952380952</v>
      </c>
      <c r="Q63" s="25">
        <f ca="1">IFERROR(__xludf.DUMMYFUNCTION("""COMPUTED_VALUE"""),0)</f>
        <v>0</v>
      </c>
      <c r="R63" s="25">
        <f ca="1">IFERROR(__xludf.DUMMYFUNCTION("""COMPUTED_VALUE"""),0.826086956521739)</f>
        <v>0.82608695652173902</v>
      </c>
      <c r="S63" s="25">
        <f ca="1">IFERROR(__xludf.DUMMYFUNCTION("""COMPUTED_VALUE"""),0.9)</f>
        <v>0.9</v>
      </c>
      <c r="T63" s="25">
        <f ca="1">IFERROR(__xludf.DUMMYFUNCTION("""COMPUTED_VALUE"""),1)</f>
        <v>1</v>
      </c>
      <c r="U63" s="25">
        <f ca="1">IFERROR(__xludf.DUMMYFUNCTION("""COMPUTED_VALUE"""),0.545454545454545)</f>
        <v>0.54545454545454497</v>
      </c>
      <c r="V63" s="25">
        <f ca="1">IFERROR(__xludf.DUMMYFUNCTION("""COMPUTED_VALUE"""),0)</f>
        <v>0</v>
      </c>
      <c r="W63" s="4"/>
      <c r="X63" s="4" t="str">
        <f ca="1">IFERROR(__xludf.DUMMYFUNCTION("""COMPUTED_VALUE"""),"| 1 L PHP-CGM % | 3 P PHP-CGM % | 5 P Python % ")</f>
        <v xml:space="preserve">| 1 L PHP-CGM % | 3 P PHP-CGM % | 5 P Python % </v>
      </c>
      <c r="Y63" s="4" t="str">
        <f ca="1">IFERROR(__xludf.DUMMYFUNCTION("""COMPUTED_VALUE"""),"| 1 P CPT @ | 3 L JAVA @ | 4 L CPT @ | 5 P Python @ ")</f>
        <v xml:space="preserve">| 1 P CPT @ | 3 L JAVA @ | 4 L CPT @ | 5 P Python @ </v>
      </c>
      <c r="Z6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63" s="4" t="str">
        <f ca="1">IFERROR(__xludf.DUMMYFUNCTION("""COMPUTED_VALUE"""),"| 3 L PHP-CGM % | 4 L NS % | 1 L INE % | 5 P PRO % ")</f>
        <v xml:space="preserve">| 3 L PHP-CGM % | 4 L NS % | 1 L INE % | 5 P PRO % </v>
      </c>
      <c r="AB63" s="4" t="str">
        <f ca="1">IFERROR(__xludf.DUMMYFUNCTION("""COMPUTED_VALUE"""),"| 1 L CPT % | 2 L NS % | 3 P NS % | 5 P JAVA % ")</f>
        <v xml:space="preserve">| 1 L CPT % | 2 L NS % | 3 P NS % | 5 P JAVA % </v>
      </c>
      <c r="AC63" s="4" t="str">
        <f ca="1">IFERROR(__xludf.DUMMYFUNCTION("""COMPUTED_VALUE"""),"| 1 L PHP-CGM % | 2 L JAVA % | 3 P PHP-CGM % | 5 P Python % ")</f>
        <v xml:space="preserve">| 1 L PHP-CGM % | 2 L JAVA % | 3 P PHP-CGM % | 5 P Python % </v>
      </c>
      <c r="AD63" s="4" t="str">
        <f ca="1">IFERROR(__xludf.DUMMYFUNCTION("""COMPUTED_VALUE"""),"| 1 P CPT % | 3 L JAVA % | 4 L CPT % | 5 P Python @ ")</f>
        <v xml:space="preserve">| 1 P CPT % | 3 L JAVA % | 4 L CPT % | 5 P Python @ </v>
      </c>
      <c r="AE63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63" s="4" t="str">
        <f ca="1">IFERROR(__xludf.DUMMYFUNCTION("""COMPUTED_VALUE"""),"| 3 L PHP-CGM % | 4 L NS % | 5 P PRO % ")</f>
        <v xml:space="preserve">| 3 L PHP-CGM % | 4 L NS % | 5 P PRO % </v>
      </c>
      <c r="AG63" s="4" t="str">
        <f ca="1">IFERROR(__xludf.DUMMYFUNCTION("""COMPUTED_VALUE"""),"| 1 L CPT % | 2 L NS % | 3 P NS % | 5 P JAVA % ")</f>
        <v xml:space="preserve">| 1 L CPT % | 2 L NS % | 3 P NS % | 5 P JAVA % </v>
      </c>
      <c r="AH63" s="4" t="str">
        <f ca="1">IFERROR(__xludf.DUMMYFUNCTION("""COMPUTED_VALUE"""),"| 3 L PHP-CGM % | 4 L NS % | 5 L PRO % ")</f>
        <v xml:space="preserve">| 3 L PHP-CGM % | 4 L NS % | 5 L PRO % </v>
      </c>
      <c r="AI63" s="4" t="str">
        <f ca="1">IFERROR(__xludf.DUMMYFUNCTION("""COMPUTED_VALUE"""),"| 1 L CPT @ | 2 L NS % | 3 P NS % | 5 P JAVA % ")</f>
        <v xml:space="preserve">| 1 L CPT @ | 2 L NS % | 3 P NS % | 5 P JAVA % </v>
      </c>
      <c r="AJ63" s="4" t="str">
        <f ca="1">IFERROR(__xludf.DUMMYFUNCTION("""COMPUTED_VALUE"""),"| 1 L PHP-CGM % | 2 L JAVA % | 3 P PHP-CGM % | 5 P Python % ")</f>
        <v xml:space="preserve">| 1 L PHP-CGM % | 2 L JAVA % | 3 P PHP-CGM % | 5 P Python % </v>
      </c>
      <c r="AK63" s="4" t="str">
        <f ca="1">IFERROR(__xludf.DUMMYFUNCTION("""COMPUTED_VALUE"""),"| 1 P CPT % | 3 L JAVA % | 4 L CPT % | 5 P Python % ")</f>
        <v xml:space="preserve">| 1 P CPT % | 3 L JAVA % | 4 L CPT % | 5 P Python % </v>
      </c>
      <c r="AL6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63" s="4" t="str">
        <f ca="1">IFERROR(__xludf.DUMMYFUNCTION("""COMPUTED_VALUE"""),"| 1 L INE @ | 4 L NS % | 3 L PHP-CGM % | 5 L PRO % ")</f>
        <v xml:space="preserve">| 1 L INE @ | 4 L NS % | 3 L PHP-CGM % | 5 L PRO % </v>
      </c>
      <c r="AN63" s="4" t="str">
        <f ca="1">IFERROR(__xludf.DUMMYFUNCTION("""COMPUTED_VALUE"""),"| 1 L CPT % | 2 L NS % | 3 P NS % | 5 P JAVA % ")</f>
        <v xml:space="preserve">| 1 L CPT % | 2 L NS % | 3 P NS % | 5 P JAVA % </v>
      </c>
      <c r="AO63" s="4" t="str">
        <f ca="1">IFERROR(__xludf.DUMMYFUNCTION("""COMPUTED_VALUE"""),"| 1 L PHP-CGM % | 2 L JAVA % | 3 P PHP-CGM % | 5 P Python % ")</f>
        <v xml:space="preserve">| 1 L PHP-CGM % | 2 L JAVA % | 3 P PHP-CGM % | 5 P Python % </v>
      </c>
      <c r="AP63" s="4" t="str">
        <f ca="1">IFERROR(__xludf.DUMMYFUNCTION("""COMPUTED_VALUE"""),"| 1 P CPT % | 3 L JAVA % | 4 L CPT % | 5 P Python % ")</f>
        <v xml:space="preserve">| 1 P CPT % | 3 L JAVA % | 4 L CPT % | 5 P Python % </v>
      </c>
      <c r="AQ6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63" s="4" t="str">
        <f ca="1">IFERROR(__xludf.DUMMYFUNCTION("""COMPUTED_VALUE"""),"| 1 L INE % | 3 L PHP-CGM % | 4 L NS % | 5 L PRO % ")</f>
        <v xml:space="preserve">| 1 L INE % | 3 L PHP-CGM % | 4 L NS % | 5 L PRO % </v>
      </c>
      <c r="AS63" s="4" t="str">
        <f ca="1">IFERROR(__xludf.DUMMYFUNCTION("""COMPUTED_VALUE"""),"| 1 L PHP-CGM % | 2 L JAVA % | 3 P PHP-CGM % | 5 P Python % ")</f>
        <v xml:space="preserve">| 1 L PHP-CGM % | 2 L JAVA % | 3 P PHP-CGM % | 5 P Python % </v>
      </c>
      <c r="AT63" s="4" t="str">
        <f ca="1">IFERROR(__xludf.DUMMYFUNCTION("""COMPUTED_VALUE"""),"| 1 P CPT @ | 3 L JAVA % | 4 L CPT % | 5 P Python % ")</f>
        <v xml:space="preserve">| 1 P CPT @ | 3 L JAVA % | 4 L CPT % | 5 P Python % </v>
      </c>
      <c r="AU6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63" s="4" t="str">
        <f ca="1">IFERROR(__xludf.DUMMYFUNCTION("""COMPUTED_VALUE"""),"| 1 L INE % | 3 L PHP-CGM % | 4 L NS % | 7 L PRO % ")</f>
        <v xml:space="preserve">| 1 L INE % | 3 L PHP-CGM % | 4 L NS % | 7 L PRO % </v>
      </c>
      <c r="AW63" s="4" t="str">
        <f ca="1">IFERROR(__xludf.DUMMYFUNCTION("""COMPUTED_VALUE"""),"| 1 L CPT % | 3 P NS % | 2 L NS % | 5 P JAVA % ")</f>
        <v xml:space="preserve">| 1 L CPT % | 3 P NS % | 2 L NS % | 5 P JAVA % </v>
      </c>
      <c r="AX63" s="4" t="str">
        <f ca="1">IFERROR(__xludf.DUMMYFUNCTION("""COMPUTED_VALUE"""),"| 1 L PHP-CGM % | 2 L JAVA % | 3 P PHP-CGM % | 5 P Python % ")</f>
        <v xml:space="preserve">| 1 L PHP-CGM % | 2 L JAVA % | 3 P PHP-CGM % | 5 P Python % </v>
      </c>
      <c r="AY63" s="4" t="str">
        <f ca="1">IFERROR(__xludf.DUMMYFUNCTION("""COMPUTED_VALUE"""),"| 1 P CPT % | 3 L JAVA % | 4 L CPT % | 5 P Python % ")</f>
        <v xml:space="preserve">| 1 P CPT % | 3 L JAVA % | 4 L CPT % | 5 P Python % </v>
      </c>
      <c r="AZ63" s="4" t="str">
        <f ca="1">IFERROR(__xludf.DUMMYFUNCTION("""COMPUTED_VALUE"""),"| 1 L INE % | 3 L PHP-CGM % | 4 L NS % | 5 L PRO % ")</f>
        <v xml:space="preserve">| 1 L INE % | 3 L PHP-CGM % | 4 L NS % | 5 L PRO % </v>
      </c>
      <c r="BA63" s="4" t="str">
        <f ca="1">IFERROR(__xludf.DUMMYFUNCTION("""COMPUTED_VALUE"""),"| 1 L CPT % | 2 L NS % | 3 P NS % | 5 P JAVA % ")</f>
        <v xml:space="preserve">| 1 L CPT % | 2 L NS % | 3 P NS % | 5 P JAVA % </v>
      </c>
      <c r="BB63" s="4" t="str">
        <f ca="1">IFERROR(__xludf.DUMMYFUNCTION("""COMPUTED_VALUE"""),"| 1 L PHP-CGM % | 2 L JAVA % | 3 P PHP-CGM % | 5 P Python % ")</f>
        <v xml:space="preserve">| 1 L PHP-CGM % | 2 L JAVA % | 3 P PHP-CGM % | 5 P Python % </v>
      </c>
      <c r="BC63" s="4" t="str">
        <f ca="1">IFERROR(__xludf.DUMMYFUNCTION("""COMPUTED_VALUE"""),"| 1 P CPT % | 3 L JAVA % | 4 L CPT % | 5 P Python % ")</f>
        <v xml:space="preserve">| 1 P CPT % | 3 L JAVA % | 4 L CPT % | 5 P Python % </v>
      </c>
      <c r="BD63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63" s="4" t="str">
        <f ca="1">IFERROR(__xludf.DUMMYFUNCTION("""COMPUTED_VALUE"""),"| 1 L INE @ | 3 L PHP-CGM % | 4 L NS % | 5 L PRO % ")</f>
        <v xml:space="preserve">| 1 L INE @ | 3 L PHP-CGM % | 4 L NS % | 5 L PRO % </v>
      </c>
      <c r="BF63" s="4" t="str">
        <f ca="1">IFERROR(__xludf.DUMMYFUNCTION("""COMPUTED_VALUE"""),"| 1 L CPT % | 2 L NS % | 3 P NS % | 5 P JAVA % ")</f>
        <v xml:space="preserve">| 1 L CPT % | 2 L NS % | 3 P NS % | 5 P JAVA % </v>
      </c>
      <c r="BG63" s="4" t="str">
        <f ca="1">IFERROR(__xludf.DUMMYFUNCTION("""COMPUTED_VALUE"""),"| 1 P CPT % | 4 L CPT % | 5 P Python % ")</f>
        <v xml:space="preserve">| 1 P CPT % | 4 L CPT % | 5 P Python % </v>
      </c>
      <c r="BH6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63" s="4" t="str">
        <f ca="1">IFERROR(__xludf.DUMMYFUNCTION("""COMPUTED_VALUE"""),"| 1 L INE @ | 3 L PHP-CGM % | 4 L NS % | 5 L PRO % ")</f>
        <v xml:space="preserve">| 1 L INE @ | 3 L PHP-CGM % | 4 L NS % | 5 L PRO % </v>
      </c>
      <c r="BJ63" s="4" t="str">
        <f ca="1">IFERROR(__xludf.DUMMYFUNCTION("""COMPUTED_VALUE"""),"| 1 L CPT % | 2 L NS % | 3 P NS % | 5 P JAVA % ")</f>
        <v xml:space="preserve">| 1 L CPT % | 2 L NS % | 3 P NS % | 5 P JAVA % </v>
      </c>
      <c r="BK63" s="4" t="str">
        <f ca="1">IFERROR(__xludf.DUMMYFUNCTION("""COMPUTED_VALUE"""),"| 1 L PHP-CGM % | 2 L JAVA % | 3 P PHP-CGM @ | 5 P Python @ ")</f>
        <v xml:space="preserve">| 1 L PHP-CGM % | 2 L JAVA % | 3 P PHP-CGM @ | 5 P Python @ </v>
      </c>
      <c r="BL63" s="4" t="str">
        <f ca="1">IFERROR(__xludf.DUMMYFUNCTION("""COMPUTED_VALUE"""),"| 1 P CPT % | 3 L JAVA % | 4 L CPT % | 5 P Python % ")</f>
        <v xml:space="preserve">| 1 P CPT % | 3 L JAVA % | 4 L CPT % | 5 P Python % </v>
      </c>
      <c r="BM63" s="4" t="str">
        <f ca="1">IFERROR(__xludf.DUMMYFUNCTION("""COMPUTED_VALUE"""),"| 1 P JAVA @ | 3 L NS % | 4 L JAVA % | 5 L PHP-CGM % | 6 L CPT % ")</f>
        <v xml:space="preserve">| 1 P JAVA @ | 3 L NS % | 4 L JAVA % | 5 L PHP-CGM % | 6 L CPT % </v>
      </c>
      <c r="BN63" s="4" t="str">
        <f ca="1">IFERROR(__xludf.DUMMYFUNCTION("""COMPUTED_VALUE"""),"| 1 L INE @ | 3 L PHP-CGM % | 4 L NS % | 5 L PRO @ ")</f>
        <v xml:space="preserve">| 1 L INE @ | 3 L PHP-CGM % | 4 L NS % | 5 L PRO @ </v>
      </c>
      <c r="BO63" s="4" t="str">
        <f ca="1">IFERROR(__xludf.DUMMYFUNCTION("""COMPUTED_VALUE"""),"| 1 L CPT % | 2 L NS % | 3 P NS % ")</f>
        <v xml:space="preserve">| 1 L CPT % | 2 L NS % | 3 P NS % </v>
      </c>
      <c r="BP63" s="4" t="str">
        <f ca="1">IFERROR(__xludf.DUMMYFUNCTION("""COMPUTED_VALUE"""),"| 1 L PHP-CGM % | 2 L JAVA % | 3 P PHP-CGM % | 5 P Python % ")</f>
        <v xml:space="preserve">| 1 L PHP-CGM % | 2 L JAVA % | 3 P PHP-CGM % | 5 P Python % </v>
      </c>
      <c r="BQ63" s="4" t="str">
        <f ca="1">IFERROR(__xludf.DUMMYFUNCTION("""COMPUTED_VALUE"""),"| 5 L PHP-CGM % | 6 L CPT @ ")</f>
        <v xml:space="preserve">| 5 L PHP-CGM % | 6 L CPT @ </v>
      </c>
      <c r="BR63" s="4"/>
      <c r="BS63" s="4"/>
      <c r="BT63" s="4" t="str">
        <f ca="1">IFERROR(__xludf.DUMMYFUNCTION("""COMPUTED_VALUE"""),"| 1 L PHP-CGM % | 2 L JAVA % | 3 P PHP-CGM % ")</f>
        <v xml:space="preserve">| 1 L PHP-CGM % | 2 L JAVA % | 3 P PHP-CGM % </v>
      </c>
      <c r="BU63" s="4" t="str">
        <f ca="1">IFERROR(__xludf.DUMMYFUNCTION("""COMPUTED_VALUE"""),"| 1 P CPT @ | 4 L CPT @ | 3 L JAVA @ ")</f>
        <v xml:space="preserve">| 1 P CPT @ | 4 L CPT @ | 3 L JAVA @ </v>
      </c>
      <c r="BV63" s="4" t="str">
        <f ca="1">IFERROR(__xludf.DUMMYFUNCTION("""COMPUTED_VALUE"""),"| 1 L PHP-CGM % | 2 L JAVA % | 3 P PHP-CGM % | 5 P Python % ")</f>
        <v xml:space="preserve">| 1 L PHP-CGM % | 2 L JAVA % | 3 P PHP-CGM % | 5 P Python % </v>
      </c>
      <c r="BW63" s="4" t="str">
        <f ca="1">IFERROR(__xludf.DUMMYFUNCTION("""COMPUTED_VALUE"""),"| 1 P CPT % | 3 L JAVA % | 4 L CPT % ")</f>
        <v xml:space="preserve">| 1 P CPT % | 3 L JAVA % | 4 L CPT % </v>
      </c>
      <c r="BX6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Y63" s="4" t="str">
        <f ca="1">IFERROR(__xludf.DUMMYFUNCTION("""COMPUTED_VALUE"""),"| 1 L INE % | 3 L PHP-CGM % | 4 L NS % | 5 L PRO % ")</f>
        <v xml:space="preserve">| 1 L INE % | 3 L PHP-CGM % | 4 L NS % | 5 L PRO % </v>
      </c>
      <c r="BZ63" s="4" t="str">
        <f ca="1">IFERROR(__xludf.DUMMYFUNCTION("""COMPUTED_VALUE"""),"| 1 L CPT % | 2 L NS % | 3 P NS % | 5 P JAVA % ")</f>
        <v xml:space="preserve">| 1 L CPT % | 2 L NS % | 3 P NS % | 5 P JAVA % </v>
      </c>
      <c r="CA63" s="4" t="str">
        <f ca="1">IFERROR(__xludf.DUMMYFUNCTION("""COMPUTED_VALUE"""),"| 1 L PHP-CGM % | 2 L JAVA % | 3 P PHP-CGM % | 5 P Python % ")</f>
        <v xml:space="preserve">| 1 L PHP-CGM % | 2 L JAVA % | 3 P PHP-CGM % | 5 P Python % </v>
      </c>
      <c r="CB63" s="4" t="str">
        <f ca="1">IFERROR(__xludf.DUMMYFUNCTION("""COMPUTED_VALUE"""),"| 1 P CPT % | 3 L JAVA @ | 4 L CPT % | 5 P Python % ")</f>
        <v xml:space="preserve">| 1 P CPT % | 3 L JAVA @ | 4 L CPT % | 5 P Python % </v>
      </c>
      <c r="CC6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63" s="4" t="str">
        <f ca="1">IFERROR(__xludf.DUMMYFUNCTION("""COMPUTED_VALUE"""),"| 1 L INE % | 3 L PHP-CGM % | 4 L NS % | 5 L PRO % ")</f>
        <v xml:space="preserve">| 1 L INE % | 3 L PHP-CGM % | 4 L NS % | 5 L PRO % </v>
      </c>
      <c r="CE63" s="4" t="str">
        <f ca="1">IFERROR(__xludf.DUMMYFUNCTION("""COMPUTED_VALUE"""),"| 1 L CPT % | 2 L NS % | 3 P NS % | 5 P JAVA % ")</f>
        <v xml:space="preserve">| 1 L CPT % | 2 L NS % | 3 P NS % | 5 P JAVA % </v>
      </c>
      <c r="CF63" s="4" t="str">
        <f ca="1">IFERROR(__xludf.DUMMYFUNCTION("""COMPUTED_VALUE"""),"| 1 L PHP-CGM @ | 2 L JAVA % | 3 P PHP-CGM % | 5 P Python % ")</f>
        <v xml:space="preserve">| 1 L PHP-CGM @ | 2 L JAVA % | 3 P PHP-CGM % | 5 P Python % </v>
      </c>
      <c r="CG63" s="4" t="str">
        <f ca="1">IFERROR(__xludf.DUMMYFUNCTION("""COMPUTED_VALUE"""),"| 1 P CPT % | 4 L CPT @ | 5 P Python @ ")</f>
        <v xml:space="preserve">| 1 P CPT % | 4 L CPT @ | 5 P Python @ </v>
      </c>
      <c r="CH63" s="4" t="str">
        <f ca="1">IFERROR(__xludf.DUMMYFUNCTION("""COMPUTED_VALUE"""),"| 1 P JAVA % | 3 L NS % | 6 L CPT @ ")</f>
        <v xml:space="preserve">| 1 P JAVA % | 3 L NS % | 6 L CPT @ </v>
      </c>
      <c r="CI63" s="4" t="str">
        <f ca="1">IFERROR(__xludf.DUMMYFUNCTION("""COMPUTED_VALUE"""),"| 1 L INE @ ")</f>
        <v xml:space="preserve">| 1 L INE @ </v>
      </c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</row>
    <row r="64" spans="1:102" ht="12.5" x14ac:dyDescent="0.25">
      <c r="A64" s="3">
        <f ca="1">IFERROR(__xludf.DUMMYFUNCTION("""COMPUTED_VALUE"""),3)</f>
        <v>3</v>
      </c>
      <c r="B64" s="3" t="str">
        <f ca="1">IFERROR(__xludf.DUMMYFUNCTION("""COMPUTED_VALUE"""),"A")</f>
        <v>A</v>
      </c>
      <c r="C64" s="32" t="str">
        <f ca="1">IFERROR(__xludf.DUMMYFUNCTION("""COMPUTED_VALUE"""),"23291341169")</f>
        <v>23291341169</v>
      </c>
      <c r="D64" s="21" t="str">
        <f ca="1">IFERROR(__xludf.DUMMYFUNCTION("""COMPUTED_VALUE"""),"VAGHELA RIYABEN DINESHBHAI")</f>
        <v>VAGHELA RIYABEN DINESHBHAI</v>
      </c>
      <c r="E64" s="3" t="str">
        <f ca="1">IFERROR(__xludf.DUMMYFUNCTION("""COMPUTED_VALUE"""),"RRP-Mor")</f>
        <v>RRP-Mor</v>
      </c>
      <c r="F64" s="3">
        <f ca="1">IFERROR(__xludf.DUMMYFUNCTION("""COMPUTED_VALUE"""),8320775655)</f>
        <v>8320775655</v>
      </c>
      <c r="G64" s="3">
        <f ca="1">IFERROR(__xludf.DUMMYFUNCTION("""COMPUTED_VALUE"""),9724578451)</f>
        <v>9724578451</v>
      </c>
      <c r="H64" s="33">
        <f ca="1">IFERROR(__xludf.DUMMYFUNCTION("""COMPUTED_VALUE"""),0.773662551440329)</f>
        <v>0.77366255144032903</v>
      </c>
      <c r="I64" s="25">
        <f ca="1">IFERROR(__xludf.DUMMYFUNCTION("""COMPUTED_VALUE"""),0.638888888888888)</f>
        <v>0.63888888888888795</v>
      </c>
      <c r="J64" s="25">
        <f ca="1">IFERROR(__xludf.DUMMYFUNCTION("""COMPUTED_VALUE"""),0.769230769230769)</f>
        <v>0.76923076923076905</v>
      </c>
      <c r="K64" s="25">
        <f ca="1">IFERROR(__xludf.DUMMYFUNCTION("""COMPUTED_VALUE"""),0.764705882352941)</f>
        <v>0.76470588235294101</v>
      </c>
      <c r="L64" s="25">
        <f ca="1">IFERROR(__xludf.DUMMYFUNCTION("""COMPUTED_VALUE"""),0.818181818181818)</f>
        <v>0.81818181818181801</v>
      </c>
      <c r="M64" s="25">
        <f ca="1">IFERROR(__xludf.DUMMYFUNCTION("""COMPUTED_VALUE"""),0.805555555555555)</f>
        <v>0.80555555555555503</v>
      </c>
      <c r="N64" s="25">
        <f ca="1">IFERROR(__xludf.DUMMYFUNCTION("""COMPUTED_VALUE"""),0.923076923076923)</f>
        <v>0.92307692307692302</v>
      </c>
      <c r="O64" s="25">
        <f ca="1">IFERROR(__xludf.DUMMYFUNCTION("""COMPUTED_VALUE"""),0.878787878787878)</f>
        <v>0.87878787878787801</v>
      </c>
      <c r="P64" s="25">
        <f ca="1">IFERROR(__xludf.DUMMYFUNCTION("""COMPUTED_VALUE"""),0.809523809523809)</f>
        <v>0.80952380952380898</v>
      </c>
      <c r="Q64" s="25">
        <f ca="1">IFERROR(__xludf.DUMMYFUNCTION("""COMPUTED_VALUE"""),0)</f>
        <v>0</v>
      </c>
      <c r="R64" s="25">
        <f ca="1">IFERROR(__xludf.DUMMYFUNCTION("""COMPUTED_VALUE"""),0.869565217391304)</f>
        <v>0.86956521739130399</v>
      </c>
      <c r="S64" s="25">
        <f ca="1">IFERROR(__xludf.DUMMYFUNCTION("""COMPUTED_VALUE"""),0.5)</f>
        <v>0.5</v>
      </c>
      <c r="T64" s="25">
        <f ca="1">IFERROR(__xludf.DUMMYFUNCTION("""COMPUTED_VALUE"""),0.5)</f>
        <v>0.5</v>
      </c>
      <c r="U64" s="25">
        <f ca="1">IFERROR(__xludf.DUMMYFUNCTION("""COMPUTED_VALUE"""),0.636363636363636)</f>
        <v>0.63636363636363602</v>
      </c>
      <c r="V64" s="25">
        <f ca="1">IFERROR(__xludf.DUMMYFUNCTION("""COMPUTED_VALUE"""),0)</f>
        <v>0</v>
      </c>
      <c r="W64" s="4"/>
      <c r="X64" s="4" t="str">
        <f ca="1">IFERROR(__xludf.DUMMYFUNCTION("""COMPUTED_VALUE"""),"| 1 L PHP-CGM @ | 3 P PHP-CGM @ | 5 P Python @ ")</f>
        <v xml:space="preserve">| 1 L PHP-CGM @ | 3 P PHP-CGM @ | 5 P Python @ </v>
      </c>
      <c r="Y64" s="4" t="str">
        <f ca="1">IFERROR(__xludf.DUMMYFUNCTION("""COMPUTED_VALUE"""),"| 1 P CPT % | 3 L JAVA % | 4 L CPT % | 5 P Python % ")</f>
        <v xml:space="preserve">| 1 P CPT % | 3 L JAVA % | 4 L CPT % | 5 P Python % </v>
      </c>
      <c r="Z6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64" s="4" t="str">
        <f ca="1">IFERROR(__xludf.DUMMYFUNCTION("""COMPUTED_VALUE"""),"| 3 L PHP-CGM % | 4 L NS % | 1 L INE % | 5 P PRO @ ")</f>
        <v xml:space="preserve">| 3 L PHP-CGM % | 4 L NS % | 1 L INE % | 5 P PRO @ </v>
      </c>
      <c r="AB64" s="4" t="str">
        <f ca="1">IFERROR(__xludf.DUMMYFUNCTION("""COMPUTED_VALUE"""),"| 1 L CPT @ | 2 L NS % | 3 P NS % | 5 P JAVA % ")</f>
        <v xml:space="preserve">| 1 L CPT @ | 2 L NS % | 3 P NS % | 5 P JAVA % </v>
      </c>
      <c r="AC64" s="4" t="str">
        <f ca="1">IFERROR(__xludf.DUMMYFUNCTION("""COMPUTED_VALUE"""),"| 1 L PHP-CGM % | 2 L JAVA % | 3 P PHP-CGM % | 5 P Python % ")</f>
        <v xml:space="preserve">| 1 L PHP-CGM % | 2 L JAVA % | 3 P PHP-CGM % | 5 P Python % </v>
      </c>
      <c r="AD64" s="4" t="str">
        <f ca="1">IFERROR(__xludf.DUMMYFUNCTION("""COMPUTED_VALUE"""),"| 1 P CPT % | 3 L JAVA % | 4 L CPT % | 5 P Python % ")</f>
        <v xml:space="preserve">| 1 P CPT % | 3 L JAVA % | 4 L CPT % | 5 P Python % </v>
      </c>
      <c r="AE64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64" s="4" t="str">
        <f ca="1">IFERROR(__xludf.DUMMYFUNCTION("""COMPUTED_VALUE"""),"| 3 L PHP-CGM % | 4 L NS % | 5 P PRO % ")</f>
        <v xml:space="preserve">| 3 L PHP-CGM % | 4 L NS % | 5 P PRO % </v>
      </c>
      <c r="AG64" s="4" t="str">
        <f ca="1">IFERROR(__xludf.DUMMYFUNCTION("""COMPUTED_VALUE"""),"| 1 L CPT @ | 2 L NS % | 3 P NS % | 5 P JAVA % ")</f>
        <v xml:space="preserve">| 1 L CPT @ | 2 L NS % | 3 P NS % | 5 P JAVA % </v>
      </c>
      <c r="AH64" s="4" t="str">
        <f ca="1">IFERROR(__xludf.DUMMYFUNCTION("""COMPUTED_VALUE"""),"| 3 L PHP-CGM % | 4 L NS % | 5 L PRO % ")</f>
        <v xml:space="preserve">| 3 L PHP-CGM % | 4 L NS % | 5 L PRO % </v>
      </c>
      <c r="AI64" s="4" t="str">
        <f ca="1">IFERROR(__xludf.DUMMYFUNCTION("""COMPUTED_VALUE"""),"| 1 L CPT @ | 2 L NS @ | 3 P NS @ | 5 P JAVA @ ")</f>
        <v xml:space="preserve">| 1 L CPT @ | 2 L NS @ | 3 P NS @ | 5 P JAVA @ </v>
      </c>
      <c r="AJ64" s="4" t="str">
        <f ca="1">IFERROR(__xludf.DUMMYFUNCTION("""COMPUTED_VALUE"""),"| 1 L PHP-CGM % | 2 L JAVA % | 3 P PHP-CGM % | 5 P Python % ")</f>
        <v xml:space="preserve">| 1 L PHP-CGM % | 2 L JAVA % | 3 P PHP-CGM % | 5 P Python % </v>
      </c>
      <c r="AK64" s="4" t="str">
        <f ca="1">IFERROR(__xludf.DUMMYFUNCTION("""COMPUTED_VALUE"""),"| 1 P CPT % | 3 L JAVA % | 4 L CPT @ | 5 P Python % ")</f>
        <v xml:space="preserve">| 1 P CPT % | 3 L JAVA % | 4 L CPT @ | 5 P Python % </v>
      </c>
      <c r="AL6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64" s="4" t="str">
        <f ca="1">IFERROR(__xludf.DUMMYFUNCTION("""COMPUTED_VALUE"""),"| 1 L INE % | 4 L NS % | 3 L PHP-CGM % | 5 L PRO % ")</f>
        <v xml:space="preserve">| 1 L INE % | 4 L NS % | 3 L PHP-CGM % | 5 L PRO % </v>
      </c>
      <c r="AN64" s="4" t="str">
        <f ca="1">IFERROR(__xludf.DUMMYFUNCTION("""COMPUTED_VALUE"""),"| 1 L CPT @ | 2 L NS % | 3 P NS % | 5 P JAVA % ")</f>
        <v xml:space="preserve">| 1 L CPT @ | 2 L NS % | 3 P NS % | 5 P JAVA % </v>
      </c>
      <c r="AO64" s="4" t="str">
        <f ca="1">IFERROR(__xludf.DUMMYFUNCTION("""COMPUTED_VALUE"""),"| 1 L PHP-CGM % | 2 L JAVA % | 3 P PHP-CGM % | 5 P Python % ")</f>
        <v xml:space="preserve">| 1 L PHP-CGM % | 2 L JAVA % | 3 P PHP-CGM % | 5 P Python % </v>
      </c>
      <c r="AP64" s="4" t="str">
        <f ca="1">IFERROR(__xludf.DUMMYFUNCTION("""COMPUTED_VALUE"""),"| 1 P CPT % | 3 L JAVA % | 4 L CPT % | 5 P Python % ")</f>
        <v xml:space="preserve">| 1 P CPT % | 3 L JAVA % | 4 L CPT % | 5 P Python % </v>
      </c>
      <c r="AQ6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64" s="4" t="str">
        <f ca="1">IFERROR(__xludf.DUMMYFUNCTION("""COMPUTED_VALUE"""),"| 1 L INE @ | 3 L PHP-CGM @ | 4 L NS @ | 5 L PRO @ ")</f>
        <v xml:space="preserve">| 1 L INE @ | 3 L PHP-CGM @ | 4 L NS @ | 5 L PRO @ </v>
      </c>
      <c r="AS64" s="4" t="str">
        <f ca="1">IFERROR(__xludf.DUMMYFUNCTION("""COMPUTED_VALUE"""),"| 1 L PHP-CGM % | 2 L JAVA % | 3 P PHP-CGM % | 5 P Python % ")</f>
        <v xml:space="preserve">| 1 L PHP-CGM % | 2 L JAVA % | 3 P PHP-CGM % | 5 P Python % </v>
      </c>
      <c r="AT64" s="4" t="str">
        <f ca="1">IFERROR(__xludf.DUMMYFUNCTION("""COMPUTED_VALUE"""),"| 1 P CPT @ | 3 L JAVA % | 4 L CPT % | 5 P Python % ")</f>
        <v xml:space="preserve">| 1 P CPT @ | 3 L JAVA % | 4 L CPT % | 5 P Python % </v>
      </c>
      <c r="AU6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64" s="4" t="str">
        <f ca="1">IFERROR(__xludf.DUMMYFUNCTION("""COMPUTED_VALUE"""),"| 1 L INE % | 3 L PHP-CGM % | 4 L NS % | 7 L PRO % ")</f>
        <v xml:space="preserve">| 1 L INE % | 3 L PHP-CGM % | 4 L NS % | 7 L PRO % </v>
      </c>
      <c r="AW64" s="4" t="str">
        <f ca="1">IFERROR(__xludf.DUMMYFUNCTION("""COMPUTED_VALUE"""),"| 1 L CPT % | 3 P NS % | 2 L NS % | 5 P JAVA % ")</f>
        <v xml:space="preserve">| 1 L CPT % | 3 P NS % | 2 L NS % | 5 P JAVA % </v>
      </c>
      <c r="AX64" s="4" t="str">
        <f ca="1">IFERROR(__xludf.DUMMYFUNCTION("""COMPUTED_VALUE"""),"| 1 L PHP-CGM @ | 2 L JAVA % | 3 P PHP-CGM % | 5 P Python % ")</f>
        <v xml:space="preserve">| 1 L PHP-CGM @ | 2 L JAVA % | 3 P PHP-CGM % | 5 P Python % </v>
      </c>
      <c r="AY64" s="4" t="str">
        <f ca="1">IFERROR(__xludf.DUMMYFUNCTION("""COMPUTED_VALUE"""),"| 1 P CPT % | 3 L JAVA % | 4 L CPT % | 5 P Python % ")</f>
        <v xml:space="preserve">| 1 P CPT % | 3 L JAVA % | 4 L CPT % | 5 P Python % </v>
      </c>
      <c r="AZ64" s="4" t="str">
        <f ca="1">IFERROR(__xludf.DUMMYFUNCTION("""COMPUTED_VALUE"""),"| 1 L INE % | 3 L PHP-CGM % | 4 L NS % | 5 L PRO % ")</f>
        <v xml:space="preserve">| 1 L INE % | 3 L PHP-CGM % | 4 L NS % | 5 L PRO % </v>
      </c>
      <c r="BA64" s="4" t="str">
        <f ca="1">IFERROR(__xludf.DUMMYFUNCTION("""COMPUTED_VALUE"""),"| 1 L CPT % | 2 L NS % | 3 P NS % | 5 P JAVA % ")</f>
        <v xml:space="preserve">| 1 L CPT % | 2 L NS % | 3 P NS % | 5 P JAVA % </v>
      </c>
      <c r="BB64" s="4" t="str">
        <f ca="1">IFERROR(__xludf.DUMMYFUNCTION("""COMPUTED_VALUE"""),"| 1 L PHP-CGM % | 2 L JAVA % | 3 P PHP-CGM % | 5 P Python % ")</f>
        <v xml:space="preserve">| 1 L PHP-CGM % | 2 L JAVA % | 3 P PHP-CGM % | 5 P Python % </v>
      </c>
      <c r="BC64" s="4" t="str">
        <f ca="1">IFERROR(__xludf.DUMMYFUNCTION("""COMPUTED_VALUE"""),"| 1 P CPT @ | 3 L JAVA @ | 4 L CPT @ | 5 P Python @ ")</f>
        <v xml:space="preserve">| 1 P CPT @ | 3 L JAVA @ | 4 L CPT @ | 5 P Python @ </v>
      </c>
      <c r="BD64" s="4" t="str">
        <f ca="1">IFERROR(__xludf.DUMMYFUNCTION("""COMPUTED_VALUE"""),"| 1 P JAVA % | 3 L NS @ | 6 L CPT @ | 5 L PHP-CGM @ | 4 L JAVA @ ")</f>
        <v xml:space="preserve">| 1 P JAVA % | 3 L NS @ | 6 L CPT @ | 5 L PHP-CGM @ | 4 L JAVA @ </v>
      </c>
      <c r="BE64" s="4" t="str">
        <f ca="1">IFERROR(__xludf.DUMMYFUNCTION("""COMPUTED_VALUE"""),"| 1 L INE % | 3 L PHP-CGM % | 4 L NS % | 5 L PRO @ ")</f>
        <v xml:space="preserve">| 1 L INE % | 3 L PHP-CGM % | 4 L NS % | 5 L PRO @ </v>
      </c>
      <c r="BF64" s="4" t="str">
        <f ca="1">IFERROR(__xludf.DUMMYFUNCTION("""COMPUTED_VALUE"""),"| 1 L CPT % | 2 L NS % | 3 P NS % | 5 P JAVA @ ")</f>
        <v xml:space="preserve">| 1 L CPT % | 2 L NS % | 3 P NS % | 5 P JAVA @ </v>
      </c>
      <c r="BG64" s="4" t="str">
        <f ca="1">IFERROR(__xludf.DUMMYFUNCTION("""COMPUTED_VALUE"""),"| 1 P CPT % | 4 L CPT % | 5 P Python % ")</f>
        <v xml:space="preserve">| 1 P CPT % | 4 L CPT % | 5 P Python % </v>
      </c>
      <c r="BH6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64" s="4" t="str">
        <f ca="1">IFERROR(__xludf.DUMMYFUNCTION("""COMPUTED_VALUE"""),"| 1 L INE @ | 3 L PHP-CGM @ | 4 L NS @ | 5 L PRO @ ")</f>
        <v xml:space="preserve">| 1 L INE @ | 3 L PHP-CGM @ | 4 L NS @ | 5 L PRO @ </v>
      </c>
      <c r="BJ64" s="4" t="str">
        <f ca="1">IFERROR(__xludf.DUMMYFUNCTION("""COMPUTED_VALUE"""),"| 1 L CPT % | 2 L NS % | 3 P NS % | 5 P JAVA % ")</f>
        <v xml:space="preserve">| 1 L CPT % | 2 L NS % | 3 P NS % | 5 P JAVA % </v>
      </c>
      <c r="BK64" s="4" t="str">
        <f ca="1">IFERROR(__xludf.DUMMYFUNCTION("""COMPUTED_VALUE"""),"| 1 L PHP-CGM % | 2 L JAVA % | 3 P PHP-CGM % | 5 P Python % ")</f>
        <v xml:space="preserve">| 1 L PHP-CGM % | 2 L JAVA % | 3 P PHP-CGM % | 5 P Python % </v>
      </c>
      <c r="BL64" s="4" t="str">
        <f ca="1">IFERROR(__xludf.DUMMYFUNCTION("""COMPUTED_VALUE"""),"| 1 P CPT % | 3 L JAVA % | 4 L CPT % | 5 P Python @ ")</f>
        <v xml:space="preserve">| 1 P CPT % | 3 L JAVA % | 4 L CPT % | 5 P Python @ </v>
      </c>
      <c r="BM6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64" s="4" t="str">
        <f ca="1">IFERROR(__xludf.DUMMYFUNCTION("""COMPUTED_VALUE"""),"| 1 L INE @ | 3 L PHP-CGM @ | 4 L NS @ | 5 L PRO @ ")</f>
        <v xml:space="preserve">| 1 L INE @ | 3 L PHP-CGM @ | 4 L NS @ | 5 L PRO @ </v>
      </c>
      <c r="BO64" s="4" t="str">
        <f ca="1">IFERROR(__xludf.DUMMYFUNCTION("""COMPUTED_VALUE"""),"| 1 L CPT % | 2 L NS % | 3 P NS % ")</f>
        <v xml:space="preserve">| 1 L CPT % | 2 L NS % | 3 P NS % </v>
      </c>
      <c r="BP64" s="4" t="str">
        <f ca="1">IFERROR(__xludf.DUMMYFUNCTION("""COMPUTED_VALUE"""),"| 1 L PHP-CGM % | 2 L JAVA % | 3 P PHP-CGM % | 5 P Python % ")</f>
        <v xml:space="preserve">| 1 L PHP-CGM % | 2 L JAVA % | 3 P PHP-CGM % | 5 P Python % </v>
      </c>
      <c r="BQ64" s="4" t="str">
        <f ca="1">IFERROR(__xludf.DUMMYFUNCTION("""COMPUTED_VALUE"""),"| 5 L PHP-CGM % | 6 L CPT @ ")</f>
        <v xml:space="preserve">| 5 L PHP-CGM % | 6 L CPT @ </v>
      </c>
      <c r="BR64" s="4"/>
      <c r="BS64" s="4"/>
      <c r="BT64" s="4" t="str">
        <f ca="1">IFERROR(__xludf.DUMMYFUNCTION("""COMPUTED_VALUE"""),"| 1 L PHP-CGM % | 2 L JAVA % | 3 P PHP-CGM % ")</f>
        <v xml:space="preserve">| 1 L PHP-CGM % | 2 L JAVA % | 3 P PHP-CGM % </v>
      </c>
      <c r="BU64" s="4" t="str">
        <f ca="1">IFERROR(__xludf.DUMMYFUNCTION("""COMPUTED_VALUE"""),"| 1 P CPT % | 4 L CPT % | 3 L JAVA % ")</f>
        <v xml:space="preserve">| 1 P CPT % | 4 L CPT % | 3 L JAVA % </v>
      </c>
      <c r="BV64" s="4" t="str">
        <f ca="1">IFERROR(__xludf.DUMMYFUNCTION("""COMPUTED_VALUE"""),"| 1 L PHP-CGM % | 2 L JAVA % | 3 P PHP-CGM % | 5 P Python % ")</f>
        <v xml:space="preserve">| 1 L PHP-CGM % | 2 L JAVA % | 3 P PHP-CGM % | 5 P Python % </v>
      </c>
      <c r="BW64" s="4" t="str">
        <f ca="1">IFERROR(__xludf.DUMMYFUNCTION("""COMPUTED_VALUE"""),"| 1 P CPT @ | 3 L JAVA @ | 4 L CPT @ ")</f>
        <v xml:space="preserve">| 1 P CPT @ | 3 L JAVA @ | 4 L CPT @ </v>
      </c>
      <c r="BX64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64" s="4" t="str">
        <f ca="1">IFERROR(__xludf.DUMMYFUNCTION("""COMPUTED_VALUE"""),"| 1 L INE % | 3 L PHP-CGM % | 4 L NS % | 5 L PRO % ")</f>
        <v xml:space="preserve">| 1 L INE % | 3 L PHP-CGM % | 4 L NS % | 5 L PRO % </v>
      </c>
      <c r="BZ64" s="4" t="str">
        <f ca="1">IFERROR(__xludf.DUMMYFUNCTION("""COMPUTED_VALUE"""),"| 1 L CPT % | 2 L NS % | 3 P NS % | 5 P JAVA % ")</f>
        <v xml:space="preserve">| 1 L CPT % | 2 L NS % | 3 P NS % | 5 P JAVA % </v>
      </c>
      <c r="CA64" s="4" t="str">
        <f ca="1">IFERROR(__xludf.DUMMYFUNCTION("""COMPUTED_VALUE"""),"| 1 L PHP-CGM % | 2 L JAVA % | 3 P PHP-CGM % | 5 P Python % ")</f>
        <v xml:space="preserve">| 1 L PHP-CGM % | 2 L JAVA % | 3 P PHP-CGM % | 5 P Python % </v>
      </c>
      <c r="CB64" s="4" t="str">
        <f ca="1">IFERROR(__xludf.DUMMYFUNCTION("""COMPUTED_VALUE"""),"| 1 P CPT % | 3 L JAVA % | 4 L CPT % | 5 P Python % ")</f>
        <v xml:space="preserve">| 1 P CPT % | 3 L JAVA % | 4 L CPT % | 5 P Python % </v>
      </c>
      <c r="CC64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64" s="4" t="str">
        <f ca="1">IFERROR(__xludf.DUMMYFUNCTION("""COMPUTED_VALUE"""),"| 1 L INE % | 3 L PHP-CGM % | 4 L NS % | 5 L PRO @ ")</f>
        <v xml:space="preserve">| 1 L INE % | 3 L PHP-CGM % | 4 L NS % | 5 L PRO @ </v>
      </c>
      <c r="CE64" s="4" t="str">
        <f ca="1">IFERROR(__xludf.DUMMYFUNCTION("""COMPUTED_VALUE"""),"| 1 L CPT @ | 2 L NS @ | 3 P NS @ | 5 P JAVA @ ")</f>
        <v xml:space="preserve">| 1 L CPT @ | 2 L NS @ | 3 P NS @ | 5 P JAVA @ </v>
      </c>
      <c r="CF64" s="4" t="str">
        <f ca="1">IFERROR(__xludf.DUMMYFUNCTION("""COMPUTED_VALUE"""),"| 1 L PHP-CGM % | 2 L JAVA % | 3 P PHP-CGM % | 5 P Python % ")</f>
        <v xml:space="preserve">| 1 L PHP-CGM % | 2 L JAVA % | 3 P PHP-CGM % | 5 P Python % </v>
      </c>
      <c r="CG64" s="4" t="str">
        <f ca="1">IFERROR(__xludf.DUMMYFUNCTION("""COMPUTED_VALUE"""),"| 1 P CPT % | 4 L CPT @ | 5 P Python % ")</f>
        <v xml:space="preserve">| 1 P CPT % | 4 L CPT @ | 5 P Python % </v>
      </c>
      <c r="CH64" s="4" t="str">
        <f ca="1">IFERROR(__xludf.DUMMYFUNCTION("""COMPUTED_VALUE"""),"| 1 P JAVA % | 3 L NS @ | 6 L CPT @ ")</f>
        <v xml:space="preserve">| 1 P JAVA % | 3 L NS @ | 6 L CPT @ </v>
      </c>
      <c r="CI64" s="4" t="str">
        <f ca="1">IFERROR(__xludf.DUMMYFUNCTION("""COMPUTED_VALUE"""),"| 1 L INE @ ")</f>
        <v xml:space="preserve">| 1 L INE @ </v>
      </c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</row>
    <row r="65" spans="1:102" ht="12.5" x14ac:dyDescent="0.25">
      <c r="A65" s="3">
        <f ca="1">IFERROR(__xludf.DUMMYFUNCTION("""COMPUTED_VALUE"""),3)</f>
        <v>3</v>
      </c>
      <c r="B65" s="3" t="str">
        <f ca="1">IFERROR(__xludf.DUMMYFUNCTION("""COMPUTED_VALUE"""),"A")</f>
        <v>A</v>
      </c>
      <c r="C65" s="32" t="str">
        <f ca="1">IFERROR(__xludf.DUMMYFUNCTION("""COMPUTED_VALUE"""),"23291341170")</f>
        <v>23291341170</v>
      </c>
      <c r="D65" s="21" t="str">
        <f ca="1">IFERROR(__xludf.DUMMYFUNCTION("""COMPUTED_VALUE"""),"VANSFODA DEVRAJ ANANDBHAI")</f>
        <v>VANSFODA DEVRAJ ANANDBHAI</v>
      </c>
      <c r="E65" s="3" t="str">
        <f ca="1">IFERROR(__xludf.DUMMYFUNCTION("""COMPUTED_VALUE"""),"RRP-Mor")</f>
        <v>RRP-Mor</v>
      </c>
      <c r="F65" s="3">
        <f ca="1">IFERROR(__xludf.DUMMYFUNCTION("""COMPUTED_VALUE"""),9558123188)</f>
        <v>9558123188</v>
      </c>
      <c r="G65" s="3">
        <f ca="1">IFERROR(__xludf.DUMMYFUNCTION("""COMPUTED_VALUE"""),9558123188)</f>
        <v>9558123188</v>
      </c>
      <c r="H65" s="33">
        <f ca="1">IFERROR(__xludf.DUMMYFUNCTION("""COMPUTED_VALUE"""),0.613168724279835)</f>
        <v>0.61316872427983504</v>
      </c>
      <c r="I65" s="25">
        <f ca="1">IFERROR(__xludf.DUMMYFUNCTION("""COMPUTED_VALUE"""),0.472222222222222)</f>
        <v>0.47222222222222199</v>
      </c>
      <c r="J65" s="25">
        <f ca="1">IFERROR(__xludf.DUMMYFUNCTION("""COMPUTED_VALUE"""),0.384615384615384)</f>
        <v>0.38461538461538403</v>
      </c>
      <c r="K65" s="25">
        <f ca="1">IFERROR(__xludf.DUMMYFUNCTION("""COMPUTED_VALUE"""),0.676470588235294)</f>
        <v>0.67647058823529405</v>
      </c>
      <c r="L65" s="25">
        <f ca="1">IFERROR(__xludf.DUMMYFUNCTION("""COMPUTED_VALUE"""),1)</f>
        <v>1</v>
      </c>
      <c r="M65" s="25">
        <f ca="1">IFERROR(__xludf.DUMMYFUNCTION("""COMPUTED_VALUE"""),0.694444444444444)</f>
        <v>0.69444444444444398</v>
      </c>
      <c r="N65" s="25">
        <f ca="1">IFERROR(__xludf.DUMMYFUNCTION("""COMPUTED_VALUE"""),0.923076923076923)</f>
        <v>0.92307692307692302</v>
      </c>
      <c r="O65" s="25">
        <f ca="1">IFERROR(__xludf.DUMMYFUNCTION("""COMPUTED_VALUE"""),0.727272727272727)</f>
        <v>0.72727272727272696</v>
      </c>
      <c r="P65" s="25">
        <f ca="1">IFERROR(__xludf.DUMMYFUNCTION("""COMPUTED_VALUE"""),0.714285714285714)</f>
        <v>0.71428571428571397</v>
      </c>
      <c r="Q65" s="25">
        <f ca="1">IFERROR(__xludf.DUMMYFUNCTION("""COMPUTED_VALUE"""),0)</f>
        <v>0</v>
      </c>
      <c r="R65" s="25">
        <f ca="1">IFERROR(__xludf.DUMMYFUNCTION("""COMPUTED_VALUE"""),0.521739130434782)</f>
        <v>0.52173913043478204</v>
      </c>
      <c r="S65" s="25">
        <f ca="1">IFERROR(__xludf.DUMMYFUNCTION("""COMPUTED_VALUE"""),0.2)</f>
        <v>0.2</v>
      </c>
      <c r="T65" s="25">
        <f ca="1">IFERROR(__xludf.DUMMYFUNCTION("""COMPUTED_VALUE"""),0.5)</f>
        <v>0.5</v>
      </c>
      <c r="U65" s="25">
        <f ca="1">IFERROR(__xludf.DUMMYFUNCTION("""COMPUTED_VALUE"""),0.181818181818181)</f>
        <v>0.18181818181818099</v>
      </c>
      <c r="V65" s="25">
        <f ca="1">IFERROR(__xludf.DUMMYFUNCTION("""COMPUTED_VALUE"""),0)</f>
        <v>0</v>
      </c>
      <c r="W65" s="4"/>
      <c r="X65" s="4" t="str">
        <f ca="1">IFERROR(__xludf.DUMMYFUNCTION("""COMPUTED_VALUE"""),"| 1 L PHP-CGM % | 3 P PHP-CGM % | 5 P Python % ")</f>
        <v xml:space="preserve">| 1 L PHP-CGM % | 3 P PHP-CGM % | 5 P Python % </v>
      </c>
      <c r="Y65" s="4" t="str">
        <f ca="1">IFERROR(__xludf.DUMMYFUNCTION("""COMPUTED_VALUE"""),"| 1 P CPT % | 3 L JAVA % | 4 L CPT % | 5 P Python % ")</f>
        <v xml:space="preserve">| 1 P CPT % | 3 L JAVA % | 4 L CPT % | 5 P Python % </v>
      </c>
      <c r="Z65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65" s="4" t="str">
        <f ca="1">IFERROR(__xludf.DUMMYFUNCTION("""COMPUTED_VALUE"""),"| 3 L PHP-CGM % | 4 L NS % | 1 L INE % | 5 P PRO % ")</f>
        <v xml:space="preserve">| 3 L PHP-CGM % | 4 L NS % | 1 L INE % | 5 P PRO % </v>
      </c>
      <c r="AB65" s="4" t="str">
        <f ca="1">IFERROR(__xludf.DUMMYFUNCTION("""COMPUTED_VALUE"""),"| 1 L CPT % | 2 L NS % | 3 P NS % | 5 P JAVA % ")</f>
        <v xml:space="preserve">| 1 L CPT % | 2 L NS % | 3 P NS % | 5 P JAVA % </v>
      </c>
      <c r="AC65" s="4" t="str">
        <f ca="1">IFERROR(__xludf.DUMMYFUNCTION("""COMPUTED_VALUE"""),"| 1 L PHP-CGM % | 2 L JAVA % | 3 P PHP-CGM % | 5 P Python % ")</f>
        <v xml:space="preserve">| 1 L PHP-CGM % | 2 L JAVA % | 3 P PHP-CGM % | 5 P Python % </v>
      </c>
      <c r="AD65" s="4" t="str">
        <f ca="1">IFERROR(__xludf.DUMMYFUNCTION("""COMPUTED_VALUE"""),"| 1 P CPT @ | 3 L JAVA @ | 4 L CPT % | 5 P Python @ ")</f>
        <v xml:space="preserve">| 1 P CPT @ | 3 L JAVA @ | 4 L CPT % | 5 P Python @ </v>
      </c>
      <c r="AE65" s="4" t="str">
        <f ca="1">IFERROR(__xludf.DUMMYFUNCTION("""COMPUTED_VALUE"""),"| 1 P JAVA % | 4 L JAVA % | 3 L NS % | 5 L PHP-CGM @ | 6 L CPT @ ")</f>
        <v xml:space="preserve">| 1 P JAVA % | 4 L JAVA % | 3 L NS % | 5 L PHP-CGM @ | 6 L CPT @ </v>
      </c>
      <c r="AF65" s="4" t="str">
        <f ca="1">IFERROR(__xludf.DUMMYFUNCTION("""COMPUTED_VALUE"""),"| 3 L PHP-CGM % | 4 L NS % | 5 P PRO @ ")</f>
        <v xml:space="preserve">| 3 L PHP-CGM % | 4 L NS % | 5 P PRO @ </v>
      </c>
      <c r="AG65" s="4" t="str">
        <f ca="1">IFERROR(__xludf.DUMMYFUNCTION("""COMPUTED_VALUE"""),"| 1 L CPT @ | 2 L NS @ | 3 P NS % | 5 P JAVA @ ")</f>
        <v xml:space="preserve">| 1 L CPT @ | 2 L NS @ | 3 P NS % | 5 P JAVA @ </v>
      </c>
      <c r="AH65" s="4" t="str">
        <f ca="1">IFERROR(__xludf.DUMMYFUNCTION("""COMPUTED_VALUE"""),"| 3 L PHP-CGM @ | 4 L NS @ | 5 L PRO @ ")</f>
        <v xml:space="preserve">| 3 L PHP-CGM @ | 4 L NS @ | 5 L PRO @ </v>
      </c>
      <c r="AI65" s="4" t="str">
        <f ca="1">IFERROR(__xludf.DUMMYFUNCTION("""COMPUTED_VALUE"""),"| 1 L CPT % | 2 L NS % | 3 P NS % | 5 P JAVA % ")</f>
        <v xml:space="preserve">| 1 L CPT % | 2 L NS % | 3 P NS % | 5 P JAVA % </v>
      </c>
      <c r="AJ65" s="4" t="str">
        <f ca="1">IFERROR(__xludf.DUMMYFUNCTION("""COMPUTED_VALUE"""),"| 1 L PHP-CGM % | 2 L JAVA % | 3 P PHP-CGM % | 5 P Python % ")</f>
        <v xml:space="preserve">| 1 L PHP-CGM % | 2 L JAVA % | 3 P PHP-CGM % | 5 P Python % </v>
      </c>
      <c r="AK65" s="4" t="str">
        <f ca="1">IFERROR(__xludf.DUMMYFUNCTION("""COMPUTED_VALUE"""),"| 1 P CPT % | 3 L JAVA % | 4 L CPT % | 5 P Python % ")</f>
        <v xml:space="preserve">| 1 P CPT % | 3 L JAVA % | 4 L CPT % | 5 P Python % </v>
      </c>
      <c r="AL65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M65" s="4" t="str">
        <f ca="1">IFERROR(__xludf.DUMMYFUNCTION("""COMPUTED_VALUE"""),"| 1 L INE @ | 4 L NS @ | 3 L PHP-CGM @ | 5 L PRO @ ")</f>
        <v xml:space="preserve">| 1 L INE @ | 4 L NS @ | 3 L PHP-CGM @ | 5 L PRO @ </v>
      </c>
      <c r="AN65" s="4" t="str">
        <f ca="1">IFERROR(__xludf.DUMMYFUNCTION("""COMPUTED_VALUE"""),"| 1 L CPT @ | 2 L NS % | 3 P NS % | 5 P JAVA % ")</f>
        <v xml:space="preserve">| 1 L CPT @ | 2 L NS % | 3 P NS % | 5 P JAVA % </v>
      </c>
      <c r="AO65" s="4" t="str">
        <f ca="1">IFERROR(__xludf.DUMMYFUNCTION("""COMPUTED_VALUE"""),"| 1 L PHP-CGM % | 2 L JAVA % | 3 P PHP-CGM % | 5 P Python % ")</f>
        <v xml:space="preserve">| 1 L PHP-CGM % | 2 L JAVA % | 3 P PHP-CGM % | 5 P Python % </v>
      </c>
      <c r="AP65" s="4" t="str">
        <f ca="1">IFERROR(__xludf.DUMMYFUNCTION("""COMPUTED_VALUE"""),"| 1 P CPT @ | 3 L JAVA @ | 4 L CPT @ | 5 P Python @ ")</f>
        <v xml:space="preserve">| 1 P CPT @ | 3 L JAVA @ | 4 L CPT @ | 5 P Python @ </v>
      </c>
      <c r="AQ6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65" s="4" t="str">
        <f ca="1">IFERROR(__xludf.DUMMYFUNCTION("""COMPUTED_VALUE"""),"| 1 L INE @ | 3 L PHP-CGM @ | 4 L NS @ | 5 L PRO @ ")</f>
        <v xml:space="preserve">| 1 L INE @ | 3 L PHP-CGM @ | 4 L NS @ | 5 L PRO @ </v>
      </c>
      <c r="AS65" s="4" t="str">
        <f ca="1">IFERROR(__xludf.DUMMYFUNCTION("""COMPUTED_VALUE"""),"| 1 L PHP-CGM % | 2 L JAVA % | 3 P PHP-CGM % | 5 P Python @ ")</f>
        <v xml:space="preserve">| 1 L PHP-CGM % | 2 L JAVA % | 3 P PHP-CGM % | 5 P Python @ </v>
      </c>
      <c r="AT65" s="4" t="str">
        <f ca="1">IFERROR(__xludf.DUMMYFUNCTION("""COMPUTED_VALUE"""),"| 1 P CPT % | 3 L JAVA % | 4 L CPT % | 5 P Python % ")</f>
        <v xml:space="preserve">| 1 P CPT % | 3 L JAVA % | 4 L CPT % | 5 P Python % </v>
      </c>
      <c r="AU65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65" s="4" t="str">
        <f ca="1">IFERROR(__xludf.DUMMYFUNCTION("""COMPUTED_VALUE"""),"| 1 L INE @ | 3 L PHP-CGM % | 4 L NS % | 7 L PRO % ")</f>
        <v xml:space="preserve">| 1 L INE @ | 3 L PHP-CGM % | 4 L NS % | 7 L PRO % </v>
      </c>
      <c r="AW65" s="4" t="str">
        <f ca="1">IFERROR(__xludf.DUMMYFUNCTION("""COMPUTED_VALUE"""),"| 1 L CPT % | 3 P NS % | 2 L NS % | 5 P JAVA % ")</f>
        <v xml:space="preserve">| 1 L CPT % | 3 P NS % | 2 L NS % | 5 P JAVA % </v>
      </c>
      <c r="AX65" s="4" t="str">
        <f ca="1">IFERROR(__xludf.DUMMYFUNCTION("""COMPUTED_VALUE"""),"| 1 L PHP-CGM % | 2 L JAVA % | 3 P PHP-CGM % | 5 P Python % ")</f>
        <v xml:space="preserve">| 1 L PHP-CGM % | 2 L JAVA % | 3 P PHP-CGM % | 5 P Python % </v>
      </c>
      <c r="AY65" s="4" t="str">
        <f ca="1">IFERROR(__xludf.DUMMYFUNCTION("""COMPUTED_VALUE"""),"| 1 P CPT @ | 3 L JAVA @ | 4 L CPT @ | 5 P Python @ ")</f>
        <v xml:space="preserve">| 1 P CPT @ | 3 L JAVA @ | 4 L CPT @ | 5 P Python @ </v>
      </c>
      <c r="AZ65" s="4" t="str">
        <f ca="1">IFERROR(__xludf.DUMMYFUNCTION("""COMPUTED_VALUE"""),"| 1 L INE @ | 3 L PHP-CGM % | 4 L NS % | 5 L PRO % ")</f>
        <v xml:space="preserve">| 1 L INE @ | 3 L PHP-CGM % | 4 L NS % | 5 L PRO % </v>
      </c>
      <c r="BA65" s="4" t="str">
        <f ca="1">IFERROR(__xludf.DUMMYFUNCTION("""COMPUTED_VALUE"""),"| 1 L CPT % | 2 L NS % | 3 P NS % | 5 P JAVA @ ")</f>
        <v xml:space="preserve">| 1 L CPT % | 2 L NS % | 3 P NS % | 5 P JAVA @ </v>
      </c>
      <c r="BB65" s="4" t="str">
        <f ca="1">IFERROR(__xludf.DUMMYFUNCTION("""COMPUTED_VALUE"""),"| 1 L PHP-CGM % | 2 L JAVA % | 3 P PHP-CGM % | 5 P Python % ")</f>
        <v xml:space="preserve">| 1 L PHP-CGM % | 2 L JAVA % | 3 P PHP-CGM % | 5 P Python % </v>
      </c>
      <c r="BC65" s="4" t="str">
        <f ca="1">IFERROR(__xludf.DUMMYFUNCTION("""COMPUTED_VALUE"""),"| 1 P CPT % | 3 L JAVA % | 4 L CPT % | 5 P Python % ")</f>
        <v xml:space="preserve">| 1 P CPT % | 3 L JAVA % | 4 L CPT % | 5 P Python % </v>
      </c>
      <c r="BD65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65" s="4" t="str">
        <f ca="1">IFERROR(__xludf.DUMMYFUNCTION("""COMPUTED_VALUE"""),"| 1 L INE @ | 3 L PHP-CGM % | 4 L NS % | 5 L PRO @ ")</f>
        <v xml:space="preserve">| 1 L INE @ | 3 L PHP-CGM % | 4 L NS % | 5 L PRO @ </v>
      </c>
      <c r="BF65" s="4" t="str">
        <f ca="1">IFERROR(__xludf.DUMMYFUNCTION("""COMPUTED_VALUE"""),"| 1 L CPT @ | 2 L NS % | 3 P NS % | 5 P JAVA % ")</f>
        <v xml:space="preserve">| 1 L CPT @ | 2 L NS % | 3 P NS % | 5 P JAVA % </v>
      </c>
      <c r="BG65" s="4" t="str">
        <f ca="1">IFERROR(__xludf.DUMMYFUNCTION("""COMPUTED_VALUE"""),"| 1 P CPT @ | 4 L CPT @ | 5 P Python @ ")</f>
        <v xml:space="preserve">| 1 P CPT @ | 4 L CPT @ | 5 P Python @ </v>
      </c>
      <c r="BH65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I65" s="4" t="str">
        <f ca="1">IFERROR(__xludf.DUMMYFUNCTION("""COMPUTED_VALUE"""),"| 1 L INE @ | 3 L PHP-CGM @ | 4 L NS @ | 5 L PRO @ ")</f>
        <v xml:space="preserve">| 1 L INE @ | 3 L PHP-CGM @ | 4 L NS @ | 5 L PRO @ </v>
      </c>
      <c r="BJ65" s="4" t="str">
        <f ca="1">IFERROR(__xludf.DUMMYFUNCTION("""COMPUTED_VALUE"""),"| 1 L CPT @ | 2 L NS % | 3 P NS % | 5 P JAVA % ")</f>
        <v xml:space="preserve">| 1 L CPT @ | 2 L NS % | 3 P NS % | 5 P JAVA % </v>
      </c>
      <c r="BK65" s="4" t="str">
        <f ca="1">IFERROR(__xludf.DUMMYFUNCTION("""COMPUTED_VALUE"""),"| 1 L PHP-CGM @ | 2 L JAVA @ | 3 P PHP-CGM @ | 5 P Python @ ")</f>
        <v xml:space="preserve">| 1 L PHP-CGM @ | 2 L JAVA @ | 3 P PHP-CGM @ | 5 P Python @ </v>
      </c>
      <c r="BL65" s="4" t="str">
        <f ca="1">IFERROR(__xludf.DUMMYFUNCTION("""COMPUTED_VALUE"""),"| 1 P CPT @ | 3 L JAVA @ | 4 L CPT @ | 5 P Python @ ")</f>
        <v xml:space="preserve">| 1 P CPT @ | 3 L JAVA @ | 4 L CPT @ | 5 P Python @ </v>
      </c>
      <c r="BM65" s="4" t="str">
        <f ca="1">IFERROR(__xludf.DUMMYFUNCTION("""COMPUTED_VALUE"""),"| 1 P JAVA @ | 3 L NS @ | 4 L JAVA @ | 5 L PHP-CGM @ | 6 L CPT % ")</f>
        <v xml:space="preserve">| 1 P JAVA @ | 3 L NS @ | 4 L JAVA @ | 5 L PHP-CGM @ | 6 L CPT % </v>
      </c>
      <c r="BN65" s="4" t="str">
        <f ca="1">IFERROR(__xludf.DUMMYFUNCTION("""COMPUTED_VALUE"""),"| 1 L INE @ | 3 L PHP-CGM % | 4 L NS % | 5 L PRO @ ")</f>
        <v xml:space="preserve">| 1 L INE @ | 3 L PHP-CGM % | 4 L NS % | 5 L PRO @ </v>
      </c>
      <c r="BO65" s="4" t="str">
        <f ca="1">IFERROR(__xludf.DUMMYFUNCTION("""COMPUTED_VALUE"""),"| 1 L CPT @ | 2 L NS @ | 3 P NS % ")</f>
        <v xml:space="preserve">| 1 L CPT @ | 2 L NS @ | 3 P NS % </v>
      </c>
      <c r="BP65" s="4" t="str">
        <f ca="1">IFERROR(__xludf.DUMMYFUNCTION("""COMPUTED_VALUE"""),"| 1 L PHP-CGM % | 2 L JAVA % | 3 P PHP-CGM % | 5 P Python @ ")</f>
        <v xml:space="preserve">| 1 L PHP-CGM % | 2 L JAVA % | 3 P PHP-CGM % | 5 P Python @ </v>
      </c>
      <c r="BQ65" s="4" t="str">
        <f ca="1">IFERROR(__xludf.DUMMYFUNCTION("""COMPUTED_VALUE"""),"| 5 L PHP-CGM % | 6 L CPT @ ")</f>
        <v xml:space="preserve">| 5 L PHP-CGM % | 6 L CPT @ </v>
      </c>
      <c r="BR65" s="4"/>
      <c r="BS65" s="4"/>
      <c r="BT65" s="4" t="str">
        <f ca="1">IFERROR(__xludf.DUMMYFUNCTION("""COMPUTED_VALUE"""),"| 1 L PHP-CGM % | 2 L JAVA % | 3 P PHP-CGM % ")</f>
        <v xml:space="preserve">| 1 L PHP-CGM % | 2 L JAVA % | 3 P PHP-CGM % </v>
      </c>
      <c r="BU65" s="4" t="str">
        <f ca="1">IFERROR(__xludf.DUMMYFUNCTION("""COMPUTED_VALUE"""),"| 1 P CPT @ | 4 L CPT @ | 3 L JAVA @ ")</f>
        <v xml:space="preserve">| 1 P CPT @ | 4 L CPT @ | 3 L JAVA @ </v>
      </c>
      <c r="BV65" s="4" t="str">
        <f ca="1">IFERROR(__xludf.DUMMYFUNCTION("""COMPUTED_VALUE"""),"| 1 L PHP-CGM % | 2 L JAVA % | 3 P PHP-CGM % | 5 P Python @ ")</f>
        <v xml:space="preserve">| 1 L PHP-CGM % | 2 L JAVA % | 3 P PHP-CGM % | 5 P Python @ </v>
      </c>
      <c r="BW65" s="4" t="str">
        <f ca="1">IFERROR(__xludf.DUMMYFUNCTION("""COMPUTED_VALUE"""),"| 1 P CPT @ | 3 L JAVA % | 4 L CPT % ")</f>
        <v xml:space="preserve">| 1 P CPT @ | 3 L JAVA % | 4 L CPT % </v>
      </c>
      <c r="BX65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65" s="4" t="str">
        <f ca="1">IFERROR(__xludf.DUMMYFUNCTION("""COMPUTED_VALUE"""),"| 1 L INE @ | 3 L PHP-CGM % | 4 L NS % | 5 L PRO @ ")</f>
        <v xml:space="preserve">| 1 L INE @ | 3 L PHP-CGM % | 4 L NS % | 5 L PRO @ </v>
      </c>
      <c r="BZ65" s="4" t="str">
        <f ca="1">IFERROR(__xludf.DUMMYFUNCTION("""COMPUTED_VALUE"""),"| 1 L CPT % | 2 L NS % | 3 P NS % | 5 P JAVA @ ")</f>
        <v xml:space="preserve">| 1 L CPT % | 2 L NS % | 3 P NS % | 5 P JAVA @ </v>
      </c>
      <c r="CA65" s="4" t="str">
        <f ca="1">IFERROR(__xludf.DUMMYFUNCTION("""COMPUTED_VALUE"""),"| 1 L PHP-CGM % | 2 L JAVA % | 3 P PHP-CGM % | 5 P Python % ")</f>
        <v xml:space="preserve">| 1 L PHP-CGM % | 2 L JAVA % | 3 P PHP-CGM % | 5 P Python % </v>
      </c>
      <c r="CB65" s="4" t="str">
        <f ca="1">IFERROR(__xludf.DUMMYFUNCTION("""COMPUTED_VALUE"""),"| 1 P CPT @ | 3 L JAVA % | 4 L CPT @ | 5 P Python % ")</f>
        <v xml:space="preserve">| 1 P CPT @ | 3 L JAVA % | 4 L CPT @ | 5 P Python % </v>
      </c>
      <c r="CC65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65" s="4" t="str">
        <f ca="1">IFERROR(__xludf.DUMMYFUNCTION("""COMPUTED_VALUE"""),"| 1 L INE % | 3 L PHP-CGM % | 4 L NS @ | 5 L PRO @ ")</f>
        <v xml:space="preserve">| 1 L INE % | 3 L PHP-CGM % | 4 L NS @ | 5 L PRO @ </v>
      </c>
      <c r="CE65" s="4" t="str">
        <f ca="1">IFERROR(__xludf.DUMMYFUNCTION("""COMPUTED_VALUE"""),"| 1 L CPT % | 2 L NS % | 3 P NS % | 5 P JAVA % ")</f>
        <v xml:space="preserve">| 1 L CPT % | 2 L NS % | 3 P NS % | 5 P JAVA % </v>
      </c>
      <c r="CF65" s="4" t="str">
        <f ca="1">IFERROR(__xludf.DUMMYFUNCTION("""COMPUTED_VALUE"""),"| 1 L PHP-CGM % | 2 L JAVA % | 3 P PHP-CGM % | 5 P Python @ ")</f>
        <v xml:space="preserve">| 1 L PHP-CGM % | 2 L JAVA % | 3 P PHP-CGM % | 5 P Python @ </v>
      </c>
      <c r="CG65" s="4" t="str">
        <f ca="1">IFERROR(__xludf.DUMMYFUNCTION("""COMPUTED_VALUE"""),"| 1 P CPT % | 4 L CPT @ | 5 P Python @ ")</f>
        <v xml:space="preserve">| 1 P CPT % | 4 L CPT @ | 5 P Python @ </v>
      </c>
      <c r="CH65" s="4" t="str">
        <f ca="1">IFERROR(__xludf.DUMMYFUNCTION("""COMPUTED_VALUE"""),"| 1 P JAVA % | 3 L NS @ | 6 L CPT @ ")</f>
        <v xml:space="preserve">| 1 P JAVA % | 3 L NS @ | 6 L CPT @ </v>
      </c>
      <c r="CI65" s="4" t="str">
        <f ca="1">IFERROR(__xludf.DUMMYFUNCTION("""COMPUTED_VALUE"""),"| 1 L INE @ ")</f>
        <v xml:space="preserve">| 1 L INE @ </v>
      </c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</row>
    <row r="66" spans="1:102" ht="12.5" x14ac:dyDescent="0.25">
      <c r="A66" s="3">
        <f ca="1">IFERROR(__xludf.DUMMYFUNCTION("""COMPUTED_VALUE"""),3)</f>
        <v>3</v>
      </c>
      <c r="B66" s="3" t="str">
        <f ca="1">IFERROR(__xludf.DUMMYFUNCTION("""COMPUTED_VALUE"""),"A")</f>
        <v>A</v>
      </c>
      <c r="C66" s="32" t="str">
        <f ca="1">IFERROR(__xludf.DUMMYFUNCTION("""COMPUTED_VALUE"""),"23291341172")</f>
        <v>23291341172</v>
      </c>
      <c r="D66" s="21" t="str">
        <f ca="1">IFERROR(__xludf.DUMMYFUNCTION("""COMPUTED_VALUE"""),"VISHWAKARMA KAJAL SANTOSHKUMAR")</f>
        <v>VISHWAKARMA KAJAL SANTOSHKUMAR</v>
      </c>
      <c r="E66" s="3" t="str">
        <f ca="1">IFERROR(__xludf.DUMMYFUNCTION("""COMPUTED_VALUE"""),"RRP-Mor")</f>
        <v>RRP-Mor</v>
      </c>
      <c r="F66" s="3">
        <f ca="1">IFERROR(__xludf.DUMMYFUNCTION("""COMPUTED_VALUE"""),6354463929)</f>
        <v>6354463929</v>
      </c>
      <c r="G66" s="3">
        <f ca="1">IFERROR(__xludf.DUMMYFUNCTION("""COMPUTED_VALUE"""),9454825842)</f>
        <v>9454825842</v>
      </c>
      <c r="H66" s="33">
        <f ca="1">IFERROR(__xludf.DUMMYFUNCTION("""COMPUTED_VALUE"""),0.707818930041152)</f>
        <v>0.70781893004115204</v>
      </c>
      <c r="I66" s="25">
        <f ca="1">IFERROR(__xludf.DUMMYFUNCTION("""COMPUTED_VALUE"""),0.722222222222222)</f>
        <v>0.72222222222222199</v>
      </c>
      <c r="J66" s="25">
        <f ca="1">IFERROR(__xludf.DUMMYFUNCTION("""COMPUTED_VALUE"""),0.692307692307692)</f>
        <v>0.69230769230769196</v>
      </c>
      <c r="K66" s="25">
        <f ca="1">IFERROR(__xludf.DUMMYFUNCTION("""COMPUTED_VALUE"""),0.823529411764705)</f>
        <v>0.82352941176470495</v>
      </c>
      <c r="L66" s="25">
        <f ca="1">IFERROR(__xludf.DUMMYFUNCTION("""COMPUTED_VALUE"""),0.909090909090909)</f>
        <v>0.90909090909090895</v>
      </c>
      <c r="M66" s="25">
        <f ca="1">IFERROR(__xludf.DUMMYFUNCTION("""COMPUTED_VALUE"""),0.638888888888888)</f>
        <v>0.63888888888888795</v>
      </c>
      <c r="N66" s="25">
        <f ca="1">IFERROR(__xludf.DUMMYFUNCTION("""COMPUTED_VALUE"""),0.461538461538461)</f>
        <v>0.46153846153846101</v>
      </c>
      <c r="O66" s="25">
        <f ca="1">IFERROR(__xludf.DUMMYFUNCTION("""COMPUTED_VALUE"""),0.727272727272727)</f>
        <v>0.72727272727272696</v>
      </c>
      <c r="P66" s="25">
        <f ca="1">IFERROR(__xludf.DUMMYFUNCTION("""COMPUTED_VALUE"""),0.952380952380952)</f>
        <v>0.952380952380952</v>
      </c>
      <c r="Q66" s="25">
        <f ca="1">IFERROR(__xludf.DUMMYFUNCTION("""COMPUTED_VALUE"""),0)</f>
        <v>0</v>
      </c>
      <c r="R66" s="25">
        <f ca="1">IFERROR(__xludf.DUMMYFUNCTION("""COMPUTED_VALUE"""),0.521739130434782)</f>
        <v>0.52173913043478204</v>
      </c>
      <c r="S66" s="25">
        <f ca="1">IFERROR(__xludf.DUMMYFUNCTION("""COMPUTED_VALUE"""),0.6)</f>
        <v>0.6</v>
      </c>
      <c r="T66" s="25">
        <f ca="1">IFERROR(__xludf.DUMMYFUNCTION("""COMPUTED_VALUE"""),1)</f>
        <v>1</v>
      </c>
      <c r="U66" s="25">
        <f ca="1">IFERROR(__xludf.DUMMYFUNCTION("""COMPUTED_VALUE"""),0.545454545454545)</f>
        <v>0.54545454545454497</v>
      </c>
      <c r="V66" s="25">
        <f ca="1">IFERROR(__xludf.DUMMYFUNCTION("""COMPUTED_VALUE"""),0)</f>
        <v>0</v>
      </c>
      <c r="W66" s="4"/>
      <c r="X66" s="4" t="str">
        <f ca="1">IFERROR(__xludf.DUMMYFUNCTION("""COMPUTED_VALUE"""),"| 1 L PHP-CGM @ | 3 P PHP-CGM @ | 5 P Python @ ")</f>
        <v xml:space="preserve">| 1 L PHP-CGM @ | 3 P PHP-CGM @ | 5 P Python @ </v>
      </c>
      <c r="Y66" s="4" t="str">
        <f ca="1">IFERROR(__xludf.DUMMYFUNCTION("""COMPUTED_VALUE"""),"| 1 P CPT % | 3 L JAVA % | 4 L CPT @ | 5 P Python % ")</f>
        <v xml:space="preserve">| 1 P CPT % | 3 L JAVA % | 4 L CPT @ | 5 P Python % </v>
      </c>
      <c r="Z66" s="4" t="str">
        <f ca="1">IFERROR(__xludf.DUMMYFUNCTION("""COMPUTED_VALUE"""),"| 1 P JAVA % | 3 L NS % | 4 L JAVA % | 5 L PHP-CGM % | 6 L CPT @ ")</f>
        <v xml:space="preserve">| 1 P JAVA % | 3 L NS % | 4 L JAVA % | 5 L PHP-CGM % | 6 L CPT @ </v>
      </c>
      <c r="AA66" s="4" t="str">
        <f ca="1">IFERROR(__xludf.DUMMYFUNCTION("""COMPUTED_VALUE"""),"| 3 L PHP-CGM % | 4 L NS % | 1 L INE % | 5 P PRO % ")</f>
        <v xml:space="preserve">| 3 L PHP-CGM % | 4 L NS % | 1 L INE % | 5 P PRO % </v>
      </c>
      <c r="AB66" s="4" t="str">
        <f ca="1">IFERROR(__xludf.DUMMYFUNCTION("""COMPUTED_VALUE"""),"| 1 L CPT % | 2 L NS % | 3 P NS % | 5 P JAVA % ")</f>
        <v xml:space="preserve">| 1 L CPT % | 2 L NS % | 3 P NS % | 5 P JAVA % </v>
      </c>
      <c r="AC66" s="4" t="str">
        <f ca="1">IFERROR(__xludf.DUMMYFUNCTION("""COMPUTED_VALUE"""),"| 1 L PHP-CGM % | 2 L JAVA % | 3 P PHP-CGM % | 5 P Python % ")</f>
        <v xml:space="preserve">| 1 L PHP-CGM % | 2 L JAVA % | 3 P PHP-CGM % | 5 P Python % </v>
      </c>
      <c r="AD66" s="4" t="str">
        <f ca="1">IFERROR(__xludf.DUMMYFUNCTION("""COMPUTED_VALUE"""),"| 1 P CPT % | 3 L JAVA % | 4 L CPT % | 5 P Python % ")</f>
        <v xml:space="preserve">| 1 P CPT % | 3 L JAVA % | 4 L CPT % | 5 P Python % </v>
      </c>
      <c r="AE66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66" s="4" t="str">
        <f ca="1">IFERROR(__xludf.DUMMYFUNCTION("""COMPUTED_VALUE"""),"| 3 L PHP-CGM % | 4 L NS % | 5 P PRO % ")</f>
        <v xml:space="preserve">| 3 L PHP-CGM % | 4 L NS % | 5 P PRO % </v>
      </c>
      <c r="AG66" s="4" t="str">
        <f ca="1">IFERROR(__xludf.DUMMYFUNCTION("""COMPUTED_VALUE"""),"| 1 L CPT % | 2 L NS % | 3 P NS % | 5 P JAVA % ")</f>
        <v xml:space="preserve">| 1 L CPT % | 2 L NS % | 3 P NS % | 5 P JAVA % </v>
      </c>
      <c r="AH66" s="4" t="str">
        <f ca="1">IFERROR(__xludf.DUMMYFUNCTION("""COMPUTED_VALUE"""),"| 3 L PHP-CGM % | 4 L NS % | 5 L PRO % ")</f>
        <v xml:space="preserve">| 3 L PHP-CGM % | 4 L NS % | 5 L PRO % </v>
      </c>
      <c r="AI66" s="4" t="str">
        <f ca="1">IFERROR(__xludf.DUMMYFUNCTION("""COMPUTED_VALUE"""),"| 1 L CPT % | 2 L NS % | 3 P NS % | 5 P JAVA % ")</f>
        <v xml:space="preserve">| 1 L CPT % | 2 L NS % | 3 P NS % | 5 P JAVA % </v>
      </c>
      <c r="AJ66" s="4" t="str">
        <f ca="1">IFERROR(__xludf.DUMMYFUNCTION("""COMPUTED_VALUE"""),"| 1 L PHP-CGM % | 2 L JAVA % | 3 P PHP-CGM % | 5 P Python % ")</f>
        <v xml:space="preserve">| 1 L PHP-CGM % | 2 L JAVA % | 3 P PHP-CGM % | 5 P Python % </v>
      </c>
      <c r="AK66" s="4" t="str">
        <f ca="1">IFERROR(__xludf.DUMMYFUNCTION("""COMPUTED_VALUE"""),"| 1 P CPT % | 3 L JAVA % | 4 L CPT % | 5 P Python % ")</f>
        <v xml:space="preserve">| 1 P CPT % | 3 L JAVA % | 4 L CPT % | 5 P Python % </v>
      </c>
      <c r="AL66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66" s="4" t="str">
        <f ca="1">IFERROR(__xludf.DUMMYFUNCTION("""COMPUTED_VALUE"""),"| 1 L INE % | 4 L NS % | 3 L PHP-CGM % | 5 L PRO % ")</f>
        <v xml:space="preserve">| 1 L INE % | 4 L NS % | 3 L PHP-CGM % | 5 L PRO % </v>
      </c>
      <c r="AN66" s="4" t="str">
        <f ca="1">IFERROR(__xludf.DUMMYFUNCTION("""COMPUTED_VALUE"""),"| 1 L CPT % | 2 L NS % | 3 P NS % | 5 P JAVA % ")</f>
        <v xml:space="preserve">| 1 L CPT % | 2 L NS % | 3 P NS % | 5 P JAVA % </v>
      </c>
      <c r="AO66" s="4" t="str">
        <f ca="1">IFERROR(__xludf.DUMMYFUNCTION("""COMPUTED_VALUE"""),"| 1 L PHP-CGM @ | 2 L JAVA @ | 3 P PHP-CGM @ | 5 P Python @ ")</f>
        <v xml:space="preserve">| 1 L PHP-CGM @ | 2 L JAVA @ | 3 P PHP-CGM @ | 5 P Python @ </v>
      </c>
      <c r="AP66" s="4" t="str">
        <f ca="1">IFERROR(__xludf.DUMMYFUNCTION("""COMPUTED_VALUE"""),"| 1 P CPT @ | 3 L JAVA @ | 4 L CPT @ | 5 P Python @ ")</f>
        <v xml:space="preserve">| 1 P CPT @ | 3 L JAVA @ | 4 L CPT @ | 5 P Python @ </v>
      </c>
      <c r="AQ66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66" s="4" t="str">
        <f ca="1">IFERROR(__xludf.DUMMYFUNCTION("""COMPUTED_VALUE"""),"| 1 L INE @ | 3 L PHP-CGM @ | 4 L NS @ | 5 L PRO @ ")</f>
        <v xml:space="preserve">| 1 L INE @ | 3 L PHP-CGM @ | 4 L NS @ | 5 L PRO @ </v>
      </c>
      <c r="AS66" s="4" t="str">
        <f ca="1">IFERROR(__xludf.DUMMYFUNCTION("""COMPUTED_VALUE"""),"| 1 L PHP-CGM % | 2 L JAVA % | 3 P PHP-CGM % | 5 P Python % ")</f>
        <v xml:space="preserve">| 1 L PHP-CGM % | 2 L JAVA % | 3 P PHP-CGM % | 5 P Python % </v>
      </c>
      <c r="AT66" s="4" t="str">
        <f ca="1">IFERROR(__xludf.DUMMYFUNCTION("""COMPUTED_VALUE"""),"| 1 P CPT % | 3 L JAVA % | 4 L CPT % | 5 P Python % ")</f>
        <v xml:space="preserve">| 1 P CPT % | 3 L JAVA % | 4 L CPT % | 5 P Python % </v>
      </c>
      <c r="AU66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66" s="4" t="str">
        <f ca="1">IFERROR(__xludf.DUMMYFUNCTION("""COMPUTED_VALUE"""),"| 1 L INE % | 3 L PHP-CGM % | 4 L NS % | 7 L PRO % ")</f>
        <v xml:space="preserve">| 1 L INE % | 3 L PHP-CGM % | 4 L NS % | 7 L PRO % </v>
      </c>
      <c r="AW66" s="4" t="str">
        <f ca="1">IFERROR(__xludf.DUMMYFUNCTION("""COMPUTED_VALUE"""),"| 1 L CPT % | 3 P NS % | 2 L NS % | 5 P JAVA % ")</f>
        <v xml:space="preserve">| 1 L CPT % | 3 P NS % | 2 L NS % | 5 P JAVA % </v>
      </c>
      <c r="AX66" s="4" t="str">
        <f ca="1">IFERROR(__xludf.DUMMYFUNCTION("""COMPUTED_VALUE"""),"| 1 L PHP-CGM % | 2 L JAVA % | 3 P PHP-CGM @ | 5 P Python @ ")</f>
        <v xml:space="preserve">| 1 L PHP-CGM % | 2 L JAVA % | 3 P PHP-CGM @ | 5 P Python @ </v>
      </c>
      <c r="AY66" s="4" t="str">
        <f ca="1">IFERROR(__xludf.DUMMYFUNCTION("""COMPUTED_VALUE"""),"| 1 P CPT @ | 3 L JAVA @ | 4 L CPT % | 5 P Python @ ")</f>
        <v xml:space="preserve">| 1 P CPT @ | 3 L JAVA @ | 4 L CPT % | 5 P Python @ </v>
      </c>
      <c r="AZ66" s="4" t="str">
        <f ca="1">IFERROR(__xludf.DUMMYFUNCTION("""COMPUTED_VALUE"""),"| 1 L INE % | 3 L PHP-CGM % | 4 L NS % | 5 L PRO % ")</f>
        <v xml:space="preserve">| 1 L INE % | 3 L PHP-CGM % | 4 L NS % | 5 L PRO % </v>
      </c>
      <c r="BA66" s="4" t="str">
        <f ca="1">IFERROR(__xludf.DUMMYFUNCTION("""COMPUTED_VALUE"""),"| 1 L CPT % | 2 L NS % | 3 P NS % | 5 P JAVA % ")</f>
        <v xml:space="preserve">| 1 L CPT % | 2 L NS % | 3 P NS % | 5 P JAVA % </v>
      </c>
      <c r="BB66" s="4" t="str">
        <f ca="1">IFERROR(__xludf.DUMMYFUNCTION("""COMPUTED_VALUE"""),"| 1 L PHP-CGM @ | 2 L JAVA @ | 3 P PHP-CGM @ | 5 P Python @ ")</f>
        <v xml:space="preserve">| 1 L PHP-CGM @ | 2 L JAVA @ | 3 P PHP-CGM @ | 5 P Python @ </v>
      </c>
      <c r="BC66" s="4" t="str">
        <f ca="1">IFERROR(__xludf.DUMMYFUNCTION("""COMPUTED_VALUE"""),"| 1 P CPT % | 3 L JAVA % | 4 L CPT % | 5 P Python % ")</f>
        <v xml:space="preserve">| 1 P CPT % | 3 L JAVA % | 4 L CPT % | 5 P Python % </v>
      </c>
      <c r="BD66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66" s="4" t="str">
        <f ca="1">IFERROR(__xludf.DUMMYFUNCTION("""COMPUTED_VALUE"""),"| 1 L INE @ | 3 L PHP-CGM @ | 4 L NS @ | 5 L PRO @ ")</f>
        <v xml:space="preserve">| 1 L INE @ | 3 L PHP-CGM @ | 4 L NS @ | 5 L PRO @ </v>
      </c>
      <c r="BF66" s="4" t="str">
        <f ca="1">IFERROR(__xludf.DUMMYFUNCTION("""COMPUTED_VALUE"""),"| 1 L CPT % | 2 L NS % | 3 P NS % | 5 P JAVA % ")</f>
        <v xml:space="preserve">| 1 L CPT % | 2 L NS % | 3 P NS % | 5 P JAVA % </v>
      </c>
      <c r="BG66" s="4" t="str">
        <f ca="1">IFERROR(__xludf.DUMMYFUNCTION("""COMPUTED_VALUE"""),"| 1 P CPT @ | 4 L CPT @ | 5 P Python @ ")</f>
        <v xml:space="preserve">| 1 P CPT @ | 4 L CPT @ | 5 P Python @ </v>
      </c>
      <c r="BH66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66" s="4" t="str">
        <f ca="1">IFERROR(__xludf.DUMMYFUNCTION("""COMPUTED_VALUE"""),"| 1 L INE @ | 3 L PHP-CGM @ | 4 L NS @ | 5 L PRO @ ")</f>
        <v xml:space="preserve">| 1 L INE @ | 3 L PHP-CGM @ | 4 L NS @ | 5 L PRO @ </v>
      </c>
      <c r="BJ66" s="4" t="str">
        <f ca="1">IFERROR(__xludf.DUMMYFUNCTION("""COMPUTED_VALUE"""),"| 1 L CPT % | 2 L NS % | 3 P NS % | 5 P JAVA % ")</f>
        <v xml:space="preserve">| 1 L CPT % | 2 L NS % | 3 P NS % | 5 P JAVA % </v>
      </c>
      <c r="BK66" s="4" t="str">
        <f ca="1">IFERROR(__xludf.DUMMYFUNCTION("""COMPUTED_VALUE"""),"| 1 L PHP-CGM @ | 2 L JAVA @ | 3 P PHP-CGM @ | 5 P Python @ ")</f>
        <v xml:space="preserve">| 1 L PHP-CGM @ | 2 L JAVA @ | 3 P PHP-CGM @ | 5 P Python @ </v>
      </c>
      <c r="BL66" s="4" t="str">
        <f ca="1">IFERROR(__xludf.DUMMYFUNCTION("""COMPUTED_VALUE"""),"| 1 P CPT % | 3 L JAVA % | 4 L CPT % | 5 P Python % ")</f>
        <v xml:space="preserve">| 1 P CPT % | 3 L JAVA % | 4 L CPT % | 5 P Python % </v>
      </c>
      <c r="BM66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66" s="4" t="str">
        <f ca="1">IFERROR(__xludf.DUMMYFUNCTION("""COMPUTED_VALUE"""),"| 1 L INE @ | 3 L PHP-CGM @ | 4 L NS @ | 5 L PRO @ ")</f>
        <v xml:space="preserve">| 1 L INE @ | 3 L PHP-CGM @ | 4 L NS @ | 5 L PRO @ </v>
      </c>
      <c r="BO66" s="4" t="str">
        <f ca="1">IFERROR(__xludf.DUMMYFUNCTION("""COMPUTED_VALUE"""),"| 1 L CPT % | 2 L NS % | 3 P NS @ ")</f>
        <v xml:space="preserve">| 1 L CPT % | 2 L NS % | 3 P NS @ </v>
      </c>
      <c r="BP66" s="4" t="str">
        <f ca="1">IFERROR(__xludf.DUMMYFUNCTION("""COMPUTED_VALUE"""),"| 1 L PHP-CGM % | 2 L JAVA % | 3 P PHP-CGM % | 5 P Python % ")</f>
        <v xml:space="preserve">| 1 L PHP-CGM % | 2 L JAVA % | 3 P PHP-CGM % | 5 P Python % </v>
      </c>
      <c r="BQ66" s="4" t="str">
        <f ca="1">IFERROR(__xludf.DUMMYFUNCTION("""COMPUTED_VALUE"""),"| 5 L PHP-CGM % | 6 L CPT @ ")</f>
        <v xml:space="preserve">| 5 L PHP-CGM % | 6 L CPT @ </v>
      </c>
      <c r="BR66" s="4"/>
      <c r="BS66" s="4"/>
      <c r="BT66" s="4" t="str">
        <f ca="1">IFERROR(__xludf.DUMMYFUNCTION("""COMPUTED_VALUE"""),"| 1 L PHP-CGM @ | 2 L JAVA @ | 3 P PHP-CGM @ ")</f>
        <v xml:space="preserve">| 1 L PHP-CGM @ | 2 L JAVA @ | 3 P PHP-CGM @ </v>
      </c>
      <c r="BU66" s="4" t="str">
        <f ca="1">IFERROR(__xludf.DUMMYFUNCTION("""COMPUTED_VALUE"""),"| 1 P CPT % | 4 L CPT % | 3 L JAVA % ")</f>
        <v xml:space="preserve">| 1 P CPT % | 4 L CPT % | 3 L JAVA % </v>
      </c>
      <c r="BV66" s="4" t="str">
        <f ca="1">IFERROR(__xludf.DUMMYFUNCTION("""COMPUTED_VALUE"""),"| 1 L PHP-CGM @ | 2 L JAVA @ | 3 P PHP-CGM @ | 5 P Python @ ")</f>
        <v xml:space="preserve">| 1 L PHP-CGM @ | 2 L JAVA @ | 3 P PHP-CGM @ | 5 P Python @ </v>
      </c>
      <c r="BW66" s="4" t="str">
        <f ca="1">IFERROR(__xludf.DUMMYFUNCTION("""COMPUTED_VALUE"""),"| 1 P CPT % | 3 L JAVA % | 4 L CPT % ")</f>
        <v xml:space="preserve">| 1 P CPT % | 3 L JAVA % | 4 L CPT % </v>
      </c>
      <c r="BX66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66" s="4" t="str">
        <f ca="1">IFERROR(__xludf.DUMMYFUNCTION("""COMPUTED_VALUE"""),"| 1 L INE % | 3 L PHP-CGM % | 4 L NS % | 5 L PRO % ")</f>
        <v xml:space="preserve">| 1 L INE % | 3 L PHP-CGM % | 4 L NS % | 5 L PRO % </v>
      </c>
      <c r="BZ66" s="4" t="str">
        <f ca="1">IFERROR(__xludf.DUMMYFUNCTION("""COMPUTED_VALUE"""),"| 1 L CPT @ | 2 L NS % | 3 P NS % | 5 P JAVA % ")</f>
        <v xml:space="preserve">| 1 L CPT @ | 2 L NS % | 3 P NS % | 5 P JAVA % </v>
      </c>
      <c r="CA66" s="4" t="str">
        <f ca="1">IFERROR(__xludf.DUMMYFUNCTION("""COMPUTED_VALUE"""),"| 1 L PHP-CGM @ | 2 L JAVA % | 3 P PHP-CGM % | 5 P Python % ")</f>
        <v xml:space="preserve">| 1 L PHP-CGM @ | 2 L JAVA % | 3 P PHP-CGM % | 5 P Python % </v>
      </c>
      <c r="CB66" s="4" t="str">
        <f ca="1">IFERROR(__xludf.DUMMYFUNCTION("""COMPUTED_VALUE"""),"| 1 P CPT @ | 3 L JAVA @ | 4 L CPT @ | 5 P Python @ ")</f>
        <v xml:space="preserve">| 1 P CPT @ | 3 L JAVA @ | 4 L CPT @ | 5 P Python @ </v>
      </c>
      <c r="CC66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66" s="4" t="str">
        <f ca="1">IFERROR(__xludf.DUMMYFUNCTION("""COMPUTED_VALUE"""),"| 1 L INE % | 3 L PHP-CGM % | 4 L NS % | 5 L PRO % ")</f>
        <v xml:space="preserve">| 1 L INE % | 3 L PHP-CGM % | 4 L NS % | 5 L PRO % </v>
      </c>
      <c r="CE66" s="4" t="str">
        <f ca="1">IFERROR(__xludf.DUMMYFUNCTION("""COMPUTED_VALUE"""),"| 1 L CPT % | 2 L NS % | 3 P NS % | 5 P JAVA % ")</f>
        <v xml:space="preserve">| 1 L CPT % | 2 L NS % | 3 P NS % | 5 P JAVA % </v>
      </c>
      <c r="CF66" s="4" t="str">
        <f ca="1">IFERROR(__xludf.DUMMYFUNCTION("""COMPUTED_VALUE"""),"| 1 L PHP-CGM @ | 2 L JAVA % | 3 P PHP-CGM % | 5 P Python % ")</f>
        <v xml:space="preserve">| 1 L PHP-CGM @ | 2 L JAVA % | 3 P PHP-CGM % | 5 P Python % </v>
      </c>
      <c r="CG66" s="4" t="str">
        <f ca="1">IFERROR(__xludf.DUMMYFUNCTION("""COMPUTED_VALUE"""),"| 1 P CPT % | 4 L CPT @ | 5 P Python @ ")</f>
        <v xml:space="preserve">| 1 P CPT % | 4 L CPT @ | 5 P Python @ </v>
      </c>
      <c r="CH66" s="4" t="str">
        <f ca="1">IFERROR(__xludf.DUMMYFUNCTION("""COMPUTED_VALUE"""),"| 1 P JAVA % | 3 L NS @ | 6 L CPT @ ")</f>
        <v xml:space="preserve">| 1 P JAVA % | 3 L NS @ | 6 L CPT @ </v>
      </c>
      <c r="CI66" s="4" t="str">
        <f ca="1">IFERROR(__xludf.DUMMYFUNCTION("""COMPUTED_VALUE"""),"| 1 L INE @ ")</f>
        <v xml:space="preserve">| 1 L INE @ </v>
      </c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</row>
    <row r="67" spans="1:102" ht="12.5" x14ac:dyDescent="0.25">
      <c r="A67" s="3">
        <f ca="1">IFERROR(__xludf.DUMMYFUNCTION("""COMPUTED_VALUE"""),3)</f>
        <v>3</v>
      </c>
      <c r="B67" s="3" t="str">
        <f ca="1">IFERROR(__xludf.DUMMYFUNCTION("""COMPUTED_VALUE"""),"A")</f>
        <v>A</v>
      </c>
      <c r="C67" s="32" t="str">
        <f ca="1">IFERROR(__xludf.DUMMYFUNCTION("""COMPUTED_VALUE"""),"23291341175")</f>
        <v>23291341175</v>
      </c>
      <c r="D67" s="21" t="str">
        <f ca="1">IFERROR(__xludf.DUMMYFUNCTION("""COMPUTED_VALUE"""),"ZINZUWADIA KETUL RAMESHBHAI")</f>
        <v>ZINZUWADIA KETUL RAMESHBHAI</v>
      </c>
      <c r="E67" s="3" t="str">
        <f ca="1">IFERROR(__xludf.DUMMYFUNCTION("""COMPUTED_VALUE"""),"RRP-Mor")</f>
        <v>RRP-Mor</v>
      </c>
      <c r="F67" s="3">
        <f ca="1">IFERROR(__xludf.DUMMYFUNCTION("""COMPUTED_VALUE"""),8200470767)</f>
        <v>8200470767</v>
      </c>
      <c r="G67" s="3">
        <f ca="1">IFERROR(__xludf.DUMMYFUNCTION("""COMPUTED_VALUE"""),9879993083)</f>
        <v>9879993083</v>
      </c>
      <c r="H67" s="33">
        <f ca="1">IFERROR(__xludf.DUMMYFUNCTION("""COMPUTED_VALUE"""),0.860082304526748)</f>
        <v>0.86008230452674805</v>
      </c>
      <c r="I67" s="25">
        <f ca="1">IFERROR(__xludf.DUMMYFUNCTION("""COMPUTED_VALUE"""),0.888888888888888)</f>
        <v>0.88888888888888795</v>
      </c>
      <c r="J67" s="25">
        <f ca="1">IFERROR(__xludf.DUMMYFUNCTION("""COMPUTED_VALUE"""),1)</f>
        <v>1</v>
      </c>
      <c r="K67" s="25">
        <f ca="1">IFERROR(__xludf.DUMMYFUNCTION("""COMPUTED_VALUE"""),0.823529411764705)</f>
        <v>0.82352941176470495</v>
      </c>
      <c r="L67" s="25">
        <f ca="1">IFERROR(__xludf.DUMMYFUNCTION("""COMPUTED_VALUE"""),0.818181818181818)</f>
        <v>0.81818181818181801</v>
      </c>
      <c r="M67" s="25">
        <f ca="1">IFERROR(__xludf.DUMMYFUNCTION("""COMPUTED_VALUE"""),0.861111111111111)</f>
        <v>0.86111111111111105</v>
      </c>
      <c r="N67" s="25">
        <f ca="1">IFERROR(__xludf.DUMMYFUNCTION("""COMPUTED_VALUE"""),0.923076923076923)</f>
        <v>0.92307692307692302</v>
      </c>
      <c r="O67" s="25">
        <f ca="1">IFERROR(__xludf.DUMMYFUNCTION("""COMPUTED_VALUE"""),0.939393939393939)</f>
        <v>0.939393939393939</v>
      </c>
      <c r="P67" s="25">
        <f ca="1">IFERROR(__xludf.DUMMYFUNCTION("""COMPUTED_VALUE"""),0.952380952380952)</f>
        <v>0.952380952380952</v>
      </c>
      <c r="Q67" s="25">
        <f ca="1">IFERROR(__xludf.DUMMYFUNCTION("""COMPUTED_VALUE"""),0)</f>
        <v>0</v>
      </c>
      <c r="R67" s="25">
        <f ca="1">IFERROR(__xludf.DUMMYFUNCTION("""COMPUTED_VALUE"""),0.913043478260869)</f>
        <v>0.91304347826086896</v>
      </c>
      <c r="S67" s="25">
        <f ca="1">IFERROR(__xludf.DUMMYFUNCTION("""COMPUTED_VALUE"""),0.6)</f>
        <v>0.6</v>
      </c>
      <c r="T67" s="25">
        <f ca="1">IFERROR(__xludf.DUMMYFUNCTION("""COMPUTED_VALUE"""),0.5)</f>
        <v>0.5</v>
      </c>
      <c r="U67" s="25">
        <f ca="1">IFERROR(__xludf.DUMMYFUNCTION("""COMPUTED_VALUE"""),0.454545454545454)</f>
        <v>0.45454545454545398</v>
      </c>
      <c r="V67" s="25">
        <f ca="1">IFERROR(__xludf.DUMMYFUNCTION("""COMPUTED_VALUE"""),0)</f>
        <v>0</v>
      </c>
      <c r="W67" s="4"/>
      <c r="X67" s="4" t="str">
        <f ca="1">IFERROR(__xludf.DUMMYFUNCTION("""COMPUTED_VALUE"""),"| 1 L PHP-CGM % | 3 P PHP-CGM % | 5 P Python % ")</f>
        <v xml:space="preserve">| 1 L PHP-CGM % | 3 P PHP-CGM % | 5 P Python % </v>
      </c>
      <c r="Y67" s="4" t="str">
        <f ca="1">IFERROR(__xludf.DUMMYFUNCTION("""COMPUTED_VALUE"""),"| 1 P CPT % | 3 L JAVA % | 4 L CPT % | 5 P Python % ")</f>
        <v xml:space="preserve">| 1 P CPT % | 3 L JAVA % | 4 L CPT % | 5 P Python % </v>
      </c>
      <c r="Z6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67" s="4" t="str">
        <f ca="1">IFERROR(__xludf.DUMMYFUNCTION("""COMPUTED_VALUE"""),"| 3 L PHP-CGM % | 4 L NS % | 1 L INE % | 5 P PRO % ")</f>
        <v xml:space="preserve">| 3 L PHP-CGM % | 4 L NS % | 1 L INE % | 5 P PRO % </v>
      </c>
      <c r="AB67" s="4" t="str">
        <f ca="1">IFERROR(__xludf.DUMMYFUNCTION("""COMPUTED_VALUE"""),"| 1 L CPT % | 2 L NS % | 3 P NS % | 5 P JAVA % ")</f>
        <v xml:space="preserve">| 1 L CPT % | 2 L NS % | 3 P NS % | 5 P JAVA % </v>
      </c>
      <c r="AC67" s="4" t="str">
        <f ca="1">IFERROR(__xludf.DUMMYFUNCTION("""COMPUTED_VALUE"""),"| 1 L PHP-CGM % | 2 L JAVA % | 3 P PHP-CGM % | 5 P Python % ")</f>
        <v xml:space="preserve">| 1 L PHP-CGM % | 2 L JAVA % | 3 P PHP-CGM % | 5 P Python % </v>
      </c>
      <c r="AD67" s="4" t="str">
        <f ca="1">IFERROR(__xludf.DUMMYFUNCTION("""COMPUTED_VALUE"""),"| 1 P CPT % | 3 L JAVA % | 4 L CPT % | 5 P Python % ")</f>
        <v xml:space="preserve">| 1 P CPT % | 3 L JAVA % | 4 L CPT % | 5 P Python % </v>
      </c>
      <c r="AE67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67" s="4" t="str">
        <f ca="1">IFERROR(__xludf.DUMMYFUNCTION("""COMPUTED_VALUE"""),"| 3 L PHP-CGM % | 4 L NS % | 5 P PRO @ ")</f>
        <v xml:space="preserve">| 3 L PHP-CGM % | 4 L NS % | 5 P PRO @ </v>
      </c>
      <c r="AG67" s="4" t="str">
        <f ca="1">IFERROR(__xludf.DUMMYFUNCTION("""COMPUTED_VALUE"""),"| 1 L CPT % | 2 L NS % | 3 P NS % | 5 P JAVA % ")</f>
        <v xml:space="preserve">| 1 L CPT % | 2 L NS % | 3 P NS % | 5 P JAVA % </v>
      </c>
      <c r="AH67" s="4" t="str">
        <f ca="1">IFERROR(__xludf.DUMMYFUNCTION("""COMPUTED_VALUE"""),"| 3 L PHP-CGM % | 4 L NS % | 5 L PRO % ")</f>
        <v xml:space="preserve">| 3 L PHP-CGM % | 4 L NS % | 5 L PRO % </v>
      </c>
      <c r="AI67" s="4" t="str">
        <f ca="1">IFERROR(__xludf.DUMMYFUNCTION("""COMPUTED_VALUE"""),"| 1 L CPT % | 2 L NS % | 3 P NS % | 5 P JAVA % ")</f>
        <v xml:space="preserve">| 1 L CPT % | 2 L NS % | 3 P NS % | 5 P JAVA % </v>
      </c>
      <c r="AJ67" s="4" t="str">
        <f ca="1">IFERROR(__xludf.DUMMYFUNCTION("""COMPUTED_VALUE"""),"| 1 L PHP-CGM % | 2 L JAVA % | 3 P PHP-CGM % | 5 P Python % ")</f>
        <v xml:space="preserve">| 1 L PHP-CGM % | 2 L JAVA % | 3 P PHP-CGM % | 5 P Python % </v>
      </c>
      <c r="AK67" s="4" t="str">
        <f ca="1">IFERROR(__xludf.DUMMYFUNCTION("""COMPUTED_VALUE"""),"| 1 P CPT % | 3 L JAVA % | 4 L CPT % | 5 P Python % ")</f>
        <v xml:space="preserve">| 1 P CPT % | 3 L JAVA % | 4 L CPT % | 5 P Python % </v>
      </c>
      <c r="AL6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67" s="4" t="str">
        <f ca="1">IFERROR(__xludf.DUMMYFUNCTION("""COMPUTED_VALUE"""),"| 1 L INE @ | 4 L NS % | 3 L PHP-CGM % | 5 L PRO % ")</f>
        <v xml:space="preserve">| 1 L INE @ | 4 L NS % | 3 L PHP-CGM % | 5 L PRO % </v>
      </c>
      <c r="AN67" s="4" t="str">
        <f ca="1">IFERROR(__xludf.DUMMYFUNCTION("""COMPUTED_VALUE"""),"| 1 L CPT % | 2 L NS % | 3 P NS % | 5 P JAVA % ")</f>
        <v xml:space="preserve">| 1 L CPT % | 2 L NS % | 3 P NS % | 5 P JAVA % </v>
      </c>
      <c r="AO67" s="4" t="str">
        <f ca="1">IFERROR(__xludf.DUMMYFUNCTION("""COMPUTED_VALUE"""),"| 1 L PHP-CGM % | 2 L JAVA % | 3 P PHP-CGM % | 5 P Python % ")</f>
        <v xml:space="preserve">| 1 L PHP-CGM % | 2 L JAVA % | 3 P PHP-CGM % | 5 P Python % </v>
      </c>
      <c r="AP67" s="4" t="str">
        <f ca="1">IFERROR(__xludf.DUMMYFUNCTION("""COMPUTED_VALUE"""),"| 1 P CPT % | 3 L JAVA % | 4 L CPT % | 5 P Python % ")</f>
        <v xml:space="preserve">| 1 P CPT % | 3 L JAVA % | 4 L CPT % | 5 P Python % </v>
      </c>
      <c r="AQ6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67" s="4" t="str">
        <f ca="1">IFERROR(__xludf.DUMMYFUNCTION("""COMPUTED_VALUE"""),"| 1 L INE @ | 3 L PHP-CGM @ | 4 L NS @ | 5 L PRO @ ")</f>
        <v xml:space="preserve">| 1 L INE @ | 3 L PHP-CGM @ | 4 L NS @ | 5 L PRO @ </v>
      </c>
      <c r="AS67" s="4" t="str">
        <f ca="1">IFERROR(__xludf.DUMMYFUNCTION("""COMPUTED_VALUE"""),"| 1 L PHP-CGM % | 2 L JAVA % | 3 P PHP-CGM % | 5 P Python % ")</f>
        <v xml:space="preserve">| 1 L PHP-CGM % | 2 L JAVA % | 3 P PHP-CGM % | 5 P Python % </v>
      </c>
      <c r="AT67" s="4" t="str">
        <f ca="1">IFERROR(__xludf.DUMMYFUNCTION("""COMPUTED_VALUE"""),"| 1 P CPT % | 3 L JAVA % | 4 L CPT % | 5 P Python % ")</f>
        <v xml:space="preserve">| 1 P CPT % | 3 L JAVA % | 4 L CPT % | 5 P Python % </v>
      </c>
      <c r="AU6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67" s="4" t="str">
        <f ca="1">IFERROR(__xludf.DUMMYFUNCTION("""COMPUTED_VALUE"""),"| 1 L INE % | 3 L PHP-CGM % | 4 L NS % | 7 L PRO % ")</f>
        <v xml:space="preserve">| 1 L INE % | 3 L PHP-CGM % | 4 L NS % | 7 L PRO % </v>
      </c>
      <c r="AW67" s="4" t="str">
        <f ca="1">IFERROR(__xludf.DUMMYFUNCTION("""COMPUTED_VALUE"""),"| 1 L CPT % | 3 P NS % | 2 L NS % | 5 P JAVA % ")</f>
        <v xml:space="preserve">| 1 L CPT % | 3 P NS % | 2 L NS % | 5 P JAVA % </v>
      </c>
      <c r="AX67" s="4" t="str">
        <f ca="1">IFERROR(__xludf.DUMMYFUNCTION("""COMPUTED_VALUE"""),"| 1 L PHP-CGM % | 2 L JAVA % | 3 P PHP-CGM % | 5 P Python % ")</f>
        <v xml:space="preserve">| 1 L PHP-CGM % | 2 L JAVA % | 3 P PHP-CGM % | 5 P Python % </v>
      </c>
      <c r="AY67" s="4" t="str">
        <f ca="1">IFERROR(__xludf.DUMMYFUNCTION("""COMPUTED_VALUE"""),"| 1 P CPT % | 3 L JAVA % | 4 L CPT % | 5 P Python % ")</f>
        <v xml:space="preserve">| 1 P CPT % | 3 L JAVA % | 4 L CPT % | 5 P Python % </v>
      </c>
      <c r="AZ67" s="4" t="str">
        <f ca="1">IFERROR(__xludf.DUMMYFUNCTION("""COMPUTED_VALUE"""),"| 1 L INE @ | 3 L PHP-CGM @ | 4 L NS @ | 5 L PRO @ ")</f>
        <v xml:space="preserve">| 1 L INE @ | 3 L PHP-CGM @ | 4 L NS @ | 5 L PRO @ </v>
      </c>
      <c r="BA67" s="4" t="str">
        <f ca="1">IFERROR(__xludf.DUMMYFUNCTION("""COMPUTED_VALUE"""),"| 1 L CPT % | 2 L NS % | 3 P NS % | 5 P JAVA % ")</f>
        <v xml:space="preserve">| 1 L CPT % | 2 L NS % | 3 P NS % | 5 P JAVA % </v>
      </c>
      <c r="BB67" s="4" t="str">
        <f ca="1">IFERROR(__xludf.DUMMYFUNCTION("""COMPUTED_VALUE"""),"| 1 L PHP-CGM % | 2 L JAVA % | 3 P PHP-CGM % | 5 P Python % ")</f>
        <v xml:space="preserve">| 1 L PHP-CGM % | 2 L JAVA % | 3 P PHP-CGM % | 5 P Python % </v>
      </c>
      <c r="BC67" s="4" t="str">
        <f ca="1">IFERROR(__xludf.DUMMYFUNCTION("""COMPUTED_VALUE"""),"| 1 P CPT % | 3 L JAVA % | 4 L CPT % | 5 P Python % ")</f>
        <v xml:space="preserve">| 1 P CPT % | 3 L JAVA % | 4 L CPT % | 5 P Python % </v>
      </c>
      <c r="BD67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67" s="4" t="str">
        <f ca="1">IFERROR(__xludf.DUMMYFUNCTION("""COMPUTED_VALUE"""),"| 1 L INE @ | 3 L PHP-CGM % | 4 L NS % | 5 L PRO % ")</f>
        <v xml:space="preserve">| 1 L INE @ | 3 L PHP-CGM % | 4 L NS % | 5 L PRO % </v>
      </c>
      <c r="BF67" s="4" t="str">
        <f ca="1">IFERROR(__xludf.DUMMYFUNCTION("""COMPUTED_VALUE"""),"| 1 L CPT @ | 2 L NS @ | 3 P NS @ | 5 P JAVA @ ")</f>
        <v xml:space="preserve">| 1 L CPT @ | 2 L NS @ | 3 P NS @ | 5 P JAVA @ </v>
      </c>
      <c r="BG67" s="4" t="str">
        <f ca="1">IFERROR(__xludf.DUMMYFUNCTION("""COMPUTED_VALUE"""),"| 1 P CPT % | 4 L CPT % | 5 P Python % ")</f>
        <v xml:space="preserve">| 1 P CPT % | 4 L CPT % | 5 P Python % </v>
      </c>
      <c r="BH6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67" s="4" t="str">
        <f ca="1">IFERROR(__xludf.DUMMYFUNCTION("""COMPUTED_VALUE"""),"| 1 L INE @ | 3 L PHP-CGM % | 4 L NS % | 5 L PRO % ")</f>
        <v xml:space="preserve">| 1 L INE @ | 3 L PHP-CGM % | 4 L NS % | 5 L PRO % </v>
      </c>
      <c r="BJ67" s="4" t="str">
        <f ca="1">IFERROR(__xludf.DUMMYFUNCTION("""COMPUTED_VALUE"""),"| 1 L CPT % | 2 L NS % | 3 P NS % | 5 P JAVA % ")</f>
        <v xml:space="preserve">| 1 L CPT % | 2 L NS % | 3 P NS % | 5 P JAVA % </v>
      </c>
      <c r="BK67" s="4" t="str">
        <f ca="1">IFERROR(__xludf.DUMMYFUNCTION("""COMPUTED_VALUE"""),"| 1 L PHP-CGM @ | 2 L JAVA @ | 3 P PHP-CGM @ | 5 P Python @ ")</f>
        <v xml:space="preserve">| 1 L PHP-CGM @ | 2 L JAVA @ | 3 P PHP-CGM @ | 5 P Python @ </v>
      </c>
      <c r="BL67" s="4" t="str">
        <f ca="1">IFERROR(__xludf.DUMMYFUNCTION("""COMPUTED_VALUE"""),"| 1 P CPT % | 3 L JAVA % | 4 L CPT % | 5 P Python % ")</f>
        <v xml:space="preserve">| 1 P CPT % | 3 L JAVA % | 4 L CPT % | 5 P Python % </v>
      </c>
      <c r="BM6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67" s="4" t="str">
        <f ca="1">IFERROR(__xludf.DUMMYFUNCTION("""COMPUTED_VALUE"""),"| 1 L INE @ | 3 L PHP-CGM @ | 4 L NS @ | 5 L PRO @ ")</f>
        <v xml:space="preserve">| 1 L INE @ | 3 L PHP-CGM @ | 4 L NS @ | 5 L PRO @ </v>
      </c>
      <c r="BO67" s="4" t="str">
        <f ca="1">IFERROR(__xludf.DUMMYFUNCTION("""COMPUTED_VALUE"""),"| 1 L CPT @ | 2 L NS @ | 3 P NS @ ")</f>
        <v xml:space="preserve">| 1 L CPT @ | 2 L NS @ | 3 P NS @ </v>
      </c>
      <c r="BP67" s="4" t="str">
        <f ca="1">IFERROR(__xludf.DUMMYFUNCTION("""COMPUTED_VALUE"""),"| 1 L PHP-CGM % | 2 L JAVA % | 3 P PHP-CGM % | 5 P Python % ")</f>
        <v xml:space="preserve">| 1 L PHP-CGM % | 2 L JAVA % | 3 P PHP-CGM % | 5 P Python % </v>
      </c>
      <c r="BQ67" s="4" t="str">
        <f ca="1">IFERROR(__xludf.DUMMYFUNCTION("""COMPUTED_VALUE"""),"| 5 L PHP-CGM % | 6 L CPT % ")</f>
        <v xml:space="preserve">| 5 L PHP-CGM % | 6 L CPT % </v>
      </c>
      <c r="BR67" s="4"/>
      <c r="BS67" s="4"/>
      <c r="BT67" s="4" t="str">
        <f ca="1">IFERROR(__xludf.DUMMYFUNCTION("""COMPUTED_VALUE"""),"| 1 L PHP-CGM % | 2 L JAVA % | 3 P PHP-CGM % ")</f>
        <v xml:space="preserve">| 1 L PHP-CGM % | 2 L JAVA % | 3 P PHP-CGM % </v>
      </c>
      <c r="BU67" s="4" t="str">
        <f ca="1">IFERROR(__xludf.DUMMYFUNCTION("""COMPUTED_VALUE"""),"| 1 P CPT % | 4 L CPT % | 3 L JAVA % ")</f>
        <v xml:space="preserve">| 1 P CPT % | 4 L CPT % | 3 L JAVA % </v>
      </c>
      <c r="BV67" s="4" t="str">
        <f ca="1">IFERROR(__xludf.DUMMYFUNCTION("""COMPUTED_VALUE"""),"| 1 L PHP-CGM % | 2 L JAVA % | 3 P PHP-CGM % | 5 P Python % ")</f>
        <v xml:space="preserve">| 1 L PHP-CGM % | 2 L JAVA % | 3 P PHP-CGM % | 5 P Python % </v>
      </c>
      <c r="BW67" s="4" t="str">
        <f ca="1">IFERROR(__xludf.DUMMYFUNCTION("""COMPUTED_VALUE"""),"| 1 P CPT % | 3 L JAVA % | 4 L CPT % ")</f>
        <v xml:space="preserve">| 1 P CPT % | 3 L JAVA % | 4 L CPT % </v>
      </c>
      <c r="BX67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Y67" s="4" t="str">
        <f ca="1">IFERROR(__xludf.DUMMYFUNCTION("""COMPUTED_VALUE"""),"| 1 L INE % | 3 L PHP-CGM % | 4 L NS % | 5 L PRO @ ")</f>
        <v xml:space="preserve">| 1 L INE % | 3 L PHP-CGM % | 4 L NS % | 5 L PRO @ </v>
      </c>
      <c r="BZ67" s="4" t="str">
        <f ca="1">IFERROR(__xludf.DUMMYFUNCTION("""COMPUTED_VALUE"""),"| 1 L CPT % | 2 L NS % | 3 P NS % | 5 P JAVA % ")</f>
        <v xml:space="preserve">| 1 L CPT % | 2 L NS % | 3 P NS % | 5 P JAVA % </v>
      </c>
      <c r="CA67" s="4" t="str">
        <f ca="1">IFERROR(__xludf.DUMMYFUNCTION("""COMPUTED_VALUE"""),"| 1 L PHP-CGM % | 2 L JAVA % | 3 P PHP-CGM % | 5 P Python % ")</f>
        <v xml:space="preserve">| 1 L PHP-CGM % | 2 L JAVA % | 3 P PHP-CGM % | 5 P Python % </v>
      </c>
      <c r="CB67" s="4" t="str">
        <f ca="1">IFERROR(__xludf.DUMMYFUNCTION("""COMPUTED_VALUE"""),"| 1 P CPT % | 3 L JAVA % | 4 L CPT % | 5 P Python % ")</f>
        <v xml:space="preserve">| 1 P CPT % | 3 L JAVA % | 4 L CPT % | 5 P Python % </v>
      </c>
      <c r="CC67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CD67" s="4" t="str">
        <f ca="1">IFERROR(__xludf.DUMMYFUNCTION("""COMPUTED_VALUE"""),"| 1 L INE % | 3 L PHP-CGM % | 4 L NS % | 5 L PRO % ")</f>
        <v xml:space="preserve">| 1 L INE % | 3 L PHP-CGM % | 4 L NS % | 5 L PRO % </v>
      </c>
      <c r="CE67" s="4" t="str">
        <f ca="1">IFERROR(__xludf.DUMMYFUNCTION("""COMPUTED_VALUE"""),"| 1 L CPT % | 2 L NS % | 3 P NS % | 5 P JAVA % ")</f>
        <v xml:space="preserve">| 1 L CPT % | 2 L NS % | 3 P NS % | 5 P JAVA % </v>
      </c>
      <c r="CF67" s="4" t="str">
        <f ca="1">IFERROR(__xludf.DUMMYFUNCTION("""COMPUTED_VALUE"""),"| 1 L PHP-CGM % | 2 L JAVA % | 3 P PHP-CGM % | 5 P Python % ")</f>
        <v xml:space="preserve">| 1 L PHP-CGM % | 2 L JAVA % | 3 P PHP-CGM % | 5 P Python % </v>
      </c>
      <c r="CG67" s="4" t="str">
        <f ca="1">IFERROR(__xludf.DUMMYFUNCTION("""COMPUTED_VALUE"""),"| 1 P CPT % | 4 L CPT % | 5 P Python @ ")</f>
        <v xml:space="preserve">| 1 P CPT % | 4 L CPT % | 5 P Python @ </v>
      </c>
      <c r="CH67" s="4" t="str">
        <f ca="1">IFERROR(__xludf.DUMMYFUNCTION("""COMPUTED_VALUE"""),"| 1 P JAVA % | 3 L NS % | 6 L CPT @ ")</f>
        <v xml:space="preserve">| 1 P JAVA % | 3 L NS % | 6 L CPT @ </v>
      </c>
      <c r="CI67" s="4" t="str">
        <f ca="1">IFERROR(__xludf.DUMMYFUNCTION("""COMPUTED_VALUE"""),"| 1 L INE % ")</f>
        <v xml:space="preserve">| 1 L INE % </v>
      </c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</row>
    <row r="68" spans="1:102" ht="12.5" x14ac:dyDescent="0.25">
      <c r="A68" s="3">
        <f ca="1">IFERROR(__xludf.DUMMYFUNCTION("""COMPUTED_VALUE"""),3)</f>
        <v>3</v>
      </c>
      <c r="B68" s="3" t="str">
        <f ca="1">IFERROR(__xludf.DUMMYFUNCTION("""COMPUTED_VALUE"""),"A")</f>
        <v>A</v>
      </c>
      <c r="C68" s="32" t="str">
        <f ca="1">IFERROR(__xludf.DUMMYFUNCTION("""COMPUTED_VALUE"""),"23291341182")</f>
        <v>23291341182</v>
      </c>
      <c r="D68" s="21" t="str">
        <f ca="1">IFERROR(__xludf.DUMMYFUNCTION("""COMPUTED_VALUE"""),"PATEL DIRG GOVINDBHAI")</f>
        <v>PATEL DIRG GOVINDBHAI</v>
      </c>
      <c r="E68" s="3" t="str">
        <f ca="1">IFERROR(__xludf.DUMMYFUNCTION("""COMPUTED_VALUE"""),"RRP-Mor")</f>
        <v>RRP-Mor</v>
      </c>
      <c r="F68" s="3">
        <f ca="1">IFERROR(__xludf.DUMMYFUNCTION("""COMPUTED_VALUE"""),9313429323)</f>
        <v>9313429323</v>
      </c>
      <c r="G68" s="3"/>
      <c r="H68" s="33">
        <f ca="1">IFERROR(__xludf.DUMMYFUNCTION("""COMPUTED_VALUE"""),0.526748971193415)</f>
        <v>0.52674897119341502</v>
      </c>
      <c r="I68" s="25">
        <f ca="1">IFERROR(__xludf.DUMMYFUNCTION("""COMPUTED_VALUE"""),0.472222222222222)</f>
        <v>0.47222222222222199</v>
      </c>
      <c r="J68" s="25">
        <f ca="1">IFERROR(__xludf.DUMMYFUNCTION("""COMPUTED_VALUE"""),0.615384615384615)</f>
        <v>0.61538461538461497</v>
      </c>
      <c r="K68" s="25">
        <f ca="1">IFERROR(__xludf.DUMMYFUNCTION("""COMPUTED_VALUE"""),0.794117647058823)</f>
        <v>0.79411764705882304</v>
      </c>
      <c r="L68" s="25">
        <f ca="1">IFERROR(__xludf.DUMMYFUNCTION("""COMPUTED_VALUE"""),0.727272727272727)</f>
        <v>0.72727272727272696</v>
      </c>
      <c r="M68" s="25">
        <f ca="1">IFERROR(__xludf.DUMMYFUNCTION("""COMPUTED_VALUE"""),0.555555555555555)</f>
        <v>0.55555555555555503</v>
      </c>
      <c r="N68" s="25">
        <f ca="1">IFERROR(__xludf.DUMMYFUNCTION("""COMPUTED_VALUE"""),0.461538461538461)</f>
        <v>0.46153846153846101</v>
      </c>
      <c r="O68" s="25">
        <f ca="1">IFERROR(__xludf.DUMMYFUNCTION("""COMPUTED_VALUE"""),0.575757575757575)</f>
        <v>0.57575757575757502</v>
      </c>
      <c r="P68" s="25">
        <f ca="1">IFERROR(__xludf.DUMMYFUNCTION("""COMPUTED_VALUE"""),0.428571428571428)</f>
        <v>0.42857142857142799</v>
      </c>
      <c r="Q68" s="25">
        <f ca="1">IFERROR(__xludf.DUMMYFUNCTION("""COMPUTED_VALUE"""),0)</f>
        <v>0</v>
      </c>
      <c r="R68" s="25">
        <f ca="1">IFERROR(__xludf.DUMMYFUNCTION("""COMPUTED_VALUE"""),0.391304347826087)</f>
        <v>0.39130434782608697</v>
      </c>
      <c r="S68" s="25">
        <f ca="1">IFERROR(__xludf.DUMMYFUNCTION("""COMPUTED_VALUE"""),0.1)</f>
        <v>0.1</v>
      </c>
      <c r="T68" s="25">
        <f ca="1">IFERROR(__xludf.DUMMYFUNCTION("""COMPUTED_VALUE"""),1)</f>
        <v>1</v>
      </c>
      <c r="U68" s="25">
        <f ca="1">IFERROR(__xludf.DUMMYFUNCTION("""COMPUTED_VALUE"""),0.181818181818181)</f>
        <v>0.18181818181818099</v>
      </c>
      <c r="V68" s="25">
        <f ca="1">IFERROR(__xludf.DUMMYFUNCTION("""COMPUTED_VALUE"""),0)</f>
        <v>0</v>
      </c>
      <c r="W68" s="4"/>
      <c r="X68" s="4" t="str">
        <f ca="1">IFERROR(__xludf.DUMMYFUNCTION("""COMPUTED_VALUE"""),"| 1 L PHP-CGM @ | 3 P PHP-CGM @ | 5 P Python @ ")</f>
        <v xml:space="preserve">| 1 L PHP-CGM @ | 3 P PHP-CGM @ | 5 P Python @ </v>
      </c>
      <c r="Y68" s="4" t="str">
        <f ca="1">IFERROR(__xludf.DUMMYFUNCTION("""COMPUTED_VALUE"""),"| 1 P CPT % | 3 L JAVA % | 4 L CPT % | 5 P Python % ")</f>
        <v xml:space="preserve">| 1 P CPT % | 3 L JAVA % | 4 L CPT % | 5 P Python % </v>
      </c>
      <c r="Z68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A68" s="4" t="str">
        <f ca="1">IFERROR(__xludf.DUMMYFUNCTION("""COMPUTED_VALUE"""),"| 3 L PHP-CGM % | 4 L NS % | 1 L INE % | 5 P PRO % ")</f>
        <v xml:space="preserve">| 3 L PHP-CGM % | 4 L NS % | 1 L INE % | 5 P PRO % </v>
      </c>
      <c r="AB68" s="4" t="str">
        <f ca="1">IFERROR(__xludf.DUMMYFUNCTION("""COMPUTED_VALUE"""),"| 1 L CPT % | 2 L NS % | 3 P NS % | 5 P JAVA % ")</f>
        <v xml:space="preserve">| 1 L CPT % | 2 L NS % | 3 P NS % | 5 P JAVA % </v>
      </c>
      <c r="AC68" s="4" t="str">
        <f ca="1">IFERROR(__xludf.DUMMYFUNCTION("""COMPUTED_VALUE"""),"| 1 L PHP-CGM % | 2 L JAVA @ | 3 P PHP-CGM @ | 5 P Python @ ")</f>
        <v xml:space="preserve">| 1 L PHP-CGM % | 2 L JAVA @ | 3 P PHP-CGM @ | 5 P Python @ </v>
      </c>
      <c r="AD68" s="4" t="str">
        <f ca="1">IFERROR(__xludf.DUMMYFUNCTION("""COMPUTED_VALUE"""),"| 1 P CPT % | 3 L JAVA % | 4 L CPT % | 5 P Python @ ")</f>
        <v xml:space="preserve">| 1 P CPT % | 3 L JAVA % | 4 L CPT % | 5 P Python @ </v>
      </c>
      <c r="AE68" s="4" t="str">
        <f ca="1">IFERROR(__xludf.DUMMYFUNCTION("""COMPUTED_VALUE"""),"| 1 P JAVA % | 4 L JAVA % | 3 L NS % | 5 L PHP-CGM @ | 6 L CPT @ ")</f>
        <v xml:space="preserve">| 1 P JAVA % | 4 L JAVA % | 3 L NS % | 5 L PHP-CGM @ | 6 L CPT @ </v>
      </c>
      <c r="AF68" s="4" t="str">
        <f ca="1">IFERROR(__xludf.DUMMYFUNCTION("""COMPUTED_VALUE"""),"| 3 L PHP-CGM % | 4 L NS % | 5 P PRO % ")</f>
        <v xml:space="preserve">| 3 L PHP-CGM % | 4 L NS % | 5 P PRO % </v>
      </c>
      <c r="AG68" s="4" t="str">
        <f ca="1">IFERROR(__xludf.DUMMYFUNCTION("""COMPUTED_VALUE"""),"| 1 L CPT @ | 2 L NS @ | 3 P NS @ | 5 P JAVA @ ")</f>
        <v xml:space="preserve">| 1 L CPT @ | 2 L NS @ | 3 P NS @ | 5 P JAVA @ </v>
      </c>
      <c r="AH68" s="4" t="str">
        <f ca="1">IFERROR(__xludf.DUMMYFUNCTION("""COMPUTED_VALUE"""),"| 3 L PHP-CGM @ | 4 L NS @ | 5 L PRO @ ")</f>
        <v xml:space="preserve">| 3 L PHP-CGM @ | 4 L NS @ | 5 L PRO @ </v>
      </c>
      <c r="AI68" s="4" t="str">
        <f ca="1">IFERROR(__xludf.DUMMYFUNCTION("""COMPUTED_VALUE"""),"| 1 L CPT % | 2 L NS % | 3 P NS % | 5 P JAVA @ ")</f>
        <v xml:space="preserve">| 1 L CPT % | 2 L NS % | 3 P NS % | 5 P JAVA @ </v>
      </c>
      <c r="AJ68" s="4" t="str">
        <f ca="1">IFERROR(__xludf.DUMMYFUNCTION("""COMPUTED_VALUE"""),"| 1 L PHP-CGM % | 2 L JAVA % | 3 P PHP-CGM % | 5 P Python % ")</f>
        <v xml:space="preserve">| 1 L PHP-CGM % | 2 L JAVA % | 3 P PHP-CGM % | 5 P Python % </v>
      </c>
      <c r="AK68" s="4" t="str">
        <f ca="1">IFERROR(__xludf.DUMMYFUNCTION("""COMPUTED_VALUE"""),"| 1 P CPT % | 3 L JAVA % | 4 L CPT % | 5 P Python @ ")</f>
        <v xml:space="preserve">| 1 P CPT % | 3 L JAVA % | 4 L CPT % | 5 P Python @ </v>
      </c>
      <c r="AL68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68" s="4" t="str">
        <f ca="1">IFERROR(__xludf.DUMMYFUNCTION("""COMPUTED_VALUE"""),"| 1 L INE @ | 4 L NS % | 3 L PHP-CGM % | 5 L PRO @ ")</f>
        <v xml:space="preserve">| 1 L INE @ | 4 L NS % | 3 L PHP-CGM % | 5 L PRO @ </v>
      </c>
      <c r="AN68" s="4" t="str">
        <f ca="1">IFERROR(__xludf.DUMMYFUNCTION("""COMPUTED_VALUE"""),"| 1 L CPT % | 2 L NS % | 3 P NS % | 5 P JAVA @ ")</f>
        <v xml:space="preserve">| 1 L CPT % | 2 L NS % | 3 P NS % | 5 P JAVA @ </v>
      </c>
      <c r="AO68" s="4" t="str">
        <f ca="1">IFERROR(__xludf.DUMMYFUNCTION("""COMPUTED_VALUE"""),"| 1 L PHP-CGM % | 2 L JAVA % | 3 P PHP-CGM % | 5 P Python % ")</f>
        <v xml:space="preserve">| 1 L PHP-CGM % | 2 L JAVA % | 3 P PHP-CGM % | 5 P Python % </v>
      </c>
      <c r="AP68" s="4" t="str">
        <f ca="1">IFERROR(__xludf.DUMMYFUNCTION("""COMPUTED_VALUE"""),"| 1 P CPT % | 3 L JAVA % | 4 L CPT % | 5 P Python @ ")</f>
        <v xml:space="preserve">| 1 P CPT % | 3 L JAVA % | 4 L CPT % | 5 P Python @ </v>
      </c>
      <c r="AQ68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68" s="4" t="str">
        <f ca="1">IFERROR(__xludf.DUMMYFUNCTION("""COMPUTED_VALUE"""),"| 1 L INE % | 3 L PHP-CGM % | 4 L NS % | 5 L PRO @ ")</f>
        <v xml:space="preserve">| 1 L INE % | 3 L PHP-CGM % | 4 L NS % | 5 L PRO @ </v>
      </c>
      <c r="AS68" s="4" t="str">
        <f ca="1">IFERROR(__xludf.DUMMYFUNCTION("""COMPUTED_VALUE"""),"| 1 L PHP-CGM % | 2 L JAVA % | 3 P PHP-CGM % | 5 P Python @ ")</f>
        <v xml:space="preserve">| 1 L PHP-CGM % | 2 L JAVA % | 3 P PHP-CGM % | 5 P Python @ </v>
      </c>
      <c r="AT68" s="4" t="str">
        <f ca="1">IFERROR(__xludf.DUMMYFUNCTION("""COMPUTED_VALUE"""),"| 1 P CPT % | 3 L JAVA % | 4 L CPT % | 5 P Python @ ")</f>
        <v xml:space="preserve">| 1 P CPT % | 3 L JAVA % | 4 L CPT % | 5 P Python @ </v>
      </c>
      <c r="AU68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68" s="4" t="str">
        <f ca="1">IFERROR(__xludf.DUMMYFUNCTION("""COMPUTED_VALUE"""),"| 1 L INE @ | 3 L PHP-CGM % | 4 L NS % | 7 L PRO % ")</f>
        <v xml:space="preserve">| 1 L INE @ | 3 L PHP-CGM % | 4 L NS % | 7 L PRO % </v>
      </c>
      <c r="AW68" s="4" t="str">
        <f ca="1">IFERROR(__xludf.DUMMYFUNCTION("""COMPUTED_VALUE"""),"| 1 L CPT % | 3 P NS % | 2 L NS % | 5 P JAVA @ ")</f>
        <v xml:space="preserve">| 1 L CPT % | 3 P NS % | 2 L NS % | 5 P JAVA @ </v>
      </c>
      <c r="AX68" s="4" t="str">
        <f ca="1">IFERROR(__xludf.DUMMYFUNCTION("""COMPUTED_VALUE"""),"| 1 L PHP-CGM @ | 2 L JAVA @ | 3 P PHP-CGM @ | 5 P Python @ ")</f>
        <v xml:space="preserve">| 1 L PHP-CGM @ | 2 L JAVA @ | 3 P PHP-CGM @ | 5 P Python @ </v>
      </c>
      <c r="AY68" s="4" t="str">
        <f ca="1">IFERROR(__xludf.DUMMYFUNCTION("""COMPUTED_VALUE"""),"| 1 P CPT % | 3 L JAVA % | 4 L CPT % | 5 P Python @ ")</f>
        <v xml:space="preserve">| 1 P CPT % | 3 L JAVA % | 4 L CPT % | 5 P Python @ </v>
      </c>
      <c r="AZ68" s="4" t="str">
        <f ca="1">IFERROR(__xludf.DUMMYFUNCTION("""COMPUTED_VALUE"""),"| 1 L INE @ | 3 L PHP-CGM % | 4 L NS % | 5 L PRO @ ")</f>
        <v xml:space="preserve">| 1 L INE @ | 3 L PHP-CGM % | 4 L NS % | 5 L PRO @ </v>
      </c>
      <c r="BA68" s="4" t="str">
        <f ca="1">IFERROR(__xludf.DUMMYFUNCTION("""COMPUTED_VALUE"""),"| 1 L CPT % | 2 L NS % | 3 P NS % | 5 P JAVA @ ")</f>
        <v xml:space="preserve">| 1 L CPT % | 2 L NS % | 3 P NS % | 5 P JAVA @ </v>
      </c>
      <c r="BB68" s="4" t="str">
        <f ca="1">IFERROR(__xludf.DUMMYFUNCTION("""COMPUTED_VALUE"""),"| 1 L PHP-CGM % | 2 L JAVA % | 3 P PHP-CGM % | 5 P Python % ")</f>
        <v xml:space="preserve">| 1 L PHP-CGM % | 2 L JAVA % | 3 P PHP-CGM % | 5 P Python % </v>
      </c>
      <c r="BC68" s="4" t="str">
        <f ca="1">IFERROR(__xludf.DUMMYFUNCTION("""COMPUTED_VALUE"""),"| 1 P CPT % | 3 L JAVA % | 4 L CPT % | 5 P Python % ")</f>
        <v xml:space="preserve">| 1 P CPT % | 3 L JAVA % | 4 L CPT % | 5 P Python % </v>
      </c>
      <c r="BD68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68" s="4" t="str">
        <f ca="1">IFERROR(__xludf.DUMMYFUNCTION("""COMPUTED_VALUE"""),"| 1 L INE @ | 3 L PHP-CGM % | 4 L NS % | 5 L PRO @ ")</f>
        <v xml:space="preserve">| 1 L INE @ | 3 L PHP-CGM % | 4 L NS % | 5 L PRO @ </v>
      </c>
      <c r="BF68" s="4" t="str">
        <f ca="1">IFERROR(__xludf.DUMMYFUNCTION("""COMPUTED_VALUE"""),"| 1 L CPT % | 2 L NS % | 3 P NS % | 5 P JAVA @ ")</f>
        <v xml:space="preserve">| 1 L CPT % | 2 L NS % | 3 P NS % | 5 P JAVA @ </v>
      </c>
      <c r="BG68" s="4" t="str">
        <f ca="1">IFERROR(__xludf.DUMMYFUNCTION("""COMPUTED_VALUE"""),"| 1 P CPT @ | 4 L CPT @ | 5 P Python @ ")</f>
        <v xml:space="preserve">| 1 P CPT @ | 4 L CPT @ | 5 P Python @ </v>
      </c>
      <c r="BH68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I68" s="4" t="str">
        <f ca="1">IFERROR(__xludf.DUMMYFUNCTION("""COMPUTED_VALUE"""),"| 1 L INE @ | 3 L PHP-CGM % | 4 L NS % | 5 L PRO @ ")</f>
        <v xml:space="preserve">| 1 L INE @ | 3 L PHP-CGM % | 4 L NS % | 5 L PRO @ </v>
      </c>
      <c r="BJ68" s="4" t="str">
        <f ca="1">IFERROR(__xludf.DUMMYFUNCTION("""COMPUTED_VALUE"""),"| 1 L CPT @ | 2 L NS @ | 3 P NS @ | 5 P JAVA @ ")</f>
        <v xml:space="preserve">| 1 L CPT @ | 2 L NS @ | 3 P NS @ | 5 P JAVA @ </v>
      </c>
      <c r="BK68" s="4" t="str">
        <f ca="1">IFERROR(__xludf.DUMMYFUNCTION("""COMPUTED_VALUE"""),"| 1 L PHP-CGM @ | 2 L JAVA @ | 3 P PHP-CGM @ | 5 P Python @ ")</f>
        <v xml:space="preserve">| 1 L PHP-CGM @ | 2 L JAVA @ | 3 P PHP-CGM @ | 5 P Python @ </v>
      </c>
      <c r="BL68" s="4" t="str">
        <f ca="1">IFERROR(__xludf.DUMMYFUNCTION("""COMPUTED_VALUE"""),"| 1 P CPT @ | 3 L JAVA @ | 4 L CPT @ | 5 P Python @ ")</f>
        <v xml:space="preserve">| 1 P CPT @ | 3 L JAVA @ | 4 L CPT @ | 5 P Python @ </v>
      </c>
      <c r="BM68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N68" s="4" t="str">
        <f ca="1">IFERROR(__xludf.DUMMYFUNCTION("""COMPUTED_VALUE"""),"| 1 L INE @ | 3 L PHP-CGM % | 4 L NS % | 5 L PRO @ ")</f>
        <v xml:space="preserve">| 1 L INE @ | 3 L PHP-CGM % | 4 L NS % | 5 L PRO @ </v>
      </c>
      <c r="BO68" s="4" t="str">
        <f ca="1">IFERROR(__xludf.DUMMYFUNCTION("""COMPUTED_VALUE"""),"| 1 L CPT % | 2 L NS % | 3 P NS % ")</f>
        <v xml:space="preserve">| 1 L CPT % | 2 L NS % | 3 P NS % </v>
      </c>
      <c r="BP68" s="4" t="str">
        <f ca="1">IFERROR(__xludf.DUMMYFUNCTION("""COMPUTED_VALUE"""),"| 1 L PHP-CGM @ | 2 L JAVA % | 3 P PHP-CGM @ | 5 P Python @ ")</f>
        <v xml:space="preserve">| 1 L PHP-CGM @ | 2 L JAVA % | 3 P PHP-CGM @ | 5 P Python @ </v>
      </c>
      <c r="BQ68" s="4" t="str">
        <f ca="1">IFERROR(__xludf.DUMMYFUNCTION("""COMPUTED_VALUE"""),"| 5 L PHP-CGM % | 6 L CPT @ ")</f>
        <v xml:space="preserve">| 5 L PHP-CGM % | 6 L CPT @ </v>
      </c>
      <c r="BR68" s="4"/>
      <c r="BS68" s="4"/>
      <c r="BT68" s="4" t="str">
        <f ca="1">IFERROR(__xludf.DUMMYFUNCTION("""COMPUTED_VALUE"""),"| 1 L PHP-CGM @ | 2 L JAVA @ | 3 P PHP-CGM @ ")</f>
        <v xml:space="preserve">| 1 L PHP-CGM @ | 2 L JAVA @ | 3 P PHP-CGM @ </v>
      </c>
      <c r="BU68" s="4" t="str">
        <f ca="1">IFERROR(__xludf.DUMMYFUNCTION("""COMPUTED_VALUE"""),"| 1 P CPT @ | 4 L CPT @ | 3 L JAVA @ ")</f>
        <v xml:space="preserve">| 1 P CPT @ | 4 L CPT @ | 3 L JAVA @ </v>
      </c>
      <c r="BV68" s="4" t="str">
        <f ca="1">IFERROR(__xludf.DUMMYFUNCTION("""COMPUTED_VALUE"""),"| 1 L PHP-CGM @ | 2 L JAVA @ | 3 P PHP-CGM @ | 5 P Python @ ")</f>
        <v xml:space="preserve">| 1 L PHP-CGM @ | 2 L JAVA @ | 3 P PHP-CGM @ | 5 P Python @ </v>
      </c>
      <c r="BW68" s="4" t="str">
        <f ca="1">IFERROR(__xludf.DUMMYFUNCTION("""COMPUTED_VALUE"""),"| 1 P CPT @ | 3 L JAVA @ | 4 L CPT @ ")</f>
        <v xml:space="preserve">| 1 P CPT @ | 3 L JAVA @ | 4 L CPT @ </v>
      </c>
      <c r="BX68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68" s="4" t="str">
        <f ca="1">IFERROR(__xludf.DUMMYFUNCTION("""COMPUTED_VALUE"""),"| 1 L INE @ | 3 L PHP-CGM % | 4 L NS % | 5 L PRO @ ")</f>
        <v xml:space="preserve">| 1 L INE @ | 3 L PHP-CGM % | 4 L NS % | 5 L PRO @ </v>
      </c>
      <c r="BZ68" s="4" t="str">
        <f ca="1">IFERROR(__xludf.DUMMYFUNCTION("""COMPUTED_VALUE"""),"| 1 L CPT @ | 2 L NS @ | 3 P NS % | 5 P JAVA @ ")</f>
        <v xml:space="preserve">| 1 L CPT @ | 2 L NS @ | 3 P NS % | 5 P JAVA @ </v>
      </c>
      <c r="CA68" s="4" t="str">
        <f ca="1">IFERROR(__xludf.DUMMYFUNCTION("""COMPUTED_VALUE"""),"| 1 L PHP-CGM % | 2 L JAVA @ | 3 P PHP-CGM % | 5 P Python % ")</f>
        <v xml:space="preserve">| 1 L PHP-CGM % | 2 L JAVA @ | 3 P PHP-CGM % | 5 P Python % </v>
      </c>
      <c r="CB68" s="4" t="str">
        <f ca="1">IFERROR(__xludf.DUMMYFUNCTION("""COMPUTED_VALUE"""),"| 1 P CPT @ | 3 L JAVA @ | 4 L CPT @ | 5 P Python % ")</f>
        <v xml:space="preserve">| 1 P CPT @ | 3 L JAVA @ | 4 L CPT @ | 5 P Python % </v>
      </c>
      <c r="CC68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CD68" s="4" t="str">
        <f ca="1">IFERROR(__xludf.DUMMYFUNCTION("""COMPUTED_VALUE"""),"| 1 L INE @ | 3 L PHP-CGM @ | 4 L NS % | 5 L PRO @ ")</f>
        <v xml:space="preserve">| 1 L INE @ | 3 L PHP-CGM @ | 4 L NS % | 5 L PRO @ </v>
      </c>
      <c r="CE68" s="4" t="str">
        <f ca="1">IFERROR(__xludf.DUMMYFUNCTION("""COMPUTED_VALUE"""),"| 1 L CPT @ | 2 L NS % | 3 P NS @ | 5 P JAVA @ ")</f>
        <v xml:space="preserve">| 1 L CPT @ | 2 L NS % | 3 P NS @ | 5 P JAVA @ </v>
      </c>
      <c r="CF68" s="4" t="str">
        <f ca="1">IFERROR(__xludf.DUMMYFUNCTION("""COMPUTED_VALUE"""),"| 1 L PHP-CGM @ | 2 L JAVA @ | 3 P PHP-CGM % | 5 P Python % ")</f>
        <v xml:space="preserve">| 1 L PHP-CGM @ | 2 L JAVA @ | 3 P PHP-CGM % | 5 P Python % </v>
      </c>
      <c r="CG68" s="4" t="str">
        <f ca="1">IFERROR(__xludf.DUMMYFUNCTION("""COMPUTED_VALUE"""),"| 1 P CPT % | 4 L CPT @ | 5 P Python % ")</f>
        <v xml:space="preserve">| 1 P CPT % | 4 L CPT @ | 5 P Python % </v>
      </c>
      <c r="CH68" s="4" t="str">
        <f ca="1">IFERROR(__xludf.DUMMYFUNCTION("""COMPUTED_VALUE"""),"| 1 P JAVA % | 3 L NS % | 6 L CPT @ ")</f>
        <v xml:space="preserve">| 1 P JAVA % | 3 L NS % | 6 L CPT @ </v>
      </c>
      <c r="CI68" s="4" t="str">
        <f ca="1">IFERROR(__xludf.DUMMYFUNCTION("""COMPUTED_VALUE"""),"| 1 L INE @ ")</f>
        <v xml:space="preserve">| 1 L INE @ </v>
      </c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</row>
    <row r="69" spans="1:102" ht="12.5" x14ac:dyDescent="0.25">
      <c r="A69" s="3">
        <f ca="1">IFERROR(__xludf.DUMMYFUNCTION("""COMPUTED_VALUE"""),3)</f>
        <v>3</v>
      </c>
      <c r="B69" s="3" t="str">
        <f ca="1">IFERROR(__xludf.DUMMYFUNCTION("""COMPUTED_VALUE"""),"A")</f>
        <v>A</v>
      </c>
      <c r="C69" s="32" t="str">
        <f ca="1">IFERROR(__xludf.DUMMYFUNCTION("""COMPUTED_VALUE"""),"23291341184")</f>
        <v>23291341184</v>
      </c>
      <c r="D69" s="21" t="str">
        <f ca="1">IFERROR(__xludf.DUMMYFUNCTION("""COMPUTED_VALUE"""),"PATEL ARYABEN SANJAYKUMAR")</f>
        <v>PATEL ARYABEN SANJAYKUMAR</v>
      </c>
      <c r="E69" s="3" t="str">
        <f ca="1">IFERROR(__xludf.DUMMYFUNCTION("""COMPUTED_VALUE"""),"RRP-Mor")</f>
        <v>RRP-Mor</v>
      </c>
      <c r="F69" s="3">
        <f ca="1">IFERROR(__xludf.DUMMYFUNCTION("""COMPUTED_VALUE"""),9924366271)</f>
        <v>9924366271</v>
      </c>
      <c r="G69" s="3">
        <f ca="1">IFERROR(__xludf.DUMMYFUNCTION("""COMPUTED_VALUE"""),7984623503)</f>
        <v>7984623503</v>
      </c>
      <c r="H69" s="33">
        <f ca="1">IFERROR(__xludf.DUMMYFUNCTION("""COMPUTED_VALUE"""),0.522633744855967)</f>
        <v>0.52263374485596703</v>
      </c>
      <c r="I69" s="25">
        <f ca="1">IFERROR(__xludf.DUMMYFUNCTION("""COMPUTED_VALUE"""),0.361111111111111)</f>
        <v>0.36111111111111099</v>
      </c>
      <c r="J69" s="25">
        <f ca="1">IFERROR(__xludf.DUMMYFUNCTION("""COMPUTED_VALUE"""),0.461538461538461)</f>
        <v>0.46153846153846101</v>
      </c>
      <c r="K69" s="25">
        <f ca="1">IFERROR(__xludf.DUMMYFUNCTION("""COMPUTED_VALUE"""),0.735294117647058)</f>
        <v>0.73529411764705799</v>
      </c>
      <c r="L69" s="25">
        <f ca="1">IFERROR(__xludf.DUMMYFUNCTION("""COMPUTED_VALUE"""),0.909090909090909)</f>
        <v>0.90909090909090895</v>
      </c>
      <c r="M69" s="25">
        <f ca="1">IFERROR(__xludf.DUMMYFUNCTION("""COMPUTED_VALUE"""),0.555555555555555)</f>
        <v>0.55555555555555503</v>
      </c>
      <c r="N69" s="25">
        <f ca="1">IFERROR(__xludf.DUMMYFUNCTION("""COMPUTED_VALUE"""),0.538461538461538)</f>
        <v>0.53846153846153799</v>
      </c>
      <c r="O69" s="25">
        <f ca="1">IFERROR(__xludf.DUMMYFUNCTION("""COMPUTED_VALUE"""),0.575757575757575)</f>
        <v>0.57575757575757502</v>
      </c>
      <c r="P69" s="25">
        <f ca="1">IFERROR(__xludf.DUMMYFUNCTION("""COMPUTED_VALUE"""),0.428571428571428)</f>
        <v>0.42857142857142799</v>
      </c>
      <c r="Q69" s="25">
        <f ca="1">IFERROR(__xludf.DUMMYFUNCTION("""COMPUTED_VALUE"""),0)</f>
        <v>0</v>
      </c>
      <c r="R69" s="25">
        <f ca="1">IFERROR(__xludf.DUMMYFUNCTION("""COMPUTED_VALUE"""),0.478260869565217)</f>
        <v>0.47826086956521702</v>
      </c>
      <c r="S69" s="25">
        <f ca="1">IFERROR(__xludf.DUMMYFUNCTION("""COMPUTED_VALUE"""),0.2)</f>
        <v>0.2</v>
      </c>
      <c r="T69" s="25">
        <f ca="1">IFERROR(__xludf.DUMMYFUNCTION("""COMPUTED_VALUE"""),1)</f>
        <v>1</v>
      </c>
      <c r="U69" s="25">
        <f ca="1">IFERROR(__xludf.DUMMYFUNCTION("""COMPUTED_VALUE"""),0.272727272727272)</f>
        <v>0.27272727272727199</v>
      </c>
      <c r="V69" s="25">
        <f ca="1">IFERROR(__xludf.DUMMYFUNCTION("""COMPUTED_VALUE"""),0)</f>
        <v>0</v>
      </c>
      <c r="W69" s="4"/>
      <c r="X69" s="4" t="str">
        <f ca="1">IFERROR(__xludf.DUMMYFUNCTION("""COMPUTED_VALUE"""),"| 1 L PHP-CGM @ | 3 P PHP-CGM @ | 5 P Python @ ")</f>
        <v xml:space="preserve">| 1 L PHP-CGM @ | 3 P PHP-CGM @ | 5 P Python @ </v>
      </c>
      <c r="Y69" s="4" t="str">
        <f ca="1">IFERROR(__xludf.DUMMYFUNCTION("""COMPUTED_VALUE"""),"| 1 P CPT % | 3 L JAVA @ | 4 L CPT % | 5 P Python % ")</f>
        <v xml:space="preserve">| 1 P CPT % | 3 L JAVA @ | 4 L CPT % | 5 P Python % </v>
      </c>
      <c r="Z69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A69" s="4" t="str">
        <f ca="1">IFERROR(__xludf.DUMMYFUNCTION("""COMPUTED_VALUE"""),"| 3 L PHP-CGM % | 4 L NS % | 1 L INE % | 5 P PRO % ")</f>
        <v xml:space="preserve">| 3 L PHP-CGM % | 4 L NS % | 1 L INE % | 5 P PRO % </v>
      </c>
      <c r="AB69" s="4" t="str">
        <f ca="1">IFERROR(__xludf.DUMMYFUNCTION("""COMPUTED_VALUE"""),"| 1 L CPT % | 2 L NS % | 3 P NS % | 5 P JAVA @ ")</f>
        <v xml:space="preserve">| 1 L CPT % | 2 L NS % | 3 P NS % | 5 P JAVA @ </v>
      </c>
      <c r="AC69" s="4" t="str">
        <f ca="1">IFERROR(__xludf.DUMMYFUNCTION("""COMPUTED_VALUE"""),"| 1 L PHP-CGM % | 2 L JAVA % | 3 P PHP-CGM % | 5 P Python @ ")</f>
        <v xml:space="preserve">| 1 L PHP-CGM % | 2 L JAVA % | 3 P PHP-CGM % | 5 P Python @ </v>
      </c>
      <c r="AD69" s="4" t="str">
        <f ca="1">IFERROR(__xludf.DUMMYFUNCTION("""COMPUTED_VALUE"""),"| 1 P CPT @ | 3 L JAVA @ | 4 L CPT @ | 5 P Python @ ")</f>
        <v xml:space="preserve">| 1 P CPT @ | 3 L JAVA @ | 4 L CPT @ | 5 P Python @ </v>
      </c>
      <c r="AE69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69" s="4" t="str">
        <f ca="1">IFERROR(__xludf.DUMMYFUNCTION("""COMPUTED_VALUE"""),"| 3 L PHP-CGM % | 4 L NS % | 5 P PRO % ")</f>
        <v xml:space="preserve">| 3 L PHP-CGM % | 4 L NS % | 5 P PRO % </v>
      </c>
      <c r="AG69" s="4" t="str">
        <f ca="1">IFERROR(__xludf.DUMMYFUNCTION("""COMPUTED_VALUE"""),"| 1 L CPT % | 2 L NS % | 3 P NS % | 5 P JAVA @ ")</f>
        <v xml:space="preserve">| 1 L CPT % | 2 L NS % | 3 P NS % | 5 P JAVA @ </v>
      </c>
      <c r="AH69" s="4" t="str">
        <f ca="1">IFERROR(__xludf.DUMMYFUNCTION("""COMPUTED_VALUE"""),"| 3 L PHP-CGM % | 4 L NS % | 5 L PRO % ")</f>
        <v xml:space="preserve">| 3 L PHP-CGM % | 4 L NS % | 5 L PRO % </v>
      </c>
      <c r="AI69" s="4" t="str">
        <f ca="1">IFERROR(__xludf.DUMMYFUNCTION("""COMPUTED_VALUE"""),"| 1 L CPT % | 2 L NS % | 3 P NS % | 5 P JAVA @ ")</f>
        <v xml:space="preserve">| 1 L CPT % | 2 L NS % | 3 P NS % | 5 P JAVA @ </v>
      </c>
      <c r="AJ69" s="4" t="str">
        <f ca="1">IFERROR(__xludf.DUMMYFUNCTION("""COMPUTED_VALUE"""),"| 1 L PHP-CGM % | 2 L JAVA % | 3 P PHP-CGM % | 5 P Python % ")</f>
        <v xml:space="preserve">| 1 L PHP-CGM % | 2 L JAVA % | 3 P PHP-CGM % | 5 P Python % </v>
      </c>
      <c r="AK69" s="4" t="str">
        <f ca="1">IFERROR(__xludf.DUMMYFUNCTION("""COMPUTED_VALUE"""),"| 1 P CPT % | 3 L JAVA % | 4 L CPT % | 5 P Python @ ")</f>
        <v xml:space="preserve">| 1 P CPT % | 3 L JAVA % | 4 L CPT % | 5 P Python @ </v>
      </c>
      <c r="AL69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AM69" s="4" t="str">
        <f ca="1">IFERROR(__xludf.DUMMYFUNCTION("""COMPUTED_VALUE"""),"| 1 L INE @ | 4 L NS % | 3 L PHP-CGM % | 5 L PRO @ ")</f>
        <v xml:space="preserve">| 1 L INE @ | 4 L NS % | 3 L PHP-CGM % | 5 L PRO @ </v>
      </c>
      <c r="AN69" s="4" t="str">
        <f ca="1">IFERROR(__xludf.DUMMYFUNCTION("""COMPUTED_VALUE"""),"| 1 L CPT @ | 2 L NS % | 3 P NS % | 5 P JAVA @ ")</f>
        <v xml:space="preserve">| 1 L CPT @ | 2 L NS % | 3 P NS % | 5 P JAVA @ </v>
      </c>
      <c r="AO69" s="4" t="str">
        <f ca="1">IFERROR(__xludf.DUMMYFUNCTION("""COMPUTED_VALUE"""),"| 1 L PHP-CGM % | 2 L JAVA % | 3 P PHP-CGM % | 5 P Python @ ")</f>
        <v xml:space="preserve">| 1 L PHP-CGM % | 2 L JAVA % | 3 P PHP-CGM % | 5 P Python @ </v>
      </c>
      <c r="AP69" s="4" t="str">
        <f ca="1">IFERROR(__xludf.DUMMYFUNCTION("""COMPUTED_VALUE"""),"| 1 P CPT % | 3 L JAVA % | 4 L CPT % | 5 P Python % ")</f>
        <v xml:space="preserve">| 1 P CPT % | 3 L JAVA % | 4 L CPT % | 5 P Python % </v>
      </c>
      <c r="AQ69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AR69" s="4" t="str">
        <f ca="1">IFERROR(__xludf.DUMMYFUNCTION("""COMPUTED_VALUE"""),"| 1 L INE @ | 3 L PHP-CGM @ | 4 L NS @ | 5 L PRO @ ")</f>
        <v xml:space="preserve">| 1 L INE @ | 3 L PHP-CGM @ | 4 L NS @ | 5 L PRO @ </v>
      </c>
      <c r="AS69" s="4" t="str">
        <f ca="1">IFERROR(__xludf.DUMMYFUNCTION("""COMPUTED_VALUE"""),"| 1 L PHP-CGM % | 2 L JAVA % | 3 P PHP-CGM % | 5 P Python % ")</f>
        <v xml:space="preserve">| 1 L PHP-CGM % | 2 L JAVA % | 3 P PHP-CGM % | 5 P Python % </v>
      </c>
      <c r="AT69" s="4" t="str">
        <f ca="1">IFERROR(__xludf.DUMMYFUNCTION("""COMPUTED_VALUE"""),"| 1 P CPT @ | 3 L JAVA % | 4 L CPT % | 5 P Python % ")</f>
        <v xml:space="preserve">| 1 P CPT @ | 3 L JAVA % | 4 L CPT % | 5 P Python % </v>
      </c>
      <c r="AU69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69" s="4" t="str">
        <f ca="1">IFERROR(__xludf.DUMMYFUNCTION("""COMPUTED_VALUE"""),"| 1 L INE % | 3 L PHP-CGM % | 4 L NS % | 7 L PRO % ")</f>
        <v xml:space="preserve">| 1 L INE % | 3 L PHP-CGM % | 4 L NS % | 7 L PRO % </v>
      </c>
      <c r="AW69" s="4" t="str">
        <f ca="1">IFERROR(__xludf.DUMMYFUNCTION("""COMPUTED_VALUE"""),"| 1 L CPT % | 3 P NS % | 2 L NS % | 5 P JAVA @ ")</f>
        <v xml:space="preserve">| 1 L CPT % | 3 P NS % | 2 L NS % | 5 P JAVA @ </v>
      </c>
      <c r="AX69" s="4" t="str">
        <f ca="1">IFERROR(__xludf.DUMMYFUNCTION("""COMPUTED_VALUE"""),"| 1 L PHP-CGM % | 2 L JAVA % | 3 P PHP-CGM @ | 5 P Python % ")</f>
        <v xml:space="preserve">| 1 L PHP-CGM % | 2 L JAVA % | 3 P PHP-CGM @ | 5 P Python % </v>
      </c>
      <c r="AY69" s="4" t="str">
        <f ca="1">IFERROR(__xludf.DUMMYFUNCTION("""COMPUTED_VALUE"""),"| 1 P CPT % | 3 L JAVA % | 4 L CPT % | 5 P Python @ ")</f>
        <v xml:space="preserve">| 1 P CPT % | 3 L JAVA % | 4 L CPT % | 5 P Python @ </v>
      </c>
      <c r="AZ69" s="4" t="str">
        <f ca="1">IFERROR(__xludf.DUMMYFUNCTION("""COMPUTED_VALUE"""),"| 1 L INE @ | 3 L PHP-CGM @ | 4 L NS % | 5 L PRO @ ")</f>
        <v xml:space="preserve">| 1 L INE @ | 3 L PHP-CGM @ | 4 L NS % | 5 L PRO @ </v>
      </c>
      <c r="BA69" s="4" t="str">
        <f ca="1">IFERROR(__xludf.DUMMYFUNCTION("""COMPUTED_VALUE"""),"| 1 L CPT @ | 2 L NS % | 3 P NS % | 5 P JAVA @ ")</f>
        <v xml:space="preserve">| 1 L CPT @ | 2 L NS % | 3 P NS % | 5 P JAVA @ </v>
      </c>
      <c r="BB69" s="4" t="str">
        <f ca="1">IFERROR(__xludf.DUMMYFUNCTION("""COMPUTED_VALUE"""),"| 1 L PHP-CGM % | 2 L JAVA % | 3 P PHP-CGM % | 5 P Python % ")</f>
        <v xml:space="preserve">| 1 L PHP-CGM % | 2 L JAVA % | 3 P PHP-CGM % | 5 P Python % </v>
      </c>
      <c r="BC69" s="4" t="str">
        <f ca="1">IFERROR(__xludf.DUMMYFUNCTION("""COMPUTED_VALUE"""),"| 1 P CPT @ | 3 L JAVA @ | 4 L CPT @ | 5 P Python @ ")</f>
        <v xml:space="preserve">| 1 P CPT @ | 3 L JAVA @ | 4 L CPT @ | 5 P Python @ </v>
      </c>
      <c r="BD69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69" s="4" t="str">
        <f ca="1">IFERROR(__xludf.DUMMYFUNCTION("""COMPUTED_VALUE"""),"| 1 L INE @ | 3 L PHP-CGM % | 4 L NS % | 5 L PRO @ ")</f>
        <v xml:space="preserve">| 1 L INE @ | 3 L PHP-CGM % | 4 L NS % | 5 L PRO @ </v>
      </c>
      <c r="BF69" s="4" t="str">
        <f ca="1">IFERROR(__xludf.DUMMYFUNCTION("""COMPUTED_VALUE"""),"| 1 L CPT @ | 2 L NS % | 3 P NS % | 5 P JAVA @ ")</f>
        <v xml:space="preserve">| 1 L CPT @ | 2 L NS % | 3 P NS % | 5 P JAVA @ </v>
      </c>
      <c r="BG69" s="4" t="str">
        <f ca="1">IFERROR(__xludf.DUMMYFUNCTION("""COMPUTED_VALUE"""),"| 1 P CPT @ | 4 L CPT @ | 5 P Python % ")</f>
        <v xml:space="preserve">| 1 P CPT @ | 4 L CPT @ | 5 P Python % </v>
      </c>
      <c r="BH69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I69" s="4" t="str">
        <f ca="1">IFERROR(__xludf.DUMMYFUNCTION("""COMPUTED_VALUE"""),"| 1 L INE @ | 3 L PHP-CGM % | 4 L NS % | 5 L PRO @ ")</f>
        <v xml:space="preserve">| 1 L INE @ | 3 L PHP-CGM % | 4 L NS % | 5 L PRO @ </v>
      </c>
      <c r="BJ69" s="4" t="str">
        <f ca="1">IFERROR(__xludf.DUMMYFUNCTION("""COMPUTED_VALUE"""),"| 1 L CPT @ | 2 L NS % | 3 P NS % | 5 P JAVA @ ")</f>
        <v xml:space="preserve">| 1 L CPT @ | 2 L NS % | 3 P NS % | 5 P JAVA @ </v>
      </c>
      <c r="BK69" s="4" t="str">
        <f ca="1">IFERROR(__xludf.DUMMYFUNCTION("""COMPUTED_VALUE"""),"| 1 L PHP-CGM @ | 2 L JAVA @ | 3 P PHP-CGM @ | 5 P Python @ ")</f>
        <v xml:space="preserve">| 1 L PHP-CGM @ | 2 L JAVA @ | 3 P PHP-CGM @ | 5 P Python @ </v>
      </c>
      <c r="BL69" s="4" t="str">
        <f ca="1">IFERROR(__xludf.DUMMYFUNCTION("""COMPUTED_VALUE"""),"| 1 P CPT @ | 3 L JAVA @ | 4 L CPT @ | 5 P Python @ ")</f>
        <v xml:space="preserve">| 1 P CPT @ | 3 L JAVA @ | 4 L CPT @ | 5 P Python @ </v>
      </c>
      <c r="BM69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69" s="4" t="str">
        <f ca="1">IFERROR(__xludf.DUMMYFUNCTION("""COMPUTED_VALUE"""),"| 1 L INE @ | 3 L PHP-CGM % | 4 L NS % | 5 L PRO @ ")</f>
        <v xml:space="preserve">| 1 L INE @ | 3 L PHP-CGM % | 4 L NS % | 5 L PRO @ </v>
      </c>
      <c r="BO69" s="4" t="str">
        <f ca="1">IFERROR(__xludf.DUMMYFUNCTION("""COMPUTED_VALUE"""),"| 1 L CPT @ | 2 L NS @ | 3 P NS @ ")</f>
        <v xml:space="preserve">| 1 L CPT @ | 2 L NS @ | 3 P NS @ </v>
      </c>
      <c r="BP69" s="4" t="str">
        <f ca="1">IFERROR(__xludf.DUMMYFUNCTION("""COMPUTED_VALUE"""),"| 1 L PHP-CGM @ | 2 L JAVA % | 3 P PHP-CGM @ | 5 P Python @ ")</f>
        <v xml:space="preserve">| 1 L PHP-CGM @ | 2 L JAVA % | 3 P PHP-CGM @ | 5 P Python @ </v>
      </c>
      <c r="BQ69" s="4" t="str">
        <f ca="1">IFERROR(__xludf.DUMMYFUNCTION("""COMPUTED_VALUE"""),"| 5 L PHP-CGM % | 6 L CPT @ ")</f>
        <v xml:space="preserve">| 5 L PHP-CGM % | 6 L CPT @ </v>
      </c>
      <c r="BR69" s="4"/>
      <c r="BS69" s="4"/>
      <c r="BT69" s="4" t="str">
        <f ca="1">IFERROR(__xludf.DUMMYFUNCTION("""COMPUTED_VALUE"""),"| 1 L PHP-CGM % | 2 L JAVA @ | 3 P PHP-CGM @ ")</f>
        <v xml:space="preserve">| 1 L PHP-CGM % | 2 L JAVA @ | 3 P PHP-CGM @ </v>
      </c>
      <c r="BU69" s="4" t="str">
        <f ca="1">IFERROR(__xludf.DUMMYFUNCTION("""COMPUTED_VALUE"""),"| 1 P CPT @ | 4 L CPT @ | 3 L JAVA @ ")</f>
        <v xml:space="preserve">| 1 P CPT @ | 4 L CPT @ | 3 L JAVA @ </v>
      </c>
      <c r="BV69" s="4" t="str">
        <f ca="1">IFERROR(__xludf.DUMMYFUNCTION("""COMPUTED_VALUE"""),"| 1 L PHP-CGM @ | 2 L JAVA @ | 3 P PHP-CGM @ | 5 P Python @ ")</f>
        <v xml:space="preserve">| 1 L PHP-CGM @ | 2 L JAVA @ | 3 P PHP-CGM @ | 5 P Python @ </v>
      </c>
      <c r="BW69" s="4" t="str">
        <f ca="1">IFERROR(__xludf.DUMMYFUNCTION("""COMPUTED_VALUE"""),"| 1 P CPT @ | 3 L JAVA @ | 4 L CPT @ ")</f>
        <v xml:space="preserve">| 1 P CPT @ | 3 L JAVA @ | 4 L CPT @ </v>
      </c>
      <c r="BX69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69" s="4" t="str">
        <f ca="1">IFERROR(__xludf.DUMMYFUNCTION("""COMPUTED_VALUE"""),"| 1 L INE @ | 3 L PHP-CGM @ | 4 L NS @ | 5 L PRO @ ")</f>
        <v xml:space="preserve">| 1 L INE @ | 3 L PHP-CGM @ | 4 L NS @ | 5 L PRO @ </v>
      </c>
      <c r="BZ69" s="4" t="str">
        <f ca="1">IFERROR(__xludf.DUMMYFUNCTION("""COMPUTED_VALUE"""),"| 1 L CPT @ | 2 L NS % | 3 P NS % | 5 P JAVA @ ")</f>
        <v xml:space="preserve">| 1 L CPT @ | 2 L NS % | 3 P NS % | 5 P JAVA @ </v>
      </c>
      <c r="CA69" s="4" t="str">
        <f ca="1">IFERROR(__xludf.DUMMYFUNCTION("""COMPUTED_VALUE"""),"| 1 L PHP-CGM @ | 2 L JAVA @ | 3 P PHP-CGM % | 5 P Python @ ")</f>
        <v xml:space="preserve">| 1 L PHP-CGM @ | 2 L JAVA @ | 3 P PHP-CGM % | 5 P Python @ </v>
      </c>
      <c r="CB69" s="4" t="str">
        <f ca="1">IFERROR(__xludf.DUMMYFUNCTION("""COMPUTED_VALUE"""),"| 1 P CPT % | 3 L JAVA % | 4 L CPT % | 5 P Python % ")</f>
        <v xml:space="preserve">| 1 P CPT % | 3 L JAVA % | 4 L CPT % | 5 P Python % </v>
      </c>
      <c r="CC69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69" s="4" t="str">
        <f ca="1">IFERROR(__xludf.DUMMYFUNCTION("""COMPUTED_VALUE"""),"| 1 L INE % | 3 L PHP-CGM @ | 4 L NS @ | 5 L PRO @ ")</f>
        <v xml:space="preserve">| 1 L INE % | 3 L PHP-CGM @ | 4 L NS @ | 5 L PRO @ </v>
      </c>
      <c r="CE69" s="4" t="str">
        <f ca="1">IFERROR(__xludf.DUMMYFUNCTION("""COMPUTED_VALUE"""),"| 1 L CPT @ | 2 L NS @ | 3 P NS % | 5 P JAVA @ ")</f>
        <v xml:space="preserve">| 1 L CPT @ | 2 L NS @ | 3 P NS % | 5 P JAVA @ </v>
      </c>
      <c r="CF69" s="4" t="str">
        <f ca="1">IFERROR(__xludf.DUMMYFUNCTION("""COMPUTED_VALUE"""),"| 1 L PHP-CGM % | 2 L JAVA @ | 3 P PHP-CGM % | 5 P Python % ")</f>
        <v xml:space="preserve">| 1 L PHP-CGM % | 2 L JAVA @ | 3 P PHP-CGM % | 5 P Python % </v>
      </c>
      <c r="CG69" s="4" t="str">
        <f ca="1">IFERROR(__xludf.DUMMYFUNCTION("""COMPUTED_VALUE"""),"| 1 P CPT % | 4 L CPT @ | 5 P Python % ")</f>
        <v xml:space="preserve">| 1 P CPT % | 4 L CPT @ | 5 P Python % </v>
      </c>
      <c r="CH69" s="4" t="str">
        <f ca="1">IFERROR(__xludf.DUMMYFUNCTION("""COMPUTED_VALUE"""),"| 1 P JAVA % | 3 L NS @ | 6 L CPT @ ")</f>
        <v xml:space="preserve">| 1 P JAVA % | 3 L NS @ | 6 L CPT @ </v>
      </c>
      <c r="CI69" s="4" t="str">
        <f ca="1">IFERROR(__xludf.DUMMYFUNCTION("""COMPUTED_VALUE"""),"| 1 L INE @ ")</f>
        <v xml:space="preserve">| 1 L INE @ </v>
      </c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</row>
    <row r="70" spans="1:102" ht="12.5" x14ac:dyDescent="0.25">
      <c r="A70" s="3">
        <f ca="1">IFERROR(__xludf.DUMMYFUNCTION("""COMPUTED_VALUE"""),3)</f>
        <v>3</v>
      </c>
      <c r="B70" s="3" t="str">
        <f ca="1">IFERROR(__xludf.DUMMYFUNCTION("""COMPUTED_VALUE"""),"A")</f>
        <v>A</v>
      </c>
      <c r="C70" s="32" t="str">
        <f ca="1">IFERROR(__xludf.DUMMYFUNCTION("""COMPUTED_VALUE"""),"23291341187")</f>
        <v>23291341187</v>
      </c>
      <c r="D70" s="21" t="str">
        <f ca="1">IFERROR(__xludf.DUMMYFUNCTION("""COMPUTED_VALUE"""),"PATEL KRISH ALPESHKUMAR")</f>
        <v>PATEL KRISH ALPESHKUMAR</v>
      </c>
      <c r="E70" s="3" t="str">
        <f ca="1">IFERROR(__xludf.DUMMYFUNCTION("""COMPUTED_VALUE"""),"RRP-Mor")</f>
        <v>RRP-Mor</v>
      </c>
      <c r="F70" s="3">
        <f ca="1">IFERROR(__xludf.DUMMYFUNCTION("""COMPUTED_VALUE"""),9328727142)</f>
        <v>9328727142</v>
      </c>
      <c r="G70" s="3">
        <f ca="1">IFERROR(__xludf.DUMMYFUNCTION("""COMPUTED_VALUE"""),9925078570)</f>
        <v>9925078570</v>
      </c>
      <c r="H70" s="33">
        <f ca="1">IFERROR(__xludf.DUMMYFUNCTION("""COMPUTED_VALUE"""),0.68312757201646)</f>
        <v>0.68312757201646002</v>
      </c>
      <c r="I70" s="25">
        <f ca="1">IFERROR(__xludf.DUMMYFUNCTION("""COMPUTED_VALUE"""),0.638888888888888)</f>
        <v>0.63888888888888795</v>
      </c>
      <c r="J70" s="25">
        <f ca="1">IFERROR(__xludf.DUMMYFUNCTION("""COMPUTED_VALUE"""),0.923076923076923)</f>
        <v>0.92307692307692302</v>
      </c>
      <c r="K70" s="25">
        <f ca="1">IFERROR(__xludf.DUMMYFUNCTION("""COMPUTED_VALUE"""),0.647058823529411)</f>
        <v>0.64705882352941102</v>
      </c>
      <c r="L70" s="25">
        <f ca="1">IFERROR(__xludf.DUMMYFUNCTION("""COMPUTED_VALUE"""),0.636363636363636)</f>
        <v>0.63636363636363602</v>
      </c>
      <c r="M70" s="25">
        <f ca="1">IFERROR(__xludf.DUMMYFUNCTION("""COMPUTED_VALUE"""),0.722222222222222)</f>
        <v>0.72222222222222199</v>
      </c>
      <c r="N70" s="25">
        <f ca="1">IFERROR(__xludf.DUMMYFUNCTION("""COMPUTED_VALUE"""),0.769230769230769)</f>
        <v>0.76923076923076905</v>
      </c>
      <c r="O70" s="25">
        <f ca="1">IFERROR(__xludf.DUMMYFUNCTION("""COMPUTED_VALUE"""),0.787878787878787)</f>
        <v>0.78787878787878696</v>
      </c>
      <c r="P70" s="25">
        <f ca="1">IFERROR(__xludf.DUMMYFUNCTION("""COMPUTED_VALUE"""),0.619047619047619)</f>
        <v>0.61904761904761896</v>
      </c>
      <c r="Q70" s="25">
        <f ca="1">IFERROR(__xludf.DUMMYFUNCTION("""COMPUTED_VALUE"""),0)</f>
        <v>0</v>
      </c>
      <c r="R70" s="25">
        <f ca="1">IFERROR(__xludf.DUMMYFUNCTION("""COMPUTED_VALUE"""),0.608695652173913)</f>
        <v>0.60869565217391297</v>
      </c>
      <c r="S70" s="25">
        <f ca="1">IFERROR(__xludf.DUMMYFUNCTION("""COMPUTED_VALUE"""),0.6)</f>
        <v>0.6</v>
      </c>
      <c r="T70" s="25">
        <f ca="1">IFERROR(__xludf.DUMMYFUNCTION("""COMPUTED_VALUE"""),1)</f>
        <v>1</v>
      </c>
      <c r="U70" s="25">
        <f ca="1">IFERROR(__xludf.DUMMYFUNCTION("""COMPUTED_VALUE"""),0.454545454545454)</f>
        <v>0.45454545454545398</v>
      </c>
      <c r="V70" s="25">
        <f ca="1">IFERROR(__xludf.DUMMYFUNCTION("""COMPUTED_VALUE"""),0)</f>
        <v>0</v>
      </c>
      <c r="W70" s="4"/>
      <c r="X70" s="4" t="str">
        <f ca="1">IFERROR(__xludf.DUMMYFUNCTION("""COMPUTED_VALUE"""),"| 1 L PHP-CGM @ | 3 P PHP-CGM @ | 5 P Python @ ")</f>
        <v xml:space="preserve">| 1 L PHP-CGM @ | 3 P PHP-CGM @ | 5 P Python @ </v>
      </c>
      <c r="Y70" s="4" t="str">
        <f ca="1">IFERROR(__xludf.DUMMYFUNCTION("""COMPUTED_VALUE"""),"| 1 P CPT % | 3 L JAVA % | 4 L CPT % | 5 P Python % ")</f>
        <v xml:space="preserve">| 1 P CPT % | 3 L JAVA % | 4 L CPT % | 5 P Python % </v>
      </c>
      <c r="Z7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70" s="4" t="str">
        <f ca="1">IFERROR(__xludf.DUMMYFUNCTION("""COMPUTED_VALUE"""),"| 3 L PHP-CGM % | 4 L NS % | 1 L INE % | 5 P PRO % ")</f>
        <v xml:space="preserve">| 3 L PHP-CGM % | 4 L NS % | 1 L INE % | 5 P PRO % </v>
      </c>
      <c r="AB70" s="4" t="str">
        <f ca="1">IFERROR(__xludf.DUMMYFUNCTION("""COMPUTED_VALUE"""),"| 1 L CPT % | 2 L NS % | 3 P NS % | 5 P JAVA % ")</f>
        <v xml:space="preserve">| 1 L CPT % | 2 L NS % | 3 P NS % | 5 P JAVA % </v>
      </c>
      <c r="AC70" s="4" t="str">
        <f ca="1">IFERROR(__xludf.DUMMYFUNCTION("""COMPUTED_VALUE"""),"| 1 L PHP-CGM % | 2 L JAVA % | 3 P PHP-CGM % | 5 P Python % ")</f>
        <v xml:space="preserve">| 1 L PHP-CGM % | 2 L JAVA % | 3 P PHP-CGM % | 5 P Python % </v>
      </c>
      <c r="AD70" s="4" t="str">
        <f ca="1">IFERROR(__xludf.DUMMYFUNCTION("""COMPUTED_VALUE"""),"| 1 P CPT % | 3 L JAVA % | 4 L CPT % | 5 P Python % ")</f>
        <v xml:space="preserve">| 1 P CPT % | 3 L JAVA % | 4 L CPT % | 5 P Python % </v>
      </c>
      <c r="AE70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70" s="4" t="str">
        <f ca="1">IFERROR(__xludf.DUMMYFUNCTION("""COMPUTED_VALUE"""),"| 3 L PHP-CGM % | 4 L NS % | 5 P PRO % ")</f>
        <v xml:space="preserve">| 3 L PHP-CGM % | 4 L NS % | 5 P PRO % </v>
      </c>
      <c r="AG70" s="4" t="str">
        <f ca="1">IFERROR(__xludf.DUMMYFUNCTION("""COMPUTED_VALUE"""),"| 1 L CPT @ | 2 L NS @ | 3 P NS @ | 5 P JAVA @ ")</f>
        <v xml:space="preserve">| 1 L CPT @ | 2 L NS @ | 3 P NS @ | 5 P JAVA @ </v>
      </c>
      <c r="AH70" s="4" t="str">
        <f ca="1">IFERROR(__xludf.DUMMYFUNCTION("""COMPUTED_VALUE"""),"| 3 L PHP-CGM % | 4 L NS % | 5 L PRO % ")</f>
        <v xml:space="preserve">| 3 L PHP-CGM % | 4 L NS % | 5 L PRO % </v>
      </c>
      <c r="AI70" s="4" t="str">
        <f ca="1">IFERROR(__xludf.DUMMYFUNCTION("""COMPUTED_VALUE"""),"| 1 L CPT @ | 2 L NS % | 3 P NS @ | 5 P JAVA @ ")</f>
        <v xml:space="preserve">| 1 L CPT @ | 2 L NS % | 3 P NS @ | 5 P JAVA @ </v>
      </c>
      <c r="AJ70" s="4" t="str">
        <f ca="1">IFERROR(__xludf.DUMMYFUNCTION("""COMPUTED_VALUE"""),"| 1 L PHP-CGM % | 2 L JAVA % | 3 P PHP-CGM % | 5 P Python @ ")</f>
        <v xml:space="preserve">| 1 L PHP-CGM % | 2 L JAVA % | 3 P PHP-CGM % | 5 P Python @ </v>
      </c>
      <c r="AK70" s="4" t="str">
        <f ca="1">IFERROR(__xludf.DUMMYFUNCTION("""COMPUTED_VALUE"""),"| 1 P CPT % | 3 L JAVA % | 4 L CPT % | 5 P Python % ")</f>
        <v xml:space="preserve">| 1 P CPT % | 3 L JAVA % | 4 L CPT % | 5 P Python % </v>
      </c>
      <c r="AL7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70" s="4" t="str">
        <f ca="1">IFERROR(__xludf.DUMMYFUNCTION("""COMPUTED_VALUE"""),"| 1 L INE @ | 4 L NS % | 3 L PHP-CGM % | 5 L PRO % ")</f>
        <v xml:space="preserve">| 1 L INE @ | 4 L NS % | 3 L PHP-CGM % | 5 L PRO % </v>
      </c>
      <c r="AN70" s="4" t="str">
        <f ca="1">IFERROR(__xludf.DUMMYFUNCTION("""COMPUTED_VALUE"""),"| 1 L CPT % | 2 L NS % | 3 P NS % | 5 P JAVA % ")</f>
        <v xml:space="preserve">| 1 L CPT % | 2 L NS % | 3 P NS % | 5 P JAVA % </v>
      </c>
      <c r="AO70" s="4" t="str">
        <f ca="1">IFERROR(__xludf.DUMMYFUNCTION("""COMPUTED_VALUE"""),"| 1 L PHP-CGM % | 2 L JAVA % | 3 P PHP-CGM % | 5 P Python @ ")</f>
        <v xml:space="preserve">| 1 L PHP-CGM % | 2 L JAVA % | 3 P PHP-CGM % | 5 P Python @ </v>
      </c>
      <c r="AP70" s="4" t="str">
        <f ca="1">IFERROR(__xludf.DUMMYFUNCTION("""COMPUTED_VALUE"""),"| 1 P CPT % | 3 L JAVA % | 4 L CPT % | 5 P Python % ")</f>
        <v xml:space="preserve">| 1 P CPT % | 3 L JAVA % | 4 L CPT % | 5 P Python % </v>
      </c>
      <c r="AQ70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70" s="4" t="str">
        <f ca="1">IFERROR(__xludf.DUMMYFUNCTION("""COMPUTED_VALUE"""),"| 1 L INE @ | 3 L PHP-CGM @ | 4 L NS @ | 5 L PRO @ ")</f>
        <v xml:space="preserve">| 1 L INE @ | 3 L PHP-CGM @ | 4 L NS @ | 5 L PRO @ </v>
      </c>
      <c r="AS70" s="4" t="str">
        <f ca="1">IFERROR(__xludf.DUMMYFUNCTION("""COMPUTED_VALUE"""),"| 1 L PHP-CGM % | 2 L JAVA % | 3 P PHP-CGM @ | 5 P Python @ ")</f>
        <v xml:space="preserve">| 1 L PHP-CGM % | 2 L JAVA % | 3 P PHP-CGM @ | 5 P Python @ </v>
      </c>
      <c r="AT70" s="4" t="str">
        <f ca="1">IFERROR(__xludf.DUMMYFUNCTION("""COMPUTED_VALUE"""),"| 1 P CPT % | 3 L JAVA % | 4 L CPT % | 5 P Python % ")</f>
        <v xml:space="preserve">| 1 P CPT % | 3 L JAVA % | 4 L CPT % | 5 P Python % </v>
      </c>
      <c r="AU7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70" s="4" t="str">
        <f ca="1">IFERROR(__xludf.DUMMYFUNCTION("""COMPUTED_VALUE"""),"| 1 L INE % | 3 L PHP-CGM % | 4 L NS % | 7 L PRO % ")</f>
        <v xml:space="preserve">| 1 L INE % | 3 L PHP-CGM % | 4 L NS % | 7 L PRO % </v>
      </c>
      <c r="AW70" s="4" t="str">
        <f ca="1">IFERROR(__xludf.DUMMYFUNCTION("""COMPUTED_VALUE"""),"| 1 L CPT % | 3 P NS % | 2 L NS % | 5 P JAVA % ")</f>
        <v xml:space="preserve">| 1 L CPT % | 3 P NS % | 2 L NS % | 5 P JAVA % </v>
      </c>
      <c r="AX70" s="4" t="str">
        <f ca="1">IFERROR(__xludf.DUMMYFUNCTION("""COMPUTED_VALUE"""),"| 1 L PHP-CGM % | 2 L JAVA % | 3 P PHP-CGM % | 5 P Python % ")</f>
        <v xml:space="preserve">| 1 L PHP-CGM % | 2 L JAVA % | 3 P PHP-CGM % | 5 P Python % </v>
      </c>
      <c r="AY70" s="4" t="str">
        <f ca="1">IFERROR(__xludf.DUMMYFUNCTION("""COMPUTED_VALUE"""),"| 1 P CPT % | 3 L JAVA % | 4 L CPT % | 5 P Python % ")</f>
        <v xml:space="preserve">| 1 P CPT % | 3 L JAVA % | 4 L CPT % | 5 P Python % </v>
      </c>
      <c r="AZ70" s="4" t="str">
        <f ca="1">IFERROR(__xludf.DUMMYFUNCTION("""COMPUTED_VALUE"""),"| 1 L INE % | 3 L PHP-CGM % | 4 L NS % | 5 L PRO % ")</f>
        <v xml:space="preserve">| 1 L INE % | 3 L PHP-CGM % | 4 L NS % | 5 L PRO % </v>
      </c>
      <c r="BA70" s="4" t="str">
        <f ca="1">IFERROR(__xludf.DUMMYFUNCTION("""COMPUTED_VALUE"""),"| 1 L CPT % | 2 L NS % | 3 P NS % | 5 P JAVA % ")</f>
        <v xml:space="preserve">| 1 L CPT % | 2 L NS % | 3 P NS % | 5 P JAVA % </v>
      </c>
      <c r="BB70" s="4" t="str">
        <f ca="1">IFERROR(__xludf.DUMMYFUNCTION("""COMPUTED_VALUE"""),"| 1 L PHP-CGM % | 2 L JAVA % | 3 P PHP-CGM % | 5 P Python % ")</f>
        <v xml:space="preserve">| 1 L PHP-CGM % | 2 L JAVA % | 3 P PHP-CGM % | 5 P Python % </v>
      </c>
      <c r="BC70" s="4" t="str">
        <f ca="1">IFERROR(__xludf.DUMMYFUNCTION("""COMPUTED_VALUE"""),"| 1 P CPT % | 3 L JAVA % | 4 L CPT % | 5 P Python % ")</f>
        <v xml:space="preserve">| 1 P CPT % | 3 L JAVA % | 4 L CPT % | 5 P Python % </v>
      </c>
      <c r="BD70" s="4" t="str">
        <f ca="1">IFERROR(__xludf.DUMMYFUNCTION("""COMPUTED_VALUE"""),"| 1 P JAVA @ | 3 L NS @ | 6 L CPT @ | 5 L PHP-CGM @ | 4 L JAVA @ ")</f>
        <v xml:space="preserve">| 1 P JAVA @ | 3 L NS @ | 6 L CPT @ | 5 L PHP-CGM @ | 4 L JAVA @ </v>
      </c>
      <c r="BE70" s="4" t="str">
        <f ca="1">IFERROR(__xludf.DUMMYFUNCTION("""COMPUTED_VALUE"""),"| 1 L INE @ | 3 L PHP-CGM @ | 4 L NS @ | 5 L PRO @ ")</f>
        <v xml:space="preserve">| 1 L INE @ | 3 L PHP-CGM @ | 4 L NS @ | 5 L PRO @ </v>
      </c>
      <c r="BF70" s="4" t="str">
        <f ca="1">IFERROR(__xludf.DUMMYFUNCTION("""COMPUTED_VALUE"""),"| 1 L CPT @ | 2 L NS @ | 3 P NS @ | 5 P JAVA @ ")</f>
        <v xml:space="preserve">| 1 L CPT @ | 2 L NS @ | 3 P NS @ | 5 P JAVA @ </v>
      </c>
      <c r="BG70" s="4" t="str">
        <f ca="1">IFERROR(__xludf.DUMMYFUNCTION("""COMPUTED_VALUE"""),"| 1 P CPT % | 4 L CPT % | 5 P Python @ ")</f>
        <v xml:space="preserve">| 1 P CPT % | 4 L CPT % | 5 P Python @ </v>
      </c>
      <c r="BH70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70" s="4" t="str">
        <f ca="1">IFERROR(__xludf.DUMMYFUNCTION("""COMPUTED_VALUE"""),"| 1 L INE @ | 3 L PHP-CGM % | 4 L NS % | 5 L PRO % ")</f>
        <v xml:space="preserve">| 1 L INE @ | 3 L PHP-CGM % | 4 L NS % | 5 L PRO % </v>
      </c>
      <c r="BJ70" s="4" t="str">
        <f ca="1">IFERROR(__xludf.DUMMYFUNCTION("""COMPUTED_VALUE"""),"| 1 L CPT % | 2 L NS % | 3 P NS % | 5 P JAVA % ")</f>
        <v xml:space="preserve">| 1 L CPT % | 2 L NS % | 3 P NS % | 5 P JAVA % </v>
      </c>
      <c r="BK70" s="4" t="str">
        <f ca="1">IFERROR(__xludf.DUMMYFUNCTION("""COMPUTED_VALUE"""),"| 1 L PHP-CGM @ | 2 L JAVA @ | 3 P PHP-CGM @ | 5 P Python @ ")</f>
        <v xml:space="preserve">| 1 L PHP-CGM @ | 2 L JAVA @ | 3 P PHP-CGM @ | 5 P Python @ </v>
      </c>
      <c r="BL70" s="4" t="str">
        <f ca="1">IFERROR(__xludf.DUMMYFUNCTION("""COMPUTED_VALUE"""),"| 1 P CPT @ | 3 L JAVA @ | 4 L CPT @ | 5 P Python @ ")</f>
        <v xml:space="preserve">| 1 P CPT @ | 3 L JAVA @ | 4 L CPT @ | 5 P Python @ </v>
      </c>
      <c r="BM70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70" s="4" t="str">
        <f ca="1">IFERROR(__xludf.DUMMYFUNCTION("""COMPUTED_VALUE"""),"| 1 L INE @ | 3 L PHP-CGM @ | 4 L NS @ | 5 L PRO @ ")</f>
        <v xml:space="preserve">| 1 L INE @ | 3 L PHP-CGM @ | 4 L NS @ | 5 L PRO @ </v>
      </c>
      <c r="BO70" s="4" t="str">
        <f ca="1">IFERROR(__xludf.DUMMYFUNCTION("""COMPUTED_VALUE"""),"| 1 L CPT @ | 2 L NS @ | 3 P NS @ ")</f>
        <v xml:space="preserve">| 1 L CPT @ | 2 L NS @ | 3 P NS @ </v>
      </c>
      <c r="BP70" s="4" t="str">
        <f ca="1">IFERROR(__xludf.DUMMYFUNCTION("""COMPUTED_VALUE"""),"| 1 L PHP-CGM % | 2 L JAVA % | 3 P PHP-CGM % | 5 P Python % ")</f>
        <v xml:space="preserve">| 1 L PHP-CGM % | 2 L JAVA % | 3 P PHP-CGM % | 5 P Python % </v>
      </c>
      <c r="BQ70" s="4" t="str">
        <f ca="1">IFERROR(__xludf.DUMMYFUNCTION("""COMPUTED_VALUE"""),"| 5 L PHP-CGM % | 6 L CPT @ ")</f>
        <v xml:space="preserve">| 5 L PHP-CGM % | 6 L CPT @ </v>
      </c>
      <c r="BR70" s="4"/>
      <c r="BS70" s="4"/>
      <c r="BT70" s="4" t="str">
        <f ca="1">IFERROR(__xludf.DUMMYFUNCTION("""COMPUTED_VALUE"""),"| 1 L PHP-CGM % | 2 L JAVA % | 3 P PHP-CGM % ")</f>
        <v xml:space="preserve">| 1 L PHP-CGM % | 2 L JAVA % | 3 P PHP-CGM % </v>
      </c>
      <c r="BU70" s="4" t="str">
        <f ca="1">IFERROR(__xludf.DUMMYFUNCTION("""COMPUTED_VALUE"""),"| 1 P CPT % | 4 L CPT % | 3 L JAVA % ")</f>
        <v xml:space="preserve">| 1 P CPT % | 4 L CPT % | 3 L JAVA % </v>
      </c>
      <c r="BV70" s="4" t="str">
        <f ca="1">IFERROR(__xludf.DUMMYFUNCTION("""COMPUTED_VALUE"""),"| 1 L PHP-CGM % | 2 L JAVA % | 3 P PHP-CGM % | 5 P Python @ ")</f>
        <v xml:space="preserve">| 1 L PHP-CGM % | 2 L JAVA % | 3 P PHP-CGM % | 5 P Python @ </v>
      </c>
      <c r="BW70" s="4" t="str">
        <f ca="1">IFERROR(__xludf.DUMMYFUNCTION("""COMPUTED_VALUE"""),"| 1 P CPT % | 3 L JAVA % | 4 L CPT % ")</f>
        <v xml:space="preserve">| 1 P CPT % | 3 L JAVA % | 4 L CPT % </v>
      </c>
      <c r="BX70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70" s="4" t="str">
        <f ca="1">IFERROR(__xludf.DUMMYFUNCTION("""COMPUTED_VALUE"""),"| 1 L INE % | 3 L PHP-CGM % | 4 L NS % | 5 L PRO @ ")</f>
        <v xml:space="preserve">| 1 L INE % | 3 L PHP-CGM % | 4 L NS % | 5 L PRO @ </v>
      </c>
      <c r="BZ70" s="4" t="str">
        <f ca="1">IFERROR(__xludf.DUMMYFUNCTION("""COMPUTED_VALUE"""),"| 1 L CPT % | 2 L NS % | 3 P NS % | 5 P JAVA % ")</f>
        <v xml:space="preserve">| 1 L CPT % | 2 L NS % | 3 P NS % | 5 P JAVA % </v>
      </c>
      <c r="CA70" s="4" t="str">
        <f ca="1">IFERROR(__xludf.DUMMYFUNCTION("""COMPUTED_VALUE"""),"| 1 L PHP-CGM % | 2 L JAVA % | 3 P PHP-CGM % | 5 P Python % ")</f>
        <v xml:space="preserve">| 1 L PHP-CGM % | 2 L JAVA % | 3 P PHP-CGM % | 5 P Python % </v>
      </c>
      <c r="CB70" s="4" t="str">
        <f ca="1">IFERROR(__xludf.DUMMYFUNCTION("""COMPUTED_VALUE"""),"| 1 P CPT % | 3 L JAVA % | 4 L CPT % | 5 P Python % ")</f>
        <v xml:space="preserve">| 1 P CPT % | 3 L JAVA % | 4 L CPT % | 5 P Python % </v>
      </c>
      <c r="CC70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70" s="4" t="str">
        <f ca="1">IFERROR(__xludf.DUMMYFUNCTION("""COMPUTED_VALUE"""),"| 1 L INE % | 3 L PHP-CGM % | 4 L NS @ | 5 L PRO % ")</f>
        <v xml:space="preserve">| 1 L INE % | 3 L PHP-CGM % | 4 L NS @ | 5 L PRO % </v>
      </c>
      <c r="CE70" s="4" t="str">
        <f ca="1">IFERROR(__xludf.DUMMYFUNCTION("""COMPUTED_VALUE"""),"| 1 L CPT % | 2 L NS % | 3 P NS % | 5 P JAVA @ ")</f>
        <v xml:space="preserve">| 1 L CPT % | 2 L NS % | 3 P NS % | 5 P JAVA @ </v>
      </c>
      <c r="CF70" s="4" t="str">
        <f ca="1">IFERROR(__xludf.DUMMYFUNCTION("""COMPUTED_VALUE"""),"| 1 L PHP-CGM % | 2 L JAVA @ | 3 P PHP-CGM % | 5 P Python % ")</f>
        <v xml:space="preserve">| 1 L PHP-CGM % | 2 L JAVA @ | 3 P PHP-CGM % | 5 P Python % </v>
      </c>
      <c r="CG70" s="4" t="str">
        <f ca="1">IFERROR(__xludf.DUMMYFUNCTION("""COMPUTED_VALUE"""),"| 1 P CPT % | 4 L CPT @ | 5 P Python @ ")</f>
        <v xml:space="preserve">| 1 P CPT % | 4 L CPT @ | 5 P Python @ </v>
      </c>
      <c r="CH70" s="4" t="str">
        <f ca="1">IFERROR(__xludf.DUMMYFUNCTION("""COMPUTED_VALUE"""),"| 1 P JAVA % | 3 L NS @ | 6 L CPT @ ")</f>
        <v xml:space="preserve">| 1 P JAVA % | 3 L NS @ | 6 L CPT @ </v>
      </c>
      <c r="CI70" s="4" t="str">
        <f ca="1">IFERROR(__xludf.DUMMYFUNCTION("""COMPUTED_VALUE"""),"| 1 L INE @ ")</f>
        <v xml:space="preserve">| 1 L INE @ </v>
      </c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</row>
    <row r="71" spans="1:102" ht="12.5" x14ac:dyDescent="0.25">
      <c r="A71" s="3">
        <f ca="1">IFERROR(__xludf.DUMMYFUNCTION("""COMPUTED_VALUE"""),3)</f>
        <v>3</v>
      </c>
      <c r="B71" s="3" t="str">
        <f ca="1">IFERROR(__xludf.DUMMYFUNCTION("""COMPUTED_VALUE"""),"A")</f>
        <v>A</v>
      </c>
      <c r="C71" s="32" t="str">
        <f ca="1">IFERROR(__xludf.DUMMYFUNCTION("""COMPUTED_VALUE"""),"23291341190")</f>
        <v>23291341190</v>
      </c>
      <c r="D71" s="21" t="str">
        <f ca="1">IFERROR(__xludf.DUMMYFUNCTION("""COMPUTED_VALUE"""),"PATEL RIYA RAJENDRABHAI")</f>
        <v>PATEL RIYA RAJENDRABHAI</v>
      </c>
      <c r="E71" s="3" t="str">
        <f ca="1">IFERROR(__xludf.DUMMYFUNCTION("""COMPUTED_VALUE"""),"RRP-Mor")</f>
        <v>RRP-Mor</v>
      </c>
      <c r="F71" s="3">
        <f ca="1">IFERROR(__xludf.DUMMYFUNCTION("""COMPUTED_VALUE"""),9327134739)</f>
        <v>9327134739</v>
      </c>
      <c r="G71" s="3">
        <f ca="1">IFERROR(__xludf.DUMMYFUNCTION("""COMPUTED_VALUE"""),9327134739)</f>
        <v>9327134739</v>
      </c>
      <c r="H71" s="33">
        <f ca="1">IFERROR(__xludf.DUMMYFUNCTION("""COMPUTED_VALUE"""),0.925925925925925)</f>
        <v>0.92592592592592504</v>
      </c>
      <c r="I71" s="25">
        <f ca="1">IFERROR(__xludf.DUMMYFUNCTION("""COMPUTED_VALUE"""),0.861111111111111)</f>
        <v>0.86111111111111105</v>
      </c>
      <c r="J71" s="25">
        <f ca="1">IFERROR(__xludf.DUMMYFUNCTION("""COMPUTED_VALUE"""),0.923076923076923)</f>
        <v>0.92307692307692302</v>
      </c>
      <c r="K71" s="25">
        <f ca="1">IFERROR(__xludf.DUMMYFUNCTION("""COMPUTED_VALUE"""),0.911764705882352)</f>
        <v>0.91176470588235203</v>
      </c>
      <c r="L71" s="25">
        <f ca="1">IFERROR(__xludf.DUMMYFUNCTION("""COMPUTED_VALUE"""),0.909090909090909)</f>
        <v>0.90909090909090895</v>
      </c>
      <c r="M71" s="25">
        <f ca="1">IFERROR(__xludf.DUMMYFUNCTION("""COMPUTED_VALUE"""),0.944444444444444)</f>
        <v>0.94444444444444398</v>
      </c>
      <c r="N71" s="25">
        <f ca="1">IFERROR(__xludf.DUMMYFUNCTION("""COMPUTED_VALUE"""),1)</f>
        <v>1</v>
      </c>
      <c r="O71" s="25">
        <f ca="1">IFERROR(__xludf.DUMMYFUNCTION("""COMPUTED_VALUE"""),0.939393939393939)</f>
        <v>0.939393939393939</v>
      </c>
      <c r="P71" s="25">
        <f ca="1">IFERROR(__xludf.DUMMYFUNCTION("""COMPUTED_VALUE"""),0.904761904761904)</f>
        <v>0.90476190476190399</v>
      </c>
      <c r="Q71" s="25">
        <f ca="1">IFERROR(__xludf.DUMMYFUNCTION("""COMPUTED_VALUE"""),0)</f>
        <v>0</v>
      </c>
      <c r="R71" s="25">
        <f ca="1">IFERROR(__xludf.DUMMYFUNCTION("""COMPUTED_VALUE"""),1)</f>
        <v>1</v>
      </c>
      <c r="S71" s="25">
        <f ca="1">IFERROR(__xludf.DUMMYFUNCTION("""COMPUTED_VALUE"""),0.9)</f>
        <v>0.9</v>
      </c>
      <c r="T71" s="25">
        <f ca="1">IFERROR(__xludf.DUMMYFUNCTION("""COMPUTED_VALUE"""),1)</f>
        <v>1</v>
      </c>
      <c r="U71" s="25">
        <f ca="1">IFERROR(__xludf.DUMMYFUNCTION("""COMPUTED_VALUE"""),0.909090909090909)</f>
        <v>0.90909090909090895</v>
      </c>
      <c r="V71" s="25">
        <f ca="1">IFERROR(__xludf.DUMMYFUNCTION("""COMPUTED_VALUE"""),0)</f>
        <v>0</v>
      </c>
      <c r="W71" s="4"/>
      <c r="X71" s="4" t="str">
        <f ca="1">IFERROR(__xludf.DUMMYFUNCTION("""COMPUTED_VALUE"""),"| 1 L PHP-CGM % | 3 P PHP-CGM % | 5 P Python % ")</f>
        <v xml:space="preserve">| 1 L PHP-CGM % | 3 P PHP-CGM % | 5 P Python % </v>
      </c>
      <c r="Y71" s="4" t="str">
        <f ca="1">IFERROR(__xludf.DUMMYFUNCTION("""COMPUTED_VALUE"""),"| 1 P CPT % | 3 L JAVA % | 4 L CPT % | 5 P Python % ")</f>
        <v xml:space="preserve">| 1 P CPT % | 3 L JAVA % | 4 L CPT % | 5 P Python % </v>
      </c>
      <c r="Z7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71" s="4" t="str">
        <f ca="1">IFERROR(__xludf.DUMMYFUNCTION("""COMPUTED_VALUE"""),"| 3 L PHP-CGM % | 4 L NS % | 1 L INE % | 5 P PRO % ")</f>
        <v xml:space="preserve">| 3 L PHP-CGM % | 4 L NS % | 1 L INE % | 5 P PRO % </v>
      </c>
      <c r="AB71" s="4" t="str">
        <f ca="1">IFERROR(__xludf.DUMMYFUNCTION("""COMPUTED_VALUE"""),"| 1 L CPT % | 2 L NS % | 3 P NS % | 5 P JAVA % ")</f>
        <v xml:space="preserve">| 1 L CPT % | 2 L NS % | 3 P NS % | 5 P JAVA % </v>
      </c>
      <c r="AC71" s="4" t="str">
        <f ca="1">IFERROR(__xludf.DUMMYFUNCTION("""COMPUTED_VALUE"""),"| 1 L PHP-CGM % | 2 L JAVA % | 3 P PHP-CGM % | 5 P Python % ")</f>
        <v xml:space="preserve">| 1 L PHP-CGM % | 2 L JAVA % | 3 P PHP-CGM % | 5 P Python % </v>
      </c>
      <c r="AD71" s="4" t="str">
        <f ca="1">IFERROR(__xludf.DUMMYFUNCTION("""COMPUTED_VALUE"""),"| 1 P CPT % | 3 L JAVA % | 4 L CPT % | 5 P Python % ")</f>
        <v xml:space="preserve">| 1 P CPT % | 3 L JAVA % | 4 L CPT % | 5 P Python % </v>
      </c>
      <c r="AE71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71" s="4" t="str">
        <f ca="1">IFERROR(__xludf.DUMMYFUNCTION("""COMPUTED_VALUE"""),"| 3 L PHP-CGM % | 4 L NS % | 5 P PRO % ")</f>
        <v xml:space="preserve">| 3 L PHP-CGM % | 4 L NS % | 5 P PRO % </v>
      </c>
      <c r="AG71" s="4" t="str">
        <f ca="1">IFERROR(__xludf.DUMMYFUNCTION("""COMPUTED_VALUE"""),"| 1 L CPT % | 2 L NS % | 3 P NS % | 5 P JAVA % ")</f>
        <v xml:space="preserve">| 1 L CPT % | 2 L NS % | 3 P NS % | 5 P JAVA % </v>
      </c>
      <c r="AH71" s="4" t="str">
        <f ca="1">IFERROR(__xludf.DUMMYFUNCTION("""COMPUTED_VALUE"""),"| 3 L PHP-CGM % | 4 L NS % | 5 L PRO % ")</f>
        <v xml:space="preserve">| 3 L PHP-CGM % | 4 L NS % | 5 L PRO % </v>
      </c>
      <c r="AI71" s="4" t="str">
        <f ca="1">IFERROR(__xludf.DUMMYFUNCTION("""COMPUTED_VALUE"""),"| 1 L CPT % | 2 L NS % | 3 P NS % | 5 P JAVA % ")</f>
        <v xml:space="preserve">| 1 L CPT % | 2 L NS % | 3 P NS % | 5 P JAVA % </v>
      </c>
      <c r="AJ71" s="4" t="str">
        <f ca="1">IFERROR(__xludf.DUMMYFUNCTION("""COMPUTED_VALUE"""),"| 1 L PHP-CGM % | 2 L JAVA % | 3 P PHP-CGM % | 5 P Python % ")</f>
        <v xml:space="preserve">| 1 L PHP-CGM % | 2 L JAVA % | 3 P PHP-CGM % | 5 P Python % </v>
      </c>
      <c r="AK71" s="4" t="str">
        <f ca="1">IFERROR(__xludf.DUMMYFUNCTION("""COMPUTED_VALUE"""),"| 1 P CPT % | 3 L JAVA % | 4 L CPT % | 5 P Python % ")</f>
        <v xml:space="preserve">| 1 P CPT % | 3 L JAVA % | 4 L CPT % | 5 P Python % </v>
      </c>
      <c r="AL7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71" s="4" t="str">
        <f ca="1">IFERROR(__xludf.DUMMYFUNCTION("""COMPUTED_VALUE"""),"| 1 L INE % | 4 L NS % | 3 L PHP-CGM % | 5 L PRO % ")</f>
        <v xml:space="preserve">| 1 L INE % | 4 L NS % | 3 L PHP-CGM % | 5 L PRO % </v>
      </c>
      <c r="AN71" s="4" t="str">
        <f ca="1">IFERROR(__xludf.DUMMYFUNCTION("""COMPUTED_VALUE"""),"| 1 L CPT % | 2 L NS % | 3 P NS % | 5 P JAVA % ")</f>
        <v xml:space="preserve">| 1 L CPT % | 2 L NS % | 3 P NS % | 5 P JAVA % </v>
      </c>
      <c r="AO71" s="4" t="str">
        <f ca="1">IFERROR(__xludf.DUMMYFUNCTION("""COMPUTED_VALUE"""),"| 1 L PHP-CGM % | 2 L JAVA % | 3 P PHP-CGM % | 5 P Python % ")</f>
        <v xml:space="preserve">| 1 L PHP-CGM % | 2 L JAVA % | 3 P PHP-CGM % | 5 P Python % </v>
      </c>
      <c r="AP71" s="4" t="str">
        <f ca="1">IFERROR(__xludf.DUMMYFUNCTION("""COMPUTED_VALUE"""),"| 1 P CPT % | 3 L JAVA % | 4 L CPT % | 5 P Python % ")</f>
        <v xml:space="preserve">| 1 P CPT % | 3 L JAVA % | 4 L CPT % | 5 P Python % </v>
      </c>
      <c r="AQ7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71" s="4" t="str">
        <f ca="1">IFERROR(__xludf.DUMMYFUNCTION("""COMPUTED_VALUE"""),"| 1 L INE @ | 3 L PHP-CGM @ | 4 L NS @ | 5 L PRO @ ")</f>
        <v xml:space="preserve">| 1 L INE @ | 3 L PHP-CGM @ | 4 L NS @ | 5 L PRO @ </v>
      </c>
      <c r="AS71" s="4" t="str">
        <f ca="1">IFERROR(__xludf.DUMMYFUNCTION("""COMPUTED_VALUE"""),"| 1 L PHP-CGM % | 2 L JAVA % | 3 P PHP-CGM % | 5 P Python % ")</f>
        <v xml:space="preserve">| 1 L PHP-CGM % | 2 L JAVA % | 3 P PHP-CGM % | 5 P Python % </v>
      </c>
      <c r="AT71" s="4" t="str">
        <f ca="1">IFERROR(__xludf.DUMMYFUNCTION("""COMPUTED_VALUE"""),"| 1 P CPT % | 3 L JAVA % | 4 L CPT % | 5 P Python % ")</f>
        <v xml:space="preserve">| 1 P CPT % | 3 L JAVA % | 4 L CPT % | 5 P Python % </v>
      </c>
      <c r="AU7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71" s="4" t="str">
        <f ca="1">IFERROR(__xludf.DUMMYFUNCTION("""COMPUTED_VALUE"""),"| 1 L INE % | 3 L PHP-CGM % | 4 L NS % | 7 L PRO % ")</f>
        <v xml:space="preserve">| 1 L INE % | 3 L PHP-CGM % | 4 L NS % | 7 L PRO % </v>
      </c>
      <c r="AW71" s="4" t="str">
        <f ca="1">IFERROR(__xludf.DUMMYFUNCTION("""COMPUTED_VALUE"""),"| 1 L CPT % | 3 P NS % | 2 L NS % | 5 P JAVA % ")</f>
        <v xml:space="preserve">| 1 L CPT % | 3 P NS % | 2 L NS % | 5 P JAVA % </v>
      </c>
      <c r="AX71" s="4" t="str">
        <f ca="1">IFERROR(__xludf.DUMMYFUNCTION("""COMPUTED_VALUE"""),"| 1 L PHP-CGM % | 2 L JAVA % | 3 P PHP-CGM % | 5 P Python % ")</f>
        <v xml:space="preserve">| 1 L PHP-CGM % | 2 L JAVA % | 3 P PHP-CGM % | 5 P Python % </v>
      </c>
      <c r="AY71" s="4" t="str">
        <f ca="1">IFERROR(__xludf.DUMMYFUNCTION("""COMPUTED_VALUE"""),"| 1 P CPT % | 3 L JAVA % | 4 L CPT % | 5 P Python % ")</f>
        <v xml:space="preserve">| 1 P CPT % | 3 L JAVA % | 4 L CPT % | 5 P Python % </v>
      </c>
      <c r="AZ71" s="4" t="str">
        <f ca="1">IFERROR(__xludf.DUMMYFUNCTION("""COMPUTED_VALUE"""),"| 1 L INE % | 3 L PHP-CGM % | 4 L NS % | 5 L PRO % ")</f>
        <v xml:space="preserve">| 1 L INE % | 3 L PHP-CGM % | 4 L NS % | 5 L PRO % </v>
      </c>
      <c r="BA71" s="4" t="str">
        <f ca="1">IFERROR(__xludf.DUMMYFUNCTION("""COMPUTED_VALUE"""),"| 1 L CPT @ | 2 L NS @ | 3 P NS @ | 5 P JAVA @ ")</f>
        <v xml:space="preserve">| 1 L CPT @ | 2 L NS @ | 3 P NS @ | 5 P JAVA @ </v>
      </c>
      <c r="BB71" s="4" t="str">
        <f ca="1">IFERROR(__xludf.DUMMYFUNCTION("""COMPUTED_VALUE"""),"| 1 L PHP-CGM % | 2 L JAVA % | 3 P PHP-CGM % | 5 P Python % ")</f>
        <v xml:space="preserve">| 1 L PHP-CGM % | 2 L JAVA % | 3 P PHP-CGM % | 5 P Python % </v>
      </c>
      <c r="BC71" s="4" t="str">
        <f ca="1">IFERROR(__xludf.DUMMYFUNCTION("""COMPUTED_VALUE"""),"| 1 P CPT % | 3 L JAVA % | 4 L CPT % | 5 P Python % ")</f>
        <v xml:space="preserve">| 1 P CPT % | 3 L JAVA % | 4 L CPT % | 5 P Python % </v>
      </c>
      <c r="BD71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71" s="4" t="str">
        <f ca="1">IFERROR(__xludf.DUMMYFUNCTION("""COMPUTED_VALUE"""),"| 1 L INE % | 3 L PHP-CGM % | 4 L NS % | 5 L PRO % ")</f>
        <v xml:space="preserve">| 1 L INE % | 3 L PHP-CGM % | 4 L NS % | 5 L PRO % </v>
      </c>
      <c r="BF71" s="4" t="str">
        <f ca="1">IFERROR(__xludf.DUMMYFUNCTION("""COMPUTED_VALUE"""),"| 1 L CPT % | 2 L NS % | 3 P NS % | 5 P JAVA % ")</f>
        <v xml:space="preserve">| 1 L CPT % | 2 L NS % | 3 P NS % | 5 P JAVA % </v>
      </c>
      <c r="BG71" s="4" t="str">
        <f ca="1">IFERROR(__xludf.DUMMYFUNCTION("""COMPUTED_VALUE"""),"| 1 P CPT % | 4 L CPT % | 5 P Python % ")</f>
        <v xml:space="preserve">| 1 P CPT % | 4 L CPT % | 5 P Python % </v>
      </c>
      <c r="BH7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71" s="4" t="str">
        <f ca="1">IFERROR(__xludf.DUMMYFUNCTION("""COMPUTED_VALUE"""),"| 1 L INE % | 3 L PHP-CGM % | 4 L NS % | 5 L PRO % ")</f>
        <v xml:space="preserve">| 1 L INE % | 3 L PHP-CGM % | 4 L NS % | 5 L PRO % </v>
      </c>
      <c r="BJ71" s="4" t="str">
        <f ca="1">IFERROR(__xludf.DUMMYFUNCTION("""COMPUTED_VALUE"""),"| 1 L CPT % | 2 L NS % | 3 P NS % | 5 P JAVA % ")</f>
        <v xml:space="preserve">| 1 L CPT % | 2 L NS % | 3 P NS % | 5 P JAVA % </v>
      </c>
      <c r="BK71" s="4" t="str">
        <f ca="1">IFERROR(__xludf.DUMMYFUNCTION("""COMPUTED_VALUE"""),"| 1 L PHP-CGM % | 2 L JAVA % | 3 P PHP-CGM % | 5 P Python % ")</f>
        <v xml:space="preserve">| 1 L PHP-CGM % | 2 L JAVA % | 3 P PHP-CGM % | 5 P Python % </v>
      </c>
      <c r="BL71" s="4" t="str">
        <f ca="1">IFERROR(__xludf.DUMMYFUNCTION("""COMPUTED_VALUE"""),"| 1 P CPT % | 3 L JAVA % | 4 L CPT % | 5 P Python % ")</f>
        <v xml:space="preserve">| 1 P CPT % | 3 L JAVA % | 4 L CPT % | 5 P Python % </v>
      </c>
      <c r="BM7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N71" s="4" t="str">
        <f ca="1">IFERROR(__xludf.DUMMYFUNCTION("""COMPUTED_VALUE"""),"| 1 L INE % | 3 L PHP-CGM % | 4 L NS % | 5 L PRO % ")</f>
        <v xml:space="preserve">| 1 L INE % | 3 L PHP-CGM % | 4 L NS % | 5 L PRO % </v>
      </c>
      <c r="BO71" s="4" t="str">
        <f ca="1">IFERROR(__xludf.DUMMYFUNCTION("""COMPUTED_VALUE"""),"| 1 L CPT % | 2 L NS % | 3 P NS % ")</f>
        <v xml:space="preserve">| 1 L CPT % | 2 L NS % | 3 P NS % </v>
      </c>
      <c r="BP71" s="4" t="str">
        <f ca="1">IFERROR(__xludf.DUMMYFUNCTION("""COMPUTED_VALUE"""),"| 1 L PHP-CGM % | 2 L JAVA % | 3 P PHP-CGM % | 5 P Python % ")</f>
        <v xml:space="preserve">| 1 L PHP-CGM % | 2 L JAVA % | 3 P PHP-CGM % | 5 P Python % </v>
      </c>
      <c r="BQ71" s="4" t="str">
        <f ca="1">IFERROR(__xludf.DUMMYFUNCTION("""COMPUTED_VALUE"""),"| 5 L PHP-CGM % | 6 L CPT @ ")</f>
        <v xml:space="preserve">| 5 L PHP-CGM % | 6 L CPT @ </v>
      </c>
      <c r="BR71" s="4"/>
      <c r="BS71" s="4"/>
      <c r="BT71" s="4" t="str">
        <f ca="1">IFERROR(__xludf.DUMMYFUNCTION("""COMPUTED_VALUE"""),"| 1 L PHP-CGM % | 2 L JAVA % | 3 P PHP-CGM % ")</f>
        <v xml:space="preserve">| 1 L PHP-CGM % | 2 L JAVA % | 3 P PHP-CGM % </v>
      </c>
      <c r="BU71" s="4" t="str">
        <f ca="1">IFERROR(__xludf.DUMMYFUNCTION("""COMPUTED_VALUE"""),"| 1 P CPT @ | 4 L CPT @ | 3 L JAVA @ ")</f>
        <v xml:space="preserve">| 1 P CPT @ | 4 L CPT @ | 3 L JAVA @ </v>
      </c>
      <c r="BV71" s="4" t="str">
        <f ca="1">IFERROR(__xludf.DUMMYFUNCTION("""COMPUTED_VALUE"""),"| 1 L PHP-CGM % | 2 L JAVA % | 3 P PHP-CGM % | 5 P Python % ")</f>
        <v xml:space="preserve">| 1 L PHP-CGM % | 2 L JAVA % | 3 P PHP-CGM % | 5 P Python % </v>
      </c>
      <c r="BW71" s="4" t="str">
        <f ca="1">IFERROR(__xludf.DUMMYFUNCTION("""COMPUTED_VALUE"""),"| 1 P CPT % | 3 L JAVA % | 4 L CPT % ")</f>
        <v xml:space="preserve">| 1 P CPT % | 3 L JAVA % | 4 L CPT % </v>
      </c>
      <c r="BX71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71" s="4" t="str">
        <f ca="1">IFERROR(__xludf.DUMMYFUNCTION("""COMPUTED_VALUE"""),"| 1 L INE % | 3 L PHP-CGM % | 4 L NS % | 5 L PRO % ")</f>
        <v xml:space="preserve">| 1 L INE % | 3 L PHP-CGM % | 4 L NS % | 5 L PRO % </v>
      </c>
      <c r="BZ71" s="4" t="str">
        <f ca="1">IFERROR(__xludf.DUMMYFUNCTION("""COMPUTED_VALUE"""),"| 1 L CPT % | 2 L NS % | 3 P NS % | 5 P JAVA % ")</f>
        <v xml:space="preserve">| 1 L CPT % | 2 L NS % | 3 P NS % | 5 P JAVA % </v>
      </c>
      <c r="CA71" s="4" t="str">
        <f ca="1">IFERROR(__xludf.DUMMYFUNCTION("""COMPUTED_VALUE"""),"| 1 L PHP-CGM % | 2 L JAVA % | 3 P PHP-CGM % | 5 P Python % ")</f>
        <v xml:space="preserve">| 1 L PHP-CGM % | 2 L JAVA % | 3 P PHP-CGM % | 5 P Python % </v>
      </c>
      <c r="CB71" s="4" t="str">
        <f ca="1">IFERROR(__xludf.DUMMYFUNCTION("""COMPUTED_VALUE"""),"| 1 P CPT % | 3 L JAVA % | 4 L CPT % | 5 P Python % ")</f>
        <v xml:space="preserve">| 1 P CPT % | 3 L JAVA % | 4 L CPT % | 5 P Python % </v>
      </c>
      <c r="CC71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CD71" s="4" t="str">
        <f ca="1">IFERROR(__xludf.DUMMYFUNCTION("""COMPUTED_VALUE"""),"| 1 L INE % | 3 L PHP-CGM % | 4 L NS % | 5 L PRO % ")</f>
        <v xml:space="preserve">| 1 L INE % | 3 L PHP-CGM % | 4 L NS % | 5 L PRO % </v>
      </c>
      <c r="CE71" s="4" t="str">
        <f ca="1">IFERROR(__xludf.DUMMYFUNCTION("""COMPUTED_VALUE"""),"| 1 L CPT % | 2 L NS % | 3 P NS % | 5 P JAVA % ")</f>
        <v xml:space="preserve">| 1 L CPT % | 2 L NS % | 3 P NS % | 5 P JAVA % </v>
      </c>
      <c r="CF71" s="4" t="str">
        <f ca="1">IFERROR(__xludf.DUMMYFUNCTION("""COMPUTED_VALUE"""),"| 1 L PHP-CGM % | 2 L JAVA % | 3 P PHP-CGM % | 5 P Python % ")</f>
        <v xml:space="preserve">| 1 L PHP-CGM % | 2 L JAVA % | 3 P PHP-CGM % | 5 P Python % </v>
      </c>
      <c r="CG71" s="4" t="str">
        <f ca="1">IFERROR(__xludf.DUMMYFUNCTION("""COMPUTED_VALUE"""),"| 1 P CPT % | 4 L CPT % | 5 P Python % ")</f>
        <v xml:space="preserve">| 1 P CPT % | 4 L CPT % | 5 P Python % </v>
      </c>
      <c r="CH71" s="4" t="str">
        <f ca="1">IFERROR(__xludf.DUMMYFUNCTION("""COMPUTED_VALUE"""),"| 1 P JAVA % | 3 L NS % | 6 L CPT @ ")</f>
        <v xml:space="preserve">| 1 P JAVA % | 3 L NS % | 6 L CPT @ </v>
      </c>
      <c r="CI71" s="4" t="str">
        <f ca="1">IFERROR(__xludf.DUMMYFUNCTION("""COMPUTED_VALUE"""),"| 1 L INE % ")</f>
        <v xml:space="preserve">| 1 L INE % </v>
      </c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</row>
    <row r="72" spans="1:102" ht="12.5" x14ac:dyDescent="0.25">
      <c r="A72" s="3">
        <f ca="1">IFERROR(__xludf.DUMMYFUNCTION("""COMPUTED_VALUE"""),3)</f>
        <v>3</v>
      </c>
      <c r="B72" s="3" t="str">
        <f ca="1">IFERROR(__xludf.DUMMYFUNCTION("""COMPUTED_VALUE"""),"A")</f>
        <v>A</v>
      </c>
      <c r="C72" s="32" t="str">
        <f ca="1">IFERROR(__xludf.DUMMYFUNCTION("""COMPUTED_VALUE"""),"23291341192")</f>
        <v>23291341192</v>
      </c>
      <c r="D72" s="21" t="str">
        <f ca="1">IFERROR(__xludf.DUMMYFUNCTION("""COMPUTED_VALUE"""),"SALVI KRISH GANESHBHAI")</f>
        <v>SALVI KRISH GANESHBHAI</v>
      </c>
      <c r="E72" s="3" t="str">
        <f ca="1">IFERROR(__xludf.DUMMYFUNCTION("""COMPUTED_VALUE"""),"RRP-Mor")</f>
        <v>RRP-Mor</v>
      </c>
      <c r="F72" s="3">
        <f ca="1">IFERROR(__xludf.DUMMYFUNCTION("""COMPUTED_VALUE"""),9327244432)</f>
        <v>9327244432</v>
      </c>
      <c r="G72" s="3">
        <f ca="1">IFERROR(__xludf.DUMMYFUNCTION("""COMPUTED_VALUE"""),9869198610)</f>
        <v>9869198610</v>
      </c>
      <c r="H72" s="33">
        <f ca="1">IFERROR(__xludf.DUMMYFUNCTION("""COMPUTED_VALUE"""),0.633744855967078)</f>
        <v>0.63374485596707797</v>
      </c>
      <c r="I72" s="25">
        <f ca="1">IFERROR(__xludf.DUMMYFUNCTION("""COMPUTED_VALUE"""),0.555555555555555)</f>
        <v>0.55555555555555503</v>
      </c>
      <c r="J72" s="25">
        <f ca="1">IFERROR(__xludf.DUMMYFUNCTION("""COMPUTED_VALUE"""),0.769230769230769)</f>
        <v>0.76923076923076905</v>
      </c>
      <c r="K72" s="25">
        <f ca="1">IFERROR(__xludf.DUMMYFUNCTION("""COMPUTED_VALUE"""),0.705882352941176)</f>
        <v>0.70588235294117596</v>
      </c>
      <c r="L72" s="25">
        <f ca="1">IFERROR(__xludf.DUMMYFUNCTION("""COMPUTED_VALUE"""),0.636363636363636)</f>
        <v>0.63636363636363602</v>
      </c>
      <c r="M72" s="25">
        <f ca="1">IFERROR(__xludf.DUMMYFUNCTION("""COMPUTED_VALUE"""),0.666666666666666)</f>
        <v>0.66666666666666596</v>
      </c>
      <c r="N72" s="25">
        <f ca="1">IFERROR(__xludf.DUMMYFUNCTION("""COMPUTED_VALUE"""),0.615384615384615)</f>
        <v>0.61538461538461497</v>
      </c>
      <c r="O72" s="25">
        <f ca="1">IFERROR(__xludf.DUMMYFUNCTION("""COMPUTED_VALUE"""),0.696969696969697)</f>
        <v>0.69696969696969702</v>
      </c>
      <c r="P72" s="25">
        <f ca="1">IFERROR(__xludf.DUMMYFUNCTION("""COMPUTED_VALUE"""),0.619047619047619)</f>
        <v>0.61904761904761896</v>
      </c>
      <c r="Q72" s="25">
        <f ca="1">IFERROR(__xludf.DUMMYFUNCTION("""COMPUTED_VALUE"""),0)</f>
        <v>0</v>
      </c>
      <c r="R72" s="25">
        <f ca="1">IFERROR(__xludf.DUMMYFUNCTION("""COMPUTED_VALUE"""),0.608695652173913)</f>
        <v>0.60869565217391297</v>
      </c>
      <c r="S72" s="25">
        <f ca="1">IFERROR(__xludf.DUMMYFUNCTION("""COMPUTED_VALUE"""),0.7)</f>
        <v>0.7</v>
      </c>
      <c r="T72" s="25">
        <f ca="1">IFERROR(__xludf.DUMMYFUNCTION("""COMPUTED_VALUE"""),1)</f>
        <v>1</v>
      </c>
      <c r="U72" s="25">
        <f ca="1">IFERROR(__xludf.DUMMYFUNCTION("""COMPUTED_VALUE"""),0.181818181818181)</f>
        <v>0.18181818181818099</v>
      </c>
      <c r="V72" s="25">
        <f ca="1">IFERROR(__xludf.DUMMYFUNCTION("""COMPUTED_VALUE"""),0)</f>
        <v>0</v>
      </c>
      <c r="W72" s="4"/>
      <c r="X72" s="4" t="str">
        <f ca="1">IFERROR(__xludf.DUMMYFUNCTION("""COMPUTED_VALUE"""),"| 1 L PHP-CGM @ | 3 P PHP-CGM @ | 5 P Python @ ")</f>
        <v xml:space="preserve">| 1 L PHP-CGM @ | 3 P PHP-CGM @ | 5 P Python @ </v>
      </c>
      <c r="Y72" s="4" t="str">
        <f ca="1">IFERROR(__xludf.DUMMYFUNCTION("""COMPUTED_VALUE"""),"| 1 P CPT % | 3 L JAVA % | 4 L CPT % | 5 P Python % ")</f>
        <v xml:space="preserve">| 1 P CPT % | 3 L JAVA % | 4 L CPT % | 5 P Python % </v>
      </c>
      <c r="Z7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A72" s="4" t="str">
        <f ca="1">IFERROR(__xludf.DUMMYFUNCTION("""COMPUTED_VALUE"""),"| 3 L PHP-CGM % | 4 L NS % | 1 L INE % | 5 P PRO % ")</f>
        <v xml:space="preserve">| 3 L PHP-CGM % | 4 L NS % | 1 L INE % | 5 P PRO % </v>
      </c>
      <c r="AB72" s="4" t="str">
        <f ca="1">IFERROR(__xludf.DUMMYFUNCTION("""COMPUTED_VALUE"""),"| 1 L CPT % | 2 L NS % | 3 P NS % | 5 P JAVA @ ")</f>
        <v xml:space="preserve">| 1 L CPT % | 2 L NS % | 3 P NS % | 5 P JAVA @ </v>
      </c>
      <c r="AC72" s="4" t="str">
        <f ca="1">IFERROR(__xludf.DUMMYFUNCTION("""COMPUTED_VALUE"""),"| 1 L PHP-CGM % | 2 L JAVA % | 3 P PHP-CGM % | 5 P Python % ")</f>
        <v xml:space="preserve">| 1 L PHP-CGM % | 2 L JAVA % | 3 P PHP-CGM % | 5 P Python % </v>
      </c>
      <c r="AD72" s="4" t="str">
        <f ca="1">IFERROR(__xludf.DUMMYFUNCTION("""COMPUTED_VALUE"""),"| 1 P CPT % | 3 L JAVA % | 4 L CPT % | 5 P Python % ")</f>
        <v xml:space="preserve">| 1 P CPT % | 3 L JAVA % | 4 L CPT % | 5 P Python % </v>
      </c>
      <c r="AE72" s="4" t="str">
        <f ca="1">IFERROR(__xludf.DUMMYFUNCTION("""COMPUTED_VALUE"""),"| 1 P JAVA % | 4 L JAVA % | 3 L NS % | 5 L PHP-CGM % | 6 L CPT % ")</f>
        <v xml:space="preserve">| 1 P JAVA % | 4 L JAVA % | 3 L NS % | 5 L PHP-CGM % | 6 L CPT % </v>
      </c>
      <c r="AF72" s="4" t="str">
        <f ca="1">IFERROR(__xludf.DUMMYFUNCTION("""COMPUTED_VALUE"""),"| 3 L PHP-CGM @ | 4 L NS % | 5 P PRO % ")</f>
        <v xml:space="preserve">| 3 L PHP-CGM @ | 4 L NS % | 5 P PRO % </v>
      </c>
      <c r="AG72" s="4" t="str">
        <f ca="1">IFERROR(__xludf.DUMMYFUNCTION("""COMPUTED_VALUE"""),"| 1 L CPT @ | 2 L NS % | 3 P NS % | 5 P JAVA @ ")</f>
        <v xml:space="preserve">| 1 L CPT @ | 2 L NS % | 3 P NS % | 5 P JAVA @ </v>
      </c>
      <c r="AH72" s="4" t="str">
        <f ca="1">IFERROR(__xludf.DUMMYFUNCTION("""COMPUTED_VALUE"""),"| 3 L PHP-CGM % | 4 L NS % | 5 L PRO % ")</f>
        <v xml:space="preserve">| 3 L PHP-CGM % | 4 L NS % | 5 L PRO % </v>
      </c>
      <c r="AI72" s="4" t="str">
        <f ca="1">IFERROR(__xludf.DUMMYFUNCTION("""COMPUTED_VALUE"""),"| 1 L CPT % | 2 L NS % | 3 P NS % | 5 P JAVA % ")</f>
        <v xml:space="preserve">| 1 L CPT % | 2 L NS % | 3 P NS % | 5 P JAVA % </v>
      </c>
      <c r="AJ72" s="4" t="str">
        <f ca="1">IFERROR(__xludf.DUMMYFUNCTION("""COMPUTED_VALUE"""),"| 1 L PHP-CGM % | 2 L JAVA % | 3 P PHP-CGM @ | 5 P Python @ ")</f>
        <v xml:space="preserve">| 1 L PHP-CGM % | 2 L JAVA % | 3 P PHP-CGM @ | 5 P Python @ </v>
      </c>
      <c r="AK72" s="4" t="str">
        <f ca="1">IFERROR(__xludf.DUMMYFUNCTION("""COMPUTED_VALUE"""),"| 1 P CPT @ | 3 L JAVA @ | 4 L CPT @ | 5 P Python @ ")</f>
        <v xml:space="preserve">| 1 P CPT @ | 3 L JAVA @ | 4 L CPT @ | 5 P Python @ </v>
      </c>
      <c r="AL7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M72" s="4" t="str">
        <f ca="1">IFERROR(__xludf.DUMMYFUNCTION("""COMPUTED_VALUE"""),"| 1 L INE @ | 4 L NS % | 4 L PHP-CGM % | 5 L PRO % ")</f>
        <v xml:space="preserve">| 1 L INE @ | 4 L NS % | 4 L PHP-CGM % | 5 L PRO % </v>
      </c>
      <c r="AN72" s="4" t="str">
        <f ca="1">IFERROR(__xludf.DUMMYFUNCTION("""COMPUTED_VALUE"""),"| 1 L CPT % | 2 L NS % | 3 P NS % | 5 P JAVA @ ")</f>
        <v xml:space="preserve">| 1 L CPT % | 2 L NS % | 3 P NS % | 5 P JAVA @ </v>
      </c>
      <c r="AO72" s="4" t="str">
        <f ca="1">IFERROR(__xludf.DUMMYFUNCTION("""COMPUTED_VALUE"""),"| 1 L PHP-CGM @ | 2 L JAVA @ | 3 P PHP-CGM @ | 5 P Python @ ")</f>
        <v xml:space="preserve">| 1 L PHP-CGM @ | 2 L JAVA @ | 3 P PHP-CGM @ | 5 P Python @ </v>
      </c>
      <c r="AP72" s="4" t="str">
        <f ca="1">IFERROR(__xludf.DUMMYFUNCTION("""COMPUTED_VALUE"""),"| 1 P CPT @ | 3 L JAVA @ | 4 L CPT @ | 5 P Python @ ")</f>
        <v xml:space="preserve">| 1 P CPT @ | 3 L JAVA @ | 4 L CPT @ | 5 P Python @ </v>
      </c>
      <c r="AQ72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R72" s="4" t="str">
        <f ca="1">IFERROR(__xludf.DUMMYFUNCTION("""COMPUTED_VALUE"""),"| 1 L INE @ | 3 L PHP-CGM @ | 4 L NS @ | 5 L PRO @ ")</f>
        <v xml:space="preserve">| 1 L INE @ | 3 L PHP-CGM @ | 4 L NS @ | 5 L PRO @ </v>
      </c>
      <c r="AS72" s="4" t="str">
        <f ca="1">IFERROR(__xludf.DUMMYFUNCTION("""COMPUTED_VALUE"""),"| 1 L PHP-CGM % | 2 L JAVA % | 3 P PHP-CGM % | 5 P Python % ")</f>
        <v xml:space="preserve">| 1 L PHP-CGM % | 2 L JAVA % | 3 P PHP-CGM % | 5 P Python % </v>
      </c>
      <c r="AT72" s="4" t="str">
        <f ca="1">IFERROR(__xludf.DUMMYFUNCTION("""COMPUTED_VALUE"""),"| 1 P CPT % | 3 L JAVA @ | 4 L CPT @ | 5 P Python % ")</f>
        <v xml:space="preserve">| 1 P CPT % | 3 L JAVA @ | 4 L CPT @ | 5 P Python % </v>
      </c>
      <c r="AU7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V72" s="4" t="str">
        <f ca="1">IFERROR(__xludf.DUMMYFUNCTION("""COMPUTED_VALUE"""),"| 1 L INE @ | 3 L PHP-CGM % | 4 L NS % | 7 L PRO % ")</f>
        <v xml:space="preserve">| 1 L INE @ | 3 L PHP-CGM % | 4 L NS % | 7 L PRO % </v>
      </c>
      <c r="AW72" s="4" t="str">
        <f ca="1">IFERROR(__xludf.DUMMYFUNCTION("""COMPUTED_VALUE"""),"| 1 L CPT % | 3 P NS @ | 2 L NS @ | 5 P JAVA % ")</f>
        <v xml:space="preserve">| 1 L CPT % | 3 P NS @ | 2 L NS @ | 5 P JAVA % </v>
      </c>
      <c r="AX72" s="4" t="str">
        <f ca="1">IFERROR(__xludf.DUMMYFUNCTION("""COMPUTED_VALUE"""),"| 1 L PHP-CGM % | 2 L JAVA % | 3 P PHP-CGM % | 5 P Python @ ")</f>
        <v xml:space="preserve">| 1 L PHP-CGM % | 2 L JAVA % | 3 P PHP-CGM % | 5 P Python @ </v>
      </c>
      <c r="AY72" s="4" t="str">
        <f ca="1">IFERROR(__xludf.DUMMYFUNCTION("""COMPUTED_VALUE"""),"| 1 P CPT % | 3 L JAVA % | 4 L CPT % | 5 P Python % ")</f>
        <v xml:space="preserve">| 1 P CPT % | 3 L JAVA % | 4 L CPT % | 5 P Python % </v>
      </c>
      <c r="AZ72" s="4" t="str">
        <f ca="1">IFERROR(__xludf.DUMMYFUNCTION("""COMPUTED_VALUE"""),"| 1 L INE @ | 3 L PHP-CGM % | 4 L NS % | 5 L PRO % ")</f>
        <v xml:space="preserve">| 1 L INE @ | 3 L PHP-CGM % | 4 L NS % | 5 L PRO % </v>
      </c>
      <c r="BA72" s="4" t="str">
        <f ca="1">IFERROR(__xludf.DUMMYFUNCTION("""COMPUTED_VALUE"""),"| 1 L CPT % | 2 L NS % | 3 P NS % | 5 P JAVA % ")</f>
        <v xml:space="preserve">| 1 L CPT % | 2 L NS % | 3 P NS % | 5 P JAVA % </v>
      </c>
      <c r="BB72" s="4" t="str">
        <f ca="1">IFERROR(__xludf.DUMMYFUNCTION("""COMPUTED_VALUE"""),"| 1 L PHP-CGM % | 2 L JAVA % | 3 P PHP-CGM % | 5 P Python % ")</f>
        <v xml:space="preserve">| 1 L PHP-CGM % | 2 L JAVA % | 3 P PHP-CGM % | 5 P Python % </v>
      </c>
      <c r="BC72" s="4" t="str">
        <f ca="1">IFERROR(__xludf.DUMMYFUNCTION("""COMPUTED_VALUE"""),"| 1 P CPT % | 3 L JAVA % | 4 L CPT % | 5 P Python % ")</f>
        <v xml:space="preserve">| 1 P CPT % | 3 L JAVA % | 4 L CPT % | 5 P Python % </v>
      </c>
      <c r="BD72" s="4" t="str">
        <f ca="1">IFERROR(__xludf.DUMMYFUNCTION("""COMPUTED_VALUE"""),"| 1 P JAVA % | 3 L NS % | 6 L CPT % | 5 L PHP-CGM % | 4 L JAVA % ")</f>
        <v xml:space="preserve">| 1 P JAVA % | 3 L NS % | 6 L CPT % | 5 L PHP-CGM % | 4 L JAVA % </v>
      </c>
      <c r="BE72" s="4" t="str">
        <f ca="1">IFERROR(__xludf.DUMMYFUNCTION("""COMPUTED_VALUE"""),"| 1 L INE @ | 3 L PHP-CGM % | 4 L NS % | 5 L PRO @ ")</f>
        <v xml:space="preserve">| 1 L INE @ | 3 L PHP-CGM % | 4 L NS % | 5 L PRO @ </v>
      </c>
      <c r="BF72" s="4" t="str">
        <f ca="1">IFERROR(__xludf.DUMMYFUNCTION("""COMPUTED_VALUE"""),"| 1 L CPT @ | 2 L NS @ | 3 P NS @ | 5 P JAVA @ ")</f>
        <v xml:space="preserve">| 1 L CPT @ | 2 L NS @ | 3 P NS @ | 5 P JAVA @ </v>
      </c>
      <c r="BG72" s="4" t="str">
        <f ca="1">IFERROR(__xludf.DUMMYFUNCTION("""COMPUTED_VALUE"""),"| 1 P CPT % | 4 L CPT @ | 5 P Python % ")</f>
        <v xml:space="preserve">| 1 P CPT % | 4 L CPT @ | 5 P Python % </v>
      </c>
      <c r="BH72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BI72" s="4" t="str">
        <f ca="1">IFERROR(__xludf.DUMMYFUNCTION("""COMPUTED_VALUE"""),"| 1 L INE @ | 3 L PHP-CGM % | 4 L NS % | 5 L PRO % ")</f>
        <v xml:space="preserve">| 1 L INE @ | 3 L PHP-CGM % | 4 L NS % | 5 L PRO % </v>
      </c>
      <c r="BJ72" s="4" t="str">
        <f ca="1">IFERROR(__xludf.DUMMYFUNCTION("""COMPUTED_VALUE"""),"| 1 L CPT @ | 2 L NS @ | 3 P NS @ | 5 P JAVA @ ")</f>
        <v xml:space="preserve">| 1 L CPT @ | 2 L NS @ | 3 P NS @ | 5 P JAVA @ </v>
      </c>
      <c r="BK72" s="4" t="str">
        <f ca="1">IFERROR(__xludf.DUMMYFUNCTION("""COMPUTED_VALUE"""),"| 1 L PHP-CGM @ | 2 L JAVA @ | 3 P PHP-CGM @ | 5 P Python @ ")</f>
        <v xml:space="preserve">| 1 L PHP-CGM @ | 2 L JAVA @ | 3 P PHP-CGM @ | 5 P Python @ </v>
      </c>
      <c r="BL72" s="4" t="str">
        <f ca="1">IFERROR(__xludf.DUMMYFUNCTION("""COMPUTED_VALUE"""),"| 1 P CPT @ | 3 L JAVA @ | 4 L CPT @ | 5 P Python @ ")</f>
        <v xml:space="preserve">| 1 P CPT @ | 3 L JAVA @ | 4 L CPT @ | 5 P Python @ </v>
      </c>
      <c r="BM72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72" s="4" t="str">
        <f ca="1">IFERROR(__xludf.DUMMYFUNCTION("""COMPUTED_VALUE"""),"| 1 L INE @ | 3 L PHP-CGM @ | 4 L NS @ | 5 L PRO @ ")</f>
        <v xml:space="preserve">| 1 L INE @ | 3 L PHP-CGM @ | 4 L NS @ | 5 L PRO @ </v>
      </c>
      <c r="BO72" s="4" t="str">
        <f ca="1">IFERROR(__xludf.DUMMYFUNCTION("""COMPUTED_VALUE"""),"| 1 L CPT @ | 2 L NS @ | 3 P NS @ ")</f>
        <v xml:space="preserve">| 1 L CPT @ | 2 L NS @ | 3 P NS @ </v>
      </c>
      <c r="BP72" s="4" t="str">
        <f ca="1">IFERROR(__xludf.DUMMYFUNCTION("""COMPUTED_VALUE"""),"| 1 L PHP-CGM % | 2 L JAVA % | 3 P PHP-CGM % | 5 P Python @ ")</f>
        <v xml:space="preserve">| 1 L PHP-CGM % | 2 L JAVA % | 3 P PHP-CGM % | 5 P Python @ </v>
      </c>
      <c r="BQ72" s="4" t="str">
        <f ca="1">IFERROR(__xludf.DUMMYFUNCTION("""COMPUTED_VALUE"""),"| 5 L PHP-CGM % | 6 L CPT @ ")</f>
        <v xml:space="preserve">| 5 L PHP-CGM % | 6 L CPT @ </v>
      </c>
      <c r="BR72" s="4"/>
      <c r="BS72" s="4"/>
      <c r="BT72" s="4" t="str">
        <f ca="1">IFERROR(__xludf.DUMMYFUNCTION("""COMPUTED_VALUE"""),"| 1 L PHP-CGM @ | 2 L JAVA @ | 3 P PHP-CGM @ ")</f>
        <v xml:space="preserve">| 1 L PHP-CGM @ | 2 L JAVA @ | 3 P PHP-CGM @ </v>
      </c>
      <c r="BU72" s="4" t="str">
        <f ca="1">IFERROR(__xludf.DUMMYFUNCTION("""COMPUTED_VALUE"""),"| 1 P CPT % | 4 L CPT % | 3 L JAVA % ")</f>
        <v xml:space="preserve">| 1 P CPT % | 4 L CPT % | 3 L JAVA % </v>
      </c>
      <c r="BV72" s="4" t="str">
        <f ca="1">IFERROR(__xludf.DUMMYFUNCTION("""COMPUTED_VALUE"""),"| 1 L PHP-CGM % | 2 L JAVA % | 3 P PHP-CGM % | 5 P Python % ")</f>
        <v xml:space="preserve">| 1 L PHP-CGM % | 2 L JAVA % | 3 P PHP-CGM % | 5 P Python % </v>
      </c>
      <c r="BW72" s="4" t="str">
        <f ca="1">IFERROR(__xludf.DUMMYFUNCTION("""COMPUTED_VALUE"""),"| 1 P CPT % | 3 L JAVA % | 4 L CPT % ")</f>
        <v xml:space="preserve">| 1 P CPT % | 3 L JAVA % | 4 L CPT % </v>
      </c>
      <c r="BX72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BY72" s="4" t="str">
        <f ca="1">IFERROR(__xludf.DUMMYFUNCTION("""COMPUTED_VALUE"""),"| 1 L INE @ | 3 L PHP-CGM % | 4 L NS % | 5 L PRO % ")</f>
        <v xml:space="preserve">| 1 L INE @ | 3 L PHP-CGM % | 4 L NS % | 5 L PRO % </v>
      </c>
      <c r="BZ72" s="4" t="str">
        <f ca="1">IFERROR(__xludf.DUMMYFUNCTION("""COMPUTED_VALUE"""),"| 1 L CPT % | 2 L NS % | 3 P NS % | 5 P JAVA % ")</f>
        <v xml:space="preserve">| 1 L CPT % | 2 L NS % | 3 P NS % | 5 P JAVA % </v>
      </c>
      <c r="CA72" s="4" t="str">
        <f ca="1">IFERROR(__xludf.DUMMYFUNCTION("""COMPUTED_VALUE"""),"| 1 L PHP-CGM % | 2 L JAVA % | 3 P PHP-CGM % | 5 P Python % ")</f>
        <v xml:space="preserve">| 1 L PHP-CGM % | 2 L JAVA % | 3 P PHP-CGM % | 5 P Python % </v>
      </c>
      <c r="CB72" s="4" t="str">
        <f ca="1">IFERROR(__xludf.DUMMYFUNCTION("""COMPUTED_VALUE"""),"| 1 P CPT % | 3 L JAVA % | 4 L CPT % | 5 P Python % ")</f>
        <v xml:space="preserve">| 1 P CPT % | 3 L JAVA % | 4 L CPT % | 5 P Python % </v>
      </c>
      <c r="CC72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72" s="4" t="str">
        <f ca="1">IFERROR(__xludf.DUMMYFUNCTION("""COMPUTED_VALUE"""),"| 1 L INE % | 3 L PHP-CGM @ | 4 L NS @ | 5 L PRO % ")</f>
        <v xml:space="preserve">| 1 L INE % | 3 L PHP-CGM @ | 4 L NS @ | 5 L PRO % </v>
      </c>
      <c r="CE72" s="4" t="str">
        <f ca="1">IFERROR(__xludf.DUMMYFUNCTION("""COMPUTED_VALUE"""),"| 1 L CPT % | 2 L NS % | 3 P NS % | 5 P JAVA @ ")</f>
        <v xml:space="preserve">| 1 L CPT % | 2 L NS % | 3 P NS % | 5 P JAVA @ </v>
      </c>
      <c r="CF72" s="4" t="str">
        <f ca="1">IFERROR(__xludf.DUMMYFUNCTION("""COMPUTED_VALUE"""),"| 1 L PHP-CGM % | 2 L JAVA @ | 3 P PHP-CGM % | 5 P Python % ")</f>
        <v xml:space="preserve">| 1 L PHP-CGM % | 2 L JAVA @ | 3 P PHP-CGM % | 5 P Python % </v>
      </c>
      <c r="CG72" s="4" t="str">
        <f ca="1">IFERROR(__xludf.DUMMYFUNCTION("""COMPUTED_VALUE"""),"| 1 P CPT % | 4 L CPT @ | 5 P Python % ")</f>
        <v xml:space="preserve">| 1 P CPT % | 4 L CPT @ | 5 P Python % </v>
      </c>
      <c r="CH72" s="4" t="str">
        <f ca="1">IFERROR(__xludf.DUMMYFUNCTION("""COMPUTED_VALUE"""),"| 1 P JAVA % | 3 L NS @ | 6 L CPT @ ")</f>
        <v xml:space="preserve">| 1 P JAVA % | 3 L NS @ | 6 L CPT @ </v>
      </c>
      <c r="CI72" s="4" t="str">
        <f ca="1">IFERROR(__xludf.DUMMYFUNCTION("""COMPUTED_VALUE"""),"| 1 L INE @ ")</f>
        <v xml:space="preserve">| 1 L INE @ </v>
      </c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</row>
    <row r="73" spans="1:102" ht="12.5" x14ac:dyDescent="0.25">
      <c r="A73" s="3">
        <f ca="1">IFERROR(__xludf.DUMMYFUNCTION("""COMPUTED_VALUE"""),3)</f>
        <v>3</v>
      </c>
      <c r="B73" s="3" t="str">
        <f ca="1">IFERROR(__xludf.DUMMYFUNCTION("""COMPUTED_VALUE"""),"A")</f>
        <v>A</v>
      </c>
      <c r="C73" s="32" t="str">
        <f ca="1">IFERROR(__xludf.DUMMYFUNCTION("""COMPUTED_VALUE"""),"23291341193")</f>
        <v>23291341193</v>
      </c>
      <c r="D73" s="21" t="str">
        <f ca="1">IFERROR(__xludf.DUMMYFUNCTION("""COMPUTED_VALUE"""),"SUTHAR TAKSH BHAVESHBHAI")</f>
        <v>SUTHAR TAKSH BHAVESHBHAI</v>
      </c>
      <c r="E73" s="3" t="str">
        <f ca="1">IFERROR(__xludf.DUMMYFUNCTION("""COMPUTED_VALUE"""),"RRP-Mor")</f>
        <v>RRP-Mor</v>
      </c>
      <c r="F73" s="3">
        <f ca="1">IFERROR(__xludf.DUMMYFUNCTION("""COMPUTED_VALUE"""),9316138287)</f>
        <v>9316138287</v>
      </c>
      <c r="G73" s="3">
        <f ca="1">IFERROR(__xludf.DUMMYFUNCTION("""COMPUTED_VALUE"""),9687643695)</f>
        <v>9687643695</v>
      </c>
      <c r="H73" s="33">
        <f ca="1">IFERROR(__xludf.DUMMYFUNCTION("""COMPUTED_VALUE"""),0.304526748971193)</f>
        <v>0.30452674897119297</v>
      </c>
      <c r="I73" s="25">
        <f ca="1">IFERROR(__xludf.DUMMYFUNCTION("""COMPUTED_VALUE"""),0.194444444444444)</f>
        <v>0.194444444444444</v>
      </c>
      <c r="J73" s="25">
        <f ca="1">IFERROR(__xludf.DUMMYFUNCTION("""COMPUTED_VALUE"""),0.461538461538461)</f>
        <v>0.46153846153846101</v>
      </c>
      <c r="K73" s="25">
        <f ca="1">IFERROR(__xludf.DUMMYFUNCTION("""COMPUTED_VALUE"""),0.323529411764705)</f>
        <v>0.32352941176470501</v>
      </c>
      <c r="L73" s="25">
        <f ca="1">IFERROR(__xludf.DUMMYFUNCTION("""COMPUTED_VALUE"""),0.272727272727272)</f>
        <v>0.27272727272727199</v>
      </c>
      <c r="M73" s="25">
        <f ca="1">IFERROR(__xludf.DUMMYFUNCTION("""COMPUTED_VALUE"""),0.305555555555555)</f>
        <v>0.30555555555555503</v>
      </c>
      <c r="N73" s="25">
        <f ca="1">IFERROR(__xludf.DUMMYFUNCTION("""COMPUTED_VALUE"""),0.384615384615384)</f>
        <v>0.38461538461538403</v>
      </c>
      <c r="O73" s="25">
        <f ca="1">IFERROR(__xludf.DUMMYFUNCTION("""COMPUTED_VALUE"""),0.363636363636363)</f>
        <v>0.36363636363636298</v>
      </c>
      <c r="P73" s="25">
        <f ca="1">IFERROR(__xludf.DUMMYFUNCTION("""COMPUTED_VALUE"""),0.333333333333333)</f>
        <v>0.33333333333333298</v>
      </c>
      <c r="Q73" s="25">
        <f ca="1">IFERROR(__xludf.DUMMYFUNCTION("""COMPUTED_VALUE"""),0)</f>
        <v>0</v>
      </c>
      <c r="R73" s="25">
        <f ca="1">IFERROR(__xludf.DUMMYFUNCTION("""COMPUTED_VALUE"""),0.304347826086956)</f>
        <v>0.30434782608695599</v>
      </c>
      <c r="S73" s="25">
        <f ca="1">IFERROR(__xludf.DUMMYFUNCTION("""COMPUTED_VALUE"""),0.3)</f>
        <v>0.3</v>
      </c>
      <c r="T73" s="25">
        <f ca="1">IFERROR(__xludf.DUMMYFUNCTION("""COMPUTED_VALUE"""),0.5)</f>
        <v>0.5</v>
      </c>
      <c r="U73" s="25">
        <f ca="1">IFERROR(__xludf.DUMMYFUNCTION("""COMPUTED_VALUE"""),0.0909090909090909)</f>
        <v>9.0909090909090898E-2</v>
      </c>
      <c r="V73" s="25">
        <f ca="1">IFERROR(__xludf.DUMMYFUNCTION("""COMPUTED_VALUE"""),0)</f>
        <v>0</v>
      </c>
      <c r="W73" s="4"/>
      <c r="X73" s="4" t="str">
        <f ca="1">IFERROR(__xludf.DUMMYFUNCTION("""COMPUTED_VALUE"""),"| 1 L PHP-CGM % | 3 P PHP-CGM % | 5 P Python % ")</f>
        <v xml:space="preserve">| 1 L PHP-CGM % | 3 P PHP-CGM % | 5 P Python % </v>
      </c>
      <c r="Y73" s="4" t="str">
        <f ca="1">IFERROR(__xludf.DUMMYFUNCTION("""COMPUTED_VALUE"""),"| 1 P CPT % | 3 L JAVA % | 4 L CPT % | 5 P Python % ")</f>
        <v xml:space="preserve">| 1 P CPT % | 3 L JAVA % | 4 L CPT % | 5 P Python % </v>
      </c>
      <c r="Z73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A73" s="4" t="str">
        <f ca="1">IFERROR(__xludf.DUMMYFUNCTION("""COMPUTED_VALUE"""),"| 3 L PHP-CGM @ | 4 L NS @ | 1 L INE @ | 5 P PRO @ ")</f>
        <v xml:space="preserve">| 3 L PHP-CGM @ | 4 L NS @ | 1 L INE @ | 5 P PRO @ </v>
      </c>
      <c r="AB73" s="4" t="str">
        <f ca="1">IFERROR(__xludf.DUMMYFUNCTION("""COMPUTED_VALUE"""),"| 1 L CPT @ | 2 L NS @ | 3 P NS @ | 5 P JAVA @ ")</f>
        <v xml:space="preserve">| 1 L CPT @ | 2 L NS @ | 3 P NS @ | 5 P JAVA @ </v>
      </c>
      <c r="AC73" s="4" t="str">
        <f ca="1">IFERROR(__xludf.DUMMYFUNCTION("""COMPUTED_VALUE"""),"| 1 L PHP-CGM % | 2 L JAVA % | 3 P PHP-CGM % | 5 P Python @ ")</f>
        <v xml:space="preserve">| 1 L PHP-CGM % | 2 L JAVA % | 3 P PHP-CGM % | 5 P Python @ </v>
      </c>
      <c r="AD73" s="4" t="str">
        <f ca="1">IFERROR(__xludf.DUMMYFUNCTION("""COMPUTED_VALUE"""),"| 1 P CPT @ | 3 L JAVA @ | 4 L CPT @ | 5 P Python @ ")</f>
        <v xml:space="preserve">| 1 P CPT @ | 3 L JAVA @ | 4 L CPT @ | 5 P Python @ </v>
      </c>
      <c r="AE73" s="4" t="str">
        <f ca="1">IFERROR(__xludf.DUMMYFUNCTION("""COMPUTED_VALUE"""),"| 1 P JAVA % | 4 L JAVA % | 3 L NS % | 5 L PHP-CGM @ | 6 L CPT @ ")</f>
        <v xml:space="preserve">| 1 P JAVA % | 4 L JAVA % | 3 L NS % | 5 L PHP-CGM @ | 6 L CPT @ </v>
      </c>
      <c r="AF73" s="4" t="str">
        <f ca="1">IFERROR(__xludf.DUMMYFUNCTION("""COMPUTED_VALUE"""),"| 3 L PHP-CGM % | 4 L NS % | 5 P PRO % ")</f>
        <v xml:space="preserve">| 3 L PHP-CGM % | 4 L NS % | 5 P PRO % </v>
      </c>
      <c r="AG73" s="4" t="str">
        <f ca="1">IFERROR(__xludf.DUMMYFUNCTION("""COMPUTED_VALUE"""),"| 1 L CPT @ | 2 L NS @ | 3 P NS @ | 5 P JAVA @ ")</f>
        <v xml:space="preserve">| 1 L CPT @ | 2 L NS @ | 3 P NS @ | 5 P JAVA @ </v>
      </c>
      <c r="AH73" s="4" t="str">
        <f ca="1">IFERROR(__xludf.DUMMYFUNCTION("""COMPUTED_VALUE"""),"| 3 L PHP-CGM % | 4 L NS % | 5 L PRO % ")</f>
        <v xml:space="preserve">| 3 L PHP-CGM % | 4 L NS % | 5 L PRO % </v>
      </c>
      <c r="AI73" s="4" t="str">
        <f ca="1">IFERROR(__xludf.DUMMYFUNCTION("""COMPUTED_VALUE"""),"| 1 L CPT @ | 2 L NS % | 3 P NS % | 5 P JAVA % ")</f>
        <v xml:space="preserve">| 1 L CPT @ | 2 L NS % | 3 P NS % | 5 P JAVA % </v>
      </c>
      <c r="AJ73" s="4" t="str">
        <f ca="1">IFERROR(__xludf.DUMMYFUNCTION("""COMPUTED_VALUE"""),"| 1 L PHP-CGM @ | 2 L JAVA @ | 3 P PHP-CGM @ | 5 P Python @ ")</f>
        <v xml:space="preserve">| 1 L PHP-CGM @ | 2 L JAVA @ | 3 P PHP-CGM @ | 5 P Python @ </v>
      </c>
      <c r="AK73" s="4" t="str">
        <f ca="1">IFERROR(__xludf.DUMMYFUNCTION("""COMPUTED_VALUE"""),"| 1 P CPT % | 3 L JAVA % | 4 L CPT % | 5 P Python @ ")</f>
        <v xml:space="preserve">| 1 P CPT % | 3 L JAVA % | 4 L CPT % | 5 P Python @ </v>
      </c>
      <c r="AL73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AM73" s="4" t="str">
        <f ca="1">IFERROR(__xludf.DUMMYFUNCTION("""COMPUTED_VALUE"""),"| 1 L INE @ | 4 L NS @ | 3 L PHP-CGM @ | 5 L PRO % ")</f>
        <v xml:space="preserve">| 1 L INE @ | 4 L NS @ | 3 L PHP-CGM @ | 5 L PRO % </v>
      </c>
      <c r="AN73" s="4" t="str">
        <f ca="1">IFERROR(__xludf.DUMMYFUNCTION("""COMPUTED_VALUE"""),"| 1 L CPT @ | 2 L NS @ | 3 P NS @ | 5 P JAVA @ ")</f>
        <v xml:space="preserve">| 1 L CPT @ | 2 L NS @ | 3 P NS @ | 5 P JAVA @ </v>
      </c>
      <c r="AO73" s="4" t="str">
        <f ca="1">IFERROR(__xludf.DUMMYFUNCTION("""COMPUTED_VALUE"""),"| 1 L PHP-CGM @ | 2 L JAVA @ | 3 P PHP-CGM @ | 5 P Python @ ")</f>
        <v xml:space="preserve">| 1 L PHP-CGM @ | 2 L JAVA @ | 3 P PHP-CGM @ | 5 P Python @ </v>
      </c>
      <c r="AP73" s="4" t="str">
        <f ca="1">IFERROR(__xludf.DUMMYFUNCTION("""COMPUTED_VALUE"""),"| 1 P CPT % | 3 L JAVA % | 4 L CPT % | 5 P Python % ")</f>
        <v xml:space="preserve">| 1 P CPT % | 3 L JAVA % | 4 L CPT % | 5 P Python % </v>
      </c>
      <c r="AQ73" s="4" t="str">
        <f ca="1">IFERROR(__xludf.DUMMYFUNCTION("""COMPUTED_VALUE"""),"| 1 P JAVA % | 3 L NS % | 4 L JAVA % | 5 L PHP-CGM % | 6 L CPT % ")</f>
        <v xml:space="preserve">| 1 P JAVA % | 3 L NS % | 4 L JAVA % | 5 L PHP-CGM % | 6 L CPT % </v>
      </c>
      <c r="AR73" s="4" t="str">
        <f ca="1">IFERROR(__xludf.DUMMYFUNCTION("""COMPUTED_VALUE"""),"| 1 L INE @ | 3 L PHP-CGM @ | 4 L NS @ | 5 L PRO @ ")</f>
        <v xml:space="preserve">| 1 L INE @ | 3 L PHP-CGM @ | 4 L NS @ | 5 L PRO @ </v>
      </c>
      <c r="AS73" s="4" t="str">
        <f ca="1">IFERROR(__xludf.DUMMYFUNCTION("""COMPUTED_VALUE"""),"| 1 L PHP-CGM % | 2 L JAVA % | 3 P PHP-CGM % | 5 P Python @ ")</f>
        <v xml:space="preserve">| 1 L PHP-CGM % | 2 L JAVA % | 3 P PHP-CGM % | 5 P Python @ </v>
      </c>
      <c r="AT73" s="4" t="str">
        <f ca="1">IFERROR(__xludf.DUMMYFUNCTION("""COMPUTED_VALUE"""),"| 1 P CPT @ | 3 L JAVA @ | 4 L CPT @ | 5 P Python @ ")</f>
        <v xml:space="preserve">| 1 P CPT @ | 3 L JAVA @ | 4 L CPT @ | 5 P Python @ </v>
      </c>
      <c r="AU73" s="4" t="str">
        <f ca="1">IFERROR(__xludf.DUMMYFUNCTION("""COMPUTED_VALUE"""),"| 1 P JAVA @ | 3 L NS % | 4 L JAVA % | 5 L PHP-CGM @ | 6 L CPT @ ")</f>
        <v xml:space="preserve">| 1 P JAVA @ | 3 L NS % | 4 L JAVA % | 5 L PHP-CGM @ | 6 L CPT @ </v>
      </c>
      <c r="AV73" s="4" t="str">
        <f ca="1">IFERROR(__xludf.DUMMYFUNCTION("""COMPUTED_VALUE"""),"| 1 L INE @ | 3 L PHP-CGM @ | 4 L NS @ | 7 L PRO @ ")</f>
        <v xml:space="preserve">| 1 L INE @ | 3 L PHP-CGM @ | 4 L NS @ | 7 L PRO @ </v>
      </c>
      <c r="AW73" s="4" t="str">
        <f ca="1">IFERROR(__xludf.DUMMYFUNCTION("""COMPUTED_VALUE"""),"| 1 L CPT @ | 3 P NS @ | 2 L NS @ | 5 P JAVA @ ")</f>
        <v xml:space="preserve">| 1 L CPT @ | 3 P NS @ | 2 L NS @ | 5 P JAVA @ </v>
      </c>
      <c r="AX73" s="4" t="str">
        <f ca="1">IFERROR(__xludf.DUMMYFUNCTION("""COMPUTED_VALUE"""),"| 1 L PHP-CGM @ | 2 L JAVA @ | 3 P PHP-CGM @ | 5 P Python @ ")</f>
        <v xml:space="preserve">| 1 L PHP-CGM @ | 2 L JAVA @ | 3 P PHP-CGM @ | 5 P Python @ </v>
      </c>
      <c r="AY73" s="4" t="str">
        <f ca="1">IFERROR(__xludf.DUMMYFUNCTION("""COMPUTED_VALUE"""),"| 1 P CPT @ | 3 L JAVA @ | 4 L CPT @ | 5 P Python @ ")</f>
        <v xml:space="preserve">| 1 P CPT @ | 3 L JAVA @ | 4 L CPT @ | 5 P Python @ </v>
      </c>
      <c r="AZ73" s="4" t="str">
        <f ca="1">IFERROR(__xludf.DUMMYFUNCTION("""COMPUTED_VALUE"""),"| 1 L INE @ | 3 L PHP-CGM @ | 4 L NS @ | 5 L PRO @ ")</f>
        <v xml:space="preserve">| 1 L INE @ | 3 L PHP-CGM @ | 4 L NS @ | 5 L PRO @ </v>
      </c>
      <c r="BA73" s="4" t="str">
        <f ca="1">IFERROR(__xludf.DUMMYFUNCTION("""COMPUTED_VALUE"""),"| 1 L CPT % | 2 L NS % | 3 P NS % | 5 P JAVA % ")</f>
        <v xml:space="preserve">| 1 L CPT % | 2 L NS % | 3 P NS % | 5 P JAVA % </v>
      </c>
      <c r="BB73" s="4" t="str">
        <f ca="1">IFERROR(__xludf.DUMMYFUNCTION("""COMPUTED_VALUE"""),"| 1 L PHP-CGM % | 2 L JAVA % | 3 P PHP-CGM % | 5 P Python % ")</f>
        <v xml:space="preserve">| 1 L PHP-CGM % | 2 L JAVA % | 3 P PHP-CGM % | 5 P Python % </v>
      </c>
      <c r="BC73" s="4" t="str">
        <f ca="1">IFERROR(__xludf.DUMMYFUNCTION("""COMPUTED_VALUE"""),"| 1 P CPT % | 3 L JAVA % | 4 L CPT % | 5 P Python % ")</f>
        <v xml:space="preserve">| 1 P CPT % | 3 L JAVA % | 4 L CPT % | 5 P Python % </v>
      </c>
      <c r="BD73" s="4" t="str">
        <f ca="1">IFERROR(__xludf.DUMMYFUNCTION("""COMPUTED_VALUE"""),"| 1 P JAVA @ | 3 L NS @ | 6 L CPT @ | 5 L PHP-CGM @ | 4 L JAVA @ ")</f>
        <v xml:space="preserve">| 1 P JAVA @ | 3 L NS @ | 6 L CPT @ | 5 L PHP-CGM @ | 4 L JAVA @ </v>
      </c>
      <c r="BE73" s="4" t="str">
        <f ca="1">IFERROR(__xludf.DUMMYFUNCTION("""COMPUTED_VALUE"""),"| 1 L INE @ | 3 L PHP-CGM % | 4 L NS % | 5 L PRO @ ")</f>
        <v xml:space="preserve">| 1 L INE @ | 3 L PHP-CGM % | 4 L NS % | 5 L PRO @ </v>
      </c>
      <c r="BF73" s="4" t="str">
        <f ca="1">IFERROR(__xludf.DUMMYFUNCTION("""COMPUTED_VALUE"""),"| 1 L CPT % | 2 L NS % | 3 P NS @ | 5 P JAVA @ ")</f>
        <v xml:space="preserve">| 1 L CPT % | 2 L NS % | 3 P NS @ | 5 P JAVA @ </v>
      </c>
      <c r="BG73" s="4" t="str">
        <f ca="1">IFERROR(__xludf.DUMMYFUNCTION("""COMPUTED_VALUE"""),"| 1 P CPT % | 4 L CPT @ | 5 P Python @ ")</f>
        <v xml:space="preserve">| 1 P CPT % | 4 L CPT @ | 5 P Python @ </v>
      </c>
      <c r="BH73" s="4" t="str">
        <f ca="1">IFERROR(__xludf.DUMMYFUNCTION("""COMPUTED_VALUE"""),"| 1 P JAVA % | 3 L NS @ | 4 L JAVA @ | 5 L PHP-CGM @ | 6 L CPT @ ")</f>
        <v xml:space="preserve">| 1 P JAVA % | 3 L NS @ | 4 L JAVA @ | 5 L PHP-CGM @ | 6 L CPT @ </v>
      </c>
      <c r="BI73" s="4" t="str">
        <f ca="1">IFERROR(__xludf.DUMMYFUNCTION("""COMPUTED_VALUE"""),"| 1 L INE @ | 3 L PHP-CGM @ | 4 L NS @ | 5 L PRO @ ")</f>
        <v xml:space="preserve">| 1 L INE @ | 3 L PHP-CGM @ | 4 L NS @ | 5 L PRO @ </v>
      </c>
      <c r="BJ73" s="4" t="str">
        <f ca="1">IFERROR(__xludf.DUMMYFUNCTION("""COMPUTED_VALUE"""),"| 1 L CPT @ | 2 L NS @ | 3 P NS @ | 5 P JAVA @ ")</f>
        <v xml:space="preserve">| 1 L CPT @ | 2 L NS @ | 3 P NS @ | 5 P JAVA @ </v>
      </c>
      <c r="BK73" s="4" t="str">
        <f ca="1">IFERROR(__xludf.DUMMYFUNCTION("""COMPUTED_VALUE"""),"| 1 L PHP-CGM @ | 2 L JAVA @ | 3 P PHP-CGM @ | 5 P Python @ ")</f>
        <v xml:space="preserve">| 1 L PHP-CGM @ | 2 L JAVA @ | 3 P PHP-CGM @ | 5 P Python @ </v>
      </c>
      <c r="BL73" s="4" t="str">
        <f ca="1">IFERROR(__xludf.DUMMYFUNCTION("""COMPUTED_VALUE"""),"| 1 P CPT @ | 3 L JAVA @ | 4 L CPT @ | 5 P Python @ ")</f>
        <v xml:space="preserve">| 1 P CPT @ | 3 L JAVA @ | 4 L CPT @ | 5 P Python @ </v>
      </c>
      <c r="BM73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N73" s="4" t="str">
        <f ca="1">IFERROR(__xludf.DUMMYFUNCTION("""COMPUTED_VALUE"""),"| 1 L INE @ | 3 L PHP-CGM @ | 4 L NS @ | 5 L PRO @ ")</f>
        <v xml:space="preserve">| 1 L INE @ | 3 L PHP-CGM @ | 4 L NS @ | 5 L PRO @ </v>
      </c>
      <c r="BO73" s="4" t="str">
        <f ca="1">IFERROR(__xludf.DUMMYFUNCTION("""COMPUTED_VALUE"""),"| 1 L CPT @ | 2 L NS @ | 3 P NS @ ")</f>
        <v xml:space="preserve">| 1 L CPT @ | 2 L NS @ | 3 P NS @ </v>
      </c>
      <c r="BP73" s="4" t="str">
        <f ca="1">IFERROR(__xludf.DUMMYFUNCTION("""COMPUTED_VALUE"""),"| 1 L PHP-CGM @ | 2 L JAVA @ | 3 P PHP-CGM @ | 5 P Python @ ")</f>
        <v xml:space="preserve">| 1 L PHP-CGM @ | 2 L JAVA @ | 3 P PHP-CGM @ | 5 P Python @ </v>
      </c>
      <c r="BQ73" s="4" t="str">
        <f ca="1">IFERROR(__xludf.DUMMYFUNCTION("""COMPUTED_VALUE"""),"| 5 L PHP-CGM % | 6 L CPT @ ")</f>
        <v xml:space="preserve">| 5 L PHP-CGM % | 6 L CPT @ </v>
      </c>
      <c r="BR73" s="4"/>
      <c r="BS73" s="4"/>
      <c r="BT73" s="4" t="str">
        <f ca="1">IFERROR(__xludf.DUMMYFUNCTION("""COMPUTED_VALUE"""),"| 1 L PHP-CGM @ | 2 L JAVA @ | 3 P PHP-CGM @ ")</f>
        <v xml:space="preserve">| 1 L PHP-CGM @ | 2 L JAVA @ | 3 P PHP-CGM @ </v>
      </c>
      <c r="BU73" s="4" t="str">
        <f ca="1">IFERROR(__xludf.DUMMYFUNCTION("""COMPUTED_VALUE"""),"| 1 P CPT @ | 4 L CPT @ | 3 L JAVA @ ")</f>
        <v xml:space="preserve">| 1 P CPT @ | 4 L CPT @ | 3 L JAVA @ </v>
      </c>
      <c r="BV73" s="4" t="str">
        <f ca="1">IFERROR(__xludf.DUMMYFUNCTION("""COMPUTED_VALUE"""),"| 1 L PHP-CGM % | 2 L JAVA % | 3 P PHP-CGM @ | 5 P Python @ ")</f>
        <v xml:space="preserve">| 1 L PHP-CGM % | 2 L JAVA % | 3 P PHP-CGM @ | 5 P Python @ </v>
      </c>
      <c r="BW73" s="4" t="str">
        <f ca="1">IFERROR(__xludf.DUMMYFUNCTION("""COMPUTED_VALUE"""),"| 1 P CPT @ | 3 L JAVA @ | 4 L CPT @ ")</f>
        <v xml:space="preserve">| 1 P CPT @ | 3 L JAVA @ | 4 L CPT @ </v>
      </c>
      <c r="BX73" s="4" t="str">
        <f ca="1">IFERROR(__xludf.DUMMYFUNCTION("""COMPUTED_VALUE"""),"| 1 P JAVA @ | 3 L NS @ | 4 L JAVA @ | 5 L PHP-CGM @ | 6 L CPT @ ")</f>
        <v xml:space="preserve">| 1 P JAVA @ | 3 L NS @ | 4 L JAVA @ | 5 L PHP-CGM @ | 6 L CPT @ </v>
      </c>
      <c r="BY73" s="4" t="str">
        <f ca="1">IFERROR(__xludf.DUMMYFUNCTION("""COMPUTED_VALUE"""),"| 1 L INE @ | 3 L PHP-CGM % | 4 L NS % | 5 L PRO @ ")</f>
        <v xml:space="preserve">| 1 L INE @ | 3 L PHP-CGM % | 4 L NS % | 5 L PRO @ </v>
      </c>
      <c r="BZ73" s="4" t="str">
        <f ca="1">IFERROR(__xludf.DUMMYFUNCTION("""COMPUTED_VALUE"""),"| 1 L CPT @ | 2 L NS @ | 3 P NS % | 5 P JAVA @ ")</f>
        <v xml:space="preserve">| 1 L CPT @ | 2 L NS @ | 3 P NS % | 5 P JAVA @ </v>
      </c>
      <c r="CA73" s="4" t="str">
        <f ca="1">IFERROR(__xludf.DUMMYFUNCTION("""COMPUTED_VALUE"""),"| 1 L PHP-CGM @ | 2 L JAVA @ | 3 P PHP-CGM @ | 5 P Python @ ")</f>
        <v xml:space="preserve">| 1 L PHP-CGM @ | 2 L JAVA @ | 3 P PHP-CGM @ | 5 P Python @ </v>
      </c>
      <c r="CB73" s="4" t="str">
        <f ca="1">IFERROR(__xludf.DUMMYFUNCTION("""COMPUTED_VALUE"""),"| 1 P CPT @ | 3 L JAVA @ | 4 L CPT @ | 5 P Python @ ")</f>
        <v xml:space="preserve">| 1 P CPT @ | 3 L JAVA @ | 4 L CPT @ | 5 P Python @ </v>
      </c>
      <c r="CC73" s="4" t="str">
        <f ca="1">IFERROR(__xludf.DUMMYFUNCTION("""COMPUTED_VALUE"""),"| 1 P JAVA % | 3 L NS % | 4 L JAVA % | 5 L PHP-CGM @ | 6 L CPT @ ")</f>
        <v xml:space="preserve">| 1 P JAVA % | 3 L NS % | 4 L JAVA % | 5 L PHP-CGM @ | 6 L CPT @ </v>
      </c>
      <c r="CD73" s="4" t="str">
        <f ca="1">IFERROR(__xludf.DUMMYFUNCTION("""COMPUTED_VALUE"""),"| 1 L INE % | 3 L PHP-CGM @ | 4 L NS @ | 5 L PRO % ")</f>
        <v xml:space="preserve">| 1 L INE % | 3 L PHP-CGM @ | 4 L NS @ | 5 L PRO % </v>
      </c>
      <c r="CE73" s="4" t="str">
        <f ca="1">IFERROR(__xludf.DUMMYFUNCTION("""COMPUTED_VALUE"""),"| 1 L CPT @ | 2 L NS @ | 3 P NS @ | 5 P JAVA @ ")</f>
        <v xml:space="preserve">| 1 L CPT @ | 2 L NS @ | 3 P NS @ | 5 P JAVA @ </v>
      </c>
      <c r="CF73" s="4" t="str">
        <f ca="1">IFERROR(__xludf.DUMMYFUNCTION("""COMPUTED_VALUE"""),"| 1 L PHP-CGM @ | 2 L JAVA @ | 3 P PHP-CGM % | 5 P Python % ")</f>
        <v xml:space="preserve">| 1 L PHP-CGM @ | 2 L JAVA @ | 3 P PHP-CGM % | 5 P Python % </v>
      </c>
      <c r="CG73" s="4" t="str">
        <f ca="1">IFERROR(__xludf.DUMMYFUNCTION("""COMPUTED_VALUE"""),"| 1 P CPT % | 4 L CPT @ | 5 P Python % ")</f>
        <v xml:space="preserve">| 1 P CPT % | 4 L CPT @ | 5 P Python % </v>
      </c>
      <c r="CH73" s="4" t="str">
        <f ca="1">IFERROR(__xludf.DUMMYFUNCTION("""COMPUTED_VALUE"""),"| 1 P JAVA % | 3 L NS @ | 6 L CPT @ ")</f>
        <v xml:space="preserve">| 1 P JAVA % | 3 L NS @ | 6 L CPT @ </v>
      </c>
      <c r="CI73" s="4" t="str">
        <f ca="1">IFERROR(__xludf.DUMMYFUNCTION("""COMPUTED_VALUE"""),"| 1 L INE @ ")</f>
        <v xml:space="preserve">| 1 L INE @ </v>
      </c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</row>
    <row r="74" spans="1:102" ht="12.5" x14ac:dyDescent="0.25">
      <c r="A74" s="3">
        <f ca="1">IFERROR(__xludf.DUMMYFUNCTION("""COMPUTED_VALUE"""),1)</f>
        <v>1</v>
      </c>
      <c r="B74" s="3" t="str">
        <f ca="1">IFERROR(__xludf.DUMMYFUNCTION("""COMPUTED_VALUE"""),"B")</f>
        <v>B</v>
      </c>
      <c r="C74" s="32" t="str">
        <f ca="1">IFERROR(__xludf.DUMMYFUNCTION("""COMPUTED_VALUE"""),"22291341062")</f>
        <v>22291341062</v>
      </c>
      <c r="D74" s="4" t="str">
        <f ca="1">IFERROR(__xludf.DUMMYFUNCTION("""COMPUTED_VALUE"""),"PATEL DELSY RAKESHKUMAR")</f>
        <v>PATEL DELSY RAKESHKUMAR</v>
      </c>
      <c r="E74" s="3" t="str">
        <f ca="1">IFERROR(__xludf.DUMMYFUNCTION("""COMPUTED_VALUE"""),"HAM/HDP-EVE")</f>
        <v>HAM/HDP-EVE</v>
      </c>
      <c r="F74" s="3">
        <f ca="1">IFERROR(__xludf.DUMMYFUNCTION("""COMPUTED_VALUE"""),9714373597)</f>
        <v>9714373597</v>
      </c>
      <c r="G74" s="3">
        <f ca="1">IFERROR(__xludf.DUMMYFUNCTION("""COMPUTED_VALUE"""),9737373597)</f>
        <v>9737373597</v>
      </c>
      <c r="H74" s="33">
        <f ca="1">IFERROR(__xludf.DUMMYFUNCTION("""COMPUTED_VALUE"""),0.870689655172413)</f>
        <v>0.87068965517241304</v>
      </c>
      <c r="I74" s="25">
        <f ca="1">IFERROR(__xludf.DUMMYFUNCTION("""COMPUTED_VALUE"""),0.864864864864864)</f>
        <v>0.86486486486486402</v>
      </c>
      <c r="J74" s="25">
        <f ca="1">IFERROR(__xludf.DUMMYFUNCTION("""COMPUTED_VALUE"""),0.833333333333333)</f>
        <v>0.83333333333333304</v>
      </c>
      <c r="K74" s="25">
        <f ca="1">IFERROR(__xludf.DUMMYFUNCTION("""COMPUTED_VALUE"""),0.970588235294117)</f>
        <v>0.97058823529411697</v>
      </c>
      <c r="L74" s="25">
        <f ca="1">IFERROR(__xludf.DUMMYFUNCTION("""COMPUTED_VALUE"""),0.909090909090909)</f>
        <v>0.90909090909090895</v>
      </c>
      <c r="M74" s="25">
        <f ca="1">IFERROR(__xludf.DUMMYFUNCTION("""COMPUTED_VALUE"""),0.942857142857142)</f>
        <v>0.94285714285714195</v>
      </c>
      <c r="N74" s="25">
        <f ca="1">IFERROR(__xludf.DUMMYFUNCTION("""COMPUTED_VALUE"""),0.909090909090909)</f>
        <v>0.90909090909090895</v>
      </c>
      <c r="O74" s="25">
        <f ca="1">IFERROR(__xludf.DUMMYFUNCTION("""COMPUTED_VALUE"""),0.857142857142857)</f>
        <v>0.85714285714285698</v>
      </c>
      <c r="P74" s="25">
        <f ca="1">IFERROR(__xludf.DUMMYFUNCTION("""COMPUTED_VALUE"""),0.956521739130434)</f>
        <v>0.95652173913043403</v>
      </c>
      <c r="Q74" s="25">
        <f ca="1">IFERROR(__xludf.DUMMYFUNCTION("""COMPUTED_VALUE"""),0)</f>
        <v>0</v>
      </c>
      <c r="R74" s="25">
        <f ca="1">IFERROR(__xludf.DUMMYFUNCTION("""COMPUTED_VALUE"""),0.894736842105263)</f>
        <v>0.89473684210526305</v>
      </c>
      <c r="S74" s="25">
        <f ca="1">IFERROR(__xludf.DUMMYFUNCTION("""COMPUTED_VALUE"""),0)</f>
        <v>0</v>
      </c>
      <c r="T74" s="25">
        <f ca="1">IFERROR(__xludf.DUMMYFUNCTION("""COMPUTED_VALUE"""),0.571428571428571)</f>
        <v>0.57142857142857095</v>
      </c>
      <c r="U74" s="25">
        <f ca="1">IFERROR(__xludf.DUMMYFUNCTION("""COMPUTED_VALUE"""),0.125)</f>
        <v>0.125</v>
      </c>
      <c r="V74" s="25">
        <f ca="1">IFERROR(__xludf.DUMMYFUNCTION("""COMPUTED_VALUE"""),0)</f>
        <v>0</v>
      </c>
      <c r="W74" s="4"/>
      <c r="X74" s="4" t="str">
        <f ca="1">IFERROR(__xludf.DUMMYFUNCTION("""COMPUTED_VALUE"""),"| 5 P JAVA % | 7 L CPT % | 8 L NS % | 9 P CPT % ")</f>
        <v xml:space="preserve">| 5 P JAVA % | 7 L CPT % | 8 L NS % | 9 P CPT % </v>
      </c>
      <c r="Y74" s="4" t="str">
        <f ca="1">IFERROR(__xludf.DUMMYFUNCTION("""COMPUTED_VALUE"""),"| 5 L PHP-CGM % | 6 L NS % | 7 P Python % | 9 P PRO % ")</f>
        <v xml:space="preserve">| 5 L PHP-CGM % | 6 L NS % | 7 P Python % | 9 P PRO % </v>
      </c>
      <c r="Z74" s="4" t="str">
        <f ca="1">IFERROR(__xludf.DUMMYFUNCTION("""COMPUTED_VALUE"""),"| 5 L JAVA % | 6 L CPT % | 7 P PHP-CGM % ")</f>
        <v xml:space="preserve">| 5 L JAVA % | 6 L CPT % | 7 P PHP-CGM % </v>
      </c>
      <c r="AA74" s="4" t="str">
        <f ca="1">IFERROR(__xludf.DUMMYFUNCTION("""COMPUTED_VALUE"""),"| 5 L PHP-CGM % | 7 L JAVA % | 9 P JAVA % | 8 L CPT % ")</f>
        <v xml:space="preserve">| 5 L PHP-CGM % | 7 L JAVA % | 9 P JAVA % | 8 L CPT % </v>
      </c>
      <c r="AB74" s="4" t="str">
        <f ca="1">IFERROR(__xludf.DUMMYFUNCTION("""COMPUTED_VALUE"""),"| 4 P Python % | 7 L PHP-CGM % | 8 L JAVA % | 9 P Python % ")</f>
        <v xml:space="preserve">| 4 P Python % | 7 L PHP-CGM % | 8 L JAVA % | 9 P Python % </v>
      </c>
      <c r="AC74" s="4" t="str">
        <f ca="1">IFERROR(__xludf.DUMMYFUNCTION("""COMPUTED_VALUE"""),"| 5 P JAVA % | 7 L CPT % | 8 L NS % | 9 P CPT % ")</f>
        <v xml:space="preserve">| 5 P JAVA % | 7 L CPT % | 8 L NS % | 9 P CPT % </v>
      </c>
      <c r="AD74" s="4" t="str">
        <f ca="1">IFERROR(__xludf.DUMMYFUNCTION("""COMPUTED_VALUE"""),"| 5 L PHP-CGM % | 6 L NS % | 7 P Python % ")</f>
        <v xml:space="preserve">| 5 L PHP-CGM % | 6 L NS % | 7 P Python % </v>
      </c>
      <c r="AE74" s="4" t="str">
        <f ca="1">IFERROR(__xludf.DUMMYFUNCTION("""COMPUTED_VALUE"""),"| 5 L JAVA % | 6 L CPT % | 7 P PHP-CGM % ")</f>
        <v xml:space="preserve">| 5 L JAVA % | 6 L CPT % | 7 P PHP-CGM % </v>
      </c>
      <c r="AF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74" s="4" t="str">
        <f ca="1">IFERROR(__xludf.DUMMYFUNCTION("""COMPUTED_VALUE"""),"| 5 P NS % | 8 L JAVA % | 7 L PHP-CGM % | 9 P Python % ")</f>
        <v xml:space="preserve">| 5 P NS % | 8 L JAVA % | 7 L PHP-CGM % | 9 P Python % </v>
      </c>
      <c r="AH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74" s="4" t="str">
        <f ca="1">IFERROR(__xludf.DUMMYFUNCTION("""COMPUTED_VALUE"""),"| 5 P NS % | 8 L JAVA % | 7 L PHP-CGM % | 9 P Python % ")</f>
        <v xml:space="preserve">| 5 P NS % | 8 L JAVA % | 7 L PHP-CGM % | 9 P Python % </v>
      </c>
      <c r="AJ74" s="4" t="str">
        <f ca="1">IFERROR(__xludf.DUMMYFUNCTION("""COMPUTED_VALUE"""),"| 5 P JAVA % | 7 L CPT % | 8 L NS % | 9 P CPT % ")</f>
        <v xml:space="preserve">| 5 P JAVA % | 7 L CPT % | 8 L NS % | 9 P CPT % </v>
      </c>
      <c r="AK74" s="4" t="str">
        <f ca="1">IFERROR(__xludf.DUMMYFUNCTION("""COMPUTED_VALUE"""),"| 5 L PHP-CGM % | 6 L NS % | 7 P Python % | 9 P PRO % ")</f>
        <v xml:space="preserve">| 5 L PHP-CGM % | 6 L NS % | 7 P Python % | 9 P PRO % </v>
      </c>
      <c r="AL74" s="4" t="str">
        <f ca="1">IFERROR(__xludf.DUMMYFUNCTION("""COMPUTED_VALUE"""),"| 5 L JAVA % | 6 L CPT % | 7 P PHP-CGM % | 9 L INE @ ")</f>
        <v xml:space="preserve">| 5 L JAVA % | 6 L CPT % | 7 P PHP-CGM % | 9 L INE @ </v>
      </c>
      <c r="AM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74" s="4" t="str">
        <f ca="1">IFERROR(__xludf.DUMMYFUNCTION("""COMPUTED_VALUE"""),"| 5 P NS % | 8 L JAVA % | 7 L PHP-CGM % | 9 P Python % ")</f>
        <v xml:space="preserve">| 5 P NS % | 8 L JAVA % | 7 L PHP-CGM % | 9 P Python % </v>
      </c>
      <c r="AO74" s="4" t="str">
        <f ca="1">IFERROR(__xludf.DUMMYFUNCTION("""COMPUTED_VALUE"""),"| 5 P JAVA % | 7 L CPT % | 8 L NS % | 9 P CPT % ")</f>
        <v xml:space="preserve">| 5 P JAVA % | 7 L CPT % | 8 L NS % | 9 P CPT % </v>
      </c>
      <c r="AP74" s="4" t="str">
        <f ca="1">IFERROR(__xludf.DUMMYFUNCTION("""COMPUTED_VALUE"""),"| 5 L PHP-CGM % | 6 L NS % | 7 P Python % | 9 P PRO @ ")</f>
        <v xml:space="preserve">| 5 L PHP-CGM % | 6 L NS % | 7 P Python % | 9 P PRO @ </v>
      </c>
      <c r="AQ74" s="4" t="str">
        <f ca="1">IFERROR(__xludf.DUMMYFUNCTION("""COMPUTED_VALUE"""),"| 5 L CPT % | 7 L JAVA % | 7 P PHP-CGM % | 9 L INE @ ")</f>
        <v xml:space="preserve">| 5 L CPT % | 7 L JAVA % | 7 P PHP-CGM % | 9 L INE @ </v>
      </c>
      <c r="AR74" s="4" t="str">
        <f ca="1">IFERROR(__xludf.DUMMYFUNCTION("""COMPUTED_VALUE"""),"| 5 L PHP-CGM % | 6 L NS % | 8 L CPT @ ")</f>
        <v xml:space="preserve">| 5 L PHP-CGM % | 6 L NS % | 8 L CPT @ </v>
      </c>
      <c r="AS74" s="4" t="str">
        <f ca="1">IFERROR(__xludf.DUMMYFUNCTION("""COMPUTED_VALUE"""),"| 5 P JAVA % | 7 L CPT % | 8 L NS % | 9 P CPT % ")</f>
        <v xml:space="preserve">| 5 P JAVA % | 7 L CPT % | 8 L NS % | 9 P CPT % </v>
      </c>
      <c r="AT74" s="4" t="str">
        <f ca="1">IFERROR(__xludf.DUMMYFUNCTION("""COMPUTED_VALUE"""),"| 5 L PHP-CGM % | 6 L NS % | 7 P Python % | 9 P PRO % ")</f>
        <v xml:space="preserve">| 5 L PHP-CGM % | 6 L NS % | 7 P Python % | 9 P PRO % </v>
      </c>
      <c r="AU74" s="4" t="str">
        <f ca="1">IFERROR(__xludf.DUMMYFUNCTION("""COMPUTED_VALUE"""),"| 5 L JAVA % | 6 L CPT % | 7 P PHP-CGM % | 9 L INE @ ")</f>
        <v xml:space="preserve">| 5 L JAVA % | 6 L CPT % | 7 P PHP-CGM % | 9 L INE @ </v>
      </c>
      <c r="AV74" s="4" t="str">
        <f ca="1">IFERROR(__xludf.DUMMYFUNCTION("""COMPUTED_VALUE"""),"| 5 L PHP-CGM % | 6 L NS % | 7 L JAVA @ | 8 L CPT @ | 9 P JAVA @ ")</f>
        <v xml:space="preserve">| 5 L PHP-CGM % | 6 L NS % | 7 L JAVA @ | 8 L CPT @ | 9 P JAVA @ </v>
      </c>
      <c r="AW74" s="4" t="str">
        <f ca="1">IFERROR(__xludf.DUMMYFUNCTION("""COMPUTED_VALUE"""),"| 5 P NS % | 7 L PHP-CGM % | 8 L JAVA % | 9 P Python % ")</f>
        <v xml:space="preserve">| 5 P NS % | 7 L PHP-CGM % | 8 L JAVA % | 9 P Python % </v>
      </c>
      <c r="AX74" s="4" t="str">
        <f ca="1">IFERROR(__xludf.DUMMYFUNCTION("""COMPUTED_VALUE"""),"| 5 P JAVA % | 7 L CPT % | 8 L NS % | 9 P CPT % ")</f>
        <v xml:space="preserve">| 5 P JAVA % | 7 L CPT % | 8 L NS % | 9 P CPT % </v>
      </c>
      <c r="AY74" s="4" t="str">
        <f ca="1">IFERROR(__xludf.DUMMYFUNCTION("""COMPUTED_VALUE"""),"| 5 L PHP-CGM % | 6 L NS % | 7 P Python % | 9 P PRO @ ")</f>
        <v xml:space="preserve">| 5 L PHP-CGM % | 6 L NS % | 7 P Python % | 9 P PRO @ </v>
      </c>
      <c r="AZ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74" s="4" t="str">
        <f ca="1">IFERROR(__xludf.DUMMYFUNCTION("""COMPUTED_VALUE"""),"| 5 P NS % | 7 L PHP-CGM % | 8 L JAVA % ")</f>
        <v xml:space="preserve">| 5 P NS % | 7 L PHP-CGM % | 8 L JAVA % </v>
      </c>
      <c r="BB74" s="4" t="str">
        <f ca="1">IFERROR(__xludf.DUMMYFUNCTION("""COMPUTED_VALUE"""),"| 5 P JAVA % | 7 L CPT % | 8 L NS % | 9 P CPT % ")</f>
        <v xml:space="preserve">| 5 P JAVA % | 7 L CPT % | 8 L NS % | 9 P CPT % </v>
      </c>
      <c r="BC74" s="4" t="str">
        <f ca="1">IFERROR(__xludf.DUMMYFUNCTION("""COMPUTED_VALUE"""),"| 5 L PHP-CGM % | 6 L NS % | 7 P Python % | 9 P PRO % ")</f>
        <v xml:space="preserve">| 5 L PHP-CGM % | 6 L NS % | 7 P Python % | 9 P PRO % </v>
      </c>
      <c r="BD74" s="4" t="str">
        <f ca="1">IFERROR(__xludf.DUMMYFUNCTION("""COMPUTED_VALUE"""),"| 5 L JAVA % | 6 L CPT % | 7 P PHP-CGM % | 9 L INE @ ")</f>
        <v xml:space="preserve">| 5 L JAVA % | 6 L CPT % | 7 P PHP-CGM % | 9 L INE @ </v>
      </c>
      <c r="BE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74" s="4" t="str">
        <f ca="1">IFERROR(__xludf.DUMMYFUNCTION("""COMPUTED_VALUE"""),"| 5 P NS @ | 7 L PHP-CGM @ | 9 P Python @ | 8 L JAVA @ ")</f>
        <v xml:space="preserve">| 5 P NS @ | 7 L PHP-CGM @ | 9 P Python @ | 8 L JAVA @ </v>
      </c>
      <c r="BG74" s="4" t="str">
        <f ca="1">IFERROR(__xludf.DUMMYFUNCTION("""COMPUTED_VALUE"""),"| 5 L PHP-CGM % | 6 L NS % | 7 P Python @ | 9 P PRO @ ")</f>
        <v xml:space="preserve">| 5 L PHP-CGM % | 6 L NS % | 7 P Python @ | 9 P PRO @ </v>
      </c>
      <c r="BH74" s="4" t="str">
        <f ca="1">IFERROR(__xludf.DUMMYFUNCTION("""COMPUTED_VALUE"""),"| 5 L JAVA % | 6 L CPT % | 7 P PHP-CGM % | 9 L INE @ ")</f>
        <v xml:space="preserve">| 5 L JAVA % | 6 L CPT % | 7 P PHP-CGM % | 9 L INE @ </v>
      </c>
      <c r="BI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74" s="4" t="str">
        <f ca="1">IFERROR(__xludf.DUMMYFUNCTION("""COMPUTED_VALUE"""),"| 5 P NS % | 7 L JAVA @ | 7 L PHP-CGM @ ")</f>
        <v xml:space="preserve">| 5 P NS % | 7 L JAVA @ | 7 L PHP-CGM @ </v>
      </c>
      <c r="BK74" s="4" t="str">
        <f ca="1">IFERROR(__xludf.DUMMYFUNCTION("""COMPUTED_VALUE"""),"| 5 P JAVA % | 7 L CPT @ | 9 P CPT @ | 8 L NS @ ")</f>
        <v xml:space="preserve">| 5 P JAVA % | 7 L CPT @ | 9 P CPT @ | 8 L NS @ </v>
      </c>
      <c r="BL74" s="4" t="str">
        <f ca="1">IFERROR(__xludf.DUMMYFUNCTION("""COMPUTED_VALUE"""),"| 5 L PHP-CGM % | 6 L NS % | 7 P Python % ")</f>
        <v xml:space="preserve">| 5 L PHP-CGM % | 6 L NS % | 7 P Python % </v>
      </c>
      <c r="BM74" s="4" t="str">
        <f ca="1">IFERROR(__xludf.DUMMYFUNCTION("""COMPUTED_VALUE"""),"| 5 L JAVA % | 6 L CPT % | 7 P PHP-CGM @ | 9 L INE @ ")</f>
        <v xml:space="preserve">| 5 L JAVA % | 6 L CPT % | 7 P PHP-CGM @ | 9 L INE @ </v>
      </c>
      <c r="BN74" s="4" t="str">
        <f ca="1">IFERROR(__xludf.DUMMYFUNCTION("""COMPUTED_VALUE"""),"| 5 L PHP-CGM % | 6 L NS % | 9 L JAVA % | 8 L CPT % | 9 P JAVA % ")</f>
        <v xml:space="preserve">| 5 L PHP-CGM % | 6 L NS % | 9 L JAVA % | 8 L CPT % | 9 P JAVA % </v>
      </c>
      <c r="BO74" s="4" t="str">
        <f ca="1">IFERROR(__xludf.DUMMYFUNCTION("""COMPUTED_VALUE"""),"| 5 P NS % | 7 L PHP-CGM % ")</f>
        <v xml:space="preserve">| 5 P NS % | 7 L PHP-CGM % </v>
      </c>
      <c r="BP74" s="4" t="str">
        <f ca="1">IFERROR(__xludf.DUMMYFUNCTION("""COMPUTED_VALUE"""),"| 5 P JAVA % | 7 L CPT % | 8 L NS % | 9 P CPT % ")</f>
        <v xml:space="preserve">| 5 P JAVA % | 7 L CPT % | 8 L NS % | 9 P CPT % </v>
      </c>
      <c r="BQ74" s="4" t="str">
        <f ca="1">IFERROR(__xludf.DUMMYFUNCTION("""COMPUTED_VALUE"""),"| 5 L JAVA % | 6 L CPT % ")</f>
        <v xml:space="preserve">| 5 L JAVA % | 6 L CPT % </v>
      </c>
      <c r="BR74" s="4" t="str">
        <f ca="1">IFERROR(__xludf.DUMMYFUNCTION("""COMPUTED_VALUE"""),"| 7 L JAVA @ ")</f>
        <v xml:space="preserve">| 7 L JAVA @ </v>
      </c>
      <c r="BS74" s="4"/>
      <c r="BT74" s="4" t="str">
        <f ca="1">IFERROR(__xludf.DUMMYFUNCTION("""COMPUTED_VALUE"""),"| 7 L CPT @ | 9 P CPT @ ")</f>
        <v xml:space="preserve">| 7 L CPT @ | 9 P CPT @ </v>
      </c>
      <c r="BU74" s="4"/>
      <c r="BV74" s="4" t="str">
        <f ca="1">IFERROR(__xludf.DUMMYFUNCTION("""COMPUTED_VALUE"""),"| 5 P JAVA % | 7 L CPT % | 8 L NS % ")</f>
        <v xml:space="preserve">| 5 P JAVA % | 7 L CPT % | 8 L NS % </v>
      </c>
      <c r="BW74" s="4"/>
      <c r="BX74" s="4" t="str">
        <f ca="1">IFERROR(__xludf.DUMMYFUNCTION("""COMPUTED_VALUE"""),"| 5 L JAVA % | 6 L CPT % | 7 P PHP-CGM % ")</f>
        <v xml:space="preserve">| 5 L JAVA % | 6 L CPT % | 7 P PHP-CGM % </v>
      </c>
      <c r="BY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74" s="4" t="str">
        <f ca="1">IFERROR(__xludf.DUMMYFUNCTION("""COMPUTED_VALUE"""),"| 5 P NS % | 8 L JAVA % | 7 L PHP-CGM % | 9 P Python % ")</f>
        <v xml:space="preserve">| 5 P NS % | 8 L JAVA % | 7 L PHP-CGM % | 9 P Python % </v>
      </c>
      <c r="CA74" s="4" t="str">
        <f ca="1">IFERROR(__xludf.DUMMYFUNCTION("""COMPUTED_VALUE"""),"| 5 P JAVA % | 7 L CPT % | 8 L NS % | 9 P CPT % ")</f>
        <v xml:space="preserve">| 5 P JAVA % | 7 L CPT % | 8 L NS % | 9 P CPT % </v>
      </c>
      <c r="CB74" s="4" t="str">
        <f ca="1">IFERROR(__xludf.DUMMYFUNCTION("""COMPUTED_VALUE"""),"| 5 L PHP-CGM % | 6 L NS % | 7 P Python % ")</f>
        <v xml:space="preserve">| 5 L PHP-CGM % | 6 L NS % | 7 P Python % </v>
      </c>
      <c r="CC74" s="4" t="str">
        <f ca="1">IFERROR(__xludf.DUMMYFUNCTION("""COMPUTED_VALUE"""),"| 5 L JAVA % | 7 P PHP-CGM % | 9 L INE % ")</f>
        <v xml:space="preserve">| 5 L JAVA % | 7 P PHP-CGM % | 9 L INE % </v>
      </c>
      <c r="CD7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74" s="4" t="str">
        <f ca="1">IFERROR(__xludf.DUMMYFUNCTION("""COMPUTED_VALUE"""),"| 5 P NS % | 8 L JAVA % | 7 L PHP-CGM % ")</f>
        <v xml:space="preserve">| 5 P NS % | 8 L JAVA % | 7 L PHP-CGM % </v>
      </c>
      <c r="CF74" s="4" t="str">
        <f ca="1">IFERROR(__xludf.DUMMYFUNCTION("""COMPUTED_VALUE"""),"| 7 L CPT % | 8 L NS % | 5 P JAVA % | 9 P CPT % ")</f>
        <v xml:space="preserve">| 7 L CPT % | 8 L NS % | 5 P JAVA % | 9 P CPT % </v>
      </c>
      <c r="CG74" s="4" t="str">
        <f ca="1">IFERROR(__xludf.DUMMYFUNCTION("""COMPUTED_VALUE"""),"| 5 L PHP-CGM % | 6 L NS % | 7 P Python % ")</f>
        <v xml:space="preserve">| 5 L PHP-CGM % | 6 L NS % | 7 P Python % </v>
      </c>
      <c r="CH74" s="4" t="str">
        <f ca="1">IFERROR(__xludf.DUMMYFUNCTION("""COMPUTED_VALUE"""),"| 5 L JAVA % | 6 L CPT % | 7 P PHP-CGM % | 9 L INE @ ")</f>
        <v xml:space="preserve">| 5 L JAVA % | 6 L CPT % | 7 P PHP-CGM % | 9 L INE @ </v>
      </c>
      <c r="CI74" s="4" t="str">
        <f ca="1">IFERROR(__xludf.DUMMYFUNCTION("""COMPUTED_VALUE"""),"| 5 L PHP-CGM % | 7 L JAVA @ | 8 L CPT @ ")</f>
        <v xml:space="preserve">| 5 L PHP-CGM % | 7 L JAVA @ | 8 L CPT @ </v>
      </c>
      <c r="CJ74" s="4" t="str">
        <f ca="1">IFERROR(__xludf.DUMMYFUNCTION("""COMPUTED_VALUE"""),"| 5 P NS % ")</f>
        <v xml:space="preserve">| 5 P NS % </v>
      </c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</row>
    <row r="75" spans="1:102" ht="12.5" x14ac:dyDescent="0.25">
      <c r="A75" s="3">
        <f ca="1">IFERROR(__xludf.DUMMYFUNCTION("""COMPUTED_VALUE"""),1)</f>
        <v>1</v>
      </c>
      <c r="B75" s="3" t="str">
        <f ca="1">IFERROR(__xludf.DUMMYFUNCTION("""COMPUTED_VALUE"""),"B")</f>
        <v>B</v>
      </c>
      <c r="C75" s="32" t="str">
        <f ca="1">IFERROR(__xludf.DUMMYFUNCTION("""COMPUTED_VALUE"""),"22291341105")</f>
        <v>22291341105</v>
      </c>
      <c r="D75" s="21" t="str">
        <f ca="1">IFERROR(__xludf.DUMMYFUNCTION("""COMPUTED_VALUE"""),"PATEL SHREY SUNILKUMAR")</f>
        <v>PATEL SHREY SUNILKUMAR</v>
      </c>
      <c r="E75" s="3" t="str">
        <f ca="1">IFERROR(__xludf.DUMMYFUNCTION("""COMPUTED_VALUE"""),"HAM/HDP-EVE")</f>
        <v>HAM/HDP-EVE</v>
      </c>
      <c r="F75" s="3">
        <f ca="1">IFERROR(__xludf.DUMMYFUNCTION("""COMPUTED_VALUE"""),9173250910)</f>
        <v>9173250910</v>
      </c>
      <c r="G75" s="3">
        <f ca="1">IFERROR(__xludf.DUMMYFUNCTION("""COMPUTED_VALUE"""),9825130910)</f>
        <v>9825130910</v>
      </c>
      <c r="H75" s="33">
        <f ca="1">IFERROR(__xludf.DUMMYFUNCTION("""COMPUTED_VALUE"""),0.0646551724137931)</f>
        <v>6.4655172413793094E-2</v>
      </c>
      <c r="I75" s="25">
        <f ca="1">IFERROR(__xludf.DUMMYFUNCTION("""COMPUTED_VALUE"""),0.081081081081081)</f>
        <v>8.1081081081081002E-2</v>
      </c>
      <c r="J75" s="25">
        <f ca="1">IFERROR(__xludf.DUMMYFUNCTION("""COMPUTED_VALUE"""),0)</f>
        <v>0</v>
      </c>
      <c r="K75" s="25">
        <f ca="1">IFERROR(__xludf.DUMMYFUNCTION("""COMPUTED_VALUE"""),0.088235294117647)</f>
        <v>8.8235294117646995E-2</v>
      </c>
      <c r="L75" s="25">
        <f ca="1">IFERROR(__xludf.DUMMYFUNCTION("""COMPUTED_VALUE"""),0.0909090909090909)</f>
        <v>9.0909090909090898E-2</v>
      </c>
      <c r="M75" s="25">
        <f ca="1">IFERROR(__xludf.DUMMYFUNCTION("""COMPUTED_VALUE"""),0.0857142857142857)</f>
        <v>8.5714285714285701E-2</v>
      </c>
      <c r="N75" s="25">
        <f ca="1">IFERROR(__xludf.DUMMYFUNCTION("""COMPUTED_VALUE"""),0.0909090909090909)</f>
        <v>9.0909090909090898E-2</v>
      </c>
      <c r="O75" s="25">
        <f ca="1">IFERROR(__xludf.DUMMYFUNCTION("""COMPUTED_VALUE"""),0.0285714285714285)</f>
        <v>2.8571428571428501E-2</v>
      </c>
      <c r="P75" s="25">
        <f ca="1">IFERROR(__xludf.DUMMYFUNCTION("""COMPUTED_VALUE"""),0.0434782608695652)</f>
        <v>4.3478260869565202E-2</v>
      </c>
      <c r="Q75" s="25">
        <f ca="1">IFERROR(__xludf.DUMMYFUNCTION("""COMPUTED_VALUE"""),0)</f>
        <v>0</v>
      </c>
      <c r="R75" s="25">
        <f ca="1">IFERROR(__xludf.DUMMYFUNCTION("""COMPUTED_VALUE"""),0)</f>
        <v>0</v>
      </c>
      <c r="S75" s="25">
        <f ca="1">IFERROR(__xludf.DUMMYFUNCTION("""COMPUTED_VALUE"""),0)</f>
        <v>0</v>
      </c>
      <c r="T75" s="25">
        <f ca="1">IFERROR(__xludf.DUMMYFUNCTION("""COMPUTED_VALUE"""),0)</f>
        <v>0</v>
      </c>
      <c r="U75" s="25">
        <f ca="1">IFERROR(__xludf.DUMMYFUNCTION("""COMPUTED_VALUE"""),0.25)</f>
        <v>0.25</v>
      </c>
      <c r="V75" s="25">
        <f ca="1">IFERROR(__xludf.DUMMYFUNCTION("""COMPUTED_VALUE"""),0)</f>
        <v>0</v>
      </c>
      <c r="W75" s="4"/>
      <c r="X75" s="4" t="str">
        <f ca="1">IFERROR(__xludf.DUMMYFUNCTION("""COMPUTED_VALUE"""),"| 5 P JAVA @ | 7 L CPT @ | 8 L NS @ | 9 P CPT @ ")</f>
        <v xml:space="preserve">| 5 P JAVA @ | 7 L CPT @ | 8 L NS @ | 9 P CPT @ </v>
      </c>
      <c r="Y75" s="4" t="str">
        <f ca="1">IFERROR(__xludf.DUMMYFUNCTION("""COMPUTED_VALUE"""),"| 5 L PHP-CGM @ | 6 L NS @ | 7 P Python @ | 9 P PRO @ ")</f>
        <v xml:space="preserve">| 5 L PHP-CGM @ | 6 L NS @ | 7 P Python @ | 9 P PRO @ </v>
      </c>
      <c r="Z75" s="4" t="str">
        <f ca="1">IFERROR(__xludf.DUMMYFUNCTION("""COMPUTED_VALUE"""),"| 5 L JAVA @ | 6 L CPT @ | 7 P PHP-CGM @ ")</f>
        <v xml:space="preserve">| 5 L JAVA @ | 6 L CPT @ | 7 P PHP-CGM @ </v>
      </c>
      <c r="AA75" s="4" t="str">
        <f ca="1">IFERROR(__xludf.DUMMYFUNCTION("""COMPUTED_VALUE"""),"| 5 L PHP-CGM @ | 7 L JAVA @ | 9 P JAVA @ | 8 L CPT @ ")</f>
        <v xml:space="preserve">| 5 L PHP-CGM @ | 7 L JAVA @ | 9 P JAVA @ | 8 L CPT @ </v>
      </c>
      <c r="AB75" s="4" t="str">
        <f ca="1">IFERROR(__xludf.DUMMYFUNCTION("""COMPUTED_VALUE"""),"| 4 P Python @ | 7 L PHP-CGM @ | 8 L JAVA @ | 9 P Python @ ")</f>
        <v xml:space="preserve">| 4 P Python @ | 7 L PHP-CGM @ | 8 L JAVA @ | 9 P Python @ </v>
      </c>
      <c r="AC75" s="4" t="str">
        <f ca="1">IFERROR(__xludf.DUMMYFUNCTION("""COMPUTED_VALUE"""),"| 5 P JAVA @ | 7 L CPT @ | 8 L NS @ | 9 P CPT @ ")</f>
        <v xml:space="preserve">| 5 P JAVA @ | 7 L CPT @ | 8 L NS @ | 9 P CPT @ </v>
      </c>
      <c r="AD75" s="4" t="str">
        <f ca="1">IFERROR(__xludf.DUMMYFUNCTION("""COMPUTED_VALUE"""),"| 5 L PHP-CGM @ | 6 L NS @ | 7 P Python @ ")</f>
        <v xml:space="preserve">| 5 L PHP-CGM @ | 6 L NS @ | 7 P Python @ </v>
      </c>
      <c r="AE75" s="4" t="str">
        <f ca="1">IFERROR(__xludf.DUMMYFUNCTION("""COMPUTED_VALUE"""),"| 5 L JAVA % | 6 L CPT % | 7 P PHP-CGM % ")</f>
        <v xml:space="preserve">| 5 L JAVA % | 6 L CPT % | 7 P PHP-CGM % </v>
      </c>
      <c r="AF75" s="4" t="str">
        <f ca="1">IFERROR(__xludf.DUMMYFUNCTION("""COMPUTED_VALUE"""),"| 5 L PHP-CGM % | 6 L NS % | 7 L JAVA @ | 8 L CPT @ | 9 P JAVA @ ")</f>
        <v xml:space="preserve">| 5 L PHP-CGM % | 6 L NS % | 7 L JAVA @ | 8 L CPT @ | 9 P JAVA @ </v>
      </c>
      <c r="AG75" s="4" t="str">
        <f ca="1">IFERROR(__xludf.DUMMYFUNCTION("""COMPUTED_VALUE"""),"| 5 P NS % | 8 L JAVA @ | 7 L PHP-CGM % | 9 P Python @ ")</f>
        <v xml:space="preserve">| 5 P NS % | 8 L JAVA @ | 7 L PHP-CGM % | 9 P Python @ </v>
      </c>
      <c r="AH7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I75" s="4" t="str">
        <f ca="1">IFERROR(__xludf.DUMMYFUNCTION("""COMPUTED_VALUE"""),"| 5 P NS @ | 8 L JAVA @ | 7 L PHP-CGM @ | 9 P Python @ ")</f>
        <v xml:space="preserve">| 5 P NS @ | 8 L JAVA @ | 7 L PHP-CGM @ | 9 P Python @ </v>
      </c>
      <c r="AJ75" s="4" t="str">
        <f ca="1">IFERROR(__xludf.DUMMYFUNCTION("""COMPUTED_VALUE"""),"| 5 P JAVA % | 7 L CPT % | 8 L NS % | 9 P CPT @ ")</f>
        <v xml:space="preserve">| 5 P JAVA % | 7 L CPT % | 8 L NS % | 9 P CPT @ </v>
      </c>
      <c r="AK75" s="4" t="str">
        <f ca="1">IFERROR(__xludf.DUMMYFUNCTION("""COMPUTED_VALUE"""),"| 5 L PHP-CGM @ | 6 L NS @ | 7 P Python @ | 9 P PRO @ ")</f>
        <v xml:space="preserve">| 5 L PHP-CGM @ | 6 L NS @ | 7 P Python @ | 9 P PRO @ </v>
      </c>
      <c r="AL75" s="4" t="str">
        <f ca="1">IFERROR(__xludf.DUMMYFUNCTION("""COMPUTED_VALUE"""),"| 5 L JAVA @ | 6 L CPT @ | 7 P PHP-CGM @ | 9 L INE @ ")</f>
        <v xml:space="preserve">| 5 L JAVA @ | 6 L CPT @ | 7 P PHP-CGM @ | 9 L INE @ </v>
      </c>
      <c r="AM7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N75" s="4" t="str">
        <f ca="1">IFERROR(__xludf.DUMMYFUNCTION("""COMPUTED_VALUE"""),"| 5 P NS @ | 8 L JAVA @ | 7 L PHP-CGM @ | 9 P Python @ ")</f>
        <v xml:space="preserve">| 5 P NS @ | 8 L JAVA @ | 7 L PHP-CGM @ | 9 P Python @ </v>
      </c>
      <c r="AO75" s="4" t="str">
        <f ca="1">IFERROR(__xludf.DUMMYFUNCTION("""COMPUTED_VALUE"""),"| 5 P JAVA @ | 7 L CPT @ | 8 L NS @ | 9 P CPT @ ")</f>
        <v xml:space="preserve">| 5 P JAVA @ | 7 L CPT @ | 8 L NS @ | 9 P CPT @ </v>
      </c>
      <c r="AP75" s="4" t="str">
        <f ca="1">IFERROR(__xludf.DUMMYFUNCTION("""COMPUTED_VALUE"""),"| 5 L PHP-CGM @ | 6 L NS @ | 7 P Python @ | 9 P PRO @ ")</f>
        <v xml:space="preserve">| 5 L PHP-CGM @ | 6 L NS @ | 7 P Python @ | 9 P PRO @ </v>
      </c>
      <c r="AQ75" s="4" t="str">
        <f ca="1">IFERROR(__xludf.DUMMYFUNCTION("""COMPUTED_VALUE"""),"| 5 L CPT @ | 7 L JAVA @ | 7 P PHP-CGM @ | 9 L INE @ ")</f>
        <v xml:space="preserve">| 5 L CPT @ | 7 L JAVA @ | 7 P PHP-CGM @ | 9 L INE @ </v>
      </c>
      <c r="AR75" s="4" t="str">
        <f ca="1">IFERROR(__xludf.DUMMYFUNCTION("""COMPUTED_VALUE"""),"| 5 L PHP-CGM @ | 6 L NS @ | 8 L CPT @ ")</f>
        <v xml:space="preserve">| 5 L PHP-CGM @ | 6 L NS @ | 8 L CPT @ </v>
      </c>
      <c r="AS75" s="4" t="str">
        <f ca="1">IFERROR(__xludf.DUMMYFUNCTION("""COMPUTED_VALUE"""),"| 5 P JAVA @ | 7 L CPT @ | 8 L NS @ | 9 P CPT @ ")</f>
        <v xml:space="preserve">| 5 P JAVA @ | 7 L CPT @ | 8 L NS @ | 9 P CPT @ </v>
      </c>
      <c r="AT75" s="4" t="str">
        <f ca="1">IFERROR(__xludf.DUMMYFUNCTION("""COMPUTED_VALUE"""),"| 5 L PHP-CGM @ | 6 L NS @ | 7 P Python @ | 9 P PRO @ ")</f>
        <v xml:space="preserve">| 5 L PHP-CGM @ | 6 L NS @ | 7 P Python @ | 9 P PRO @ </v>
      </c>
      <c r="AU75" s="4" t="str">
        <f ca="1">IFERROR(__xludf.DUMMYFUNCTION("""COMPUTED_VALUE"""),"| 5 L JAVA @ | 6 L CPT @ | 7 P PHP-CGM @ | 9 L INE @ ")</f>
        <v xml:space="preserve">| 5 L JAVA @ | 6 L CPT @ | 7 P PHP-CGM @ | 9 L INE @ </v>
      </c>
      <c r="AV7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W75" s="4" t="str">
        <f ca="1">IFERROR(__xludf.DUMMYFUNCTION("""COMPUTED_VALUE"""),"| 5 P NS @ | 7 L PHP-CGM @ | 8 L JAVA @ | 9 P Python @ ")</f>
        <v xml:space="preserve">| 5 P NS @ | 7 L PHP-CGM @ | 8 L JAVA @ | 9 P Python @ </v>
      </c>
      <c r="AX75" s="4" t="str">
        <f ca="1">IFERROR(__xludf.DUMMYFUNCTION("""COMPUTED_VALUE"""),"| 5 P JAVA @ | 7 L CPT @ | 8 L NS @ | 9 P CPT @ ")</f>
        <v xml:space="preserve">| 5 P JAVA @ | 7 L CPT @ | 8 L NS @ | 9 P CPT @ </v>
      </c>
      <c r="AY75" s="4" t="str">
        <f ca="1">IFERROR(__xludf.DUMMYFUNCTION("""COMPUTED_VALUE"""),"| 5 L PHP-CGM @ | 6 L NS @ | 7 P Python @ | 9 P PRO @ ")</f>
        <v xml:space="preserve">| 5 L PHP-CGM @ | 6 L NS @ | 7 P Python @ | 9 P PRO @ </v>
      </c>
      <c r="AZ75" s="4" t="str">
        <f ca="1">IFERROR(__xludf.DUMMYFUNCTION("""COMPUTED_VALUE"""),"| 5 L PHP-CGM % | 6 L NS % | 7 L JAVA @ | 8 L CPT @ | 9 P JAVA @ ")</f>
        <v xml:space="preserve">| 5 L PHP-CGM % | 6 L NS % | 7 L JAVA @ | 8 L CPT @ | 9 P JAVA @ </v>
      </c>
      <c r="BA75" s="4" t="str">
        <f ca="1">IFERROR(__xludf.DUMMYFUNCTION("""COMPUTED_VALUE"""),"| 5 P NS @ | 7 L PHP-CGM @ | 8 L JAVA @ ")</f>
        <v xml:space="preserve">| 5 P NS @ | 7 L PHP-CGM @ | 8 L JAVA @ </v>
      </c>
      <c r="BB75" s="4" t="str">
        <f ca="1">IFERROR(__xludf.DUMMYFUNCTION("""COMPUTED_VALUE"""),"| 5 P JAVA @ | 7 L CPT @ | 8 L NS @ | 9 P CPT @ ")</f>
        <v xml:space="preserve">| 5 P JAVA @ | 7 L CPT @ | 8 L NS @ | 9 P CPT @ </v>
      </c>
      <c r="BC75" s="4" t="str">
        <f ca="1">IFERROR(__xludf.DUMMYFUNCTION("""COMPUTED_VALUE"""),"| 5 L PHP-CGM @ | 6 L NS @ | 7 P Python @ | 9 P PRO @ ")</f>
        <v xml:space="preserve">| 5 L PHP-CGM @ | 6 L NS @ | 7 P Python @ | 9 P PRO @ </v>
      </c>
      <c r="BD75" s="4" t="str">
        <f ca="1">IFERROR(__xludf.DUMMYFUNCTION("""COMPUTED_VALUE"""),"| 5 L JAVA @ | 6 L CPT @ | 7 P PHP-CGM @ | 9 L INE @ ")</f>
        <v xml:space="preserve">| 5 L JAVA @ | 6 L CPT @ | 7 P PHP-CGM @ | 9 L INE @ </v>
      </c>
      <c r="BE7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F75" s="4" t="str">
        <f ca="1">IFERROR(__xludf.DUMMYFUNCTION("""COMPUTED_VALUE"""),"| 5 P NS @ | 7 L PHP-CGM @ | 9 P Python @ | 8 L JAVA @ ")</f>
        <v xml:space="preserve">| 5 P NS @ | 7 L PHP-CGM @ | 9 P Python @ | 8 L JAVA @ </v>
      </c>
      <c r="BG75" s="4" t="str">
        <f ca="1">IFERROR(__xludf.DUMMYFUNCTION("""COMPUTED_VALUE"""),"| 5 L PHP-CGM @ | 6 L NS @ | 7 P Python @ | 9 P PRO @ ")</f>
        <v xml:space="preserve">| 5 L PHP-CGM @ | 6 L NS @ | 7 P Python @ | 9 P PRO @ </v>
      </c>
      <c r="BH75" s="4" t="str">
        <f ca="1">IFERROR(__xludf.DUMMYFUNCTION("""COMPUTED_VALUE"""),"| 5 L JAVA @ | 6 L CPT @ | 7 P PHP-CGM @ | 9 L INE % ")</f>
        <v xml:space="preserve">| 5 L JAVA @ | 6 L CPT @ | 7 P PHP-CGM @ | 9 L INE % </v>
      </c>
      <c r="BI7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J75" s="4" t="str">
        <f ca="1">IFERROR(__xludf.DUMMYFUNCTION("""COMPUTED_VALUE"""),"| 5 P NS @ | 7 L JAVA @ | 7 L PHP-CGM @ ")</f>
        <v xml:space="preserve">| 5 P NS @ | 7 L JAVA @ | 7 L PHP-CGM @ </v>
      </c>
      <c r="BK75" s="4" t="str">
        <f ca="1">IFERROR(__xludf.DUMMYFUNCTION("""COMPUTED_VALUE"""),"| 5 P JAVA @ | 7 L CPT @ | 9 P CPT @ | 8 L NS @ ")</f>
        <v xml:space="preserve">| 5 P JAVA @ | 7 L CPT @ | 9 P CPT @ | 8 L NS @ </v>
      </c>
      <c r="BL75" s="4" t="str">
        <f ca="1">IFERROR(__xludf.DUMMYFUNCTION("""COMPUTED_VALUE"""),"| 5 L PHP-CGM @ | 6 L NS @ | 7 P Python @ ")</f>
        <v xml:space="preserve">| 5 L PHP-CGM @ | 6 L NS @ | 7 P Python @ </v>
      </c>
      <c r="BM75" s="4" t="str">
        <f ca="1">IFERROR(__xludf.DUMMYFUNCTION("""COMPUTED_VALUE"""),"| 5 L JAVA @ | 6 L CPT @ | 7 P PHP-CGM @ | 9 L INE @ ")</f>
        <v xml:space="preserve">| 5 L JAVA @ | 6 L CPT @ | 7 P PHP-CGM @ | 9 L INE @ </v>
      </c>
      <c r="BN75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75" s="4" t="str">
        <f ca="1">IFERROR(__xludf.DUMMYFUNCTION("""COMPUTED_VALUE"""),"| 5 P NS @ | 7 L PHP-CGM @ ")</f>
        <v xml:space="preserve">| 5 P NS @ | 7 L PHP-CGM @ </v>
      </c>
      <c r="BP75" s="4" t="str">
        <f ca="1">IFERROR(__xludf.DUMMYFUNCTION("""COMPUTED_VALUE"""),"| 5 P JAVA @ | 7 L CPT @ | 8 L NS @ | 9 P CPT @ ")</f>
        <v xml:space="preserve">| 5 P JAVA @ | 7 L CPT @ | 8 L NS @ | 9 P CPT @ </v>
      </c>
      <c r="BQ75" s="4" t="str">
        <f ca="1">IFERROR(__xludf.DUMMYFUNCTION("""COMPUTED_VALUE"""),"| 5 L JAVA @ | 6 L CPT % ")</f>
        <v xml:space="preserve">| 5 L JAVA @ | 6 L CPT % </v>
      </c>
      <c r="BR75" s="4" t="str">
        <f ca="1">IFERROR(__xludf.DUMMYFUNCTION("""COMPUTED_VALUE"""),"| 7 L JAVA @ ")</f>
        <v xml:space="preserve">| 7 L JAVA @ </v>
      </c>
      <c r="BS75" s="4"/>
      <c r="BT75" s="4" t="str">
        <f ca="1">IFERROR(__xludf.DUMMYFUNCTION("""COMPUTED_VALUE"""),"| 7 L CPT @ | 9 P CPT @ ")</f>
        <v xml:space="preserve">| 7 L CPT @ | 9 P CPT @ </v>
      </c>
      <c r="BU75" s="4"/>
      <c r="BV75" s="4" t="str">
        <f ca="1">IFERROR(__xludf.DUMMYFUNCTION("""COMPUTED_VALUE"""),"| 5 P JAVA @ | 7 L CPT @ | 8 L NS @ ")</f>
        <v xml:space="preserve">| 5 P JAVA @ | 7 L CPT @ | 8 L NS @ </v>
      </c>
      <c r="BW75" s="4"/>
      <c r="BX75" s="4" t="str">
        <f ca="1">IFERROR(__xludf.DUMMYFUNCTION("""COMPUTED_VALUE"""),"| 5 L JAVA @ | 6 L CPT @ | 7 P PHP-CGM @ ")</f>
        <v xml:space="preserve">| 5 L JAVA @ | 6 L CPT @ | 7 P PHP-CGM @ </v>
      </c>
      <c r="BY7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75" s="4" t="str">
        <f ca="1">IFERROR(__xludf.DUMMYFUNCTION("""COMPUTED_VALUE"""),"| 5 P NS @ | 8 L JAVA @ | 7 L PHP-CGM @ | 9 P Python @ ")</f>
        <v xml:space="preserve">| 5 P NS @ | 8 L JAVA @ | 7 L PHP-CGM @ | 9 P Python @ </v>
      </c>
      <c r="CA75" s="4" t="str">
        <f ca="1">IFERROR(__xludf.DUMMYFUNCTION("""COMPUTED_VALUE"""),"| 5 P JAVA @ | 7 L CPT @ | 8 L NS @ | 9 P CPT @ ")</f>
        <v xml:space="preserve">| 5 P JAVA @ | 7 L CPT @ | 8 L NS @ | 9 P CPT @ </v>
      </c>
      <c r="CB75" s="4" t="str">
        <f ca="1">IFERROR(__xludf.DUMMYFUNCTION("""COMPUTED_VALUE"""),"| 5 L PHP-CGM @ | 6 L NS @ | 7 P Python @ ")</f>
        <v xml:space="preserve">| 5 L PHP-CGM @ | 6 L NS @ | 7 P Python @ </v>
      </c>
      <c r="CC75" s="4" t="str">
        <f ca="1">IFERROR(__xludf.DUMMYFUNCTION("""COMPUTED_VALUE"""),"| 5 L JAVA @ | 7 P PHP-CGM @ | 9 L INE % ")</f>
        <v xml:space="preserve">| 5 L JAVA @ | 7 P PHP-CGM @ | 9 L INE % </v>
      </c>
      <c r="CD7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CE75" s="4" t="str">
        <f ca="1">IFERROR(__xludf.DUMMYFUNCTION("""COMPUTED_VALUE"""),"| 5 P NS @ | 8 L JAVA @ | 7 L PHP-CGM @ ")</f>
        <v xml:space="preserve">| 5 P NS @ | 8 L JAVA @ | 7 L PHP-CGM @ </v>
      </c>
      <c r="CF75" s="4" t="str">
        <f ca="1">IFERROR(__xludf.DUMMYFUNCTION("""COMPUTED_VALUE"""),"| 7 L CPT @ | 8 L NS @ | 5 P JAVA @ | 9 P CPT @ ")</f>
        <v xml:space="preserve">| 7 L CPT @ | 8 L NS @ | 5 P JAVA @ | 9 P CPT @ </v>
      </c>
      <c r="CG75" s="4" t="str">
        <f ca="1">IFERROR(__xludf.DUMMYFUNCTION("""COMPUTED_VALUE"""),"| 5 L PHP-CGM @ | 6 L NS @ | 7 P Python @ ")</f>
        <v xml:space="preserve">| 5 L PHP-CGM @ | 6 L NS @ | 7 P Python @ </v>
      </c>
      <c r="CH75" s="4" t="str">
        <f ca="1">IFERROR(__xludf.DUMMYFUNCTION("""COMPUTED_VALUE"""),"| 5 L JAVA @ | 6 L CPT @ | 7 P PHP-CGM @ | 9 L INE @ ")</f>
        <v xml:space="preserve">| 5 L JAVA @ | 6 L CPT @ | 7 P PHP-CGM @ | 9 L INE @ </v>
      </c>
      <c r="CI75" s="4" t="str">
        <f ca="1">IFERROR(__xludf.DUMMYFUNCTION("""COMPUTED_VALUE"""),"| 5 L PHP-CGM @ | 7 L JAVA @ | 8 L CPT @ ")</f>
        <v xml:space="preserve">| 5 L PHP-CGM @ | 7 L JAVA @ | 8 L CPT @ </v>
      </c>
      <c r="CJ75" s="4" t="str">
        <f ca="1">IFERROR(__xludf.DUMMYFUNCTION("""COMPUTED_VALUE"""),"| 5 P NS @ ")</f>
        <v xml:space="preserve">| 5 P NS @ </v>
      </c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</row>
    <row r="76" spans="1:102" ht="12.5" x14ac:dyDescent="0.25">
      <c r="A76" s="3">
        <f ca="1">IFERROR(__xludf.DUMMYFUNCTION("""COMPUTED_VALUE"""),1)</f>
        <v>1</v>
      </c>
      <c r="B76" s="3" t="str">
        <f ca="1">IFERROR(__xludf.DUMMYFUNCTION("""COMPUTED_VALUE"""),"B")</f>
        <v>B</v>
      </c>
      <c r="C76" s="32" t="str">
        <f ca="1">IFERROR(__xludf.DUMMYFUNCTION("""COMPUTED_VALUE"""),"23291341002")</f>
        <v>23291341002</v>
      </c>
      <c r="D76" s="4" t="str">
        <f ca="1">IFERROR(__xludf.DUMMYFUNCTION("""COMPUTED_VALUE"""),"ADARSH KUMAR")</f>
        <v>ADARSH KUMAR</v>
      </c>
      <c r="E76" s="3" t="str">
        <f ca="1">IFERROR(__xludf.DUMMYFUNCTION("""COMPUTED_VALUE"""),"HAM/HDP-EVE")</f>
        <v>HAM/HDP-EVE</v>
      </c>
      <c r="F76" s="3">
        <f ca="1">IFERROR(__xludf.DUMMYFUNCTION("""COMPUTED_VALUE"""),9470486891)</f>
        <v>9470486891</v>
      </c>
      <c r="G76" s="3">
        <f ca="1">IFERROR(__xludf.DUMMYFUNCTION("""COMPUTED_VALUE"""),8521982410)</f>
        <v>8521982410</v>
      </c>
      <c r="H76" s="33">
        <f ca="1">IFERROR(__xludf.DUMMYFUNCTION("""COMPUTED_VALUE"""),0.620689655172413)</f>
        <v>0.62068965517241304</v>
      </c>
      <c r="I76" s="25">
        <f ca="1">IFERROR(__xludf.DUMMYFUNCTION("""COMPUTED_VALUE"""),0.621621621621621)</f>
        <v>0.62162162162162105</v>
      </c>
      <c r="J76" s="25">
        <f ca="1">IFERROR(__xludf.DUMMYFUNCTION("""COMPUTED_VALUE"""),0.5)</f>
        <v>0.5</v>
      </c>
      <c r="K76" s="25">
        <f ca="1">IFERROR(__xludf.DUMMYFUNCTION("""COMPUTED_VALUE"""),0.617647058823529)</f>
        <v>0.61764705882352899</v>
      </c>
      <c r="L76" s="25">
        <f ca="1">IFERROR(__xludf.DUMMYFUNCTION("""COMPUTED_VALUE"""),0.636363636363636)</f>
        <v>0.63636363636363602</v>
      </c>
      <c r="M76" s="25">
        <f ca="1">IFERROR(__xludf.DUMMYFUNCTION("""COMPUTED_VALUE"""),0.628571428571428)</f>
        <v>0.628571428571428</v>
      </c>
      <c r="N76" s="25">
        <f ca="1">IFERROR(__xludf.DUMMYFUNCTION("""COMPUTED_VALUE"""),0.636363636363636)</f>
        <v>0.63636363636363602</v>
      </c>
      <c r="O76" s="25">
        <f ca="1">IFERROR(__xludf.DUMMYFUNCTION("""COMPUTED_VALUE"""),0.628571428571428)</f>
        <v>0.628571428571428</v>
      </c>
      <c r="P76" s="25">
        <f ca="1">IFERROR(__xludf.DUMMYFUNCTION("""COMPUTED_VALUE"""),0.608695652173913)</f>
        <v>0.60869565217391297</v>
      </c>
      <c r="Q76" s="25">
        <f ca="1">IFERROR(__xludf.DUMMYFUNCTION("""COMPUTED_VALUE"""),0)</f>
        <v>0</v>
      </c>
      <c r="R76" s="25">
        <f ca="1">IFERROR(__xludf.DUMMYFUNCTION("""COMPUTED_VALUE"""),0.631578947368421)</f>
        <v>0.63157894736842102</v>
      </c>
      <c r="S76" s="25">
        <f ca="1">IFERROR(__xludf.DUMMYFUNCTION("""COMPUTED_VALUE"""),0)</f>
        <v>0</v>
      </c>
      <c r="T76" s="25">
        <f ca="1">IFERROR(__xludf.DUMMYFUNCTION("""COMPUTED_VALUE"""),0.714285714285714)</f>
        <v>0.71428571428571397</v>
      </c>
      <c r="U76" s="25">
        <f ca="1">IFERROR(__xludf.DUMMYFUNCTION("""COMPUTED_VALUE"""),0.625)</f>
        <v>0.625</v>
      </c>
      <c r="V76" s="25">
        <f ca="1">IFERROR(__xludf.DUMMYFUNCTION("""COMPUTED_VALUE"""),0)</f>
        <v>0</v>
      </c>
      <c r="W76" s="4"/>
      <c r="X76" s="4" t="str">
        <f ca="1">IFERROR(__xludf.DUMMYFUNCTION("""COMPUTED_VALUE"""),"| 5 P JAVA @ | 7 L CPT @ | 8 L NS @ | 9 P CPT @ ")</f>
        <v xml:space="preserve">| 5 P JAVA @ | 7 L CPT @ | 8 L NS @ | 9 P CPT @ </v>
      </c>
      <c r="Y76" s="4" t="str">
        <f ca="1">IFERROR(__xludf.DUMMYFUNCTION("""COMPUTED_VALUE"""),"| 5 L PHP-CGM @ | 6 L NS @ | 7 P Python @ | 9 P PRO @ ")</f>
        <v xml:space="preserve">| 5 L PHP-CGM @ | 6 L NS @ | 7 P Python @ | 9 P PRO @ </v>
      </c>
      <c r="Z76" s="4" t="str">
        <f ca="1">IFERROR(__xludf.DUMMYFUNCTION("""COMPUTED_VALUE"""),"| 5 L JAVA @ | 6 L CPT @ | 7 P PHP-CGM @ ")</f>
        <v xml:space="preserve">| 5 L JAVA @ | 6 L CPT @ | 7 P PHP-CGM @ </v>
      </c>
      <c r="AA76" s="4" t="str">
        <f ca="1">IFERROR(__xludf.DUMMYFUNCTION("""COMPUTED_VALUE"""),"| 5 L PHP-CGM @ | 7 L JAVA @ | 9 P JAVA @ | 8 L CPT @ ")</f>
        <v xml:space="preserve">| 5 L PHP-CGM @ | 7 L JAVA @ | 9 P JAVA @ | 8 L CPT @ </v>
      </c>
      <c r="AB76" s="4" t="str">
        <f ca="1">IFERROR(__xludf.DUMMYFUNCTION("""COMPUTED_VALUE"""),"| 4 P Python @ | 7 L PHP-CGM @ | 8 L JAVA @ | 9 P Python @ ")</f>
        <v xml:space="preserve">| 4 P Python @ | 7 L PHP-CGM @ | 8 L JAVA @ | 9 P Python @ </v>
      </c>
      <c r="AC76" s="4" t="str">
        <f ca="1">IFERROR(__xludf.DUMMYFUNCTION("""COMPUTED_VALUE"""),"| 5 P JAVA @ | 7 L CPT @ | 8 L NS @ | 9 P CPT @ ")</f>
        <v xml:space="preserve">| 5 P JAVA @ | 7 L CPT @ | 8 L NS @ | 9 P CPT @ </v>
      </c>
      <c r="AD76" s="4" t="str">
        <f ca="1">IFERROR(__xludf.DUMMYFUNCTION("""COMPUTED_VALUE"""),"| 5 L PHP-CGM @ | 6 L NS @ | 7 P Python @ ")</f>
        <v xml:space="preserve">| 5 L PHP-CGM @ | 6 L NS @ | 7 P Python @ </v>
      </c>
      <c r="AE76" s="4" t="str">
        <f ca="1">IFERROR(__xludf.DUMMYFUNCTION("""COMPUTED_VALUE"""),"| 5 L JAVA % | 6 L CPT % | 7 P PHP-CGM % ")</f>
        <v xml:space="preserve">| 5 L JAVA % | 6 L CPT % | 7 P PHP-CGM % </v>
      </c>
      <c r="AF7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76" s="4" t="str">
        <f ca="1">IFERROR(__xludf.DUMMYFUNCTION("""COMPUTED_VALUE"""),"| 5 P NS % | 8 L JAVA % | 7 L PHP-CGM % | 9 P Python % ")</f>
        <v xml:space="preserve">| 5 P NS % | 8 L JAVA % | 7 L PHP-CGM % | 9 P Python % </v>
      </c>
      <c r="AH7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76" s="4" t="str">
        <f ca="1">IFERROR(__xludf.DUMMYFUNCTION("""COMPUTED_VALUE"""),"| 5 P NS % | 8 L JAVA % | 7 L PHP-CGM % | 9 P Python % ")</f>
        <v xml:space="preserve">| 5 P NS % | 8 L JAVA % | 7 L PHP-CGM % | 9 P Python % </v>
      </c>
      <c r="AJ76" s="4" t="str">
        <f ca="1">IFERROR(__xludf.DUMMYFUNCTION("""COMPUTED_VALUE"""),"| 5 P JAVA % | 7 L CPT % | 8 L NS % | 9 P CPT % ")</f>
        <v xml:space="preserve">| 5 P JAVA % | 7 L CPT % | 8 L NS % | 9 P CPT % </v>
      </c>
      <c r="AK76" s="4" t="str">
        <f ca="1">IFERROR(__xludf.DUMMYFUNCTION("""COMPUTED_VALUE"""),"| 5 L PHP-CGM % | 6 L NS % | 7 P Python % | 9 P PRO % ")</f>
        <v xml:space="preserve">| 5 L PHP-CGM % | 6 L NS % | 7 P Python % | 9 P PRO % </v>
      </c>
      <c r="AL76" s="4" t="str">
        <f ca="1">IFERROR(__xludf.DUMMYFUNCTION("""COMPUTED_VALUE"""),"| 5 L JAVA % | 6 L CPT % | 7 P PHP-CGM % | 9 L INE % ")</f>
        <v xml:space="preserve">| 5 L JAVA % | 6 L CPT % | 7 P PHP-CGM % | 9 L INE % </v>
      </c>
      <c r="AM7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76" s="4" t="str">
        <f ca="1">IFERROR(__xludf.DUMMYFUNCTION("""COMPUTED_VALUE"""),"| 5 P NS % | 8 L JAVA % | 7 L PHP-CGM % | 9 P Python % ")</f>
        <v xml:space="preserve">| 5 P NS % | 8 L JAVA % | 7 L PHP-CGM % | 9 P Python % </v>
      </c>
      <c r="AO76" s="4" t="str">
        <f ca="1">IFERROR(__xludf.DUMMYFUNCTION("""COMPUTED_VALUE"""),"| 5 P JAVA % | 7 L CPT % | 8 L NS % | 9 P CPT % ")</f>
        <v xml:space="preserve">| 5 P JAVA % | 7 L CPT % | 8 L NS % | 9 P CPT % </v>
      </c>
      <c r="AP76" s="4" t="str">
        <f ca="1">IFERROR(__xludf.DUMMYFUNCTION("""COMPUTED_VALUE"""),"| 5 L PHP-CGM % | 6 L NS % | 7 P Python % | 9 P PRO % ")</f>
        <v xml:space="preserve">| 5 L PHP-CGM % | 6 L NS % | 7 P Python % | 9 P PRO % </v>
      </c>
      <c r="AQ76" s="4" t="str">
        <f ca="1">IFERROR(__xludf.DUMMYFUNCTION("""COMPUTED_VALUE"""),"| 5 L CPT % | 7 L JAVA % | 7 P PHP-CGM % | 9 L INE % ")</f>
        <v xml:space="preserve">| 5 L CPT % | 7 L JAVA % | 7 P PHP-CGM % | 9 L INE % </v>
      </c>
      <c r="AR76" s="4" t="str">
        <f ca="1">IFERROR(__xludf.DUMMYFUNCTION("""COMPUTED_VALUE"""),"| 5 L PHP-CGM % | 6 L NS % | 8 L CPT @ ")</f>
        <v xml:space="preserve">| 5 L PHP-CGM % | 6 L NS % | 8 L CPT @ </v>
      </c>
      <c r="AS76" s="4" t="str">
        <f ca="1">IFERROR(__xludf.DUMMYFUNCTION("""COMPUTED_VALUE"""),"| 5 P JAVA % | 7 L CPT % | 8 L NS % | 9 P CPT % ")</f>
        <v xml:space="preserve">| 5 P JAVA % | 7 L CPT % | 8 L NS % | 9 P CPT % </v>
      </c>
      <c r="AT76" s="4" t="str">
        <f ca="1">IFERROR(__xludf.DUMMYFUNCTION("""COMPUTED_VALUE"""),"| 5 L PHP-CGM % | 6 L NS % | 7 P Python % | 9 P PRO % ")</f>
        <v xml:space="preserve">| 5 L PHP-CGM % | 6 L NS % | 7 P Python % | 9 P PRO % </v>
      </c>
      <c r="AU76" s="4" t="str">
        <f ca="1">IFERROR(__xludf.DUMMYFUNCTION("""COMPUTED_VALUE"""),"| 5 L JAVA % | 6 L CPT % | 7 P PHP-CGM % | 9 L INE % ")</f>
        <v xml:space="preserve">| 5 L JAVA % | 6 L CPT % | 7 P PHP-CGM % | 9 L INE % </v>
      </c>
      <c r="AV7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76" s="4" t="str">
        <f ca="1">IFERROR(__xludf.DUMMYFUNCTION("""COMPUTED_VALUE"""),"| 5 P NS % | 7 L PHP-CGM % | 8 L JAVA % | 9 P Python % ")</f>
        <v xml:space="preserve">| 5 P NS % | 7 L PHP-CGM % | 8 L JAVA % | 9 P Python % </v>
      </c>
      <c r="AX76" s="4" t="str">
        <f ca="1">IFERROR(__xludf.DUMMYFUNCTION("""COMPUTED_VALUE"""),"| 5 P JAVA % | 7 L CPT % | 8 L NS % | 9 P CPT % ")</f>
        <v xml:space="preserve">| 5 P JAVA % | 7 L CPT % | 8 L NS % | 9 P CPT % </v>
      </c>
      <c r="AY76" s="4" t="str">
        <f ca="1">IFERROR(__xludf.DUMMYFUNCTION("""COMPUTED_VALUE"""),"| 5 L PHP-CGM % | 6 L NS % | 7 P Python % | 9 P PRO % ")</f>
        <v xml:space="preserve">| 5 L PHP-CGM % | 6 L NS % | 7 P Python % | 9 P PRO % </v>
      </c>
      <c r="AZ7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76" s="4" t="str">
        <f ca="1">IFERROR(__xludf.DUMMYFUNCTION("""COMPUTED_VALUE"""),"| 5 P NS % | 7 L PHP-CGM @ | 8 L JAVA @ ")</f>
        <v xml:space="preserve">| 5 P NS % | 7 L PHP-CGM @ | 8 L JAVA @ </v>
      </c>
      <c r="BB76" s="4" t="str">
        <f ca="1">IFERROR(__xludf.DUMMYFUNCTION("""COMPUTED_VALUE"""),"| 5 P JAVA % | 7 L CPT % | 8 L NS % | 9 P CPT % ")</f>
        <v xml:space="preserve">| 5 P JAVA % | 7 L CPT % | 8 L NS % | 9 P CPT % </v>
      </c>
      <c r="BC76" s="4" t="str">
        <f ca="1">IFERROR(__xludf.DUMMYFUNCTION("""COMPUTED_VALUE"""),"| 5 L PHP-CGM % | 6 L NS % | 7 P Python % | 9 P PRO @ ")</f>
        <v xml:space="preserve">| 5 L PHP-CGM % | 6 L NS % | 7 P Python % | 9 P PRO @ </v>
      </c>
      <c r="BD76" s="4" t="str">
        <f ca="1">IFERROR(__xludf.DUMMYFUNCTION("""COMPUTED_VALUE"""),"| 5 L JAVA % | 6 L CPT % | 7 P PHP-CGM % | 9 L INE % ")</f>
        <v xml:space="preserve">| 5 L JAVA % | 6 L CPT % | 7 P PHP-CGM % | 9 L INE % </v>
      </c>
      <c r="BE7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76" s="4" t="str">
        <f ca="1">IFERROR(__xludf.DUMMYFUNCTION("""COMPUTED_VALUE"""),"| 5 P NS % | 7 L PHP-CGM % | 9 P Python % | 8 L JAVA % ")</f>
        <v xml:space="preserve">| 5 P NS % | 7 L PHP-CGM % | 9 P Python % | 8 L JAVA % </v>
      </c>
      <c r="BG76" s="4" t="str">
        <f ca="1">IFERROR(__xludf.DUMMYFUNCTION("""COMPUTED_VALUE"""),"| 5 L PHP-CGM % | 6 L NS % | 7 P Python % | 9 P PRO % ")</f>
        <v xml:space="preserve">| 5 L PHP-CGM % | 6 L NS % | 7 P Python % | 9 P PRO % </v>
      </c>
      <c r="BH76" s="4" t="str">
        <f ca="1">IFERROR(__xludf.DUMMYFUNCTION("""COMPUTED_VALUE"""),"| 5 L JAVA % | 6 L CPT % | 7 P PHP-CGM % | 9 L INE % ")</f>
        <v xml:space="preserve">| 5 L JAVA % | 6 L CPT % | 7 P PHP-CGM % | 9 L INE % </v>
      </c>
      <c r="BI76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J76" s="4" t="str">
        <f ca="1">IFERROR(__xludf.DUMMYFUNCTION("""COMPUTED_VALUE"""),"| 5 P NS @ | 7 L JAVA @ | 7 L PHP-CGM @ ")</f>
        <v xml:space="preserve">| 5 P NS @ | 7 L JAVA @ | 7 L PHP-CGM @ </v>
      </c>
      <c r="BK76" s="4" t="str">
        <f ca="1">IFERROR(__xludf.DUMMYFUNCTION("""COMPUTED_VALUE"""),"| 5 P JAVA % | 7 L CPT % | 9 P CPT @ | 8 L NS @ ")</f>
        <v xml:space="preserve">| 5 P JAVA % | 7 L CPT % | 9 P CPT @ | 8 L NS @ </v>
      </c>
      <c r="BL76" s="4" t="str">
        <f ca="1">IFERROR(__xludf.DUMMYFUNCTION("""COMPUTED_VALUE"""),"| 5 L PHP-CGM % | 6 L NS % | 7 P Python % ")</f>
        <v xml:space="preserve">| 5 L PHP-CGM % | 6 L NS % | 7 P Python % </v>
      </c>
      <c r="BM76" s="4" t="str">
        <f ca="1">IFERROR(__xludf.DUMMYFUNCTION("""COMPUTED_VALUE"""),"| 5 L JAVA % | 6 L CPT % | 7 P PHP-CGM % | 9 L INE @ ")</f>
        <v xml:space="preserve">| 5 L JAVA % | 6 L CPT % | 7 P PHP-CGM % | 9 L INE @ </v>
      </c>
      <c r="BN76" s="4" t="str">
        <f ca="1">IFERROR(__xludf.DUMMYFUNCTION("""COMPUTED_VALUE"""),"| 5 L PHP-CGM % | 6 L NS % | 9 L JAVA % | 8 L CPT % | 9 P JAVA % ")</f>
        <v xml:space="preserve">| 5 L PHP-CGM % | 6 L NS % | 9 L JAVA % | 8 L CPT % | 9 P JAVA % </v>
      </c>
      <c r="BO76" s="4" t="str">
        <f ca="1">IFERROR(__xludf.DUMMYFUNCTION("""COMPUTED_VALUE"""),"| 5 P NS % | 7 L PHP-CGM % ")</f>
        <v xml:space="preserve">| 5 P NS % | 7 L PHP-CGM % </v>
      </c>
      <c r="BP76" s="4" t="str">
        <f ca="1">IFERROR(__xludf.DUMMYFUNCTION("""COMPUTED_VALUE"""),"| 5 P JAVA % | 7 L CPT % | 8 L NS @ | 9 P CPT % ")</f>
        <v xml:space="preserve">| 5 P JAVA % | 7 L CPT % | 8 L NS @ | 9 P CPT % </v>
      </c>
      <c r="BQ76" s="4" t="str">
        <f ca="1">IFERROR(__xludf.DUMMYFUNCTION("""COMPUTED_VALUE"""),"| 5 L JAVA % | 6 L CPT % ")</f>
        <v xml:space="preserve">| 5 L JAVA % | 6 L CPT % </v>
      </c>
      <c r="BR76" s="4" t="str">
        <f ca="1">IFERROR(__xludf.DUMMYFUNCTION("""COMPUTED_VALUE"""),"| 7 L JAVA % ")</f>
        <v xml:space="preserve">| 7 L JAVA % </v>
      </c>
      <c r="BS76" s="4"/>
      <c r="BT76" s="4" t="str">
        <f ca="1">IFERROR(__xludf.DUMMYFUNCTION("""COMPUTED_VALUE"""),"| 7 L CPT @ | 9 P CPT @ ")</f>
        <v xml:space="preserve">| 7 L CPT @ | 9 P CPT @ </v>
      </c>
      <c r="BU76" s="4"/>
      <c r="BV76" s="4" t="str">
        <f ca="1">IFERROR(__xludf.DUMMYFUNCTION("""COMPUTED_VALUE"""),"| 5 P JAVA @ | 7 L CPT @ | 8 L NS @ ")</f>
        <v xml:space="preserve">| 5 P JAVA @ | 7 L CPT @ | 8 L NS @ </v>
      </c>
      <c r="BW76" s="4"/>
      <c r="BX76" s="4" t="str">
        <f ca="1">IFERROR(__xludf.DUMMYFUNCTION("""COMPUTED_VALUE"""),"| 5 L JAVA @ | 6 L CPT @ | 7 P PHP-CGM @ ")</f>
        <v xml:space="preserve">| 5 L JAVA @ | 6 L CPT @ | 7 P PHP-CGM @ </v>
      </c>
      <c r="BY76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76" s="4" t="str">
        <f ca="1">IFERROR(__xludf.DUMMYFUNCTION("""COMPUTED_VALUE"""),"| 5 P NS @ | 8 L JAVA @ | 7 L PHP-CGM @ | 9 P Python @ ")</f>
        <v xml:space="preserve">| 5 P NS @ | 8 L JAVA @ | 7 L PHP-CGM @ | 9 P Python @ </v>
      </c>
      <c r="CA76" s="4" t="str">
        <f ca="1">IFERROR(__xludf.DUMMYFUNCTION("""COMPUTED_VALUE"""),"| 5 P JAVA @ | 7 L CPT @ | 8 L NS @ | 9 P CPT @ ")</f>
        <v xml:space="preserve">| 5 P JAVA @ | 7 L CPT @ | 8 L NS @ | 9 P CPT @ </v>
      </c>
      <c r="CB76" s="4" t="str">
        <f ca="1">IFERROR(__xludf.DUMMYFUNCTION("""COMPUTED_VALUE"""),"| 5 L PHP-CGM @ | 6 L NS @ | 7 P Python @ ")</f>
        <v xml:space="preserve">| 5 L PHP-CGM @ | 6 L NS @ | 7 P Python @ </v>
      </c>
      <c r="CC76" s="4" t="str">
        <f ca="1">IFERROR(__xludf.DUMMYFUNCTION("""COMPUTED_VALUE"""),"| 5 L JAVA @ | 7 P PHP-CGM @ | 9 L INE @ ")</f>
        <v xml:space="preserve">| 5 L JAVA @ | 7 P PHP-CGM @ | 9 L INE @ </v>
      </c>
      <c r="CD76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CE76" s="4" t="str">
        <f ca="1">IFERROR(__xludf.DUMMYFUNCTION("""COMPUTED_VALUE"""),"| 5 P NS @ | 8 L JAVA @ | 7 L PHP-CGM @ ")</f>
        <v xml:space="preserve">| 5 P NS @ | 8 L JAVA @ | 7 L PHP-CGM @ </v>
      </c>
      <c r="CF76" s="4" t="str">
        <f ca="1">IFERROR(__xludf.DUMMYFUNCTION("""COMPUTED_VALUE"""),"| 7 L CPT @ | 8 L NS @ | 5 P JAVA @ | 9 P CPT @ ")</f>
        <v xml:space="preserve">| 7 L CPT @ | 8 L NS @ | 5 P JAVA @ | 9 P CPT @ </v>
      </c>
      <c r="CG76" s="4" t="str">
        <f ca="1">IFERROR(__xludf.DUMMYFUNCTION("""COMPUTED_VALUE"""),"| 5 L PHP-CGM @ | 6 L NS @ | 7 P Python @ ")</f>
        <v xml:space="preserve">| 5 L PHP-CGM @ | 6 L NS @ | 7 P Python @ </v>
      </c>
      <c r="CH76" s="4" t="str">
        <f ca="1">IFERROR(__xludf.DUMMYFUNCTION("""COMPUTED_VALUE"""),"| 5 L JAVA @ | 6 L CPT @ | 7 P PHP-CGM @ | 9 L INE @ ")</f>
        <v xml:space="preserve">| 5 L JAVA @ | 6 L CPT @ | 7 P PHP-CGM @ | 9 L INE @ </v>
      </c>
      <c r="CI76" s="4" t="str">
        <f ca="1">IFERROR(__xludf.DUMMYFUNCTION("""COMPUTED_VALUE"""),"| 5 L PHP-CGM @ | 7 L JAVA @ | 8 L CPT @ ")</f>
        <v xml:space="preserve">| 5 L PHP-CGM @ | 7 L JAVA @ | 8 L CPT @ </v>
      </c>
      <c r="CJ76" s="4" t="str">
        <f ca="1">IFERROR(__xludf.DUMMYFUNCTION("""COMPUTED_VALUE"""),"| 5 P NS @ ")</f>
        <v xml:space="preserve">| 5 P NS @ </v>
      </c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</row>
    <row r="77" spans="1:102" ht="12.5" x14ac:dyDescent="0.25">
      <c r="A77" s="3">
        <f ca="1">IFERROR(__xludf.DUMMYFUNCTION("""COMPUTED_VALUE"""),1)</f>
        <v>1</v>
      </c>
      <c r="B77" s="3" t="str">
        <f ca="1">IFERROR(__xludf.DUMMYFUNCTION("""COMPUTED_VALUE"""),"B")</f>
        <v>B</v>
      </c>
      <c r="C77" s="32" t="str">
        <f ca="1">IFERROR(__xludf.DUMMYFUNCTION("""COMPUTED_VALUE"""),"23291341003")</f>
        <v>23291341003</v>
      </c>
      <c r="D77" s="4" t="str">
        <f ca="1">IFERROR(__xludf.DUMMYFUNCTION("""COMPUTED_VALUE"""),"ADITYA BHARAT KUMAR CHAUDHARI")</f>
        <v>ADITYA BHARAT KUMAR CHAUDHARI</v>
      </c>
      <c r="E77" s="3" t="str">
        <f ca="1">IFERROR(__xludf.DUMMYFUNCTION("""COMPUTED_VALUE"""),"HAM/HDP-EVE")</f>
        <v>HAM/HDP-EVE</v>
      </c>
      <c r="F77" s="3">
        <f ca="1">IFERROR(__xludf.DUMMYFUNCTION("""COMPUTED_VALUE"""),8160715051)</f>
        <v>8160715051</v>
      </c>
      <c r="G77" s="3"/>
      <c r="H77" s="33">
        <f ca="1">IFERROR(__xludf.DUMMYFUNCTION("""COMPUTED_VALUE"""),0.581896551724137)</f>
        <v>0.58189655172413701</v>
      </c>
      <c r="I77" s="25">
        <f ca="1">IFERROR(__xludf.DUMMYFUNCTION("""COMPUTED_VALUE"""),0.594594594594594)</f>
        <v>0.59459459459459396</v>
      </c>
      <c r="J77" s="25">
        <f ca="1">IFERROR(__xludf.DUMMYFUNCTION("""COMPUTED_VALUE"""),0.25)</f>
        <v>0.25</v>
      </c>
      <c r="K77" s="25">
        <f ca="1">IFERROR(__xludf.DUMMYFUNCTION("""COMPUTED_VALUE"""),0.529411764705882)</f>
        <v>0.52941176470588203</v>
      </c>
      <c r="L77" s="25">
        <f ca="1">IFERROR(__xludf.DUMMYFUNCTION("""COMPUTED_VALUE"""),0.454545454545454)</f>
        <v>0.45454545454545398</v>
      </c>
      <c r="M77" s="25">
        <f ca="1">IFERROR(__xludf.DUMMYFUNCTION("""COMPUTED_VALUE"""),0.571428571428571)</f>
        <v>0.57142857142857095</v>
      </c>
      <c r="N77" s="25">
        <f ca="1">IFERROR(__xludf.DUMMYFUNCTION("""COMPUTED_VALUE"""),1)</f>
        <v>1</v>
      </c>
      <c r="O77" s="25">
        <f ca="1">IFERROR(__xludf.DUMMYFUNCTION("""COMPUTED_VALUE"""),0.685714285714285)</f>
        <v>0.68571428571428505</v>
      </c>
      <c r="P77" s="25">
        <f ca="1">IFERROR(__xludf.DUMMYFUNCTION("""COMPUTED_VALUE"""),0.608695652173913)</f>
        <v>0.60869565217391297</v>
      </c>
      <c r="Q77" s="25">
        <f ca="1">IFERROR(__xludf.DUMMYFUNCTION("""COMPUTED_VALUE"""),0)</f>
        <v>0</v>
      </c>
      <c r="R77" s="25">
        <f ca="1">IFERROR(__xludf.DUMMYFUNCTION("""COMPUTED_VALUE"""),0.526315789473684)</f>
        <v>0.52631578947368396</v>
      </c>
      <c r="S77" s="25">
        <f ca="1">IFERROR(__xludf.DUMMYFUNCTION("""COMPUTED_VALUE"""),0)</f>
        <v>0</v>
      </c>
      <c r="T77" s="25">
        <f ca="1">IFERROR(__xludf.DUMMYFUNCTION("""COMPUTED_VALUE"""),0.714285714285714)</f>
        <v>0.71428571428571397</v>
      </c>
      <c r="U77" s="25">
        <f ca="1">IFERROR(__xludf.DUMMYFUNCTION("""COMPUTED_VALUE"""),0.375)</f>
        <v>0.375</v>
      </c>
      <c r="V77" s="25">
        <f ca="1">IFERROR(__xludf.DUMMYFUNCTION("""COMPUTED_VALUE"""),0)</f>
        <v>0</v>
      </c>
      <c r="W77" s="4"/>
      <c r="X77" s="4" t="str">
        <f ca="1">IFERROR(__xludf.DUMMYFUNCTION("""COMPUTED_VALUE"""),"| 5 P JAVA % | 7 L CPT % | 8 L NS % | 9 P CPT % ")</f>
        <v xml:space="preserve">| 5 P JAVA % | 7 L CPT % | 8 L NS % | 9 P CPT % </v>
      </c>
      <c r="Y77" s="4" t="str">
        <f ca="1">IFERROR(__xludf.DUMMYFUNCTION("""COMPUTED_VALUE"""),"| 5 L PHP-CGM % | 6 L NS % | 7 P Python % | 9 P PRO % ")</f>
        <v xml:space="preserve">| 5 L PHP-CGM % | 6 L NS % | 7 P Python % | 9 P PRO % </v>
      </c>
      <c r="Z77" s="4" t="str">
        <f ca="1">IFERROR(__xludf.DUMMYFUNCTION("""COMPUTED_VALUE"""),"| 5 L JAVA % | 6 L CPT % | 7 P PHP-CGM % ")</f>
        <v xml:space="preserve">| 5 L JAVA % | 6 L CPT % | 7 P PHP-CGM % </v>
      </c>
      <c r="AA77" s="4" t="str">
        <f ca="1">IFERROR(__xludf.DUMMYFUNCTION("""COMPUTED_VALUE"""),"| 5 L PHP-CGM % | 7 L JAVA % | 9 P JAVA @ | 8 L CPT % ")</f>
        <v xml:space="preserve">| 5 L PHP-CGM % | 7 L JAVA % | 9 P JAVA @ | 8 L CPT % </v>
      </c>
      <c r="AB77" s="4" t="str">
        <f ca="1">IFERROR(__xludf.DUMMYFUNCTION("""COMPUTED_VALUE"""),"| 4 P Python % | 7 L PHP-CGM % | 8 L JAVA % | 9 P Python @ ")</f>
        <v xml:space="preserve">| 4 P Python % | 7 L PHP-CGM % | 8 L JAVA % | 9 P Python @ </v>
      </c>
      <c r="AC77" s="4" t="str">
        <f ca="1">IFERROR(__xludf.DUMMYFUNCTION("""COMPUTED_VALUE"""),"| 5 P JAVA % | 7 L CPT % | 8 L NS % | 9 P CPT @ ")</f>
        <v xml:space="preserve">| 5 P JAVA % | 7 L CPT % | 8 L NS % | 9 P CPT @ </v>
      </c>
      <c r="AD77" s="4" t="str">
        <f ca="1">IFERROR(__xludf.DUMMYFUNCTION("""COMPUTED_VALUE"""),"| 5 L PHP-CGM % | 6 L NS % | 7 P Python % ")</f>
        <v xml:space="preserve">| 5 L PHP-CGM % | 6 L NS % | 7 P Python % </v>
      </c>
      <c r="AE77" s="4" t="str">
        <f ca="1">IFERROR(__xludf.DUMMYFUNCTION("""COMPUTED_VALUE"""),"| 5 L JAVA % | 6 L CPT % | 7 P PHP-CGM % ")</f>
        <v xml:space="preserve">| 5 L JAVA % | 6 L CPT % | 7 P PHP-CGM % </v>
      </c>
      <c r="AF77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77" s="4" t="str">
        <f ca="1">IFERROR(__xludf.DUMMYFUNCTION("""COMPUTED_VALUE"""),"| 5 P NS % | 8 L JAVA % | 7 L PHP-CGM % | 9 P Python @ ")</f>
        <v xml:space="preserve">| 5 P NS % | 8 L JAVA % | 7 L PHP-CGM % | 9 P Python @ </v>
      </c>
      <c r="AH77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I77" s="4" t="str">
        <f ca="1">IFERROR(__xludf.DUMMYFUNCTION("""COMPUTED_VALUE"""),"| 5 P NS % | 8 L JAVA % | 7 L PHP-CGM % | 9 P Python @ ")</f>
        <v xml:space="preserve">| 5 P NS % | 8 L JAVA % | 7 L PHP-CGM % | 9 P Python @ </v>
      </c>
      <c r="AJ77" s="4" t="str">
        <f ca="1">IFERROR(__xludf.DUMMYFUNCTION("""COMPUTED_VALUE"""),"| 5 P JAVA % | 7 L CPT @ | 8 L NS @ | 9 P CPT % ")</f>
        <v xml:space="preserve">| 5 P JAVA % | 7 L CPT @ | 8 L NS @ | 9 P CPT % </v>
      </c>
      <c r="AK77" s="4" t="str">
        <f ca="1">IFERROR(__xludf.DUMMYFUNCTION("""COMPUTED_VALUE"""),"| 5 L PHP-CGM % | 6 L NS % | 7 P Python % | 9 P PRO % ")</f>
        <v xml:space="preserve">| 5 L PHP-CGM % | 6 L NS % | 7 P Python % | 9 P PRO % </v>
      </c>
      <c r="AL77" s="4" t="str">
        <f ca="1">IFERROR(__xludf.DUMMYFUNCTION("""COMPUTED_VALUE"""),"| 5 L JAVA % | 6 L CPT % | 7 P PHP-CGM % | 9 L INE @ ")</f>
        <v xml:space="preserve">| 5 L JAVA % | 6 L CPT % | 7 P PHP-CGM % | 9 L INE @ </v>
      </c>
      <c r="AM77" s="4" t="str">
        <f ca="1">IFERROR(__xludf.DUMMYFUNCTION("""COMPUTED_VALUE"""),"| 5 L PHP-CGM % | 6 L NS @ | 7 L JAVA % | 8 L CPT % | 9 P JAVA % ")</f>
        <v xml:space="preserve">| 5 L PHP-CGM % | 6 L NS @ | 7 L JAVA % | 8 L CPT % | 9 P JAVA % </v>
      </c>
      <c r="AN77" s="4" t="str">
        <f ca="1">IFERROR(__xludf.DUMMYFUNCTION("""COMPUTED_VALUE"""),"| 5 P NS @ | 8 L JAVA @ | 7 L PHP-CGM @ | 9 P Python @ ")</f>
        <v xml:space="preserve">| 5 P NS @ | 8 L JAVA @ | 7 L PHP-CGM @ | 9 P Python @ </v>
      </c>
      <c r="AO77" s="4" t="str">
        <f ca="1">IFERROR(__xludf.DUMMYFUNCTION("""COMPUTED_VALUE"""),"| 5 P JAVA % | 7 L CPT % | 8 L NS % | 9 P CPT @ ")</f>
        <v xml:space="preserve">| 5 P JAVA % | 7 L CPT % | 8 L NS % | 9 P CPT @ </v>
      </c>
      <c r="AP77" s="4" t="str">
        <f ca="1">IFERROR(__xludf.DUMMYFUNCTION("""COMPUTED_VALUE"""),"| 5 L PHP-CGM % | 6 L NS % | 7 P Python % | 9 P PRO @ ")</f>
        <v xml:space="preserve">| 5 L PHP-CGM % | 6 L NS % | 7 P Python % | 9 P PRO @ </v>
      </c>
      <c r="AQ77" s="4" t="str">
        <f ca="1">IFERROR(__xludf.DUMMYFUNCTION("""COMPUTED_VALUE"""),"| 5 L CPT % | 7 L JAVA % | 7 P PHP-CGM % | 9 L INE % ")</f>
        <v xml:space="preserve">| 5 L CPT % | 7 L JAVA % | 7 P PHP-CGM % | 9 L INE % </v>
      </c>
      <c r="AR77" s="4" t="str">
        <f ca="1">IFERROR(__xludf.DUMMYFUNCTION("""COMPUTED_VALUE"""),"| 5 L PHP-CGM % | 6 L NS % | 8 L CPT @ ")</f>
        <v xml:space="preserve">| 5 L PHP-CGM % | 6 L NS % | 8 L CPT @ </v>
      </c>
      <c r="AS77" s="4" t="str">
        <f ca="1">IFERROR(__xludf.DUMMYFUNCTION("""COMPUTED_VALUE"""),"| 5 P JAVA % | 7 L CPT % | 8 L NS % | 9 P CPT @ ")</f>
        <v xml:space="preserve">| 5 P JAVA % | 7 L CPT % | 8 L NS % | 9 P CPT @ </v>
      </c>
      <c r="AT77" s="4" t="str">
        <f ca="1">IFERROR(__xludf.DUMMYFUNCTION("""COMPUTED_VALUE"""),"| 5 L PHP-CGM % | 6 L NS % | 7 P Python % | 9 P PRO % ")</f>
        <v xml:space="preserve">| 5 L PHP-CGM % | 6 L NS % | 7 P Python % | 9 P PRO % </v>
      </c>
      <c r="AU77" s="4" t="str">
        <f ca="1">IFERROR(__xludf.DUMMYFUNCTION("""COMPUTED_VALUE"""),"| 5 L JAVA % | 6 L CPT % | 7 P PHP-CGM % | 9 L INE % ")</f>
        <v xml:space="preserve">| 5 L JAVA % | 6 L CPT % | 7 P PHP-CGM % | 9 L INE % </v>
      </c>
      <c r="AV77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77" s="4" t="str">
        <f ca="1">IFERROR(__xludf.DUMMYFUNCTION("""COMPUTED_VALUE"""),"| 5 P NS % | 7 L PHP-CGM % | 8 L JAVA % | 9 P Python @ ")</f>
        <v xml:space="preserve">| 5 P NS % | 7 L PHP-CGM % | 8 L JAVA % | 9 P Python @ </v>
      </c>
      <c r="AX77" s="4" t="str">
        <f ca="1">IFERROR(__xludf.DUMMYFUNCTION("""COMPUTED_VALUE"""),"| 5 P JAVA % | 7 L CPT % | 8 L NS % | 9 P CPT @ ")</f>
        <v xml:space="preserve">| 5 P JAVA % | 7 L CPT % | 8 L NS % | 9 P CPT @ </v>
      </c>
      <c r="AY77" s="4" t="str">
        <f ca="1">IFERROR(__xludf.DUMMYFUNCTION("""COMPUTED_VALUE"""),"| 5 L PHP-CGM % | 6 L NS % | 7 P Python @ | 9 P PRO % ")</f>
        <v xml:space="preserve">| 5 L PHP-CGM % | 6 L NS % | 7 P Python @ | 9 P PRO % </v>
      </c>
      <c r="AZ77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A77" s="4" t="str">
        <f ca="1">IFERROR(__xludf.DUMMYFUNCTION("""COMPUTED_VALUE"""),"| 5 P NS % | 7 L PHP-CGM % | 8 L JAVA % ")</f>
        <v xml:space="preserve">| 5 P NS % | 7 L PHP-CGM % | 8 L JAVA % </v>
      </c>
      <c r="BB77" s="4" t="str">
        <f ca="1">IFERROR(__xludf.DUMMYFUNCTION("""COMPUTED_VALUE"""),"| 5 P JAVA @ | 7 L CPT @ | 8 L NS @ | 9 P CPT @ ")</f>
        <v xml:space="preserve">| 5 P JAVA @ | 7 L CPT @ | 8 L NS @ | 9 P CPT @ </v>
      </c>
      <c r="BC77" s="4" t="str">
        <f ca="1">IFERROR(__xludf.DUMMYFUNCTION("""COMPUTED_VALUE"""),"| 5 L PHP-CGM @ | 6 L NS @ | 7 P Python @ | 9 P PRO @ ")</f>
        <v xml:space="preserve">| 5 L PHP-CGM @ | 6 L NS @ | 7 P Python @ | 9 P PRO @ </v>
      </c>
      <c r="BD77" s="4" t="str">
        <f ca="1">IFERROR(__xludf.DUMMYFUNCTION("""COMPUTED_VALUE"""),"| 5 L JAVA % | 6 L CPT % | 7 P PHP-CGM % | 9 L INE @ ")</f>
        <v xml:space="preserve">| 5 L JAVA % | 6 L CPT % | 7 P PHP-CGM % | 9 L INE @ </v>
      </c>
      <c r="BE77" s="4" t="str">
        <f ca="1">IFERROR(__xludf.DUMMYFUNCTION("""COMPUTED_VALUE"""),"| 5 L PHP-CGM @ | 6 L NS @ | 7 L JAVA % | 8 L CPT % | 9 P JAVA @ ")</f>
        <v xml:space="preserve">| 5 L PHP-CGM @ | 6 L NS @ | 7 L JAVA % | 8 L CPT % | 9 P JAVA @ </v>
      </c>
      <c r="BF77" s="4" t="str">
        <f ca="1">IFERROR(__xludf.DUMMYFUNCTION("""COMPUTED_VALUE"""),"| 5 P NS @ | 7 L PHP-CGM @ | 9 P Python % | 8 L JAVA @ ")</f>
        <v xml:space="preserve">| 5 P NS @ | 7 L PHP-CGM @ | 9 P Python % | 8 L JAVA @ </v>
      </c>
      <c r="BG77" s="4" t="str">
        <f ca="1">IFERROR(__xludf.DUMMYFUNCTION("""COMPUTED_VALUE"""),"| 5 L PHP-CGM @ | 6 L NS @ | 7 P Python % | 9 P PRO % ")</f>
        <v xml:space="preserve">| 5 L PHP-CGM @ | 6 L NS @ | 7 P Python % | 9 P PRO % </v>
      </c>
      <c r="BH77" s="4" t="str">
        <f ca="1">IFERROR(__xludf.DUMMYFUNCTION("""COMPUTED_VALUE"""),"| 5 L JAVA % | 6 L CPT @ | 7 P PHP-CGM % | 9 L INE @ ")</f>
        <v xml:space="preserve">| 5 L JAVA % | 6 L CPT @ | 7 P PHP-CGM % | 9 L INE @ </v>
      </c>
      <c r="BI77" s="4" t="str">
        <f ca="1">IFERROR(__xludf.DUMMYFUNCTION("""COMPUTED_VALUE"""),"| 5 L PHP-CGM @ | 6 L NS @ | 7 L JAVA % | 8 L CPT @ | 9 P JAVA % ")</f>
        <v xml:space="preserve">| 5 L PHP-CGM @ | 6 L NS @ | 7 L JAVA % | 8 L CPT @ | 9 P JAVA % </v>
      </c>
      <c r="BJ77" s="4" t="str">
        <f ca="1">IFERROR(__xludf.DUMMYFUNCTION("""COMPUTED_VALUE"""),"| 5 P NS @ | 7 L JAVA @ | 7 L PHP-CGM @ ")</f>
        <v xml:space="preserve">| 5 P NS @ | 7 L JAVA @ | 7 L PHP-CGM @ </v>
      </c>
      <c r="BK77" s="4" t="str">
        <f ca="1">IFERROR(__xludf.DUMMYFUNCTION("""COMPUTED_VALUE"""),"| 5 P JAVA % | 7 L CPT % | 9 P CPT @ | 8 L NS @ ")</f>
        <v xml:space="preserve">| 5 P JAVA % | 7 L CPT % | 9 P CPT @ | 8 L NS @ </v>
      </c>
      <c r="BL77" s="4" t="str">
        <f ca="1">IFERROR(__xludf.DUMMYFUNCTION("""COMPUTED_VALUE"""),"| 5 L PHP-CGM % | 6 L NS % | 7 P Python @ ")</f>
        <v xml:space="preserve">| 5 L PHP-CGM % | 6 L NS % | 7 P Python @ </v>
      </c>
      <c r="BM77" s="4" t="str">
        <f ca="1">IFERROR(__xludf.DUMMYFUNCTION("""COMPUTED_VALUE"""),"| 5 L JAVA % | 6 L CPT % | 7 P PHP-CGM % | 9 L INE @ ")</f>
        <v xml:space="preserve">| 5 L JAVA % | 6 L CPT % | 7 P PHP-CGM % | 9 L INE @ </v>
      </c>
      <c r="BN77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77" s="4" t="str">
        <f ca="1">IFERROR(__xludf.DUMMYFUNCTION("""COMPUTED_VALUE"""),"| 5 P NS @ | 7 L PHP-CGM @ ")</f>
        <v xml:space="preserve">| 5 P NS @ | 7 L PHP-CGM @ </v>
      </c>
      <c r="BP77" s="4" t="str">
        <f ca="1">IFERROR(__xludf.DUMMYFUNCTION("""COMPUTED_VALUE"""),"| 5 P JAVA % | 7 L CPT % | 8 L NS @ | 9 P CPT @ ")</f>
        <v xml:space="preserve">| 5 P JAVA % | 7 L CPT % | 8 L NS @ | 9 P CPT @ </v>
      </c>
      <c r="BQ77" s="4" t="str">
        <f ca="1">IFERROR(__xludf.DUMMYFUNCTION("""COMPUTED_VALUE"""),"| 5 L JAVA % | 6 L CPT @ ")</f>
        <v xml:space="preserve">| 5 L JAVA % | 6 L CPT @ </v>
      </c>
      <c r="BR77" s="4" t="str">
        <f ca="1">IFERROR(__xludf.DUMMYFUNCTION("""COMPUTED_VALUE"""),"| 7 L JAVA @ ")</f>
        <v xml:space="preserve">| 7 L JAVA @ </v>
      </c>
      <c r="BS77" s="4"/>
      <c r="BT77" s="4" t="str">
        <f ca="1">IFERROR(__xludf.DUMMYFUNCTION("""COMPUTED_VALUE"""),"| 7 L CPT @ | 9 P CPT @ ")</f>
        <v xml:space="preserve">| 7 L CPT @ | 9 P CPT @ </v>
      </c>
      <c r="BU77" s="4"/>
      <c r="BV77" s="4" t="str">
        <f ca="1">IFERROR(__xludf.DUMMYFUNCTION("""COMPUTED_VALUE"""),"| 5 P JAVA % | 7 L CPT % | 8 L NS % ")</f>
        <v xml:space="preserve">| 5 P JAVA % | 7 L CPT % | 8 L NS % </v>
      </c>
      <c r="BW77" s="4"/>
      <c r="BX77" s="4" t="str">
        <f ca="1">IFERROR(__xludf.DUMMYFUNCTION("""COMPUTED_VALUE"""),"| 5 L JAVA % | 6 L CPT % | 7 P PHP-CGM % ")</f>
        <v xml:space="preserve">| 5 L JAVA % | 6 L CPT % | 7 P PHP-CGM % </v>
      </c>
      <c r="BY77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77" s="4" t="str">
        <f ca="1">IFERROR(__xludf.DUMMYFUNCTION("""COMPUTED_VALUE"""),"| 5 P NS @ | 8 L JAVA @ | 7 L PHP-CGM @ | 9 P Python @ ")</f>
        <v xml:space="preserve">| 5 P NS @ | 8 L JAVA @ | 7 L PHP-CGM @ | 9 P Python @ </v>
      </c>
      <c r="CA77" s="4" t="str">
        <f ca="1">IFERROR(__xludf.DUMMYFUNCTION("""COMPUTED_VALUE"""),"| 5 P JAVA @ | 7 L CPT @ | 8 L NS @ | 9 P CPT @ ")</f>
        <v xml:space="preserve">| 5 P JAVA @ | 7 L CPT @ | 8 L NS @ | 9 P CPT @ </v>
      </c>
      <c r="CB77" s="4" t="str">
        <f ca="1">IFERROR(__xludf.DUMMYFUNCTION("""COMPUTED_VALUE"""),"| 5 L PHP-CGM % | 6 L NS % | 7 P Python % ")</f>
        <v xml:space="preserve">| 5 L PHP-CGM % | 6 L NS % | 7 P Python % </v>
      </c>
      <c r="CC77" s="4" t="str">
        <f ca="1">IFERROR(__xludf.DUMMYFUNCTION("""COMPUTED_VALUE"""),"| 5 L JAVA % | 7 P PHP-CGM % | 9 L INE % ")</f>
        <v xml:space="preserve">| 5 L JAVA % | 7 P PHP-CGM % | 9 L INE % </v>
      </c>
      <c r="CD77" s="4" t="str">
        <f ca="1">IFERROR(__xludf.DUMMYFUNCTION("""COMPUTED_VALUE"""),"| 5 L PHP-CGM % | 6 L NS @ | 7 L JAVA @ | 8 L CPT @ | 9 P JAVA @ ")</f>
        <v xml:space="preserve">| 5 L PHP-CGM % | 6 L NS @ | 7 L JAVA @ | 8 L CPT @ | 9 P JAVA @ </v>
      </c>
      <c r="CE77" s="4" t="str">
        <f ca="1">IFERROR(__xludf.DUMMYFUNCTION("""COMPUTED_VALUE"""),"| 5 P NS @ | 8 L JAVA @ | 7 L PHP-CGM @ ")</f>
        <v xml:space="preserve">| 5 P NS @ | 8 L JAVA @ | 7 L PHP-CGM @ </v>
      </c>
      <c r="CF77" s="4" t="str">
        <f ca="1">IFERROR(__xludf.DUMMYFUNCTION("""COMPUTED_VALUE"""),"| 7 L CPT @ | 8 L NS @ | 5 P JAVA % | 9 P CPT % ")</f>
        <v xml:space="preserve">| 7 L CPT @ | 8 L NS @ | 5 P JAVA % | 9 P CPT % </v>
      </c>
      <c r="CG77" s="4" t="str">
        <f ca="1">IFERROR(__xludf.DUMMYFUNCTION("""COMPUTED_VALUE"""),"| 5 L PHP-CGM @ | 6 L NS @ | 7 P Python % ")</f>
        <v xml:space="preserve">| 5 L PHP-CGM @ | 6 L NS @ | 7 P Python % </v>
      </c>
      <c r="CH77" s="4" t="str">
        <f ca="1">IFERROR(__xludf.DUMMYFUNCTION("""COMPUTED_VALUE"""),"| 5 L JAVA % | 6 L CPT @ | 7 P PHP-CGM % | 9 L INE @ ")</f>
        <v xml:space="preserve">| 5 L JAVA % | 6 L CPT @ | 7 P PHP-CGM % | 9 L INE @ </v>
      </c>
      <c r="CI77" s="4" t="str">
        <f ca="1">IFERROR(__xludf.DUMMYFUNCTION("""COMPUTED_VALUE"""),"| 5 L PHP-CGM @ | 7 L JAVA @ | 8 L CPT @ ")</f>
        <v xml:space="preserve">| 5 L PHP-CGM @ | 7 L JAVA @ | 8 L CPT @ </v>
      </c>
      <c r="CJ77" s="4" t="str">
        <f ca="1">IFERROR(__xludf.DUMMYFUNCTION("""COMPUTED_VALUE"""),"| 5 P NS % ")</f>
        <v xml:space="preserve">| 5 P NS % </v>
      </c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</row>
    <row r="78" spans="1:102" ht="12.5" x14ac:dyDescent="0.25">
      <c r="A78" s="3">
        <f ca="1">IFERROR(__xludf.DUMMYFUNCTION("""COMPUTED_VALUE"""),1)</f>
        <v>1</v>
      </c>
      <c r="B78" s="3" t="str">
        <f ca="1">IFERROR(__xludf.DUMMYFUNCTION("""COMPUTED_VALUE"""),"B")</f>
        <v>B</v>
      </c>
      <c r="C78" s="32" t="str">
        <f ca="1">IFERROR(__xludf.DUMMYFUNCTION("""COMPUTED_VALUE"""),"23291341004")</f>
        <v>23291341004</v>
      </c>
      <c r="D78" s="4" t="str">
        <f ca="1">IFERROR(__xludf.DUMMYFUNCTION("""COMPUTED_VALUE"""),"AJMERI AARIN")</f>
        <v>AJMERI AARIN</v>
      </c>
      <c r="E78" s="3" t="str">
        <f ca="1">IFERROR(__xludf.DUMMYFUNCTION("""COMPUTED_VALUE"""),"HAM/HDP-EVE")</f>
        <v>HAM/HDP-EVE</v>
      </c>
      <c r="F78" s="3">
        <f ca="1">IFERROR(__xludf.DUMMYFUNCTION("""COMPUTED_VALUE"""),9328060422)</f>
        <v>9328060422</v>
      </c>
      <c r="G78" s="3">
        <f ca="1">IFERROR(__xludf.DUMMYFUNCTION("""COMPUTED_VALUE"""),9924666011)</f>
        <v>9924666011</v>
      </c>
      <c r="H78" s="33">
        <f ca="1">IFERROR(__xludf.DUMMYFUNCTION("""COMPUTED_VALUE"""),0.646551724137931)</f>
        <v>0.64655172413793105</v>
      </c>
      <c r="I78" s="25">
        <f ca="1">IFERROR(__xludf.DUMMYFUNCTION("""COMPUTED_VALUE"""),0.648648648648648)</f>
        <v>0.64864864864864802</v>
      </c>
      <c r="J78" s="25">
        <f ca="1">IFERROR(__xludf.DUMMYFUNCTION("""COMPUTED_VALUE"""),0.666666666666666)</f>
        <v>0.66666666666666596</v>
      </c>
      <c r="K78" s="25">
        <f ca="1">IFERROR(__xludf.DUMMYFUNCTION("""COMPUTED_VALUE"""),0.647058823529411)</f>
        <v>0.64705882352941102</v>
      </c>
      <c r="L78" s="25">
        <f ca="1">IFERROR(__xludf.DUMMYFUNCTION("""COMPUTED_VALUE"""),0.636363636363636)</f>
        <v>0.63636363636363602</v>
      </c>
      <c r="M78" s="25">
        <f ca="1">IFERROR(__xludf.DUMMYFUNCTION("""COMPUTED_VALUE"""),0.628571428571428)</f>
        <v>0.628571428571428</v>
      </c>
      <c r="N78" s="25">
        <f ca="1">IFERROR(__xludf.DUMMYFUNCTION("""COMPUTED_VALUE"""),0.818181818181818)</f>
        <v>0.81818181818181801</v>
      </c>
      <c r="O78" s="25">
        <f ca="1">IFERROR(__xludf.DUMMYFUNCTION("""COMPUTED_VALUE"""),0.628571428571428)</f>
        <v>0.628571428571428</v>
      </c>
      <c r="P78" s="25">
        <f ca="1">IFERROR(__xludf.DUMMYFUNCTION("""COMPUTED_VALUE"""),0.652173913043478)</f>
        <v>0.65217391304347805</v>
      </c>
      <c r="Q78" s="25">
        <f ca="1">IFERROR(__xludf.DUMMYFUNCTION("""COMPUTED_VALUE"""),0)</f>
        <v>0</v>
      </c>
      <c r="R78" s="25">
        <f ca="1">IFERROR(__xludf.DUMMYFUNCTION("""COMPUTED_VALUE"""),0.684210526315789)</f>
        <v>0.68421052631578905</v>
      </c>
      <c r="S78" s="25">
        <f ca="1">IFERROR(__xludf.DUMMYFUNCTION("""COMPUTED_VALUE"""),0)</f>
        <v>0</v>
      </c>
      <c r="T78" s="25">
        <f ca="1">IFERROR(__xludf.DUMMYFUNCTION("""COMPUTED_VALUE"""),0.428571428571428)</f>
        <v>0.42857142857142799</v>
      </c>
      <c r="U78" s="25">
        <f ca="1">IFERROR(__xludf.DUMMYFUNCTION("""COMPUTED_VALUE"""),0.625)</f>
        <v>0.625</v>
      </c>
      <c r="V78" s="25">
        <f ca="1">IFERROR(__xludf.DUMMYFUNCTION("""COMPUTED_VALUE"""),0)</f>
        <v>0</v>
      </c>
      <c r="W78" s="4"/>
      <c r="X78" s="4" t="str">
        <f ca="1">IFERROR(__xludf.DUMMYFUNCTION("""COMPUTED_VALUE"""),"| 5 P JAVA % | 7 L CPT % | 8 L NS % | 9 P CPT % ")</f>
        <v xml:space="preserve">| 5 P JAVA % | 7 L CPT % | 8 L NS % | 9 P CPT % </v>
      </c>
      <c r="Y78" s="4" t="str">
        <f ca="1">IFERROR(__xludf.DUMMYFUNCTION("""COMPUTED_VALUE"""),"| 5 L PHP-CGM % | 6 L NS % | 7 P Python % | 9 P PRO @ ")</f>
        <v xml:space="preserve">| 5 L PHP-CGM % | 6 L NS % | 7 P Python % | 9 P PRO @ </v>
      </c>
      <c r="Z78" s="4" t="str">
        <f ca="1">IFERROR(__xludf.DUMMYFUNCTION("""COMPUTED_VALUE"""),"| 5 L JAVA % | 6 L CPT % | 7 P PHP-CGM % ")</f>
        <v xml:space="preserve">| 5 L JAVA % | 6 L CPT % | 7 P PHP-CGM % </v>
      </c>
      <c r="AA78" s="4" t="str">
        <f ca="1">IFERROR(__xludf.DUMMYFUNCTION("""COMPUTED_VALUE"""),"| 5 L PHP-CGM % | 7 L JAVA % | 9 P JAVA % | 8 L CPT % ")</f>
        <v xml:space="preserve">| 5 L PHP-CGM % | 7 L JAVA % | 9 P JAVA % | 8 L CPT % </v>
      </c>
      <c r="AB78" s="4" t="str">
        <f ca="1">IFERROR(__xludf.DUMMYFUNCTION("""COMPUTED_VALUE"""),"| 4 P Python % | 7 L PHP-CGM % | 8 L JAVA % | 9 P Python % ")</f>
        <v xml:space="preserve">| 4 P Python % | 7 L PHP-CGM % | 8 L JAVA % | 9 P Python % </v>
      </c>
      <c r="AC78" s="4" t="str">
        <f ca="1">IFERROR(__xludf.DUMMYFUNCTION("""COMPUTED_VALUE"""),"| 5 P JAVA % | 7 L CPT % | 8 L NS % | 9 P CPT % ")</f>
        <v xml:space="preserve">| 5 P JAVA % | 7 L CPT % | 8 L NS % | 9 P CPT % </v>
      </c>
      <c r="AD78" s="4" t="str">
        <f ca="1">IFERROR(__xludf.DUMMYFUNCTION("""COMPUTED_VALUE"""),"| 5 L PHP-CGM % | 6 L NS % | 7 P Python % ")</f>
        <v xml:space="preserve">| 5 L PHP-CGM % | 6 L NS % | 7 P Python % </v>
      </c>
      <c r="AE78" s="4" t="str">
        <f ca="1">IFERROR(__xludf.DUMMYFUNCTION("""COMPUTED_VALUE"""),"| 5 L JAVA % | 6 L CPT % | 7 P PHP-CGM % ")</f>
        <v xml:space="preserve">| 5 L JAVA % | 6 L CPT % | 7 P PHP-CGM % </v>
      </c>
      <c r="AF7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78" s="4" t="str">
        <f ca="1">IFERROR(__xludf.DUMMYFUNCTION("""COMPUTED_VALUE"""),"| 5 P NS % | 8 L JAVA % | 7 L PHP-CGM % | 9 P Python % ")</f>
        <v xml:space="preserve">| 5 P NS % | 8 L JAVA % | 7 L PHP-CGM % | 9 P Python % </v>
      </c>
      <c r="AH78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I78" s="4" t="str">
        <f ca="1">IFERROR(__xludf.DUMMYFUNCTION("""COMPUTED_VALUE"""),"| 5 P NS % | 8 L JAVA @ | 7 L PHP-CGM @ | 9 P Python @ ")</f>
        <v xml:space="preserve">| 5 P NS % | 8 L JAVA @ | 7 L PHP-CGM @ | 9 P Python @ </v>
      </c>
      <c r="AJ78" s="4" t="str">
        <f ca="1">IFERROR(__xludf.DUMMYFUNCTION("""COMPUTED_VALUE"""),"| 5 P JAVA % | 7 L CPT % | 8 L NS % | 9 P CPT % ")</f>
        <v xml:space="preserve">| 5 P JAVA % | 7 L CPT % | 8 L NS % | 9 P CPT % </v>
      </c>
      <c r="AK78" s="4" t="str">
        <f ca="1">IFERROR(__xludf.DUMMYFUNCTION("""COMPUTED_VALUE"""),"| 5 L PHP-CGM % | 6 L NS % | 7 P Python % | 9 P PRO % ")</f>
        <v xml:space="preserve">| 5 L PHP-CGM % | 6 L NS % | 7 P Python % | 9 P PRO % </v>
      </c>
      <c r="AL78" s="4" t="str">
        <f ca="1">IFERROR(__xludf.DUMMYFUNCTION("""COMPUTED_VALUE"""),"| 5 L JAVA % | 6 L CPT % | 7 P PHP-CGM % | 9 L INE % ")</f>
        <v xml:space="preserve">| 5 L JAVA % | 6 L CPT % | 7 P PHP-CGM % | 9 L INE % </v>
      </c>
      <c r="AM78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N78" s="4" t="str">
        <f ca="1">IFERROR(__xludf.DUMMYFUNCTION("""COMPUTED_VALUE"""),"| 5 P NS % | 8 L JAVA % | 7 L PHP-CGM % | 9 P Python % ")</f>
        <v xml:space="preserve">| 5 P NS % | 8 L JAVA % | 7 L PHP-CGM % | 9 P Python % </v>
      </c>
      <c r="AO78" s="4" t="str">
        <f ca="1">IFERROR(__xludf.DUMMYFUNCTION("""COMPUTED_VALUE"""),"| 5 P JAVA @ | 7 L CPT @ | 8 L NS @ | 9 P CPT @ ")</f>
        <v xml:space="preserve">| 5 P JAVA @ | 7 L CPT @ | 8 L NS @ | 9 P CPT @ </v>
      </c>
      <c r="AP78" s="4" t="str">
        <f ca="1">IFERROR(__xludf.DUMMYFUNCTION("""COMPUTED_VALUE"""),"| 5 L PHP-CGM % | 6 L NS % | 7 P Python % | 9 P PRO @ ")</f>
        <v xml:space="preserve">| 5 L PHP-CGM % | 6 L NS % | 7 P Python % | 9 P PRO @ </v>
      </c>
      <c r="AQ78" s="4" t="str">
        <f ca="1">IFERROR(__xludf.DUMMYFUNCTION("""COMPUTED_VALUE"""),"| 5 L CPT @ | 7 L JAVA @ | 7 P PHP-CGM @ | 9 L INE @ ")</f>
        <v xml:space="preserve">| 5 L CPT @ | 7 L JAVA @ | 7 P PHP-CGM @ | 9 L INE @ </v>
      </c>
      <c r="AR78" s="4" t="str">
        <f ca="1">IFERROR(__xludf.DUMMYFUNCTION("""COMPUTED_VALUE"""),"| 5 L PHP-CGM @ | 6 L NS @ | 8 L CPT @ ")</f>
        <v xml:space="preserve">| 5 L PHP-CGM @ | 6 L NS @ | 8 L CPT @ </v>
      </c>
      <c r="AS78" s="4" t="str">
        <f ca="1">IFERROR(__xludf.DUMMYFUNCTION("""COMPUTED_VALUE"""),"| 5 P JAVA @ | 7 L CPT @ | 8 L NS @ | 9 P CPT @ ")</f>
        <v xml:space="preserve">| 5 P JAVA @ | 7 L CPT @ | 8 L NS @ | 9 P CPT @ </v>
      </c>
      <c r="AT78" s="4" t="str">
        <f ca="1">IFERROR(__xludf.DUMMYFUNCTION("""COMPUTED_VALUE"""),"| 5 L PHP-CGM @ | 6 L NS @ | 7 P Python @ | 9 P PRO @ ")</f>
        <v xml:space="preserve">| 5 L PHP-CGM @ | 6 L NS @ | 7 P Python @ | 9 P PRO @ </v>
      </c>
      <c r="AU78" s="4" t="str">
        <f ca="1">IFERROR(__xludf.DUMMYFUNCTION("""COMPUTED_VALUE"""),"| 5 L JAVA % | 6 L CPT % | 7 P PHP-CGM % | 9 L INE % ")</f>
        <v xml:space="preserve">| 5 L JAVA % | 6 L CPT % | 7 P PHP-CGM % | 9 L INE % </v>
      </c>
      <c r="AV78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AW78" s="4" t="str">
        <f ca="1">IFERROR(__xludf.DUMMYFUNCTION("""COMPUTED_VALUE"""),"| 5 P NS @ | 7 L PHP-CGM @ | 8 L JAVA @ | 9 P Python @ ")</f>
        <v xml:space="preserve">| 5 P NS @ | 7 L PHP-CGM @ | 8 L JAVA @ | 9 P Python @ </v>
      </c>
      <c r="AX78" s="4" t="str">
        <f ca="1">IFERROR(__xludf.DUMMYFUNCTION("""COMPUTED_VALUE"""),"| 5 P JAVA % | 7 L CPT % | 8 L NS % | 9 P CPT % ")</f>
        <v xml:space="preserve">| 5 P JAVA % | 7 L CPT % | 8 L NS % | 9 P CPT % </v>
      </c>
      <c r="AY78" s="4" t="str">
        <f ca="1">IFERROR(__xludf.DUMMYFUNCTION("""COMPUTED_VALUE"""),"| 5 L PHP-CGM % | 6 L NS % | 7 P Python % | 9 P PRO % ")</f>
        <v xml:space="preserve">| 5 L PHP-CGM % | 6 L NS % | 7 P Python % | 9 P PRO % </v>
      </c>
      <c r="AZ78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A78" s="4" t="str">
        <f ca="1">IFERROR(__xludf.DUMMYFUNCTION("""COMPUTED_VALUE"""),"| 5 P NS % | 7 L PHP-CGM % | 8 L JAVA % ")</f>
        <v xml:space="preserve">| 5 P NS % | 7 L PHP-CGM % | 8 L JAVA % </v>
      </c>
      <c r="BB78" s="4" t="str">
        <f ca="1">IFERROR(__xludf.DUMMYFUNCTION("""COMPUTED_VALUE"""),"| 5 P JAVA % | 7 L CPT % | 8 L NS % | 9 P CPT % ")</f>
        <v xml:space="preserve">| 5 P JAVA % | 7 L CPT % | 8 L NS % | 9 P CPT % </v>
      </c>
      <c r="BC78" s="4" t="str">
        <f ca="1">IFERROR(__xludf.DUMMYFUNCTION("""COMPUTED_VALUE"""),"| 5 L PHP-CGM % | 6 L NS % | 7 P Python % | 9 P PRO @ ")</f>
        <v xml:space="preserve">| 5 L PHP-CGM % | 6 L NS % | 7 P Python % | 9 P PRO @ </v>
      </c>
      <c r="BD78" s="4" t="str">
        <f ca="1">IFERROR(__xludf.DUMMYFUNCTION("""COMPUTED_VALUE"""),"| 5 L JAVA % | 6 L CPT % | 7 P PHP-CGM % | 9 L INE % ")</f>
        <v xml:space="preserve">| 5 L JAVA % | 6 L CPT % | 7 P PHP-CGM % | 9 L INE % </v>
      </c>
      <c r="BE7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78" s="4" t="str">
        <f ca="1">IFERROR(__xludf.DUMMYFUNCTION("""COMPUTED_VALUE"""),"| 5 P NS @ | 7 L PHP-CGM @ | 9 P Python @ | 8 L JAVA @ ")</f>
        <v xml:space="preserve">| 5 P NS @ | 7 L PHP-CGM @ | 9 P Python @ | 8 L JAVA @ </v>
      </c>
      <c r="BG78" s="4" t="str">
        <f ca="1">IFERROR(__xludf.DUMMYFUNCTION("""COMPUTED_VALUE"""),"| 5 L PHP-CGM % | 6 L NS % | 7 P Python % | 9 P PRO % ")</f>
        <v xml:space="preserve">| 5 L PHP-CGM % | 6 L NS % | 7 P Python % | 9 P PRO % </v>
      </c>
      <c r="BH78" s="4" t="str">
        <f ca="1">IFERROR(__xludf.DUMMYFUNCTION("""COMPUTED_VALUE"""),"| 5 L JAVA @ | 6 L CPT @ | 7 P PHP-CGM % | 9 L INE % ")</f>
        <v xml:space="preserve">| 5 L JAVA @ | 6 L CPT @ | 7 P PHP-CGM % | 9 L INE % </v>
      </c>
      <c r="BI7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78" s="4" t="str">
        <f ca="1">IFERROR(__xludf.DUMMYFUNCTION("""COMPUTED_VALUE"""),"| 5 P NS % | 7 L JAVA % | 7 L PHP-CGM % ")</f>
        <v xml:space="preserve">| 5 P NS % | 7 L JAVA % | 7 L PHP-CGM % </v>
      </c>
      <c r="BK78" s="4" t="str">
        <f ca="1">IFERROR(__xludf.DUMMYFUNCTION("""COMPUTED_VALUE"""),"| 5 P JAVA % | 7 L CPT % | 9 P CPT @ | 8 L NS @ ")</f>
        <v xml:space="preserve">| 5 P JAVA % | 7 L CPT % | 9 P CPT @ | 8 L NS @ </v>
      </c>
      <c r="BL78" s="4" t="str">
        <f ca="1">IFERROR(__xludf.DUMMYFUNCTION("""COMPUTED_VALUE"""),"| 5 L PHP-CGM @ | 6 L NS @ | 7 P Python @ ")</f>
        <v xml:space="preserve">| 5 L PHP-CGM @ | 6 L NS @ | 7 P Python @ </v>
      </c>
      <c r="BM78" s="4" t="str">
        <f ca="1">IFERROR(__xludf.DUMMYFUNCTION("""COMPUTED_VALUE"""),"| 5 L JAVA % | 6 L CPT % | 7 P PHP-CGM % | 9 L INE @ ")</f>
        <v xml:space="preserve">| 5 L JAVA % | 6 L CPT % | 7 P PHP-CGM % | 9 L INE @ </v>
      </c>
      <c r="BN78" s="4" t="str">
        <f ca="1">IFERROR(__xludf.DUMMYFUNCTION("""COMPUTED_VALUE"""),"| 5 L PHP-CGM % | 6 L NS % | 9 L JAVA % | 8 L CPT % | 9 P JAVA % ")</f>
        <v xml:space="preserve">| 5 L PHP-CGM % | 6 L NS % | 9 L JAVA % | 8 L CPT % | 9 P JAVA % </v>
      </c>
      <c r="BO78" s="4" t="str">
        <f ca="1">IFERROR(__xludf.DUMMYFUNCTION("""COMPUTED_VALUE"""),"| 5 P NS @ | 7 L PHP-CGM @ ")</f>
        <v xml:space="preserve">| 5 P NS @ | 7 L PHP-CGM @ </v>
      </c>
      <c r="BP78" s="4" t="str">
        <f ca="1">IFERROR(__xludf.DUMMYFUNCTION("""COMPUTED_VALUE"""),"| 5 P JAVA % | 7 L CPT % | 8 L NS @ | 9 P CPT % ")</f>
        <v xml:space="preserve">| 5 P JAVA % | 7 L CPT % | 8 L NS @ | 9 P CPT % </v>
      </c>
      <c r="BQ78" s="4" t="str">
        <f ca="1">IFERROR(__xludf.DUMMYFUNCTION("""COMPUTED_VALUE"""),"| 5 L JAVA % | 6 L CPT % ")</f>
        <v xml:space="preserve">| 5 L JAVA % | 6 L CPT % </v>
      </c>
      <c r="BR78" s="4" t="str">
        <f ca="1">IFERROR(__xludf.DUMMYFUNCTION("""COMPUTED_VALUE"""),"| 7 L JAVA @ ")</f>
        <v xml:space="preserve">| 7 L JAVA @ </v>
      </c>
      <c r="BS78" s="4"/>
      <c r="BT78" s="4" t="str">
        <f ca="1">IFERROR(__xludf.DUMMYFUNCTION("""COMPUTED_VALUE"""),"| 7 L CPT @ | 9 P CPT @ ")</f>
        <v xml:space="preserve">| 7 L CPT @ | 9 P CPT @ </v>
      </c>
      <c r="BU78" s="4"/>
      <c r="BV78" s="4" t="str">
        <f ca="1">IFERROR(__xludf.DUMMYFUNCTION("""COMPUTED_VALUE"""),"| 5 P JAVA @ | 7 L CPT @ | 8 L NS @ ")</f>
        <v xml:space="preserve">| 5 P JAVA @ | 7 L CPT @ | 8 L NS @ </v>
      </c>
      <c r="BW78" s="4"/>
      <c r="BX78" s="4" t="str">
        <f ca="1">IFERROR(__xludf.DUMMYFUNCTION("""COMPUTED_VALUE"""),"| 5 L JAVA @ | 6 L CPT @ | 7 P PHP-CGM @ ")</f>
        <v xml:space="preserve">| 5 L JAVA @ | 6 L CPT @ | 7 P PHP-CGM @ </v>
      </c>
      <c r="BY78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78" s="4" t="str">
        <f ca="1">IFERROR(__xludf.DUMMYFUNCTION("""COMPUTED_VALUE"""),"| 5 P NS @ | 8 L JAVA @ | 7 L PHP-CGM @ | 9 P Python @ ")</f>
        <v xml:space="preserve">| 5 P NS @ | 8 L JAVA @ | 7 L PHP-CGM @ | 9 P Python @ </v>
      </c>
      <c r="CA78" s="4" t="str">
        <f ca="1">IFERROR(__xludf.DUMMYFUNCTION("""COMPUTED_VALUE"""),"| 5 P JAVA % | 7 L CPT % | 8 L NS % | 9 P CPT % ")</f>
        <v xml:space="preserve">| 5 P JAVA % | 7 L CPT % | 8 L NS % | 9 P CPT % </v>
      </c>
      <c r="CB78" s="4" t="str">
        <f ca="1">IFERROR(__xludf.DUMMYFUNCTION("""COMPUTED_VALUE"""),"| 5 L PHP-CGM % | 6 L NS % | 7 P Python % ")</f>
        <v xml:space="preserve">| 5 L PHP-CGM % | 6 L NS % | 7 P Python % </v>
      </c>
      <c r="CC78" s="4" t="str">
        <f ca="1">IFERROR(__xludf.DUMMYFUNCTION("""COMPUTED_VALUE"""),"| 5 L JAVA % | 7 P PHP-CGM % | 9 L INE % ")</f>
        <v xml:space="preserve">| 5 L JAVA % | 7 P PHP-CGM % | 9 L INE % </v>
      </c>
      <c r="CD7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78" s="4" t="str">
        <f ca="1">IFERROR(__xludf.DUMMYFUNCTION("""COMPUTED_VALUE"""),"| 5 P NS % | 8 L JAVA % | 7 L PHP-CGM % ")</f>
        <v xml:space="preserve">| 5 P NS % | 8 L JAVA % | 7 L PHP-CGM % </v>
      </c>
      <c r="CF78" s="4" t="str">
        <f ca="1">IFERROR(__xludf.DUMMYFUNCTION("""COMPUTED_VALUE"""),"| 7 L CPT % | 8 L NS % | 5 P JAVA % | 9 P CPT % ")</f>
        <v xml:space="preserve">| 7 L CPT % | 8 L NS % | 5 P JAVA % | 9 P CPT % </v>
      </c>
      <c r="CG78" s="4" t="str">
        <f ca="1">IFERROR(__xludf.DUMMYFUNCTION("""COMPUTED_VALUE"""),"| 5 L PHP-CGM % | 6 L NS % | 7 P Python % ")</f>
        <v xml:space="preserve">| 5 L PHP-CGM % | 6 L NS % | 7 P Python % </v>
      </c>
      <c r="CH78" s="4" t="str">
        <f ca="1">IFERROR(__xludf.DUMMYFUNCTION("""COMPUTED_VALUE"""),"| 5 L JAVA % | 6 L CPT % | 7 P PHP-CGM % | 9 L INE @ ")</f>
        <v xml:space="preserve">| 5 L JAVA % | 6 L CPT % | 7 P PHP-CGM % | 9 L INE @ </v>
      </c>
      <c r="CI78" s="4" t="str">
        <f ca="1">IFERROR(__xludf.DUMMYFUNCTION("""COMPUTED_VALUE"""),"| 5 L PHP-CGM @ | 7 L JAVA @ | 8 L CPT @ ")</f>
        <v xml:space="preserve">| 5 L PHP-CGM @ | 7 L JAVA @ | 8 L CPT @ </v>
      </c>
      <c r="CJ78" s="4" t="str">
        <f ca="1">IFERROR(__xludf.DUMMYFUNCTION("""COMPUTED_VALUE"""),"| 5 P NS % ")</f>
        <v xml:space="preserve">| 5 P NS % </v>
      </c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</row>
    <row r="79" spans="1:102" ht="12.5" x14ac:dyDescent="0.25">
      <c r="A79" s="3">
        <f ca="1">IFERROR(__xludf.DUMMYFUNCTION("""COMPUTED_VALUE"""),1)</f>
        <v>1</v>
      </c>
      <c r="B79" s="3" t="str">
        <f ca="1">IFERROR(__xludf.DUMMYFUNCTION("""COMPUTED_VALUE"""),"B")</f>
        <v>B</v>
      </c>
      <c r="C79" s="32" t="str">
        <f ca="1">IFERROR(__xludf.DUMMYFUNCTION("""COMPUTED_VALUE"""),"23291341005")</f>
        <v>23291341005</v>
      </c>
      <c r="D79" s="4" t="str">
        <f ca="1">IFERROR(__xludf.DUMMYFUNCTION("""COMPUTED_VALUE"""),"ARNAV PARIHAR")</f>
        <v>ARNAV PARIHAR</v>
      </c>
      <c r="E79" s="3" t="str">
        <f ca="1">IFERROR(__xludf.DUMMYFUNCTION("""COMPUTED_VALUE"""),"HAM/HDP-EVE")</f>
        <v>HAM/HDP-EVE</v>
      </c>
      <c r="F79" s="3">
        <f ca="1">IFERROR(__xludf.DUMMYFUNCTION("""COMPUTED_VALUE"""),8160421542)</f>
        <v>8160421542</v>
      </c>
      <c r="G79" s="3">
        <f ca="1">IFERROR(__xludf.DUMMYFUNCTION("""COMPUTED_VALUE"""),9427639236)</f>
        <v>9427639236</v>
      </c>
      <c r="H79" s="33">
        <f ca="1">IFERROR(__xludf.DUMMYFUNCTION("""COMPUTED_VALUE"""),0.784482758620689)</f>
        <v>0.78448275862068895</v>
      </c>
      <c r="I79" s="25">
        <f ca="1">IFERROR(__xludf.DUMMYFUNCTION("""COMPUTED_VALUE"""),0.702702702702702)</f>
        <v>0.70270270270270196</v>
      </c>
      <c r="J79" s="25">
        <f ca="1">IFERROR(__xludf.DUMMYFUNCTION("""COMPUTED_VALUE"""),0.583333333333333)</f>
        <v>0.58333333333333304</v>
      </c>
      <c r="K79" s="25">
        <f ca="1">IFERROR(__xludf.DUMMYFUNCTION("""COMPUTED_VALUE"""),0.794117647058823)</f>
        <v>0.79411764705882304</v>
      </c>
      <c r="L79" s="25">
        <f ca="1">IFERROR(__xludf.DUMMYFUNCTION("""COMPUTED_VALUE"""),0.727272727272727)</f>
        <v>0.72727272727272696</v>
      </c>
      <c r="M79" s="25">
        <f ca="1">IFERROR(__xludf.DUMMYFUNCTION("""COMPUTED_VALUE"""),0.885714285714285)</f>
        <v>0.88571428571428501</v>
      </c>
      <c r="N79" s="25">
        <f ca="1">IFERROR(__xludf.DUMMYFUNCTION("""COMPUTED_VALUE"""),0.909090909090909)</f>
        <v>0.90909090909090895</v>
      </c>
      <c r="O79" s="25">
        <f ca="1">IFERROR(__xludf.DUMMYFUNCTION("""COMPUTED_VALUE"""),0.8)</f>
        <v>0.8</v>
      </c>
      <c r="P79" s="25">
        <f ca="1">IFERROR(__xludf.DUMMYFUNCTION("""COMPUTED_VALUE"""),0.782608695652174)</f>
        <v>0.78260869565217395</v>
      </c>
      <c r="Q79" s="25">
        <f ca="1">IFERROR(__xludf.DUMMYFUNCTION("""COMPUTED_VALUE"""),0)</f>
        <v>0</v>
      </c>
      <c r="R79" s="25">
        <f ca="1">IFERROR(__xludf.DUMMYFUNCTION("""COMPUTED_VALUE"""),0.894736842105263)</f>
        <v>0.89473684210526305</v>
      </c>
      <c r="S79" s="25">
        <f ca="1">IFERROR(__xludf.DUMMYFUNCTION("""COMPUTED_VALUE"""),0)</f>
        <v>0</v>
      </c>
      <c r="T79" s="25">
        <f ca="1">IFERROR(__xludf.DUMMYFUNCTION("""COMPUTED_VALUE"""),0.857142857142857)</f>
        <v>0.85714285714285698</v>
      </c>
      <c r="U79" s="25">
        <f ca="1">IFERROR(__xludf.DUMMYFUNCTION("""COMPUTED_VALUE"""),0.5)</f>
        <v>0.5</v>
      </c>
      <c r="V79" s="25">
        <f ca="1">IFERROR(__xludf.DUMMYFUNCTION("""COMPUTED_VALUE"""),0)</f>
        <v>0</v>
      </c>
      <c r="W79" s="4"/>
      <c r="X79" s="4" t="str">
        <f ca="1">IFERROR(__xludf.DUMMYFUNCTION("""COMPUTED_VALUE"""),"| 5 P JAVA % | 7 L CPT % | 8 L NS % | 9 P CPT % ")</f>
        <v xml:space="preserve">| 5 P JAVA % | 7 L CPT % | 8 L NS % | 9 P CPT % </v>
      </c>
      <c r="Y79" s="4" t="str">
        <f ca="1">IFERROR(__xludf.DUMMYFUNCTION("""COMPUTED_VALUE"""),"| 5 L PHP-CGM % | 6 L NS % | 7 P Python % | 9 P PRO % ")</f>
        <v xml:space="preserve">| 5 L PHP-CGM % | 6 L NS % | 7 P Python % | 9 P PRO % </v>
      </c>
      <c r="Z79" s="4" t="str">
        <f ca="1">IFERROR(__xludf.DUMMYFUNCTION("""COMPUTED_VALUE"""),"| 5 L JAVA % | 6 L CPT % | 7 P PHP-CGM % ")</f>
        <v xml:space="preserve">| 5 L JAVA % | 6 L CPT % | 7 P PHP-CGM % </v>
      </c>
      <c r="AA79" s="4" t="str">
        <f ca="1">IFERROR(__xludf.DUMMYFUNCTION("""COMPUTED_VALUE"""),"| 5 L PHP-CGM % | 7 L JAVA % | 9 P JAVA % | 8 L CPT % ")</f>
        <v xml:space="preserve">| 5 L PHP-CGM % | 7 L JAVA % | 9 P JAVA % | 8 L CPT % </v>
      </c>
      <c r="AB79" s="4" t="str">
        <f ca="1">IFERROR(__xludf.DUMMYFUNCTION("""COMPUTED_VALUE"""),"| 4 P Python % | 7 L PHP-CGM % | 8 L JAVA % | 9 P Python % ")</f>
        <v xml:space="preserve">| 4 P Python % | 7 L PHP-CGM % | 8 L JAVA % | 9 P Python % </v>
      </c>
      <c r="AC79" s="4" t="str">
        <f ca="1">IFERROR(__xludf.DUMMYFUNCTION("""COMPUTED_VALUE"""),"| 5 P JAVA % | 7 L CPT % | 8 L NS % | 9 P CPT % ")</f>
        <v xml:space="preserve">| 5 P JAVA % | 7 L CPT % | 8 L NS % | 9 P CPT % </v>
      </c>
      <c r="AD79" s="4" t="str">
        <f ca="1">IFERROR(__xludf.DUMMYFUNCTION("""COMPUTED_VALUE"""),"| 5 L PHP-CGM % | 6 L NS % | 7 P Python % ")</f>
        <v xml:space="preserve">| 5 L PHP-CGM % | 6 L NS % | 7 P Python % </v>
      </c>
      <c r="AE79" s="4" t="str">
        <f ca="1">IFERROR(__xludf.DUMMYFUNCTION("""COMPUTED_VALUE"""),"| 5 L JAVA % | 6 L CPT % | 7 P PHP-CGM % ")</f>
        <v xml:space="preserve">| 5 L JAVA % | 6 L CPT % | 7 P PHP-CGM % </v>
      </c>
      <c r="AF7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79" s="4" t="str">
        <f ca="1">IFERROR(__xludf.DUMMYFUNCTION("""COMPUTED_VALUE"""),"| 5 P NS % | 8 L JAVA % | 7 L PHP-CGM % | 9 P Python % ")</f>
        <v xml:space="preserve">| 5 P NS % | 8 L JAVA % | 7 L PHP-CGM % | 9 P Python % </v>
      </c>
      <c r="AH7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79" s="4" t="str">
        <f ca="1">IFERROR(__xludf.DUMMYFUNCTION("""COMPUTED_VALUE"""),"| 5 P NS % | 8 L JAVA % | 7 L PHP-CGM % | 9 P Python % ")</f>
        <v xml:space="preserve">| 5 P NS % | 8 L JAVA % | 7 L PHP-CGM % | 9 P Python % </v>
      </c>
      <c r="AJ79" s="4" t="str">
        <f ca="1">IFERROR(__xludf.DUMMYFUNCTION("""COMPUTED_VALUE"""),"| 5 P JAVA % | 7 L CPT % | 8 L NS % | 9 P CPT % ")</f>
        <v xml:space="preserve">| 5 P JAVA % | 7 L CPT % | 8 L NS % | 9 P CPT % </v>
      </c>
      <c r="AK79" s="4" t="str">
        <f ca="1">IFERROR(__xludf.DUMMYFUNCTION("""COMPUTED_VALUE"""),"| 5 L PHP-CGM % | 6 L NS % | 7 P Python % | 9 P PRO % ")</f>
        <v xml:space="preserve">| 5 L PHP-CGM % | 6 L NS % | 7 P Python % | 9 P PRO % </v>
      </c>
      <c r="AL79" s="4" t="str">
        <f ca="1">IFERROR(__xludf.DUMMYFUNCTION("""COMPUTED_VALUE"""),"| 5 L JAVA % | 6 L CPT % | 7 P PHP-CGM % | 9 L INE @ ")</f>
        <v xml:space="preserve">| 5 L JAVA % | 6 L CPT % | 7 P PHP-CGM % | 9 L INE @ </v>
      </c>
      <c r="AM7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79" s="4" t="str">
        <f ca="1">IFERROR(__xludf.DUMMYFUNCTION("""COMPUTED_VALUE"""),"| 5 P NS @ | 8 L JAVA @ | 7 L PHP-CGM @ | 9 P Python @ ")</f>
        <v xml:space="preserve">| 5 P NS @ | 8 L JAVA @ | 7 L PHP-CGM @ | 9 P Python @ </v>
      </c>
      <c r="AO79" s="4" t="str">
        <f ca="1">IFERROR(__xludf.DUMMYFUNCTION("""COMPUTED_VALUE"""),"| 5 P JAVA @ | 7 L CPT @ | 8 L NS @ | 9 P CPT @ ")</f>
        <v xml:space="preserve">| 5 P JAVA @ | 7 L CPT @ | 8 L NS @ | 9 P CPT @ </v>
      </c>
      <c r="AP79" s="4" t="str">
        <f ca="1">IFERROR(__xludf.DUMMYFUNCTION("""COMPUTED_VALUE"""),"| 5 L PHP-CGM % | 6 L NS % | 7 P Python % | 9 P PRO % ")</f>
        <v xml:space="preserve">| 5 L PHP-CGM % | 6 L NS % | 7 P Python % | 9 P PRO % </v>
      </c>
      <c r="AQ79" s="4" t="str">
        <f ca="1">IFERROR(__xludf.DUMMYFUNCTION("""COMPUTED_VALUE"""),"| 5 L CPT % | 7 L JAVA % | 7 P PHP-CGM % | 9 L INE % ")</f>
        <v xml:space="preserve">| 5 L CPT % | 7 L JAVA % | 7 P PHP-CGM % | 9 L INE % </v>
      </c>
      <c r="AR79" s="4" t="str">
        <f ca="1">IFERROR(__xludf.DUMMYFUNCTION("""COMPUTED_VALUE"""),"| 5 L PHP-CGM % | 6 L NS % | 8 L CPT @ ")</f>
        <v xml:space="preserve">| 5 L PHP-CGM % | 6 L NS % | 8 L CPT @ </v>
      </c>
      <c r="AS79" s="4" t="str">
        <f ca="1">IFERROR(__xludf.DUMMYFUNCTION("""COMPUTED_VALUE"""),"| 5 P JAVA % | 7 L CPT % | 8 L NS % | 9 P CPT % ")</f>
        <v xml:space="preserve">| 5 P JAVA % | 7 L CPT % | 8 L NS % | 9 P CPT % </v>
      </c>
      <c r="AT79" s="4" t="str">
        <f ca="1">IFERROR(__xludf.DUMMYFUNCTION("""COMPUTED_VALUE"""),"| 5 L PHP-CGM % | 6 L NS % | 7 P Python % | 9 P PRO % ")</f>
        <v xml:space="preserve">| 5 L PHP-CGM % | 6 L NS % | 7 P Python % | 9 P PRO % </v>
      </c>
      <c r="AU79" s="4" t="str">
        <f ca="1">IFERROR(__xludf.DUMMYFUNCTION("""COMPUTED_VALUE"""),"| 5 L JAVA % | 6 L CPT % | 7 P PHP-CGM % | 9 L INE % ")</f>
        <v xml:space="preserve">| 5 L JAVA % | 6 L CPT % | 7 P PHP-CGM % | 9 L INE % </v>
      </c>
      <c r="AV7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79" s="4" t="str">
        <f ca="1">IFERROR(__xludf.DUMMYFUNCTION("""COMPUTED_VALUE"""),"| 5 P NS % | 7 L PHP-CGM % | 8 L JAVA % | 9 P Python % ")</f>
        <v xml:space="preserve">| 5 P NS % | 7 L PHP-CGM % | 8 L JAVA % | 9 P Python % </v>
      </c>
      <c r="AX79" s="4" t="str">
        <f ca="1">IFERROR(__xludf.DUMMYFUNCTION("""COMPUTED_VALUE"""),"| 5 P JAVA @ | 7 L CPT @ | 8 L NS @ | 9 P CPT @ ")</f>
        <v xml:space="preserve">| 5 P JAVA @ | 7 L CPT @ | 8 L NS @ | 9 P CPT @ </v>
      </c>
      <c r="AY79" s="4" t="str">
        <f ca="1">IFERROR(__xludf.DUMMYFUNCTION("""COMPUTED_VALUE"""),"| 5 L PHP-CGM % | 6 L NS % | 7 P Python % | 9 P PRO % ")</f>
        <v xml:space="preserve">| 5 L PHP-CGM % | 6 L NS % | 7 P Python % | 9 P PRO % </v>
      </c>
      <c r="AZ7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79" s="4" t="str">
        <f ca="1">IFERROR(__xludf.DUMMYFUNCTION("""COMPUTED_VALUE"""),"| 5 P NS @ | 7 L PHP-CGM @ | 8 L JAVA @ ")</f>
        <v xml:space="preserve">| 5 P NS @ | 7 L PHP-CGM @ | 8 L JAVA @ </v>
      </c>
      <c r="BB79" s="4" t="str">
        <f ca="1">IFERROR(__xludf.DUMMYFUNCTION("""COMPUTED_VALUE"""),"| 5 P JAVA % | 7 L CPT % | 8 L NS % | 9 P CPT % ")</f>
        <v xml:space="preserve">| 5 P JAVA % | 7 L CPT % | 8 L NS % | 9 P CPT % </v>
      </c>
      <c r="BC79" s="4" t="str">
        <f ca="1">IFERROR(__xludf.DUMMYFUNCTION("""COMPUTED_VALUE"""),"| 5 L PHP-CGM % | 6 L NS % | 7 P Python % | 9 P PRO @ ")</f>
        <v xml:space="preserve">| 5 L PHP-CGM % | 6 L NS % | 7 P Python % | 9 P PRO @ </v>
      </c>
      <c r="BD79" s="4" t="str">
        <f ca="1">IFERROR(__xludf.DUMMYFUNCTION("""COMPUTED_VALUE"""),"| 5 L JAVA % | 6 L CPT % | 7 P PHP-CGM % | 9 L INE % ")</f>
        <v xml:space="preserve">| 5 L JAVA % | 6 L CPT % | 7 P PHP-CGM % | 9 L INE % </v>
      </c>
      <c r="BE79" s="4" t="str">
        <f ca="1">IFERROR(__xludf.DUMMYFUNCTION("""COMPUTED_VALUE"""),"| 5 L PHP-CGM % | 6 L NS % | 7 L JAVA @ | 8 L CPT @ | 9 P JAVA % ")</f>
        <v xml:space="preserve">| 5 L PHP-CGM % | 6 L NS % | 7 L JAVA @ | 8 L CPT @ | 9 P JAVA % </v>
      </c>
      <c r="BF79" s="4" t="str">
        <f ca="1">IFERROR(__xludf.DUMMYFUNCTION("""COMPUTED_VALUE"""),"| 5 P NS % | 7 L PHP-CGM % | 9 P Python % | 8 L JAVA % ")</f>
        <v xml:space="preserve">| 5 P NS % | 7 L PHP-CGM % | 9 P Python % | 8 L JAVA % </v>
      </c>
      <c r="BG79" s="4" t="str">
        <f ca="1">IFERROR(__xludf.DUMMYFUNCTION("""COMPUTED_VALUE"""),"| 5 L PHP-CGM % | 6 L NS % | 7 P Python % | 9 P PRO % ")</f>
        <v xml:space="preserve">| 5 L PHP-CGM % | 6 L NS % | 7 P Python % | 9 P PRO % </v>
      </c>
      <c r="BH79" s="4" t="str">
        <f ca="1">IFERROR(__xludf.DUMMYFUNCTION("""COMPUTED_VALUE"""),"| 5 L JAVA % | 6 L CPT @ | 7 P PHP-CGM % | 9 L INE @ ")</f>
        <v xml:space="preserve">| 5 L JAVA % | 6 L CPT @ | 7 P PHP-CGM % | 9 L INE @ </v>
      </c>
      <c r="BI79" s="4" t="str">
        <f ca="1">IFERROR(__xludf.DUMMYFUNCTION("""COMPUTED_VALUE"""),"| 5 L PHP-CGM % | 6 L NS @ | 7 L JAVA % | 8 L CPT @ | 9 P JAVA % ")</f>
        <v xml:space="preserve">| 5 L PHP-CGM % | 6 L NS @ | 7 L JAVA % | 8 L CPT @ | 9 P JAVA % </v>
      </c>
      <c r="BJ79" s="4" t="str">
        <f ca="1">IFERROR(__xludf.DUMMYFUNCTION("""COMPUTED_VALUE"""),"| 5 P NS @ | 7 L JAVA @ | 7 L PHP-CGM @ ")</f>
        <v xml:space="preserve">| 5 P NS @ | 7 L JAVA @ | 7 L PHP-CGM @ </v>
      </c>
      <c r="BK79" s="4" t="str">
        <f ca="1">IFERROR(__xludf.DUMMYFUNCTION("""COMPUTED_VALUE"""),"| 5 P JAVA % | 7 L CPT % | 9 P CPT @ | 8 L NS @ ")</f>
        <v xml:space="preserve">| 5 P JAVA % | 7 L CPT % | 9 P CPT @ | 8 L NS @ </v>
      </c>
      <c r="BL79" s="4" t="str">
        <f ca="1">IFERROR(__xludf.DUMMYFUNCTION("""COMPUTED_VALUE"""),"| 5 L PHP-CGM % | 6 L NS % | 7 P Python @ ")</f>
        <v xml:space="preserve">| 5 L PHP-CGM % | 6 L NS % | 7 P Python @ </v>
      </c>
      <c r="BM79" s="4" t="str">
        <f ca="1">IFERROR(__xludf.DUMMYFUNCTION("""COMPUTED_VALUE"""),"| 5 L JAVA % | 6 L CPT % | 7 P PHP-CGM % | 9 L INE @ ")</f>
        <v xml:space="preserve">| 5 L JAVA % | 6 L CPT % | 7 P PHP-CGM % | 9 L INE @ </v>
      </c>
      <c r="BN79" s="4" t="str">
        <f ca="1">IFERROR(__xludf.DUMMYFUNCTION("""COMPUTED_VALUE"""),"| 5 L PHP-CGM % | 6 L NS % | 9 L JAVA % | 8 L CPT % | 9 P JAVA % ")</f>
        <v xml:space="preserve">| 5 L PHP-CGM % | 6 L NS % | 9 L JAVA % | 8 L CPT % | 9 P JAVA % </v>
      </c>
      <c r="BO79" s="4" t="str">
        <f ca="1">IFERROR(__xludf.DUMMYFUNCTION("""COMPUTED_VALUE"""),"| 5 P NS % | 7 L PHP-CGM @ ")</f>
        <v xml:space="preserve">| 5 P NS % | 7 L PHP-CGM @ </v>
      </c>
      <c r="BP79" s="4" t="str">
        <f ca="1">IFERROR(__xludf.DUMMYFUNCTION("""COMPUTED_VALUE"""),"| 5 P JAVA % | 7 L CPT % | 8 L NS @ | 9 P CPT % ")</f>
        <v xml:space="preserve">| 5 P JAVA % | 7 L CPT % | 8 L NS @ | 9 P CPT % </v>
      </c>
      <c r="BQ79" s="4" t="str">
        <f ca="1">IFERROR(__xludf.DUMMYFUNCTION("""COMPUTED_VALUE"""),"| 5 L JAVA % | 6 L CPT % ")</f>
        <v xml:space="preserve">| 5 L JAVA % | 6 L CPT % </v>
      </c>
      <c r="BR79" s="4" t="str">
        <f ca="1">IFERROR(__xludf.DUMMYFUNCTION("""COMPUTED_VALUE"""),"| 7 L JAVA @ ")</f>
        <v xml:space="preserve">| 7 L JAVA @ </v>
      </c>
      <c r="BS79" s="4"/>
      <c r="BT79" s="4" t="str">
        <f ca="1">IFERROR(__xludf.DUMMYFUNCTION("""COMPUTED_VALUE"""),"| 7 L CPT @ | 9 P CPT @ ")</f>
        <v xml:space="preserve">| 7 L CPT @ | 9 P CPT @ </v>
      </c>
      <c r="BU79" s="4"/>
      <c r="BV79" s="4" t="str">
        <f ca="1">IFERROR(__xludf.DUMMYFUNCTION("""COMPUTED_VALUE"""),"| 5 P JAVA @ | 7 L CPT @ | 8 L NS @ ")</f>
        <v xml:space="preserve">| 5 P JAVA @ | 7 L CPT @ | 8 L NS @ </v>
      </c>
      <c r="BW79" s="4"/>
      <c r="BX79" s="4" t="str">
        <f ca="1">IFERROR(__xludf.DUMMYFUNCTION("""COMPUTED_VALUE"""),"| 5 L JAVA @ | 6 L CPT @ | 7 P PHP-CGM @ ")</f>
        <v xml:space="preserve">| 5 L JAVA @ | 6 L CPT @ | 7 P PHP-CGM @ </v>
      </c>
      <c r="BY79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Z79" s="4" t="str">
        <f ca="1">IFERROR(__xludf.DUMMYFUNCTION("""COMPUTED_VALUE"""),"| 5 P NS % | 8 L JAVA % | 7 L PHP-CGM % | 9 P Python % ")</f>
        <v xml:space="preserve">| 5 P NS % | 8 L JAVA % | 7 L PHP-CGM % | 9 P Python % </v>
      </c>
      <c r="CA79" s="4" t="str">
        <f ca="1">IFERROR(__xludf.DUMMYFUNCTION("""COMPUTED_VALUE"""),"| 5 P JAVA @ | 7 L CPT @ | 8 L NS @ | 9 P CPT @ ")</f>
        <v xml:space="preserve">| 5 P JAVA @ | 7 L CPT @ | 8 L NS @ | 9 P CPT @ </v>
      </c>
      <c r="CB79" s="4" t="str">
        <f ca="1">IFERROR(__xludf.DUMMYFUNCTION("""COMPUTED_VALUE"""),"| 5 L PHP-CGM % | 6 L NS % | 7 P Python % ")</f>
        <v xml:space="preserve">| 5 L PHP-CGM % | 6 L NS % | 7 P Python % </v>
      </c>
      <c r="CC79" s="4" t="str">
        <f ca="1">IFERROR(__xludf.DUMMYFUNCTION("""COMPUTED_VALUE"""),"| 5 L JAVA % | 7 P PHP-CGM % | 9 L INE % ")</f>
        <v xml:space="preserve">| 5 L JAVA % | 7 P PHP-CGM % | 9 L INE % </v>
      </c>
      <c r="CD7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79" s="4" t="str">
        <f ca="1">IFERROR(__xludf.DUMMYFUNCTION("""COMPUTED_VALUE"""),"| 5 P NS % | 8 L JAVA % | 7 L PHP-CGM % ")</f>
        <v xml:space="preserve">| 5 P NS % | 8 L JAVA % | 7 L PHP-CGM % </v>
      </c>
      <c r="CF79" s="4" t="str">
        <f ca="1">IFERROR(__xludf.DUMMYFUNCTION("""COMPUTED_VALUE"""),"| 7 L CPT % | 8 L NS % | 5 P JAVA % | 9 P CPT % ")</f>
        <v xml:space="preserve">| 7 L CPT % | 8 L NS % | 5 P JAVA % | 9 P CPT % </v>
      </c>
      <c r="CG79" s="4" t="str">
        <f ca="1">IFERROR(__xludf.DUMMYFUNCTION("""COMPUTED_VALUE"""),"| 5 L PHP-CGM % | 6 L NS % | 7 P Python % ")</f>
        <v xml:space="preserve">| 5 L PHP-CGM % | 6 L NS % | 7 P Python % </v>
      </c>
      <c r="CH79" s="4" t="str">
        <f ca="1">IFERROR(__xludf.DUMMYFUNCTION("""COMPUTED_VALUE"""),"| 5 L JAVA % | 6 L CPT % | 7 P PHP-CGM % | 9 L INE @ ")</f>
        <v xml:space="preserve">| 5 L JAVA % | 6 L CPT % | 7 P PHP-CGM % | 9 L INE @ </v>
      </c>
      <c r="CI79" s="4" t="str">
        <f ca="1">IFERROR(__xludf.DUMMYFUNCTION("""COMPUTED_VALUE"""),"| 5 L PHP-CGM % | 7 L JAVA @ | 8 L CPT @ ")</f>
        <v xml:space="preserve">| 5 L PHP-CGM % | 7 L JAVA @ | 8 L CPT @ </v>
      </c>
      <c r="CJ79" s="4" t="str">
        <f ca="1">IFERROR(__xludf.DUMMYFUNCTION("""COMPUTED_VALUE"""),"| 5 P NS % ")</f>
        <v xml:space="preserve">| 5 P NS % </v>
      </c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</row>
    <row r="80" spans="1:102" ht="12.5" x14ac:dyDescent="0.25">
      <c r="A80" s="3">
        <f ca="1">IFERROR(__xludf.DUMMYFUNCTION("""COMPUTED_VALUE"""),1)</f>
        <v>1</v>
      </c>
      <c r="B80" s="3" t="str">
        <f ca="1">IFERROR(__xludf.DUMMYFUNCTION("""COMPUTED_VALUE"""),"B")</f>
        <v>B</v>
      </c>
      <c r="C80" s="32" t="str">
        <f ca="1">IFERROR(__xludf.DUMMYFUNCTION("""COMPUTED_VALUE"""),"23291341008")</f>
        <v>23291341008</v>
      </c>
      <c r="D80" s="4" t="str">
        <f ca="1">IFERROR(__xludf.DUMMYFUNCTION("""COMPUTED_VALUE"""),"BATHANI MAHEK AMITKUMAR")</f>
        <v>BATHANI MAHEK AMITKUMAR</v>
      </c>
      <c r="E80" s="3" t="str">
        <f ca="1">IFERROR(__xludf.DUMMYFUNCTION("""COMPUTED_VALUE"""),"HAM/HDP-EVE")</f>
        <v>HAM/HDP-EVE</v>
      </c>
      <c r="F80" s="3">
        <f ca="1">IFERROR(__xludf.DUMMYFUNCTION("""COMPUTED_VALUE"""),6352892429)</f>
        <v>6352892429</v>
      </c>
      <c r="G80" s="3">
        <f ca="1">IFERROR(__xludf.DUMMYFUNCTION("""COMPUTED_VALUE"""),9377432800)</f>
        <v>9377432800</v>
      </c>
      <c r="H80" s="33">
        <f ca="1">IFERROR(__xludf.DUMMYFUNCTION("""COMPUTED_VALUE"""),0.75)</f>
        <v>0.75</v>
      </c>
      <c r="I80" s="25">
        <f ca="1">IFERROR(__xludf.DUMMYFUNCTION("""COMPUTED_VALUE"""),0.756756756756756)</f>
        <v>0.75675675675675602</v>
      </c>
      <c r="J80" s="25">
        <f ca="1">IFERROR(__xludf.DUMMYFUNCTION("""COMPUTED_VALUE"""),0.5)</f>
        <v>0.5</v>
      </c>
      <c r="K80" s="25">
        <f ca="1">IFERROR(__xludf.DUMMYFUNCTION("""COMPUTED_VALUE"""),0.735294117647058)</f>
        <v>0.73529411764705799</v>
      </c>
      <c r="L80" s="25">
        <f ca="1">IFERROR(__xludf.DUMMYFUNCTION("""COMPUTED_VALUE"""),0.909090909090909)</f>
        <v>0.90909090909090895</v>
      </c>
      <c r="M80" s="25">
        <f ca="1">IFERROR(__xludf.DUMMYFUNCTION("""COMPUTED_VALUE"""),0.828571428571428)</f>
        <v>0.82857142857142796</v>
      </c>
      <c r="N80" s="25">
        <f ca="1">IFERROR(__xludf.DUMMYFUNCTION("""COMPUTED_VALUE"""),0.818181818181818)</f>
        <v>0.81818181818181801</v>
      </c>
      <c r="O80" s="25">
        <f ca="1">IFERROR(__xludf.DUMMYFUNCTION("""COMPUTED_VALUE"""),0.885714285714285)</f>
        <v>0.88571428571428501</v>
      </c>
      <c r="P80" s="25">
        <f ca="1">IFERROR(__xludf.DUMMYFUNCTION("""COMPUTED_VALUE"""),0.782608695652174)</f>
        <v>0.78260869565217395</v>
      </c>
      <c r="Q80" s="25">
        <f ca="1">IFERROR(__xludf.DUMMYFUNCTION("""COMPUTED_VALUE"""),0)</f>
        <v>0</v>
      </c>
      <c r="R80" s="25">
        <f ca="1">IFERROR(__xludf.DUMMYFUNCTION("""COMPUTED_VALUE"""),0.684210526315789)</f>
        <v>0.68421052631578905</v>
      </c>
      <c r="S80" s="25">
        <f ca="1">IFERROR(__xludf.DUMMYFUNCTION("""COMPUTED_VALUE"""),0)</f>
        <v>0</v>
      </c>
      <c r="T80" s="25">
        <f ca="1">IFERROR(__xludf.DUMMYFUNCTION("""COMPUTED_VALUE"""),0.428571428571428)</f>
        <v>0.42857142857142799</v>
      </c>
      <c r="U80" s="25">
        <f ca="1">IFERROR(__xludf.DUMMYFUNCTION("""COMPUTED_VALUE"""),0.25)</f>
        <v>0.25</v>
      </c>
      <c r="V80" s="25">
        <f ca="1">IFERROR(__xludf.DUMMYFUNCTION("""COMPUTED_VALUE"""),0)</f>
        <v>0</v>
      </c>
      <c r="W80" s="4"/>
      <c r="X80" s="4" t="str">
        <f ca="1">IFERROR(__xludf.DUMMYFUNCTION("""COMPUTED_VALUE"""),"| 5 P JAVA % | 7 L CPT % | 8 L NS % | 9 P CPT % ")</f>
        <v xml:space="preserve">| 5 P JAVA % | 7 L CPT % | 8 L NS % | 9 P CPT % </v>
      </c>
      <c r="Y80" s="4" t="str">
        <f ca="1">IFERROR(__xludf.DUMMYFUNCTION("""COMPUTED_VALUE"""),"| 5 L PHP-CGM % | 6 L NS % | 7 P Python % | 9 P PRO % ")</f>
        <v xml:space="preserve">| 5 L PHP-CGM % | 6 L NS % | 7 P Python % | 9 P PRO % </v>
      </c>
      <c r="Z80" s="4" t="str">
        <f ca="1">IFERROR(__xludf.DUMMYFUNCTION("""COMPUTED_VALUE"""),"| 5 L JAVA % | 6 L CPT % | 7 P PHP-CGM % ")</f>
        <v xml:space="preserve">| 5 L JAVA % | 6 L CPT % | 7 P PHP-CGM % </v>
      </c>
      <c r="AA80" s="4" t="str">
        <f ca="1">IFERROR(__xludf.DUMMYFUNCTION("""COMPUTED_VALUE"""),"| 5 L PHP-CGM % | 7 L JAVA % | 9 P JAVA % | 8 L CPT % ")</f>
        <v xml:space="preserve">| 5 L PHP-CGM % | 7 L JAVA % | 9 P JAVA % | 8 L CPT % </v>
      </c>
      <c r="AB80" s="4" t="str">
        <f ca="1">IFERROR(__xludf.DUMMYFUNCTION("""COMPUTED_VALUE"""),"| 4 P Python % | 7 L PHP-CGM % | 8 L JAVA % | 9 P Python @ ")</f>
        <v xml:space="preserve">| 4 P Python % | 7 L PHP-CGM % | 8 L JAVA % | 9 P Python @ </v>
      </c>
      <c r="AC80" s="4" t="str">
        <f ca="1">IFERROR(__xludf.DUMMYFUNCTION("""COMPUTED_VALUE"""),"| 5 P JAVA % | 7 L CPT % | 8 L NS % | 9 P CPT % ")</f>
        <v xml:space="preserve">| 5 P JAVA % | 7 L CPT % | 8 L NS % | 9 P CPT % </v>
      </c>
      <c r="AD80" s="4" t="str">
        <f ca="1">IFERROR(__xludf.DUMMYFUNCTION("""COMPUTED_VALUE"""),"| 5 L PHP-CGM % | 6 L NS % | 7 P Python % ")</f>
        <v xml:space="preserve">| 5 L PHP-CGM % | 6 L NS % | 7 P Python % </v>
      </c>
      <c r="AE80" s="4" t="str">
        <f ca="1">IFERROR(__xludf.DUMMYFUNCTION("""COMPUTED_VALUE"""),"| 5 L JAVA % | 6 L CPT % | 7 P PHP-CGM % ")</f>
        <v xml:space="preserve">| 5 L JAVA % | 6 L CPT % | 7 P PHP-CGM % </v>
      </c>
      <c r="AF8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80" s="4" t="str">
        <f ca="1">IFERROR(__xludf.DUMMYFUNCTION("""COMPUTED_VALUE"""),"| 5 P NS % | 8 L JAVA % | 7 L PHP-CGM % | 9 P Python % ")</f>
        <v xml:space="preserve">| 5 P NS % | 8 L JAVA % | 7 L PHP-CGM % | 9 P Python % </v>
      </c>
      <c r="AH8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80" s="4" t="str">
        <f ca="1">IFERROR(__xludf.DUMMYFUNCTION("""COMPUTED_VALUE"""),"| 5 P NS % | 8 L JAVA % | 7 L PHP-CGM % | 9 P Python @ ")</f>
        <v xml:space="preserve">| 5 P NS % | 8 L JAVA % | 7 L PHP-CGM % | 9 P Python @ </v>
      </c>
      <c r="AJ80" s="4" t="str">
        <f ca="1">IFERROR(__xludf.DUMMYFUNCTION("""COMPUTED_VALUE"""),"| 5 P JAVA % | 7 L CPT % | 8 L NS % | 9 P CPT @ ")</f>
        <v xml:space="preserve">| 5 P JAVA % | 7 L CPT % | 8 L NS % | 9 P CPT @ </v>
      </c>
      <c r="AK80" s="4" t="str">
        <f ca="1">IFERROR(__xludf.DUMMYFUNCTION("""COMPUTED_VALUE"""),"| 5 L PHP-CGM % | 6 L NS % | 7 P Python % | 9 P PRO @ ")</f>
        <v xml:space="preserve">| 5 L PHP-CGM % | 6 L NS % | 7 P Python % | 9 P PRO @ </v>
      </c>
      <c r="AL80" s="4" t="str">
        <f ca="1">IFERROR(__xludf.DUMMYFUNCTION("""COMPUTED_VALUE"""),"| 5 L JAVA % | 6 L CPT % | 7 P PHP-CGM % | 9 L INE @ ")</f>
        <v xml:space="preserve">| 5 L JAVA % | 6 L CPT % | 7 P PHP-CGM % | 9 L INE @ </v>
      </c>
      <c r="AM8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80" s="4" t="str">
        <f ca="1">IFERROR(__xludf.DUMMYFUNCTION("""COMPUTED_VALUE"""),"| 5 P NS @ | 8 L JAVA @ | 7 L PHP-CGM @ | 9 P Python @ ")</f>
        <v xml:space="preserve">| 5 P NS @ | 8 L JAVA @ | 7 L PHP-CGM @ | 9 P Python @ </v>
      </c>
      <c r="AO80" s="4" t="str">
        <f ca="1">IFERROR(__xludf.DUMMYFUNCTION("""COMPUTED_VALUE"""),"| 5 P JAVA @ | 7 L CPT @ | 8 L NS @ | 9 P CPT @ ")</f>
        <v xml:space="preserve">| 5 P JAVA @ | 7 L CPT @ | 8 L NS @ | 9 P CPT @ </v>
      </c>
      <c r="AP80" s="4" t="str">
        <f ca="1">IFERROR(__xludf.DUMMYFUNCTION("""COMPUTED_VALUE"""),"| 5 L PHP-CGM @ | 6 L NS @ | 7 P Python @ | 9 P PRO @ ")</f>
        <v xml:space="preserve">| 5 L PHP-CGM @ | 6 L NS @ | 7 P Python @ | 9 P PRO @ </v>
      </c>
      <c r="AQ80" s="4" t="str">
        <f ca="1">IFERROR(__xludf.DUMMYFUNCTION("""COMPUTED_VALUE"""),"| 5 L CPT @ | 7 L JAVA @ | 7 P PHP-CGM @ | 9 L INE @ ")</f>
        <v xml:space="preserve">| 5 L CPT @ | 7 L JAVA @ | 7 P PHP-CGM @ | 9 L INE @ </v>
      </c>
      <c r="AR80" s="4" t="str">
        <f ca="1">IFERROR(__xludf.DUMMYFUNCTION("""COMPUTED_VALUE"""),"| 5 L PHP-CGM @ | 6 L NS @ | 8 L CPT @ ")</f>
        <v xml:space="preserve">| 5 L PHP-CGM @ | 6 L NS @ | 8 L CPT @ </v>
      </c>
      <c r="AS80" s="4" t="str">
        <f ca="1">IFERROR(__xludf.DUMMYFUNCTION("""COMPUTED_VALUE"""),"| 5 P JAVA @ | 7 L CPT @ | 8 L NS @ | 9 P CPT @ ")</f>
        <v xml:space="preserve">| 5 P JAVA @ | 7 L CPT @ | 8 L NS @ | 9 P CPT @ </v>
      </c>
      <c r="AT80" s="4" t="str">
        <f ca="1">IFERROR(__xludf.DUMMYFUNCTION("""COMPUTED_VALUE"""),"| 5 L PHP-CGM % | 6 L NS % | 7 P Python % | 9 P PRO % ")</f>
        <v xml:space="preserve">| 5 L PHP-CGM % | 6 L NS % | 7 P Python % | 9 P PRO % </v>
      </c>
      <c r="AU80" s="4" t="str">
        <f ca="1">IFERROR(__xludf.DUMMYFUNCTION("""COMPUTED_VALUE"""),"| 5 L JAVA % | 6 L CPT % | 7 P PHP-CGM % | 9 L INE @ ")</f>
        <v xml:space="preserve">| 5 L JAVA % | 6 L CPT % | 7 P PHP-CGM % | 9 L INE @ </v>
      </c>
      <c r="AV8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80" s="4" t="str">
        <f ca="1">IFERROR(__xludf.DUMMYFUNCTION("""COMPUTED_VALUE"""),"| 5 P NS % | 7 L PHP-CGM % | 8 L JAVA % | 9 P Python @ ")</f>
        <v xml:space="preserve">| 5 P NS % | 7 L PHP-CGM % | 8 L JAVA % | 9 P Python @ </v>
      </c>
      <c r="AX80" s="4" t="str">
        <f ca="1">IFERROR(__xludf.DUMMYFUNCTION("""COMPUTED_VALUE"""),"| 5 P JAVA % | 7 L CPT % | 8 L NS % | 9 P CPT % ")</f>
        <v xml:space="preserve">| 5 P JAVA % | 7 L CPT % | 8 L NS % | 9 P CPT % </v>
      </c>
      <c r="AY80" s="4" t="str">
        <f ca="1">IFERROR(__xludf.DUMMYFUNCTION("""COMPUTED_VALUE"""),"| 5 L PHP-CGM @ | 6 L NS @ | 7 P Python @ | 9 P PRO @ ")</f>
        <v xml:space="preserve">| 5 L PHP-CGM @ | 6 L NS @ | 7 P Python @ | 9 P PRO @ </v>
      </c>
      <c r="AZ8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0" s="4" t="str">
        <f ca="1">IFERROR(__xludf.DUMMYFUNCTION("""COMPUTED_VALUE"""),"| 5 P NS % | 7 L PHP-CGM % | 8 L JAVA % ")</f>
        <v xml:space="preserve">| 5 P NS % | 7 L PHP-CGM % | 8 L JAVA % </v>
      </c>
      <c r="BB80" s="4" t="str">
        <f ca="1">IFERROR(__xludf.DUMMYFUNCTION("""COMPUTED_VALUE"""),"| 5 P JAVA % | 7 L CPT % | 8 L NS % | 9 P CPT % ")</f>
        <v xml:space="preserve">| 5 P JAVA % | 7 L CPT % | 8 L NS % | 9 P CPT % </v>
      </c>
      <c r="BC80" s="4" t="str">
        <f ca="1">IFERROR(__xludf.DUMMYFUNCTION("""COMPUTED_VALUE"""),"| 5 L PHP-CGM % | 6 L NS % | 7 P Python % | 9 P PRO @ ")</f>
        <v xml:space="preserve">| 5 L PHP-CGM % | 6 L NS % | 7 P Python % | 9 P PRO @ </v>
      </c>
      <c r="BD80" s="4" t="str">
        <f ca="1">IFERROR(__xludf.DUMMYFUNCTION("""COMPUTED_VALUE"""),"| 5 L JAVA % | 6 L CPT % | 7 P PHP-CGM % | 9 L INE % ")</f>
        <v xml:space="preserve">| 5 L JAVA % | 6 L CPT % | 7 P PHP-CGM % | 9 L INE % </v>
      </c>
      <c r="BE8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80" s="4" t="str">
        <f ca="1">IFERROR(__xludf.DUMMYFUNCTION("""COMPUTED_VALUE"""),"| 5 P NS % | 7 L PHP-CGM % | 9 P Python % | 8 L JAVA % ")</f>
        <v xml:space="preserve">| 5 P NS % | 7 L PHP-CGM % | 9 P Python % | 8 L JAVA % </v>
      </c>
      <c r="BG80" s="4" t="str">
        <f ca="1">IFERROR(__xludf.DUMMYFUNCTION("""COMPUTED_VALUE"""),"| 5 L PHP-CGM % | 6 L NS % | 7 P Python % | 9 P PRO % ")</f>
        <v xml:space="preserve">| 5 L PHP-CGM % | 6 L NS % | 7 P Python % | 9 P PRO % </v>
      </c>
      <c r="BH80" s="4" t="str">
        <f ca="1">IFERROR(__xludf.DUMMYFUNCTION("""COMPUTED_VALUE"""),"| 5 L JAVA % | 6 L CPT % | 7 P PHP-CGM % | 9 L INE @ ")</f>
        <v xml:space="preserve">| 5 L JAVA % | 6 L CPT % | 7 P PHP-CGM % | 9 L INE @ </v>
      </c>
      <c r="BI80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J80" s="4" t="str">
        <f ca="1">IFERROR(__xludf.DUMMYFUNCTION("""COMPUTED_VALUE"""),"| 5 P NS % | 7 L JAVA % | 7 L PHP-CGM % ")</f>
        <v xml:space="preserve">| 5 P NS % | 7 L JAVA % | 7 L PHP-CGM % </v>
      </c>
      <c r="BK80" s="4" t="str">
        <f ca="1">IFERROR(__xludf.DUMMYFUNCTION("""COMPUTED_VALUE"""),"| 5 P JAVA % | 7 L CPT % | 9 P CPT @ | 8 L NS @ ")</f>
        <v xml:space="preserve">| 5 P JAVA % | 7 L CPT % | 9 P CPT @ | 8 L NS @ </v>
      </c>
      <c r="BL80" s="4" t="str">
        <f ca="1">IFERROR(__xludf.DUMMYFUNCTION("""COMPUTED_VALUE"""),"| 5 L PHP-CGM % | 6 L NS % | 7 P Python % ")</f>
        <v xml:space="preserve">| 5 L PHP-CGM % | 6 L NS % | 7 P Python % </v>
      </c>
      <c r="BM80" s="4" t="str">
        <f ca="1">IFERROR(__xludf.DUMMYFUNCTION("""COMPUTED_VALUE"""),"| 5 L JAVA @ | 6 L CPT @ | 7 P PHP-CGM @ | 9 L INE @ ")</f>
        <v xml:space="preserve">| 5 L JAVA @ | 6 L CPT @ | 7 P PHP-CGM @ | 9 L INE @ </v>
      </c>
      <c r="BN80" s="4" t="str">
        <f ca="1">IFERROR(__xludf.DUMMYFUNCTION("""COMPUTED_VALUE"""),"| 5 L PHP-CGM % | 6 L NS % | 9 L JAVA % | 8 L CPT % | 9 P JAVA % ")</f>
        <v xml:space="preserve">| 5 L PHP-CGM % | 6 L NS % | 9 L JAVA % | 8 L CPT % | 9 P JAVA % </v>
      </c>
      <c r="BO80" s="4" t="str">
        <f ca="1">IFERROR(__xludf.DUMMYFUNCTION("""COMPUTED_VALUE"""),"| 5 P NS % | 7 L PHP-CGM % ")</f>
        <v xml:space="preserve">| 5 P NS % | 7 L PHP-CGM % </v>
      </c>
      <c r="BP80" s="4" t="str">
        <f ca="1">IFERROR(__xludf.DUMMYFUNCTION("""COMPUTED_VALUE"""),"| 5 P JAVA @ | 7 L CPT % | 8 L NS @ | 9 P CPT @ ")</f>
        <v xml:space="preserve">| 5 P JAVA @ | 7 L CPT % | 8 L NS @ | 9 P CPT @ </v>
      </c>
      <c r="BQ80" s="4" t="str">
        <f ca="1">IFERROR(__xludf.DUMMYFUNCTION("""COMPUTED_VALUE"""),"| 5 L JAVA % | 6 L CPT % ")</f>
        <v xml:space="preserve">| 5 L JAVA % | 6 L CPT % </v>
      </c>
      <c r="BR80" s="4" t="str">
        <f ca="1">IFERROR(__xludf.DUMMYFUNCTION("""COMPUTED_VALUE"""),"| 7 L JAVA % ")</f>
        <v xml:space="preserve">| 7 L JAVA % </v>
      </c>
      <c r="BS80" s="4"/>
      <c r="BT80" s="4" t="str">
        <f ca="1">IFERROR(__xludf.DUMMYFUNCTION("""COMPUTED_VALUE"""),"| 7 L CPT @ | 9 P CPT @ ")</f>
        <v xml:space="preserve">| 7 L CPT @ | 9 P CPT @ </v>
      </c>
      <c r="BU80" s="4"/>
      <c r="BV80" s="4" t="str">
        <f ca="1">IFERROR(__xludf.DUMMYFUNCTION("""COMPUTED_VALUE"""),"| 5 P JAVA % | 7 L CPT % | 8 L NS % ")</f>
        <v xml:space="preserve">| 5 P JAVA % | 7 L CPT % | 8 L NS % </v>
      </c>
      <c r="BW80" s="4"/>
      <c r="BX80" s="4" t="str">
        <f ca="1">IFERROR(__xludf.DUMMYFUNCTION("""COMPUTED_VALUE"""),"| 5 L JAVA % | 6 L CPT % | 7 P PHP-CGM % ")</f>
        <v xml:space="preserve">| 5 L JAVA % | 6 L CPT % | 7 P PHP-CGM % </v>
      </c>
      <c r="BY8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80" s="4" t="str">
        <f ca="1">IFERROR(__xludf.DUMMYFUNCTION("""COMPUTED_VALUE"""),"| 5 P NS % | 8 L JAVA % | 7 L PHP-CGM % | 9 P Python % ")</f>
        <v xml:space="preserve">| 5 P NS % | 8 L JAVA % | 7 L PHP-CGM % | 9 P Python % </v>
      </c>
      <c r="CA80" s="4" t="str">
        <f ca="1">IFERROR(__xludf.DUMMYFUNCTION("""COMPUTED_VALUE"""),"| 5 P JAVA % | 7 L CPT % | 8 L NS % | 9 P CPT % ")</f>
        <v xml:space="preserve">| 5 P JAVA % | 7 L CPT % | 8 L NS % | 9 P CPT % </v>
      </c>
      <c r="CB80" s="4" t="str">
        <f ca="1">IFERROR(__xludf.DUMMYFUNCTION("""COMPUTED_VALUE"""),"| 5 L PHP-CGM % | 6 L NS % | 7 P Python % ")</f>
        <v xml:space="preserve">| 5 L PHP-CGM % | 6 L NS % | 7 P Python % </v>
      </c>
      <c r="CC80" s="4" t="str">
        <f ca="1">IFERROR(__xludf.DUMMYFUNCTION("""COMPUTED_VALUE"""),"| 5 L JAVA % | 7 P PHP-CGM % | 9 L INE % ")</f>
        <v xml:space="preserve">| 5 L JAVA % | 7 P PHP-CGM % | 9 L INE % </v>
      </c>
      <c r="CD80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CE80" s="4" t="str">
        <f ca="1">IFERROR(__xludf.DUMMYFUNCTION("""COMPUTED_VALUE"""),"| 5 P NS % | 8 L JAVA % | 7 L PHP-CGM % ")</f>
        <v xml:space="preserve">| 5 P NS % | 8 L JAVA % | 7 L PHP-CGM % </v>
      </c>
      <c r="CF80" s="4" t="str">
        <f ca="1">IFERROR(__xludf.DUMMYFUNCTION("""COMPUTED_VALUE"""),"| 7 L CPT @ | 8 L NS @ | 5 P JAVA % | 9 P CPT % ")</f>
        <v xml:space="preserve">| 7 L CPT @ | 8 L NS @ | 5 P JAVA % | 9 P CPT % </v>
      </c>
      <c r="CG80" s="4" t="str">
        <f ca="1">IFERROR(__xludf.DUMMYFUNCTION("""COMPUTED_VALUE"""),"| 5 L PHP-CGM @ | 6 L NS @ | 7 P Python % ")</f>
        <v xml:space="preserve">| 5 L PHP-CGM @ | 6 L NS @ | 7 P Python % </v>
      </c>
      <c r="CH80" s="4" t="str">
        <f ca="1">IFERROR(__xludf.DUMMYFUNCTION("""COMPUTED_VALUE"""),"| 5 L JAVA % | 6 L CPT @ | 7 P PHP-CGM % | 9 L INE @ ")</f>
        <v xml:space="preserve">| 5 L JAVA % | 6 L CPT @ | 7 P PHP-CGM % | 9 L INE @ </v>
      </c>
      <c r="CI80" s="4" t="str">
        <f ca="1">IFERROR(__xludf.DUMMYFUNCTION("""COMPUTED_VALUE"""),"| 5 L PHP-CGM @ | 7 L JAVA @ | 8 L CPT @ ")</f>
        <v xml:space="preserve">| 5 L PHP-CGM @ | 7 L JAVA @ | 8 L CPT @ </v>
      </c>
      <c r="CJ80" s="4" t="str">
        <f ca="1">IFERROR(__xludf.DUMMYFUNCTION("""COMPUTED_VALUE"""),"| 5 P NS % ")</f>
        <v xml:space="preserve">| 5 P NS % </v>
      </c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</row>
    <row r="81" spans="1:102" ht="12.5" x14ac:dyDescent="0.25">
      <c r="A81" s="3">
        <f ca="1">IFERROR(__xludf.DUMMYFUNCTION("""COMPUTED_VALUE"""),1)</f>
        <v>1</v>
      </c>
      <c r="B81" s="3" t="str">
        <f ca="1">IFERROR(__xludf.DUMMYFUNCTION("""COMPUTED_VALUE"""),"B")</f>
        <v>B</v>
      </c>
      <c r="C81" s="32" t="str">
        <f ca="1">IFERROR(__xludf.DUMMYFUNCTION("""COMPUTED_VALUE"""),"23291341009")</f>
        <v>23291341009</v>
      </c>
      <c r="D81" s="4" t="str">
        <f ca="1">IFERROR(__xludf.DUMMYFUNCTION("""COMPUTED_VALUE"""),"BATHANI TULSI VALLABHBHAI")</f>
        <v>BATHANI TULSI VALLABHBHAI</v>
      </c>
      <c r="E81" s="3" t="str">
        <f ca="1">IFERROR(__xludf.DUMMYFUNCTION("""COMPUTED_VALUE"""),"HAM/HDP-EVE")</f>
        <v>HAM/HDP-EVE</v>
      </c>
      <c r="F81" s="3">
        <f ca="1">IFERROR(__xludf.DUMMYFUNCTION("""COMPUTED_VALUE"""),9328739293)</f>
        <v>9328739293</v>
      </c>
      <c r="G81" s="3">
        <f ca="1">IFERROR(__xludf.DUMMYFUNCTION("""COMPUTED_VALUE"""),9429779287)</f>
        <v>9429779287</v>
      </c>
      <c r="H81" s="33">
        <f ca="1">IFERROR(__xludf.DUMMYFUNCTION("""COMPUTED_VALUE"""),0.71551724137931)</f>
        <v>0.71551724137931005</v>
      </c>
      <c r="I81" s="25">
        <f ca="1">IFERROR(__xludf.DUMMYFUNCTION("""COMPUTED_VALUE"""),0.729729729729729)</f>
        <v>0.72972972972972905</v>
      </c>
      <c r="J81" s="25">
        <f ca="1">IFERROR(__xludf.DUMMYFUNCTION("""COMPUTED_VALUE"""),0.416666666666666)</f>
        <v>0.41666666666666602</v>
      </c>
      <c r="K81" s="25">
        <f ca="1">IFERROR(__xludf.DUMMYFUNCTION("""COMPUTED_VALUE"""),0.735294117647058)</f>
        <v>0.73529411764705799</v>
      </c>
      <c r="L81" s="25">
        <f ca="1">IFERROR(__xludf.DUMMYFUNCTION("""COMPUTED_VALUE"""),0.818181818181818)</f>
        <v>0.81818181818181801</v>
      </c>
      <c r="M81" s="25">
        <f ca="1">IFERROR(__xludf.DUMMYFUNCTION("""COMPUTED_VALUE"""),0.742857142857142)</f>
        <v>0.74285714285714199</v>
      </c>
      <c r="N81" s="25">
        <f ca="1">IFERROR(__xludf.DUMMYFUNCTION("""COMPUTED_VALUE"""),0.818181818181818)</f>
        <v>0.81818181818181801</v>
      </c>
      <c r="O81" s="25">
        <f ca="1">IFERROR(__xludf.DUMMYFUNCTION("""COMPUTED_VALUE"""),0.857142857142857)</f>
        <v>0.85714285714285698</v>
      </c>
      <c r="P81" s="25">
        <f ca="1">IFERROR(__xludf.DUMMYFUNCTION("""COMPUTED_VALUE"""),0.782608695652174)</f>
        <v>0.78260869565217395</v>
      </c>
      <c r="Q81" s="25">
        <f ca="1">IFERROR(__xludf.DUMMYFUNCTION("""COMPUTED_VALUE"""),0)</f>
        <v>0</v>
      </c>
      <c r="R81" s="25">
        <f ca="1">IFERROR(__xludf.DUMMYFUNCTION("""COMPUTED_VALUE"""),0.631578947368421)</f>
        <v>0.63157894736842102</v>
      </c>
      <c r="S81" s="25">
        <f ca="1">IFERROR(__xludf.DUMMYFUNCTION("""COMPUTED_VALUE"""),0)</f>
        <v>0</v>
      </c>
      <c r="T81" s="25">
        <f ca="1">IFERROR(__xludf.DUMMYFUNCTION("""COMPUTED_VALUE"""),0.428571428571428)</f>
        <v>0.42857142857142799</v>
      </c>
      <c r="U81" s="25">
        <f ca="1">IFERROR(__xludf.DUMMYFUNCTION("""COMPUTED_VALUE"""),0.25)</f>
        <v>0.25</v>
      </c>
      <c r="V81" s="25">
        <f ca="1">IFERROR(__xludf.DUMMYFUNCTION("""COMPUTED_VALUE"""),0)</f>
        <v>0</v>
      </c>
      <c r="W81" s="4"/>
      <c r="X81" s="4" t="str">
        <f ca="1">IFERROR(__xludf.DUMMYFUNCTION("""COMPUTED_VALUE"""),"| 5 P JAVA % | 7 L CPT % | 8 L NS % | 9 P CPT % ")</f>
        <v xml:space="preserve">| 5 P JAVA % | 7 L CPT % | 8 L NS % | 9 P CPT % </v>
      </c>
      <c r="Y81" s="4" t="str">
        <f ca="1">IFERROR(__xludf.DUMMYFUNCTION("""COMPUTED_VALUE"""),"| 5 L PHP-CGM % | 6 L NS % | 7 P Python % | 9 P PRO % ")</f>
        <v xml:space="preserve">| 5 L PHP-CGM % | 6 L NS % | 7 P Python % | 9 P PRO % </v>
      </c>
      <c r="Z81" s="4" t="str">
        <f ca="1">IFERROR(__xludf.DUMMYFUNCTION("""COMPUTED_VALUE"""),"| 5 L JAVA % | 6 L CPT % | 7 P PHP-CGM % ")</f>
        <v xml:space="preserve">| 5 L JAVA % | 6 L CPT % | 7 P PHP-CGM % </v>
      </c>
      <c r="AA81" s="4" t="str">
        <f ca="1">IFERROR(__xludf.DUMMYFUNCTION("""COMPUTED_VALUE"""),"| 5 L PHP-CGM % | 7 L JAVA % | 9 P JAVA % | 8 L CPT % ")</f>
        <v xml:space="preserve">| 5 L PHP-CGM % | 7 L JAVA % | 9 P JAVA % | 8 L CPT % </v>
      </c>
      <c r="AB81" s="4" t="str">
        <f ca="1">IFERROR(__xludf.DUMMYFUNCTION("""COMPUTED_VALUE"""),"| 4 P Python % | 7 L PHP-CGM % | 8 L JAVA % | 9 P Python @ ")</f>
        <v xml:space="preserve">| 4 P Python % | 7 L PHP-CGM % | 8 L JAVA % | 9 P Python @ </v>
      </c>
      <c r="AC81" s="4" t="str">
        <f ca="1">IFERROR(__xludf.DUMMYFUNCTION("""COMPUTED_VALUE"""),"| 5 P JAVA % | 7 L CPT % | 8 L NS % | 9 P CPT % ")</f>
        <v xml:space="preserve">| 5 P JAVA % | 7 L CPT % | 8 L NS % | 9 P CPT % </v>
      </c>
      <c r="AD81" s="4" t="str">
        <f ca="1">IFERROR(__xludf.DUMMYFUNCTION("""COMPUTED_VALUE"""),"| 5 L PHP-CGM % | 6 L NS % | 7 P Python % ")</f>
        <v xml:space="preserve">| 5 L PHP-CGM % | 6 L NS % | 7 P Python % </v>
      </c>
      <c r="AE81" s="4" t="str">
        <f ca="1">IFERROR(__xludf.DUMMYFUNCTION("""COMPUTED_VALUE"""),"| 5 L JAVA % | 6 L CPT % | 7 P PHP-CGM % ")</f>
        <v xml:space="preserve">| 5 L JAVA % | 6 L CPT % | 7 P PHP-CGM % </v>
      </c>
      <c r="AF8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81" s="4" t="str">
        <f ca="1">IFERROR(__xludf.DUMMYFUNCTION("""COMPUTED_VALUE"""),"| 5 P NS @ | 8 L JAVA @ | 7 L PHP-CGM @ | 9 P Python @ ")</f>
        <v xml:space="preserve">| 5 P NS @ | 8 L JAVA @ | 7 L PHP-CGM @ | 9 P Python @ </v>
      </c>
      <c r="AH8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81" s="4" t="str">
        <f ca="1">IFERROR(__xludf.DUMMYFUNCTION("""COMPUTED_VALUE"""),"| 5 P NS % | 8 L JAVA % | 7 L PHP-CGM % | 9 P Python @ ")</f>
        <v xml:space="preserve">| 5 P NS % | 8 L JAVA % | 7 L PHP-CGM % | 9 P Python @ </v>
      </c>
      <c r="AJ81" s="4" t="str">
        <f ca="1">IFERROR(__xludf.DUMMYFUNCTION("""COMPUTED_VALUE"""),"| 5 P JAVA % | 7 L CPT % | 8 L NS % | 9 P CPT @ ")</f>
        <v xml:space="preserve">| 5 P JAVA % | 7 L CPT % | 8 L NS % | 9 P CPT @ </v>
      </c>
      <c r="AK81" s="4" t="str">
        <f ca="1">IFERROR(__xludf.DUMMYFUNCTION("""COMPUTED_VALUE"""),"| 5 L PHP-CGM % | 6 L NS % | 7 P Python % | 9 P PRO @ ")</f>
        <v xml:space="preserve">| 5 L PHP-CGM % | 6 L NS % | 7 P Python % | 9 P PRO @ </v>
      </c>
      <c r="AL81" s="4" t="str">
        <f ca="1">IFERROR(__xludf.DUMMYFUNCTION("""COMPUTED_VALUE"""),"| 5 L JAVA % | 6 L CPT % | 7 P PHP-CGM % | 9 L INE @ ")</f>
        <v xml:space="preserve">| 5 L JAVA % | 6 L CPT % | 7 P PHP-CGM % | 9 L INE @ </v>
      </c>
      <c r="AM8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81" s="4" t="str">
        <f ca="1">IFERROR(__xludf.DUMMYFUNCTION("""COMPUTED_VALUE"""),"| 5 P NS @ | 8 L JAVA @ | 7 L PHP-CGM @ | 9 P Python @ ")</f>
        <v xml:space="preserve">| 5 P NS @ | 8 L JAVA @ | 7 L PHP-CGM @ | 9 P Python @ </v>
      </c>
      <c r="AO81" s="4" t="str">
        <f ca="1">IFERROR(__xludf.DUMMYFUNCTION("""COMPUTED_VALUE"""),"| 5 P JAVA @ | 7 L CPT @ | 8 L NS @ | 9 P CPT @ ")</f>
        <v xml:space="preserve">| 5 P JAVA @ | 7 L CPT @ | 8 L NS @ | 9 P CPT @ </v>
      </c>
      <c r="AP81" s="4" t="str">
        <f ca="1">IFERROR(__xludf.DUMMYFUNCTION("""COMPUTED_VALUE"""),"| 5 L PHP-CGM @ | 6 L NS @ | 7 P Python @ | 9 P PRO @ ")</f>
        <v xml:space="preserve">| 5 L PHP-CGM @ | 6 L NS @ | 7 P Python @ | 9 P PRO @ </v>
      </c>
      <c r="AQ81" s="4" t="str">
        <f ca="1">IFERROR(__xludf.DUMMYFUNCTION("""COMPUTED_VALUE"""),"| 5 L CPT @ | 7 L JAVA @ | 7 P PHP-CGM @ | 9 L INE @ ")</f>
        <v xml:space="preserve">| 5 L CPT @ | 7 L JAVA @ | 7 P PHP-CGM @ | 9 L INE @ </v>
      </c>
      <c r="AR81" s="4" t="str">
        <f ca="1">IFERROR(__xludf.DUMMYFUNCTION("""COMPUTED_VALUE"""),"| 5 L PHP-CGM @ | 6 L NS @ | 8 L CPT @ ")</f>
        <v xml:space="preserve">| 5 L PHP-CGM @ | 6 L NS @ | 8 L CPT @ </v>
      </c>
      <c r="AS81" s="4" t="str">
        <f ca="1">IFERROR(__xludf.DUMMYFUNCTION("""COMPUTED_VALUE"""),"| 5 P JAVA @ | 7 L CPT @ | 8 L NS @ | 9 P CPT @ ")</f>
        <v xml:space="preserve">| 5 P JAVA @ | 7 L CPT @ | 8 L NS @ | 9 P CPT @ </v>
      </c>
      <c r="AT81" s="4" t="str">
        <f ca="1">IFERROR(__xludf.DUMMYFUNCTION("""COMPUTED_VALUE"""),"| 5 L PHP-CGM % | 6 L NS % | 7 P Python % | 9 P PRO % ")</f>
        <v xml:space="preserve">| 5 L PHP-CGM % | 6 L NS % | 7 P Python % | 9 P PRO % </v>
      </c>
      <c r="AU81" s="4" t="str">
        <f ca="1">IFERROR(__xludf.DUMMYFUNCTION("""COMPUTED_VALUE"""),"| 5 L JAVA % | 6 L CPT % | 7 P PHP-CGM % | 9 L INE @ ")</f>
        <v xml:space="preserve">| 5 L JAVA % | 6 L CPT % | 7 P PHP-CGM % | 9 L INE @ </v>
      </c>
      <c r="AV8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81" s="4" t="str">
        <f ca="1">IFERROR(__xludf.DUMMYFUNCTION("""COMPUTED_VALUE"""),"| 5 P NS % | 7 L PHP-CGM % | 8 L JAVA % | 9 P Python @ ")</f>
        <v xml:space="preserve">| 5 P NS % | 7 L PHP-CGM % | 8 L JAVA % | 9 P Python @ </v>
      </c>
      <c r="AX81" s="4" t="str">
        <f ca="1">IFERROR(__xludf.DUMMYFUNCTION("""COMPUTED_VALUE"""),"| 5 P JAVA % | 7 L CPT % | 8 L NS % | 9 P CPT @ ")</f>
        <v xml:space="preserve">| 5 P JAVA % | 7 L CPT % | 8 L NS % | 9 P CPT @ </v>
      </c>
      <c r="AY81" s="4" t="str">
        <f ca="1">IFERROR(__xludf.DUMMYFUNCTION("""COMPUTED_VALUE"""),"| 5 L PHP-CGM @ | 6 L NS @ | 7 P Python % | 9 P PRO @ ")</f>
        <v xml:space="preserve">| 5 L PHP-CGM @ | 6 L NS @ | 7 P Python % | 9 P PRO @ </v>
      </c>
      <c r="AZ8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1" s="4" t="str">
        <f ca="1">IFERROR(__xludf.DUMMYFUNCTION("""COMPUTED_VALUE"""),"| 5 P NS % | 7 L PHP-CGM % | 8 L JAVA % ")</f>
        <v xml:space="preserve">| 5 P NS % | 7 L PHP-CGM % | 8 L JAVA % </v>
      </c>
      <c r="BB81" s="4" t="str">
        <f ca="1">IFERROR(__xludf.DUMMYFUNCTION("""COMPUTED_VALUE"""),"| 5 P JAVA % | 7 L CPT % | 8 L NS % | 9 P CPT % ")</f>
        <v xml:space="preserve">| 5 P JAVA % | 7 L CPT % | 8 L NS % | 9 P CPT % </v>
      </c>
      <c r="BC81" s="4" t="str">
        <f ca="1">IFERROR(__xludf.DUMMYFUNCTION("""COMPUTED_VALUE"""),"| 5 L PHP-CGM % | 6 L NS % | 7 P Python % | 9 P PRO @ ")</f>
        <v xml:space="preserve">| 5 L PHP-CGM % | 6 L NS % | 7 P Python % | 9 P PRO @ </v>
      </c>
      <c r="BD81" s="4" t="str">
        <f ca="1">IFERROR(__xludf.DUMMYFUNCTION("""COMPUTED_VALUE"""),"| 5 L JAVA % | 6 L CPT % | 7 P PHP-CGM % | 9 L INE % ")</f>
        <v xml:space="preserve">| 5 L JAVA % | 6 L CPT % | 7 P PHP-CGM % | 9 L INE % </v>
      </c>
      <c r="BE8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81" s="4" t="str">
        <f ca="1">IFERROR(__xludf.DUMMYFUNCTION("""COMPUTED_VALUE"""),"| 5 P NS % | 7 L PHP-CGM % | 9 P Python % | 8 L JAVA % ")</f>
        <v xml:space="preserve">| 5 P NS % | 7 L PHP-CGM % | 9 P Python % | 8 L JAVA % </v>
      </c>
      <c r="BG81" s="4" t="str">
        <f ca="1">IFERROR(__xludf.DUMMYFUNCTION("""COMPUTED_VALUE"""),"| 5 L PHP-CGM % | 6 L NS % | 7 P Python % | 9 P PRO % ")</f>
        <v xml:space="preserve">| 5 L PHP-CGM % | 6 L NS % | 7 P Python % | 9 P PRO % </v>
      </c>
      <c r="BH81" s="4" t="str">
        <f ca="1">IFERROR(__xludf.DUMMYFUNCTION("""COMPUTED_VALUE"""),"| 5 L JAVA % | 6 L CPT % | 7 P PHP-CGM % | 9 L INE @ ")</f>
        <v xml:space="preserve">| 5 L JAVA % | 6 L CPT % | 7 P PHP-CGM % | 9 L INE @ </v>
      </c>
      <c r="BI81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J81" s="4" t="str">
        <f ca="1">IFERROR(__xludf.DUMMYFUNCTION("""COMPUTED_VALUE"""),"| 5 P NS % | 7 L JAVA % | 7 L PHP-CGM % ")</f>
        <v xml:space="preserve">| 5 P NS % | 7 L JAVA % | 7 L PHP-CGM % </v>
      </c>
      <c r="BK81" s="4" t="str">
        <f ca="1">IFERROR(__xludf.DUMMYFUNCTION("""COMPUTED_VALUE"""),"| 5 P JAVA % | 7 L CPT @ | 9 P CPT @ | 8 L NS @ ")</f>
        <v xml:space="preserve">| 5 P JAVA % | 7 L CPT @ | 9 P CPT @ | 8 L NS @ </v>
      </c>
      <c r="BL81" s="4" t="str">
        <f ca="1">IFERROR(__xludf.DUMMYFUNCTION("""COMPUTED_VALUE"""),"| 5 L PHP-CGM @ | 6 L NS @ | 7 P Python @ ")</f>
        <v xml:space="preserve">| 5 L PHP-CGM @ | 6 L NS @ | 7 P Python @ </v>
      </c>
      <c r="BM81" s="4" t="str">
        <f ca="1">IFERROR(__xludf.DUMMYFUNCTION("""COMPUTED_VALUE"""),"| 5 L JAVA % | 6 L CPT % | 7 P PHP-CGM @ | 9 L INE @ ")</f>
        <v xml:space="preserve">| 5 L JAVA % | 6 L CPT % | 7 P PHP-CGM @ | 9 L INE @ </v>
      </c>
      <c r="BN81" s="4" t="str">
        <f ca="1">IFERROR(__xludf.DUMMYFUNCTION("""COMPUTED_VALUE"""),"| 5 L PHP-CGM % | 6 L NS % | 9 L JAVA @ | 8 L CPT @ | 9 P JAVA @ ")</f>
        <v xml:space="preserve">| 5 L PHP-CGM % | 6 L NS % | 9 L JAVA @ | 8 L CPT @ | 9 P JAVA @ </v>
      </c>
      <c r="BO81" s="4" t="str">
        <f ca="1">IFERROR(__xludf.DUMMYFUNCTION("""COMPUTED_VALUE"""),"| 5 P NS % | 7 L PHP-CGM @ ")</f>
        <v xml:space="preserve">| 5 P NS % | 7 L PHP-CGM @ </v>
      </c>
      <c r="BP81" s="4" t="str">
        <f ca="1">IFERROR(__xludf.DUMMYFUNCTION("""COMPUTED_VALUE"""),"| 5 P JAVA % | 7 L CPT % | 8 L NS % | 9 P CPT @ ")</f>
        <v xml:space="preserve">| 5 P JAVA % | 7 L CPT % | 8 L NS % | 9 P CPT @ </v>
      </c>
      <c r="BQ81" s="4" t="str">
        <f ca="1">IFERROR(__xludf.DUMMYFUNCTION("""COMPUTED_VALUE"""),"| 5 L JAVA % | 6 L CPT % ")</f>
        <v xml:space="preserve">| 5 L JAVA % | 6 L CPT % </v>
      </c>
      <c r="BR81" s="4" t="str">
        <f ca="1">IFERROR(__xludf.DUMMYFUNCTION("""COMPUTED_VALUE"""),"| 7 L JAVA % ")</f>
        <v xml:space="preserve">| 7 L JAVA % </v>
      </c>
      <c r="BS81" s="4"/>
      <c r="BT81" s="4" t="str">
        <f ca="1">IFERROR(__xludf.DUMMYFUNCTION("""COMPUTED_VALUE"""),"| 7 L CPT @ | 9 P CPT @ ")</f>
        <v xml:space="preserve">| 7 L CPT @ | 9 P CPT @ </v>
      </c>
      <c r="BU81" s="4"/>
      <c r="BV81" s="4" t="str">
        <f ca="1">IFERROR(__xludf.DUMMYFUNCTION("""COMPUTED_VALUE"""),"| 5 P JAVA % | 7 L CPT % | 8 L NS % ")</f>
        <v xml:space="preserve">| 5 P JAVA % | 7 L CPT % | 8 L NS % </v>
      </c>
      <c r="BW81" s="4"/>
      <c r="BX81" s="4" t="str">
        <f ca="1">IFERROR(__xludf.DUMMYFUNCTION("""COMPUTED_VALUE"""),"| 5 L JAVA % | 6 L CPT % | 7 P PHP-CGM % ")</f>
        <v xml:space="preserve">| 5 L JAVA % | 6 L CPT % | 7 P PHP-CGM % </v>
      </c>
      <c r="BY8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81" s="4" t="str">
        <f ca="1">IFERROR(__xludf.DUMMYFUNCTION("""COMPUTED_VALUE"""),"| 5 P NS % | 8 L JAVA % | 7 L PHP-CGM % | 9 P Python % ")</f>
        <v xml:space="preserve">| 5 P NS % | 8 L JAVA % | 7 L PHP-CGM % | 9 P Python % </v>
      </c>
      <c r="CA81" s="4" t="str">
        <f ca="1">IFERROR(__xludf.DUMMYFUNCTION("""COMPUTED_VALUE"""),"| 5 P JAVA % | 7 L CPT % | 8 L NS % | 9 P CPT % ")</f>
        <v xml:space="preserve">| 5 P JAVA % | 7 L CPT % | 8 L NS % | 9 P CPT % </v>
      </c>
      <c r="CB81" s="4" t="str">
        <f ca="1">IFERROR(__xludf.DUMMYFUNCTION("""COMPUTED_VALUE"""),"| 5 L PHP-CGM % | 6 L NS % | 7 P Python % ")</f>
        <v xml:space="preserve">| 5 L PHP-CGM % | 6 L NS % | 7 P Python % </v>
      </c>
      <c r="CC81" s="4" t="str">
        <f ca="1">IFERROR(__xludf.DUMMYFUNCTION("""COMPUTED_VALUE"""),"| 5 L JAVA % | 7 P PHP-CGM % | 9 L INE % ")</f>
        <v xml:space="preserve">| 5 L JAVA % | 7 P PHP-CGM % | 9 L INE % </v>
      </c>
      <c r="CD81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CE81" s="4" t="str">
        <f ca="1">IFERROR(__xludf.DUMMYFUNCTION("""COMPUTED_VALUE"""),"| 5 P NS % | 8 L JAVA % | 7 L PHP-CGM % ")</f>
        <v xml:space="preserve">| 5 P NS % | 8 L JAVA % | 7 L PHP-CGM % </v>
      </c>
      <c r="CF81" s="4" t="str">
        <f ca="1">IFERROR(__xludf.DUMMYFUNCTION("""COMPUTED_VALUE"""),"| 7 L CPT @ | 8 L NS @ | 5 P JAVA % | 9 P CPT % ")</f>
        <v xml:space="preserve">| 7 L CPT @ | 8 L NS @ | 5 P JAVA % | 9 P CPT % </v>
      </c>
      <c r="CG81" s="4" t="str">
        <f ca="1">IFERROR(__xludf.DUMMYFUNCTION("""COMPUTED_VALUE"""),"| 5 L PHP-CGM @ | 6 L NS @ | 7 P Python % ")</f>
        <v xml:space="preserve">| 5 L PHP-CGM @ | 6 L NS @ | 7 P Python % </v>
      </c>
      <c r="CH81" s="4" t="str">
        <f ca="1">IFERROR(__xludf.DUMMYFUNCTION("""COMPUTED_VALUE"""),"| 5 L JAVA % | 6 L CPT @ | 7 P PHP-CGM % | 9 L INE @ ")</f>
        <v xml:space="preserve">| 5 L JAVA % | 6 L CPT @ | 7 P PHP-CGM % | 9 L INE @ </v>
      </c>
      <c r="CI81" s="4" t="str">
        <f ca="1">IFERROR(__xludf.DUMMYFUNCTION("""COMPUTED_VALUE"""),"| 5 L PHP-CGM @ | 7 L JAVA @ | 8 L CPT @ ")</f>
        <v xml:space="preserve">| 5 L PHP-CGM @ | 7 L JAVA @ | 8 L CPT @ </v>
      </c>
      <c r="CJ81" s="4" t="str">
        <f ca="1">IFERROR(__xludf.DUMMYFUNCTION("""COMPUTED_VALUE"""),"| 5 P NS % ")</f>
        <v xml:space="preserve">| 5 P NS % </v>
      </c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</row>
    <row r="82" spans="1:102" ht="12.5" x14ac:dyDescent="0.25">
      <c r="A82" s="3">
        <f ca="1">IFERROR(__xludf.DUMMYFUNCTION("""COMPUTED_VALUE"""),1)</f>
        <v>1</v>
      </c>
      <c r="B82" s="3" t="str">
        <f ca="1">IFERROR(__xludf.DUMMYFUNCTION("""COMPUTED_VALUE"""),"B")</f>
        <v>B</v>
      </c>
      <c r="C82" s="32" t="str">
        <f ca="1">IFERROR(__xludf.DUMMYFUNCTION("""COMPUTED_VALUE"""),"23291341010")</f>
        <v>23291341010</v>
      </c>
      <c r="D82" s="4" t="str">
        <f ca="1">IFERROR(__xludf.DUMMYFUNCTION("""COMPUTED_VALUE"""),"BHABHOR VANDANABEN VINODBHAI")</f>
        <v>BHABHOR VANDANABEN VINODBHAI</v>
      </c>
      <c r="E82" s="3" t="str">
        <f ca="1">IFERROR(__xludf.DUMMYFUNCTION("""COMPUTED_VALUE"""),"HAM/HDP-EVE")</f>
        <v>HAM/HDP-EVE</v>
      </c>
      <c r="F82" s="3">
        <f ca="1">IFERROR(__xludf.DUMMYFUNCTION("""COMPUTED_VALUE"""),6351921994)</f>
        <v>6351921994</v>
      </c>
      <c r="G82" s="3">
        <f ca="1">IFERROR(__xludf.DUMMYFUNCTION("""COMPUTED_VALUE"""),6351921994)</f>
        <v>6351921994</v>
      </c>
      <c r="H82" s="33">
        <f ca="1">IFERROR(__xludf.DUMMYFUNCTION("""COMPUTED_VALUE"""),0.642241379310344)</f>
        <v>0.64224137931034397</v>
      </c>
      <c r="I82" s="25">
        <f ca="1">IFERROR(__xludf.DUMMYFUNCTION("""COMPUTED_VALUE"""),0.567567567567567)</f>
        <v>0.56756756756756699</v>
      </c>
      <c r="J82" s="25">
        <f ca="1">IFERROR(__xludf.DUMMYFUNCTION("""COMPUTED_VALUE"""),0.5)</f>
        <v>0.5</v>
      </c>
      <c r="K82" s="25">
        <f ca="1">IFERROR(__xludf.DUMMYFUNCTION("""COMPUTED_VALUE"""),0.617647058823529)</f>
        <v>0.61764705882352899</v>
      </c>
      <c r="L82" s="25">
        <f ca="1">IFERROR(__xludf.DUMMYFUNCTION("""COMPUTED_VALUE"""),0.636363636363636)</f>
        <v>0.63636363636363602</v>
      </c>
      <c r="M82" s="25">
        <f ca="1">IFERROR(__xludf.DUMMYFUNCTION("""COMPUTED_VALUE"""),0.685714285714285)</f>
        <v>0.68571428571428505</v>
      </c>
      <c r="N82" s="25">
        <f ca="1">IFERROR(__xludf.DUMMYFUNCTION("""COMPUTED_VALUE"""),0.727272727272727)</f>
        <v>0.72727272727272696</v>
      </c>
      <c r="O82" s="25">
        <f ca="1">IFERROR(__xludf.DUMMYFUNCTION("""COMPUTED_VALUE"""),0.714285714285714)</f>
        <v>0.71428571428571397</v>
      </c>
      <c r="P82" s="25">
        <f ca="1">IFERROR(__xludf.DUMMYFUNCTION("""COMPUTED_VALUE"""),0.652173913043478)</f>
        <v>0.65217391304347805</v>
      </c>
      <c r="Q82" s="25">
        <f ca="1">IFERROR(__xludf.DUMMYFUNCTION("""COMPUTED_VALUE"""),0)</f>
        <v>0</v>
      </c>
      <c r="R82" s="25">
        <f ca="1">IFERROR(__xludf.DUMMYFUNCTION("""COMPUTED_VALUE"""),0.736842105263157)</f>
        <v>0.73684210526315697</v>
      </c>
      <c r="S82" s="25">
        <f ca="1">IFERROR(__xludf.DUMMYFUNCTION("""COMPUTED_VALUE"""),0)</f>
        <v>0</v>
      </c>
      <c r="T82" s="25">
        <f ca="1">IFERROR(__xludf.DUMMYFUNCTION("""COMPUTED_VALUE"""),0.571428571428571)</f>
        <v>0.57142857142857095</v>
      </c>
      <c r="U82" s="25">
        <f ca="1">IFERROR(__xludf.DUMMYFUNCTION("""COMPUTED_VALUE"""),0.5)</f>
        <v>0.5</v>
      </c>
      <c r="V82" s="25">
        <f ca="1">IFERROR(__xludf.DUMMYFUNCTION("""COMPUTED_VALUE"""),0)</f>
        <v>0</v>
      </c>
      <c r="W82" s="4"/>
      <c r="X82" s="4" t="str">
        <f ca="1">IFERROR(__xludf.DUMMYFUNCTION("""COMPUTED_VALUE"""),"| 5 P JAVA @ | 7 L CPT @ | 8 L NS @ | 9 P CPT @ ")</f>
        <v xml:space="preserve">| 5 P JAVA @ | 7 L CPT @ | 8 L NS @ | 9 P CPT @ </v>
      </c>
      <c r="Y82" s="4" t="str">
        <f ca="1">IFERROR(__xludf.DUMMYFUNCTION("""COMPUTED_VALUE"""),"| 5 L PHP-CGM @ | 6 L NS @ | 7 P Python @ | 9 P PRO @ ")</f>
        <v xml:space="preserve">| 5 L PHP-CGM @ | 6 L NS @ | 7 P Python @ | 9 P PRO @ </v>
      </c>
      <c r="Z82" s="4" t="str">
        <f ca="1">IFERROR(__xludf.DUMMYFUNCTION("""COMPUTED_VALUE"""),"| 5 L JAVA % | 6 L CPT % | 7 P PHP-CGM % ")</f>
        <v xml:space="preserve">| 5 L JAVA % | 6 L CPT % | 7 P PHP-CGM % </v>
      </c>
      <c r="AA82" s="4" t="str">
        <f ca="1">IFERROR(__xludf.DUMMYFUNCTION("""COMPUTED_VALUE"""),"| 5 L PHP-CGM % | 7 L JAVA % | 9 P JAVA % | 8 L CPT % ")</f>
        <v xml:space="preserve">| 5 L PHP-CGM % | 7 L JAVA % | 9 P JAVA % | 8 L CPT % </v>
      </c>
      <c r="AB82" s="4" t="str">
        <f ca="1">IFERROR(__xludf.DUMMYFUNCTION("""COMPUTED_VALUE"""),"| 4 P Python % | 7 L PHP-CGM % | 8 L JAVA % | 9 P Python % ")</f>
        <v xml:space="preserve">| 4 P Python % | 7 L PHP-CGM % | 8 L JAVA % | 9 P Python % </v>
      </c>
      <c r="AC82" s="4" t="str">
        <f ca="1">IFERROR(__xludf.DUMMYFUNCTION("""COMPUTED_VALUE"""),"| 5 P JAVA @ | 7 L CPT @ | 8 L NS @ | 9 P CPT @ ")</f>
        <v xml:space="preserve">| 5 P JAVA @ | 7 L CPT @ | 8 L NS @ | 9 P CPT @ </v>
      </c>
      <c r="AD82" s="4" t="str">
        <f ca="1">IFERROR(__xludf.DUMMYFUNCTION("""COMPUTED_VALUE"""),"| 5 L PHP-CGM % | 6 L NS % | 7 P Python % ")</f>
        <v xml:space="preserve">| 5 L PHP-CGM % | 6 L NS % | 7 P Python % </v>
      </c>
      <c r="AE82" s="4" t="str">
        <f ca="1">IFERROR(__xludf.DUMMYFUNCTION("""COMPUTED_VALUE"""),"| 5 L JAVA % | 6 L CPT % | 7 P PHP-CGM % ")</f>
        <v xml:space="preserve">| 5 L JAVA % | 6 L CPT % | 7 P PHP-CGM % </v>
      </c>
      <c r="AF8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82" s="4" t="str">
        <f ca="1">IFERROR(__xludf.DUMMYFUNCTION("""COMPUTED_VALUE"""),"| 5 P NS % | 8 L JAVA % | 7 L PHP-CGM % | 9 P Python % ")</f>
        <v xml:space="preserve">| 5 P NS % | 8 L JAVA % | 7 L PHP-CGM % | 9 P Python % </v>
      </c>
      <c r="AH8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82" s="4" t="str">
        <f ca="1">IFERROR(__xludf.DUMMYFUNCTION("""COMPUTED_VALUE"""),"| 5 P NS % | 8 L JAVA % | 7 L PHP-CGM % | 9 P Python % ")</f>
        <v xml:space="preserve">| 5 P NS % | 8 L JAVA % | 7 L PHP-CGM % | 9 P Python % </v>
      </c>
      <c r="AJ82" s="4" t="str">
        <f ca="1">IFERROR(__xludf.DUMMYFUNCTION("""COMPUTED_VALUE"""),"| 5 P JAVA % | 7 L CPT % | 8 L NS % | 9 P CPT % ")</f>
        <v xml:space="preserve">| 5 P JAVA % | 7 L CPT % | 8 L NS % | 9 P CPT % </v>
      </c>
      <c r="AK82" s="4" t="str">
        <f ca="1">IFERROR(__xludf.DUMMYFUNCTION("""COMPUTED_VALUE"""),"| 5 L PHP-CGM % | 6 L NS % | 7 P Python % | 9 P PRO % ")</f>
        <v xml:space="preserve">| 5 L PHP-CGM % | 6 L NS % | 7 P Python % | 9 P PRO % </v>
      </c>
      <c r="AL82" s="4" t="str">
        <f ca="1">IFERROR(__xludf.DUMMYFUNCTION("""COMPUTED_VALUE"""),"| 5 L JAVA % | 6 L CPT % | 7 P PHP-CGM % | 9 L INE @ ")</f>
        <v xml:space="preserve">| 5 L JAVA % | 6 L CPT % | 7 P PHP-CGM % | 9 L INE @ </v>
      </c>
      <c r="AM82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N82" s="4" t="str">
        <f ca="1">IFERROR(__xludf.DUMMYFUNCTION("""COMPUTED_VALUE"""),"| 5 P NS @ | 8 L JAVA @ | 7 L PHP-CGM @ | 9 P Python @ ")</f>
        <v xml:space="preserve">| 5 P NS @ | 8 L JAVA @ | 7 L PHP-CGM @ | 9 P Python @ </v>
      </c>
      <c r="AO82" s="4" t="str">
        <f ca="1">IFERROR(__xludf.DUMMYFUNCTION("""COMPUTED_VALUE"""),"| 5 P JAVA % | 7 L CPT % | 8 L NS % | 9 P CPT % ")</f>
        <v xml:space="preserve">| 5 P JAVA % | 7 L CPT % | 8 L NS % | 9 P CPT % </v>
      </c>
      <c r="AP82" s="4" t="str">
        <f ca="1">IFERROR(__xludf.DUMMYFUNCTION("""COMPUTED_VALUE"""),"| 5 L PHP-CGM % | 6 L NS % | 7 P Python % | 9 P PRO % ")</f>
        <v xml:space="preserve">| 5 L PHP-CGM % | 6 L NS % | 7 P Python % | 9 P PRO % </v>
      </c>
      <c r="AQ82" s="4" t="str">
        <f ca="1">IFERROR(__xludf.DUMMYFUNCTION("""COMPUTED_VALUE"""),"| 5 L CPT % | 7 L JAVA % | 7 P PHP-CGM % | 9 L INE % ")</f>
        <v xml:space="preserve">| 5 L CPT % | 7 L JAVA % | 7 P PHP-CGM % | 9 L INE % </v>
      </c>
      <c r="AR82" s="4" t="str">
        <f ca="1">IFERROR(__xludf.DUMMYFUNCTION("""COMPUTED_VALUE"""),"| 5 L PHP-CGM % | 6 L NS % | 8 L CPT @ ")</f>
        <v xml:space="preserve">| 5 L PHP-CGM % | 6 L NS % | 8 L CPT @ </v>
      </c>
      <c r="AS82" s="4" t="str">
        <f ca="1">IFERROR(__xludf.DUMMYFUNCTION("""COMPUTED_VALUE"""),"| 5 P JAVA % | 7 L CPT % | 8 L NS % | 9 P CPT % ")</f>
        <v xml:space="preserve">| 5 P JAVA % | 7 L CPT % | 8 L NS % | 9 P CPT % </v>
      </c>
      <c r="AT82" s="4" t="str">
        <f ca="1">IFERROR(__xludf.DUMMYFUNCTION("""COMPUTED_VALUE"""),"| 5 L PHP-CGM % | 6 L NS % | 7 P Python % | 9 P PRO % ")</f>
        <v xml:space="preserve">| 5 L PHP-CGM % | 6 L NS % | 7 P Python % | 9 P PRO % </v>
      </c>
      <c r="AU82" s="4" t="str">
        <f ca="1">IFERROR(__xludf.DUMMYFUNCTION("""COMPUTED_VALUE"""),"| 5 L JAVA % | 6 L CPT % | 7 P PHP-CGM % | 9 L INE % ")</f>
        <v xml:space="preserve">| 5 L JAVA % | 6 L CPT % | 7 P PHP-CGM % | 9 L INE % </v>
      </c>
      <c r="AV8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82" s="4" t="str">
        <f ca="1">IFERROR(__xludf.DUMMYFUNCTION("""COMPUTED_VALUE"""),"| 5 P NS % | 7 L PHP-CGM % | 8 L JAVA % | 9 P Python % ")</f>
        <v xml:space="preserve">| 5 P NS % | 7 L PHP-CGM % | 8 L JAVA % | 9 P Python % </v>
      </c>
      <c r="AX82" s="4" t="str">
        <f ca="1">IFERROR(__xludf.DUMMYFUNCTION("""COMPUTED_VALUE"""),"| 5 P JAVA % | 7 L CPT % | 8 L NS % | 9 P CPT % ")</f>
        <v xml:space="preserve">| 5 P JAVA % | 7 L CPT % | 8 L NS % | 9 P CPT % </v>
      </c>
      <c r="AY82" s="4" t="str">
        <f ca="1">IFERROR(__xludf.DUMMYFUNCTION("""COMPUTED_VALUE"""),"| 5 L PHP-CGM % | 6 L NS % | 7 P Python % | 9 P PRO @ ")</f>
        <v xml:space="preserve">| 5 L PHP-CGM % | 6 L NS % | 7 P Python % | 9 P PRO @ </v>
      </c>
      <c r="AZ8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2" s="4" t="str">
        <f ca="1">IFERROR(__xludf.DUMMYFUNCTION("""COMPUTED_VALUE"""),"| 5 P NS % | 7 L PHP-CGM % | 8 L JAVA % ")</f>
        <v xml:space="preserve">| 5 P NS % | 7 L PHP-CGM % | 8 L JAVA % </v>
      </c>
      <c r="BB82" s="4" t="str">
        <f ca="1">IFERROR(__xludf.DUMMYFUNCTION("""COMPUTED_VALUE"""),"| 5 P JAVA % | 7 L CPT % | 8 L NS % | 9 P CPT % ")</f>
        <v xml:space="preserve">| 5 P JAVA % | 7 L CPT % | 8 L NS % | 9 P CPT % </v>
      </c>
      <c r="BC82" s="4" t="str">
        <f ca="1">IFERROR(__xludf.DUMMYFUNCTION("""COMPUTED_VALUE"""),"| 5 L PHP-CGM % | 6 L NS % | 7 P Python % | 9 P PRO @ ")</f>
        <v xml:space="preserve">| 5 L PHP-CGM % | 6 L NS % | 7 P Python % | 9 P PRO @ </v>
      </c>
      <c r="BD82" s="4" t="str">
        <f ca="1">IFERROR(__xludf.DUMMYFUNCTION("""COMPUTED_VALUE"""),"| 5 L JAVA @ | 6 L CPT @ | 7 P PHP-CGM @ | 9 L INE @ ")</f>
        <v xml:space="preserve">| 5 L JAVA @ | 6 L CPT @ | 7 P PHP-CGM @ | 9 L INE @ </v>
      </c>
      <c r="BE8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82" s="4" t="str">
        <f ca="1">IFERROR(__xludf.DUMMYFUNCTION("""COMPUTED_VALUE"""),"| 5 P NS % | 7 L PHP-CGM % | 9 P Python % | 8 L JAVA % ")</f>
        <v xml:space="preserve">| 5 P NS % | 7 L PHP-CGM % | 9 P Python % | 8 L JAVA % </v>
      </c>
      <c r="BG82" s="4" t="str">
        <f ca="1">IFERROR(__xludf.DUMMYFUNCTION("""COMPUTED_VALUE"""),"| 5 L PHP-CGM % | 6 L NS % | 7 P Python % | 9 P PRO % ")</f>
        <v xml:space="preserve">| 5 L PHP-CGM % | 6 L NS % | 7 P Python % | 9 P PRO % </v>
      </c>
      <c r="BH82" s="4" t="str">
        <f ca="1">IFERROR(__xludf.DUMMYFUNCTION("""COMPUTED_VALUE"""),"| 5 L JAVA % | 6 L CPT % | 7 P PHP-CGM % | 9 L INE % ")</f>
        <v xml:space="preserve">| 5 L JAVA % | 6 L CPT % | 7 P PHP-CGM % | 9 L INE % </v>
      </c>
      <c r="BI8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82" s="4" t="str">
        <f ca="1">IFERROR(__xludf.DUMMYFUNCTION("""COMPUTED_VALUE"""),"| 5 P NS % | 7 L JAVA % | 7 L PHP-CGM % ")</f>
        <v xml:space="preserve">| 5 P NS % | 7 L JAVA % | 7 L PHP-CGM % </v>
      </c>
      <c r="BK82" s="4" t="str">
        <f ca="1">IFERROR(__xludf.DUMMYFUNCTION("""COMPUTED_VALUE"""),"| 5 P JAVA @ | 7 L CPT @ | 9 P CPT @ | 8 L NS @ ")</f>
        <v xml:space="preserve">| 5 P JAVA @ | 7 L CPT @ | 9 P CPT @ | 8 L NS @ </v>
      </c>
      <c r="BL82" s="4" t="str">
        <f ca="1">IFERROR(__xludf.DUMMYFUNCTION("""COMPUTED_VALUE"""),"| 5 L PHP-CGM @ | 6 L NS @ | 7 P Python @ ")</f>
        <v xml:space="preserve">| 5 L PHP-CGM @ | 6 L NS @ | 7 P Python @ </v>
      </c>
      <c r="BM82" s="4" t="str">
        <f ca="1">IFERROR(__xludf.DUMMYFUNCTION("""COMPUTED_VALUE"""),"| 5 L JAVA @ | 6 L CPT @ | 7 P PHP-CGM @ | 9 L INE @ ")</f>
        <v xml:space="preserve">| 5 L JAVA @ | 6 L CPT @ | 7 P PHP-CGM @ | 9 L INE @ </v>
      </c>
      <c r="BN82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82" s="4" t="str">
        <f ca="1">IFERROR(__xludf.DUMMYFUNCTION("""COMPUTED_VALUE"""),"| 5 P NS @ | 7 L PHP-CGM @ ")</f>
        <v xml:space="preserve">| 5 P NS @ | 7 L PHP-CGM @ </v>
      </c>
      <c r="BP82" s="4" t="str">
        <f ca="1">IFERROR(__xludf.DUMMYFUNCTION("""COMPUTED_VALUE"""),"| 5 P JAVA % | 7 L CPT % | 8 L NS % | 9 P CPT @ ")</f>
        <v xml:space="preserve">| 5 P JAVA % | 7 L CPT % | 8 L NS % | 9 P CPT @ </v>
      </c>
      <c r="BQ82" s="4" t="str">
        <f ca="1">IFERROR(__xludf.DUMMYFUNCTION("""COMPUTED_VALUE"""),"| 5 L JAVA % | 6 L CPT % ")</f>
        <v xml:space="preserve">| 5 L JAVA % | 6 L CPT % </v>
      </c>
      <c r="BR82" s="4" t="str">
        <f ca="1">IFERROR(__xludf.DUMMYFUNCTION("""COMPUTED_VALUE"""),"| 7 L JAVA % ")</f>
        <v xml:space="preserve">| 7 L JAVA % </v>
      </c>
      <c r="BS82" s="4"/>
      <c r="BT82" s="4" t="str">
        <f ca="1">IFERROR(__xludf.DUMMYFUNCTION("""COMPUTED_VALUE"""),"| 7 L CPT @ | 9 P CPT @ ")</f>
        <v xml:space="preserve">| 7 L CPT @ | 9 P CPT @ </v>
      </c>
      <c r="BU82" s="4"/>
      <c r="BV82" s="4" t="str">
        <f ca="1">IFERROR(__xludf.DUMMYFUNCTION("""COMPUTED_VALUE"""),"| 5 P JAVA @ | 7 L CPT @ | 8 L NS @ ")</f>
        <v xml:space="preserve">| 5 P JAVA @ | 7 L CPT @ | 8 L NS @ </v>
      </c>
      <c r="BW82" s="4"/>
      <c r="BX82" s="4" t="str">
        <f ca="1">IFERROR(__xludf.DUMMYFUNCTION("""COMPUTED_VALUE"""),"| 5 L JAVA @ | 6 L CPT @ | 7 P PHP-CGM @ ")</f>
        <v xml:space="preserve">| 5 L JAVA @ | 6 L CPT @ | 7 P PHP-CGM @ </v>
      </c>
      <c r="BY82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82" s="4" t="str">
        <f ca="1">IFERROR(__xludf.DUMMYFUNCTION("""COMPUTED_VALUE"""),"| 5 P NS @ | 8 L JAVA @ | 7 L PHP-CGM @ | 9 P Python @ ")</f>
        <v xml:space="preserve">| 5 P NS @ | 8 L JAVA @ | 7 L PHP-CGM @ | 9 P Python @ </v>
      </c>
      <c r="CA82" s="4" t="str">
        <f ca="1">IFERROR(__xludf.DUMMYFUNCTION("""COMPUTED_VALUE"""),"| 5 P JAVA @ | 7 L CPT @ | 8 L NS @ | 9 P CPT @ ")</f>
        <v xml:space="preserve">| 5 P JAVA @ | 7 L CPT @ | 8 L NS @ | 9 P CPT @ </v>
      </c>
      <c r="CB82" s="4" t="str">
        <f ca="1">IFERROR(__xludf.DUMMYFUNCTION("""COMPUTED_VALUE"""),"| 5 L PHP-CGM @ | 6 L NS @ | 7 P Python @ ")</f>
        <v xml:space="preserve">| 5 L PHP-CGM @ | 6 L NS @ | 7 P Python @ </v>
      </c>
      <c r="CC82" s="4" t="str">
        <f ca="1">IFERROR(__xludf.DUMMYFUNCTION("""COMPUTED_VALUE"""),"| 5 L JAVA % | 7 P PHP-CGM % | 9 L INE % ")</f>
        <v xml:space="preserve">| 5 L JAVA % | 7 P PHP-CGM % | 9 L INE % </v>
      </c>
      <c r="CD8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82" s="4" t="str">
        <f ca="1">IFERROR(__xludf.DUMMYFUNCTION("""COMPUTED_VALUE"""),"| 5 P NS % | 8 L JAVA % | 7 L PHP-CGM % ")</f>
        <v xml:space="preserve">| 5 P NS % | 8 L JAVA % | 7 L PHP-CGM % </v>
      </c>
      <c r="CF82" s="4" t="str">
        <f ca="1">IFERROR(__xludf.DUMMYFUNCTION("""COMPUTED_VALUE"""),"| 7 L CPT @ | 8 L NS @ | 5 P JAVA % | 9 P CPT % ")</f>
        <v xml:space="preserve">| 7 L CPT @ | 8 L NS @ | 5 P JAVA % | 9 P CPT % </v>
      </c>
      <c r="CG82" s="4" t="str">
        <f ca="1">IFERROR(__xludf.DUMMYFUNCTION("""COMPUTED_VALUE"""),"| 5 L PHP-CGM @ | 6 L NS @ | 7 P Python % ")</f>
        <v xml:space="preserve">| 5 L PHP-CGM @ | 6 L NS @ | 7 P Python % </v>
      </c>
      <c r="CH82" s="4" t="str">
        <f ca="1">IFERROR(__xludf.DUMMYFUNCTION("""COMPUTED_VALUE"""),"| 5 L JAVA @ | 6 L CPT @ | 7 P PHP-CGM % | 9 L INE @ ")</f>
        <v xml:space="preserve">| 5 L JAVA @ | 6 L CPT @ | 7 P PHP-CGM % | 9 L INE @ </v>
      </c>
      <c r="CI82" s="4" t="str">
        <f ca="1">IFERROR(__xludf.DUMMYFUNCTION("""COMPUTED_VALUE"""),"| 5 L PHP-CGM @ | 7 L JAVA @ | 8 L CPT @ ")</f>
        <v xml:space="preserve">| 5 L PHP-CGM @ | 7 L JAVA @ | 8 L CPT @ </v>
      </c>
      <c r="CJ82" s="4" t="str">
        <f ca="1">IFERROR(__xludf.DUMMYFUNCTION("""COMPUTED_VALUE"""),"| 5 P NS @ ")</f>
        <v xml:space="preserve">| 5 P NS @ </v>
      </c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</row>
    <row r="83" spans="1:102" ht="12.5" x14ac:dyDescent="0.25">
      <c r="A83" s="3">
        <f ca="1">IFERROR(__xludf.DUMMYFUNCTION("""COMPUTED_VALUE"""),1)</f>
        <v>1</v>
      </c>
      <c r="B83" s="3" t="str">
        <f ca="1">IFERROR(__xludf.DUMMYFUNCTION("""COMPUTED_VALUE"""),"B")</f>
        <v>B</v>
      </c>
      <c r="C83" s="32" t="str">
        <f ca="1">IFERROR(__xludf.DUMMYFUNCTION("""COMPUTED_VALUE"""),"23291341011")</f>
        <v>23291341011</v>
      </c>
      <c r="D83" s="4" t="str">
        <f ca="1">IFERROR(__xludf.DUMMYFUNCTION("""COMPUTED_VALUE"""),"BHANDERI JAYKUMAR PANKAJBHAI")</f>
        <v>BHANDERI JAYKUMAR PANKAJBHAI</v>
      </c>
      <c r="E83" s="3" t="str">
        <f ca="1">IFERROR(__xludf.DUMMYFUNCTION("""COMPUTED_VALUE"""),"HAM/HDP-EVE")</f>
        <v>HAM/HDP-EVE</v>
      </c>
      <c r="F83" s="3">
        <f ca="1">IFERROR(__xludf.DUMMYFUNCTION("""COMPUTED_VALUE"""),9979360755)</f>
        <v>9979360755</v>
      </c>
      <c r="G83" s="3">
        <f ca="1">IFERROR(__xludf.DUMMYFUNCTION("""COMPUTED_VALUE"""),9979384891)</f>
        <v>9979384891</v>
      </c>
      <c r="H83" s="33">
        <f ca="1">IFERROR(__xludf.DUMMYFUNCTION("""COMPUTED_VALUE"""),0.219827586206896)</f>
        <v>0.21982758620689599</v>
      </c>
      <c r="I83" s="25">
        <f ca="1">IFERROR(__xludf.DUMMYFUNCTION("""COMPUTED_VALUE"""),0.297297297297297)</f>
        <v>0.29729729729729698</v>
      </c>
      <c r="J83" s="25">
        <f ca="1">IFERROR(__xludf.DUMMYFUNCTION("""COMPUTED_VALUE"""),0)</f>
        <v>0</v>
      </c>
      <c r="K83" s="25">
        <f ca="1">IFERROR(__xludf.DUMMYFUNCTION("""COMPUTED_VALUE"""),0.176470588235294)</f>
        <v>0.17647058823529399</v>
      </c>
      <c r="L83" s="25">
        <f ca="1">IFERROR(__xludf.DUMMYFUNCTION("""COMPUTED_VALUE"""),0.363636363636363)</f>
        <v>0.36363636363636298</v>
      </c>
      <c r="M83" s="25">
        <f ca="1">IFERROR(__xludf.DUMMYFUNCTION("""COMPUTED_VALUE"""),0.228571428571428)</f>
        <v>0.22857142857142801</v>
      </c>
      <c r="N83" s="25">
        <f ca="1">IFERROR(__xludf.DUMMYFUNCTION("""COMPUTED_VALUE"""),0.272727272727272)</f>
        <v>0.27272727272727199</v>
      </c>
      <c r="O83" s="25">
        <f ca="1">IFERROR(__xludf.DUMMYFUNCTION("""COMPUTED_VALUE"""),0.314285714285714)</f>
        <v>0.314285714285714</v>
      </c>
      <c r="P83" s="25">
        <f ca="1">IFERROR(__xludf.DUMMYFUNCTION("""COMPUTED_VALUE"""),0.260869565217391)</f>
        <v>0.26086956521739102</v>
      </c>
      <c r="Q83" s="25">
        <f ca="1">IFERROR(__xludf.DUMMYFUNCTION("""COMPUTED_VALUE"""),0)</f>
        <v>0</v>
      </c>
      <c r="R83" s="25">
        <f ca="1">IFERROR(__xludf.DUMMYFUNCTION("""COMPUTED_VALUE"""),0.0526315789473684)</f>
        <v>5.2631578947368397E-2</v>
      </c>
      <c r="S83" s="25">
        <f ca="1">IFERROR(__xludf.DUMMYFUNCTION("""COMPUTED_VALUE"""),0)</f>
        <v>0</v>
      </c>
      <c r="T83" s="25">
        <f ca="1">IFERROR(__xludf.DUMMYFUNCTION("""COMPUTED_VALUE"""),0)</f>
        <v>0</v>
      </c>
      <c r="U83" s="25">
        <f ca="1">IFERROR(__xludf.DUMMYFUNCTION("""COMPUTED_VALUE"""),0.125)</f>
        <v>0.125</v>
      </c>
      <c r="V83" s="25">
        <f ca="1">IFERROR(__xludf.DUMMYFUNCTION("""COMPUTED_VALUE"""),0)</f>
        <v>0</v>
      </c>
      <c r="W83" s="4"/>
      <c r="X83" s="4" t="str">
        <f ca="1">IFERROR(__xludf.DUMMYFUNCTION("""COMPUTED_VALUE"""),"| 5 P JAVA @ | 7 L CPT @ | 8 L NS @ | 9 P CPT @ ")</f>
        <v xml:space="preserve">| 5 P JAVA @ | 7 L CPT @ | 8 L NS @ | 9 P CPT @ </v>
      </c>
      <c r="Y83" s="4" t="str">
        <f ca="1">IFERROR(__xludf.DUMMYFUNCTION("""COMPUTED_VALUE"""),"| 5 L PHP-CGM @ | 6 L NS @ | 7 P Python @ | 9 P PRO @ ")</f>
        <v xml:space="preserve">| 5 L PHP-CGM @ | 6 L NS @ | 7 P Python @ | 9 P PRO @ </v>
      </c>
      <c r="Z83" s="4" t="str">
        <f ca="1">IFERROR(__xludf.DUMMYFUNCTION("""COMPUTED_VALUE"""),"| 5 L JAVA @ | 6 L CPT @ | 7 P PHP-CGM @ ")</f>
        <v xml:space="preserve">| 5 L JAVA @ | 6 L CPT @ | 7 P PHP-CGM @ </v>
      </c>
      <c r="AA83" s="4" t="str">
        <f ca="1">IFERROR(__xludf.DUMMYFUNCTION("""COMPUTED_VALUE"""),"| 5 L PHP-CGM @ | 7 L JAVA @ | 9 P JAVA @ | 8 L CPT @ ")</f>
        <v xml:space="preserve">| 5 L PHP-CGM @ | 7 L JAVA @ | 9 P JAVA @ | 8 L CPT @ </v>
      </c>
      <c r="AB83" s="4" t="str">
        <f ca="1">IFERROR(__xludf.DUMMYFUNCTION("""COMPUTED_VALUE"""),"| 4 P Python @ | 7 L PHP-CGM @ | 8 L JAVA @ | 9 P Python @ ")</f>
        <v xml:space="preserve">| 4 P Python @ | 7 L PHP-CGM @ | 8 L JAVA @ | 9 P Python @ </v>
      </c>
      <c r="AC83" s="4" t="str">
        <f ca="1">IFERROR(__xludf.DUMMYFUNCTION("""COMPUTED_VALUE"""),"| 5 P JAVA @ | 7 L CPT @ | 8 L NS @ | 9 P CPT @ ")</f>
        <v xml:space="preserve">| 5 P JAVA @ | 7 L CPT @ | 8 L NS @ | 9 P CPT @ </v>
      </c>
      <c r="AD83" s="4" t="str">
        <f ca="1">IFERROR(__xludf.DUMMYFUNCTION("""COMPUTED_VALUE"""),"| 5 L PHP-CGM @ | 6 L NS @ | 7 P Python @ ")</f>
        <v xml:space="preserve">| 5 L PHP-CGM @ | 6 L NS @ | 7 P Python @ </v>
      </c>
      <c r="AE83" s="4" t="str">
        <f ca="1">IFERROR(__xludf.DUMMYFUNCTION("""COMPUTED_VALUE"""),"| 5 L JAVA % | 6 L CPT % | 7 P PHP-CGM % ")</f>
        <v xml:space="preserve">| 5 L JAVA % | 6 L CPT % | 7 P PHP-CGM % </v>
      </c>
      <c r="AF83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AG83" s="4" t="str">
        <f ca="1">IFERROR(__xludf.DUMMYFUNCTION("""COMPUTED_VALUE"""),"| 5 P NS @ | 8 L JAVA @ | 7 L PHP-CGM @ | 9 P Python @ ")</f>
        <v xml:space="preserve">| 5 P NS @ | 8 L JAVA @ | 7 L PHP-CGM @ | 9 P Python @ </v>
      </c>
      <c r="AH83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I83" s="4" t="str">
        <f ca="1">IFERROR(__xludf.DUMMYFUNCTION("""COMPUTED_VALUE"""),"| 5 P NS % | 8 L JAVA % | 7 L PHP-CGM % | 9 P Python @ ")</f>
        <v xml:space="preserve">| 5 P NS % | 8 L JAVA % | 7 L PHP-CGM % | 9 P Python @ </v>
      </c>
      <c r="AJ83" s="4" t="str">
        <f ca="1">IFERROR(__xludf.DUMMYFUNCTION("""COMPUTED_VALUE"""),"| 5 P JAVA % | 7 L CPT % | 8 L NS % | 9 P CPT @ ")</f>
        <v xml:space="preserve">| 5 P JAVA % | 7 L CPT % | 8 L NS % | 9 P CPT @ </v>
      </c>
      <c r="AK83" s="4" t="str">
        <f ca="1">IFERROR(__xludf.DUMMYFUNCTION("""COMPUTED_VALUE"""),"| 5 L PHP-CGM @ | 6 L NS @ | 7 P Python @ | 9 P PRO @ ")</f>
        <v xml:space="preserve">| 5 L PHP-CGM @ | 6 L NS @ | 7 P Python @ | 9 P PRO @ </v>
      </c>
      <c r="AL83" s="4" t="str">
        <f ca="1">IFERROR(__xludf.DUMMYFUNCTION("""COMPUTED_VALUE"""),"| 5 L JAVA @ | 6 L CPT @ | 7 P PHP-CGM @ | 9 L INE @ ")</f>
        <v xml:space="preserve">| 5 L JAVA @ | 6 L CPT @ | 7 P PHP-CGM @ | 9 L INE @ </v>
      </c>
      <c r="AM83" s="4" t="str">
        <f ca="1">IFERROR(__xludf.DUMMYFUNCTION("""COMPUTED_VALUE"""),"| 5 L PHP-CGM @ | 6 L NS @ | 7 L JAVA @ | 8 L CPT @ | 9 P JAVA % ")</f>
        <v xml:space="preserve">| 5 L PHP-CGM @ | 6 L NS @ | 7 L JAVA @ | 8 L CPT @ | 9 P JAVA % </v>
      </c>
      <c r="AN83" s="4" t="str">
        <f ca="1">IFERROR(__xludf.DUMMYFUNCTION("""COMPUTED_VALUE"""),"| 5 P NS @ | 8 L JAVA @ | 7 L PHP-CGM @ | 9 P Python @ ")</f>
        <v xml:space="preserve">| 5 P NS @ | 8 L JAVA @ | 7 L PHP-CGM @ | 9 P Python @ </v>
      </c>
      <c r="AO83" s="4" t="str">
        <f ca="1">IFERROR(__xludf.DUMMYFUNCTION("""COMPUTED_VALUE"""),"| 5 P JAVA @ | 7 L CPT @ | 8 L NS @ | 9 P CPT @ ")</f>
        <v xml:space="preserve">| 5 P JAVA @ | 7 L CPT @ | 8 L NS @ | 9 P CPT @ </v>
      </c>
      <c r="AP83" s="4" t="str">
        <f ca="1">IFERROR(__xludf.DUMMYFUNCTION("""COMPUTED_VALUE"""),"| 5 L PHP-CGM @ | 6 L NS @ | 7 P Python @ | 9 P PRO @ ")</f>
        <v xml:space="preserve">| 5 L PHP-CGM @ | 6 L NS @ | 7 P Python @ | 9 P PRO @ </v>
      </c>
      <c r="AQ83" s="4" t="str">
        <f ca="1">IFERROR(__xludf.DUMMYFUNCTION("""COMPUTED_VALUE"""),"| 5 L CPT @ | 7 L JAVA @ | 7 P PHP-CGM @ | 9 L INE @ ")</f>
        <v xml:space="preserve">| 5 L CPT @ | 7 L JAVA @ | 7 P PHP-CGM @ | 9 L INE @ </v>
      </c>
      <c r="AR83" s="4" t="str">
        <f ca="1">IFERROR(__xludf.DUMMYFUNCTION("""COMPUTED_VALUE"""),"| 5 L PHP-CGM @ | 6 L NS @ | 8 L CPT @ ")</f>
        <v xml:space="preserve">| 5 L PHP-CGM @ | 6 L NS @ | 8 L CPT @ </v>
      </c>
      <c r="AS83" s="4" t="str">
        <f ca="1">IFERROR(__xludf.DUMMYFUNCTION("""COMPUTED_VALUE"""),"| 5 P JAVA @ | 7 L CPT @ | 8 L NS @ | 9 P CPT @ ")</f>
        <v xml:space="preserve">| 5 P JAVA @ | 7 L CPT @ | 8 L NS @ | 9 P CPT @ </v>
      </c>
      <c r="AT83" s="4" t="str">
        <f ca="1">IFERROR(__xludf.DUMMYFUNCTION("""COMPUTED_VALUE"""),"| 5 L PHP-CGM @ | 6 L NS @ | 7 P Python @ | 9 P PRO @ ")</f>
        <v xml:space="preserve">| 5 L PHP-CGM @ | 6 L NS @ | 7 P Python @ | 9 P PRO @ </v>
      </c>
      <c r="AU83" s="4" t="str">
        <f ca="1">IFERROR(__xludf.DUMMYFUNCTION("""COMPUTED_VALUE"""),"| 5 L JAVA @ | 6 L CPT @ | 7 P PHP-CGM @ | 9 L INE @ ")</f>
        <v xml:space="preserve">| 5 L JAVA @ | 6 L CPT @ | 7 P PHP-CGM @ | 9 L INE @ </v>
      </c>
      <c r="AV83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W83" s="4" t="str">
        <f ca="1">IFERROR(__xludf.DUMMYFUNCTION("""COMPUTED_VALUE"""),"| 5 P NS % | 7 L PHP-CGM % | 8 L JAVA % | 9 P Python @ ")</f>
        <v xml:space="preserve">| 5 P NS % | 7 L PHP-CGM % | 8 L JAVA % | 9 P Python @ </v>
      </c>
      <c r="AX83" s="4" t="str">
        <f ca="1">IFERROR(__xludf.DUMMYFUNCTION("""COMPUTED_VALUE"""),"| 5 P JAVA @ | 7 L CPT @ | 8 L NS @ | 9 P CPT @ ")</f>
        <v xml:space="preserve">| 5 P JAVA @ | 7 L CPT @ | 8 L NS @ | 9 P CPT @ </v>
      </c>
      <c r="AY83" s="4" t="str">
        <f ca="1">IFERROR(__xludf.DUMMYFUNCTION("""COMPUTED_VALUE"""),"| 5 L PHP-CGM % | 6 L NS % | 7 P Python % | 9 P PRO @ ")</f>
        <v xml:space="preserve">| 5 L PHP-CGM % | 6 L NS % | 7 P Python % | 9 P PRO @ </v>
      </c>
      <c r="AZ8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3" s="4" t="str">
        <f ca="1">IFERROR(__xludf.DUMMYFUNCTION("""COMPUTED_VALUE"""),"| 5 P NS @ | 7 L PHP-CGM @ | 8 L JAVA @ ")</f>
        <v xml:space="preserve">| 5 P NS @ | 7 L PHP-CGM @ | 8 L JAVA @ </v>
      </c>
      <c r="BB83" s="4" t="str">
        <f ca="1">IFERROR(__xludf.DUMMYFUNCTION("""COMPUTED_VALUE"""),"| 5 P JAVA % | 7 L CPT % | 8 L NS @ | 9 P CPT @ ")</f>
        <v xml:space="preserve">| 5 P JAVA % | 7 L CPT % | 8 L NS @ | 9 P CPT @ </v>
      </c>
      <c r="BC83" s="4" t="str">
        <f ca="1">IFERROR(__xludf.DUMMYFUNCTION("""COMPUTED_VALUE"""),"| 5 L PHP-CGM @ | 6 L NS @ | 7 P Python @ | 9 P PRO @ ")</f>
        <v xml:space="preserve">| 5 L PHP-CGM @ | 6 L NS @ | 7 P Python @ | 9 P PRO @ </v>
      </c>
      <c r="BD83" s="4" t="str">
        <f ca="1">IFERROR(__xludf.DUMMYFUNCTION("""COMPUTED_VALUE"""),"| 5 L JAVA % | 6 L CPT % | 7 P PHP-CGM % | 9 L INE @ ")</f>
        <v xml:space="preserve">| 5 L JAVA % | 6 L CPT % | 7 P PHP-CGM % | 9 L INE @ </v>
      </c>
      <c r="BE83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F83" s="4" t="str">
        <f ca="1">IFERROR(__xludf.DUMMYFUNCTION("""COMPUTED_VALUE"""),"| 5 P NS @ | 7 L PHP-CGM @ | 9 P Python @ | 8 L JAVA @ ")</f>
        <v xml:space="preserve">| 5 P NS @ | 7 L PHP-CGM @ | 9 P Python @ | 8 L JAVA @ </v>
      </c>
      <c r="BG83" s="4" t="str">
        <f ca="1">IFERROR(__xludf.DUMMYFUNCTION("""COMPUTED_VALUE"""),"| 5 L PHP-CGM @ | 6 L NS @ | 7 P Python @ | 9 P PRO @ ")</f>
        <v xml:space="preserve">| 5 L PHP-CGM @ | 6 L NS @ | 7 P Python @ | 9 P PRO @ </v>
      </c>
      <c r="BH83" s="4" t="str">
        <f ca="1">IFERROR(__xludf.DUMMYFUNCTION("""COMPUTED_VALUE"""),"| 5 L JAVA @ | 6 L CPT @ | 7 P PHP-CGM @ | 9 L INE @ ")</f>
        <v xml:space="preserve">| 5 L JAVA @ | 6 L CPT @ | 7 P PHP-CGM @ | 9 L INE @ </v>
      </c>
      <c r="BI83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J83" s="4" t="str">
        <f ca="1">IFERROR(__xludf.DUMMYFUNCTION("""COMPUTED_VALUE"""),"| 5 P NS @ | 7 L JAVA @ | 7 L PHP-CGM @ ")</f>
        <v xml:space="preserve">| 5 P NS @ | 7 L JAVA @ | 7 L PHP-CGM @ </v>
      </c>
      <c r="BK83" s="4" t="str">
        <f ca="1">IFERROR(__xludf.DUMMYFUNCTION("""COMPUTED_VALUE"""),"| 5 P JAVA % | 7 L CPT % | 9 P CPT @ | 8 L NS @ ")</f>
        <v xml:space="preserve">| 5 P JAVA % | 7 L CPT % | 9 P CPT @ | 8 L NS @ </v>
      </c>
      <c r="BL83" s="4" t="str">
        <f ca="1">IFERROR(__xludf.DUMMYFUNCTION("""COMPUTED_VALUE"""),"| 5 L PHP-CGM @ | 6 L NS @ | 7 P Python @ ")</f>
        <v xml:space="preserve">| 5 L PHP-CGM @ | 6 L NS @ | 7 P Python @ </v>
      </c>
      <c r="BM83" s="4" t="str">
        <f ca="1">IFERROR(__xludf.DUMMYFUNCTION("""COMPUTED_VALUE"""),"| 5 L JAVA % | 6 L CPT % | 7 P PHP-CGM @ | 9 L INE @ ")</f>
        <v xml:space="preserve">| 5 L JAVA % | 6 L CPT % | 7 P PHP-CGM @ | 9 L INE @ </v>
      </c>
      <c r="BN83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83" s="4" t="str">
        <f ca="1">IFERROR(__xludf.DUMMYFUNCTION("""COMPUTED_VALUE"""),"| 5 P NS % | 7 L PHP-CGM % ")</f>
        <v xml:space="preserve">| 5 P NS % | 7 L PHP-CGM % </v>
      </c>
      <c r="BP83" s="4" t="str">
        <f ca="1">IFERROR(__xludf.DUMMYFUNCTION("""COMPUTED_VALUE"""),"| 5 P JAVA @ | 7 L CPT @ | 8 L NS @ | 9 P CPT @ ")</f>
        <v xml:space="preserve">| 5 P JAVA @ | 7 L CPT @ | 8 L NS @ | 9 P CPT @ </v>
      </c>
      <c r="BQ83" s="4" t="str">
        <f ca="1">IFERROR(__xludf.DUMMYFUNCTION("""COMPUTED_VALUE"""),"| 5 L JAVA % | 6 L CPT % ")</f>
        <v xml:space="preserve">| 5 L JAVA % | 6 L CPT % </v>
      </c>
      <c r="BR83" s="4" t="str">
        <f ca="1">IFERROR(__xludf.DUMMYFUNCTION("""COMPUTED_VALUE"""),"| 7 L JAVA % ")</f>
        <v xml:space="preserve">| 7 L JAVA % </v>
      </c>
      <c r="BS83" s="4"/>
      <c r="BT83" s="4" t="str">
        <f ca="1">IFERROR(__xludf.DUMMYFUNCTION("""COMPUTED_VALUE"""),"| 7 L CPT @ | 9 P CPT @ ")</f>
        <v xml:space="preserve">| 7 L CPT @ | 9 P CPT @ </v>
      </c>
      <c r="BU83" s="4"/>
      <c r="BV83" s="4" t="str">
        <f ca="1">IFERROR(__xludf.DUMMYFUNCTION("""COMPUTED_VALUE"""),"| 5 P JAVA @ | 7 L CPT @ | 8 L NS @ ")</f>
        <v xml:space="preserve">| 5 P JAVA @ | 7 L CPT @ | 8 L NS @ </v>
      </c>
      <c r="BW83" s="4"/>
      <c r="BX83" s="4" t="str">
        <f ca="1">IFERROR(__xludf.DUMMYFUNCTION("""COMPUTED_VALUE"""),"| 5 L JAVA @ | 6 L CPT @ | 7 P PHP-CGM @ ")</f>
        <v xml:space="preserve">| 5 L JAVA @ | 6 L CPT @ | 7 P PHP-CGM @ </v>
      </c>
      <c r="BY83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83" s="4" t="str">
        <f ca="1">IFERROR(__xludf.DUMMYFUNCTION("""COMPUTED_VALUE"""),"| 5 P NS @ | 8 L JAVA @ | 7 L PHP-CGM @ | 9 P Python @ ")</f>
        <v xml:space="preserve">| 5 P NS @ | 8 L JAVA @ | 7 L PHP-CGM @ | 9 P Python @ </v>
      </c>
      <c r="CA83" s="4" t="str">
        <f ca="1">IFERROR(__xludf.DUMMYFUNCTION("""COMPUTED_VALUE"""),"| 5 P JAVA @ | 7 L CPT @ | 8 L NS @ | 9 P CPT @ ")</f>
        <v xml:space="preserve">| 5 P JAVA @ | 7 L CPT @ | 8 L NS @ | 9 P CPT @ </v>
      </c>
      <c r="CB83" s="4" t="str">
        <f ca="1">IFERROR(__xludf.DUMMYFUNCTION("""COMPUTED_VALUE"""),"| 5 L PHP-CGM @ | 6 L NS @ | 7 P Python @ ")</f>
        <v xml:space="preserve">| 5 L PHP-CGM @ | 6 L NS @ | 7 P Python @ </v>
      </c>
      <c r="CC83" s="4" t="str">
        <f ca="1">IFERROR(__xludf.DUMMYFUNCTION("""COMPUTED_VALUE"""),"| 5 L JAVA @ | 7 P PHP-CGM @ | 9 L INE % ")</f>
        <v xml:space="preserve">| 5 L JAVA @ | 7 P PHP-CGM @ | 9 L INE % </v>
      </c>
      <c r="CD83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CE83" s="4" t="str">
        <f ca="1">IFERROR(__xludf.DUMMYFUNCTION("""COMPUTED_VALUE"""),"| 5 P NS @ | 8 L JAVA @ | 7 L PHP-CGM @ ")</f>
        <v xml:space="preserve">| 5 P NS @ | 8 L JAVA @ | 7 L PHP-CGM @ </v>
      </c>
      <c r="CF83" s="4" t="str">
        <f ca="1">IFERROR(__xludf.DUMMYFUNCTION("""COMPUTED_VALUE"""),"| 7 L CPT @ | 8 L NS @ | 5 P JAVA % | 9 P CPT @ ")</f>
        <v xml:space="preserve">| 7 L CPT @ | 8 L NS @ | 5 P JAVA % | 9 P CPT @ </v>
      </c>
      <c r="CG83" s="4" t="str">
        <f ca="1">IFERROR(__xludf.DUMMYFUNCTION("""COMPUTED_VALUE"""),"| 5 L PHP-CGM @ | 6 L NS @ | 7 P Python @ ")</f>
        <v xml:space="preserve">| 5 L PHP-CGM @ | 6 L NS @ | 7 P Python @ </v>
      </c>
      <c r="CH83" s="4" t="str">
        <f ca="1">IFERROR(__xludf.DUMMYFUNCTION("""COMPUTED_VALUE"""),"| 5 L JAVA @ | 6 L CPT @ | 7 P PHP-CGM % | 9 L INE @ ")</f>
        <v xml:space="preserve">| 5 L JAVA @ | 6 L CPT @ | 7 P PHP-CGM % | 9 L INE @ </v>
      </c>
      <c r="CI83" s="4" t="str">
        <f ca="1">IFERROR(__xludf.DUMMYFUNCTION("""COMPUTED_VALUE"""),"| 5 L PHP-CGM @ | 7 L JAVA @ | 8 L CPT @ ")</f>
        <v xml:space="preserve">| 5 L PHP-CGM @ | 7 L JAVA @ | 8 L CPT @ </v>
      </c>
      <c r="CJ83" s="4" t="str">
        <f ca="1">IFERROR(__xludf.DUMMYFUNCTION("""COMPUTED_VALUE"""),"| 5 P NS % ")</f>
        <v xml:space="preserve">| 5 P NS % </v>
      </c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</row>
    <row r="84" spans="1:102" ht="12.5" x14ac:dyDescent="0.25">
      <c r="A84" s="3">
        <f ca="1">IFERROR(__xludf.DUMMYFUNCTION("""COMPUTED_VALUE"""),1)</f>
        <v>1</v>
      </c>
      <c r="B84" s="3" t="str">
        <f ca="1">IFERROR(__xludf.DUMMYFUNCTION("""COMPUTED_VALUE"""),"B")</f>
        <v>B</v>
      </c>
      <c r="C84" s="32" t="str">
        <f ca="1">IFERROR(__xludf.DUMMYFUNCTION("""COMPUTED_VALUE"""),"23291341014")</f>
        <v>23291341014</v>
      </c>
      <c r="D84" s="21" t="str">
        <f ca="1">IFERROR(__xludf.DUMMYFUNCTION("""COMPUTED_VALUE"""),"CHANIYARA NEET BHAVESH")</f>
        <v>CHANIYARA NEET BHAVESH</v>
      </c>
      <c r="E84" s="3" t="str">
        <f ca="1">IFERROR(__xludf.DUMMYFUNCTION("""COMPUTED_VALUE"""),"HAM/HDP-EVE")</f>
        <v>HAM/HDP-EVE</v>
      </c>
      <c r="F84" s="3">
        <f ca="1">IFERROR(__xludf.DUMMYFUNCTION("""COMPUTED_VALUE"""),8853035561)</f>
        <v>8853035561</v>
      </c>
      <c r="G84" s="3">
        <f ca="1">IFERROR(__xludf.DUMMYFUNCTION("""COMPUTED_VALUE"""),9898584431)</f>
        <v>9898584431</v>
      </c>
      <c r="H84" s="33">
        <f ca="1">IFERROR(__xludf.DUMMYFUNCTION("""COMPUTED_VALUE"""),0.400862068965517)</f>
        <v>0.40086206896551702</v>
      </c>
      <c r="I84" s="25">
        <f ca="1">IFERROR(__xludf.DUMMYFUNCTION("""COMPUTED_VALUE"""),0.297297297297297)</f>
        <v>0.29729729729729698</v>
      </c>
      <c r="J84" s="25">
        <f ca="1">IFERROR(__xludf.DUMMYFUNCTION("""COMPUTED_VALUE"""),0.0833333333333333)</f>
        <v>8.3333333333333301E-2</v>
      </c>
      <c r="K84" s="25">
        <f ca="1">IFERROR(__xludf.DUMMYFUNCTION("""COMPUTED_VALUE"""),0.411764705882352)</f>
        <v>0.41176470588235198</v>
      </c>
      <c r="L84" s="25">
        <f ca="1">IFERROR(__xludf.DUMMYFUNCTION("""COMPUTED_VALUE"""),0.272727272727272)</f>
        <v>0.27272727272727199</v>
      </c>
      <c r="M84" s="25">
        <f ca="1">IFERROR(__xludf.DUMMYFUNCTION("""COMPUTED_VALUE"""),0.514285714285714)</f>
        <v>0.51428571428571401</v>
      </c>
      <c r="N84" s="25">
        <f ca="1">IFERROR(__xludf.DUMMYFUNCTION("""COMPUTED_VALUE"""),0.545454545454545)</f>
        <v>0.54545454545454497</v>
      </c>
      <c r="O84" s="25">
        <f ca="1">IFERROR(__xludf.DUMMYFUNCTION("""COMPUTED_VALUE"""),0.4)</f>
        <v>0.4</v>
      </c>
      <c r="P84" s="25">
        <f ca="1">IFERROR(__xludf.DUMMYFUNCTION("""COMPUTED_VALUE"""),0.478260869565217)</f>
        <v>0.47826086956521702</v>
      </c>
      <c r="Q84" s="25">
        <f ca="1">IFERROR(__xludf.DUMMYFUNCTION("""COMPUTED_VALUE"""),0)</f>
        <v>0</v>
      </c>
      <c r="R84" s="25">
        <f ca="1">IFERROR(__xludf.DUMMYFUNCTION("""COMPUTED_VALUE"""),0.421052631578947)</f>
        <v>0.42105263157894701</v>
      </c>
      <c r="S84" s="25">
        <f ca="1">IFERROR(__xludf.DUMMYFUNCTION("""COMPUTED_VALUE"""),0)</f>
        <v>0</v>
      </c>
      <c r="T84" s="25">
        <f ca="1">IFERROR(__xludf.DUMMYFUNCTION("""COMPUTED_VALUE"""),0.428571428571428)</f>
        <v>0.42857142857142799</v>
      </c>
      <c r="U84" s="25">
        <f ca="1">IFERROR(__xludf.DUMMYFUNCTION("""COMPUTED_VALUE"""),0.5)</f>
        <v>0.5</v>
      </c>
      <c r="V84" s="25">
        <f ca="1">IFERROR(__xludf.DUMMYFUNCTION("""COMPUTED_VALUE"""),0)</f>
        <v>0</v>
      </c>
      <c r="W84" s="4"/>
      <c r="X84" s="4" t="str">
        <f ca="1">IFERROR(__xludf.DUMMYFUNCTION("""COMPUTED_VALUE"""),"| 5 P JAVA @ | 7 L CPT @ | 8 L NS @ | 9 P CPT @ ")</f>
        <v xml:space="preserve">| 5 P JAVA @ | 7 L CPT @ | 8 L NS @ | 9 P CPT @ </v>
      </c>
      <c r="Y84" s="4" t="str">
        <f ca="1">IFERROR(__xludf.DUMMYFUNCTION("""COMPUTED_VALUE"""),"| 5 L PHP-CGM @ | 6 L NS @ | 7 P Python @ | 9 P PRO @ ")</f>
        <v xml:space="preserve">| 5 L PHP-CGM @ | 6 L NS @ | 7 P Python @ | 9 P PRO @ </v>
      </c>
      <c r="Z84" s="4" t="str">
        <f ca="1">IFERROR(__xludf.DUMMYFUNCTION("""COMPUTED_VALUE"""),"| 5 L JAVA % | 6 L CPT % | 7 P PHP-CGM @ ")</f>
        <v xml:space="preserve">| 5 L JAVA % | 6 L CPT % | 7 P PHP-CGM @ </v>
      </c>
      <c r="AA84" s="4" t="str">
        <f ca="1">IFERROR(__xludf.DUMMYFUNCTION("""COMPUTED_VALUE"""),"| 5 L PHP-CGM % | 7 L JAVA % | 9 P JAVA % | 8 L CPT % ")</f>
        <v xml:space="preserve">| 5 L PHP-CGM % | 7 L JAVA % | 9 P JAVA % | 8 L CPT % </v>
      </c>
      <c r="AB84" s="4" t="str">
        <f ca="1">IFERROR(__xludf.DUMMYFUNCTION("""COMPUTED_VALUE"""),"| 4 P Python @ | 7 L PHP-CGM % | 8 L JAVA % | 9 P Python @ ")</f>
        <v xml:space="preserve">| 4 P Python @ | 7 L PHP-CGM % | 8 L JAVA % | 9 P Python @ </v>
      </c>
      <c r="AC84" s="4" t="str">
        <f ca="1">IFERROR(__xludf.DUMMYFUNCTION("""COMPUTED_VALUE"""),"| 5 P JAVA % | 7 L CPT % | 8 L NS % | 9 P CPT % ")</f>
        <v xml:space="preserve">| 5 P JAVA % | 7 L CPT % | 8 L NS % | 9 P CPT % </v>
      </c>
      <c r="AD84" s="4" t="str">
        <f ca="1">IFERROR(__xludf.DUMMYFUNCTION("""COMPUTED_VALUE"""),"| 5 L PHP-CGM % | 6 L NS % | 7 P Python % ")</f>
        <v xml:space="preserve">| 5 L PHP-CGM % | 6 L NS % | 7 P Python % </v>
      </c>
      <c r="AE84" s="4" t="str">
        <f ca="1">IFERROR(__xludf.DUMMYFUNCTION("""COMPUTED_VALUE"""),"| 5 L JAVA @ | 6 L CPT @ | 7 P PHP-CGM % ")</f>
        <v xml:space="preserve">| 5 L JAVA @ | 6 L CPT @ | 7 P PHP-CGM % </v>
      </c>
      <c r="AF8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84" s="4" t="str">
        <f ca="1">IFERROR(__xludf.DUMMYFUNCTION("""COMPUTED_VALUE"""),"| 5 P NS % | 8 L JAVA @ | 7 L PHP-CGM @ | 9 P Python @ ")</f>
        <v xml:space="preserve">| 5 P NS % | 8 L JAVA @ | 7 L PHP-CGM @ | 9 P Python @ </v>
      </c>
      <c r="AH84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I84" s="4" t="str">
        <f ca="1">IFERROR(__xludf.DUMMYFUNCTION("""COMPUTED_VALUE"""),"| 5 P NS @ | 8 L JAVA % | 7 L PHP-CGM % | 9 P Python % ")</f>
        <v xml:space="preserve">| 5 P NS @ | 8 L JAVA % | 7 L PHP-CGM % | 9 P Python % </v>
      </c>
      <c r="AJ84" s="4" t="str">
        <f ca="1">IFERROR(__xludf.DUMMYFUNCTION("""COMPUTED_VALUE"""),"| 5 P JAVA @ | 7 L CPT @ | 8 L NS @ | 9 P CPT @ ")</f>
        <v xml:space="preserve">| 5 P JAVA @ | 7 L CPT @ | 8 L NS @ | 9 P CPT @ </v>
      </c>
      <c r="AK84" s="4" t="str">
        <f ca="1">IFERROR(__xludf.DUMMYFUNCTION("""COMPUTED_VALUE"""),"| 5 L PHP-CGM % | 6 L NS % | 7 P Python % | 9 P PRO % ")</f>
        <v xml:space="preserve">| 5 L PHP-CGM % | 6 L NS % | 7 P Python % | 9 P PRO % </v>
      </c>
      <c r="AL84" s="4" t="str">
        <f ca="1">IFERROR(__xludf.DUMMYFUNCTION("""COMPUTED_VALUE"""),"| 5 L JAVA @ | 6 L CPT @ | 7 P PHP-CGM @ | 9 L INE @ ")</f>
        <v xml:space="preserve">| 5 L JAVA @ | 6 L CPT @ | 7 P PHP-CGM @ | 9 L INE @ </v>
      </c>
      <c r="AM8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84" s="4" t="str">
        <f ca="1">IFERROR(__xludf.DUMMYFUNCTION("""COMPUTED_VALUE"""),"| 5 P NS @ | 8 L JAVA % | 7 L PHP-CGM @ | 9 P Python @ ")</f>
        <v xml:space="preserve">| 5 P NS @ | 8 L JAVA % | 7 L PHP-CGM @ | 9 P Python @ </v>
      </c>
      <c r="AO84" s="4" t="str">
        <f ca="1">IFERROR(__xludf.DUMMYFUNCTION("""COMPUTED_VALUE"""),"| 5 P JAVA @ | 7 L CPT @ | 8 L NS @ | 9 P CPT @ ")</f>
        <v xml:space="preserve">| 5 P JAVA @ | 7 L CPT @ | 8 L NS @ | 9 P CPT @ </v>
      </c>
      <c r="AP84" s="4" t="str">
        <f ca="1">IFERROR(__xludf.DUMMYFUNCTION("""COMPUTED_VALUE"""),"| 5 L PHP-CGM % | 6 L NS % | 7 P Python @ | 9 P PRO @ ")</f>
        <v xml:space="preserve">| 5 L PHP-CGM % | 6 L NS % | 7 P Python @ | 9 P PRO @ </v>
      </c>
      <c r="AQ84" s="4" t="str">
        <f ca="1">IFERROR(__xludf.DUMMYFUNCTION("""COMPUTED_VALUE"""),"| 5 L CPT @ | 7 L JAVA @ | 7 P PHP-CGM @ | 9 L INE @ ")</f>
        <v xml:space="preserve">| 5 L CPT @ | 7 L JAVA @ | 7 P PHP-CGM @ | 9 L INE @ </v>
      </c>
      <c r="AR84" s="4" t="str">
        <f ca="1">IFERROR(__xludf.DUMMYFUNCTION("""COMPUTED_VALUE"""),"| 5 L PHP-CGM @ | 6 L NS @ | 8 L CPT @ ")</f>
        <v xml:space="preserve">| 5 L PHP-CGM @ | 6 L NS @ | 8 L CPT @ </v>
      </c>
      <c r="AS84" s="4" t="str">
        <f ca="1">IFERROR(__xludf.DUMMYFUNCTION("""COMPUTED_VALUE"""),"| 5 P JAVA @ | 7 L CPT @ | 8 L NS @ | 9 P CPT @ ")</f>
        <v xml:space="preserve">| 5 P JAVA @ | 7 L CPT @ | 8 L NS @ | 9 P CPT @ </v>
      </c>
      <c r="AT84" s="4" t="str">
        <f ca="1">IFERROR(__xludf.DUMMYFUNCTION("""COMPUTED_VALUE"""),"| 5 L PHP-CGM @ | 6 L NS @ | 7 P Python @ | 9 P PRO @ ")</f>
        <v xml:space="preserve">| 5 L PHP-CGM @ | 6 L NS @ | 7 P Python @ | 9 P PRO @ </v>
      </c>
      <c r="AU84" s="4" t="str">
        <f ca="1">IFERROR(__xludf.DUMMYFUNCTION("""COMPUTED_VALUE"""),"| 5 L JAVA % | 6 L CPT % | 7 P PHP-CGM % | 9 L INE % ")</f>
        <v xml:space="preserve">| 5 L JAVA % | 6 L CPT % | 7 P PHP-CGM % | 9 L INE % </v>
      </c>
      <c r="AV84" s="4" t="str">
        <f ca="1">IFERROR(__xludf.DUMMYFUNCTION("""COMPUTED_VALUE"""),"| 5 L PHP-CGM % | 6 L NS % | 7 L JAVA @ | 8 L CPT @ | 9 P JAVA % ")</f>
        <v xml:space="preserve">| 5 L PHP-CGM % | 6 L NS % | 7 L JAVA @ | 8 L CPT @ | 9 P JAVA % </v>
      </c>
      <c r="AW84" s="4" t="str">
        <f ca="1">IFERROR(__xludf.DUMMYFUNCTION("""COMPUTED_VALUE"""),"| 5 P NS % | 7 L PHP-CGM % | 8 L JAVA % | 9 P Python % ")</f>
        <v xml:space="preserve">| 5 P NS % | 7 L PHP-CGM % | 8 L JAVA % | 9 P Python % </v>
      </c>
      <c r="AX84" s="4" t="str">
        <f ca="1">IFERROR(__xludf.DUMMYFUNCTION("""COMPUTED_VALUE"""),"| 5 P JAVA % | 7 L CPT % | 8 L NS % | 9 P CPT @ ")</f>
        <v xml:space="preserve">| 5 P JAVA % | 7 L CPT % | 8 L NS % | 9 P CPT @ </v>
      </c>
      <c r="AY84" s="4" t="str">
        <f ca="1">IFERROR(__xludf.DUMMYFUNCTION("""COMPUTED_VALUE"""),"| 5 L PHP-CGM % | 6 L NS % | 7 P Python % | 9 P PRO % ")</f>
        <v xml:space="preserve">| 5 L PHP-CGM % | 6 L NS % | 7 P Python % | 9 P PRO % </v>
      </c>
      <c r="AZ84" s="4" t="str">
        <f ca="1">IFERROR(__xludf.DUMMYFUNCTION("""COMPUTED_VALUE"""),"| 5 L PHP-CGM % | 6 L NS % | 7 L JAVA @ | 8 L CPT @ | 9 P JAVA % ")</f>
        <v xml:space="preserve">| 5 L PHP-CGM % | 6 L NS % | 7 L JAVA @ | 8 L CPT @ | 9 P JAVA % </v>
      </c>
      <c r="BA84" s="4" t="str">
        <f ca="1">IFERROR(__xludf.DUMMYFUNCTION("""COMPUTED_VALUE"""),"| 5 P NS @ | 7 L PHP-CGM @ | 8 L JAVA @ ")</f>
        <v xml:space="preserve">| 5 P NS @ | 7 L PHP-CGM @ | 8 L JAVA @ </v>
      </c>
      <c r="BB84" s="4" t="str">
        <f ca="1">IFERROR(__xludf.DUMMYFUNCTION("""COMPUTED_VALUE"""),"| 5 P JAVA % | 7 L CPT @ | 8 L NS @ | 9 P CPT @ ")</f>
        <v xml:space="preserve">| 5 P JAVA % | 7 L CPT @ | 8 L NS @ | 9 P CPT @ </v>
      </c>
      <c r="BC84" s="4" t="str">
        <f ca="1">IFERROR(__xludf.DUMMYFUNCTION("""COMPUTED_VALUE"""),"| 5 L PHP-CGM @ | 6 L NS @ | 7 P Python @ | 9 P PRO % ")</f>
        <v xml:space="preserve">| 5 L PHP-CGM @ | 6 L NS @ | 7 P Python @ | 9 P PRO % </v>
      </c>
      <c r="BD84" s="4" t="str">
        <f ca="1">IFERROR(__xludf.DUMMYFUNCTION("""COMPUTED_VALUE"""),"| 5 L JAVA % | 6 L CPT % | 7 P PHP-CGM % | 9 L INE % ")</f>
        <v xml:space="preserve">| 5 L JAVA % | 6 L CPT % | 7 P PHP-CGM % | 9 L INE % </v>
      </c>
      <c r="BE84" s="4" t="str">
        <f ca="1">IFERROR(__xludf.DUMMYFUNCTION("""COMPUTED_VALUE"""),"| 5 L PHP-CGM % | 6 L NS % | 7 L JAVA @ | 8 L CPT @ | 9 P JAVA % ")</f>
        <v xml:space="preserve">| 5 L PHP-CGM % | 6 L NS % | 7 L JAVA @ | 8 L CPT @ | 9 P JAVA % </v>
      </c>
      <c r="BF84" s="4" t="str">
        <f ca="1">IFERROR(__xludf.DUMMYFUNCTION("""COMPUTED_VALUE"""),"| 5 P NS % | 7 L PHP-CGM % | 9 P Python % | 8 L JAVA % ")</f>
        <v xml:space="preserve">| 5 P NS % | 7 L PHP-CGM % | 9 P Python % | 8 L JAVA % </v>
      </c>
      <c r="BG84" s="4" t="str">
        <f ca="1">IFERROR(__xludf.DUMMYFUNCTION("""COMPUTED_VALUE"""),"| 5 L PHP-CGM @ | 6 L NS @ | 7 P Python % | 9 P PRO @ ")</f>
        <v xml:space="preserve">| 5 L PHP-CGM @ | 6 L NS @ | 7 P Python % | 9 P PRO @ </v>
      </c>
      <c r="BH84" s="4" t="str">
        <f ca="1">IFERROR(__xludf.DUMMYFUNCTION("""COMPUTED_VALUE"""),"| 5 L JAVA % | 6 L CPT % | 7 P PHP-CGM % | 9 L INE % ")</f>
        <v xml:space="preserve">| 5 L JAVA % | 6 L CPT % | 7 P PHP-CGM % | 9 L INE % </v>
      </c>
      <c r="BI84" s="4" t="str">
        <f ca="1">IFERROR(__xludf.DUMMYFUNCTION("""COMPUTED_VALUE"""),"| 5 L PHP-CGM % | 6 L NS % | 7 L JAVA @ | 8 L CPT @ | 9 P JAVA @ ")</f>
        <v xml:space="preserve">| 5 L PHP-CGM % | 6 L NS % | 7 L JAVA @ | 8 L CPT @ | 9 P JAVA @ </v>
      </c>
      <c r="BJ84" s="4" t="str">
        <f ca="1">IFERROR(__xludf.DUMMYFUNCTION("""COMPUTED_VALUE"""),"| 5 P NS @ | 7 L JAVA @ | 7 L PHP-CGM @ ")</f>
        <v xml:space="preserve">| 5 P NS @ | 7 L JAVA @ | 7 L PHP-CGM @ </v>
      </c>
      <c r="BK84" s="4" t="str">
        <f ca="1">IFERROR(__xludf.DUMMYFUNCTION("""COMPUTED_VALUE"""),"| 5 P JAVA % | 7 L CPT % | 9 P CPT @ | 8 L NS @ ")</f>
        <v xml:space="preserve">| 5 P JAVA % | 7 L CPT % | 9 P CPT @ | 8 L NS @ </v>
      </c>
      <c r="BL84" s="4" t="str">
        <f ca="1">IFERROR(__xludf.DUMMYFUNCTION("""COMPUTED_VALUE"""),"| 5 L PHP-CGM @ | 6 L NS @ | 7 P Python @ ")</f>
        <v xml:space="preserve">| 5 L PHP-CGM @ | 6 L NS @ | 7 P Python @ </v>
      </c>
      <c r="BM84" s="4" t="str">
        <f ca="1">IFERROR(__xludf.DUMMYFUNCTION("""COMPUTED_VALUE"""),"| 5 L JAVA @ | 6 L CPT @ | 7 P PHP-CGM % | 9 L INE @ ")</f>
        <v xml:space="preserve">| 5 L JAVA @ | 6 L CPT @ | 7 P PHP-CGM % | 9 L INE @ </v>
      </c>
      <c r="BN84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84" s="4" t="str">
        <f ca="1">IFERROR(__xludf.DUMMYFUNCTION("""COMPUTED_VALUE"""),"| 5 P NS @ | 7 L PHP-CGM % ")</f>
        <v xml:space="preserve">| 5 P NS @ | 7 L PHP-CGM % </v>
      </c>
      <c r="BP84" s="4" t="str">
        <f ca="1">IFERROR(__xludf.DUMMYFUNCTION("""COMPUTED_VALUE"""),"| 5 P JAVA @ | 7 L CPT @ | 8 L NS % | 9 P CPT @ ")</f>
        <v xml:space="preserve">| 5 P JAVA @ | 7 L CPT @ | 8 L NS % | 9 P CPT @ </v>
      </c>
      <c r="BQ84" s="4" t="str">
        <f ca="1">IFERROR(__xludf.DUMMYFUNCTION("""COMPUTED_VALUE"""),"| 5 L JAVA @ | 6 L CPT @ ")</f>
        <v xml:space="preserve">| 5 L JAVA @ | 6 L CPT @ </v>
      </c>
      <c r="BR84" s="4" t="str">
        <f ca="1">IFERROR(__xludf.DUMMYFUNCTION("""COMPUTED_VALUE"""),"| 7 L JAVA @ ")</f>
        <v xml:space="preserve">| 7 L JAVA @ </v>
      </c>
      <c r="BS84" s="4"/>
      <c r="BT84" s="4" t="str">
        <f ca="1">IFERROR(__xludf.DUMMYFUNCTION("""COMPUTED_VALUE"""),"| 7 L CPT @ | 9 P CPT @ ")</f>
        <v xml:space="preserve">| 7 L CPT @ | 9 P CPT @ </v>
      </c>
      <c r="BU84" s="4"/>
      <c r="BV84" s="4" t="str">
        <f ca="1">IFERROR(__xludf.DUMMYFUNCTION("""COMPUTED_VALUE"""),"| 5 P JAVA @ | 7 L CPT @ | 8 L NS @ ")</f>
        <v xml:space="preserve">| 5 P JAVA @ | 7 L CPT @ | 8 L NS @ </v>
      </c>
      <c r="BW84" s="4"/>
      <c r="BX84" s="4" t="str">
        <f ca="1">IFERROR(__xludf.DUMMYFUNCTION("""COMPUTED_VALUE"""),"| 5 L JAVA % | 6 L CPT % | 7 P PHP-CGM @ ")</f>
        <v xml:space="preserve">| 5 L JAVA % | 6 L CPT % | 7 P PHP-CGM @ </v>
      </c>
      <c r="BY84" s="4" t="str">
        <f ca="1">IFERROR(__xludf.DUMMYFUNCTION("""COMPUTED_VALUE"""),"| 5 L PHP-CGM % | 6 L NS % | 7 L JAVA @ | 8 L CPT @ | 9 P JAVA % ")</f>
        <v xml:space="preserve">| 5 L PHP-CGM % | 6 L NS % | 7 L JAVA @ | 8 L CPT @ | 9 P JAVA % </v>
      </c>
      <c r="BZ84" s="4" t="str">
        <f ca="1">IFERROR(__xludf.DUMMYFUNCTION("""COMPUTED_VALUE"""),"| 5 P NS @ | 8 L JAVA @ | 7 L PHP-CGM % | 9 P Python @ ")</f>
        <v xml:space="preserve">| 5 P NS @ | 8 L JAVA @ | 7 L PHP-CGM % | 9 P Python @ </v>
      </c>
      <c r="CA84" s="4" t="str">
        <f ca="1">IFERROR(__xludf.DUMMYFUNCTION("""COMPUTED_VALUE"""),"| 5 P JAVA @ | 7 L CPT @ | 8 L NS @ | 9 P CPT @ ")</f>
        <v xml:space="preserve">| 5 P JAVA @ | 7 L CPT @ | 8 L NS @ | 9 P CPT @ </v>
      </c>
      <c r="CB84" s="4" t="str">
        <f ca="1">IFERROR(__xludf.DUMMYFUNCTION("""COMPUTED_VALUE"""),"| 5 L PHP-CGM @ | 6 L NS @ | 7 P Python @ ")</f>
        <v xml:space="preserve">| 5 L PHP-CGM @ | 6 L NS @ | 7 P Python @ </v>
      </c>
      <c r="CC84" s="4" t="str">
        <f ca="1">IFERROR(__xludf.DUMMYFUNCTION("""COMPUTED_VALUE"""),"| 5 L JAVA @ | 7 P PHP-CGM @ | 9 L INE % ")</f>
        <v xml:space="preserve">| 5 L JAVA @ | 7 P PHP-CGM @ | 9 L INE % </v>
      </c>
      <c r="CD84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CE84" s="4" t="str">
        <f ca="1">IFERROR(__xludf.DUMMYFUNCTION("""COMPUTED_VALUE"""),"| 5 P NS @ | 8 L JAVA @ | 7 L PHP-CGM @ ")</f>
        <v xml:space="preserve">| 5 P NS @ | 8 L JAVA @ | 7 L PHP-CGM @ </v>
      </c>
      <c r="CF84" s="4" t="str">
        <f ca="1">IFERROR(__xludf.DUMMYFUNCTION("""COMPUTED_VALUE"""),"| 7 L CPT @ | 8 L NS @ | 5 P JAVA @ | 9 P CPT @ ")</f>
        <v xml:space="preserve">| 7 L CPT @ | 8 L NS @ | 5 P JAVA @ | 9 P CPT @ </v>
      </c>
      <c r="CG84" s="4" t="str">
        <f ca="1">IFERROR(__xludf.DUMMYFUNCTION("""COMPUTED_VALUE"""),"| 5 L PHP-CGM @ | 6 L NS @ | 7 P Python % ")</f>
        <v xml:space="preserve">| 5 L PHP-CGM @ | 6 L NS @ | 7 P Python % </v>
      </c>
      <c r="CH84" s="4" t="str">
        <f ca="1">IFERROR(__xludf.DUMMYFUNCTION("""COMPUTED_VALUE"""),"| 5 L JAVA % | 6 L CPT @ | 7 P PHP-CGM % | 9 L INE @ ")</f>
        <v xml:space="preserve">| 5 L JAVA % | 6 L CPT @ | 7 P PHP-CGM % | 9 L INE @ </v>
      </c>
      <c r="CI84" s="4" t="str">
        <f ca="1">IFERROR(__xludf.DUMMYFUNCTION("""COMPUTED_VALUE"""),"| 5 L PHP-CGM @ | 7 L JAVA @ | 8 L CPT @ ")</f>
        <v xml:space="preserve">| 5 L PHP-CGM @ | 7 L JAVA @ | 8 L CPT @ </v>
      </c>
      <c r="CJ84" s="4" t="str">
        <f ca="1">IFERROR(__xludf.DUMMYFUNCTION("""COMPUTED_VALUE"""),"| 5 P NS @ ")</f>
        <v xml:space="preserve">| 5 P NS @ </v>
      </c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</row>
    <row r="85" spans="1:102" ht="12.5" x14ac:dyDescent="0.25">
      <c r="A85" s="3">
        <f ca="1">IFERROR(__xludf.DUMMYFUNCTION("""COMPUTED_VALUE"""),1)</f>
        <v>1</v>
      </c>
      <c r="B85" s="3" t="str">
        <f ca="1">IFERROR(__xludf.DUMMYFUNCTION("""COMPUTED_VALUE"""),"B")</f>
        <v>B</v>
      </c>
      <c r="C85" s="32" t="str">
        <f ca="1">IFERROR(__xludf.DUMMYFUNCTION("""COMPUTED_VALUE"""),"23291341015")</f>
        <v>23291341015</v>
      </c>
      <c r="D85" s="4" t="str">
        <f ca="1">IFERROR(__xludf.DUMMYFUNCTION("""COMPUTED_VALUE"""),"CHAUAHDARY IRVIN PRAVINBHAI")</f>
        <v>CHAUAHDARY IRVIN PRAVINBHAI</v>
      </c>
      <c r="E85" s="3" t="str">
        <f ca="1">IFERROR(__xludf.DUMMYFUNCTION("""COMPUTED_VALUE"""),"HAM/HDP-EVE")</f>
        <v>HAM/HDP-EVE</v>
      </c>
      <c r="F85" s="3">
        <f ca="1">IFERROR(__xludf.DUMMYFUNCTION("""COMPUTED_VALUE"""),9327116988)</f>
        <v>9327116988</v>
      </c>
      <c r="G85" s="3">
        <f ca="1">IFERROR(__xludf.DUMMYFUNCTION("""COMPUTED_VALUE"""),9825508223)</f>
        <v>9825508223</v>
      </c>
      <c r="H85" s="33">
        <f ca="1">IFERROR(__xludf.DUMMYFUNCTION("""COMPUTED_VALUE"""),0.775862068965517)</f>
        <v>0.77586206896551702</v>
      </c>
      <c r="I85" s="25">
        <f ca="1">IFERROR(__xludf.DUMMYFUNCTION("""COMPUTED_VALUE"""),0.783783783783783)</f>
        <v>0.78378378378378299</v>
      </c>
      <c r="J85" s="25">
        <f ca="1">IFERROR(__xludf.DUMMYFUNCTION("""COMPUTED_VALUE"""),0.416666666666666)</f>
        <v>0.41666666666666602</v>
      </c>
      <c r="K85" s="25">
        <f ca="1">IFERROR(__xludf.DUMMYFUNCTION("""COMPUTED_VALUE"""),0.852941176470588)</f>
        <v>0.85294117647058798</v>
      </c>
      <c r="L85" s="25">
        <f ca="1">IFERROR(__xludf.DUMMYFUNCTION("""COMPUTED_VALUE"""),0.818181818181818)</f>
        <v>0.81818181818181801</v>
      </c>
      <c r="M85" s="25">
        <f ca="1">IFERROR(__xludf.DUMMYFUNCTION("""COMPUTED_VALUE"""),0.857142857142857)</f>
        <v>0.85714285714285698</v>
      </c>
      <c r="N85" s="25">
        <f ca="1">IFERROR(__xludf.DUMMYFUNCTION("""COMPUTED_VALUE"""),0.909090909090909)</f>
        <v>0.90909090909090895</v>
      </c>
      <c r="O85" s="25">
        <f ca="1">IFERROR(__xludf.DUMMYFUNCTION("""COMPUTED_VALUE"""),0.8)</f>
        <v>0.8</v>
      </c>
      <c r="P85" s="25">
        <f ca="1">IFERROR(__xludf.DUMMYFUNCTION("""COMPUTED_VALUE"""),0.826086956521739)</f>
        <v>0.82608695652173902</v>
      </c>
      <c r="Q85" s="25">
        <f ca="1">IFERROR(__xludf.DUMMYFUNCTION("""COMPUTED_VALUE"""),0)</f>
        <v>0</v>
      </c>
      <c r="R85" s="25">
        <f ca="1">IFERROR(__xludf.DUMMYFUNCTION("""COMPUTED_VALUE"""),0.631578947368421)</f>
        <v>0.63157894736842102</v>
      </c>
      <c r="S85" s="25">
        <f ca="1">IFERROR(__xludf.DUMMYFUNCTION("""COMPUTED_VALUE"""),0)</f>
        <v>0</v>
      </c>
      <c r="T85" s="25">
        <f ca="1">IFERROR(__xludf.DUMMYFUNCTION("""COMPUTED_VALUE"""),0.714285714285714)</f>
        <v>0.71428571428571397</v>
      </c>
      <c r="U85" s="25">
        <f ca="1">IFERROR(__xludf.DUMMYFUNCTION("""COMPUTED_VALUE"""),0.5)</f>
        <v>0.5</v>
      </c>
      <c r="V85" s="25">
        <f ca="1">IFERROR(__xludf.DUMMYFUNCTION("""COMPUTED_VALUE"""),0)</f>
        <v>0</v>
      </c>
      <c r="W85" s="4"/>
      <c r="X85" s="4" t="str">
        <f ca="1">IFERROR(__xludf.DUMMYFUNCTION("""COMPUTED_VALUE"""),"| 5 P JAVA % | 7 L CPT % | 8 L NS % | 9 P CPT @ ")</f>
        <v xml:space="preserve">| 5 P JAVA % | 7 L CPT % | 8 L NS % | 9 P CPT @ </v>
      </c>
      <c r="Y85" s="4" t="str">
        <f ca="1">IFERROR(__xludf.DUMMYFUNCTION("""COMPUTED_VALUE"""),"| 5 L PHP-CGM % | 6 L NS % | 7 P Python % | 9 P PRO % ")</f>
        <v xml:space="preserve">| 5 L PHP-CGM % | 6 L NS % | 7 P Python % | 9 P PRO % </v>
      </c>
      <c r="Z85" s="4" t="str">
        <f ca="1">IFERROR(__xludf.DUMMYFUNCTION("""COMPUTED_VALUE"""),"| 5 L JAVA % | 6 L CPT % | 7 P PHP-CGM % ")</f>
        <v xml:space="preserve">| 5 L JAVA % | 6 L CPT % | 7 P PHP-CGM % </v>
      </c>
      <c r="AA85" s="4" t="str">
        <f ca="1">IFERROR(__xludf.DUMMYFUNCTION("""COMPUTED_VALUE"""),"| 5 L PHP-CGM % | 7 L JAVA % | 9 P JAVA % | 8 L CPT % ")</f>
        <v xml:space="preserve">| 5 L PHP-CGM % | 7 L JAVA % | 9 P JAVA % | 8 L CPT % </v>
      </c>
      <c r="AB85" s="4" t="str">
        <f ca="1">IFERROR(__xludf.DUMMYFUNCTION("""COMPUTED_VALUE"""),"| 4 P Python % | 7 L PHP-CGM % | 8 L JAVA % | 9 P Python @ ")</f>
        <v xml:space="preserve">| 4 P Python % | 7 L PHP-CGM % | 8 L JAVA % | 9 P Python @ </v>
      </c>
      <c r="AC85" s="4" t="str">
        <f ca="1">IFERROR(__xludf.DUMMYFUNCTION("""COMPUTED_VALUE"""),"| 5 P JAVA % | 7 L CPT % | 8 L NS % | 9 P CPT % ")</f>
        <v xml:space="preserve">| 5 P JAVA % | 7 L CPT % | 8 L NS % | 9 P CPT % </v>
      </c>
      <c r="AD85" s="4" t="str">
        <f ca="1">IFERROR(__xludf.DUMMYFUNCTION("""COMPUTED_VALUE"""),"| 5 L PHP-CGM % | 6 L NS % | 7 P Python % ")</f>
        <v xml:space="preserve">| 5 L PHP-CGM % | 6 L NS % | 7 P Python % </v>
      </c>
      <c r="AE85" s="4" t="str">
        <f ca="1">IFERROR(__xludf.DUMMYFUNCTION("""COMPUTED_VALUE"""),"| 5 L JAVA % | 6 L CPT % | 7 P PHP-CGM % ")</f>
        <v xml:space="preserve">| 5 L JAVA % | 6 L CPT % | 7 P PHP-CGM % </v>
      </c>
      <c r="AF8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85" s="4" t="str">
        <f ca="1">IFERROR(__xludf.DUMMYFUNCTION("""COMPUTED_VALUE"""),"| 5 P NS % | 8 L JAVA % | 7 L PHP-CGM % | 9 P Python @ ")</f>
        <v xml:space="preserve">| 5 P NS % | 8 L JAVA % | 7 L PHP-CGM % | 9 P Python @ </v>
      </c>
      <c r="AH8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85" s="4" t="str">
        <f ca="1">IFERROR(__xludf.DUMMYFUNCTION("""COMPUTED_VALUE"""),"| 5 P NS % | 8 L JAVA % | 7 L PHP-CGM % | 9 P Python @ ")</f>
        <v xml:space="preserve">| 5 P NS % | 8 L JAVA % | 7 L PHP-CGM % | 9 P Python @ </v>
      </c>
      <c r="AJ85" s="4" t="str">
        <f ca="1">IFERROR(__xludf.DUMMYFUNCTION("""COMPUTED_VALUE"""),"| 5 P JAVA % | 7 L CPT % | 8 L NS % | 9 P CPT % ")</f>
        <v xml:space="preserve">| 5 P JAVA % | 7 L CPT % | 8 L NS % | 9 P CPT % </v>
      </c>
      <c r="AK85" s="4" t="str">
        <f ca="1">IFERROR(__xludf.DUMMYFUNCTION("""COMPUTED_VALUE"""),"| 5 L PHP-CGM % | 6 L NS % | 7 P Python % | 9 P PRO % ")</f>
        <v xml:space="preserve">| 5 L PHP-CGM % | 6 L NS % | 7 P Python % | 9 P PRO % </v>
      </c>
      <c r="AL85" s="4" t="str">
        <f ca="1">IFERROR(__xludf.DUMMYFUNCTION("""COMPUTED_VALUE"""),"| 5 L JAVA % | 6 L CPT % | 7 P PHP-CGM % | 9 L INE @ ")</f>
        <v xml:space="preserve">| 5 L JAVA % | 6 L CPT % | 7 P PHP-CGM % | 9 L INE @ </v>
      </c>
      <c r="AM8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N85" s="4" t="str">
        <f ca="1">IFERROR(__xludf.DUMMYFUNCTION("""COMPUTED_VALUE"""),"| 5 P NS % | 8 L JAVA % | 7 L PHP-CGM % | 9 P Python @ ")</f>
        <v xml:space="preserve">| 5 P NS % | 8 L JAVA % | 7 L PHP-CGM % | 9 P Python @ </v>
      </c>
      <c r="AO85" s="4" t="str">
        <f ca="1">IFERROR(__xludf.DUMMYFUNCTION("""COMPUTED_VALUE"""),"| 5 P JAVA % | 7 L CPT % | 8 L NS % | 9 P CPT @ ")</f>
        <v xml:space="preserve">| 5 P JAVA % | 7 L CPT % | 8 L NS % | 9 P CPT @ </v>
      </c>
      <c r="AP85" s="4" t="str">
        <f ca="1">IFERROR(__xludf.DUMMYFUNCTION("""COMPUTED_VALUE"""),"| 5 L PHP-CGM % | 6 L NS % | 7 P Python % | 9 P PRO % ")</f>
        <v xml:space="preserve">| 5 L PHP-CGM % | 6 L NS % | 7 P Python % | 9 P PRO % </v>
      </c>
      <c r="AQ85" s="4" t="str">
        <f ca="1">IFERROR(__xludf.DUMMYFUNCTION("""COMPUTED_VALUE"""),"| 5 L CPT % | 7 L JAVA % | 7 P PHP-CGM % | 9 L INE % ")</f>
        <v xml:space="preserve">| 5 L CPT % | 7 L JAVA % | 7 P PHP-CGM % | 9 L INE % </v>
      </c>
      <c r="AR85" s="4" t="str">
        <f ca="1">IFERROR(__xludf.DUMMYFUNCTION("""COMPUTED_VALUE"""),"| 5 L PHP-CGM % | 6 L NS % | 8 L CPT @ ")</f>
        <v xml:space="preserve">| 5 L PHP-CGM % | 6 L NS % | 8 L CPT @ </v>
      </c>
      <c r="AS85" s="4" t="str">
        <f ca="1">IFERROR(__xludf.DUMMYFUNCTION("""COMPUTED_VALUE"""),"| 5 P JAVA % | 7 L CPT % | 8 L NS % | 9 P CPT @ ")</f>
        <v xml:space="preserve">| 5 P JAVA % | 7 L CPT % | 8 L NS % | 9 P CPT @ </v>
      </c>
      <c r="AT85" s="4" t="str">
        <f ca="1">IFERROR(__xludf.DUMMYFUNCTION("""COMPUTED_VALUE"""),"| 5 L PHP-CGM % | 6 L NS % | 7 P Python % | 9 P PRO % ")</f>
        <v xml:space="preserve">| 5 L PHP-CGM % | 6 L NS % | 7 P Python % | 9 P PRO % </v>
      </c>
      <c r="AU85" s="4" t="str">
        <f ca="1">IFERROR(__xludf.DUMMYFUNCTION("""COMPUTED_VALUE"""),"| 5 L JAVA % | 6 L CPT % | 7 P PHP-CGM % | 9 L INE % ")</f>
        <v xml:space="preserve">| 5 L JAVA % | 6 L CPT % | 7 P PHP-CGM % | 9 L INE % </v>
      </c>
      <c r="AV8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85" s="4" t="str">
        <f ca="1">IFERROR(__xludf.DUMMYFUNCTION("""COMPUTED_VALUE"""),"| 5 P NS % | 7 L PHP-CGM % | 8 L JAVA % | 9 P Python % ")</f>
        <v xml:space="preserve">| 5 P NS % | 7 L PHP-CGM % | 8 L JAVA % | 9 P Python % </v>
      </c>
      <c r="AX85" s="4" t="str">
        <f ca="1">IFERROR(__xludf.DUMMYFUNCTION("""COMPUTED_VALUE"""),"| 5 P JAVA % | 7 L CPT % | 8 L NS % | 9 P CPT @ ")</f>
        <v xml:space="preserve">| 5 P JAVA % | 7 L CPT % | 8 L NS % | 9 P CPT @ </v>
      </c>
      <c r="AY85" s="4" t="str">
        <f ca="1">IFERROR(__xludf.DUMMYFUNCTION("""COMPUTED_VALUE"""),"| 5 L PHP-CGM % | 6 L NS % | 7 P Python % | 9 P PRO @ ")</f>
        <v xml:space="preserve">| 5 L PHP-CGM % | 6 L NS % | 7 P Python % | 9 P PRO @ </v>
      </c>
      <c r="AZ8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5" s="4" t="str">
        <f ca="1">IFERROR(__xludf.DUMMYFUNCTION("""COMPUTED_VALUE"""),"| 5 P NS @ | 7 L PHP-CGM @ | 8 L JAVA @ ")</f>
        <v xml:space="preserve">| 5 P NS @ | 7 L PHP-CGM @ | 8 L JAVA @ </v>
      </c>
      <c r="BB85" s="4" t="str">
        <f ca="1">IFERROR(__xludf.DUMMYFUNCTION("""COMPUTED_VALUE"""),"| 5 P JAVA @ | 7 L CPT @ | 8 L NS @ | 9 P CPT @ ")</f>
        <v xml:space="preserve">| 5 P JAVA @ | 7 L CPT @ | 8 L NS @ | 9 P CPT @ </v>
      </c>
      <c r="BC85" s="4" t="str">
        <f ca="1">IFERROR(__xludf.DUMMYFUNCTION("""COMPUTED_VALUE"""),"| 5 L PHP-CGM % | 6 L NS % | 7 P Python @ | 9 P PRO @ ")</f>
        <v xml:space="preserve">| 5 L PHP-CGM % | 6 L NS % | 7 P Python @ | 9 P PRO @ </v>
      </c>
      <c r="BD85" s="4" t="str">
        <f ca="1">IFERROR(__xludf.DUMMYFUNCTION("""COMPUTED_VALUE"""),"| 5 L JAVA % | 6 L CPT % | 7 P PHP-CGM % | 9 L INE @ ")</f>
        <v xml:space="preserve">| 5 L JAVA % | 6 L CPT % | 7 P PHP-CGM % | 9 L INE @ </v>
      </c>
      <c r="BE8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85" s="4" t="str">
        <f ca="1">IFERROR(__xludf.DUMMYFUNCTION("""COMPUTED_VALUE"""),"| 5 P NS % | 7 L PHP-CGM % | 9 P Python % | 8 L JAVA % ")</f>
        <v xml:space="preserve">| 5 P NS % | 7 L PHP-CGM % | 9 P Python % | 8 L JAVA % </v>
      </c>
      <c r="BG85" s="4" t="str">
        <f ca="1">IFERROR(__xludf.DUMMYFUNCTION("""COMPUTED_VALUE"""),"| 5 L PHP-CGM % | 6 L NS % | 7 P Python % | 9 P PRO % ")</f>
        <v xml:space="preserve">| 5 L PHP-CGM % | 6 L NS % | 7 P Python % | 9 P PRO % </v>
      </c>
      <c r="BH85" s="4" t="str">
        <f ca="1">IFERROR(__xludf.DUMMYFUNCTION("""COMPUTED_VALUE"""),"| 5 L JAVA % | 6 L CPT % | 7 P PHP-CGM @ | 9 L INE % ")</f>
        <v xml:space="preserve">| 5 L JAVA % | 6 L CPT % | 7 P PHP-CGM @ | 9 L INE % </v>
      </c>
      <c r="BI8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85" s="4" t="str">
        <f ca="1">IFERROR(__xludf.DUMMYFUNCTION("""COMPUTED_VALUE"""),"| 5 P NS % | 7 L JAVA % | 7 L PHP-CGM % ")</f>
        <v xml:space="preserve">| 5 P NS % | 7 L JAVA % | 7 L PHP-CGM % </v>
      </c>
      <c r="BK85" s="4" t="str">
        <f ca="1">IFERROR(__xludf.DUMMYFUNCTION("""COMPUTED_VALUE"""),"| 5 P JAVA % | 7 L CPT % | 9 P CPT @ | 8 L NS @ ")</f>
        <v xml:space="preserve">| 5 P JAVA % | 7 L CPT % | 9 P CPT @ | 8 L NS @ </v>
      </c>
      <c r="BL85" s="4" t="str">
        <f ca="1">IFERROR(__xludf.DUMMYFUNCTION("""COMPUTED_VALUE"""),"| 5 L PHP-CGM % | 6 L NS % | 7 P Python @ ")</f>
        <v xml:space="preserve">| 5 L PHP-CGM % | 6 L NS % | 7 P Python @ </v>
      </c>
      <c r="BM85" s="4" t="str">
        <f ca="1">IFERROR(__xludf.DUMMYFUNCTION("""COMPUTED_VALUE"""),"| 5 L JAVA % | 6 L CPT % | 7 P PHP-CGM % | 9 L INE @ ")</f>
        <v xml:space="preserve">| 5 L JAVA % | 6 L CPT % | 7 P PHP-CGM % | 9 L INE @ </v>
      </c>
      <c r="BN85" s="4" t="str">
        <f ca="1">IFERROR(__xludf.DUMMYFUNCTION("""COMPUTED_VALUE"""),"| 5 L PHP-CGM % | 6 L NS % | 9 L JAVA @ | 8 L CPT @ | 9 P JAVA @ ")</f>
        <v xml:space="preserve">| 5 L PHP-CGM % | 6 L NS % | 9 L JAVA @ | 8 L CPT @ | 9 P JAVA @ </v>
      </c>
      <c r="BO85" s="4" t="str">
        <f ca="1">IFERROR(__xludf.DUMMYFUNCTION("""COMPUTED_VALUE"""),"| 5 P NS % | 7 L PHP-CGM % ")</f>
        <v xml:space="preserve">| 5 P NS % | 7 L PHP-CGM % </v>
      </c>
      <c r="BP85" s="4" t="str">
        <f ca="1">IFERROR(__xludf.DUMMYFUNCTION("""COMPUTED_VALUE"""),"| 5 P JAVA % | 7 L CPT % | 8 L NS @ | 9 P CPT % ")</f>
        <v xml:space="preserve">| 5 P JAVA % | 7 L CPT % | 8 L NS @ | 9 P CPT % </v>
      </c>
      <c r="BQ85" s="4" t="str">
        <f ca="1">IFERROR(__xludf.DUMMYFUNCTION("""COMPUTED_VALUE"""),"| 5 L JAVA % | 6 L CPT % ")</f>
        <v xml:space="preserve">| 5 L JAVA % | 6 L CPT % </v>
      </c>
      <c r="BR85" s="4" t="str">
        <f ca="1">IFERROR(__xludf.DUMMYFUNCTION("""COMPUTED_VALUE"""),"| 7 L JAVA @ ")</f>
        <v xml:space="preserve">| 7 L JAVA @ </v>
      </c>
      <c r="BS85" s="4"/>
      <c r="BT85" s="4" t="str">
        <f ca="1">IFERROR(__xludf.DUMMYFUNCTION("""COMPUTED_VALUE"""),"| 7 L CPT @ | 9 P CPT @ ")</f>
        <v xml:space="preserve">| 7 L CPT @ | 9 P CPT @ </v>
      </c>
      <c r="BU85" s="4"/>
      <c r="BV85" s="4" t="str">
        <f ca="1">IFERROR(__xludf.DUMMYFUNCTION("""COMPUTED_VALUE"""),"| 5 P JAVA % | 7 L CPT % | 8 L NS % ")</f>
        <v xml:space="preserve">| 5 P JAVA % | 7 L CPT % | 8 L NS % </v>
      </c>
      <c r="BW85" s="4"/>
      <c r="BX85" s="4" t="str">
        <f ca="1">IFERROR(__xludf.DUMMYFUNCTION("""COMPUTED_VALUE"""),"| 5 L JAVA % | 6 L CPT % | 7 P PHP-CGM % ")</f>
        <v xml:space="preserve">| 5 L JAVA % | 6 L CPT % | 7 P PHP-CGM % </v>
      </c>
      <c r="BY85" s="4" t="str">
        <f ca="1">IFERROR(__xludf.DUMMYFUNCTION("""COMPUTED_VALUE"""),"| 5 L PHP-CGM % | 6 L NS % | 7 L JAVA @ | 8 L CPT @ | 9 P JAVA @ ")</f>
        <v xml:space="preserve">| 5 L PHP-CGM % | 6 L NS % | 7 L JAVA @ | 8 L CPT @ | 9 P JAVA @ </v>
      </c>
      <c r="BZ85" s="4" t="str">
        <f ca="1">IFERROR(__xludf.DUMMYFUNCTION("""COMPUTED_VALUE"""),"| 5 P NS @ | 8 L JAVA @ | 7 L PHP-CGM @ | 9 P Python @ ")</f>
        <v xml:space="preserve">| 5 P NS @ | 8 L JAVA @ | 7 L PHP-CGM @ | 9 P Python @ </v>
      </c>
      <c r="CA85" s="4" t="str">
        <f ca="1">IFERROR(__xludf.DUMMYFUNCTION("""COMPUTED_VALUE"""),"| 5 P JAVA % | 7 L CPT % | 8 L NS % | 9 P CPT % ")</f>
        <v xml:space="preserve">| 5 P JAVA % | 7 L CPT % | 8 L NS % | 9 P CPT % </v>
      </c>
      <c r="CB85" s="4" t="str">
        <f ca="1">IFERROR(__xludf.DUMMYFUNCTION("""COMPUTED_VALUE"""),"| 5 L PHP-CGM % | 6 L NS % | 7 P Python % ")</f>
        <v xml:space="preserve">| 5 L PHP-CGM % | 6 L NS % | 7 P Python % </v>
      </c>
      <c r="CC85" s="4" t="str">
        <f ca="1">IFERROR(__xludf.DUMMYFUNCTION("""COMPUTED_VALUE"""),"| 5 L JAVA % | 7 P PHP-CGM % | 9 L INE % ")</f>
        <v xml:space="preserve">| 5 L JAVA % | 7 P PHP-CGM % | 9 L INE % </v>
      </c>
      <c r="CD8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85" s="4" t="str">
        <f ca="1">IFERROR(__xludf.DUMMYFUNCTION("""COMPUTED_VALUE"""),"| 5 P NS % | 8 L JAVA % | 7 L PHP-CGM % ")</f>
        <v xml:space="preserve">| 5 P NS % | 8 L JAVA % | 7 L PHP-CGM % </v>
      </c>
      <c r="CF85" s="4" t="str">
        <f ca="1">IFERROR(__xludf.DUMMYFUNCTION("""COMPUTED_VALUE"""),"| 7 L CPT % | 8 L NS % | 5 P JAVA % | 9 P CPT % ")</f>
        <v xml:space="preserve">| 7 L CPT % | 8 L NS % | 5 P JAVA % | 9 P CPT % </v>
      </c>
      <c r="CG85" s="4" t="str">
        <f ca="1">IFERROR(__xludf.DUMMYFUNCTION("""COMPUTED_VALUE"""),"| 5 L PHP-CGM @ | 6 L NS @ | 7 P Python % ")</f>
        <v xml:space="preserve">| 5 L PHP-CGM @ | 6 L NS @ | 7 P Python % </v>
      </c>
      <c r="CH85" s="4" t="str">
        <f ca="1">IFERROR(__xludf.DUMMYFUNCTION("""COMPUTED_VALUE"""),"| 5 L JAVA % | 6 L CPT @ | 7 P PHP-CGM % | 9 L INE @ ")</f>
        <v xml:space="preserve">| 5 L JAVA % | 6 L CPT @ | 7 P PHP-CGM % | 9 L INE @ </v>
      </c>
      <c r="CI85" s="4" t="str">
        <f ca="1">IFERROR(__xludf.DUMMYFUNCTION("""COMPUTED_VALUE"""),"| 5 L PHP-CGM @ | 7 L JAVA @ | 8 L CPT @ ")</f>
        <v xml:space="preserve">| 5 L PHP-CGM @ | 7 L JAVA @ | 8 L CPT @ </v>
      </c>
      <c r="CJ85" s="4" t="str">
        <f ca="1">IFERROR(__xludf.DUMMYFUNCTION("""COMPUTED_VALUE"""),"| 5 P NS % ")</f>
        <v xml:space="preserve">| 5 P NS % </v>
      </c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</row>
    <row r="86" spans="1:102" ht="12.5" x14ac:dyDescent="0.25">
      <c r="A86" s="3">
        <f ca="1">IFERROR(__xludf.DUMMYFUNCTION("""COMPUTED_VALUE"""),1)</f>
        <v>1</v>
      </c>
      <c r="B86" s="3" t="str">
        <f ca="1">IFERROR(__xludf.DUMMYFUNCTION("""COMPUTED_VALUE"""),"B")</f>
        <v>B</v>
      </c>
      <c r="C86" s="32" t="str">
        <f ca="1">IFERROR(__xludf.DUMMYFUNCTION("""COMPUTED_VALUE"""),"23291341016")</f>
        <v>23291341016</v>
      </c>
      <c r="D86" s="4" t="str">
        <f ca="1">IFERROR(__xludf.DUMMYFUNCTION("""COMPUTED_VALUE"""),"CHAUDHARI AYUSH JASHVANTBHAI")</f>
        <v>CHAUDHARI AYUSH JASHVANTBHAI</v>
      </c>
      <c r="E86" s="3" t="str">
        <f ca="1">IFERROR(__xludf.DUMMYFUNCTION("""COMPUTED_VALUE"""),"HAM/HDP-EVE")</f>
        <v>HAM/HDP-EVE</v>
      </c>
      <c r="F86" s="3">
        <f ca="1">IFERROR(__xludf.DUMMYFUNCTION("""COMPUTED_VALUE"""),9924689916)</f>
        <v>9924689916</v>
      </c>
      <c r="G86" s="3">
        <f ca="1">IFERROR(__xludf.DUMMYFUNCTION("""COMPUTED_VALUE"""),9924689916)</f>
        <v>9924689916</v>
      </c>
      <c r="H86" s="33">
        <f ca="1">IFERROR(__xludf.DUMMYFUNCTION("""COMPUTED_VALUE"""),0.771551724137931)</f>
        <v>0.77155172413793105</v>
      </c>
      <c r="I86" s="25">
        <f ca="1">IFERROR(__xludf.DUMMYFUNCTION("""COMPUTED_VALUE"""),0.783783783783783)</f>
        <v>0.78378378378378299</v>
      </c>
      <c r="J86" s="25">
        <f ca="1">IFERROR(__xludf.DUMMYFUNCTION("""COMPUTED_VALUE"""),0.25)</f>
        <v>0.25</v>
      </c>
      <c r="K86" s="25">
        <f ca="1">IFERROR(__xludf.DUMMYFUNCTION("""COMPUTED_VALUE"""),0.852941176470588)</f>
        <v>0.85294117647058798</v>
      </c>
      <c r="L86" s="25">
        <f ca="1">IFERROR(__xludf.DUMMYFUNCTION("""COMPUTED_VALUE"""),0.818181818181818)</f>
        <v>0.81818181818181801</v>
      </c>
      <c r="M86" s="25">
        <f ca="1">IFERROR(__xludf.DUMMYFUNCTION("""COMPUTED_VALUE"""),0.885714285714285)</f>
        <v>0.88571428571428501</v>
      </c>
      <c r="N86" s="25">
        <f ca="1">IFERROR(__xludf.DUMMYFUNCTION("""COMPUTED_VALUE"""),0.727272727272727)</f>
        <v>0.72727272727272696</v>
      </c>
      <c r="O86" s="25">
        <f ca="1">IFERROR(__xludf.DUMMYFUNCTION("""COMPUTED_VALUE"""),0.914285714285714)</f>
        <v>0.91428571428571404</v>
      </c>
      <c r="P86" s="25">
        <f ca="1">IFERROR(__xludf.DUMMYFUNCTION("""COMPUTED_VALUE"""),0.913043478260869)</f>
        <v>0.91304347826086896</v>
      </c>
      <c r="Q86" s="25">
        <f ca="1">IFERROR(__xludf.DUMMYFUNCTION("""COMPUTED_VALUE"""),0)</f>
        <v>0</v>
      </c>
      <c r="R86" s="25">
        <f ca="1">IFERROR(__xludf.DUMMYFUNCTION("""COMPUTED_VALUE"""),0.578947368421052)</f>
        <v>0.57894736842105199</v>
      </c>
      <c r="S86" s="25">
        <f ca="1">IFERROR(__xludf.DUMMYFUNCTION("""COMPUTED_VALUE"""),0)</f>
        <v>0</v>
      </c>
      <c r="T86" s="25">
        <f ca="1">IFERROR(__xludf.DUMMYFUNCTION("""COMPUTED_VALUE"""),0.571428571428571)</f>
        <v>0.57142857142857095</v>
      </c>
      <c r="U86" s="25">
        <f ca="1">IFERROR(__xludf.DUMMYFUNCTION("""COMPUTED_VALUE"""),0.25)</f>
        <v>0.25</v>
      </c>
      <c r="V86" s="25">
        <f ca="1">IFERROR(__xludf.DUMMYFUNCTION("""COMPUTED_VALUE"""),0)</f>
        <v>0</v>
      </c>
      <c r="W86" s="4"/>
      <c r="X86" s="4" t="str">
        <f ca="1">IFERROR(__xludf.DUMMYFUNCTION("""COMPUTED_VALUE"""),"| 5 P JAVA % | 7 L CPT @ | 8 L NS % | 9 P CPT @ ")</f>
        <v xml:space="preserve">| 5 P JAVA % | 7 L CPT @ | 8 L NS % | 9 P CPT @ </v>
      </c>
      <c r="Y86" s="4" t="str">
        <f ca="1">IFERROR(__xludf.DUMMYFUNCTION("""COMPUTED_VALUE"""),"| 5 L PHP-CGM % | 6 L NS % | 7 P Python @ | 9 P PRO % ")</f>
        <v xml:space="preserve">| 5 L PHP-CGM % | 6 L NS % | 7 P Python @ | 9 P PRO % </v>
      </c>
      <c r="Z86" s="4" t="str">
        <f ca="1">IFERROR(__xludf.DUMMYFUNCTION("""COMPUTED_VALUE"""),"| 5 L JAVA % | 6 L CPT % | 7 P PHP-CGM @ ")</f>
        <v xml:space="preserve">| 5 L JAVA % | 6 L CPT % | 7 P PHP-CGM @ </v>
      </c>
      <c r="AA86" s="4" t="str">
        <f ca="1">IFERROR(__xludf.DUMMYFUNCTION("""COMPUTED_VALUE"""),"| 5 L PHP-CGM % | 7 L JAVA % | 9 P JAVA % | 8 L CPT % ")</f>
        <v xml:space="preserve">| 5 L PHP-CGM % | 7 L JAVA % | 9 P JAVA % | 8 L CPT % </v>
      </c>
      <c r="AB86" s="4" t="str">
        <f ca="1">IFERROR(__xludf.DUMMYFUNCTION("""COMPUTED_VALUE"""),"| 4 P Python % | 7 L PHP-CGM % | 8 L JAVA % | 9 P Python @ ")</f>
        <v xml:space="preserve">| 4 P Python % | 7 L PHP-CGM % | 8 L JAVA % | 9 P Python @ </v>
      </c>
      <c r="AC86" s="4" t="str">
        <f ca="1">IFERROR(__xludf.DUMMYFUNCTION("""COMPUTED_VALUE"""),"| 5 P JAVA % | 7 L CPT % | 8 L NS % | 9 P CPT @ ")</f>
        <v xml:space="preserve">| 5 P JAVA % | 7 L CPT % | 8 L NS % | 9 P CPT @ </v>
      </c>
      <c r="AD86" s="4" t="str">
        <f ca="1">IFERROR(__xludf.DUMMYFUNCTION("""COMPUTED_VALUE"""),"| 5 L PHP-CGM % | 6 L NS % | 7 P Python % ")</f>
        <v xml:space="preserve">| 5 L PHP-CGM % | 6 L NS % | 7 P Python % </v>
      </c>
      <c r="AE86" s="4" t="str">
        <f ca="1">IFERROR(__xludf.DUMMYFUNCTION("""COMPUTED_VALUE"""),"| 5 L JAVA % | 6 L CPT % | 7 P PHP-CGM % ")</f>
        <v xml:space="preserve">| 5 L JAVA % | 6 L CPT % | 7 P PHP-CGM % </v>
      </c>
      <c r="AF86" s="4" t="str">
        <f ca="1">IFERROR(__xludf.DUMMYFUNCTION("""COMPUTED_VALUE"""),"| 5 L PHP-CGM % | 6 L NS % | 7 L JAVA % | 8 L CPT @ | 9 P JAVA % ")</f>
        <v xml:space="preserve">| 5 L PHP-CGM % | 6 L NS % | 7 L JAVA % | 8 L CPT @ | 9 P JAVA % </v>
      </c>
      <c r="AG86" s="4" t="str">
        <f ca="1">IFERROR(__xludf.DUMMYFUNCTION("""COMPUTED_VALUE"""),"| 5 P NS @ | 8 L JAVA % | 7 L PHP-CGM % | 9 P Python % ")</f>
        <v xml:space="preserve">| 5 P NS @ | 8 L JAVA % | 7 L PHP-CGM % | 9 P Python % </v>
      </c>
      <c r="AH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86" s="4" t="str">
        <f ca="1">IFERROR(__xludf.DUMMYFUNCTION("""COMPUTED_VALUE"""),"| 5 P NS % | 8 L JAVA % | 7 L PHP-CGM % | 9 P Python @ ")</f>
        <v xml:space="preserve">| 5 P NS % | 8 L JAVA % | 7 L PHP-CGM % | 9 P Python @ </v>
      </c>
      <c r="AJ86" s="4" t="str">
        <f ca="1">IFERROR(__xludf.DUMMYFUNCTION("""COMPUTED_VALUE"""),"| 5 P JAVA % | 7 L CPT % | 8 L NS % | 9 P CPT % ")</f>
        <v xml:space="preserve">| 5 P JAVA % | 7 L CPT % | 8 L NS % | 9 P CPT % </v>
      </c>
      <c r="AK86" s="4" t="str">
        <f ca="1">IFERROR(__xludf.DUMMYFUNCTION("""COMPUTED_VALUE"""),"| 5 L PHP-CGM % | 6 L NS % | 7 P Python % | 9 P PRO @ ")</f>
        <v xml:space="preserve">| 5 L PHP-CGM % | 6 L NS % | 7 P Python % | 9 P PRO @ </v>
      </c>
      <c r="AL86" s="4" t="str">
        <f ca="1">IFERROR(__xludf.DUMMYFUNCTION("""COMPUTED_VALUE"""),"| 5 L JAVA % | 6 L CPT % | 7 P PHP-CGM % | 9 L INE @ ")</f>
        <v xml:space="preserve">| 5 L JAVA % | 6 L CPT % | 7 P PHP-CGM % | 9 L INE @ </v>
      </c>
      <c r="AM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86" s="4" t="str">
        <f ca="1">IFERROR(__xludf.DUMMYFUNCTION("""COMPUTED_VALUE"""),"| 5 P NS % | 8 L JAVA % | 7 L PHP-CGM % | 9 P Python @ ")</f>
        <v xml:space="preserve">| 5 P NS % | 8 L JAVA % | 7 L PHP-CGM % | 9 P Python @ </v>
      </c>
      <c r="AO86" s="4" t="str">
        <f ca="1">IFERROR(__xludf.DUMMYFUNCTION("""COMPUTED_VALUE"""),"| 5 P JAVA % | 7 L CPT % | 8 L NS % | 9 P CPT @ ")</f>
        <v xml:space="preserve">| 5 P JAVA % | 7 L CPT % | 8 L NS % | 9 P CPT @ </v>
      </c>
      <c r="AP86" s="4" t="str">
        <f ca="1">IFERROR(__xludf.DUMMYFUNCTION("""COMPUTED_VALUE"""),"| 5 L PHP-CGM % | 6 L NS % | 7 P Python % | 9 P PRO % ")</f>
        <v xml:space="preserve">| 5 L PHP-CGM % | 6 L NS % | 7 P Python % | 9 P PRO % </v>
      </c>
      <c r="AQ86" s="4" t="str">
        <f ca="1">IFERROR(__xludf.DUMMYFUNCTION("""COMPUTED_VALUE"""),"| 5 L CPT % | 7 L JAVA % | 7 P PHP-CGM % | 9 L INE % ")</f>
        <v xml:space="preserve">| 5 L CPT % | 7 L JAVA % | 7 P PHP-CGM % | 9 L INE % </v>
      </c>
      <c r="AR86" s="4" t="str">
        <f ca="1">IFERROR(__xludf.DUMMYFUNCTION("""COMPUTED_VALUE"""),"| 5 L PHP-CGM % | 6 L NS % | 8 L CPT @ ")</f>
        <v xml:space="preserve">| 5 L PHP-CGM % | 6 L NS % | 8 L CPT @ </v>
      </c>
      <c r="AS86" s="4" t="str">
        <f ca="1">IFERROR(__xludf.DUMMYFUNCTION("""COMPUTED_VALUE"""),"| 5 P JAVA % | 7 L CPT % | 8 L NS % | 9 P CPT @ ")</f>
        <v xml:space="preserve">| 5 P JAVA % | 7 L CPT % | 8 L NS % | 9 P CPT @ </v>
      </c>
      <c r="AT86" s="4" t="str">
        <f ca="1">IFERROR(__xludf.DUMMYFUNCTION("""COMPUTED_VALUE"""),"| 5 L PHP-CGM % | 6 L NS % | 7 P Python % | 9 P PRO % ")</f>
        <v xml:space="preserve">| 5 L PHP-CGM % | 6 L NS % | 7 P Python % | 9 P PRO % </v>
      </c>
      <c r="AU86" s="4" t="str">
        <f ca="1">IFERROR(__xludf.DUMMYFUNCTION("""COMPUTED_VALUE"""),"| 5 L JAVA % | 6 L CPT % | 7 P PHP-CGM % | 9 L INE @ ")</f>
        <v xml:space="preserve">| 5 L JAVA % | 6 L CPT % | 7 P PHP-CGM % | 9 L INE @ </v>
      </c>
      <c r="AV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86" s="4" t="str">
        <f ca="1">IFERROR(__xludf.DUMMYFUNCTION("""COMPUTED_VALUE"""),"| 5 P NS % | 7 L PHP-CGM % | 8 L JAVA % | 9 P Python @ ")</f>
        <v xml:space="preserve">| 5 P NS % | 7 L PHP-CGM % | 8 L JAVA % | 9 P Python @ </v>
      </c>
      <c r="AX86" s="4" t="str">
        <f ca="1">IFERROR(__xludf.DUMMYFUNCTION("""COMPUTED_VALUE"""),"| 5 P JAVA % | 7 L CPT % | 8 L NS % | 9 P CPT @ ")</f>
        <v xml:space="preserve">| 5 P JAVA % | 7 L CPT % | 8 L NS % | 9 P CPT @ </v>
      </c>
      <c r="AY86" s="4" t="str">
        <f ca="1">IFERROR(__xludf.DUMMYFUNCTION("""COMPUTED_VALUE"""),"| 5 L PHP-CGM % | 6 L NS % | 7 P Python % | 9 P PRO @ ")</f>
        <v xml:space="preserve">| 5 L PHP-CGM % | 6 L NS % | 7 P Python % | 9 P PRO @ </v>
      </c>
      <c r="AZ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6" s="4" t="str">
        <f ca="1">IFERROR(__xludf.DUMMYFUNCTION("""COMPUTED_VALUE"""),"| 5 P NS % | 7 L PHP-CGM % | 8 L JAVA % ")</f>
        <v xml:space="preserve">| 5 P NS % | 7 L PHP-CGM % | 8 L JAVA % </v>
      </c>
      <c r="BB86" s="4" t="str">
        <f ca="1">IFERROR(__xludf.DUMMYFUNCTION("""COMPUTED_VALUE"""),"| 5 P JAVA % | 7 L CPT % | 8 L NS % | 9 P CPT @ ")</f>
        <v xml:space="preserve">| 5 P JAVA % | 7 L CPT % | 8 L NS % | 9 P CPT @ </v>
      </c>
      <c r="BC86" s="4" t="str">
        <f ca="1">IFERROR(__xludf.DUMMYFUNCTION("""COMPUTED_VALUE"""),"| 5 L PHP-CGM @ | 6 L NS @ | 7 P Python @ | 9 P PRO @ ")</f>
        <v xml:space="preserve">| 5 L PHP-CGM @ | 6 L NS @ | 7 P Python @ | 9 P PRO @ </v>
      </c>
      <c r="BD86" s="4" t="str">
        <f ca="1">IFERROR(__xludf.DUMMYFUNCTION("""COMPUTED_VALUE"""),"| 5 L JAVA % | 6 L CPT % | 7 P PHP-CGM % | 9 L INE @ ")</f>
        <v xml:space="preserve">| 5 L JAVA % | 6 L CPT % | 7 P PHP-CGM % | 9 L INE @ </v>
      </c>
      <c r="BE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86" s="4" t="str">
        <f ca="1">IFERROR(__xludf.DUMMYFUNCTION("""COMPUTED_VALUE"""),"| 5 P NS % | 7 L PHP-CGM % | 9 P Python % | 8 L JAVA % ")</f>
        <v xml:space="preserve">| 5 P NS % | 7 L PHP-CGM % | 9 P Python % | 8 L JAVA % </v>
      </c>
      <c r="BG86" s="4" t="str">
        <f ca="1">IFERROR(__xludf.DUMMYFUNCTION("""COMPUTED_VALUE"""),"| 5 L PHP-CGM % | 6 L NS % | 7 P Python % | 9 P PRO % ")</f>
        <v xml:space="preserve">| 5 L PHP-CGM % | 6 L NS % | 7 P Python % | 9 P PRO % </v>
      </c>
      <c r="BH86" s="4" t="str">
        <f ca="1">IFERROR(__xludf.DUMMYFUNCTION("""COMPUTED_VALUE"""),"| 5 L JAVA @ | 6 L CPT @ | 7 P PHP-CGM @ | 9 L INE @ ")</f>
        <v xml:space="preserve">| 5 L JAVA @ | 6 L CPT @ | 7 P PHP-CGM @ | 9 L INE @ </v>
      </c>
      <c r="BI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86" s="4" t="str">
        <f ca="1">IFERROR(__xludf.DUMMYFUNCTION("""COMPUTED_VALUE"""),"| 5 P NS % | 7 L JAVA % | 7 L PHP-CGM % ")</f>
        <v xml:space="preserve">| 5 P NS % | 7 L JAVA % | 7 L PHP-CGM % </v>
      </c>
      <c r="BK86" s="4" t="str">
        <f ca="1">IFERROR(__xludf.DUMMYFUNCTION("""COMPUTED_VALUE"""),"| 5 P JAVA % | 7 L CPT % | 9 P CPT @ | 8 L NS @ ")</f>
        <v xml:space="preserve">| 5 P JAVA % | 7 L CPT % | 9 P CPT @ | 8 L NS @ </v>
      </c>
      <c r="BL86" s="4" t="str">
        <f ca="1">IFERROR(__xludf.DUMMYFUNCTION("""COMPUTED_VALUE"""),"| 5 L PHP-CGM % | 6 L NS % | 7 P Python @ ")</f>
        <v xml:space="preserve">| 5 L PHP-CGM % | 6 L NS % | 7 P Python @ </v>
      </c>
      <c r="BM86" s="4" t="str">
        <f ca="1">IFERROR(__xludf.DUMMYFUNCTION("""COMPUTED_VALUE"""),"| 5 L JAVA % | 6 L CPT % | 7 P PHP-CGM % | 9 L INE @ ")</f>
        <v xml:space="preserve">| 5 L JAVA % | 6 L CPT % | 7 P PHP-CGM % | 9 L INE @ </v>
      </c>
      <c r="BN86" s="4" t="str">
        <f ca="1">IFERROR(__xludf.DUMMYFUNCTION("""COMPUTED_VALUE"""),"| 5 L PHP-CGM % | 6 L NS % | 9 L JAVA % | 8 L CPT % | 9 P JAVA @ ")</f>
        <v xml:space="preserve">| 5 L PHP-CGM % | 6 L NS % | 9 L JAVA % | 8 L CPT % | 9 P JAVA @ </v>
      </c>
      <c r="BO86" s="4" t="str">
        <f ca="1">IFERROR(__xludf.DUMMYFUNCTION("""COMPUTED_VALUE"""),"| 5 P NS % | 7 L PHP-CGM % ")</f>
        <v xml:space="preserve">| 5 P NS % | 7 L PHP-CGM % </v>
      </c>
      <c r="BP86" s="4" t="str">
        <f ca="1">IFERROR(__xludf.DUMMYFUNCTION("""COMPUTED_VALUE"""),"| 5 P JAVA % | 7 L CPT % | 8 L NS @ | 9 P CPT % ")</f>
        <v xml:space="preserve">| 5 P JAVA % | 7 L CPT % | 8 L NS @ | 9 P CPT % </v>
      </c>
      <c r="BQ86" s="4" t="str">
        <f ca="1">IFERROR(__xludf.DUMMYFUNCTION("""COMPUTED_VALUE"""),"| 5 L JAVA % | 6 L CPT % ")</f>
        <v xml:space="preserve">| 5 L JAVA % | 6 L CPT % </v>
      </c>
      <c r="BR86" s="4" t="str">
        <f ca="1">IFERROR(__xludf.DUMMYFUNCTION("""COMPUTED_VALUE"""),"| 7 L JAVA % ")</f>
        <v xml:space="preserve">| 7 L JAVA % </v>
      </c>
      <c r="BS86" s="4"/>
      <c r="BT86" s="4" t="str">
        <f ca="1">IFERROR(__xludf.DUMMYFUNCTION("""COMPUTED_VALUE"""),"| 7 L CPT @ | 9 P CPT @ ")</f>
        <v xml:space="preserve">| 7 L CPT @ | 9 P CPT @ </v>
      </c>
      <c r="BU86" s="4"/>
      <c r="BV86" s="4" t="str">
        <f ca="1">IFERROR(__xludf.DUMMYFUNCTION("""COMPUTED_VALUE"""),"| 5 P JAVA @ | 7 L CPT @ | 8 L NS @ ")</f>
        <v xml:space="preserve">| 5 P JAVA @ | 7 L CPT @ | 8 L NS @ </v>
      </c>
      <c r="BW86" s="4"/>
      <c r="BX86" s="4" t="str">
        <f ca="1">IFERROR(__xludf.DUMMYFUNCTION("""COMPUTED_VALUE"""),"| 5 L JAVA % | 6 L CPT % | 7 P PHP-CGM % ")</f>
        <v xml:space="preserve">| 5 L JAVA % | 6 L CPT % | 7 P PHP-CGM % </v>
      </c>
      <c r="BY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86" s="4" t="str">
        <f ca="1">IFERROR(__xludf.DUMMYFUNCTION("""COMPUTED_VALUE"""),"| 5 P NS @ | 8 L JAVA @ | 7 L PHP-CGM @ | 9 P Python @ ")</f>
        <v xml:space="preserve">| 5 P NS @ | 8 L JAVA @ | 7 L PHP-CGM @ | 9 P Python @ </v>
      </c>
      <c r="CA86" s="4" t="str">
        <f ca="1">IFERROR(__xludf.DUMMYFUNCTION("""COMPUTED_VALUE"""),"| 5 P JAVA % | 7 L CPT % | 8 L NS % | 9 P CPT @ ")</f>
        <v xml:space="preserve">| 5 P JAVA % | 7 L CPT % | 8 L NS % | 9 P CPT @ </v>
      </c>
      <c r="CB86" s="4" t="str">
        <f ca="1">IFERROR(__xludf.DUMMYFUNCTION("""COMPUTED_VALUE"""),"| 5 L PHP-CGM % | 6 L NS % | 7 P Python % ")</f>
        <v xml:space="preserve">| 5 L PHP-CGM % | 6 L NS % | 7 P Python % </v>
      </c>
      <c r="CC86" s="4" t="str">
        <f ca="1">IFERROR(__xludf.DUMMYFUNCTION("""COMPUTED_VALUE"""),"| 5 L JAVA % | 7 P PHP-CGM @ | 9 L INE % ")</f>
        <v xml:space="preserve">| 5 L JAVA % | 7 P PHP-CGM @ | 9 L INE % </v>
      </c>
      <c r="CD86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86" s="4" t="str">
        <f ca="1">IFERROR(__xludf.DUMMYFUNCTION("""COMPUTED_VALUE"""),"| 5 P NS % | 8 L JAVA % | 7 L PHP-CGM % ")</f>
        <v xml:space="preserve">| 5 P NS % | 8 L JAVA % | 7 L PHP-CGM % </v>
      </c>
      <c r="CF86" s="4" t="str">
        <f ca="1">IFERROR(__xludf.DUMMYFUNCTION("""COMPUTED_VALUE"""),"| 7 L CPT % | 8 L NS % | 5 P JAVA % | 9 P CPT % ")</f>
        <v xml:space="preserve">| 7 L CPT % | 8 L NS % | 5 P JAVA % | 9 P CPT % </v>
      </c>
      <c r="CG86" s="4" t="str">
        <f ca="1">IFERROR(__xludf.DUMMYFUNCTION("""COMPUTED_VALUE"""),"| 5 L PHP-CGM @ | 6 L NS @ | 7 P Python % ")</f>
        <v xml:space="preserve">| 5 L PHP-CGM @ | 6 L NS @ | 7 P Python % </v>
      </c>
      <c r="CH86" s="4" t="str">
        <f ca="1">IFERROR(__xludf.DUMMYFUNCTION("""COMPUTED_VALUE"""),"| 5 L JAVA % | 6 L CPT @ | 7 P PHP-CGM % | 9 L INE @ ")</f>
        <v xml:space="preserve">| 5 L JAVA % | 6 L CPT @ | 7 P PHP-CGM % | 9 L INE @ </v>
      </c>
      <c r="CI86" s="4" t="str">
        <f ca="1">IFERROR(__xludf.DUMMYFUNCTION("""COMPUTED_VALUE"""),"| 5 L PHP-CGM @ | 7 L JAVA @ | 8 L CPT @ ")</f>
        <v xml:space="preserve">| 5 L PHP-CGM @ | 7 L JAVA @ | 8 L CPT @ </v>
      </c>
      <c r="CJ86" s="4" t="str">
        <f ca="1">IFERROR(__xludf.DUMMYFUNCTION("""COMPUTED_VALUE"""),"| 5 P NS % ")</f>
        <v xml:space="preserve">| 5 P NS % </v>
      </c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</row>
    <row r="87" spans="1:102" ht="12.5" x14ac:dyDescent="0.25">
      <c r="A87" s="3">
        <f ca="1">IFERROR(__xludf.DUMMYFUNCTION("""COMPUTED_VALUE"""),1)</f>
        <v>1</v>
      </c>
      <c r="B87" s="3" t="str">
        <f ca="1">IFERROR(__xludf.DUMMYFUNCTION("""COMPUTED_VALUE"""),"B")</f>
        <v>B</v>
      </c>
      <c r="C87" s="32" t="str">
        <f ca="1">IFERROR(__xludf.DUMMYFUNCTION("""COMPUTED_VALUE"""),"23291341017")</f>
        <v>23291341017</v>
      </c>
      <c r="D87" s="4" t="str">
        <f ca="1">IFERROR(__xludf.DUMMYFUNCTION("""COMPUTED_VALUE"""),"CHAUDHARY DHYEY BHIKHABHAI")</f>
        <v>CHAUDHARY DHYEY BHIKHABHAI</v>
      </c>
      <c r="E87" s="3" t="str">
        <f ca="1">IFERROR(__xludf.DUMMYFUNCTION("""COMPUTED_VALUE"""),"HAM/HDP-EVE")</f>
        <v>HAM/HDP-EVE</v>
      </c>
      <c r="F87" s="3">
        <f ca="1">IFERROR(__xludf.DUMMYFUNCTION("""COMPUTED_VALUE"""),6355245312)</f>
        <v>6355245312</v>
      </c>
      <c r="G87" s="3">
        <f ca="1">IFERROR(__xludf.DUMMYFUNCTION("""COMPUTED_VALUE"""),9328484452)</f>
        <v>9328484452</v>
      </c>
      <c r="H87" s="33">
        <f ca="1">IFERROR(__xludf.DUMMYFUNCTION("""COMPUTED_VALUE"""),0.672413793103448)</f>
        <v>0.67241379310344795</v>
      </c>
      <c r="I87" s="25">
        <f ca="1">IFERROR(__xludf.DUMMYFUNCTION("""COMPUTED_VALUE"""),0.783783783783783)</f>
        <v>0.78378378378378299</v>
      </c>
      <c r="J87" s="25">
        <f ca="1">IFERROR(__xludf.DUMMYFUNCTION("""COMPUTED_VALUE"""),0.0833333333333333)</f>
        <v>8.3333333333333301E-2</v>
      </c>
      <c r="K87" s="25">
        <f ca="1">IFERROR(__xludf.DUMMYFUNCTION("""COMPUTED_VALUE"""),0.911764705882352)</f>
        <v>0.91176470588235203</v>
      </c>
      <c r="L87" s="25">
        <f ca="1">IFERROR(__xludf.DUMMYFUNCTION("""COMPUTED_VALUE"""),0.0909090909090909)</f>
        <v>9.0909090909090898E-2</v>
      </c>
      <c r="M87" s="25">
        <f ca="1">IFERROR(__xludf.DUMMYFUNCTION("""COMPUTED_VALUE"""),0.885714285714285)</f>
        <v>0.88571428571428501</v>
      </c>
      <c r="N87" s="25">
        <f ca="1">IFERROR(__xludf.DUMMYFUNCTION("""COMPUTED_VALUE"""),0.545454545454545)</f>
        <v>0.54545454545454497</v>
      </c>
      <c r="O87" s="25">
        <f ca="1">IFERROR(__xludf.DUMMYFUNCTION("""COMPUTED_VALUE"""),0.828571428571428)</f>
        <v>0.82857142857142796</v>
      </c>
      <c r="P87" s="25">
        <f ca="1">IFERROR(__xludf.DUMMYFUNCTION("""COMPUTED_VALUE"""),0.826086956521739)</f>
        <v>0.82608695652173902</v>
      </c>
      <c r="Q87" s="25">
        <f ca="1">IFERROR(__xludf.DUMMYFUNCTION("""COMPUTED_VALUE"""),0)</f>
        <v>0</v>
      </c>
      <c r="R87" s="25">
        <f ca="1">IFERROR(__xludf.DUMMYFUNCTION("""COMPUTED_VALUE"""),0.263157894736842)</f>
        <v>0.26315789473684198</v>
      </c>
      <c r="S87" s="25">
        <f ca="1">IFERROR(__xludf.DUMMYFUNCTION("""COMPUTED_VALUE"""),0)</f>
        <v>0</v>
      </c>
      <c r="T87" s="25">
        <f ca="1">IFERROR(__xludf.DUMMYFUNCTION("""COMPUTED_VALUE"""),0.428571428571428)</f>
        <v>0.42857142857142799</v>
      </c>
      <c r="U87" s="25">
        <f ca="1">IFERROR(__xludf.DUMMYFUNCTION("""COMPUTED_VALUE"""),0.125)</f>
        <v>0.125</v>
      </c>
      <c r="V87" s="25">
        <f ca="1">IFERROR(__xludf.DUMMYFUNCTION("""COMPUTED_VALUE"""),0)</f>
        <v>0</v>
      </c>
      <c r="W87" s="4"/>
      <c r="X87" s="4" t="str">
        <f ca="1">IFERROR(__xludf.DUMMYFUNCTION("""COMPUTED_VALUE"""),"| 5 P JAVA % | 7 L CPT @ | 8 L NS % | 9 P CPT @ ")</f>
        <v xml:space="preserve">| 5 P JAVA % | 7 L CPT @ | 8 L NS % | 9 P CPT @ </v>
      </c>
      <c r="Y87" s="4" t="str">
        <f ca="1">IFERROR(__xludf.DUMMYFUNCTION("""COMPUTED_VALUE"""),"| 5 L PHP-CGM % | 6 L NS % | 7 P Python @ | 9 P PRO % ")</f>
        <v xml:space="preserve">| 5 L PHP-CGM % | 6 L NS % | 7 P Python @ | 9 P PRO % </v>
      </c>
      <c r="Z87" s="4" t="str">
        <f ca="1">IFERROR(__xludf.DUMMYFUNCTION("""COMPUTED_VALUE"""),"| 5 L JAVA % | 6 L CPT % | 7 P PHP-CGM @ ")</f>
        <v xml:space="preserve">| 5 L JAVA % | 6 L CPT % | 7 P PHP-CGM @ </v>
      </c>
      <c r="AA87" s="4" t="str">
        <f ca="1">IFERROR(__xludf.DUMMYFUNCTION("""COMPUTED_VALUE"""),"| 5 L PHP-CGM % | 7 L JAVA % | 9 P JAVA % | 8 L CPT % ")</f>
        <v xml:space="preserve">| 5 L PHP-CGM % | 7 L JAVA % | 9 P JAVA % | 8 L CPT % </v>
      </c>
      <c r="AB87" s="4" t="str">
        <f ca="1">IFERROR(__xludf.DUMMYFUNCTION("""COMPUTED_VALUE"""),"| 4 P Python % | 7 L PHP-CGM % | 8 L JAVA % | 9 P Python @ ")</f>
        <v xml:space="preserve">| 4 P Python % | 7 L PHP-CGM % | 8 L JAVA % | 9 P Python @ </v>
      </c>
      <c r="AC87" s="4" t="str">
        <f ca="1">IFERROR(__xludf.DUMMYFUNCTION("""COMPUTED_VALUE"""),"| 5 P JAVA % | 7 L CPT % | 8 L NS % | 9 P CPT @ ")</f>
        <v xml:space="preserve">| 5 P JAVA % | 7 L CPT % | 8 L NS % | 9 P CPT @ </v>
      </c>
      <c r="AD87" s="4" t="str">
        <f ca="1">IFERROR(__xludf.DUMMYFUNCTION("""COMPUTED_VALUE"""),"| 5 L PHP-CGM % | 6 L NS % | 7 P Python @ ")</f>
        <v xml:space="preserve">| 5 L PHP-CGM % | 6 L NS % | 7 P Python @ </v>
      </c>
      <c r="AE87" s="4" t="str">
        <f ca="1">IFERROR(__xludf.DUMMYFUNCTION("""COMPUTED_VALUE"""),"| 5 L JAVA % | 6 L CPT % | 7 P PHP-CGM % ")</f>
        <v xml:space="preserve">| 5 L JAVA % | 6 L CPT % | 7 P PHP-CGM % </v>
      </c>
      <c r="AF87" s="4" t="str">
        <f ca="1">IFERROR(__xludf.DUMMYFUNCTION("""COMPUTED_VALUE"""),"| 5 L PHP-CGM % | 6 L NS % | 7 L JAVA % | 8 L CPT @ | 9 P JAVA % ")</f>
        <v xml:space="preserve">| 5 L PHP-CGM % | 6 L NS % | 7 L JAVA % | 8 L CPT @ | 9 P JAVA % </v>
      </c>
      <c r="AG87" s="4" t="str">
        <f ca="1">IFERROR(__xludf.DUMMYFUNCTION("""COMPUTED_VALUE"""),"| 5 P NS @ | 8 L JAVA % | 7 L PHP-CGM % | 9 P Python % ")</f>
        <v xml:space="preserve">| 5 P NS @ | 8 L JAVA % | 7 L PHP-CGM % | 9 P Python % </v>
      </c>
      <c r="AH87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87" s="4" t="str">
        <f ca="1">IFERROR(__xludf.DUMMYFUNCTION("""COMPUTED_VALUE"""),"| 5 P NS @ | 8 L JAVA % | 7 L PHP-CGM % | 9 P Python @ ")</f>
        <v xml:space="preserve">| 5 P NS @ | 8 L JAVA % | 7 L PHP-CGM % | 9 P Python @ </v>
      </c>
      <c r="AJ87" s="4" t="str">
        <f ca="1">IFERROR(__xludf.DUMMYFUNCTION("""COMPUTED_VALUE"""),"| 5 P JAVA % | 7 L CPT % | 8 L NS % | 9 P CPT @ ")</f>
        <v xml:space="preserve">| 5 P JAVA % | 7 L CPT % | 8 L NS % | 9 P CPT @ </v>
      </c>
      <c r="AK87" s="4" t="str">
        <f ca="1">IFERROR(__xludf.DUMMYFUNCTION("""COMPUTED_VALUE"""),"| 5 L PHP-CGM % | 6 L NS % | 7 P Python % | 9 P PRO @ ")</f>
        <v xml:space="preserve">| 5 L PHP-CGM % | 6 L NS % | 7 P Python % | 9 P PRO @ </v>
      </c>
      <c r="AL87" s="4" t="str">
        <f ca="1">IFERROR(__xludf.DUMMYFUNCTION("""COMPUTED_VALUE"""),"| 5 L JAVA % | 6 L CPT % | 7 P PHP-CGM @ | 9 L INE @ ")</f>
        <v xml:space="preserve">| 5 L JAVA % | 6 L CPT % | 7 P PHP-CGM @ | 9 L INE @ </v>
      </c>
      <c r="AM87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AN87" s="4" t="str">
        <f ca="1">IFERROR(__xludf.DUMMYFUNCTION("""COMPUTED_VALUE"""),"| 5 P NS @ | 8 L JAVA % | 7 L PHP-CGM % | 9 P Python @ ")</f>
        <v xml:space="preserve">| 5 P NS @ | 8 L JAVA % | 7 L PHP-CGM % | 9 P Python @ </v>
      </c>
      <c r="AO87" s="4" t="str">
        <f ca="1">IFERROR(__xludf.DUMMYFUNCTION("""COMPUTED_VALUE"""),"| 5 P JAVA % | 7 L CPT % | 8 L NS % | 9 P CPT @ ")</f>
        <v xml:space="preserve">| 5 P JAVA % | 7 L CPT % | 8 L NS % | 9 P CPT @ </v>
      </c>
      <c r="AP87" s="4" t="str">
        <f ca="1">IFERROR(__xludf.DUMMYFUNCTION("""COMPUTED_VALUE"""),"| 5 L PHP-CGM % | 6 L NS % | 7 P Python @ | 9 P PRO @ ")</f>
        <v xml:space="preserve">| 5 L PHP-CGM % | 6 L NS % | 7 P Python @ | 9 P PRO @ </v>
      </c>
      <c r="AQ87" s="4" t="str">
        <f ca="1">IFERROR(__xludf.DUMMYFUNCTION("""COMPUTED_VALUE"""),"| 5 L CPT % | 7 L JAVA % | 7 P PHP-CGM @ | 9 L INE @ ")</f>
        <v xml:space="preserve">| 5 L CPT % | 7 L JAVA % | 7 P PHP-CGM @ | 9 L INE @ </v>
      </c>
      <c r="AR87" s="4" t="str">
        <f ca="1">IFERROR(__xludf.DUMMYFUNCTION("""COMPUTED_VALUE"""),"| 5 L PHP-CGM % | 6 L NS % | 8 L CPT @ ")</f>
        <v xml:space="preserve">| 5 L PHP-CGM % | 6 L NS % | 8 L CPT @ </v>
      </c>
      <c r="AS87" s="4" t="str">
        <f ca="1">IFERROR(__xludf.DUMMYFUNCTION("""COMPUTED_VALUE"""),"| 5 P JAVA % | 7 L CPT % | 8 L NS % | 9 P CPT @ ")</f>
        <v xml:space="preserve">| 5 P JAVA % | 7 L CPT % | 8 L NS % | 9 P CPT @ </v>
      </c>
      <c r="AT87" s="4" t="str">
        <f ca="1">IFERROR(__xludf.DUMMYFUNCTION("""COMPUTED_VALUE"""),"| 5 L PHP-CGM % | 6 L NS % | 7 P Python @ | 9 P PRO % ")</f>
        <v xml:space="preserve">| 5 L PHP-CGM % | 6 L NS % | 7 P Python @ | 9 P PRO % </v>
      </c>
      <c r="AU87" s="4" t="str">
        <f ca="1">IFERROR(__xludf.DUMMYFUNCTION("""COMPUTED_VALUE"""),"| 5 L JAVA % | 6 L CPT % | 7 P PHP-CGM % | 9 L INE @ ")</f>
        <v xml:space="preserve">| 5 L JAVA % | 6 L CPT % | 7 P PHP-CGM % | 9 L INE @ </v>
      </c>
      <c r="AV87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87" s="4" t="str">
        <f ca="1">IFERROR(__xludf.DUMMYFUNCTION("""COMPUTED_VALUE"""),"| 5 P NS @ | 7 L PHP-CGM % | 8 L JAVA % | 9 P Python @ ")</f>
        <v xml:space="preserve">| 5 P NS @ | 7 L PHP-CGM % | 8 L JAVA % | 9 P Python @ </v>
      </c>
      <c r="AX87" s="4" t="str">
        <f ca="1">IFERROR(__xludf.DUMMYFUNCTION("""COMPUTED_VALUE"""),"| 5 P JAVA % | 7 L CPT % | 8 L NS % | 9 P CPT @ ")</f>
        <v xml:space="preserve">| 5 P JAVA % | 7 L CPT % | 8 L NS % | 9 P CPT @ </v>
      </c>
      <c r="AY87" s="4" t="str">
        <f ca="1">IFERROR(__xludf.DUMMYFUNCTION("""COMPUTED_VALUE"""),"| 5 L PHP-CGM % | 6 L NS % | 7 P Python @ | 9 P PRO @ ")</f>
        <v xml:space="preserve">| 5 L PHP-CGM % | 6 L NS % | 7 P Python @ | 9 P PRO @ </v>
      </c>
      <c r="AZ87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7" s="4" t="str">
        <f ca="1">IFERROR(__xludf.DUMMYFUNCTION("""COMPUTED_VALUE"""),"| 5 P NS @ | 7 L PHP-CGM % | 8 L JAVA % ")</f>
        <v xml:space="preserve">| 5 P NS @ | 7 L PHP-CGM % | 8 L JAVA % </v>
      </c>
      <c r="BB87" s="4" t="str">
        <f ca="1">IFERROR(__xludf.DUMMYFUNCTION("""COMPUTED_VALUE"""),"| 5 P JAVA % | 7 L CPT % | 8 L NS % | 9 P CPT @ ")</f>
        <v xml:space="preserve">| 5 P JAVA % | 7 L CPT % | 8 L NS % | 9 P CPT @ </v>
      </c>
      <c r="BC87" s="4" t="str">
        <f ca="1">IFERROR(__xludf.DUMMYFUNCTION("""COMPUTED_VALUE"""),"| 5 L PHP-CGM % | 6 L NS % | 7 P Python @ | 9 P PRO @ ")</f>
        <v xml:space="preserve">| 5 L PHP-CGM % | 6 L NS % | 7 P Python @ | 9 P PRO @ </v>
      </c>
      <c r="BD87" s="4" t="str">
        <f ca="1">IFERROR(__xludf.DUMMYFUNCTION("""COMPUTED_VALUE"""),"| 5 L JAVA % | 6 L CPT % | 7 P PHP-CGM % | 9 L INE @ ")</f>
        <v xml:space="preserve">| 5 L JAVA % | 6 L CPT % | 7 P PHP-CGM % | 9 L INE @ </v>
      </c>
      <c r="BE87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F87" s="4" t="str">
        <f ca="1">IFERROR(__xludf.DUMMYFUNCTION("""COMPUTED_VALUE"""),"| 5 P NS @ | 7 L PHP-CGM % | 9 P Python @ | 8 L JAVA % ")</f>
        <v xml:space="preserve">| 5 P NS @ | 7 L PHP-CGM % | 9 P Python @ | 8 L JAVA % </v>
      </c>
      <c r="BG87" s="4" t="str">
        <f ca="1">IFERROR(__xludf.DUMMYFUNCTION("""COMPUTED_VALUE"""),"| 5 L PHP-CGM % | 6 L NS % | 7 P Python @ | 9 P PRO % ")</f>
        <v xml:space="preserve">| 5 L PHP-CGM % | 6 L NS % | 7 P Python @ | 9 P PRO % </v>
      </c>
      <c r="BH87" s="4" t="str">
        <f ca="1">IFERROR(__xludf.DUMMYFUNCTION("""COMPUTED_VALUE"""),"| 5 L JAVA @ | 6 L CPT @ | 7 P PHP-CGM @ | 9 L INE @ ")</f>
        <v xml:space="preserve">| 5 L JAVA @ | 6 L CPT @ | 7 P PHP-CGM @ | 9 L INE @ </v>
      </c>
      <c r="BI87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BJ87" s="4" t="str">
        <f ca="1">IFERROR(__xludf.DUMMYFUNCTION("""COMPUTED_VALUE"""),"| 5 P NS @ | 7 L JAVA % | 7 L PHP-CGM % ")</f>
        <v xml:space="preserve">| 5 P NS @ | 7 L JAVA % | 7 L PHP-CGM % </v>
      </c>
      <c r="BK87" s="4" t="str">
        <f ca="1">IFERROR(__xludf.DUMMYFUNCTION("""COMPUTED_VALUE"""),"| 5 P JAVA % | 7 L CPT % | 9 P CPT @ | 8 L NS @ ")</f>
        <v xml:space="preserve">| 5 P JAVA % | 7 L CPT % | 9 P CPT @ | 8 L NS @ </v>
      </c>
      <c r="BL87" s="4" t="str">
        <f ca="1">IFERROR(__xludf.DUMMYFUNCTION("""COMPUTED_VALUE"""),"| 5 L PHP-CGM % | 6 L NS % | 7 P Python @ ")</f>
        <v xml:space="preserve">| 5 L PHP-CGM % | 6 L NS % | 7 P Python @ </v>
      </c>
      <c r="BM87" s="4" t="str">
        <f ca="1">IFERROR(__xludf.DUMMYFUNCTION("""COMPUTED_VALUE"""),"| 5 L JAVA % | 6 L CPT % | 7 P PHP-CGM % | 9 L INE @ ")</f>
        <v xml:space="preserve">| 5 L JAVA % | 6 L CPT % | 7 P PHP-CGM % | 9 L INE @ </v>
      </c>
      <c r="BN87" s="4" t="str">
        <f ca="1">IFERROR(__xludf.DUMMYFUNCTION("""COMPUTED_VALUE"""),"| 5 L PHP-CGM % | 6 L NS % | 9 L JAVA % | 8 L CPT % | 9 P JAVA @ ")</f>
        <v xml:space="preserve">| 5 L PHP-CGM % | 6 L NS % | 9 L JAVA % | 8 L CPT % | 9 P JAVA @ </v>
      </c>
      <c r="BO87" s="4" t="str">
        <f ca="1">IFERROR(__xludf.DUMMYFUNCTION("""COMPUTED_VALUE"""),"| 5 P NS @ | 7 L PHP-CGM % ")</f>
        <v xml:space="preserve">| 5 P NS @ | 7 L PHP-CGM % </v>
      </c>
      <c r="BP87" s="4" t="str">
        <f ca="1">IFERROR(__xludf.DUMMYFUNCTION("""COMPUTED_VALUE"""),"| 5 P JAVA % | 7 L CPT % | 8 L NS @ | 9 P CPT @ ")</f>
        <v xml:space="preserve">| 5 P JAVA % | 7 L CPT % | 8 L NS @ | 9 P CPT @ </v>
      </c>
      <c r="BQ87" s="4" t="str">
        <f ca="1">IFERROR(__xludf.DUMMYFUNCTION("""COMPUTED_VALUE"""),"| 5 L JAVA @ | 6 L CPT @ ")</f>
        <v xml:space="preserve">| 5 L JAVA @ | 6 L CPT @ </v>
      </c>
      <c r="BR87" s="4" t="str">
        <f ca="1">IFERROR(__xludf.DUMMYFUNCTION("""COMPUTED_VALUE"""),"| 7 L JAVA @ ")</f>
        <v xml:space="preserve">| 7 L JAVA @ </v>
      </c>
      <c r="BS87" s="4"/>
      <c r="BT87" s="4" t="str">
        <f ca="1">IFERROR(__xludf.DUMMYFUNCTION("""COMPUTED_VALUE"""),"| 7 L CPT @ | 9 P CPT @ ")</f>
        <v xml:space="preserve">| 7 L CPT @ | 9 P CPT @ </v>
      </c>
      <c r="BU87" s="4"/>
      <c r="BV87" s="4" t="str">
        <f ca="1">IFERROR(__xludf.DUMMYFUNCTION("""COMPUTED_VALUE"""),"| 5 P JAVA % | 7 L CPT % | 8 L NS % ")</f>
        <v xml:space="preserve">| 5 P JAVA % | 7 L CPT % | 8 L NS % </v>
      </c>
      <c r="BW87" s="4"/>
      <c r="BX87" s="4" t="str">
        <f ca="1">IFERROR(__xludf.DUMMYFUNCTION("""COMPUTED_VALUE"""),"| 5 L JAVA % | 6 L CPT % | 7 P PHP-CGM % ")</f>
        <v xml:space="preserve">| 5 L JAVA % | 6 L CPT % | 7 P PHP-CGM % </v>
      </c>
      <c r="BY87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87" s="4" t="str">
        <f ca="1">IFERROR(__xludf.DUMMYFUNCTION("""COMPUTED_VALUE"""),"| 5 P NS @ | 8 L JAVA @ | 7 L PHP-CGM @ | 9 P Python @ ")</f>
        <v xml:space="preserve">| 5 P NS @ | 8 L JAVA @ | 7 L PHP-CGM @ | 9 P Python @ </v>
      </c>
      <c r="CA87" s="4" t="str">
        <f ca="1">IFERROR(__xludf.DUMMYFUNCTION("""COMPUTED_VALUE"""),"| 5 P JAVA % | 7 L CPT % | 8 L NS % | 9 P CPT @ ")</f>
        <v xml:space="preserve">| 5 P JAVA % | 7 L CPT % | 8 L NS % | 9 P CPT @ </v>
      </c>
      <c r="CB87" s="4" t="str">
        <f ca="1">IFERROR(__xludf.DUMMYFUNCTION("""COMPUTED_VALUE"""),"| 5 L PHP-CGM % | 6 L NS % | 7 P Python % ")</f>
        <v xml:space="preserve">| 5 L PHP-CGM % | 6 L NS % | 7 P Python % </v>
      </c>
      <c r="CC87" s="4" t="str">
        <f ca="1">IFERROR(__xludf.DUMMYFUNCTION("""COMPUTED_VALUE"""),"| 5 L JAVA % | 7 P PHP-CGM @ | 9 L INE % ")</f>
        <v xml:space="preserve">| 5 L JAVA % | 7 P PHP-CGM @ | 9 L INE % </v>
      </c>
      <c r="CD87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87" s="4" t="str">
        <f ca="1">IFERROR(__xludf.DUMMYFUNCTION("""COMPUTED_VALUE"""),"| 5 P NS @ | 8 L JAVA @ | 7 L PHP-CGM @ ")</f>
        <v xml:space="preserve">| 5 P NS @ | 8 L JAVA @ | 7 L PHP-CGM @ </v>
      </c>
      <c r="CF87" s="4" t="str">
        <f ca="1">IFERROR(__xludf.DUMMYFUNCTION("""COMPUTED_VALUE"""),"| 7 L CPT % | 8 L NS % | 5 P JAVA % | 9 P CPT % ")</f>
        <v xml:space="preserve">| 7 L CPT % | 8 L NS % | 5 P JAVA % | 9 P CPT % </v>
      </c>
      <c r="CG87" s="4" t="str">
        <f ca="1">IFERROR(__xludf.DUMMYFUNCTION("""COMPUTED_VALUE"""),"| 5 L PHP-CGM @ | 6 L NS @ | 7 P Python % ")</f>
        <v xml:space="preserve">| 5 L PHP-CGM @ | 6 L NS @ | 7 P Python % </v>
      </c>
      <c r="CH87" s="4" t="str">
        <f ca="1">IFERROR(__xludf.DUMMYFUNCTION("""COMPUTED_VALUE"""),"| 5 L JAVA % | 6 L CPT @ | 7 P PHP-CGM % | 9 L INE @ ")</f>
        <v xml:space="preserve">| 5 L JAVA % | 6 L CPT @ | 7 P PHP-CGM % | 9 L INE @ </v>
      </c>
      <c r="CI87" s="4" t="str">
        <f ca="1">IFERROR(__xludf.DUMMYFUNCTION("""COMPUTED_VALUE"""),"| 5 L PHP-CGM @ | 7 L JAVA @ | 8 L CPT @ ")</f>
        <v xml:space="preserve">| 5 L PHP-CGM @ | 7 L JAVA @ | 8 L CPT @ </v>
      </c>
      <c r="CJ87" s="4" t="str">
        <f ca="1">IFERROR(__xludf.DUMMYFUNCTION("""COMPUTED_VALUE"""),"| 5 P NS % ")</f>
        <v xml:space="preserve">| 5 P NS % </v>
      </c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</row>
    <row r="88" spans="1:102" ht="12.5" x14ac:dyDescent="0.25">
      <c r="A88" s="3">
        <f ca="1">IFERROR(__xludf.DUMMYFUNCTION("""COMPUTED_VALUE"""),1)</f>
        <v>1</v>
      </c>
      <c r="B88" s="3" t="str">
        <f ca="1">IFERROR(__xludf.DUMMYFUNCTION("""COMPUTED_VALUE"""),"B")</f>
        <v>B</v>
      </c>
      <c r="C88" s="32" t="str">
        <f ca="1">IFERROR(__xludf.DUMMYFUNCTION("""COMPUTED_VALUE"""),"23291341022")</f>
        <v>23291341022</v>
      </c>
      <c r="D88" s="4" t="str">
        <f ca="1">IFERROR(__xludf.DUMMYFUNCTION("""COMPUTED_VALUE"""),"CHUDASAMA DHARMESH JITUBHAI")</f>
        <v>CHUDASAMA DHARMESH JITUBHAI</v>
      </c>
      <c r="E88" s="3" t="str">
        <f ca="1">IFERROR(__xludf.DUMMYFUNCTION("""COMPUTED_VALUE"""),"HAM/HDP-EVE")</f>
        <v>HAM/HDP-EVE</v>
      </c>
      <c r="F88" s="3">
        <f ca="1">IFERROR(__xludf.DUMMYFUNCTION("""COMPUTED_VALUE"""),9328677155)</f>
        <v>9328677155</v>
      </c>
      <c r="G88" s="3">
        <f ca="1">IFERROR(__xludf.DUMMYFUNCTION("""COMPUTED_VALUE"""),9328677155)</f>
        <v>9328677155</v>
      </c>
      <c r="H88" s="33">
        <f ca="1">IFERROR(__xludf.DUMMYFUNCTION("""COMPUTED_VALUE"""),0.469827586206896)</f>
        <v>0.46982758620689602</v>
      </c>
      <c r="I88" s="25">
        <f ca="1">IFERROR(__xludf.DUMMYFUNCTION("""COMPUTED_VALUE"""),0.459459459459459)</f>
        <v>0.45945945945945899</v>
      </c>
      <c r="J88" s="25">
        <f ca="1">IFERROR(__xludf.DUMMYFUNCTION("""COMPUTED_VALUE"""),0.166666666666666)</f>
        <v>0.16666666666666599</v>
      </c>
      <c r="K88" s="25">
        <f ca="1">IFERROR(__xludf.DUMMYFUNCTION("""COMPUTED_VALUE"""),0.470588235294117)</f>
        <v>0.47058823529411697</v>
      </c>
      <c r="L88" s="25">
        <f ca="1">IFERROR(__xludf.DUMMYFUNCTION("""COMPUTED_VALUE"""),0.727272727272727)</f>
        <v>0.72727272727272696</v>
      </c>
      <c r="M88" s="25">
        <f ca="1">IFERROR(__xludf.DUMMYFUNCTION("""COMPUTED_VALUE"""),0.514285714285714)</f>
        <v>0.51428571428571401</v>
      </c>
      <c r="N88" s="25">
        <f ca="1">IFERROR(__xludf.DUMMYFUNCTION("""COMPUTED_VALUE"""),0.272727272727272)</f>
        <v>0.27272727272727199</v>
      </c>
      <c r="O88" s="25">
        <f ca="1">IFERROR(__xludf.DUMMYFUNCTION("""COMPUTED_VALUE"""),0.514285714285714)</f>
        <v>0.51428571428571401</v>
      </c>
      <c r="P88" s="25">
        <f ca="1">IFERROR(__xludf.DUMMYFUNCTION("""COMPUTED_VALUE"""),0.565217391304347)</f>
        <v>0.56521739130434701</v>
      </c>
      <c r="Q88" s="25">
        <f ca="1">IFERROR(__xludf.DUMMYFUNCTION("""COMPUTED_VALUE"""),0)</f>
        <v>0</v>
      </c>
      <c r="R88" s="25">
        <f ca="1">IFERROR(__xludf.DUMMYFUNCTION("""COMPUTED_VALUE"""),0.368421052631578)</f>
        <v>0.36842105263157798</v>
      </c>
      <c r="S88" s="25">
        <f ca="1">IFERROR(__xludf.DUMMYFUNCTION("""COMPUTED_VALUE"""),0)</f>
        <v>0</v>
      </c>
      <c r="T88" s="25">
        <f ca="1">IFERROR(__xludf.DUMMYFUNCTION("""COMPUTED_VALUE"""),0.714285714285714)</f>
        <v>0.71428571428571397</v>
      </c>
      <c r="U88" s="25">
        <f ca="1">IFERROR(__xludf.DUMMYFUNCTION("""COMPUTED_VALUE"""),0.25)</f>
        <v>0.25</v>
      </c>
      <c r="V88" s="25">
        <f ca="1">IFERROR(__xludf.DUMMYFUNCTION("""COMPUTED_VALUE"""),0)</f>
        <v>0</v>
      </c>
      <c r="W88" s="4"/>
      <c r="X88" s="4" t="str">
        <f ca="1">IFERROR(__xludf.DUMMYFUNCTION("""COMPUTED_VALUE"""),"| 5 P JAVA @ | 7 L CPT @ | 8 L NS @ | 9 P CPT @ ")</f>
        <v xml:space="preserve">| 5 P JAVA @ | 7 L CPT @ | 8 L NS @ | 9 P CPT @ </v>
      </c>
      <c r="Y88" s="4" t="str">
        <f ca="1">IFERROR(__xludf.DUMMYFUNCTION("""COMPUTED_VALUE"""),"| 5 L PHP-CGM @ | 6 L NS @ | 7 P Python % | 9 P PRO % ")</f>
        <v xml:space="preserve">| 5 L PHP-CGM @ | 6 L NS @ | 7 P Python % | 9 P PRO % </v>
      </c>
      <c r="Z88" s="4" t="str">
        <f ca="1">IFERROR(__xludf.DUMMYFUNCTION("""COMPUTED_VALUE"""),"| 5 L JAVA % | 6 L CPT % | 7 P PHP-CGM % ")</f>
        <v xml:space="preserve">| 5 L JAVA % | 6 L CPT % | 7 P PHP-CGM % </v>
      </c>
      <c r="AA88" s="4" t="str">
        <f ca="1">IFERROR(__xludf.DUMMYFUNCTION("""COMPUTED_VALUE"""),"| 5 L PHP-CGM % | 7 L JAVA % | 9 P JAVA % | 8 L CPT % ")</f>
        <v xml:space="preserve">| 5 L PHP-CGM % | 7 L JAVA % | 9 P JAVA % | 8 L CPT % </v>
      </c>
      <c r="AB88" s="4" t="str">
        <f ca="1">IFERROR(__xludf.DUMMYFUNCTION("""COMPUTED_VALUE"""),"| 4 P Python % | 7 L PHP-CGM % | 8 L JAVA % | 9 P Python @ ")</f>
        <v xml:space="preserve">| 4 P Python % | 7 L PHP-CGM % | 8 L JAVA % | 9 P Python @ </v>
      </c>
      <c r="AC88" s="4" t="str">
        <f ca="1">IFERROR(__xludf.DUMMYFUNCTION("""COMPUTED_VALUE"""),"| 5 P JAVA % | 7 L CPT % | 8 L NS % | 9 P CPT % ")</f>
        <v xml:space="preserve">| 5 P JAVA % | 7 L CPT % | 8 L NS % | 9 P CPT % </v>
      </c>
      <c r="AD88" s="4" t="str">
        <f ca="1">IFERROR(__xludf.DUMMYFUNCTION("""COMPUTED_VALUE"""),"| 5 L PHP-CGM % | 6 L NS % | 7 P Python % ")</f>
        <v xml:space="preserve">| 5 L PHP-CGM % | 6 L NS % | 7 P Python % </v>
      </c>
      <c r="AE88" s="4" t="str">
        <f ca="1">IFERROR(__xludf.DUMMYFUNCTION("""COMPUTED_VALUE"""),"| 5 L JAVA % | 6 L CPT % | 7 P PHP-CGM % ")</f>
        <v xml:space="preserve">| 5 L JAVA % | 6 L CPT % | 7 P PHP-CGM % </v>
      </c>
      <c r="AF88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AG88" s="4" t="str">
        <f ca="1">IFERROR(__xludf.DUMMYFUNCTION("""COMPUTED_VALUE"""),"| 5 P NS % | 8 L JAVA % | 7 L PHP-CGM % | 9 P Python @ ")</f>
        <v xml:space="preserve">| 5 P NS % | 8 L JAVA % | 7 L PHP-CGM % | 9 P Python @ </v>
      </c>
      <c r="AH88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AI88" s="4" t="str">
        <f ca="1">IFERROR(__xludf.DUMMYFUNCTION("""COMPUTED_VALUE"""),"| 5 P NS % | 8 L JAVA % | 7 L PHP-CGM % | 9 P Python @ ")</f>
        <v xml:space="preserve">| 5 P NS % | 8 L JAVA % | 7 L PHP-CGM % | 9 P Python @ </v>
      </c>
      <c r="AJ88" s="4" t="str">
        <f ca="1">IFERROR(__xludf.DUMMYFUNCTION("""COMPUTED_VALUE"""),"| 5 P JAVA % | 7 L CPT % | 8 L NS % | 9 P CPT % ")</f>
        <v xml:space="preserve">| 5 P JAVA % | 7 L CPT % | 8 L NS % | 9 P CPT % </v>
      </c>
      <c r="AK88" s="4" t="str">
        <f ca="1">IFERROR(__xludf.DUMMYFUNCTION("""COMPUTED_VALUE"""),"| 5 L PHP-CGM @ | 6 L NS @ | 7 P Python % | 9 P PRO % ")</f>
        <v xml:space="preserve">| 5 L PHP-CGM @ | 6 L NS @ | 7 P Python % | 9 P PRO % </v>
      </c>
      <c r="AL88" s="4" t="str">
        <f ca="1">IFERROR(__xludf.DUMMYFUNCTION("""COMPUTED_VALUE"""),"| 5 L JAVA % | 6 L CPT % | 7 P PHP-CGM @ | 9 L INE @ ")</f>
        <v xml:space="preserve">| 5 L JAVA % | 6 L CPT % | 7 P PHP-CGM @ | 9 L INE @ </v>
      </c>
      <c r="AM8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88" s="4" t="str">
        <f ca="1">IFERROR(__xludf.DUMMYFUNCTION("""COMPUTED_VALUE"""),"| 5 P NS % | 8 L JAVA @ | 7 L PHP-CGM @ | 9 P Python @ ")</f>
        <v xml:space="preserve">| 5 P NS % | 8 L JAVA @ | 7 L PHP-CGM @ | 9 P Python @ </v>
      </c>
      <c r="AO88" s="4" t="str">
        <f ca="1">IFERROR(__xludf.DUMMYFUNCTION("""COMPUTED_VALUE"""),"| 5 P JAVA @ | 7 L CPT @ | 8 L NS @ | 9 P CPT @ ")</f>
        <v xml:space="preserve">| 5 P JAVA @ | 7 L CPT @ | 8 L NS @ | 9 P CPT @ </v>
      </c>
      <c r="AP88" s="4" t="str">
        <f ca="1">IFERROR(__xludf.DUMMYFUNCTION("""COMPUTED_VALUE"""),"| 5 L PHP-CGM @ | 6 L NS @ | 7 P Python % | 9 P PRO @ ")</f>
        <v xml:space="preserve">| 5 L PHP-CGM @ | 6 L NS @ | 7 P Python % | 9 P PRO @ </v>
      </c>
      <c r="AQ88" s="4" t="str">
        <f ca="1">IFERROR(__xludf.DUMMYFUNCTION("""COMPUTED_VALUE"""),"| 5 L CPT @ | 7 L JAVA @ | 7 P PHP-CGM @ | 9 L INE @ ")</f>
        <v xml:space="preserve">| 5 L CPT @ | 7 L JAVA @ | 7 P PHP-CGM @ | 9 L INE @ </v>
      </c>
      <c r="AR88" s="4" t="str">
        <f ca="1">IFERROR(__xludf.DUMMYFUNCTION("""COMPUTED_VALUE"""),"| 5 L PHP-CGM @ | 6 L NS @ | 8 L CPT @ ")</f>
        <v xml:space="preserve">| 5 L PHP-CGM @ | 6 L NS @ | 8 L CPT @ </v>
      </c>
      <c r="AS88" s="4" t="str">
        <f ca="1">IFERROR(__xludf.DUMMYFUNCTION("""COMPUTED_VALUE"""),"| 5 P JAVA @ | 7 L CPT @ | 8 L NS @ | 9 P CPT @ ")</f>
        <v xml:space="preserve">| 5 P JAVA @ | 7 L CPT @ | 8 L NS @ | 9 P CPT @ </v>
      </c>
      <c r="AT88" s="4" t="str">
        <f ca="1">IFERROR(__xludf.DUMMYFUNCTION("""COMPUTED_VALUE"""),"| 5 L PHP-CGM @ | 6 L NS @ | 7 P Python @ | 9 P PRO @ ")</f>
        <v xml:space="preserve">| 5 L PHP-CGM @ | 6 L NS @ | 7 P Python @ | 9 P PRO @ </v>
      </c>
      <c r="AU88" s="4" t="str">
        <f ca="1">IFERROR(__xludf.DUMMYFUNCTION("""COMPUTED_VALUE"""),"| 5 L JAVA @ | 6 L CPT @ | 7 P PHP-CGM @ | 9 L INE @ ")</f>
        <v xml:space="preserve">| 5 L JAVA @ | 6 L CPT @ | 7 P PHP-CGM @ | 9 L INE @ </v>
      </c>
      <c r="AV8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88" s="4" t="str">
        <f ca="1">IFERROR(__xludf.DUMMYFUNCTION("""COMPUTED_VALUE"""),"| 5 P NS % | 7 L PHP-CGM % | 8 L JAVA % | 9 P Python @ ")</f>
        <v xml:space="preserve">| 5 P NS % | 7 L PHP-CGM % | 8 L JAVA % | 9 P Python @ </v>
      </c>
      <c r="AX88" s="4" t="str">
        <f ca="1">IFERROR(__xludf.DUMMYFUNCTION("""COMPUTED_VALUE"""),"| 5 P JAVA % | 7 L CPT % | 8 L NS % | 9 P CPT @ ")</f>
        <v xml:space="preserve">| 5 P JAVA % | 7 L CPT % | 8 L NS % | 9 P CPT @ </v>
      </c>
      <c r="AY88" s="4" t="str">
        <f ca="1">IFERROR(__xludf.DUMMYFUNCTION("""COMPUTED_VALUE"""),"| 5 L PHP-CGM % | 6 L NS % | 7 P Python % | 9 P PRO % ")</f>
        <v xml:space="preserve">| 5 L PHP-CGM % | 6 L NS % | 7 P Python % | 9 P PRO % </v>
      </c>
      <c r="AZ88" s="4" t="str">
        <f ca="1">IFERROR(__xludf.DUMMYFUNCTION("""COMPUTED_VALUE"""),"| 5 L PHP-CGM @ | 6 L NS @ | 7 L JAVA % | 8 L CPT % | 9 P JAVA % ")</f>
        <v xml:space="preserve">| 5 L PHP-CGM @ | 6 L NS @ | 7 L JAVA % | 8 L CPT % | 9 P JAVA % </v>
      </c>
      <c r="BA88" s="4" t="str">
        <f ca="1">IFERROR(__xludf.DUMMYFUNCTION("""COMPUTED_VALUE"""),"| 5 P NS % | 7 L PHP-CGM % | 8 L JAVA % ")</f>
        <v xml:space="preserve">| 5 P NS % | 7 L PHP-CGM % | 8 L JAVA % </v>
      </c>
      <c r="BB88" s="4" t="str">
        <f ca="1">IFERROR(__xludf.DUMMYFUNCTION("""COMPUTED_VALUE"""),"| 5 P JAVA % | 7 L CPT % | 8 L NS % | 9 P CPT @ ")</f>
        <v xml:space="preserve">| 5 P JAVA % | 7 L CPT % | 8 L NS % | 9 P CPT @ </v>
      </c>
      <c r="BC88" s="4" t="str">
        <f ca="1">IFERROR(__xludf.DUMMYFUNCTION("""COMPUTED_VALUE"""),"| 5 L PHP-CGM % | 6 L NS % | 7 P Python @ | 9 P PRO % ")</f>
        <v xml:space="preserve">| 5 L PHP-CGM % | 6 L NS % | 7 P Python @ | 9 P PRO % </v>
      </c>
      <c r="BD88" s="4" t="str">
        <f ca="1">IFERROR(__xludf.DUMMYFUNCTION("""COMPUTED_VALUE"""),"| 5 L JAVA % | 6 L CPT % | 7 P PHP-CGM % | 9 L INE % ")</f>
        <v xml:space="preserve">| 5 L JAVA % | 6 L CPT % | 7 P PHP-CGM % | 9 L INE % </v>
      </c>
      <c r="BE8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88" s="4" t="str">
        <f ca="1">IFERROR(__xludf.DUMMYFUNCTION("""COMPUTED_VALUE"""),"| 5 P NS @ | 7 L PHP-CGM @ | 9 P Python @ | 8 L JAVA @ ")</f>
        <v xml:space="preserve">| 5 P NS @ | 7 L PHP-CGM @ | 9 P Python @ | 8 L JAVA @ </v>
      </c>
      <c r="BG88" s="4" t="str">
        <f ca="1">IFERROR(__xludf.DUMMYFUNCTION("""COMPUTED_VALUE"""),"| 5 L PHP-CGM % | 6 L NS % | 7 P Python @ | 9 P PRO % ")</f>
        <v xml:space="preserve">| 5 L PHP-CGM % | 6 L NS % | 7 P Python @ | 9 P PRO % </v>
      </c>
      <c r="BH88" s="4" t="str">
        <f ca="1">IFERROR(__xludf.DUMMYFUNCTION("""COMPUTED_VALUE"""),"| 5 L JAVA @ | 6 L CPT @ | 7 P PHP-CGM @ | 9 L INE @ ")</f>
        <v xml:space="preserve">| 5 L JAVA @ | 6 L CPT @ | 7 P PHP-CGM @ | 9 L INE @ </v>
      </c>
      <c r="BI88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88" s="4" t="str">
        <f ca="1">IFERROR(__xludf.DUMMYFUNCTION("""COMPUTED_VALUE"""),"| 5 P NS % | 7 L JAVA % | 7 L PHP-CGM % ")</f>
        <v xml:space="preserve">| 5 P NS % | 7 L JAVA % | 7 L PHP-CGM % </v>
      </c>
      <c r="BK88" s="4" t="str">
        <f ca="1">IFERROR(__xludf.DUMMYFUNCTION("""COMPUTED_VALUE"""),"| 5 P JAVA @ | 7 L CPT @ | 9 P CPT @ | 8 L NS @ ")</f>
        <v xml:space="preserve">| 5 P JAVA @ | 7 L CPT @ | 9 P CPT @ | 8 L NS @ </v>
      </c>
      <c r="BL88" s="4" t="str">
        <f ca="1">IFERROR(__xludf.DUMMYFUNCTION("""COMPUTED_VALUE"""),"| 5 L PHP-CGM @ | 6 L NS @ | 7 P Python @ ")</f>
        <v xml:space="preserve">| 5 L PHP-CGM @ | 6 L NS @ | 7 P Python @ </v>
      </c>
      <c r="BM88" s="4" t="str">
        <f ca="1">IFERROR(__xludf.DUMMYFUNCTION("""COMPUTED_VALUE"""),"| 5 L JAVA @ | 6 L CPT @ | 7 P PHP-CGM @ | 9 L INE @ ")</f>
        <v xml:space="preserve">| 5 L JAVA @ | 6 L CPT @ | 7 P PHP-CGM @ | 9 L INE @ </v>
      </c>
      <c r="BN88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88" s="4" t="str">
        <f ca="1">IFERROR(__xludf.DUMMYFUNCTION("""COMPUTED_VALUE"""),"| 5 P NS @ | 7 L PHP-CGM @ ")</f>
        <v xml:space="preserve">| 5 P NS @ | 7 L PHP-CGM @ </v>
      </c>
      <c r="BP88" s="4" t="str">
        <f ca="1">IFERROR(__xludf.DUMMYFUNCTION("""COMPUTED_VALUE"""),"| 5 P JAVA % | 7 L CPT % | 8 L NS @ | 9 P CPT @ ")</f>
        <v xml:space="preserve">| 5 P JAVA % | 7 L CPT % | 8 L NS @ | 9 P CPT @ </v>
      </c>
      <c r="BQ88" s="4" t="str">
        <f ca="1">IFERROR(__xludf.DUMMYFUNCTION("""COMPUTED_VALUE"""),"| 5 L JAVA @ | 6 L CPT @ ")</f>
        <v xml:space="preserve">| 5 L JAVA @ | 6 L CPT @ </v>
      </c>
      <c r="BR88" s="4" t="str">
        <f ca="1">IFERROR(__xludf.DUMMYFUNCTION("""COMPUTED_VALUE"""),"| 7 L JAVA @ ")</f>
        <v xml:space="preserve">| 7 L JAVA @ </v>
      </c>
      <c r="BS88" s="4"/>
      <c r="BT88" s="4" t="str">
        <f ca="1">IFERROR(__xludf.DUMMYFUNCTION("""COMPUTED_VALUE"""),"| 7 L CPT @ | 9 P CPT @ ")</f>
        <v xml:space="preserve">| 7 L CPT @ | 9 P CPT @ </v>
      </c>
      <c r="BU88" s="4"/>
      <c r="BV88" s="4" t="str">
        <f ca="1">IFERROR(__xludf.DUMMYFUNCTION("""COMPUTED_VALUE"""),"| 5 P JAVA @ | 7 L CPT @ | 8 L NS @ ")</f>
        <v xml:space="preserve">| 5 P JAVA @ | 7 L CPT @ | 8 L NS @ </v>
      </c>
      <c r="BW88" s="4"/>
      <c r="BX88" s="4" t="str">
        <f ca="1">IFERROR(__xludf.DUMMYFUNCTION("""COMPUTED_VALUE"""),"| 5 L JAVA @ | 6 L CPT @ | 7 P PHP-CGM @ ")</f>
        <v xml:space="preserve">| 5 L JAVA @ | 6 L CPT @ | 7 P PHP-CGM @ </v>
      </c>
      <c r="BY88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88" s="4" t="str">
        <f ca="1">IFERROR(__xludf.DUMMYFUNCTION("""COMPUTED_VALUE"""),"| 5 P NS @ | 8 L JAVA @ | 7 L PHP-CGM @ | 9 P Python @ ")</f>
        <v xml:space="preserve">| 5 P NS @ | 8 L JAVA @ | 7 L PHP-CGM @ | 9 P Python @ </v>
      </c>
      <c r="CA88" s="4" t="str">
        <f ca="1">IFERROR(__xludf.DUMMYFUNCTION("""COMPUTED_VALUE"""),"| 5 P JAVA @ | 7 L CPT % | 8 L NS % | 9 P CPT @ ")</f>
        <v xml:space="preserve">| 5 P JAVA @ | 7 L CPT % | 8 L NS % | 9 P CPT @ </v>
      </c>
      <c r="CB88" s="4" t="str">
        <f ca="1">IFERROR(__xludf.DUMMYFUNCTION("""COMPUTED_VALUE"""),"| 5 L PHP-CGM % | 6 L NS % | 7 P Python % ")</f>
        <v xml:space="preserve">| 5 L PHP-CGM % | 6 L NS % | 7 P Python % </v>
      </c>
      <c r="CC88" s="4" t="str">
        <f ca="1">IFERROR(__xludf.DUMMYFUNCTION("""COMPUTED_VALUE"""),"| 5 L JAVA % | 7 P PHP-CGM @ | 9 L INE % ")</f>
        <v xml:space="preserve">| 5 L JAVA % | 7 P PHP-CGM @ | 9 L INE % </v>
      </c>
      <c r="CD88" s="4" t="str">
        <f ca="1">IFERROR(__xludf.DUMMYFUNCTION("""COMPUTED_VALUE"""),"| 5 L PHP-CGM % | 6 L NS % | 7 L JAVA @ | 8 L CPT @ | 9 P JAVA % ")</f>
        <v xml:space="preserve">| 5 L PHP-CGM % | 6 L NS % | 7 L JAVA @ | 8 L CPT @ | 9 P JAVA % </v>
      </c>
      <c r="CE88" s="4" t="str">
        <f ca="1">IFERROR(__xludf.DUMMYFUNCTION("""COMPUTED_VALUE"""),"| 5 P NS % | 8 L JAVA @ | 7 L PHP-CGM @ ")</f>
        <v xml:space="preserve">| 5 P NS % | 8 L JAVA @ | 7 L PHP-CGM @ </v>
      </c>
      <c r="CF88" s="4" t="str">
        <f ca="1">IFERROR(__xludf.DUMMYFUNCTION("""COMPUTED_VALUE"""),"| 7 L CPT @ | 8 L NS @ | 5 P JAVA % | 9 P CPT @ ")</f>
        <v xml:space="preserve">| 7 L CPT @ | 8 L NS @ | 5 P JAVA % | 9 P CPT @ </v>
      </c>
      <c r="CG88" s="4" t="str">
        <f ca="1">IFERROR(__xludf.DUMMYFUNCTION("""COMPUTED_VALUE"""),"| 5 L PHP-CGM @ | 6 L NS @ | 7 P Python @ ")</f>
        <v xml:space="preserve">| 5 L PHP-CGM @ | 6 L NS @ | 7 P Python @ </v>
      </c>
      <c r="CH88" s="4" t="str">
        <f ca="1">IFERROR(__xludf.DUMMYFUNCTION("""COMPUTED_VALUE"""),"| 5 L JAVA @ | 6 L CPT @ | 7 P PHP-CGM @ | 9 L INE @ ")</f>
        <v xml:space="preserve">| 5 L JAVA @ | 6 L CPT @ | 7 P PHP-CGM @ | 9 L INE @ </v>
      </c>
      <c r="CI88" s="4" t="str">
        <f ca="1">IFERROR(__xludf.DUMMYFUNCTION("""COMPUTED_VALUE"""),"| 5 L PHP-CGM @ | 7 L JAVA @ | 8 L CPT @ ")</f>
        <v xml:space="preserve">| 5 L PHP-CGM @ | 7 L JAVA @ | 8 L CPT @ </v>
      </c>
      <c r="CJ88" s="4" t="str">
        <f ca="1">IFERROR(__xludf.DUMMYFUNCTION("""COMPUTED_VALUE"""),"| 5 P NS % ")</f>
        <v xml:space="preserve">| 5 P NS % </v>
      </c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</row>
    <row r="89" spans="1:102" ht="12.5" x14ac:dyDescent="0.25">
      <c r="A89" s="3">
        <f ca="1">IFERROR(__xludf.DUMMYFUNCTION("""COMPUTED_VALUE"""),1)</f>
        <v>1</v>
      </c>
      <c r="B89" s="3" t="str">
        <f ca="1">IFERROR(__xludf.DUMMYFUNCTION("""COMPUTED_VALUE"""),"B")</f>
        <v>B</v>
      </c>
      <c r="C89" s="32" t="str">
        <f ca="1">IFERROR(__xludf.DUMMYFUNCTION("""COMPUTED_VALUE"""),"23291341023")</f>
        <v>23291341023</v>
      </c>
      <c r="D89" s="4" t="str">
        <f ca="1">IFERROR(__xludf.DUMMYFUNCTION("""COMPUTED_VALUE"""),"DALSANIYA BRIJ MANOJBHAI")</f>
        <v>DALSANIYA BRIJ MANOJBHAI</v>
      </c>
      <c r="E89" s="3" t="str">
        <f ca="1">IFERROR(__xludf.DUMMYFUNCTION("""COMPUTED_VALUE"""),"HAM/HDP-EVE")</f>
        <v>HAM/HDP-EVE</v>
      </c>
      <c r="F89" s="3">
        <f ca="1">IFERROR(__xludf.DUMMYFUNCTION("""COMPUTED_VALUE"""),8153880507)</f>
        <v>8153880507</v>
      </c>
      <c r="G89" s="3">
        <f ca="1">IFERROR(__xludf.DUMMYFUNCTION("""COMPUTED_VALUE"""),9913540506)</f>
        <v>9913540506</v>
      </c>
      <c r="H89" s="33">
        <f ca="1">IFERROR(__xludf.DUMMYFUNCTION("""COMPUTED_VALUE"""),0.784482758620689)</f>
        <v>0.78448275862068895</v>
      </c>
      <c r="I89" s="25">
        <f ca="1">IFERROR(__xludf.DUMMYFUNCTION("""COMPUTED_VALUE"""),0.702702702702702)</f>
        <v>0.70270270270270196</v>
      </c>
      <c r="J89" s="25">
        <f ca="1">IFERROR(__xludf.DUMMYFUNCTION("""COMPUTED_VALUE"""),0.666666666666666)</f>
        <v>0.66666666666666596</v>
      </c>
      <c r="K89" s="25">
        <f ca="1">IFERROR(__xludf.DUMMYFUNCTION("""COMPUTED_VALUE"""),0.705882352941176)</f>
        <v>0.70588235294117596</v>
      </c>
      <c r="L89" s="25">
        <f ca="1">IFERROR(__xludf.DUMMYFUNCTION("""COMPUTED_VALUE"""),0.636363636363636)</f>
        <v>0.63636363636363602</v>
      </c>
      <c r="M89" s="25">
        <f ca="1">IFERROR(__xludf.DUMMYFUNCTION("""COMPUTED_VALUE"""),0.914285714285714)</f>
        <v>0.91428571428571404</v>
      </c>
      <c r="N89" s="25">
        <f ca="1">IFERROR(__xludf.DUMMYFUNCTION("""COMPUTED_VALUE"""),0.909090909090909)</f>
        <v>0.90909090909090895</v>
      </c>
      <c r="O89" s="25">
        <f ca="1">IFERROR(__xludf.DUMMYFUNCTION("""COMPUTED_VALUE"""),0.857142857142857)</f>
        <v>0.85714285714285698</v>
      </c>
      <c r="P89" s="25">
        <f ca="1">IFERROR(__xludf.DUMMYFUNCTION("""COMPUTED_VALUE"""),0.869565217391304)</f>
        <v>0.86956521739130399</v>
      </c>
      <c r="Q89" s="25">
        <f ca="1">IFERROR(__xludf.DUMMYFUNCTION("""COMPUTED_VALUE"""),0)</f>
        <v>0</v>
      </c>
      <c r="R89" s="25">
        <f ca="1">IFERROR(__xludf.DUMMYFUNCTION("""COMPUTED_VALUE"""),0.842105263157894)</f>
        <v>0.84210526315789402</v>
      </c>
      <c r="S89" s="25">
        <f ca="1">IFERROR(__xludf.DUMMYFUNCTION("""COMPUTED_VALUE"""),0)</f>
        <v>0</v>
      </c>
      <c r="T89" s="25">
        <f ca="1">IFERROR(__xludf.DUMMYFUNCTION("""COMPUTED_VALUE"""),0.571428571428571)</f>
        <v>0.57142857142857095</v>
      </c>
      <c r="U89" s="25">
        <f ca="1">IFERROR(__xludf.DUMMYFUNCTION("""COMPUTED_VALUE"""),0.625)</f>
        <v>0.625</v>
      </c>
      <c r="V89" s="25">
        <f ca="1">IFERROR(__xludf.DUMMYFUNCTION("""COMPUTED_VALUE"""),0)</f>
        <v>0</v>
      </c>
      <c r="W89" s="4"/>
      <c r="X89" s="4" t="str">
        <f ca="1">IFERROR(__xludf.DUMMYFUNCTION("""COMPUTED_VALUE"""),"| 5 P JAVA % | 7 L CPT % | 8 L NS % | 9 P CPT % ")</f>
        <v xml:space="preserve">| 5 P JAVA % | 7 L CPT % | 8 L NS % | 9 P CPT % </v>
      </c>
      <c r="Y89" s="4" t="str">
        <f ca="1">IFERROR(__xludf.DUMMYFUNCTION("""COMPUTED_VALUE"""),"| 5 L PHP-CGM % | 6 L NS % | 7 P Python % | 9 P PRO % ")</f>
        <v xml:space="preserve">| 5 L PHP-CGM % | 6 L NS % | 7 P Python % | 9 P PRO % </v>
      </c>
      <c r="Z89" s="4" t="str">
        <f ca="1">IFERROR(__xludf.DUMMYFUNCTION("""COMPUTED_VALUE"""),"| 5 L JAVA % | 6 L CPT % | 7 P PHP-CGM % ")</f>
        <v xml:space="preserve">| 5 L JAVA % | 6 L CPT % | 7 P PHP-CGM % </v>
      </c>
      <c r="AA89" s="4" t="str">
        <f ca="1">IFERROR(__xludf.DUMMYFUNCTION("""COMPUTED_VALUE"""),"| 5 L PHP-CGM % | 7 L JAVA % | 9 P JAVA % | 8 L CPT % ")</f>
        <v xml:space="preserve">| 5 L PHP-CGM % | 7 L JAVA % | 9 P JAVA % | 8 L CPT % </v>
      </c>
      <c r="AB89" s="4" t="str">
        <f ca="1">IFERROR(__xludf.DUMMYFUNCTION("""COMPUTED_VALUE"""),"| 4 P Python % | 7 L PHP-CGM % | 8 L JAVA % | 9 P Python % ")</f>
        <v xml:space="preserve">| 4 P Python % | 7 L PHP-CGM % | 8 L JAVA % | 9 P Python % </v>
      </c>
      <c r="AC89" s="4" t="str">
        <f ca="1">IFERROR(__xludf.DUMMYFUNCTION("""COMPUTED_VALUE"""),"| 5 P JAVA % | 7 L CPT % | 8 L NS % | 9 P CPT % ")</f>
        <v xml:space="preserve">| 5 P JAVA % | 7 L CPT % | 8 L NS % | 9 P CPT % </v>
      </c>
      <c r="AD89" s="4" t="str">
        <f ca="1">IFERROR(__xludf.DUMMYFUNCTION("""COMPUTED_VALUE"""),"| 5 L PHP-CGM % | 6 L NS % | 7 P Python % ")</f>
        <v xml:space="preserve">| 5 L PHP-CGM % | 6 L NS % | 7 P Python % </v>
      </c>
      <c r="AE89" s="4" t="str">
        <f ca="1">IFERROR(__xludf.DUMMYFUNCTION("""COMPUTED_VALUE"""),"| 5 L JAVA % | 6 L CPT % | 7 P PHP-CGM % ")</f>
        <v xml:space="preserve">| 5 L JAVA % | 6 L CPT % | 7 P PHP-CGM % </v>
      </c>
      <c r="AF8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89" s="4" t="str">
        <f ca="1">IFERROR(__xludf.DUMMYFUNCTION("""COMPUTED_VALUE"""),"| 5 P NS % | 8 L JAVA % | 7 L PHP-CGM % | 9 P Python % ")</f>
        <v xml:space="preserve">| 5 P NS % | 8 L JAVA % | 7 L PHP-CGM % | 9 P Python % </v>
      </c>
      <c r="AH8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89" s="4" t="str">
        <f ca="1">IFERROR(__xludf.DUMMYFUNCTION("""COMPUTED_VALUE"""),"| 5 P NS % | 8 L JAVA % | 7 L PHP-CGM % | 9 P Python % ")</f>
        <v xml:space="preserve">| 5 P NS % | 8 L JAVA % | 7 L PHP-CGM % | 9 P Python % </v>
      </c>
      <c r="AJ89" s="4" t="str">
        <f ca="1">IFERROR(__xludf.DUMMYFUNCTION("""COMPUTED_VALUE"""),"| 5 P JAVA % | 7 L CPT % | 8 L NS % | 9 P CPT % ")</f>
        <v xml:space="preserve">| 5 P JAVA % | 7 L CPT % | 8 L NS % | 9 P CPT % </v>
      </c>
      <c r="AK89" s="4" t="str">
        <f ca="1">IFERROR(__xludf.DUMMYFUNCTION("""COMPUTED_VALUE"""),"| 5 L PHP-CGM % | 6 L NS % | 7 P Python % | 9 P PRO % ")</f>
        <v xml:space="preserve">| 5 L PHP-CGM % | 6 L NS % | 7 P Python % | 9 P PRO % </v>
      </c>
      <c r="AL89" s="4" t="str">
        <f ca="1">IFERROR(__xludf.DUMMYFUNCTION("""COMPUTED_VALUE"""),"| 5 L JAVA % | 6 L CPT % | 7 P PHP-CGM % | 9 L INE % ")</f>
        <v xml:space="preserve">| 5 L JAVA % | 6 L CPT % | 7 P PHP-CGM % | 9 L INE % </v>
      </c>
      <c r="AM8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89" s="4" t="str">
        <f ca="1">IFERROR(__xludf.DUMMYFUNCTION("""COMPUTED_VALUE"""),"| 5 P NS % | 8 L JAVA % | 7 L PHP-CGM % | 9 P Python % ")</f>
        <v xml:space="preserve">| 5 P NS % | 8 L JAVA % | 7 L PHP-CGM % | 9 P Python % </v>
      </c>
      <c r="AO89" s="4" t="str">
        <f ca="1">IFERROR(__xludf.DUMMYFUNCTION("""COMPUTED_VALUE"""),"| 5 P JAVA % | 7 L CPT % | 8 L NS % | 9 P CPT % ")</f>
        <v xml:space="preserve">| 5 P JAVA % | 7 L CPT % | 8 L NS % | 9 P CPT % </v>
      </c>
      <c r="AP89" s="4" t="str">
        <f ca="1">IFERROR(__xludf.DUMMYFUNCTION("""COMPUTED_VALUE"""),"| 5 L PHP-CGM % | 6 L NS % | 7 P Python % | 9 P PRO @ ")</f>
        <v xml:space="preserve">| 5 L PHP-CGM % | 6 L NS % | 7 P Python % | 9 P PRO @ </v>
      </c>
      <c r="AQ89" s="4" t="str">
        <f ca="1">IFERROR(__xludf.DUMMYFUNCTION("""COMPUTED_VALUE"""),"| 5 L CPT @ | 7 L JAVA @ | 7 P PHP-CGM @ | 9 L INE @ ")</f>
        <v xml:space="preserve">| 5 L CPT @ | 7 L JAVA @ | 7 P PHP-CGM @ | 9 L INE @ </v>
      </c>
      <c r="AR89" s="4" t="str">
        <f ca="1">IFERROR(__xludf.DUMMYFUNCTION("""COMPUTED_VALUE"""),"| 5 L PHP-CGM @ | 6 L NS @ | 8 L CPT @ ")</f>
        <v xml:space="preserve">| 5 L PHP-CGM @ | 6 L NS @ | 8 L CPT @ </v>
      </c>
      <c r="AS89" s="4" t="str">
        <f ca="1">IFERROR(__xludf.DUMMYFUNCTION("""COMPUTED_VALUE"""),"| 5 P JAVA % | 7 L CPT % | 8 L NS % | 9 P CPT % ")</f>
        <v xml:space="preserve">| 5 P JAVA % | 7 L CPT % | 8 L NS % | 9 P CPT % </v>
      </c>
      <c r="AT89" s="4" t="str">
        <f ca="1">IFERROR(__xludf.DUMMYFUNCTION("""COMPUTED_VALUE"""),"| 5 L PHP-CGM % | 6 L NS % | 7 P Python % | 9 P PRO % ")</f>
        <v xml:space="preserve">| 5 L PHP-CGM % | 6 L NS % | 7 P Python % | 9 P PRO % </v>
      </c>
      <c r="AU89" s="4" t="str">
        <f ca="1">IFERROR(__xludf.DUMMYFUNCTION("""COMPUTED_VALUE"""),"| 5 L JAVA % | 6 L CPT % | 7 P PHP-CGM % | 9 L INE % ")</f>
        <v xml:space="preserve">| 5 L JAVA % | 6 L CPT % | 7 P PHP-CGM % | 9 L INE % </v>
      </c>
      <c r="AV89" s="4" t="str">
        <f ca="1">IFERROR(__xludf.DUMMYFUNCTION("""COMPUTED_VALUE"""),"| 5 L PHP-CGM % | 6 L NS @ | 7 L JAVA @ | 8 L CPT @ | 9 P JAVA @ ")</f>
        <v xml:space="preserve">| 5 L PHP-CGM % | 6 L NS @ | 7 L JAVA @ | 8 L CPT @ | 9 P JAVA @ </v>
      </c>
      <c r="AW89" s="4" t="str">
        <f ca="1">IFERROR(__xludf.DUMMYFUNCTION("""COMPUTED_VALUE"""),"| 5 P NS % | 7 L PHP-CGM @ | 8 L JAVA @ | 9 P Python % ")</f>
        <v xml:space="preserve">| 5 P NS % | 7 L PHP-CGM @ | 8 L JAVA @ | 9 P Python % </v>
      </c>
      <c r="AX89" s="4" t="str">
        <f ca="1">IFERROR(__xludf.DUMMYFUNCTION("""COMPUTED_VALUE"""),"| 5 P JAVA % | 7 L CPT % | 8 L NS % | 9 P CPT % ")</f>
        <v xml:space="preserve">| 5 P JAVA % | 7 L CPT % | 8 L NS % | 9 P CPT % </v>
      </c>
      <c r="AY89" s="4" t="str">
        <f ca="1">IFERROR(__xludf.DUMMYFUNCTION("""COMPUTED_VALUE"""),"| 5 L PHP-CGM % | 6 L NS % | 7 P Python % | 9 P PRO % ")</f>
        <v xml:space="preserve">| 5 L PHP-CGM % | 6 L NS % | 7 P Python % | 9 P PRO % </v>
      </c>
      <c r="AZ8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89" s="4" t="str">
        <f ca="1">IFERROR(__xludf.DUMMYFUNCTION("""COMPUTED_VALUE"""),"| 5 P NS @ | 7 L PHP-CGM % | 8 L JAVA % ")</f>
        <v xml:space="preserve">| 5 P NS @ | 7 L PHP-CGM % | 8 L JAVA % </v>
      </c>
      <c r="BB89" s="4" t="str">
        <f ca="1">IFERROR(__xludf.DUMMYFUNCTION("""COMPUTED_VALUE"""),"| 5 P JAVA @ | 7 L CPT @ | 8 L NS @ | 9 P CPT @ ")</f>
        <v xml:space="preserve">| 5 P JAVA @ | 7 L CPT @ | 8 L NS @ | 9 P CPT @ </v>
      </c>
      <c r="BC89" s="4" t="str">
        <f ca="1">IFERROR(__xludf.DUMMYFUNCTION("""COMPUTED_VALUE"""),"| 5 L PHP-CGM % | 6 L NS @ | 7 P Python @ | 9 P PRO @ ")</f>
        <v xml:space="preserve">| 5 L PHP-CGM % | 6 L NS @ | 7 P Python @ | 9 P PRO @ </v>
      </c>
      <c r="BD89" s="4" t="str">
        <f ca="1">IFERROR(__xludf.DUMMYFUNCTION("""COMPUTED_VALUE"""),"| 5 L JAVA % | 6 L CPT @ | 7 P PHP-CGM % | 9 L INE % ")</f>
        <v xml:space="preserve">| 5 L JAVA % | 6 L CPT @ | 7 P PHP-CGM % | 9 L INE % </v>
      </c>
      <c r="BE89" s="4" t="str">
        <f ca="1">IFERROR(__xludf.DUMMYFUNCTION("""COMPUTED_VALUE"""),"| 5 L PHP-CGM % | 6 L NS @ | 7 L JAVA % | 8 L CPT @ | 9 P JAVA % ")</f>
        <v xml:space="preserve">| 5 L PHP-CGM % | 6 L NS @ | 7 L JAVA % | 8 L CPT @ | 9 P JAVA % </v>
      </c>
      <c r="BF89" s="4" t="str">
        <f ca="1">IFERROR(__xludf.DUMMYFUNCTION("""COMPUTED_VALUE"""),"| 5 P NS @ | 7 L PHP-CGM % | 9 P Python % | 8 L JAVA % ")</f>
        <v xml:space="preserve">| 5 P NS @ | 7 L PHP-CGM % | 9 P Python % | 8 L JAVA % </v>
      </c>
      <c r="BG89" s="4" t="str">
        <f ca="1">IFERROR(__xludf.DUMMYFUNCTION("""COMPUTED_VALUE"""),"| 5 L PHP-CGM % | 6 L NS @ | 7 P Python @ | 9 P PRO @ ")</f>
        <v xml:space="preserve">| 5 L PHP-CGM % | 6 L NS @ | 7 P Python @ | 9 P PRO @ </v>
      </c>
      <c r="BH89" s="4" t="str">
        <f ca="1">IFERROR(__xludf.DUMMYFUNCTION("""COMPUTED_VALUE"""),"| 5 L JAVA % | 6 L CPT @ | 7 P PHP-CGM % | 9 L INE % ")</f>
        <v xml:space="preserve">| 5 L JAVA % | 6 L CPT @ | 7 P PHP-CGM % | 9 L INE % </v>
      </c>
      <c r="BI89" s="4" t="str">
        <f ca="1">IFERROR(__xludf.DUMMYFUNCTION("""COMPUTED_VALUE"""),"| 5 L PHP-CGM % | 6 L NS @ | 7 L JAVA % | 8 L CPT @ | 9 P JAVA % ")</f>
        <v xml:space="preserve">| 5 L PHP-CGM % | 6 L NS @ | 7 L JAVA % | 8 L CPT @ | 9 P JAVA % </v>
      </c>
      <c r="BJ89" s="4" t="str">
        <f ca="1">IFERROR(__xludf.DUMMYFUNCTION("""COMPUTED_VALUE"""),"| 5 P NS @ | 7 L JAVA % | 7 L PHP-CGM % ")</f>
        <v xml:space="preserve">| 5 P NS @ | 7 L JAVA % | 7 L PHP-CGM % </v>
      </c>
      <c r="BK89" s="4" t="str">
        <f ca="1">IFERROR(__xludf.DUMMYFUNCTION("""COMPUTED_VALUE"""),"| 5 P JAVA % | 7 L CPT % | 9 P CPT @ | 8 L NS @ ")</f>
        <v xml:space="preserve">| 5 P JAVA % | 7 L CPT % | 9 P CPT @ | 8 L NS @ </v>
      </c>
      <c r="BL89" s="4" t="str">
        <f ca="1">IFERROR(__xludf.DUMMYFUNCTION("""COMPUTED_VALUE"""),"| 5 L PHP-CGM % | 6 L NS % | 7 P Python @ ")</f>
        <v xml:space="preserve">| 5 L PHP-CGM % | 6 L NS % | 7 P Python @ </v>
      </c>
      <c r="BM89" s="4" t="str">
        <f ca="1">IFERROR(__xludf.DUMMYFUNCTION("""COMPUTED_VALUE"""),"| 5 L JAVA % | 6 L CPT % | 7 P PHP-CGM % | 9 L INE @ ")</f>
        <v xml:space="preserve">| 5 L JAVA % | 6 L CPT % | 7 P PHP-CGM % | 9 L INE @ </v>
      </c>
      <c r="BN89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89" s="4" t="str">
        <f ca="1">IFERROR(__xludf.DUMMYFUNCTION("""COMPUTED_VALUE"""),"| 5 P NS @ | 7 L PHP-CGM % ")</f>
        <v xml:space="preserve">| 5 P NS @ | 7 L PHP-CGM % </v>
      </c>
      <c r="BP89" s="4" t="str">
        <f ca="1">IFERROR(__xludf.DUMMYFUNCTION("""COMPUTED_VALUE"""),"| 5 P JAVA % | 7 L CPT % | 8 L NS @ | 9 P CPT @ ")</f>
        <v xml:space="preserve">| 5 P JAVA % | 7 L CPT % | 8 L NS @ | 9 P CPT @ </v>
      </c>
      <c r="BQ89" s="4" t="str">
        <f ca="1">IFERROR(__xludf.DUMMYFUNCTION("""COMPUTED_VALUE"""),"| 5 L JAVA % | 6 L CPT % ")</f>
        <v xml:space="preserve">| 5 L JAVA % | 6 L CPT % </v>
      </c>
      <c r="BR89" s="4" t="str">
        <f ca="1">IFERROR(__xludf.DUMMYFUNCTION("""COMPUTED_VALUE"""),"| 7 L JAVA % ")</f>
        <v xml:space="preserve">| 7 L JAVA % </v>
      </c>
      <c r="BS89" s="4"/>
      <c r="BT89" s="4" t="str">
        <f ca="1">IFERROR(__xludf.DUMMYFUNCTION("""COMPUTED_VALUE"""),"| 7 L CPT @ | 9 P CPT @ ")</f>
        <v xml:space="preserve">| 7 L CPT @ | 9 P CPT @ </v>
      </c>
      <c r="BU89" s="4"/>
      <c r="BV89" s="4" t="str">
        <f ca="1">IFERROR(__xludf.DUMMYFUNCTION("""COMPUTED_VALUE"""),"| 5 P JAVA % | 7 L CPT % | 8 L NS % ")</f>
        <v xml:space="preserve">| 5 P JAVA % | 7 L CPT % | 8 L NS % </v>
      </c>
      <c r="BW89" s="4"/>
      <c r="BX89" s="4" t="str">
        <f ca="1">IFERROR(__xludf.DUMMYFUNCTION("""COMPUTED_VALUE"""),"| 5 L JAVA % | 6 L CPT % | 7 P PHP-CGM % ")</f>
        <v xml:space="preserve">| 5 L JAVA % | 6 L CPT % | 7 P PHP-CGM % </v>
      </c>
      <c r="BY8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89" s="4" t="str">
        <f ca="1">IFERROR(__xludf.DUMMYFUNCTION("""COMPUTED_VALUE"""),"| 5 P NS % | 8 L JAVA % | 7 L PHP-CGM % | 9 P Python % ")</f>
        <v xml:space="preserve">| 5 P NS % | 8 L JAVA % | 7 L PHP-CGM % | 9 P Python % </v>
      </c>
      <c r="CA89" s="4" t="str">
        <f ca="1">IFERROR(__xludf.DUMMYFUNCTION("""COMPUTED_VALUE"""),"| 5 P JAVA % | 7 L CPT % | 8 L NS % | 9 P CPT % ")</f>
        <v xml:space="preserve">| 5 P JAVA % | 7 L CPT % | 8 L NS % | 9 P CPT % </v>
      </c>
      <c r="CB89" s="4" t="str">
        <f ca="1">IFERROR(__xludf.DUMMYFUNCTION("""COMPUTED_VALUE"""),"| 5 L PHP-CGM % | 6 L NS % | 7 P Python % ")</f>
        <v xml:space="preserve">| 5 L PHP-CGM % | 6 L NS % | 7 P Python % </v>
      </c>
      <c r="CC89" s="4" t="str">
        <f ca="1">IFERROR(__xludf.DUMMYFUNCTION("""COMPUTED_VALUE"""),"| 5 L JAVA % | 7 P PHP-CGM % | 9 L INE % ")</f>
        <v xml:space="preserve">| 5 L JAVA % | 7 P PHP-CGM % | 9 L INE % </v>
      </c>
      <c r="CD89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89" s="4" t="str">
        <f ca="1">IFERROR(__xludf.DUMMYFUNCTION("""COMPUTED_VALUE"""),"| 5 P NS % | 8 L JAVA % | 7 L PHP-CGM % ")</f>
        <v xml:space="preserve">| 5 P NS % | 8 L JAVA % | 7 L PHP-CGM % </v>
      </c>
      <c r="CF89" s="4" t="str">
        <f ca="1">IFERROR(__xludf.DUMMYFUNCTION("""COMPUTED_VALUE"""),"| 7 L CPT % | 8 L NS % | 5 P JAVA % | 9 P CPT % ")</f>
        <v xml:space="preserve">| 7 L CPT % | 8 L NS % | 5 P JAVA % | 9 P CPT % </v>
      </c>
      <c r="CG89" s="4" t="str">
        <f ca="1">IFERROR(__xludf.DUMMYFUNCTION("""COMPUTED_VALUE"""),"| 5 L PHP-CGM % | 6 L NS % | 7 P Python % ")</f>
        <v xml:space="preserve">| 5 L PHP-CGM % | 6 L NS % | 7 P Python % </v>
      </c>
      <c r="CH89" s="4" t="str">
        <f ca="1">IFERROR(__xludf.DUMMYFUNCTION("""COMPUTED_VALUE"""),"| 5 L JAVA % | 6 L CPT % | 7 P PHP-CGM % | 9 L INE @ ")</f>
        <v xml:space="preserve">| 5 L JAVA % | 6 L CPT % | 7 P PHP-CGM % | 9 L INE @ </v>
      </c>
      <c r="CI89" s="4" t="str">
        <f ca="1">IFERROR(__xludf.DUMMYFUNCTION("""COMPUTED_VALUE"""),"| 5 L PHP-CGM % | 7 L JAVA @ | 8 L CPT @ ")</f>
        <v xml:space="preserve">| 5 L PHP-CGM % | 7 L JAVA @ | 8 L CPT @ </v>
      </c>
      <c r="CJ89" s="4" t="str">
        <f ca="1">IFERROR(__xludf.DUMMYFUNCTION("""COMPUTED_VALUE"""),"| 5 P NS % ")</f>
        <v xml:space="preserve">| 5 P NS % </v>
      </c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</row>
    <row r="90" spans="1:102" ht="12.5" x14ac:dyDescent="0.25">
      <c r="A90" s="3">
        <f ca="1">IFERROR(__xludf.DUMMYFUNCTION("""COMPUTED_VALUE"""),1)</f>
        <v>1</v>
      </c>
      <c r="B90" s="3" t="str">
        <f ca="1">IFERROR(__xludf.DUMMYFUNCTION("""COMPUTED_VALUE"""),"B")</f>
        <v>B</v>
      </c>
      <c r="C90" s="32" t="str">
        <f ca="1">IFERROR(__xludf.DUMMYFUNCTION("""COMPUTED_VALUE"""),"23291341024")</f>
        <v>23291341024</v>
      </c>
      <c r="D90" s="4" t="str">
        <f ca="1">IFERROR(__xludf.DUMMYFUNCTION("""COMPUTED_VALUE"""),"DARJI AASTHA PARAGBHAI")</f>
        <v>DARJI AASTHA PARAGBHAI</v>
      </c>
      <c r="E90" s="3" t="str">
        <f ca="1">IFERROR(__xludf.DUMMYFUNCTION("""COMPUTED_VALUE"""),"HAM/HDP-EVE")</f>
        <v>HAM/HDP-EVE</v>
      </c>
      <c r="F90" s="3">
        <f ca="1">IFERROR(__xludf.DUMMYFUNCTION("""COMPUTED_VALUE"""),8490986498)</f>
        <v>8490986498</v>
      </c>
      <c r="G90" s="3">
        <f ca="1">IFERROR(__xludf.DUMMYFUNCTION("""COMPUTED_VALUE"""),9925249058)</f>
        <v>9925249058</v>
      </c>
      <c r="H90" s="33">
        <f ca="1">IFERROR(__xludf.DUMMYFUNCTION("""COMPUTED_VALUE"""),0.719827586206896)</f>
        <v>0.71982758620689602</v>
      </c>
      <c r="I90" s="25">
        <f ca="1">IFERROR(__xludf.DUMMYFUNCTION("""COMPUTED_VALUE"""),0.621621621621621)</f>
        <v>0.62162162162162105</v>
      </c>
      <c r="J90" s="25">
        <f ca="1">IFERROR(__xludf.DUMMYFUNCTION("""COMPUTED_VALUE"""),0.583333333333333)</f>
        <v>0.58333333333333304</v>
      </c>
      <c r="K90" s="25">
        <f ca="1">IFERROR(__xludf.DUMMYFUNCTION("""COMPUTED_VALUE"""),0.764705882352941)</f>
        <v>0.76470588235294101</v>
      </c>
      <c r="L90" s="25">
        <f ca="1">IFERROR(__xludf.DUMMYFUNCTION("""COMPUTED_VALUE"""),0.909090909090909)</f>
        <v>0.90909090909090895</v>
      </c>
      <c r="M90" s="25">
        <f ca="1">IFERROR(__xludf.DUMMYFUNCTION("""COMPUTED_VALUE"""),0.8)</f>
        <v>0.8</v>
      </c>
      <c r="N90" s="25">
        <f ca="1">IFERROR(__xludf.DUMMYFUNCTION("""COMPUTED_VALUE"""),0.636363636363636)</f>
        <v>0.63636363636363602</v>
      </c>
      <c r="O90" s="25">
        <f ca="1">IFERROR(__xludf.DUMMYFUNCTION("""COMPUTED_VALUE"""),0.742857142857142)</f>
        <v>0.74285714285714199</v>
      </c>
      <c r="P90" s="25">
        <f ca="1">IFERROR(__xludf.DUMMYFUNCTION("""COMPUTED_VALUE"""),0.695652173913043)</f>
        <v>0.69565217391304301</v>
      </c>
      <c r="Q90" s="25">
        <f ca="1">IFERROR(__xludf.DUMMYFUNCTION("""COMPUTED_VALUE"""),0)</f>
        <v>0</v>
      </c>
      <c r="R90" s="25">
        <f ca="1">IFERROR(__xludf.DUMMYFUNCTION("""COMPUTED_VALUE"""),0.842105263157894)</f>
        <v>0.84210526315789402</v>
      </c>
      <c r="S90" s="25">
        <f ca="1">IFERROR(__xludf.DUMMYFUNCTION("""COMPUTED_VALUE"""),0)</f>
        <v>0</v>
      </c>
      <c r="T90" s="25">
        <f ca="1">IFERROR(__xludf.DUMMYFUNCTION("""COMPUTED_VALUE"""),0.428571428571428)</f>
        <v>0.42857142857142799</v>
      </c>
      <c r="U90" s="25">
        <f ca="1">IFERROR(__xludf.DUMMYFUNCTION("""COMPUTED_VALUE"""),0.625)</f>
        <v>0.625</v>
      </c>
      <c r="V90" s="25">
        <f ca="1">IFERROR(__xludf.DUMMYFUNCTION("""COMPUTED_VALUE"""),0)</f>
        <v>0</v>
      </c>
      <c r="W90" s="4"/>
      <c r="X90" s="4" t="str">
        <f ca="1">IFERROR(__xludf.DUMMYFUNCTION("""COMPUTED_VALUE"""),"| 5 P JAVA @ | 7 L CPT @ | 8 L NS @ | 9 P CPT @ ")</f>
        <v xml:space="preserve">| 5 P JAVA @ | 7 L CPT @ | 8 L NS @ | 9 P CPT @ </v>
      </c>
      <c r="Y90" s="4" t="str">
        <f ca="1">IFERROR(__xludf.DUMMYFUNCTION("""COMPUTED_VALUE"""),"| 5 L PHP-CGM @ | 6 L NS @ | 7 P Python % | 9 P PRO @ ")</f>
        <v xml:space="preserve">| 5 L PHP-CGM @ | 6 L NS @ | 7 P Python % | 9 P PRO @ </v>
      </c>
      <c r="Z90" s="4" t="str">
        <f ca="1">IFERROR(__xludf.DUMMYFUNCTION("""COMPUTED_VALUE"""),"| 5 L JAVA @ | 6 L CPT @ | 7 P PHP-CGM @ ")</f>
        <v xml:space="preserve">| 5 L JAVA @ | 6 L CPT @ | 7 P PHP-CGM @ </v>
      </c>
      <c r="AA90" s="4" t="str">
        <f ca="1">IFERROR(__xludf.DUMMYFUNCTION("""COMPUTED_VALUE"""),"| 5 L PHP-CGM @ | 7 L JAVA @ | 9 P JAVA @ | 8 L CPT @ ")</f>
        <v xml:space="preserve">| 5 L PHP-CGM @ | 7 L JAVA @ | 9 P JAVA @ | 8 L CPT @ </v>
      </c>
      <c r="AB90" s="4" t="str">
        <f ca="1">IFERROR(__xludf.DUMMYFUNCTION("""COMPUTED_VALUE"""),"| 4 P Python @ | 7 L PHP-CGM @ | 8 L JAVA @ | 9 P Python @ ")</f>
        <v xml:space="preserve">| 4 P Python @ | 7 L PHP-CGM @ | 8 L JAVA @ | 9 P Python @ </v>
      </c>
      <c r="AC90" s="4" t="str">
        <f ca="1">IFERROR(__xludf.DUMMYFUNCTION("""COMPUTED_VALUE"""),"| 5 P JAVA % | 7 L CPT % | 8 L NS % | 9 P CPT % ")</f>
        <v xml:space="preserve">| 5 P JAVA % | 7 L CPT % | 8 L NS % | 9 P CPT % </v>
      </c>
      <c r="AD90" s="4" t="str">
        <f ca="1">IFERROR(__xludf.DUMMYFUNCTION("""COMPUTED_VALUE"""),"| 5 L PHP-CGM % | 6 L NS % | 7 P Python % ")</f>
        <v xml:space="preserve">| 5 L PHP-CGM % | 6 L NS % | 7 P Python % </v>
      </c>
      <c r="AE90" s="4" t="str">
        <f ca="1">IFERROR(__xludf.DUMMYFUNCTION("""COMPUTED_VALUE"""),"| 5 L JAVA % | 6 L CPT % | 7 P PHP-CGM % ")</f>
        <v xml:space="preserve">| 5 L JAVA % | 6 L CPT % | 7 P PHP-CGM % </v>
      </c>
      <c r="AF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90" s="4" t="str">
        <f ca="1">IFERROR(__xludf.DUMMYFUNCTION("""COMPUTED_VALUE"""),"| 5 P NS % | 8 L JAVA % | 7 L PHP-CGM % | 9 P Python % ")</f>
        <v xml:space="preserve">| 5 P NS % | 8 L JAVA % | 7 L PHP-CGM % | 9 P Python % </v>
      </c>
      <c r="AH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90" s="4" t="str">
        <f ca="1">IFERROR(__xludf.DUMMYFUNCTION("""COMPUTED_VALUE"""),"| 5 P NS % | 8 L JAVA % | 7 L PHP-CGM % | 9 P Python % ")</f>
        <v xml:space="preserve">| 5 P NS % | 8 L JAVA % | 7 L PHP-CGM % | 9 P Python % </v>
      </c>
      <c r="AJ90" s="4" t="str">
        <f ca="1">IFERROR(__xludf.DUMMYFUNCTION("""COMPUTED_VALUE"""),"| 5 P JAVA % | 7 L CPT % | 8 L NS % | 9 P CPT % ")</f>
        <v xml:space="preserve">| 5 P JAVA % | 7 L CPT % | 8 L NS % | 9 P CPT % </v>
      </c>
      <c r="AK90" s="4" t="str">
        <f ca="1">IFERROR(__xludf.DUMMYFUNCTION("""COMPUTED_VALUE"""),"| 5 L PHP-CGM % | 6 L NS % | 7 P Python % | 9 P PRO % ")</f>
        <v xml:space="preserve">| 5 L PHP-CGM % | 6 L NS % | 7 P Python % | 9 P PRO % </v>
      </c>
      <c r="AL90" s="4" t="str">
        <f ca="1">IFERROR(__xludf.DUMMYFUNCTION("""COMPUTED_VALUE"""),"| 5 L JAVA @ | 6 L CPT @ | 7 P PHP-CGM @ | 9 L INE @ ")</f>
        <v xml:space="preserve">| 5 L JAVA @ | 6 L CPT @ | 7 P PHP-CGM @ | 9 L INE @ </v>
      </c>
      <c r="AM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90" s="4" t="str">
        <f ca="1">IFERROR(__xludf.DUMMYFUNCTION("""COMPUTED_VALUE"""),"| 5 P NS % | 8 L JAVA % | 7 L PHP-CGM % | 9 P Python % ")</f>
        <v xml:space="preserve">| 5 P NS % | 8 L JAVA % | 7 L PHP-CGM % | 9 P Python % </v>
      </c>
      <c r="AO90" s="4" t="str">
        <f ca="1">IFERROR(__xludf.DUMMYFUNCTION("""COMPUTED_VALUE"""),"| 5 P JAVA % | 7 L CPT % | 8 L NS % | 9 P CPT % ")</f>
        <v xml:space="preserve">| 5 P JAVA % | 7 L CPT % | 8 L NS % | 9 P CPT % </v>
      </c>
      <c r="AP90" s="4" t="str">
        <f ca="1">IFERROR(__xludf.DUMMYFUNCTION("""COMPUTED_VALUE"""),"| 5 L PHP-CGM % | 6 L NS % | 7 P Python % | 9 P PRO @ ")</f>
        <v xml:space="preserve">| 5 L PHP-CGM % | 6 L NS % | 7 P Python % | 9 P PRO @ </v>
      </c>
      <c r="AQ90" s="4" t="str">
        <f ca="1">IFERROR(__xludf.DUMMYFUNCTION("""COMPUTED_VALUE"""),"| 5 L CPT % | 7 L JAVA % | 7 P PHP-CGM % | 9 L INE % ")</f>
        <v xml:space="preserve">| 5 L CPT % | 7 L JAVA % | 7 P PHP-CGM % | 9 L INE % </v>
      </c>
      <c r="AR90" s="4" t="str">
        <f ca="1">IFERROR(__xludf.DUMMYFUNCTION("""COMPUTED_VALUE"""),"| 5 L PHP-CGM % | 6 L NS % | 8 L CPT @ ")</f>
        <v xml:space="preserve">| 5 L PHP-CGM % | 6 L NS % | 8 L CPT @ </v>
      </c>
      <c r="AS90" s="4" t="str">
        <f ca="1">IFERROR(__xludf.DUMMYFUNCTION("""COMPUTED_VALUE"""),"| 5 P JAVA % | 7 L CPT % | 8 L NS % | 9 P CPT % ")</f>
        <v xml:space="preserve">| 5 P JAVA % | 7 L CPT % | 8 L NS % | 9 P CPT % </v>
      </c>
      <c r="AT90" s="4" t="str">
        <f ca="1">IFERROR(__xludf.DUMMYFUNCTION("""COMPUTED_VALUE"""),"| 5 L PHP-CGM % | 6 L NS % | 7 P Python % | 9 P PRO % ")</f>
        <v xml:space="preserve">| 5 L PHP-CGM % | 6 L NS % | 7 P Python % | 9 P PRO % </v>
      </c>
      <c r="AU90" s="4" t="str">
        <f ca="1">IFERROR(__xludf.DUMMYFUNCTION("""COMPUTED_VALUE"""),"| 5 L JAVA % | 6 L CPT % | 7 P PHP-CGM % | 9 L INE % ")</f>
        <v xml:space="preserve">| 5 L JAVA % | 6 L CPT % | 7 P PHP-CGM % | 9 L INE % </v>
      </c>
      <c r="AV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90" s="4" t="str">
        <f ca="1">IFERROR(__xludf.DUMMYFUNCTION("""COMPUTED_VALUE"""),"| 5 P NS % | 7 L PHP-CGM % | 8 L JAVA % | 9 P Python % ")</f>
        <v xml:space="preserve">| 5 P NS % | 7 L PHP-CGM % | 8 L JAVA % | 9 P Python % </v>
      </c>
      <c r="AX90" s="4" t="str">
        <f ca="1">IFERROR(__xludf.DUMMYFUNCTION("""COMPUTED_VALUE"""),"| 5 P JAVA @ | 7 L CPT @ | 8 L NS @ | 9 P CPT @ ")</f>
        <v xml:space="preserve">| 5 P JAVA @ | 7 L CPT @ | 8 L NS @ | 9 P CPT @ </v>
      </c>
      <c r="AY90" s="4" t="str">
        <f ca="1">IFERROR(__xludf.DUMMYFUNCTION("""COMPUTED_VALUE"""),"| 5 L PHP-CGM % | 6 L NS % | 7 P Python % | 9 P PRO % ")</f>
        <v xml:space="preserve">| 5 L PHP-CGM % | 6 L NS % | 7 P Python % | 9 P PRO % </v>
      </c>
      <c r="AZ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90" s="4" t="str">
        <f ca="1">IFERROR(__xludf.DUMMYFUNCTION("""COMPUTED_VALUE"""),"| 5 P NS % | 7 L PHP-CGM % | 8 L JAVA % ")</f>
        <v xml:space="preserve">| 5 P NS % | 7 L PHP-CGM % | 8 L JAVA % </v>
      </c>
      <c r="BB90" s="4" t="str">
        <f ca="1">IFERROR(__xludf.DUMMYFUNCTION("""COMPUTED_VALUE"""),"| 5 P JAVA @ | 7 L CPT @ | 8 L NS @ | 9 P CPT @ ")</f>
        <v xml:space="preserve">| 5 P JAVA @ | 7 L CPT @ | 8 L NS @ | 9 P CPT @ </v>
      </c>
      <c r="BC90" s="4" t="str">
        <f ca="1">IFERROR(__xludf.DUMMYFUNCTION("""COMPUTED_VALUE"""),"| 5 L PHP-CGM % | 6 L NS % | 7 P Python % | 9 P PRO @ ")</f>
        <v xml:space="preserve">| 5 L PHP-CGM % | 6 L NS % | 7 P Python % | 9 P PRO @ </v>
      </c>
      <c r="BD90" s="4" t="str">
        <f ca="1">IFERROR(__xludf.DUMMYFUNCTION("""COMPUTED_VALUE"""),"| 5 L JAVA % | 6 L CPT % | 7 P PHP-CGM % | 9 L INE % ")</f>
        <v xml:space="preserve">| 5 L JAVA % | 6 L CPT % | 7 P PHP-CGM % | 9 L INE % </v>
      </c>
      <c r="BE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90" s="4" t="str">
        <f ca="1">IFERROR(__xludf.DUMMYFUNCTION("""COMPUTED_VALUE"""),"| 5 P NS % | 7 L PHP-CGM % | 9 P Python % | 8 L JAVA % ")</f>
        <v xml:space="preserve">| 5 P NS % | 7 L PHP-CGM % | 9 P Python % | 8 L JAVA % </v>
      </c>
      <c r="BG90" s="4" t="str">
        <f ca="1">IFERROR(__xludf.DUMMYFUNCTION("""COMPUTED_VALUE"""),"| 5 L PHP-CGM % | 6 L NS % | 7 P Python @ | 9 P PRO @ ")</f>
        <v xml:space="preserve">| 5 L PHP-CGM % | 6 L NS % | 7 P Python @ | 9 P PRO @ </v>
      </c>
      <c r="BH90" s="4" t="str">
        <f ca="1">IFERROR(__xludf.DUMMYFUNCTION("""COMPUTED_VALUE"""),"| 5 L JAVA % | 6 L CPT % | 7 P PHP-CGM % | 9 L INE % ")</f>
        <v xml:space="preserve">| 5 L JAVA % | 6 L CPT % | 7 P PHP-CGM % | 9 L INE % </v>
      </c>
      <c r="BI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90" s="4" t="str">
        <f ca="1">IFERROR(__xludf.DUMMYFUNCTION("""COMPUTED_VALUE"""),"| 5 P NS % | 7 L JAVA @ | 7 L PHP-CGM @ ")</f>
        <v xml:space="preserve">| 5 P NS % | 7 L JAVA @ | 7 L PHP-CGM @ </v>
      </c>
      <c r="BK90" s="4" t="str">
        <f ca="1">IFERROR(__xludf.DUMMYFUNCTION("""COMPUTED_VALUE"""),"| 5 P JAVA % | 7 L CPT @ | 9 P CPT @ | 8 L NS @ ")</f>
        <v xml:space="preserve">| 5 P JAVA % | 7 L CPT @ | 9 P CPT @ | 8 L NS @ </v>
      </c>
      <c r="BL90" s="4" t="str">
        <f ca="1">IFERROR(__xludf.DUMMYFUNCTION("""COMPUTED_VALUE"""),"| 5 L PHP-CGM % | 6 L NS % | 7 P Python % ")</f>
        <v xml:space="preserve">| 5 L PHP-CGM % | 6 L NS % | 7 P Python % </v>
      </c>
      <c r="BM90" s="4" t="str">
        <f ca="1">IFERROR(__xludf.DUMMYFUNCTION("""COMPUTED_VALUE"""),"| 5 L JAVA % | 6 L CPT % | 7 P PHP-CGM @ | 9 L INE @ ")</f>
        <v xml:space="preserve">| 5 L JAVA % | 6 L CPT % | 7 P PHP-CGM @ | 9 L INE @ </v>
      </c>
      <c r="BN90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90" s="4" t="str">
        <f ca="1">IFERROR(__xludf.DUMMYFUNCTION("""COMPUTED_VALUE"""),"| 5 P NS @ | 7 L PHP-CGM @ ")</f>
        <v xml:space="preserve">| 5 P NS @ | 7 L PHP-CGM @ </v>
      </c>
      <c r="BP90" s="4" t="str">
        <f ca="1">IFERROR(__xludf.DUMMYFUNCTION("""COMPUTED_VALUE"""),"| 5 P JAVA % | 7 L CPT % | 8 L NS % | 9 P CPT % ")</f>
        <v xml:space="preserve">| 5 P JAVA % | 7 L CPT % | 8 L NS % | 9 P CPT % </v>
      </c>
      <c r="BQ90" s="4" t="str">
        <f ca="1">IFERROR(__xludf.DUMMYFUNCTION("""COMPUTED_VALUE"""),"| 5 L JAVA % | 6 L CPT % ")</f>
        <v xml:space="preserve">| 5 L JAVA % | 6 L CPT % </v>
      </c>
      <c r="BR90" s="4" t="str">
        <f ca="1">IFERROR(__xludf.DUMMYFUNCTION("""COMPUTED_VALUE"""),"| 7 L JAVA % ")</f>
        <v xml:space="preserve">| 7 L JAVA % </v>
      </c>
      <c r="BS90" s="4"/>
      <c r="BT90" s="4" t="str">
        <f ca="1">IFERROR(__xludf.DUMMYFUNCTION("""COMPUTED_VALUE"""),"| 7 L CPT @ | 9 P CPT @ ")</f>
        <v xml:space="preserve">| 7 L CPT @ | 9 P CPT @ </v>
      </c>
      <c r="BU90" s="4"/>
      <c r="BV90" s="4" t="str">
        <f ca="1">IFERROR(__xludf.DUMMYFUNCTION("""COMPUTED_VALUE"""),"| 5 P JAVA @ | 7 L CPT @ | 8 L NS @ ")</f>
        <v xml:space="preserve">| 5 P JAVA @ | 7 L CPT @ | 8 L NS @ </v>
      </c>
      <c r="BW90" s="4"/>
      <c r="BX90" s="4" t="str">
        <f ca="1">IFERROR(__xludf.DUMMYFUNCTION("""COMPUTED_VALUE"""),"| 5 L JAVA @ | 6 L CPT @ | 7 P PHP-CGM @ ")</f>
        <v xml:space="preserve">| 5 L JAVA @ | 6 L CPT @ | 7 P PHP-CGM @ </v>
      </c>
      <c r="BY90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90" s="4" t="str">
        <f ca="1">IFERROR(__xludf.DUMMYFUNCTION("""COMPUTED_VALUE"""),"| 5 P NS % | 8 L JAVA % | 7 L PHP-CGM % | 9 P Python % ")</f>
        <v xml:space="preserve">| 5 P NS % | 8 L JAVA % | 7 L PHP-CGM % | 9 P Python % </v>
      </c>
      <c r="CA90" s="4" t="str">
        <f ca="1">IFERROR(__xludf.DUMMYFUNCTION("""COMPUTED_VALUE"""),"| 5 P JAVA % | 7 L CPT % | 8 L NS % | 9 P CPT % ")</f>
        <v xml:space="preserve">| 5 P JAVA % | 7 L CPT % | 8 L NS % | 9 P CPT % </v>
      </c>
      <c r="CB90" s="4" t="str">
        <f ca="1">IFERROR(__xludf.DUMMYFUNCTION("""COMPUTED_VALUE"""),"| 5 L PHP-CGM % | 6 L NS % | 7 P Python % ")</f>
        <v xml:space="preserve">| 5 L PHP-CGM % | 6 L NS % | 7 P Python % </v>
      </c>
      <c r="CC90" s="4" t="str">
        <f ca="1">IFERROR(__xludf.DUMMYFUNCTION("""COMPUTED_VALUE"""),"| 5 L JAVA % | 7 P PHP-CGM % | 9 L INE % ")</f>
        <v xml:space="preserve">| 5 L JAVA % | 7 P PHP-CGM % | 9 L INE % </v>
      </c>
      <c r="CD90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CE90" s="4" t="str">
        <f ca="1">IFERROR(__xludf.DUMMYFUNCTION("""COMPUTED_VALUE"""),"| 5 P NS % | 8 L JAVA % | 7 L PHP-CGM % ")</f>
        <v xml:space="preserve">| 5 P NS % | 8 L JAVA % | 7 L PHP-CGM % </v>
      </c>
      <c r="CF90" s="4" t="str">
        <f ca="1">IFERROR(__xludf.DUMMYFUNCTION("""COMPUTED_VALUE"""),"| 7 L CPT % | 8 L NS % | 5 P JAVA % | 9 P CPT % ")</f>
        <v xml:space="preserve">| 7 L CPT % | 8 L NS % | 5 P JAVA % | 9 P CPT % </v>
      </c>
      <c r="CG90" s="4" t="str">
        <f ca="1">IFERROR(__xludf.DUMMYFUNCTION("""COMPUTED_VALUE"""),"| 5 L PHP-CGM % | 6 L NS % | 7 P Python % ")</f>
        <v xml:space="preserve">| 5 L PHP-CGM % | 6 L NS % | 7 P Python % </v>
      </c>
      <c r="CH90" s="4" t="str">
        <f ca="1">IFERROR(__xludf.DUMMYFUNCTION("""COMPUTED_VALUE"""),"| 5 L JAVA % | 6 L CPT % | 7 P PHP-CGM % | 9 L INE @ ")</f>
        <v xml:space="preserve">| 5 L JAVA % | 6 L CPT % | 7 P PHP-CGM % | 9 L INE @ </v>
      </c>
      <c r="CI90" s="4" t="str">
        <f ca="1">IFERROR(__xludf.DUMMYFUNCTION("""COMPUTED_VALUE"""),"| 5 L PHP-CGM % | 7 L JAVA @ | 8 L CPT @ ")</f>
        <v xml:space="preserve">| 5 L PHP-CGM % | 7 L JAVA @ | 8 L CPT @ </v>
      </c>
      <c r="CJ90" s="4" t="str">
        <f ca="1">IFERROR(__xludf.DUMMYFUNCTION("""COMPUTED_VALUE"""),"| 5 P NS % ")</f>
        <v xml:space="preserve">| 5 P NS % </v>
      </c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</row>
    <row r="91" spans="1:102" ht="12.5" x14ac:dyDescent="0.25">
      <c r="A91" s="3">
        <f ca="1">IFERROR(__xludf.DUMMYFUNCTION("""COMPUTED_VALUE"""),1)</f>
        <v>1</v>
      </c>
      <c r="B91" s="3" t="str">
        <f ca="1">IFERROR(__xludf.DUMMYFUNCTION("""COMPUTED_VALUE"""),"B")</f>
        <v>B</v>
      </c>
      <c r="C91" s="32" t="str">
        <f ca="1">IFERROR(__xludf.DUMMYFUNCTION("""COMPUTED_VALUE"""),"23291341026")</f>
        <v>23291341026</v>
      </c>
      <c r="D91" s="4" t="str">
        <f ca="1">IFERROR(__xludf.DUMMYFUNCTION("""COMPUTED_VALUE"""),"DAVE JHANVI JAYESHKUMAR")</f>
        <v>DAVE JHANVI JAYESHKUMAR</v>
      </c>
      <c r="E91" s="3" t="str">
        <f ca="1">IFERROR(__xludf.DUMMYFUNCTION("""COMPUTED_VALUE"""),"HAM/HDP-EVE")</f>
        <v>HAM/HDP-EVE</v>
      </c>
      <c r="F91" s="3">
        <f ca="1">IFERROR(__xludf.DUMMYFUNCTION("""COMPUTED_VALUE"""),8490986498)</f>
        <v>8490986498</v>
      </c>
      <c r="G91" s="3">
        <f ca="1">IFERROR(__xludf.DUMMYFUNCTION("""COMPUTED_VALUE"""),9099052590)</f>
        <v>9099052590</v>
      </c>
      <c r="H91" s="33">
        <f ca="1">IFERROR(__xludf.DUMMYFUNCTION("""COMPUTED_VALUE"""),0.59051724137931)</f>
        <v>0.59051724137931005</v>
      </c>
      <c r="I91" s="25">
        <f ca="1">IFERROR(__xludf.DUMMYFUNCTION("""COMPUTED_VALUE"""),0.567567567567567)</f>
        <v>0.56756756756756699</v>
      </c>
      <c r="J91" s="25">
        <f ca="1">IFERROR(__xludf.DUMMYFUNCTION("""COMPUTED_VALUE"""),0.416666666666666)</f>
        <v>0.41666666666666602</v>
      </c>
      <c r="K91" s="25">
        <f ca="1">IFERROR(__xludf.DUMMYFUNCTION("""COMPUTED_VALUE"""),0.617647058823529)</f>
        <v>0.61764705882352899</v>
      </c>
      <c r="L91" s="25">
        <f ca="1">IFERROR(__xludf.DUMMYFUNCTION("""COMPUTED_VALUE"""),0.727272727272727)</f>
        <v>0.72727272727272696</v>
      </c>
      <c r="M91" s="25">
        <f ca="1">IFERROR(__xludf.DUMMYFUNCTION("""COMPUTED_VALUE"""),0.6)</f>
        <v>0.6</v>
      </c>
      <c r="N91" s="25">
        <f ca="1">IFERROR(__xludf.DUMMYFUNCTION("""COMPUTED_VALUE"""),0.636363636363636)</f>
        <v>0.63636363636363602</v>
      </c>
      <c r="O91" s="25">
        <f ca="1">IFERROR(__xludf.DUMMYFUNCTION("""COMPUTED_VALUE"""),0.628571428571428)</f>
        <v>0.628571428571428</v>
      </c>
      <c r="P91" s="25">
        <f ca="1">IFERROR(__xludf.DUMMYFUNCTION("""COMPUTED_VALUE"""),0.565217391304347)</f>
        <v>0.56521739130434701</v>
      </c>
      <c r="Q91" s="25">
        <f ca="1">IFERROR(__xludf.DUMMYFUNCTION("""COMPUTED_VALUE"""),0)</f>
        <v>0</v>
      </c>
      <c r="R91" s="25">
        <f ca="1">IFERROR(__xludf.DUMMYFUNCTION("""COMPUTED_VALUE"""),0.631578947368421)</f>
        <v>0.63157894736842102</v>
      </c>
      <c r="S91" s="25">
        <f ca="1">IFERROR(__xludf.DUMMYFUNCTION("""COMPUTED_VALUE"""),0)</f>
        <v>0</v>
      </c>
      <c r="T91" s="25">
        <f ca="1">IFERROR(__xludf.DUMMYFUNCTION("""COMPUTED_VALUE"""),0.428571428571428)</f>
        <v>0.42857142857142799</v>
      </c>
      <c r="U91" s="25">
        <f ca="1">IFERROR(__xludf.DUMMYFUNCTION("""COMPUTED_VALUE"""),0.5)</f>
        <v>0.5</v>
      </c>
      <c r="V91" s="25">
        <f ca="1">IFERROR(__xludf.DUMMYFUNCTION("""COMPUTED_VALUE"""),0)</f>
        <v>0</v>
      </c>
      <c r="W91" s="4"/>
      <c r="X91" s="4" t="str">
        <f ca="1">IFERROR(__xludf.DUMMYFUNCTION("""COMPUTED_VALUE"""),"| 5 P JAVA % | 7 L CPT % | 8 L NS % | 9 P CPT @ ")</f>
        <v xml:space="preserve">| 5 P JAVA % | 7 L CPT % | 8 L NS % | 9 P CPT @ </v>
      </c>
      <c r="Y91" s="4" t="str">
        <f ca="1">IFERROR(__xludf.DUMMYFUNCTION("""COMPUTED_VALUE"""),"| 5 L PHP-CGM % | 6 L NS % | 7 P Python % | 9 P PRO % ")</f>
        <v xml:space="preserve">| 5 L PHP-CGM % | 6 L NS % | 7 P Python % | 9 P PRO % </v>
      </c>
      <c r="Z91" s="4" t="str">
        <f ca="1">IFERROR(__xludf.DUMMYFUNCTION("""COMPUTED_VALUE"""),"| 5 L JAVA % | 6 L CPT % | 7 P PHP-CGM % ")</f>
        <v xml:space="preserve">| 5 L JAVA % | 6 L CPT % | 7 P PHP-CGM % </v>
      </c>
      <c r="AA91" s="4" t="str">
        <f ca="1">IFERROR(__xludf.DUMMYFUNCTION("""COMPUTED_VALUE"""),"| 5 L PHP-CGM % | 7 L JAVA % | 9 P JAVA @ | 8 L CPT % ")</f>
        <v xml:space="preserve">| 5 L PHP-CGM % | 7 L JAVA % | 9 P JAVA @ | 8 L CPT % </v>
      </c>
      <c r="AB91" s="4" t="str">
        <f ca="1">IFERROR(__xludf.DUMMYFUNCTION("""COMPUTED_VALUE"""),"| 4 P Python % | 7 L PHP-CGM @ | 8 L JAVA @ | 9 P Python % ")</f>
        <v xml:space="preserve">| 4 P Python % | 7 L PHP-CGM @ | 8 L JAVA @ | 9 P Python % </v>
      </c>
      <c r="AC91" s="4" t="str">
        <f ca="1">IFERROR(__xludf.DUMMYFUNCTION("""COMPUTED_VALUE"""),"| 5 P JAVA % | 7 L CPT % | 8 L NS % | 9 P CPT % ")</f>
        <v xml:space="preserve">| 5 P JAVA % | 7 L CPT % | 8 L NS % | 9 P CPT % </v>
      </c>
      <c r="AD91" s="4" t="str">
        <f ca="1">IFERROR(__xludf.DUMMYFUNCTION("""COMPUTED_VALUE"""),"| 5 L PHP-CGM % | 6 L NS % | 7 P Python % ")</f>
        <v xml:space="preserve">| 5 L PHP-CGM % | 6 L NS % | 7 P Python % </v>
      </c>
      <c r="AE91" s="4" t="str">
        <f ca="1">IFERROR(__xludf.DUMMYFUNCTION("""COMPUTED_VALUE"""),"| 5 L JAVA @ | 6 L CPT @ | 7 P PHP-CGM @ ")</f>
        <v xml:space="preserve">| 5 L JAVA @ | 6 L CPT @ | 7 P PHP-CGM @ </v>
      </c>
      <c r="AF91" s="4" t="str">
        <f ca="1">IFERROR(__xludf.DUMMYFUNCTION("""COMPUTED_VALUE"""),"| 5 L PHP-CGM @ | 6 L NS @ | 7 L JAVA % | 8 L CPT @ | 9 P JAVA % ")</f>
        <v xml:space="preserve">| 5 L PHP-CGM @ | 6 L NS @ | 7 L JAVA % | 8 L CPT @ | 9 P JAVA % </v>
      </c>
      <c r="AG91" s="4" t="str">
        <f ca="1">IFERROR(__xludf.DUMMYFUNCTION("""COMPUTED_VALUE"""),"| 5 P NS % | 8 L JAVA % | 7 L PHP-CGM % | 9 P Python @ ")</f>
        <v xml:space="preserve">| 5 P NS % | 8 L JAVA % | 7 L PHP-CGM % | 9 P Python @ </v>
      </c>
      <c r="AH91" s="4" t="str">
        <f ca="1">IFERROR(__xludf.DUMMYFUNCTION("""COMPUTED_VALUE"""),"| 5 L PHP-CGM % | 6 L NS % | 7 L JAVA % | 8 L CPT % | 9 P JAVA @ ")</f>
        <v xml:space="preserve">| 5 L PHP-CGM % | 6 L NS % | 7 L JAVA % | 8 L CPT % | 9 P JAVA @ </v>
      </c>
      <c r="AI91" s="4" t="str">
        <f ca="1">IFERROR(__xludf.DUMMYFUNCTION("""COMPUTED_VALUE"""),"| 5 P NS % | 8 L JAVA % | 7 L PHP-CGM % | 9 P Python @ ")</f>
        <v xml:space="preserve">| 5 P NS % | 8 L JAVA % | 7 L PHP-CGM % | 9 P Python @ </v>
      </c>
      <c r="AJ91" s="4" t="str">
        <f ca="1">IFERROR(__xludf.DUMMYFUNCTION("""COMPUTED_VALUE"""),"| 5 P JAVA % | 7 L CPT % | 8 L NS % | 9 P CPT % ")</f>
        <v xml:space="preserve">| 5 P JAVA % | 7 L CPT % | 8 L NS % | 9 P CPT % </v>
      </c>
      <c r="AK91" s="4" t="str">
        <f ca="1">IFERROR(__xludf.DUMMYFUNCTION("""COMPUTED_VALUE"""),"| 5 L PHP-CGM % | 6 L NS % | 7 P Python % | 9 P PRO % ")</f>
        <v xml:space="preserve">| 5 L PHP-CGM % | 6 L NS % | 7 P Python % | 9 P PRO % </v>
      </c>
      <c r="AL91" s="4" t="str">
        <f ca="1">IFERROR(__xludf.DUMMYFUNCTION("""COMPUTED_VALUE"""),"| 5 L JAVA % | 6 L CPT % | 7 P PHP-CGM % | 9 L INE @ ")</f>
        <v xml:space="preserve">| 5 L JAVA % | 6 L CPT % | 7 P PHP-CGM % | 9 L INE @ </v>
      </c>
      <c r="AM9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91" s="4" t="str">
        <f ca="1">IFERROR(__xludf.DUMMYFUNCTION("""COMPUTED_VALUE"""),"| 5 P NS % | 8 L JAVA @ | 7 L PHP-CGM @ | 9 P Python % ")</f>
        <v xml:space="preserve">| 5 P NS % | 8 L JAVA @ | 7 L PHP-CGM @ | 9 P Python % </v>
      </c>
      <c r="AO91" s="4" t="str">
        <f ca="1">IFERROR(__xludf.DUMMYFUNCTION("""COMPUTED_VALUE"""),"| 5 P JAVA % | 7 L CPT @ | 8 L NS @ | 9 P CPT @ ")</f>
        <v xml:space="preserve">| 5 P JAVA % | 7 L CPT @ | 8 L NS @ | 9 P CPT @ </v>
      </c>
      <c r="AP91" s="4" t="str">
        <f ca="1">IFERROR(__xludf.DUMMYFUNCTION("""COMPUTED_VALUE"""),"| 5 L PHP-CGM % | 6 L NS % | 7 P Python % | 9 P PRO @ ")</f>
        <v xml:space="preserve">| 5 L PHP-CGM % | 6 L NS % | 7 P Python % | 9 P PRO @ </v>
      </c>
      <c r="AQ91" s="4" t="str">
        <f ca="1">IFERROR(__xludf.DUMMYFUNCTION("""COMPUTED_VALUE"""),"| 5 L CPT % | 7 L JAVA % | 7 P PHP-CGM % | 9 L INE % ")</f>
        <v xml:space="preserve">| 5 L CPT % | 7 L JAVA % | 7 P PHP-CGM % | 9 L INE % </v>
      </c>
      <c r="AR91" s="4" t="str">
        <f ca="1">IFERROR(__xludf.DUMMYFUNCTION("""COMPUTED_VALUE"""),"| 5 L PHP-CGM @ | 6 L NS @ | 8 L CPT @ ")</f>
        <v xml:space="preserve">| 5 L PHP-CGM @ | 6 L NS @ | 8 L CPT @ </v>
      </c>
      <c r="AS91" s="4" t="str">
        <f ca="1">IFERROR(__xludf.DUMMYFUNCTION("""COMPUTED_VALUE"""),"| 5 P JAVA % | 7 L CPT % | 8 L NS % | 9 P CPT % ")</f>
        <v xml:space="preserve">| 5 P JAVA % | 7 L CPT % | 8 L NS % | 9 P CPT % </v>
      </c>
      <c r="AT91" s="4" t="str">
        <f ca="1">IFERROR(__xludf.DUMMYFUNCTION("""COMPUTED_VALUE"""),"| 5 L PHP-CGM % | 6 L NS % | 7 P Python @ | 9 P PRO @ ")</f>
        <v xml:space="preserve">| 5 L PHP-CGM % | 6 L NS % | 7 P Python @ | 9 P PRO @ </v>
      </c>
      <c r="AU91" s="4" t="str">
        <f ca="1">IFERROR(__xludf.DUMMYFUNCTION("""COMPUTED_VALUE"""),"| 5 L JAVA % | 6 L CPT % | 7 P PHP-CGM % | 9 L INE @ ")</f>
        <v xml:space="preserve">| 5 L JAVA % | 6 L CPT % | 7 P PHP-CGM % | 9 L INE @ </v>
      </c>
      <c r="AV91" s="4" t="str">
        <f ca="1">IFERROR(__xludf.DUMMYFUNCTION("""COMPUTED_VALUE"""),"| 5 L PHP-CGM % | 6 L NS % | 7 L JAVA @ | 8 L CPT @ | 9 P JAVA @ ")</f>
        <v xml:space="preserve">| 5 L PHP-CGM % | 6 L NS % | 7 L JAVA @ | 8 L CPT @ | 9 P JAVA @ </v>
      </c>
      <c r="AW91" s="4" t="str">
        <f ca="1">IFERROR(__xludf.DUMMYFUNCTION("""COMPUTED_VALUE"""),"| 5 P NS % | 7 L PHP-CGM % | 8 L JAVA % | 9 P Python % ")</f>
        <v xml:space="preserve">| 5 P NS % | 7 L PHP-CGM % | 8 L JAVA % | 9 P Python % </v>
      </c>
      <c r="AX91" s="4" t="str">
        <f ca="1">IFERROR(__xludf.DUMMYFUNCTION("""COMPUTED_VALUE"""),"| 5 P JAVA % | 7 L CPT % | 8 L NS @ | 9 P CPT @ ")</f>
        <v xml:space="preserve">| 5 P JAVA % | 7 L CPT % | 8 L NS @ | 9 P CPT @ </v>
      </c>
      <c r="AY91" s="4" t="str">
        <f ca="1">IFERROR(__xludf.DUMMYFUNCTION("""COMPUTED_VALUE"""),"| 5 L PHP-CGM % | 6 L NS % | 7 P Python % | 9 P PRO @ ")</f>
        <v xml:space="preserve">| 5 L PHP-CGM % | 6 L NS % | 7 P Python % | 9 P PRO @ </v>
      </c>
      <c r="AZ91" s="4" t="str">
        <f ca="1">IFERROR(__xludf.DUMMYFUNCTION("""COMPUTED_VALUE"""),"| 5 L PHP-CGM % | 6 L NS % | 7 L JAVA @ | 8 L CPT @ | 9 P JAVA @ ")</f>
        <v xml:space="preserve">| 5 L PHP-CGM % | 6 L NS % | 7 L JAVA @ | 8 L CPT @ | 9 P JAVA @ </v>
      </c>
      <c r="BA91" s="4" t="str">
        <f ca="1">IFERROR(__xludf.DUMMYFUNCTION("""COMPUTED_VALUE"""),"| 5 P NS @ | 7 L PHP-CGM @ | 8 L JAVA @ ")</f>
        <v xml:space="preserve">| 5 P NS @ | 7 L PHP-CGM @ | 8 L JAVA @ </v>
      </c>
      <c r="BB91" s="4" t="str">
        <f ca="1">IFERROR(__xludf.DUMMYFUNCTION("""COMPUTED_VALUE"""),"| 5 P JAVA % | 7 L CPT % | 8 L NS % | 9 P CPT % ")</f>
        <v xml:space="preserve">| 5 P JAVA % | 7 L CPT % | 8 L NS % | 9 P CPT % </v>
      </c>
      <c r="BC91" s="4" t="str">
        <f ca="1">IFERROR(__xludf.DUMMYFUNCTION("""COMPUTED_VALUE"""),"| 5 L PHP-CGM % | 6 L NS % | 7 P Python % | 9 P PRO @ ")</f>
        <v xml:space="preserve">| 5 L PHP-CGM % | 6 L NS % | 7 P Python % | 9 P PRO @ </v>
      </c>
      <c r="BD91" s="4" t="str">
        <f ca="1">IFERROR(__xludf.DUMMYFUNCTION("""COMPUTED_VALUE"""),"| 5 L JAVA % | 6 L CPT % | 7 P PHP-CGM % | 9 L INE % ")</f>
        <v xml:space="preserve">| 5 L JAVA % | 6 L CPT % | 7 P PHP-CGM % | 9 L INE % </v>
      </c>
      <c r="BE91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F91" s="4" t="str">
        <f ca="1">IFERROR(__xludf.DUMMYFUNCTION("""COMPUTED_VALUE"""),"| 5 P NS % | 7 L PHP-CGM % | 9 P Python @ | 8 L JAVA % ")</f>
        <v xml:space="preserve">| 5 P NS % | 7 L PHP-CGM % | 9 P Python @ | 8 L JAVA % </v>
      </c>
      <c r="BG91" s="4" t="str">
        <f ca="1">IFERROR(__xludf.DUMMYFUNCTION("""COMPUTED_VALUE"""),"| 5 L PHP-CGM % | 6 L NS % | 7 P Python % | 9 P PRO % ")</f>
        <v xml:space="preserve">| 5 L PHP-CGM % | 6 L NS % | 7 P Python % | 9 P PRO % </v>
      </c>
      <c r="BH91" s="4" t="str">
        <f ca="1">IFERROR(__xludf.DUMMYFUNCTION("""COMPUTED_VALUE"""),"| 5 L JAVA % | 6 L CPT % | 7 P PHP-CGM @ | 9 L INE % ")</f>
        <v xml:space="preserve">| 5 L JAVA % | 6 L CPT % | 7 P PHP-CGM @ | 9 L INE % </v>
      </c>
      <c r="BI9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91" s="4" t="str">
        <f ca="1">IFERROR(__xludf.DUMMYFUNCTION("""COMPUTED_VALUE"""),"| 5 P NS % | 7 L JAVA @ | 7 L PHP-CGM @ ")</f>
        <v xml:space="preserve">| 5 P NS % | 7 L JAVA @ | 7 L PHP-CGM @ </v>
      </c>
      <c r="BK91" s="4" t="str">
        <f ca="1">IFERROR(__xludf.DUMMYFUNCTION("""COMPUTED_VALUE"""),"| 5 P JAVA @ | 7 L CPT @ | 9 P CPT @ | 8 L NS @ ")</f>
        <v xml:space="preserve">| 5 P JAVA @ | 7 L CPT @ | 9 P CPT @ | 8 L NS @ </v>
      </c>
      <c r="BL91" s="4" t="str">
        <f ca="1">IFERROR(__xludf.DUMMYFUNCTION("""COMPUTED_VALUE"""),"| 5 L PHP-CGM @ | 6 L NS @ | 7 P Python @ ")</f>
        <v xml:space="preserve">| 5 L PHP-CGM @ | 6 L NS @ | 7 P Python @ </v>
      </c>
      <c r="BM91" s="4" t="str">
        <f ca="1">IFERROR(__xludf.DUMMYFUNCTION("""COMPUTED_VALUE"""),"| 5 L JAVA @ | 6 L CPT @ | 7 P PHP-CGM @ | 9 L INE @ ")</f>
        <v xml:space="preserve">| 5 L JAVA @ | 6 L CPT @ | 7 P PHP-CGM @ | 9 L INE @ </v>
      </c>
      <c r="BN91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91" s="4" t="str">
        <f ca="1">IFERROR(__xludf.DUMMYFUNCTION("""COMPUTED_VALUE"""),"| 5 P NS @ | 7 L PHP-CGM @ ")</f>
        <v xml:space="preserve">| 5 P NS @ | 7 L PHP-CGM @ </v>
      </c>
      <c r="BP91" s="4" t="str">
        <f ca="1">IFERROR(__xludf.DUMMYFUNCTION("""COMPUTED_VALUE"""),"| 5 P JAVA % | 7 L CPT @ | 8 L NS @ | 9 P CPT @ ")</f>
        <v xml:space="preserve">| 5 P JAVA % | 7 L CPT @ | 8 L NS @ | 9 P CPT @ </v>
      </c>
      <c r="BQ91" s="4" t="str">
        <f ca="1">IFERROR(__xludf.DUMMYFUNCTION("""COMPUTED_VALUE"""),"| 5 L JAVA % | 6 L CPT % ")</f>
        <v xml:space="preserve">| 5 L JAVA % | 6 L CPT % </v>
      </c>
      <c r="BR91" s="4" t="str">
        <f ca="1">IFERROR(__xludf.DUMMYFUNCTION("""COMPUTED_VALUE"""),"| 7 L JAVA % ")</f>
        <v xml:space="preserve">| 7 L JAVA % </v>
      </c>
      <c r="BS91" s="4"/>
      <c r="BT91" s="4" t="str">
        <f ca="1">IFERROR(__xludf.DUMMYFUNCTION("""COMPUTED_VALUE"""),"| 7 L CPT @ | 9 P CPT @ ")</f>
        <v xml:space="preserve">| 7 L CPT @ | 9 P CPT @ </v>
      </c>
      <c r="BU91" s="4"/>
      <c r="BV91" s="4" t="str">
        <f ca="1">IFERROR(__xludf.DUMMYFUNCTION("""COMPUTED_VALUE"""),"| 5 P JAVA @ | 7 L CPT @ | 8 L NS @ ")</f>
        <v xml:space="preserve">| 5 P JAVA @ | 7 L CPT @ | 8 L NS @ </v>
      </c>
      <c r="BW91" s="4"/>
      <c r="BX91" s="4" t="str">
        <f ca="1">IFERROR(__xludf.DUMMYFUNCTION("""COMPUTED_VALUE"""),"| 5 L JAVA % | 6 L CPT % | 7 P PHP-CGM @ ")</f>
        <v xml:space="preserve">| 5 L JAVA % | 6 L CPT % | 7 P PHP-CGM @ </v>
      </c>
      <c r="BY91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91" s="4" t="str">
        <f ca="1">IFERROR(__xludf.DUMMYFUNCTION("""COMPUTED_VALUE"""),"| 5 P NS @ | 8 L JAVA @ | 7 L PHP-CGM @ | 9 P Python @ ")</f>
        <v xml:space="preserve">| 5 P NS @ | 8 L JAVA @ | 7 L PHP-CGM @ | 9 P Python @ </v>
      </c>
      <c r="CA91" s="4" t="str">
        <f ca="1">IFERROR(__xludf.DUMMYFUNCTION("""COMPUTED_VALUE"""),"| 5 P JAVA @ | 7 L CPT @ | 8 L NS @ | 9 P CPT @ ")</f>
        <v xml:space="preserve">| 5 P JAVA @ | 7 L CPT @ | 8 L NS @ | 9 P CPT @ </v>
      </c>
      <c r="CB91" s="4" t="str">
        <f ca="1">IFERROR(__xludf.DUMMYFUNCTION("""COMPUTED_VALUE"""),"| 5 L PHP-CGM % | 6 L NS % | 7 P Python @ ")</f>
        <v xml:space="preserve">| 5 L PHP-CGM % | 6 L NS % | 7 P Python @ </v>
      </c>
      <c r="CC91" s="4" t="str">
        <f ca="1">IFERROR(__xludf.DUMMYFUNCTION("""COMPUTED_VALUE"""),"| 5 L JAVA % | 7 P PHP-CGM % | 9 L INE % ")</f>
        <v xml:space="preserve">| 5 L JAVA % | 7 P PHP-CGM % | 9 L INE % </v>
      </c>
      <c r="CD91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91" s="4" t="str">
        <f ca="1">IFERROR(__xludf.DUMMYFUNCTION("""COMPUTED_VALUE"""),"| 5 P NS % | 8 L JAVA @ | 7 L PHP-CGM @ ")</f>
        <v xml:space="preserve">| 5 P NS % | 8 L JAVA @ | 7 L PHP-CGM @ </v>
      </c>
      <c r="CF91" s="4" t="str">
        <f ca="1">IFERROR(__xludf.DUMMYFUNCTION("""COMPUTED_VALUE"""),"| 7 L CPT @ | 8 L NS @ | 5 P JAVA % | 9 P CPT % ")</f>
        <v xml:space="preserve">| 7 L CPT @ | 8 L NS @ | 5 P JAVA % | 9 P CPT % </v>
      </c>
      <c r="CG91" s="4" t="str">
        <f ca="1">IFERROR(__xludf.DUMMYFUNCTION("""COMPUTED_VALUE"""),"| 5 L PHP-CGM % | 6 L NS % | 7 P Python % ")</f>
        <v xml:space="preserve">| 5 L PHP-CGM % | 6 L NS % | 7 P Python % </v>
      </c>
      <c r="CH91" s="4" t="str">
        <f ca="1">IFERROR(__xludf.DUMMYFUNCTION("""COMPUTED_VALUE"""),"| 5 L JAVA % | 6 L CPT % | 7 P PHP-CGM % | 9 L INE @ ")</f>
        <v xml:space="preserve">| 5 L JAVA % | 6 L CPT % | 7 P PHP-CGM % | 9 L INE @ </v>
      </c>
      <c r="CI91" s="4" t="str">
        <f ca="1">IFERROR(__xludf.DUMMYFUNCTION("""COMPUTED_VALUE"""),"| 5 L PHP-CGM @ | 7 L JAVA % | 8 L CPT % ")</f>
        <v xml:space="preserve">| 5 L PHP-CGM @ | 7 L JAVA % | 8 L CPT % </v>
      </c>
      <c r="CJ91" s="4" t="str">
        <f ca="1">IFERROR(__xludf.DUMMYFUNCTION("""COMPUTED_VALUE"""),"| 5 P NS % ")</f>
        <v xml:space="preserve">| 5 P NS % </v>
      </c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</row>
    <row r="92" spans="1:102" ht="12.5" x14ac:dyDescent="0.25">
      <c r="A92" s="3">
        <f ca="1">IFERROR(__xludf.DUMMYFUNCTION("""COMPUTED_VALUE"""),1)</f>
        <v>1</v>
      </c>
      <c r="B92" s="3" t="str">
        <f ca="1">IFERROR(__xludf.DUMMYFUNCTION("""COMPUTED_VALUE"""),"B")</f>
        <v>B</v>
      </c>
      <c r="C92" s="32" t="str">
        <f ca="1">IFERROR(__xludf.DUMMYFUNCTION("""COMPUTED_VALUE"""),"23291341031")</f>
        <v>23291341031</v>
      </c>
      <c r="D92" s="4" t="str">
        <f ca="1">IFERROR(__xludf.DUMMYFUNCTION("""COMPUTED_VALUE"""),"DEVDHA JASODABEN SUMABHAI")</f>
        <v>DEVDHA JASODABEN SUMABHAI</v>
      </c>
      <c r="E92" s="3" t="str">
        <f ca="1">IFERROR(__xludf.DUMMYFUNCTION("""COMPUTED_VALUE"""),"HAM/HDP-EVE")</f>
        <v>HAM/HDP-EVE</v>
      </c>
      <c r="F92" s="3">
        <f ca="1">IFERROR(__xludf.DUMMYFUNCTION("""COMPUTED_VALUE"""),9316046434)</f>
        <v>9316046434</v>
      </c>
      <c r="G92" s="3">
        <f ca="1">IFERROR(__xludf.DUMMYFUNCTION("""COMPUTED_VALUE"""),7069430820)</f>
        <v>7069430820</v>
      </c>
      <c r="H92" s="33">
        <f ca="1">IFERROR(__xludf.DUMMYFUNCTION("""COMPUTED_VALUE"""),0.724137931034482)</f>
        <v>0.72413793103448199</v>
      </c>
      <c r="I92" s="25">
        <f ca="1">IFERROR(__xludf.DUMMYFUNCTION("""COMPUTED_VALUE"""),0.621621621621621)</f>
        <v>0.62162162162162105</v>
      </c>
      <c r="J92" s="25">
        <f ca="1">IFERROR(__xludf.DUMMYFUNCTION("""COMPUTED_VALUE"""),0.5)</f>
        <v>0.5</v>
      </c>
      <c r="K92" s="25">
        <f ca="1">IFERROR(__xludf.DUMMYFUNCTION("""COMPUTED_VALUE"""),0.735294117647058)</f>
        <v>0.73529411764705799</v>
      </c>
      <c r="L92" s="25">
        <f ca="1">IFERROR(__xludf.DUMMYFUNCTION("""COMPUTED_VALUE"""),0.818181818181818)</f>
        <v>0.81818181818181801</v>
      </c>
      <c r="M92" s="25">
        <f ca="1">IFERROR(__xludf.DUMMYFUNCTION("""COMPUTED_VALUE"""),0.8)</f>
        <v>0.8</v>
      </c>
      <c r="N92" s="25">
        <f ca="1">IFERROR(__xludf.DUMMYFUNCTION("""COMPUTED_VALUE"""),0.818181818181818)</f>
        <v>0.81818181818181801</v>
      </c>
      <c r="O92" s="25">
        <f ca="1">IFERROR(__xludf.DUMMYFUNCTION("""COMPUTED_VALUE"""),0.742857142857142)</f>
        <v>0.74285714285714199</v>
      </c>
      <c r="P92" s="25">
        <f ca="1">IFERROR(__xludf.DUMMYFUNCTION("""COMPUTED_VALUE"""),0.782608695652174)</f>
        <v>0.78260869565217395</v>
      </c>
      <c r="Q92" s="25">
        <f ca="1">IFERROR(__xludf.DUMMYFUNCTION("""COMPUTED_VALUE"""),0)</f>
        <v>0</v>
      </c>
      <c r="R92" s="25">
        <f ca="1">IFERROR(__xludf.DUMMYFUNCTION("""COMPUTED_VALUE"""),0.842105263157894)</f>
        <v>0.84210526315789402</v>
      </c>
      <c r="S92" s="25">
        <f ca="1">IFERROR(__xludf.DUMMYFUNCTION("""COMPUTED_VALUE"""),0)</f>
        <v>0</v>
      </c>
      <c r="T92" s="25">
        <f ca="1">IFERROR(__xludf.DUMMYFUNCTION("""COMPUTED_VALUE"""),0.428571428571428)</f>
        <v>0.42857142857142799</v>
      </c>
      <c r="U92" s="25">
        <f ca="1">IFERROR(__xludf.DUMMYFUNCTION("""COMPUTED_VALUE"""),0.625)</f>
        <v>0.625</v>
      </c>
      <c r="V92" s="25">
        <f ca="1">IFERROR(__xludf.DUMMYFUNCTION("""COMPUTED_VALUE"""),0)</f>
        <v>0</v>
      </c>
      <c r="W92" s="4"/>
      <c r="X92" s="4" t="str">
        <f ca="1">IFERROR(__xludf.DUMMYFUNCTION("""COMPUTED_VALUE"""),"| 5 P JAVA @ | 7 L CPT @ | 8 L NS @ | 9 P CPT @ ")</f>
        <v xml:space="preserve">| 5 P JAVA @ | 7 L CPT @ | 8 L NS @ | 9 P CPT @ </v>
      </c>
      <c r="Y92" s="4" t="str">
        <f ca="1">IFERROR(__xludf.DUMMYFUNCTION("""COMPUTED_VALUE"""),"| 5 L PHP-CGM % | 6 L NS % | 7 P Python @ | 9 P PRO @ ")</f>
        <v xml:space="preserve">| 5 L PHP-CGM % | 6 L NS % | 7 P Python @ | 9 P PRO @ </v>
      </c>
      <c r="Z92" s="4" t="str">
        <f ca="1">IFERROR(__xludf.DUMMYFUNCTION("""COMPUTED_VALUE"""),"| 5 L JAVA % | 6 L CPT % | 7 P PHP-CGM % ")</f>
        <v xml:space="preserve">| 5 L JAVA % | 6 L CPT % | 7 P PHP-CGM % </v>
      </c>
      <c r="AA92" s="4" t="str">
        <f ca="1">IFERROR(__xludf.DUMMYFUNCTION("""COMPUTED_VALUE"""),"| 5 L PHP-CGM % | 7 L JAVA % | 9 P JAVA % | 8 L CPT % ")</f>
        <v xml:space="preserve">| 5 L PHP-CGM % | 7 L JAVA % | 9 P JAVA % | 8 L CPT % </v>
      </c>
      <c r="AB92" s="4" t="str">
        <f ca="1">IFERROR(__xludf.DUMMYFUNCTION("""COMPUTED_VALUE"""),"| 4 P Python % | 7 L PHP-CGM % | 8 L JAVA % | 9 P Python % ")</f>
        <v xml:space="preserve">| 4 P Python % | 7 L PHP-CGM % | 8 L JAVA % | 9 P Python % </v>
      </c>
      <c r="AC92" s="4" t="str">
        <f ca="1">IFERROR(__xludf.DUMMYFUNCTION("""COMPUTED_VALUE"""),"| 5 P JAVA % | 7 L CPT % | 8 L NS % | 9 P CPT % ")</f>
        <v xml:space="preserve">| 5 P JAVA % | 7 L CPT % | 8 L NS % | 9 P CPT % </v>
      </c>
      <c r="AD92" s="4" t="str">
        <f ca="1">IFERROR(__xludf.DUMMYFUNCTION("""COMPUTED_VALUE"""),"| 5 L PHP-CGM % | 6 L NS % | 7 P Python % ")</f>
        <v xml:space="preserve">| 5 L PHP-CGM % | 6 L NS % | 7 P Python % </v>
      </c>
      <c r="AE92" s="4" t="str">
        <f ca="1">IFERROR(__xludf.DUMMYFUNCTION("""COMPUTED_VALUE"""),"| 5 L JAVA % | 6 L CPT % | 7 P PHP-CGM % ")</f>
        <v xml:space="preserve">| 5 L JAVA % | 6 L CPT % | 7 P PHP-CGM % </v>
      </c>
      <c r="AF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92" s="4" t="str">
        <f ca="1">IFERROR(__xludf.DUMMYFUNCTION("""COMPUTED_VALUE"""),"| 5 P NS % | 8 L JAVA % | 7 L PHP-CGM % | 9 P Python % ")</f>
        <v xml:space="preserve">| 5 P NS % | 8 L JAVA % | 7 L PHP-CGM % | 9 P Python % </v>
      </c>
      <c r="AH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92" s="4" t="str">
        <f ca="1">IFERROR(__xludf.DUMMYFUNCTION("""COMPUTED_VALUE"""),"| 5 P NS % | 8 L JAVA % | 7 L PHP-CGM % | 9 P Python % ")</f>
        <v xml:space="preserve">| 5 P NS % | 8 L JAVA % | 7 L PHP-CGM % | 9 P Python % </v>
      </c>
      <c r="AJ92" s="4" t="str">
        <f ca="1">IFERROR(__xludf.DUMMYFUNCTION("""COMPUTED_VALUE"""),"| 5 P JAVA % | 7 L CPT % | 8 L NS % | 9 P CPT % ")</f>
        <v xml:space="preserve">| 5 P JAVA % | 7 L CPT % | 8 L NS % | 9 P CPT % </v>
      </c>
      <c r="AK92" s="4" t="str">
        <f ca="1">IFERROR(__xludf.DUMMYFUNCTION("""COMPUTED_VALUE"""),"| 5 L PHP-CGM % | 6 L NS % | 7 P Python % | 9 P PRO % ")</f>
        <v xml:space="preserve">| 5 L PHP-CGM % | 6 L NS % | 7 P Python % | 9 P PRO % </v>
      </c>
      <c r="AL92" s="4" t="str">
        <f ca="1">IFERROR(__xludf.DUMMYFUNCTION("""COMPUTED_VALUE"""),"| 5 L JAVA % | 6 L CPT % | 7 P PHP-CGM % | 9 L INE @ ")</f>
        <v xml:space="preserve">| 5 L JAVA % | 6 L CPT % | 7 P PHP-CGM % | 9 L INE @ </v>
      </c>
      <c r="AM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92" s="4" t="str">
        <f ca="1">IFERROR(__xludf.DUMMYFUNCTION("""COMPUTED_VALUE"""),"| 5 P NS % | 8 L JAVA % | 7 L PHP-CGM % | 9 P Python % ")</f>
        <v xml:space="preserve">| 5 P NS % | 8 L JAVA % | 7 L PHP-CGM % | 9 P Python % </v>
      </c>
      <c r="AO92" s="4" t="str">
        <f ca="1">IFERROR(__xludf.DUMMYFUNCTION("""COMPUTED_VALUE"""),"| 5 P JAVA % | 7 L CPT % | 8 L NS % | 9 P CPT @ ")</f>
        <v xml:space="preserve">| 5 P JAVA % | 7 L CPT % | 8 L NS % | 9 P CPT @ </v>
      </c>
      <c r="AP92" s="4" t="str">
        <f ca="1">IFERROR(__xludf.DUMMYFUNCTION("""COMPUTED_VALUE"""),"| 5 L PHP-CGM % | 6 L NS % | 7 P Python % | 9 P PRO @ ")</f>
        <v xml:space="preserve">| 5 L PHP-CGM % | 6 L NS % | 7 P Python % | 9 P PRO @ </v>
      </c>
      <c r="AQ92" s="4" t="str">
        <f ca="1">IFERROR(__xludf.DUMMYFUNCTION("""COMPUTED_VALUE"""),"| 5 L CPT % | 7 L JAVA % | 7 P PHP-CGM @ | 9 L INE % ")</f>
        <v xml:space="preserve">| 5 L CPT % | 7 L JAVA % | 7 P PHP-CGM @ | 9 L INE % </v>
      </c>
      <c r="AR92" s="4" t="str">
        <f ca="1">IFERROR(__xludf.DUMMYFUNCTION("""COMPUTED_VALUE"""),"| 5 L PHP-CGM % | 6 L NS % | 8 L CPT @ ")</f>
        <v xml:space="preserve">| 5 L PHP-CGM % | 6 L NS % | 8 L CPT @ </v>
      </c>
      <c r="AS92" s="4" t="str">
        <f ca="1">IFERROR(__xludf.DUMMYFUNCTION("""COMPUTED_VALUE"""),"| 5 P JAVA % | 7 L CPT % | 8 L NS % | 9 P CPT % ")</f>
        <v xml:space="preserve">| 5 P JAVA % | 7 L CPT % | 8 L NS % | 9 P CPT % </v>
      </c>
      <c r="AT92" s="4" t="str">
        <f ca="1">IFERROR(__xludf.DUMMYFUNCTION("""COMPUTED_VALUE"""),"| 5 L PHP-CGM % | 6 L NS % | 7 P Python % | 9 P PRO % ")</f>
        <v xml:space="preserve">| 5 L PHP-CGM % | 6 L NS % | 7 P Python % | 9 P PRO % </v>
      </c>
      <c r="AU92" s="4" t="str">
        <f ca="1">IFERROR(__xludf.DUMMYFUNCTION("""COMPUTED_VALUE"""),"| 5 L JAVA % | 6 L CPT % | 7 P PHP-CGM % | 9 L INE % ")</f>
        <v xml:space="preserve">| 5 L JAVA % | 6 L CPT % | 7 P PHP-CGM % | 9 L INE % </v>
      </c>
      <c r="AV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92" s="4" t="str">
        <f ca="1">IFERROR(__xludf.DUMMYFUNCTION("""COMPUTED_VALUE"""),"| 5 P NS % | 7 L PHP-CGM % | 8 L JAVA % | 9 P Python % ")</f>
        <v xml:space="preserve">| 5 P NS % | 7 L PHP-CGM % | 8 L JAVA % | 9 P Python % </v>
      </c>
      <c r="AX92" s="4" t="str">
        <f ca="1">IFERROR(__xludf.DUMMYFUNCTION("""COMPUTED_VALUE"""),"| 5 P JAVA % | 7 L CPT % | 8 L NS % | 9 P CPT % ")</f>
        <v xml:space="preserve">| 5 P JAVA % | 7 L CPT % | 8 L NS % | 9 P CPT % </v>
      </c>
      <c r="AY92" s="4" t="str">
        <f ca="1">IFERROR(__xludf.DUMMYFUNCTION("""COMPUTED_VALUE"""),"| 5 L PHP-CGM % | 6 L NS % | 7 P Python % | 9 P PRO @ ")</f>
        <v xml:space="preserve">| 5 L PHP-CGM % | 6 L NS % | 7 P Python % | 9 P PRO @ </v>
      </c>
      <c r="AZ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92" s="4" t="str">
        <f ca="1">IFERROR(__xludf.DUMMYFUNCTION("""COMPUTED_VALUE"""),"| 5 P NS % | 7 L PHP-CGM % | 8 L JAVA % ")</f>
        <v xml:space="preserve">| 5 P NS % | 7 L PHP-CGM % | 8 L JAVA % </v>
      </c>
      <c r="BB92" s="4" t="str">
        <f ca="1">IFERROR(__xludf.DUMMYFUNCTION("""COMPUTED_VALUE"""),"| 5 P JAVA % | 7 L CPT % | 8 L NS % | 9 P CPT % ")</f>
        <v xml:space="preserve">| 5 P JAVA % | 7 L CPT % | 8 L NS % | 9 P CPT % </v>
      </c>
      <c r="BC92" s="4" t="str">
        <f ca="1">IFERROR(__xludf.DUMMYFUNCTION("""COMPUTED_VALUE"""),"| 5 L PHP-CGM % | 6 L NS % | 7 P Python % | 9 P PRO @ ")</f>
        <v xml:space="preserve">| 5 L PHP-CGM % | 6 L NS % | 7 P Python % | 9 P PRO @ </v>
      </c>
      <c r="BD92" s="4" t="str">
        <f ca="1">IFERROR(__xludf.DUMMYFUNCTION("""COMPUTED_VALUE"""),"| 5 L JAVA @ | 6 L CPT @ | 7 P PHP-CGM % | 9 L INE % ")</f>
        <v xml:space="preserve">| 5 L JAVA @ | 6 L CPT @ | 7 P PHP-CGM % | 9 L INE % </v>
      </c>
      <c r="BE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92" s="4" t="str">
        <f ca="1">IFERROR(__xludf.DUMMYFUNCTION("""COMPUTED_VALUE"""),"| 5 P NS % | 7 L PHP-CGM % | 9 P Python % | 8 L JAVA % ")</f>
        <v xml:space="preserve">| 5 P NS % | 7 L PHP-CGM % | 9 P Python % | 8 L JAVA % </v>
      </c>
      <c r="BG92" s="4" t="str">
        <f ca="1">IFERROR(__xludf.DUMMYFUNCTION("""COMPUTED_VALUE"""),"| 5 L PHP-CGM % | 6 L NS % | 7 P Python % | 9 P PRO % ")</f>
        <v xml:space="preserve">| 5 L PHP-CGM % | 6 L NS % | 7 P Python % | 9 P PRO % </v>
      </c>
      <c r="BH92" s="4" t="str">
        <f ca="1">IFERROR(__xludf.DUMMYFUNCTION("""COMPUTED_VALUE"""),"| 5 L JAVA % | 6 L CPT % | 7 P PHP-CGM % | 9 L INE % ")</f>
        <v xml:space="preserve">| 5 L JAVA % | 6 L CPT % | 7 P PHP-CGM % | 9 L INE % </v>
      </c>
      <c r="BI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92" s="4" t="str">
        <f ca="1">IFERROR(__xludf.DUMMYFUNCTION("""COMPUTED_VALUE"""),"| 5 P NS % | 7 L JAVA % | 7 L PHP-CGM % ")</f>
        <v xml:space="preserve">| 5 P NS % | 7 L JAVA % | 7 L PHP-CGM % </v>
      </c>
      <c r="BK92" s="4" t="str">
        <f ca="1">IFERROR(__xludf.DUMMYFUNCTION("""COMPUTED_VALUE"""),"| 5 P JAVA % | 7 L CPT @ | 9 P CPT @ | 8 L NS @ ")</f>
        <v xml:space="preserve">| 5 P JAVA % | 7 L CPT @ | 9 P CPT @ | 8 L NS @ </v>
      </c>
      <c r="BL92" s="4" t="str">
        <f ca="1">IFERROR(__xludf.DUMMYFUNCTION("""COMPUTED_VALUE"""),"| 5 L PHP-CGM % | 6 L NS % | 7 P Python % ")</f>
        <v xml:space="preserve">| 5 L PHP-CGM % | 6 L NS % | 7 P Python % </v>
      </c>
      <c r="BM92" s="4" t="str">
        <f ca="1">IFERROR(__xludf.DUMMYFUNCTION("""COMPUTED_VALUE"""),"| 5 L JAVA % | 6 L CPT % | 7 P PHP-CGM % | 9 L INE @ ")</f>
        <v xml:space="preserve">| 5 L JAVA % | 6 L CPT % | 7 P PHP-CGM % | 9 L INE @ </v>
      </c>
      <c r="BN92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92" s="4" t="str">
        <f ca="1">IFERROR(__xludf.DUMMYFUNCTION("""COMPUTED_VALUE"""),"| 5 P NS @ | 7 L PHP-CGM @ ")</f>
        <v xml:space="preserve">| 5 P NS @ | 7 L PHP-CGM @ </v>
      </c>
      <c r="BP92" s="4" t="str">
        <f ca="1">IFERROR(__xludf.DUMMYFUNCTION("""COMPUTED_VALUE"""),"| 5 P JAVA % | 7 L CPT % | 8 L NS % | 9 P CPT @ ")</f>
        <v xml:space="preserve">| 5 P JAVA % | 7 L CPT % | 8 L NS % | 9 P CPT @ </v>
      </c>
      <c r="BQ92" s="4" t="str">
        <f ca="1">IFERROR(__xludf.DUMMYFUNCTION("""COMPUTED_VALUE"""),"| 5 L JAVA @ | 6 L CPT @ ")</f>
        <v xml:space="preserve">| 5 L JAVA @ | 6 L CPT @ </v>
      </c>
      <c r="BR92" s="4" t="str">
        <f ca="1">IFERROR(__xludf.DUMMYFUNCTION("""COMPUTED_VALUE"""),"| 7 L JAVA @ ")</f>
        <v xml:space="preserve">| 7 L JAVA @ </v>
      </c>
      <c r="BS92" s="4"/>
      <c r="BT92" s="4" t="str">
        <f ca="1">IFERROR(__xludf.DUMMYFUNCTION("""COMPUTED_VALUE"""),"| 7 L CPT @ | 9 P CPT @ ")</f>
        <v xml:space="preserve">| 7 L CPT @ | 9 P CPT @ </v>
      </c>
      <c r="BU92" s="4"/>
      <c r="BV92" s="4" t="str">
        <f ca="1">IFERROR(__xludf.DUMMYFUNCTION("""COMPUTED_VALUE"""),"| 5 P JAVA @ | 7 L CPT @ | 8 L NS @ ")</f>
        <v xml:space="preserve">| 5 P JAVA @ | 7 L CPT @ | 8 L NS @ </v>
      </c>
      <c r="BW92" s="4"/>
      <c r="BX92" s="4" t="str">
        <f ca="1">IFERROR(__xludf.DUMMYFUNCTION("""COMPUTED_VALUE"""),"| 5 L JAVA @ | 6 L CPT @ | 7 P PHP-CGM @ ")</f>
        <v xml:space="preserve">| 5 L JAVA @ | 6 L CPT @ | 7 P PHP-CGM @ </v>
      </c>
      <c r="BY92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92" s="4" t="str">
        <f ca="1">IFERROR(__xludf.DUMMYFUNCTION("""COMPUTED_VALUE"""),"| 5 P NS @ | 8 L JAVA @ | 7 L PHP-CGM @ | 9 P Python @ ")</f>
        <v xml:space="preserve">| 5 P NS @ | 8 L JAVA @ | 7 L PHP-CGM @ | 9 P Python @ </v>
      </c>
      <c r="CA92" s="4" t="str">
        <f ca="1">IFERROR(__xludf.DUMMYFUNCTION("""COMPUTED_VALUE"""),"| 5 P JAVA @ | 7 L CPT @ | 8 L NS @ | 9 P CPT @ ")</f>
        <v xml:space="preserve">| 5 P JAVA @ | 7 L CPT @ | 8 L NS @ | 9 P CPT @ </v>
      </c>
      <c r="CB92" s="4" t="str">
        <f ca="1">IFERROR(__xludf.DUMMYFUNCTION("""COMPUTED_VALUE"""),"| 5 L PHP-CGM @ | 6 L NS @ | 7 P Python @ ")</f>
        <v xml:space="preserve">| 5 L PHP-CGM @ | 6 L NS @ | 7 P Python @ </v>
      </c>
      <c r="CC92" s="4" t="str">
        <f ca="1">IFERROR(__xludf.DUMMYFUNCTION("""COMPUTED_VALUE"""),"| 5 L JAVA % | 7 P PHP-CGM % | 9 L INE % ")</f>
        <v xml:space="preserve">| 5 L JAVA % | 7 P PHP-CGM % | 9 L INE % </v>
      </c>
      <c r="CD92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92" s="4" t="str">
        <f ca="1">IFERROR(__xludf.DUMMYFUNCTION("""COMPUTED_VALUE"""),"| 5 P NS % | 8 L JAVA % | 7 L PHP-CGM % ")</f>
        <v xml:space="preserve">| 5 P NS % | 8 L JAVA % | 7 L PHP-CGM % </v>
      </c>
      <c r="CF92" s="4" t="str">
        <f ca="1">IFERROR(__xludf.DUMMYFUNCTION("""COMPUTED_VALUE"""),"| 7 L CPT @ | 8 L NS @ | 5 P JAVA % | 9 P CPT % ")</f>
        <v xml:space="preserve">| 7 L CPT @ | 8 L NS @ | 5 P JAVA % | 9 P CPT % </v>
      </c>
      <c r="CG92" s="4" t="str">
        <f ca="1">IFERROR(__xludf.DUMMYFUNCTION("""COMPUTED_VALUE"""),"| 5 L PHP-CGM @ | 6 L NS @ | 7 P Python % ")</f>
        <v xml:space="preserve">| 5 L PHP-CGM @ | 6 L NS @ | 7 P Python % </v>
      </c>
      <c r="CH92" s="4" t="str">
        <f ca="1">IFERROR(__xludf.DUMMYFUNCTION("""COMPUTED_VALUE"""),"| 5 L JAVA @ | 6 L CPT @ | 7 P PHP-CGM % | 9 L INE @ ")</f>
        <v xml:space="preserve">| 5 L JAVA @ | 6 L CPT @ | 7 P PHP-CGM % | 9 L INE @ </v>
      </c>
      <c r="CI92" s="4" t="str">
        <f ca="1">IFERROR(__xludf.DUMMYFUNCTION("""COMPUTED_VALUE"""),"| 5 L PHP-CGM @ | 7 L JAVA @ | 8 L CPT @ ")</f>
        <v xml:space="preserve">| 5 L PHP-CGM @ | 7 L JAVA @ | 8 L CPT @ </v>
      </c>
      <c r="CJ92" s="4" t="str">
        <f ca="1">IFERROR(__xludf.DUMMYFUNCTION("""COMPUTED_VALUE"""),"| 5 P NS % ")</f>
        <v xml:space="preserve">| 5 P NS % </v>
      </c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</row>
    <row r="93" spans="1:102" ht="12.5" x14ac:dyDescent="0.25">
      <c r="A93" s="3">
        <f ca="1">IFERROR(__xludf.DUMMYFUNCTION("""COMPUTED_VALUE"""),1)</f>
        <v>1</v>
      </c>
      <c r="B93" s="3" t="str">
        <f ca="1">IFERROR(__xludf.DUMMYFUNCTION("""COMPUTED_VALUE"""),"B")</f>
        <v>B</v>
      </c>
      <c r="C93" s="32" t="str">
        <f ca="1">IFERROR(__xludf.DUMMYFUNCTION("""COMPUTED_VALUE"""),"23291341032")</f>
        <v>23291341032</v>
      </c>
      <c r="D93" s="4" t="str">
        <f ca="1">IFERROR(__xludf.DUMMYFUNCTION("""COMPUTED_VALUE"""),"DEYAAN GANDHI")</f>
        <v>DEYAAN GANDHI</v>
      </c>
      <c r="E93" s="3" t="str">
        <f ca="1">IFERROR(__xludf.DUMMYFUNCTION("""COMPUTED_VALUE"""),"HAM/HDP-EVE")</f>
        <v>HAM/HDP-EVE</v>
      </c>
      <c r="F93" s="3">
        <f ca="1">IFERROR(__xludf.DUMMYFUNCTION("""COMPUTED_VALUE"""),8799441323)</f>
        <v>8799441323</v>
      </c>
      <c r="G93" s="3">
        <f ca="1">IFERROR(__xludf.DUMMYFUNCTION("""COMPUTED_VALUE"""),9898616148)</f>
        <v>9898616148</v>
      </c>
      <c r="H93" s="33">
        <f ca="1">IFERROR(__xludf.DUMMYFUNCTION("""COMPUTED_VALUE"""),0.637931034482758)</f>
        <v>0.63793103448275801</v>
      </c>
      <c r="I93" s="25">
        <f ca="1">IFERROR(__xludf.DUMMYFUNCTION("""COMPUTED_VALUE"""),0.648648648648648)</f>
        <v>0.64864864864864802</v>
      </c>
      <c r="J93" s="25">
        <f ca="1">IFERROR(__xludf.DUMMYFUNCTION("""COMPUTED_VALUE"""),0.5)</f>
        <v>0.5</v>
      </c>
      <c r="K93" s="25">
        <f ca="1">IFERROR(__xludf.DUMMYFUNCTION("""COMPUTED_VALUE"""),0.676470588235294)</f>
        <v>0.67647058823529405</v>
      </c>
      <c r="L93" s="25">
        <f ca="1">IFERROR(__xludf.DUMMYFUNCTION("""COMPUTED_VALUE"""),0.818181818181818)</f>
        <v>0.81818181818181801</v>
      </c>
      <c r="M93" s="25">
        <f ca="1">IFERROR(__xludf.DUMMYFUNCTION("""COMPUTED_VALUE"""),0.657142857142857)</f>
        <v>0.65714285714285703</v>
      </c>
      <c r="N93" s="25">
        <f ca="1">IFERROR(__xludf.DUMMYFUNCTION("""COMPUTED_VALUE"""),0.909090909090909)</f>
        <v>0.90909090909090895</v>
      </c>
      <c r="O93" s="25">
        <f ca="1">IFERROR(__xludf.DUMMYFUNCTION("""COMPUTED_VALUE"""),0.657142857142857)</f>
        <v>0.65714285714285703</v>
      </c>
      <c r="P93" s="25">
        <f ca="1">IFERROR(__xludf.DUMMYFUNCTION("""COMPUTED_VALUE"""),0.565217391304347)</f>
        <v>0.56521739130434701</v>
      </c>
      <c r="Q93" s="25">
        <f ca="1">IFERROR(__xludf.DUMMYFUNCTION("""COMPUTED_VALUE"""),0)</f>
        <v>0</v>
      </c>
      <c r="R93" s="25">
        <f ca="1">IFERROR(__xludf.DUMMYFUNCTION("""COMPUTED_VALUE"""),0.473684210526315)</f>
        <v>0.47368421052631499</v>
      </c>
      <c r="S93" s="25">
        <f ca="1">IFERROR(__xludf.DUMMYFUNCTION("""COMPUTED_VALUE"""),0)</f>
        <v>0</v>
      </c>
      <c r="T93" s="25">
        <f ca="1">IFERROR(__xludf.DUMMYFUNCTION("""COMPUTED_VALUE"""),0.285714285714285)</f>
        <v>0.28571428571428498</v>
      </c>
      <c r="U93" s="25">
        <f ca="1">IFERROR(__xludf.DUMMYFUNCTION("""COMPUTED_VALUE"""),0.75)</f>
        <v>0.75</v>
      </c>
      <c r="V93" s="25">
        <f ca="1">IFERROR(__xludf.DUMMYFUNCTION("""COMPUTED_VALUE"""),0)</f>
        <v>0</v>
      </c>
      <c r="W93" s="4"/>
      <c r="X93" s="4" t="str">
        <f ca="1">IFERROR(__xludf.DUMMYFUNCTION("""COMPUTED_VALUE"""),"| 5 P JAVA @ | 7 L CPT @ | 8 L NS @ | 9 P CPT @ ")</f>
        <v xml:space="preserve">| 5 P JAVA @ | 7 L CPT @ | 8 L NS @ | 9 P CPT @ </v>
      </c>
      <c r="Y93" s="4" t="str">
        <f ca="1">IFERROR(__xludf.DUMMYFUNCTION("""COMPUTED_VALUE"""),"| 5 L PHP-CGM @ | 6 L NS @ | 7 P Python @ | 9 P PRO @ ")</f>
        <v xml:space="preserve">| 5 L PHP-CGM @ | 6 L NS @ | 7 P Python @ | 9 P PRO @ </v>
      </c>
      <c r="Z93" s="4" t="str">
        <f ca="1">IFERROR(__xludf.DUMMYFUNCTION("""COMPUTED_VALUE"""),"| 5 L JAVA @ | 6 L CPT @ | 7 P PHP-CGM % ")</f>
        <v xml:space="preserve">| 5 L JAVA @ | 6 L CPT @ | 7 P PHP-CGM % </v>
      </c>
      <c r="AA93" s="4" t="str">
        <f ca="1">IFERROR(__xludf.DUMMYFUNCTION("""COMPUTED_VALUE"""),"| 5 L PHP-CGM % | 7 L JAVA % | 9 P JAVA @ | 8 L CPT % ")</f>
        <v xml:space="preserve">| 5 L PHP-CGM % | 7 L JAVA % | 9 P JAVA @ | 8 L CPT % </v>
      </c>
      <c r="AB93" s="4" t="str">
        <f ca="1">IFERROR(__xludf.DUMMYFUNCTION("""COMPUTED_VALUE"""),"| 4 P Python % | 7 L PHP-CGM @ | 8 L JAVA @ | 9 P Python @ ")</f>
        <v xml:space="preserve">| 4 P Python % | 7 L PHP-CGM @ | 8 L JAVA @ | 9 P Python @ </v>
      </c>
      <c r="AC93" s="4" t="str">
        <f ca="1">IFERROR(__xludf.DUMMYFUNCTION("""COMPUTED_VALUE"""),"| 5 P JAVA @ | 7 L CPT % | 8 L NS % | 9 P CPT % ")</f>
        <v xml:space="preserve">| 5 P JAVA @ | 7 L CPT % | 8 L NS % | 9 P CPT % </v>
      </c>
      <c r="AD93" s="4" t="str">
        <f ca="1">IFERROR(__xludf.DUMMYFUNCTION("""COMPUTED_VALUE"""),"| 5 L PHP-CGM % | 6 L NS % | 7 P Python % ")</f>
        <v xml:space="preserve">| 5 L PHP-CGM % | 6 L NS % | 7 P Python % </v>
      </c>
      <c r="AE93" s="4" t="str">
        <f ca="1">IFERROR(__xludf.DUMMYFUNCTION("""COMPUTED_VALUE"""),"| 5 L JAVA % | 6 L CPT % | 7 P PHP-CGM % ")</f>
        <v xml:space="preserve">| 5 L JAVA % | 6 L CPT % | 7 P PHP-CGM % </v>
      </c>
      <c r="AF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93" s="4" t="str">
        <f ca="1">IFERROR(__xludf.DUMMYFUNCTION("""COMPUTED_VALUE"""),"| 5 P NS % | 8 L JAVA % | 7 L PHP-CGM % | 9 P Python @ ")</f>
        <v xml:space="preserve">| 5 P NS % | 8 L JAVA % | 7 L PHP-CGM % | 9 P Python @ </v>
      </c>
      <c r="AH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93" s="4" t="str">
        <f ca="1">IFERROR(__xludf.DUMMYFUNCTION("""COMPUTED_VALUE"""),"| 5 P NS % | 8 L JAVA % | 7 L PHP-CGM % | 9 P Python % ")</f>
        <v xml:space="preserve">| 5 P NS % | 8 L JAVA % | 7 L PHP-CGM % | 9 P Python % </v>
      </c>
      <c r="AJ93" s="4" t="str">
        <f ca="1">IFERROR(__xludf.DUMMYFUNCTION("""COMPUTED_VALUE"""),"| 5 P JAVA @ | 7 L CPT @ | 8 L NS @ | 9 P CPT @ ")</f>
        <v xml:space="preserve">| 5 P JAVA @ | 7 L CPT @ | 8 L NS @ | 9 P CPT @ </v>
      </c>
      <c r="AK93" s="4" t="str">
        <f ca="1">IFERROR(__xludf.DUMMYFUNCTION("""COMPUTED_VALUE"""),"| 5 L PHP-CGM @ | 6 L NS @ | 7 P Python @ | 9 P PRO @ ")</f>
        <v xml:space="preserve">| 5 L PHP-CGM @ | 6 L NS @ | 7 P Python @ | 9 P PRO @ </v>
      </c>
      <c r="AL93" s="4" t="str">
        <f ca="1">IFERROR(__xludf.DUMMYFUNCTION("""COMPUTED_VALUE"""),"| 5 L JAVA % | 6 L CPT % | 7 P PHP-CGM % | 9 L INE % ")</f>
        <v xml:space="preserve">| 5 L JAVA % | 6 L CPT % | 7 P PHP-CGM % | 9 L INE % </v>
      </c>
      <c r="AM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93" s="4" t="str">
        <f ca="1">IFERROR(__xludf.DUMMYFUNCTION("""COMPUTED_VALUE"""),"| 5 P NS % | 8 L JAVA @ | 7 L PHP-CGM @ | 9 P Python @ ")</f>
        <v xml:space="preserve">| 5 P NS % | 8 L JAVA @ | 7 L PHP-CGM @ | 9 P Python @ </v>
      </c>
      <c r="AO93" s="4" t="str">
        <f ca="1">IFERROR(__xludf.DUMMYFUNCTION("""COMPUTED_VALUE"""),"| 5 P JAVA % | 7 L CPT % | 8 L NS % | 9 P CPT % ")</f>
        <v xml:space="preserve">| 5 P JAVA % | 7 L CPT % | 8 L NS % | 9 P CPT % </v>
      </c>
      <c r="AP93" s="4" t="str">
        <f ca="1">IFERROR(__xludf.DUMMYFUNCTION("""COMPUTED_VALUE"""),"| 5 L PHP-CGM % | 6 L NS % | 7 P Python % | 9 P PRO % ")</f>
        <v xml:space="preserve">| 5 L PHP-CGM % | 6 L NS % | 7 P Python % | 9 P PRO % </v>
      </c>
      <c r="AQ93" s="4" t="str">
        <f ca="1">IFERROR(__xludf.DUMMYFUNCTION("""COMPUTED_VALUE"""),"| 5 L CPT % | 7 L JAVA % | 7 P PHP-CGM % | 9 L INE % ")</f>
        <v xml:space="preserve">| 5 L CPT % | 7 L JAVA % | 7 P PHP-CGM % | 9 L INE % </v>
      </c>
      <c r="AR93" s="4" t="str">
        <f ca="1">IFERROR(__xludf.DUMMYFUNCTION("""COMPUTED_VALUE"""),"| 5 L PHP-CGM % | 6 L NS % | 8 L CPT @ ")</f>
        <v xml:space="preserve">| 5 L PHP-CGM % | 6 L NS % | 8 L CPT @ </v>
      </c>
      <c r="AS93" s="4" t="str">
        <f ca="1">IFERROR(__xludf.DUMMYFUNCTION("""COMPUTED_VALUE"""),"| 5 P JAVA % | 7 L CPT % | 8 L NS % | 9 P CPT % ")</f>
        <v xml:space="preserve">| 5 P JAVA % | 7 L CPT % | 8 L NS % | 9 P CPT % </v>
      </c>
      <c r="AT93" s="4" t="str">
        <f ca="1">IFERROR(__xludf.DUMMYFUNCTION("""COMPUTED_VALUE"""),"| 5 L PHP-CGM % | 6 L NS % | 7 P Python % | 9 P PRO % ")</f>
        <v xml:space="preserve">| 5 L PHP-CGM % | 6 L NS % | 7 P Python % | 9 P PRO % </v>
      </c>
      <c r="AU93" s="4" t="str">
        <f ca="1">IFERROR(__xludf.DUMMYFUNCTION("""COMPUTED_VALUE"""),"| 5 L JAVA % | 6 L CPT % | 7 P PHP-CGM % | 9 L INE % ")</f>
        <v xml:space="preserve">| 5 L JAVA % | 6 L CPT % | 7 P PHP-CGM % | 9 L INE % </v>
      </c>
      <c r="AV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93" s="4" t="str">
        <f ca="1">IFERROR(__xludf.DUMMYFUNCTION("""COMPUTED_VALUE"""),"| 5 P NS % | 7 L PHP-CGM % | 8 L JAVA % | 9 P Python @ ")</f>
        <v xml:space="preserve">| 5 P NS % | 7 L PHP-CGM % | 8 L JAVA % | 9 P Python @ </v>
      </c>
      <c r="AX93" s="4" t="str">
        <f ca="1">IFERROR(__xludf.DUMMYFUNCTION("""COMPUTED_VALUE"""),"| 5 P JAVA % | 7 L CPT % | 8 L NS % | 9 P CPT % ")</f>
        <v xml:space="preserve">| 5 P JAVA % | 7 L CPT % | 8 L NS % | 9 P CPT % </v>
      </c>
      <c r="AY93" s="4" t="str">
        <f ca="1">IFERROR(__xludf.DUMMYFUNCTION("""COMPUTED_VALUE"""),"| 5 L PHP-CGM % | 6 L NS % | 7 P Python % | 9 P PRO @ ")</f>
        <v xml:space="preserve">| 5 L PHP-CGM % | 6 L NS % | 7 P Python % | 9 P PRO @ </v>
      </c>
      <c r="AZ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A93" s="4" t="str">
        <f ca="1">IFERROR(__xludf.DUMMYFUNCTION("""COMPUTED_VALUE"""),"| 5 P NS % | 7 L PHP-CGM @ | 8 L JAVA @ ")</f>
        <v xml:space="preserve">| 5 P NS % | 7 L PHP-CGM @ | 8 L JAVA @ </v>
      </c>
      <c r="BB93" s="4" t="str">
        <f ca="1">IFERROR(__xludf.DUMMYFUNCTION("""COMPUTED_VALUE"""),"| 5 P JAVA @ | 7 L CPT % | 8 L NS % | 9 P CPT % ")</f>
        <v xml:space="preserve">| 5 P JAVA @ | 7 L CPT % | 8 L NS % | 9 P CPT % </v>
      </c>
      <c r="BC93" s="4" t="str">
        <f ca="1">IFERROR(__xludf.DUMMYFUNCTION("""COMPUTED_VALUE"""),"| 5 L PHP-CGM % | 6 L NS % | 7 P Python % | 9 P PRO @ ")</f>
        <v xml:space="preserve">| 5 L PHP-CGM % | 6 L NS % | 7 P Python % | 9 P PRO @ </v>
      </c>
      <c r="BD93" s="4" t="str">
        <f ca="1">IFERROR(__xludf.DUMMYFUNCTION("""COMPUTED_VALUE"""),"| 5 L JAVA % | 6 L CPT % | 7 P PHP-CGM % | 9 L INE % ")</f>
        <v xml:space="preserve">| 5 L JAVA % | 6 L CPT % | 7 P PHP-CGM % | 9 L INE % </v>
      </c>
      <c r="BE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93" s="4" t="str">
        <f ca="1">IFERROR(__xludf.DUMMYFUNCTION("""COMPUTED_VALUE"""),"| 5 P NS % | 7 L PHP-CGM @ | 9 P Python @ | 8 L JAVA @ ")</f>
        <v xml:space="preserve">| 5 P NS % | 7 L PHP-CGM @ | 9 P Python @ | 8 L JAVA @ </v>
      </c>
      <c r="BG93" s="4" t="str">
        <f ca="1">IFERROR(__xludf.DUMMYFUNCTION("""COMPUTED_VALUE"""),"| 5 L PHP-CGM @ | 6 L NS @ | 7 P Python @ | 9 P PRO @ ")</f>
        <v xml:space="preserve">| 5 L PHP-CGM @ | 6 L NS @ | 7 P Python @ | 9 P PRO @ </v>
      </c>
      <c r="BH93" s="4" t="str">
        <f ca="1">IFERROR(__xludf.DUMMYFUNCTION("""COMPUTED_VALUE"""),"| 5 L JAVA % | 6 L CPT % | 7 P PHP-CGM % | 9 L INE % ")</f>
        <v xml:space="preserve">| 5 L JAVA % | 6 L CPT % | 7 P PHP-CGM % | 9 L INE % </v>
      </c>
      <c r="BI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93" s="4" t="str">
        <f ca="1">IFERROR(__xludf.DUMMYFUNCTION("""COMPUTED_VALUE"""),"| 5 P NS % | 7 L JAVA @ | 7 L PHP-CGM @ ")</f>
        <v xml:space="preserve">| 5 P NS % | 7 L JAVA @ | 7 L PHP-CGM @ </v>
      </c>
      <c r="BK93" s="4" t="str">
        <f ca="1">IFERROR(__xludf.DUMMYFUNCTION("""COMPUTED_VALUE"""),"| 5 P JAVA @ | 7 L CPT @ | 9 P CPT @ | 8 L NS @ ")</f>
        <v xml:space="preserve">| 5 P JAVA @ | 7 L CPT @ | 9 P CPT @ | 8 L NS @ </v>
      </c>
      <c r="BL93" s="4" t="str">
        <f ca="1">IFERROR(__xludf.DUMMYFUNCTION("""COMPUTED_VALUE"""),"| 5 L PHP-CGM @ | 6 L NS @ | 7 P Python @ ")</f>
        <v xml:space="preserve">| 5 L PHP-CGM @ | 6 L NS @ | 7 P Python @ </v>
      </c>
      <c r="BM93" s="4" t="str">
        <f ca="1">IFERROR(__xludf.DUMMYFUNCTION("""COMPUTED_VALUE"""),"| 5 L JAVA % | 6 L CPT % | 7 P PHP-CGM % | 9 L INE @ ")</f>
        <v xml:space="preserve">| 5 L JAVA % | 6 L CPT % | 7 P PHP-CGM % | 9 L INE @ </v>
      </c>
      <c r="BN93" s="4" t="str">
        <f ca="1">IFERROR(__xludf.DUMMYFUNCTION("""COMPUTED_VALUE"""),"| 5 L PHP-CGM % | 6 L NS % | 9 L JAVA % | 8 L CPT % | 9 P JAVA % ")</f>
        <v xml:space="preserve">| 5 L PHP-CGM % | 6 L NS % | 9 L JAVA % | 8 L CPT % | 9 P JAVA % </v>
      </c>
      <c r="BO93" s="4" t="str">
        <f ca="1">IFERROR(__xludf.DUMMYFUNCTION("""COMPUTED_VALUE"""),"| 5 P NS @ | 7 L PHP-CGM @ ")</f>
        <v xml:space="preserve">| 5 P NS @ | 7 L PHP-CGM @ </v>
      </c>
      <c r="BP93" s="4" t="str">
        <f ca="1">IFERROR(__xludf.DUMMYFUNCTION("""COMPUTED_VALUE"""),"| 5 P JAVA @ | 7 L CPT @ | 8 L NS @ | 9 P CPT @ ")</f>
        <v xml:space="preserve">| 5 P JAVA @ | 7 L CPT @ | 8 L NS @ | 9 P CPT @ </v>
      </c>
      <c r="BQ93" s="4" t="str">
        <f ca="1">IFERROR(__xludf.DUMMYFUNCTION("""COMPUTED_VALUE"""),"| 5 L JAVA @ | 6 L CPT @ ")</f>
        <v xml:space="preserve">| 5 L JAVA @ | 6 L CPT @ </v>
      </c>
      <c r="BR93" s="4" t="str">
        <f ca="1">IFERROR(__xludf.DUMMYFUNCTION("""COMPUTED_VALUE"""),"| 7 L JAVA @ ")</f>
        <v xml:space="preserve">| 7 L JAVA @ </v>
      </c>
      <c r="BS93" s="4"/>
      <c r="BT93" s="4" t="str">
        <f ca="1">IFERROR(__xludf.DUMMYFUNCTION("""COMPUTED_VALUE"""),"| 7 L CPT @ | 9 P CPT @ ")</f>
        <v xml:space="preserve">| 7 L CPT @ | 9 P CPT @ </v>
      </c>
      <c r="BU93" s="4"/>
      <c r="BV93" s="4" t="str">
        <f ca="1">IFERROR(__xludf.DUMMYFUNCTION("""COMPUTED_VALUE"""),"| 5 P JAVA @ | 7 L CPT @ | 8 L NS @ ")</f>
        <v xml:space="preserve">| 5 P JAVA @ | 7 L CPT @ | 8 L NS @ </v>
      </c>
      <c r="BW93" s="4"/>
      <c r="BX93" s="4" t="str">
        <f ca="1">IFERROR(__xludf.DUMMYFUNCTION("""COMPUTED_VALUE"""),"| 5 L JAVA @ | 6 L CPT @ | 7 P PHP-CGM @ ")</f>
        <v xml:space="preserve">| 5 L JAVA @ | 6 L CPT @ | 7 P PHP-CGM @ </v>
      </c>
      <c r="BY93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Z93" s="4" t="str">
        <f ca="1">IFERROR(__xludf.DUMMYFUNCTION("""COMPUTED_VALUE"""),"| 5 P NS @ | 8 L JAVA @ | 7 L PHP-CGM @ | 9 P Python @ ")</f>
        <v xml:space="preserve">| 5 P NS @ | 8 L JAVA @ | 7 L PHP-CGM @ | 9 P Python @ </v>
      </c>
      <c r="CA93" s="4" t="str">
        <f ca="1">IFERROR(__xludf.DUMMYFUNCTION("""COMPUTED_VALUE"""),"| 5 P JAVA @ | 7 L CPT @ | 8 L NS @ | 9 P CPT @ ")</f>
        <v xml:space="preserve">| 5 P JAVA @ | 7 L CPT @ | 8 L NS @ | 9 P CPT @ </v>
      </c>
      <c r="CB93" s="4" t="str">
        <f ca="1">IFERROR(__xludf.DUMMYFUNCTION("""COMPUTED_VALUE"""),"| 5 L PHP-CGM % | 6 L NS % | 7 P Python % ")</f>
        <v xml:space="preserve">| 5 L PHP-CGM % | 6 L NS % | 7 P Python % </v>
      </c>
      <c r="CC93" s="4" t="str">
        <f ca="1">IFERROR(__xludf.DUMMYFUNCTION("""COMPUTED_VALUE"""),"| 5 L JAVA % | 7 P PHP-CGM % | 9 L INE % ")</f>
        <v xml:space="preserve">| 5 L JAVA % | 7 P PHP-CGM % | 9 L INE % </v>
      </c>
      <c r="CD93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93" s="4" t="str">
        <f ca="1">IFERROR(__xludf.DUMMYFUNCTION("""COMPUTED_VALUE"""),"| 5 P NS % | 8 L JAVA % | 7 L PHP-CGM % ")</f>
        <v xml:space="preserve">| 5 P NS % | 8 L JAVA % | 7 L PHP-CGM % </v>
      </c>
      <c r="CF93" s="4" t="str">
        <f ca="1">IFERROR(__xludf.DUMMYFUNCTION("""COMPUTED_VALUE"""),"| 7 L CPT % | 8 L NS % | 5 P JAVA % | 9 P CPT % ")</f>
        <v xml:space="preserve">| 7 L CPT % | 8 L NS % | 5 P JAVA % | 9 P CPT % </v>
      </c>
      <c r="CG93" s="4" t="str">
        <f ca="1">IFERROR(__xludf.DUMMYFUNCTION("""COMPUTED_VALUE"""),"| 5 L PHP-CGM % | 6 L NS % | 7 P Python % ")</f>
        <v xml:space="preserve">| 5 L PHP-CGM % | 6 L NS % | 7 P Python % </v>
      </c>
      <c r="CH93" s="4" t="str">
        <f ca="1">IFERROR(__xludf.DUMMYFUNCTION("""COMPUTED_VALUE"""),"| 5 L JAVA % | 6 L CPT % | 7 P PHP-CGM % | 9 L INE @ ")</f>
        <v xml:space="preserve">| 5 L JAVA % | 6 L CPT % | 7 P PHP-CGM % | 9 L INE @ </v>
      </c>
      <c r="CI93" s="4" t="str">
        <f ca="1">IFERROR(__xludf.DUMMYFUNCTION("""COMPUTED_VALUE"""),"| 5 L PHP-CGM % | 7 L JAVA @ | 8 L CPT @ ")</f>
        <v xml:space="preserve">| 5 L PHP-CGM % | 7 L JAVA @ | 8 L CPT @ </v>
      </c>
      <c r="CJ93" s="4" t="str">
        <f ca="1">IFERROR(__xludf.DUMMYFUNCTION("""COMPUTED_VALUE"""),"| 5 P NS % ")</f>
        <v xml:space="preserve">| 5 P NS % </v>
      </c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</row>
    <row r="94" spans="1:102" ht="12.5" x14ac:dyDescent="0.25">
      <c r="A94" s="3">
        <f ca="1">IFERROR(__xludf.DUMMYFUNCTION("""COMPUTED_VALUE"""),1)</f>
        <v>1</v>
      </c>
      <c r="B94" s="3" t="str">
        <f ca="1">IFERROR(__xludf.DUMMYFUNCTION("""COMPUTED_VALUE"""),"B")</f>
        <v>B</v>
      </c>
      <c r="C94" s="32" t="str">
        <f ca="1">IFERROR(__xludf.DUMMYFUNCTION("""COMPUTED_VALUE"""),"23291341033")</f>
        <v>23291341033</v>
      </c>
      <c r="D94" s="4" t="str">
        <f ca="1">IFERROR(__xludf.DUMMYFUNCTION("""COMPUTED_VALUE"""),"DHODI AVANIKUMARI RAJESHBHAI")</f>
        <v>DHODI AVANIKUMARI RAJESHBHAI</v>
      </c>
      <c r="E94" s="3" t="str">
        <f ca="1">IFERROR(__xludf.DUMMYFUNCTION("""COMPUTED_VALUE"""),"HAM/HDP-EVE")</f>
        <v>HAM/HDP-EVE</v>
      </c>
      <c r="F94" s="3">
        <f ca="1">IFERROR(__xludf.DUMMYFUNCTION("""COMPUTED_VALUE"""),8799054061)</f>
        <v>8799054061</v>
      </c>
      <c r="G94" s="3">
        <f ca="1">IFERROR(__xludf.DUMMYFUNCTION("""COMPUTED_VALUE"""),6351336647)</f>
        <v>6351336647</v>
      </c>
      <c r="H94" s="33">
        <f ca="1">IFERROR(__xludf.DUMMYFUNCTION("""COMPUTED_VALUE"""),0.831896551724137)</f>
        <v>0.83189655172413701</v>
      </c>
      <c r="I94" s="25">
        <f ca="1">IFERROR(__xludf.DUMMYFUNCTION("""COMPUTED_VALUE"""),0.837837837837837)</f>
        <v>0.83783783783783705</v>
      </c>
      <c r="J94" s="25">
        <f ca="1">IFERROR(__xludf.DUMMYFUNCTION("""COMPUTED_VALUE"""),0.75)</f>
        <v>0.75</v>
      </c>
      <c r="K94" s="25">
        <f ca="1">IFERROR(__xludf.DUMMYFUNCTION("""COMPUTED_VALUE"""),0.764705882352941)</f>
        <v>0.76470588235294101</v>
      </c>
      <c r="L94" s="25">
        <f ca="1">IFERROR(__xludf.DUMMYFUNCTION("""COMPUTED_VALUE"""),0.909090909090909)</f>
        <v>0.90909090909090895</v>
      </c>
      <c r="M94" s="25">
        <f ca="1">IFERROR(__xludf.DUMMYFUNCTION("""COMPUTED_VALUE"""),0.828571428571428)</f>
        <v>0.82857142857142796</v>
      </c>
      <c r="N94" s="25">
        <f ca="1">IFERROR(__xludf.DUMMYFUNCTION("""COMPUTED_VALUE"""),0.909090909090909)</f>
        <v>0.90909090909090895</v>
      </c>
      <c r="O94" s="25">
        <f ca="1">IFERROR(__xludf.DUMMYFUNCTION("""COMPUTED_VALUE"""),0.885714285714285)</f>
        <v>0.88571428571428501</v>
      </c>
      <c r="P94" s="25">
        <f ca="1">IFERROR(__xludf.DUMMYFUNCTION("""COMPUTED_VALUE"""),0.869565217391304)</f>
        <v>0.86956521739130399</v>
      </c>
      <c r="Q94" s="25">
        <f ca="1">IFERROR(__xludf.DUMMYFUNCTION("""COMPUTED_VALUE"""),0)</f>
        <v>0</v>
      </c>
      <c r="R94" s="25">
        <f ca="1">IFERROR(__xludf.DUMMYFUNCTION("""COMPUTED_VALUE"""),0.947368421052631)</f>
        <v>0.94736842105263097</v>
      </c>
      <c r="S94" s="25">
        <f ca="1">IFERROR(__xludf.DUMMYFUNCTION("""COMPUTED_VALUE"""),0)</f>
        <v>0</v>
      </c>
      <c r="T94" s="25">
        <f ca="1">IFERROR(__xludf.DUMMYFUNCTION("""COMPUTED_VALUE"""),0.571428571428571)</f>
        <v>0.57142857142857095</v>
      </c>
      <c r="U94" s="25">
        <f ca="1">IFERROR(__xludf.DUMMYFUNCTION("""COMPUTED_VALUE"""),0.625)</f>
        <v>0.625</v>
      </c>
      <c r="V94" s="25">
        <f ca="1">IFERROR(__xludf.DUMMYFUNCTION("""COMPUTED_VALUE"""),0)</f>
        <v>0</v>
      </c>
      <c r="W94" s="4"/>
      <c r="X94" s="4" t="str">
        <f ca="1">IFERROR(__xludf.DUMMYFUNCTION("""COMPUTED_VALUE"""),"| 5 P JAVA @ | 7 L CPT @ | 8 L NS @ | 9 P CPT @ ")</f>
        <v xml:space="preserve">| 5 P JAVA @ | 7 L CPT @ | 8 L NS @ | 9 P CPT @ </v>
      </c>
      <c r="Y94" s="4" t="str">
        <f ca="1">IFERROR(__xludf.DUMMYFUNCTION("""COMPUTED_VALUE"""),"| 5 L PHP-CGM @ | 6 L NS @ | 7 P Python @ | 9 P PRO @ ")</f>
        <v xml:space="preserve">| 5 L PHP-CGM @ | 6 L NS @ | 7 P Python @ | 9 P PRO @ </v>
      </c>
      <c r="Z94" s="4" t="str">
        <f ca="1">IFERROR(__xludf.DUMMYFUNCTION("""COMPUTED_VALUE"""),"| 5 L JAVA % | 6 L CPT % | 7 P PHP-CGM % ")</f>
        <v xml:space="preserve">| 5 L JAVA % | 6 L CPT % | 7 P PHP-CGM % </v>
      </c>
      <c r="AA94" s="4" t="str">
        <f ca="1">IFERROR(__xludf.DUMMYFUNCTION("""COMPUTED_VALUE"""),"| 5 L PHP-CGM % | 7 L JAVA % | 9 P JAVA % | 8 L CPT % ")</f>
        <v xml:space="preserve">| 5 L PHP-CGM % | 7 L JAVA % | 9 P JAVA % | 8 L CPT % </v>
      </c>
      <c r="AB94" s="4" t="str">
        <f ca="1">IFERROR(__xludf.DUMMYFUNCTION("""COMPUTED_VALUE"""),"| 4 P Python % | 7 L PHP-CGM % | 8 L JAVA % | 9 P Python % ")</f>
        <v xml:space="preserve">| 4 P Python % | 7 L PHP-CGM % | 8 L JAVA % | 9 P Python % </v>
      </c>
      <c r="AC94" s="4" t="str">
        <f ca="1">IFERROR(__xludf.DUMMYFUNCTION("""COMPUTED_VALUE"""),"| 5 P JAVA % | 7 L CPT % | 8 L NS % | 9 P CPT % ")</f>
        <v xml:space="preserve">| 5 P JAVA % | 7 L CPT % | 8 L NS % | 9 P CPT % </v>
      </c>
      <c r="AD94" s="4" t="str">
        <f ca="1">IFERROR(__xludf.DUMMYFUNCTION("""COMPUTED_VALUE"""),"| 5 L PHP-CGM % | 6 L NS % | 7 P Python % ")</f>
        <v xml:space="preserve">| 5 L PHP-CGM % | 6 L NS % | 7 P Python % </v>
      </c>
      <c r="AE94" s="4" t="str">
        <f ca="1">IFERROR(__xludf.DUMMYFUNCTION("""COMPUTED_VALUE"""),"| 5 L JAVA % | 6 L CPT % | 7 P PHP-CGM % ")</f>
        <v xml:space="preserve">| 5 L JAVA % | 6 L CPT % | 7 P PHP-CGM % </v>
      </c>
      <c r="AF9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G94" s="4" t="str">
        <f ca="1">IFERROR(__xludf.DUMMYFUNCTION("""COMPUTED_VALUE"""),"| 5 P NS % | 8 L JAVA % | 7 L PHP-CGM % | 9 P Python % ")</f>
        <v xml:space="preserve">| 5 P NS % | 8 L JAVA % | 7 L PHP-CGM % | 9 P Python % </v>
      </c>
      <c r="AH9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94" s="4" t="str">
        <f ca="1">IFERROR(__xludf.DUMMYFUNCTION("""COMPUTED_VALUE"""),"| 5 P NS % | 8 L JAVA % | 7 L PHP-CGM % | 9 P Python % ")</f>
        <v xml:space="preserve">| 5 P NS % | 8 L JAVA % | 7 L PHP-CGM % | 9 P Python % </v>
      </c>
      <c r="AJ94" s="4" t="str">
        <f ca="1">IFERROR(__xludf.DUMMYFUNCTION("""COMPUTED_VALUE"""),"| 5 P JAVA % | 7 L CPT % | 8 L NS % | 9 P CPT % ")</f>
        <v xml:space="preserve">| 5 P JAVA % | 7 L CPT % | 8 L NS % | 9 P CPT % </v>
      </c>
      <c r="AK94" s="4" t="str">
        <f ca="1">IFERROR(__xludf.DUMMYFUNCTION("""COMPUTED_VALUE"""),"| 5 L PHP-CGM % | 6 L NS % | 7 P Python % | 9 P PRO % ")</f>
        <v xml:space="preserve">| 5 L PHP-CGM % | 6 L NS % | 7 P Python % | 9 P PRO % </v>
      </c>
      <c r="AL94" s="4" t="str">
        <f ca="1">IFERROR(__xludf.DUMMYFUNCTION("""COMPUTED_VALUE"""),"| 5 L JAVA % | 6 L CPT % | 7 P PHP-CGM % | 9 L INE @ ")</f>
        <v xml:space="preserve">| 5 L JAVA % | 6 L CPT % | 7 P PHP-CGM % | 9 L INE @ </v>
      </c>
      <c r="AM9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94" s="4" t="str">
        <f ca="1">IFERROR(__xludf.DUMMYFUNCTION("""COMPUTED_VALUE"""),"| 5 P NS % | 8 L JAVA % | 7 L PHP-CGM % | 9 P Python % ")</f>
        <v xml:space="preserve">| 5 P NS % | 8 L JAVA % | 7 L PHP-CGM % | 9 P Python % </v>
      </c>
      <c r="AO94" s="4" t="str">
        <f ca="1">IFERROR(__xludf.DUMMYFUNCTION("""COMPUTED_VALUE"""),"| 5 P JAVA % | 7 L CPT % | 8 L NS % | 9 P CPT % ")</f>
        <v xml:space="preserve">| 5 P JAVA % | 7 L CPT % | 8 L NS % | 9 P CPT % </v>
      </c>
      <c r="AP94" s="4" t="str">
        <f ca="1">IFERROR(__xludf.DUMMYFUNCTION("""COMPUTED_VALUE"""),"| 5 L PHP-CGM % | 6 L NS % | 7 P Python % | 9 P PRO % ")</f>
        <v xml:space="preserve">| 5 L PHP-CGM % | 6 L NS % | 7 P Python % | 9 P PRO % </v>
      </c>
      <c r="AQ94" s="4" t="str">
        <f ca="1">IFERROR(__xludf.DUMMYFUNCTION("""COMPUTED_VALUE"""),"| 5 L CPT % | 7 L JAVA % | 7 P PHP-CGM @ | 9 L INE @ ")</f>
        <v xml:space="preserve">| 5 L CPT % | 7 L JAVA % | 7 P PHP-CGM @ | 9 L INE @ </v>
      </c>
      <c r="AR94" s="4" t="str">
        <f ca="1">IFERROR(__xludf.DUMMYFUNCTION("""COMPUTED_VALUE"""),"| 5 L PHP-CGM @ | 6 L NS @ | 8 L CPT @ ")</f>
        <v xml:space="preserve">| 5 L PHP-CGM @ | 6 L NS @ | 8 L CPT @ </v>
      </c>
      <c r="AS94" s="4" t="str">
        <f ca="1">IFERROR(__xludf.DUMMYFUNCTION("""COMPUTED_VALUE"""),"| 5 P JAVA @ | 7 L CPT @ | 8 L NS @ | 9 P CPT @ ")</f>
        <v xml:space="preserve">| 5 P JAVA @ | 7 L CPT @ | 8 L NS @ | 9 P CPT @ </v>
      </c>
      <c r="AT94" s="4" t="str">
        <f ca="1">IFERROR(__xludf.DUMMYFUNCTION("""COMPUTED_VALUE"""),"| 5 L PHP-CGM % | 6 L NS % | 7 P Python % | 9 P PRO % ")</f>
        <v xml:space="preserve">| 5 L PHP-CGM % | 6 L NS % | 7 P Python % | 9 P PRO % </v>
      </c>
      <c r="AU94" s="4" t="str">
        <f ca="1">IFERROR(__xludf.DUMMYFUNCTION("""COMPUTED_VALUE"""),"| 5 L JAVA % | 6 L CPT % | 7 P PHP-CGM % | 9 L INE % ")</f>
        <v xml:space="preserve">| 5 L JAVA % | 6 L CPT % | 7 P PHP-CGM % | 9 L INE % </v>
      </c>
      <c r="AV9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94" s="4" t="str">
        <f ca="1">IFERROR(__xludf.DUMMYFUNCTION("""COMPUTED_VALUE"""),"| 5 P NS % | 7 L PHP-CGM % | 8 L JAVA % | 9 P Python % ")</f>
        <v xml:space="preserve">| 5 P NS % | 7 L PHP-CGM % | 8 L JAVA % | 9 P Python % </v>
      </c>
      <c r="AX94" s="4" t="str">
        <f ca="1">IFERROR(__xludf.DUMMYFUNCTION("""COMPUTED_VALUE"""),"| 5 P JAVA % | 7 L CPT % | 8 L NS % | 9 P CPT % ")</f>
        <v xml:space="preserve">| 5 P JAVA % | 7 L CPT % | 8 L NS % | 9 P CPT % </v>
      </c>
      <c r="AY94" s="4" t="str">
        <f ca="1">IFERROR(__xludf.DUMMYFUNCTION("""COMPUTED_VALUE"""),"| 5 L PHP-CGM % | 6 L NS % | 7 P Python % | 9 P PRO @ ")</f>
        <v xml:space="preserve">| 5 L PHP-CGM % | 6 L NS % | 7 P Python % | 9 P PRO @ </v>
      </c>
      <c r="AZ94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A94" s="4" t="str">
        <f ca="1">IFERROR(__xludf.DUMMYFUNCTION("""COMPUTED_VALUE"""),"| 5 P NS @ | 7 L PHP-CGM @ | 8 L JAVA @ ")</f>
        <v xml:space="preserve">| 5 P NS @ | 7 L PHP-CGM @ | 8 L JAVA @ </v>
      </c>
      <c r="BB94" s="4" t="str">
        <f ca="1">IFERROR(__xludf.DUMMYFUNCTION("""COMPUTED_VALUE"""),"| 5 P JAVA % | 7 L CPT % | 8 L NS % | 9 P CPT % ")</f>
        <v xml:space="preserve">| 5 P JAVA % | 7 L CPT % | 8 L NS % | 9 P CPT % </v>
      </c>
      <c r="BC94" s="4" t="str">
        <f ca="1">IFERROR(__xludf.DUMMYFUNCTION("""COMPUTED_VALUE"""),"| 5 L PHP-CGM % | 6 L NS % | 7 P Python % | 9 P PRO @ ")</f>
        <v xml:space="preserve">| 5 L PHP-CGM % | 6 L NS % | 7 P Python % | 9 P PRO @ </v>
      </c>
      <c r="BD94" s="4" t="str">
        <f ca="1">IFERROR(__xludf.DUMMYFUNCTION("""COMPUTED_VALUE"""),"| 5 L JAVA % | 6 L CPT % | 7 P PHP-CGM % | 9 L INE % ")</f>
        <v xml:space="preserve">| 5 L JAVA % | 6 L CPT % | 7 P PHP-CGM % | 9 L INE % </v>
      </c>
      <c r="BE94" s="4" t="str">
        <f ca="1">IFERROR(__xludf.DUMMYFUNCTION("""COMPUTED_VALUE"""),"| 5 L PHP-CGM % | 6 L NS @ | 7 L JAVA @ | 8 L CPT % | 9 P JAVA % ")</f>
        <v xml:space="preserve">| 5 L PHP-CGM % | 6 L NS @ | 7 L JAVA @ | 8 L CPT % | 9 P JAVA % </v>
      </c>
      <c r="BF94" s="4" t="str">
        <f ca="1">IFERROR(__xludf.DUMMYFUNCTION("""COMPUTED_VALUE"""),"| 5 P NS % | 7 L PHP-CGM % | 9 P Python % | 8 L JAVA % ")</f>
        <v xml:space="preserve">| 5 P NS % | 7 L PHP-CGM % | 9 P Python % | 8 L JAVA % </v>
      </c>
      <c r="BG94" s="4" t="str">
        <f ca="1">IFERROR(__xludf.DUMMYFUNCTION("""COMPUTED_VALUE"""),"| 5 L PHP-CGM % | 6 L NS % | 7 P Python % | 9 P PRO % ")</f>
        <v xml:space="preserve">| 5 L PHP-CGM % | 6 L NS % | 7 P Python % | 9 P PRO % </v>
      </c>
      <c r="BH94" s="4" t="str">
        <f ca="1">IFERROR(__xludf.DUMMYFUNCTION("""COMPUTED_VALUE"""),"| 5 L JAVA % | 6 L CPT % | 7 P PHP-CGM % | 9 L INE % ")</f>
        <v xml:space="preserve">| 5 L JAVA % | 6 L CPT % | 7 P PHP-CGM % | 9 L INE % </v>
      </c>
      <c r="BI9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J94" s="4" t="str">
        <f ca="1">IFERROR(__xludf.DUMMYFUNCTION("""COMPUTED_VALUE"""),"| 5 P NS % | 7 L JAVA % | 7 L PHP-CGM % ")</f>
        <v xml:space="preserve">| 5 P NS % | 7 L JAVA % | 7 L PHP-CGM % </v>
      </c>
      <c r="BK94" s="4" t="str">
        <f ca="1">IFERROR(__xludf.DUMMYFUNCTION("""COMPUTED_VALUE"""),"| 5 P JAVA % | 7 L CPT % | 9 P CPT @ | 8 L NS @ ")</f>
        <v xml:space="preserve">| 5 P JAVA % | 7 L CPT % | 9 P CPT @ | 8 L NS @ </v>
      </c>
      <c r="BL94" s="4" t="str">
        <f ca="1">IFERROR(__xludf.DUMMYFUNCTION("""COMPUTED_VALUE"""),"| 5 L PHP-CGM % | 6 L NS % | 7 P Python % ")</f>
        <v xml:space="preserve">| 5 L PHP-CGM % | 6 L NS % | 7 P Python % </v>
      </c>
      <c r="BM94" s="4" t="str">
        <f ca="1">IFERROR(__xludf.DUMMYFUNCTION("""COMPUTED_VALUE"""),"| 5 L JAVA % | 6 L CPT % | 7 P PHP-CGM % | 9 L INE @ ")</f>
        <v xml:space="preserve">| 5 L JAVA % | 6 L CPT % | 7 P PHP-CGM % | 9 L INE @ </v>
      </c>
      <c r="BN94" s="4" t="str">
        <f ca="1">IFERROR(__xludf.DUMMYFUNCTION("""COMPUTED_VALUE"""),"| 5 L PHP-CGM % | 6 L NS % | 9 L JAVA % | 8 L CPT % | 9 P JAVA % ")</f>
        <v xml:space="preserve">| 5 L PHP-CGM % | 6 L NS % | 9 L JAVA % | 8 L CPT % | 9 P JAVA % </v>
      </c>
      <c r="BO94" s="4" t="str">
        <f ca="1">IFERROR(__xludf.DUMMYFUNCTION("""COMPUTED_VALUE"""),"| 5 P NS % | 7 L PHP-CGM % ")</f>
        <v xml:space="preserve">| 5 P NS % | 7 L PHP-CGM % </v>
      </c>
      <c r="BP94" s="4" t="str">
        <f ca="1">IFERROR(__xludf.DUMMYFUNCTION("""COMPUTED_VALUE"""),"| 5 P JAVA % | 7 L CPT % | 8 L NS % | 9 P CPT % ")</f>
        <v xml:space="preserve">| 5 P JAVA % | 7 L CPT % | 8 L NS % | 9 P CPT % </v>
      </c>
      <c r="BQ94" s="4" t="str">
        <f ca="1">IFERROR(__xludf.DUMMYFUNCTION("""COMPUTED_VALUE"""),"| 5 L JAVA % | 6 L CPT % ")</f>
        <v xml:space="preserve">| 5 L JAVA % | 6 L CPT % </v>
      </c>
      <c r="BR94" s="4" t="str">
        <f ca="1">IFERROR(__xludf.DUMMYFUNCTION("""COMPUTED_VALUE"""),"| 7 L JAVA % ")</f>
        <v xml:space="preserve">| 7 L JAVA % </v>
      </c>
      <c r="BS94" s="4"/>
      <c r="BT94" s="4" t="str">
        <f ca="1">IFERROR(__xludf.DUMMYFUNCTION("""COMPUTED_VALUE"""),"| 7 L CPT @ | 9 P CPT % ")</f>
        <v xml:space="preserve">| 7 L CPT @ | 9 P CPT % </v>
      </c>
      <c r="BU94" s="4"/>
      <c r="BV94" s="4" t="str">
        <f ca="1">IFERROR(__xludf.DUMMYFUNCTION("""COMPUTED_VALUE"""),"| 5 P JAVA % | 7 L CPT % | 8 L NS % ")</f>
        <v xml:space="preserve">| 5 P JAVA % | 7 L CPT % | 8 L NS % </v>
      </c>
      <c r="BW94" s="4"/>
      <c r="BX94" s="4" t="str">
        <f ca="1">IFERROR(__xludf.DUMMYFUNCTION("""COMPUTED_VALUE"""),"| 5 L JAVA % | 6 L CPT % | 7 P PHP-CGM % ")</f>
        <v xml:space="preserve">| 5 L JAVA % | 6 L CPT % | 7 P PHP-CGM % </v>
      </c>
      <c r="BY9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94" s="4" t="str">
        <f ca="1">IFERROR(__xludf.DUMMYFUNCTION("""COMPUTED_VALUE"""),"| 5 P NS % | 8 L JAVA % | 7 L PHP-CGM % | 9 P Python % ")</f>
        <v xml:space="preserve">| 5 P NS % | 8 L JAVA % | 7 L PHP-CGM % | 9 P Python % </v>
      </c>
      <c r="CA94" s="4" t="str">
        <f ca="1">IFERROR(__xludf.DUMMYFUNCTION("""COMPUTED_VALUE"""),"| 5 P JAVA % | 7 L CPT % | 8 L NS % | 9 P CPT % ")</f>
        <v xml:space="preserve">| 5 P JAVA % | 7 L CPT % | 8 L NS % | 9 P CPT % </v>
      </c>
      <c r="CB94" s="4" t="str">
        <f ca="1">IFERROR(__xludf.DUMMYFUNCTION("""COMPUTED_VALUE"""),"| 5 L PHP-CGM % | 6 L NS % | 7 P Python % ")</f>
        <v xml:space="preserve">| 5 L PHP-CGM % | 6 L NS % | 7 P Python % </v>
      </c>
      <c r="CC94" s="4" t="str">
        <f ca="1">IFERROR(__xludf.DUMMYFUNCTION("""COMPUTED_VALUE"""),"| 5 L JAVA % | 7 P PHP-CGM % | 9 L INE % ")</f>
        <v xml:space="preserve">| 5 L JAVA % | 7 P PHP-CGM % | 9 L INE % </v>
      </c>
      <c r="CD94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CE94" s="4" t="str">
        <f ca="1">IFERROR(__xludf.DUMMYFUNCTION("""COMPUTED_VALUE"""),"| 5 P NS % | 8 L JAVA % | 7 L PHP-CGM % ")</f>
        <v xml:space="preserve">| 5 P NS % | 8 L JAVA % | 7 L PHP-CGM % </v>
      </c>
      <c r="CF94" s="4" t="str">
        <f ca="1">IFERROR(__xludf.DUMMYFUNCTION("""COMPUTED_VALUE"""),"| 7 L CPT % | 8 L NS % | 5 P JAVA % | 9 P CPT % ")</f>
        <v xml:space="preserve">| 7 L CPT % | 8 L NS % | 5 P JAVA % | 9 P CPT % </v>
      </c>
      <c r="CG94" s="4" t="str">
        <f ca="1">IFERROR(__xludf.DUMMYFUNCTION("""COMPUTED_VALUE"""),"| 5 L PHP-CGM @ | 6 L NS @ | 7 P Python % ")</f>
        <v xml:space="preserve">| 5 L PHP-CGM @ | 6 L NS @ | 7 P Python % </v>
      </c>
      <c r="CH94" s="4" t="str">
        <f ca="1">IFERROR(__xludf.DUMMYFUNCTION("""COMPUTED_VALUE"""),"| 5 L JAVA % | 6 L CPT % | 7 P PHP-CGM % | 9 L INE % ")</f>
        <v xml:space="preserve">| 5 L JAVA % | 6 L CPT % | 7 P PHP-CGM % | 9 L INE % </v>
      </c>
      <c r="CI94" s="4" t="str">
        <f ca="1">IFERROR(__xludf.DUMMYFUNCTION("""COMPUTED_VALUE"""),"| 5 L PHP-CGM @ | 7 L JAVA @ | 8 L CPT @ ")</f>
        <v xml:space="preserve">| 5 L PHP-CGM @ | 7 L JAVA @ | 8 L CPT @ </v>
      </c>
      <c r="CJ94" s="4" t="str">
        <f ca="1">IFERROR(__xludf.DUMMYFUNCTION("""COMPUTED_VALUE"""),"| 5 P NS % ")</f>
        <v xml:space="preserve">| 5 P NS % </v>
      </c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</row>
    <row r="95" spans="1:102" ht="12.5" x14ac:dyDescent="0.25">
      <c r="A95" s="3">
        <f ca="1">IFERROR(__xludf.DUMMYFUNCTION("""COMPUTED_VALUE"""),1)</f>
        <v>1</v>
      </c>
      <c r="B95" s="3" t="str">
        <f ca="1">IFERROR(__xludf.DUMMYFUNCTION("""COMPUTED_VALUE"""),"B")</f>
        <v>B</v>
      </c>
      <c r="C95" s="32" t="str">
        <f ca="1">IFERROR(__xludf.DUMMYFUNCTION("""COMPUTED_VALUE"""),"23291341034")</f>
        <v>23291341034</v>
      </c>
      <c r="D95" s="4" t="str">
        <f ca="1">IFERROR(__xludf.DUMMYFUNCTION("""COMPUTED_VALUE"""),"GAJJAR NANDANI SHAILESHBHAI")</f>
        <v>GAJJAR NANDANI SHAILESHBHAI</v>
      </c>
      <c r="E95" s="3" t="str">
        <f ca="1">IFERROR(__xludf.DUMMYFUNCTION("""COMPUTED_VALUE"""),"HAM/HDP-EVE")</f>
        <v>HAM/HDP-EVE</v>
      </c>
      <c r="F95" s="3">
        <f ca="1">IFERROR(__xludf.DUMMYFUNCTION("""COMPUTED_VALUE"""),9978588902)</f>
        <v>9978588902</v>
      </c>
      <c r="G95" s="3">
        <f ca="1">IFERROR(__xludf.DUMMYFUNCTION("""COMPUTED_VALUE"""),9998788902)</f>
        <v>9998788902</v>
      </c>
      <c r="H95" s="33">
        <f ca="1">IFERROR(__xludf.DUMMYFUNCTION("""COMPUTED_VALUE"""),0.75)</f>
        <v>0.75</v>
      </c>
      <c r="I95" s="25">
        <f ca="1">IFERROR(__xludf.DUMMYFUNCTION("""COMPUTED_VALUE"""),0.729729729729729)</f>
        <v>0.72972972972972905</v>
      </c>
      <c r="J95" s="25">
        <f ca="1">IFERROR(__xludf.DUMMYFUNCTION("""COMPUTED_VALUE"""),0.583333333333333)</f>
        <v>0.58333333333333304</v>
      </c>
      <c r="K95" s="25">
        <f ca="1">IFERROR(__xludf.DUMMYFUNCTION("""COMPUTED_VALUE"""),0.735294117647058)</f>
        <v>0.73529411764705799</v>
      </c>
      <c r="L95" s="25">
        <f ca="1">IFERROR(__xludf.DUMMYFUNCTION("""COMPUTED_VALUE"""),0.818181818181818)</f>
        <v>0.81818181818181801</v>
      </c>
      <c r="M95" s="25">
        <f ca="1">IFERROR(__xludf.DUMMYFUNCTION("""COMPUTED_VALUE"""),0.8)</f>
        <v>0.8</v>
      </c>
      <c r="N95" s="25">
        <f ca="1">IFERROR(__xludf.DUMMYFUNCTION("""COMPUTED_VALUE"""),0.909090909090909)</f>
        <v>0.90909090909090895</v>
      </c>
      <c r="O95" s="25">
        <f ca="1">IFERROR(__xludf.DUMMYFUNCTION("""COMPUTED_VALUE"""),0.8)</f>
        <v>0.8</v>
      </c>
      <c r="P95" s="25">
        <f ca="1">IFERROR(__xludf.DUMMYFUNCTION("""COMPUTED_VALUE"""),0.739130434782608)</f>
        <v>0.73913043478260798</v>
      </c>
      <c r="Q95" s="25">
        <f ca="1">IFERROR(__xludf.DUMMYFUNCTION("""COMPUTED_VALUE"""),0)</f>
        <v>0</v>
      </c>
      <c r="R95" s="25">
        <f ca="1">IFERROR(__xludf.DUMMYFUNCTION("""COMPUTED_VALUE"""),0.736842105263157)</f>
        <v>0.73684210526315697</v>
      </c>
      <c r="S95" s="25">
        <f ca="1">IFERROR(__xludf.DUMMYFUNCTION("""COMPUTED_VALUE"""),0)</f>
        <v>0</v>
      </c>
      <c r="T95" s="25">
        <f ca="1">IFERROR(__xludf.DUMMYFUNCTION("""COMPUTED_VALUE"""),0.714285714285714)</f>
        <v>0.71428571428571397</v>
      </c>
      <c r="U95" s="25">
        <f ca="1">IFERROR(__xludf.DUMMYFUNCTION("""COMPUTED_VALUE"""),0.5)</f>
        <v>0.5</v>
      </c>
      <c r="V95" s="25">
        <f ca="1">IFERROR(__xludf.DUMMYFUNCTION("""COMPUTED_VALUE"""),0)</f>
        <v>0</v>
      </c>
      <c r="W95" s="4"/>
      <c r="X95" s="4" t="str">
        <f ca="1">IFERROR(__xludf.DUMMYFUNCTION("""COMPUTED_VALUE"""),"| 5 P JAVA % | 7 L CPT % | 8 L NS % | 9 P CPT % ")</f>
        <v xml:space="preserve">| 5 P JAVA % | 7 L CPT % | 8 L NS % | 9 P CPT % </v>
      </c>
      <c r="Y95" s="4" t="str">
        <f ca="1">IFERROR(__xludf.DUMMYFUNCTION("""COMPUTED_VALUE"""),"| 5 L PHP-CGM % | 6 L NS % | 7 P Python % | 9 P PRO % ")</f>
        <v xml:space="preserve">| 5 L PHP-CGM % | 6 L NS % | 7 P Python % | 9 P PRO % </v>
      </c>
      <c r="Z95" s="4" t="str">
        <f ca="1">IFERROR(__xludf.DUMMYFUNCTION("""COMPUTED_VALUE"""),"| 5 L JAVA % | 6 L CPT % | 7 P PHP-CGM % ")</f>
        <v xml:space="preserve">| 5 L JAVA % | 6 L CPT % | 7 P PHP-CGM % </v>
      </c>
      <c r="AA95" s="4" t="str">
        <f ca="1">IFERROR(__xludf.DUMMYFUNCTION("""COMPUTED_VALUE"""),"| 5 L PHP-CGM % | 7 L JAVA % | 9 P JAVA % | 8 L CPT % ")</f>
        <v xml:space="preserve">| 5 L PHP-CGM % | 7 L JAVA % | 9 P JAVA % | 8 L CPT % </v>
      </c>
      <c r="AB95" s="4" t="str">
        <f ca="1">IFERROR(__xludf.DUMMYFUNCTION("""COMPUTED_VALUE"""),"| 4 P Python % | 7 L PHP-CGM % | 8 L JAVA % | 9 P Python % ")</f>
        <v xml:space="preserve">| 4 P Python % | 7 L PHP-CGM % | 8 L JAVA % | 9 P Python % </v>
      </c>
      <c r="AC95" s="4" t="str">
        <f ca="1">IFERROR(__xludf.DUMMYFUNCTION("""COMPUTED_VALUE"""),"| 5 P JAVA % | 7 L CPT % | 8 L NS % | 9 P CPT % ")</f>
        <v xml:space="preserve">| 5 P JAVA % | 7 L CPT % | 8 L NS % | 9 P CPT % </v>
      </c>
      <c r="AD95" s="4" t="str">
        <f ca="1">IFERROR(__xludf.DUMMYFUNCTION("""COMPUTED_VALUE"""),"| 5 L PHP-CGM % | 6 L NS % | 7 P Python % ")</f>
        <v xml:space="preserve">| 5 L PHP-CGM % | 6 L NS % | 7 P Python % </v>
      </c>
      <c r="AE95" s="4" t="str">
        <f ca="1">IFERROR(__xludf.DUMMYFUNCTION("""COMPUTED_VALUE"""),"| 5 L JAVA % | 6 L CPT % | 7 P PHP-CGM % ")</f>
        <v xml:space="preserve">| 5 L JAVA % | 6 L CPT % | 7 P PHP-CGM % </v>
      </c>
      <c r="AF95" s="4" t="str">
        <f ca="1">IFERROR(__xludf.DUMMYFUNCTION("""COMPUTED_VALUE"""),"| 5 L PHP-CGM % | 6 L NS % | 7 L JAVA % | 8 L CPT @ | 9 P JAVA % ")</f>
        <v xml:space="preserve">| 5 L PHP-CGM % | 6 L NS % | 7 L JAVA % | 8 L CPT @ | 9 P JAVA % </v>
      </c>
      <c r="AG95" s="4" t="str">
        <f ca="1">IFERROR(__xludf.DUMMYFUNCTION("""COMPUTED_VALUE"""),"| 5 P NS % | 8 L JAVA % | 7 L PHP-CGM % | 9 P Python @ ")</f>
        <v xml:space="preserve">| 5 P NS % | 8 L JAVA % | 7 L PHP-CGM % | 9 P Python @ </v>
      </c>
      <c r="AH9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I95" s="4" t="str">
        <f ca="1">IFERROR(__xludf.DUMMYFUNCTION("""COMPUTED_VALUE"""),"| 5 P NS % | 8 L JAVA % | 7 L PHP-CGM % | 9 P Python % ")</f>
        <v xml:space="preserve">| 5 P NS % | 8 L JAVA % | 7 L PHP-CGM % | 9 P Python % </v>
      </c>
      <c r="AJ95" s="4" t="str">
        <f ca="1">IFERROR(__xludf.DUMMYFUNCTION("""COMPUTED_VALUE"""),"| 5 P JAVA % | 7 L CPT % | 8 L NS % | 9 P CPT % ")</f>
        <v xml:space="preserve">| 5 P JAVA % | 7 L CPT % | 8 L NS % | 9 P CPT % </v>
      </c>
      <c r="AK95" s="4" t="str">
        <f ca="1">IFERROR(__xludf.DUMMYFUNCTION("""COMPUTED_VALUE"""),"| 5 L PHP-CGM % | 6 L NS % | 7 P Python % | 9 P PRO % ")</f>
        <v xml:space="preserve">| 5 L PHP-CGM % | 6 L NS % | 7 P Python % | 9 P PRO % </v>
      </c>
      <c r="AL95" s="4" t="str">
        <f ca="1">IFERROR(__xludf.DUMMYFUNCTION("""COMPUTED_VALUE"""),"| 5 L JAVA % | 6 L CPT % | 7 P PHP-CGM % | 9 L INE @ ")</f>
        <v xml:space="preserve">| 5 L JAVA % | 6 L CPT % | 7 P PHP-CGM % | 9 L INE @ </v>
      </c>
      <c r="AM9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N95" s="4" t="str">
        <f ca="1">IFERROR(__xludf.DUMMYFUNCTION("""COMPUTED_VALUE"""),"| 5 P NS % | 8 L JAVA % | 7 L PHP-CGM % | 9 P Python % ")</f>
        <v xml:space="preserve">| 5 P NS % | 8 L JAVA % | 7 L PHP-CGM % | 9 P Python % </v>
      </c>
      <c r="AO95" s="4" t="str">
        <f ca="1">IFERROR(__xludf.DUMMYFUNCTION("""COMPUTED_VALUE"""),"| 5 P JAVA % | 7 L CPT % | 8 L NS % | 9 P CPT % ")</f>
        <v xml:space="preserve">| 5 P JAVA % | 7 L CPT % | 8 L NS % | 9 P CPT % </v>
      </c>
      <c r="AP95" s="4" t="str">
        <f ca="1">IFERROR(__xludf.DUMMYFUNCTION("""COMPUTED_VALUE"""),"| 5 L PHP-CGM @ | 6 L NS @ | 7 P Python @ | 9 P PRO @ ")</f>
        <v xml:space="preserve">| 5 L PHP-CGM @ | 6 L NS @ | 7 P Python @ | 9 P PRO @ </v>
      </c>
      <c r="AQ95" s="4" t="str">
        <f ca="1">IFERROR(__xludf.DUMMYFUNCTION("""COMPUTED_VALUE"""),"| 5 L CPT % | 7 L JAVA % | 7 P PHP-CGM % | 9 L INE % ")</f>
        <v xml:space="preserve">| 5 L CPT % | 7 L JAVA % | 7 P PHP-CGM % | 9 L INE % </v>
      </c>
      <c r="AR95" s="4" t="str">
        <f ca="1">IFERROR(__xludf.DUMMYFUNCTION("""COMPUTED_VALUE"""),"| 5 L PHP-CGM % | 6 L NS % | 8 L CPT @ ")</f>
        <v xml:space="preserve">| 5 L PHP-CGM % | 6 L NS % | 8 L CPT @ </v>
      </c>
      <c r="AS95" s="4" t="str">
        <f ca="1">IFERROR(__xludf.DUMMYFUNCTION("""COMPUTED_VALUE"""),"| 5 P JAVA % | 7 L CPT % | 8 L NS % | 9 P CPT % ")</f>
        <v xml:space="preserve">| 5 P JAVA % | 7 L CPT % | 8 L NS % | 9 P CPT % </v>
      </c>
      <c r="AT95" s="4" t="str">
        <f ca="1">IFERROR(__xludf.DUMMYFUNCTION("""COMPUTED_VALUE"""),"| 5 L PHP-CGM % | 6 L NS % | 7 P Python % | 9 P PRO % ")</f>
        <v xml:space="preserve">| 5 L PHP-CGM % | 6 L NS % | 7 P Python % | 9 P PRO % </v>
      </c>
      <c r="AU95" s="4" t="str">
        <f ca="1">IFERROR(__xludf.DUMMYFUNCTION("""COMPUTED_VALUE"""),"| 5 L JAVA % | 6 L CPT % | 7 P PHP-CGM % | 9 L INE % ")</f>
        <v xml:space="preserve">| 5 L JAVA % | 6 L CPT % | 7 P PHP-CGM % | 9 L INE % </v>
      </c>
      <c r="AV9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AW95" s="4" t="str">
        <f ca="1">IFERROR(__xludf.DUMMYFUNCTION("""COMPUTED_VALUE"""),"| 5 P NS % | 7 L PHP-CGM % | 8 L JAVA % | 9 P Python @ ")</f>
        <v xml:space="preserve">| 5 P NS % | 7 L PHP-CGM % | 8 L JAVA % | 9 P Python @ </v>
      </c>
      <c r="AX95" s="4" t="str">
        <f ca="1">IFERROR(__xludf.DUMMYFUNCTION("""COMPUTED_VALUE"""),"| 5 P JAVA % | 7 L CPT % | 8 L NS % | 9 P CPT @ ")</f>
        <v xml:space="preserve">| 5 P JAVA % | 7 L CPT % | 8 L NS % | 9 P CPT @ </v>
      </c>
      <c r="AY95" s="4" t="str">
        <f ca="1">IFERROR(__xludf.DUMMYFUNCTION("""COMPUTED_VALUE"""),"| 5 L PHP-CGM % | 6 L NS % | 7 P Python % | 9 P PRO % ")</f>
        <v xml:space="preserve">| 5 L PHP-CGM % | 6 L NS % | 7 P Python % | 9 P PRO % </v>
      </c>
      <c r="AZ95" s="4" t="str">
        <f ca="1">IFERROR(__xludf.DUMMYFUNCTION("""COMPUTED_VALUE"""),"| 5 L PHP-CGM % | 6 L NS @ | 7 L JAVA @ | 8 L CPT @ | 9 P JAVA @ ")</f>
        <v xml:space="preserve">| 5 L PHP-CGM % | 6 L NS @ | 7 L JAVA @ | 8 L CPT @ | 9 P JAVA @ </v>
      </c>
      <c r="BA95" s="4" t="str">
        <f ca="1">IFERROR(__xludf.DUMMYFUNCTION("""COMPUTED_VALUE"""),"| 5 P NS @ | 7 L PHP-CGM @ | 8 L JAVA @ ")</f>
        <v xml:space="preserve">| 5 P NS @ | 7 L PHP-CGM @ | 8 L JAVA @ </v>
      </c>
      <c r="BB95" s="4" t="str">
        <f ca="1">IFERROR(__xludf.DUMMYFUNCTION("""COMPUTED_VALUE"""),"| 5 P JAVA % | 7 L CPT % | 8 L NS % | 9 P CPT % ")</f>
        <v xml:space="preserve">| 5 P JAVA % | 7 L CPT % | 8 L NS % | 9 P CPT % </v>
      </c>
      <c r="BC95" s="4" t="str">
        <f ca="1">IFERROR(__xludf.DUMMYFUNCTION("""COMPUTED_VALUE"""),"| 5 L PHP-CGM % | 6 L NS % | 7 P Python % | 9 P PRO @ ")</f>
        <v xml:space="preserve">| 5 L PHP-CGM % | 6 L NS % | 7 P Python % | 9 P PRO @ </v>
      </c>
      <c r="BD95" s="4" t="str">
        <f ca="1">IFERROR(__xludf.DUMMYFUNCTION("""COMPUTED_VALUE"""),"| 5 L JAVA % | 6 L CPT % | 7 P PHP-CGM % | 9 L INE @ ")</f>
        <v xml:space="preserve">| 5 L JAVA % | 6 L CPT % | 7 P PHP-CGM % | 9 L INE @ </v>
      </c>
      <c r="BE9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F95" s="4" t="str">
        <f ca="1">IFERROR(__xludf.DUMMYFUNCTION("""COMPUTED_VALUE"""),"| 5 P NS % | 7 L PHP-CGM % | 9 P Python @ | 8 L JAVA % ")</f>
        <v xml:space="preserve">| 5 P NS % | 7 L PHP-CGM % | 9 P Python @ | 8 L JAVA % </v>
      </c>
      <c r="BG95" s="4" t="str">
        <f ca="1">IFERROR(__xludf.DUMMYFUNCTION("""COMPUTED_VALUE"""),"| 5 L PHP-CGM % | 6 L NS % | 7 P Python % | 9 P PRO % ")</f>
        <v xml:space="preserve">| 5 L PHP-CGM % | 6 L NS % | 7 P Python % | 9 P PRO % </v>
      </c>
      <c r="BH95" s="4" t="str">
        <f ca="1">IFERROR(__xludf.DUMMYFUNCTION("""COMPUTED_VALUE"""),"| 5 L JAVA % | 6 L CPT % | 7 P PHP-CGM % | 9 L INE % ")</f>
        <v xml:space="preserve">| 5 L JAVA % | 6 L CPT % | 7 P PHP-CGM % | 9 L INE % </v>
      </c>
      <c r="BI9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BJ95" s="4" t="str">
        <f ca="1">IFERROR(__xludf.DUMMYFUNCTION("""COMPUTED_VALUE"""),"| 5 P NS @ | 7 L JAVA @ | 7 L PHP-CGM @ ")</f>
        <v xml:space="preserve">| 5 P NS @ | 7 L JAVA @ | 7 L PHP-CGM @ </v>
      </c>
      <c r="BK95" s="4" t="str">
        <f ca="1">IFERROR(__xludf.DUMMYFUNCTION("""COMPUTED_VALUE"""),"| 5 P JAVA @ | 7 L CPT @ | 9 P CPT @ | 8 L NS @ ")</f>
        <v xml:space="preserve">| 5 P JAVA @ | 7 L CPT @ | 9 P CPT @ | 8 L NS @ </v>
      </c>
      <c r="BL95" s="4" t="str">
        <f ca="1">IFERROR(__xludf.DUMMYFUNCTION("""COMPUTED_VALUE"""),"| 5 L PHP-CGM @ | 6 L NS @ | 7 P Python @ ")</f>
        <v xml:space="preserve">| 5 L PHP-CGM @ | 6 L NS @ | 7 P Python @ </v>
      </c>
      <c r="BM95" s="4" t="str">
        <f ca="1">IFERROR(__xludf.DUMMYFUNCTION("""COMPUTED_VALUE"""),"| 5 L JAVA % | 6 L CPT % | 7 P PHP-CGM @ | 9 L INE @ ")</f>
        <v xml:space="preserve">| 5 L JAVA % | 6 L CPT % | 7 P PHP-CGM @ | 9 L INE @ </v>
      </c>
      <c r="BN95" s="4" t="str">
        <f ca="1">IFERROR(__xludf.DUMMYFUNCTION("""COMPUTED_VALUE"""),"| 5 L PHP-CGM @ | 6 L NS @ | 9 L JAVA @ | 8 L CPT @ | 9 P JAVA @ ")</f>
        <v xml:space="preserve">| 5 L PHP-CGM @ | 6 L NS @ | 9 L JAVA @ | 8 L CPT @ | 9 P JAVA @ </v>
      </c>
      <c r="BO95" s="4" t="str">
        <f ca="1">IFERROR(__xludf.DUMMYFUNCTION("""COMPUTED_VALUE"""),"| 5 P NS % | 7 L PHP-CGM % ")</f>
        <v xml:space="preserve">| 5 P NS % | 7 L PHP-CGM % </v>
      </c>
      <c r="BP95" s="4" t="str">
        <f ca="1">IFERROR(__xludf.DUMMYFUNCTION("""COMPUTED_VALUE"""),"| 5 P JAVA % | 7 L CPT % | 8 L NS @ | 9 P CPT @ ")</f>
        <v xml:space="preserve">| 5 P JAVA % | 7 L CPT % | 8 L NS @ | 9 P CPT @ </v>
      </c>
      <c r="BQ95" s="4" t="str">
        <f ca="1">IFERROR(__xludf.DUMMYFUNCTION("""COMPUTED_VALUE"""),"| 5 L JAVA % | 6 L CPT % ")</f>
        <v xml:space="preserve">| 5 L JAVA % | 6 L CPT % </v>
      </c>
      <c r="BR95" s="4" t="str">
        <f ca="1">IFERROR(__xludf.DUMMYFUNCTION("""COMPUTED_VALUE"""),"| 7 L JAVA % ")</f>
        <v xml:space="preserve">| 7 L JAVA % </v>
      </c>
      <c r="BS95" s="4"/>
      <c r="BT95" s="4" t="str">
        <f ca="1">IFERROR(__xludf.DUMMYFUNCTION("""COMPUTED_VALUE"""),"| 7 L CPT @ | 9 P CPT @ ")</f>
        <v xml:space="preserve">| 7 L CPT @ | 9 P CPT @ </v>
      </c>
      <c r="BU95" s="4"/>
      <c r="BV95" s="4" t="str">
        <f ca="1">IFERROR(__xludf.DUMMYFUNCTION("""COMPUTED_VALUE"""),"| 5 P JAVA % | 7 L CPT % | 8 L NS % ")</f>
        <v xml:space="preserve">| 5 P JAVA % | 7 L CPT % | 8 L NS % </v>
      </c>
      <c r="BW95" s="4"/>
      <c r="BX95" s="4" t="str">
        <f ca="1">IFERROR(__xludf.DUMMYFUNCTION("""COMPUTED_VALUE"""),"| 5 L JAVA % | 6 L CPT % | 7 P PHP-CGM % ")</f>
        <v xml:space="preserve">| 5 L JAVA % | 6 L CPT % | 7 P PHP-CGM % </v>
      </c>
      <c r="BY95" s="4" t="str">
        <f ca="1">IFERROR(__xludf.DUMMYFUNCTION("""COMPUTED_VALUE"""),"| 5 L PHP-CGM % | 6 L NS % | 7 L JAVA % | 8 L CPT % | 9 P JAVA % ")</f>
        <v xml:space="preserve">| 5 L PHP-CGM % | 6 L NS % | 7 L JAVA % | 8 L CPT % | 9 P JAVA % </v>
      </c>
      <c r="BZ95" s="4" t="str">
        <f ca="1">IFERROR(__xludf.DUMMYFUNCTION("""COMPUTED_VALUE"""),"| 5 P NS % | 8 L JAVA % | 7 L PHP-CGM % | 9 P Python % ")</f>
        <v xml:space="preserve">| 5 P NS % | 8 L JAVA % | 7 L PHP-CGM % | 9 P Python % </v>
      </c>
      <c r="CA95" s="4" t="str">
        <f ca="1">IFERROR(__xludf.DUMMYFUNCTION("""COMPUTED_VALUE"""),"| 5 P JAVA @ | 7 L CPT @ | 8 L NS @ | 9 P CPT @ ")</f>
        <v xml:space="preserve">| 5 P JAVA @ | 7 L CPT @ | 8 L NS @ | 9 P CPT @ </v>
      </c>
      <c r="CB95" s="4" t="str">
        <f ca="1">IFERROR(__xludf.DUMMYFUNCTION("""COMPUTED_VALUE"""),"| 5 L PHP-CGM % | 6 L NS % | 7 P Python % ")</f>
        <v xml:space="preserve">| 5 L PHP-CGM % | 6 L NS % | 7 P Python % </v>
      </c>
      <c r="CC95" s="4" t="str">
        <f ca="1">IFERROR(__xludf.DUMMYFUNCTION("""COMPUTED_VALUE"""),"| 5 L JAVA % | 7 P PHP-CGM % | 9 L INE % ")</f>
        <v xml:space="preserve">| 5 L JAVA % | 7 P PHP-CGM % | 9 L INE % </v>
      </c>
      <c r="CD95" s="4" t="str">
        <f ca="1">IFERROR(__xludf.DUMMYFUNCTION("""COMPUTED_VALUE"""),"| 5 L PHP-CGM @ | 6 L NS @ | 7 L JAVA @ | 8 L CPT @ | 9 P JAVA @ ")</f>
        <v xml:space="preserve">| 5 L PHP-CGM @ | 6 L NS @ | 7 L JAVA @ | 8 L CPT @ | 9 P JAVA @ </v>
      </c>
      <c r="CE95" s="4" t="str">
        <f ca="1">IFERROR(__xludf.DUMMYFUNCTION("""COMPUTED_VALUE"""),"| 5 P NS % | 8 L JAVA % | 7 L PHP-CGM % ")</f>
        <v xml:space="preserve">| 5 P NS % | 8 L JAVA % | 7 L PHP-CGM % </v>
      </c>
      <c r="CF95" s="4" t="str">
        <f ca="1">IFERROR(__xludf.DUMMYFUNCTION("""COMPUTED_VALUE"""),"| 7 L CPT % | 8 L NS % | 5 P JAVA % | 9 P CPT % ")</f>
        <v xml:space="preserve">| 7 L CPT % | 8 L NS % | 5 P JAVA % | 9 P CPT % </v>
      </c>
      <c r="CG95" s="4" t="str">
        <f ca="1">IFERROR(__xludf.DUMMYFUNCTION("""COMPUTED_VALUE"""),"| 5 L PHP-CGM % | 6 L NS % | 7 P Python % ")</f>
        <v xml:space="preserve">| 5 L PHP-CGM % | 6 L NS % | 7 P Python % </v>
      </c>
      <c r="CH95" s="4" t="str">
        <f ca="1">IFERROR(__xludf.DUMMYFUNCTION("""COMPUTED_VALUE"""),"| 5 L JAVA % | 6 L CPT % | 7 P PHP-CGM % | 9 L INE @ ")</f>
        <v xml:space="preserve">| 5 L JAVA % | 6 L CPT % | 7 P PHP-CGM % | 9 L INE @ </v>
      </c>
      <c r="CI95" s="4" t="str">
        <f ca="1">IFERROR(__xludf.DUMMYFUNCTION("""COMPUTED_VALUE"""),"| 5 L PHP-CGM % | 7 L JAVA @ | 8 L CPT @ ")</f>
        <v xml:space="preserve">| 5 L PHP-CGM % | 7 L JAVA @ | 8 L CPT @ </v>
      </c>
      <c r="CJ95" s="4" t="str">
        <f ca="1">IFERROR(__xludf.DUMMYFUNCTION("""COMPUTED_VALUE"""),"| 5 P NS % ")</f>
        <v xml:space="preserve">| 5 P NS % </v>
      </c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</row>
    <row r="96" spans="1:102" ht="12.5" x14ac:dyDescent="0.25">
      <c r="A96" s="3">
        <f ca="1">IFERROR(__xludf.DUMMYFUNCTION("""COMPUTED_VALUE"""),2)</f>
        <v>2</v>
      </c>
      <c r="B96" s="3" t="str">
        <f ca="1">IFERROR(__xludf.DUMMYFUNCTION("""COMPUTED_VALUE"""),"B")</f>
        <v>B</v>
      </c>
      <c r="C96" s="32" t="str">
        <f ca="1">IFERROR(__xludf.DUMMYFUNCTION("""COMPUTED_VALUE"""),"23291341035")</f>
        <v>23291341035</v>
      </c>
      <c r="D96" s="4" t="str">
        <f ca="1">IFERROR(__xludf.DUMMYFUNCTION("""COMPUTED_VALUE"""),"GAMETI KRISHNABEN RAMABHAI")</f>
        <v>GAMETI KRISHNABEN RAMABHAI</v>
      </c>
      <c r="E96" s="3" t="str">
        <f ca="1">IFERROR(__xludf.DUMMYFUNCTION("""COMPUTED_VALUE"""),"HAM/HDP-EVE")</f>
        <v>HAM/HDP-EVE</v>
      </c>
      <c r="F96" s="3">
        <f ca="1">IFERROR(__xludf.DUMMYFUNCTION("""COMPUTED_VALUE"""),9712413244)</f>
        <v>9712413244</v>
      </c>
      <c r="G96" s="3">
        <f ca="1">IFERROR(__xludf.DUMMYFUNCTION("""COMPUTED_VALUE"""),8469907654)</f>
        <v>8469907654</v>
      </c>
      <c r="H96" s="33">
        <f ca="1">IFERROR(__xludf.DUMMYFUNCTION("""COMPUTED_VALUE"""),0.877272727272727)</f>
        <v>0.87727272727272698</v>
      </c>
      <c r="I96" s="25">
        <f ca="1">IFERROR(__xludf.DUMMYFUNCTION("""COMPUTED_VALUE"""),0.837837837837837)</f>
        <v>0.83783783783783705</v>
      </c>
      <c r="J96" s="25">
        <f ca="1">IFERROR(__xludf.DUMMYFUNCTION("""COMPUTED_VALUE"""),0.833333333333333)</f>
        <v>0.83333333333333304</v>
      </c>
      <c r="K96" s="25">
        <f ca="1">IFERROR(__xludf.DUMMYFUNCTION("""COMPUTED_VALUE"""),0.941176470588235)</f>
        <v>0.94117647058823495</v>
      </c>
      <c r="L96" s="25">
        <f ca="1">IFERROR(__xludf.DUMMYFUNCTION("""COMPUTED_VALUE"""),0.833333333333333)</f>
        <v>0.83333333333333304</v>
      </c>
      <c r="M96" s="25">
        <f ca="1">IFERROR(__xludf.DUMMYFUNCTION("""COMPUTED_VALUE"""),0.914285714285714)</f>
        <v>0.91428571428571404</v>
      </c>
      <c r="N96" s="25">
        <f ca="1">IFERROR(__xludf.DUMMYFUNCTION("""COMPUTED_VALUE"""),1)</f>
        <v>1</v>
      </c>
      <c r="O96" s="25">
        <f ca="1">IFERROR(__xludf.DUMMYFUNCTION("""COMPUTED_VALUE"""),0.857142857142857)</f>
        <v>0.85714285714285698</v>
      </c>
      <c r="P96" s="25">
        <f ca="1">IFERROR(__xludf.DUMMYFUNCTION("""COMPUTED_VALUE"""),0.904761904761904)</f>
        <v>0.90476190476190399</v>
      </c>
      <c r="Q96" s="25">
        <f ca="1">IFERROR(__xludf.DUMMYFUNCTION("""COMPUTED_VALUE"""),0)</f>
        <v>0</v>
      </c>
      <c r="R96" s="25">
        <f ca="1">IFERROR(__xludf.DUMMYFUNCTION("""COMPUTED_VALUE"""),1)</f>
        <v>1</v>
      </c>
      <c r="S96" s="25">
        <f ca="1">IFERROR(__xludf.DUMMYFUNCTION("""COMPUTED_VALUE"""),0)</f>
        <v>0</v>
      </c>
      <c r="T96" s="25">
        <f ca="1">IFERROR(__xludf.DUMMYFUNCTION("""COMPUTED_VALUE"""),0.571428571428571)</f>
        <v>0.57142857142857095</v>
      </c>
      <c r="U96" s="25">
        <f ca="1">IFERROR(__xludf.DUMMYFUNCTION("""COMPUTED_VALUE"""),0.625)</f>
        <v>0.625</v>
      </c>
      <c r="V96" s="25">
        <f ca="1">IFERROR(__xludf.DUMMYFUNCTION("""COMPUTED_VALUE"""),0)</f>
        <v>0</v>
      </c>
      <c r="W96" s="4"/>
      <c r="X96" s="4" t="str">
        <f ca="1">IFERROR(__xludf.DUMMYFUNCTION("""COMPUTED_VALUE"""),"| 5 P JAVA % | 7 L CPT % | 8 L NS % | 9 P CPT % ")</f>
        <v xml:space="preserve">| 5 P JAVA % | 7 L CPT % | 8 L NS % | 9 P CPT % </v>
      </c>
      <c r="Y96" s="4" t="str">
        <f ca="1">IFERROR(__xludf.DUMMYFUNCTION("""COMPUTED_VALUE"""),"| 5 L PHP-CGM % | 6 L NS % | 7 P Python % | 9 P PRO % ")</f>
        <v xml:space="preserve">| 5 L PHP-CGM % | 6 L NS % | 7 P Python % | 9 P PRO % </v>
      </c>
      <c r="Z96" s="4" t="str">
        <f ca="1">IFERROR(__xludf.DUMMYFUNCTION("""COMPUTED_VALUE"""),"| 5 L JAVA % | 6 L CPT % | 7 P PHP-CGM % ")</f>
        <v xml:space="preserve">| 5 L JAVA % | 6 L CPT % | 7 P PHP-CGM % </v>
      </c>
      <c r="AA96" s="4" t="str">
        <f ca="1">IFERROR(__xludf.DUMMYFUNCTION("""COMPUTED_VALUE"""),"| 5 L PHP-CGM % | 7 L JAVA % | 9 P JAVA % | 8 L CPT % ")</f>
        <v xml:space="preserve">| 5 L PHP-CGM % | 7 L JAVA % | 9 P JAVA % | 8 L CPT % </v>
      </c>
      <c r="AB96" s="4" t="str">
        <f ca="1">IFERROR(__xludf.DUMMYFUNCTION("""COMPUTED_VALUE"""),"| 4 P Python % | 7 L PHP-CGM % | 8 L JAVA % | 9 P Python % ")</f>
        <v xml:space="preserve">| 4 P Python % | 7 L PHP-CGM % | 8 L JAVA % | 9 P Python % </v>
      </c>
      <c r="AC96" s="4" t="str">
        <f ca="1">IFERROR(__xludf.DUMMYFUNCTION("""COMPUTED_VALUE"""),"| 5 P PHP-CGM % | 7 L CPT % | 8 L NS % | 9 P Python % ")</f>
        <v xml:space="preserve">| 5 P PHP-CGM % | 7 L CPT % | 8 L NS % | 9 P Python % </v>
      </c>
      <c r="AD96" s="4" t="str">
        <f ca="1">IFERROR(__xludf.DUMMYFUNCTION("""COMPUTED_VALUE"""),"| 5 L PHP-CGM % | 6 L NS % | 7 P CPT % ")</f>
        <v xml:space="preserve">| 5 L PHP-CGM % | 6 L NS % | 7 P CPT % </v>
      </c>
      <c r="AE96" s="4" t="str">
        <f ca="1">IFERROR(__xludf.DUMMYFUNCTION("""COMPUTED_VALUE"""),"| 5 L JAVA % | 6 L CPT % | 7 P JAVA % ")</f>
        <v xml:space="preserve">| 5 L JAVA % | 6 L CPT % | 7 P JAVA % </v>
      </c>
      <c r="AF9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96" s="4" t="str">
        <f ca="1">IFERROR(__xludf.DUMMYFUNCTION("""COMPUTED_VALUE"""),"| 5 P JAVA % | 8 L JAVA % | 7 L PHP-CGM % ")</f>
        <v xml:space="preserve">| 5 P JAVA % | 8 L JAVA % | 7 L PHP-CGM % </v>
      </c>
      <c r="AH96" s="4" t="str">
        <f ca="1">IFERROR(__xludf.DUMMYFUNCTION("""COMPUTED_VALUE"""),"| 5 L PHP-CGM % | 6 L NS % | 7 L JAVA % | 8 L CPT % ")</f>
        <v xml:space="preserve">| 5 L PHP-CGM % | 6 L NS % | 7 L JAVA % | 8 L CPT % </v>
      </c>
      <c r="AI96" s="4" t="str">
        <f ca="1">IFERROR(__xludf.DUMMYFUNCTION("""COMPUTED_VALUE"""),"| 5 P JAVA % | 8 L JAVA % | 7 L PHP-CGM % | 9 P NS % ")</f>
        <v xml:space="preserve">| 5 P JAVA % | 8 L JAVA % | 7 L PHP-CGM % | 9 P NS % </v>
      </c>
      <c r="AJ96" s="4" t="str">
        <f ca="1">IFERROR(__xludf.DUMMYFUNCTION("""COMPUTED_VALUE"""),"| 5 P PHP-CGM % | 7 L CPT % | 8 L NS % | 9 P Python % ")</f>
        <v xml:space="preserve">| 5 P PHP-CGM % | 7 L CPT % | 8 L NS % | 9 P Python % </v>
      </c>
      <c r="AK96" s="4" t="str">
        <f ca="1">IFERROR(__xludf.DUMMYFUNCTION("""COMPUTED_VALUE"""),"| 5 L PHP-CGM % | 6 L NS % | 7 P CPT % | 9 P PRO % ")</f>
        <v xml:space="preserve">| 5 L PHP-CGM % | 6 L NS % | 7 P CPT % | 9 P PRO % </v>
      </c>
      <c r="AL96" s="4" t="str">
        <f ca="1">IFERROR(__xludf.DUMMYFUNCTION("""COMPUTED_VALUE"""),"| 5 L JAVA % | 6 L CPT % | 7 P JAVA % | 9 L INE @ ")</f>
        <v xml:space="preserve">| 5 L JAVA % | 6 L CPT % | 7 P JAVA % | 9 L INE @ </v>
      </c>
      <c r="AM9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96" s="4" t="str">
        <f ca="1">IFERROR(__xludf.DUMMYFUNCTION("""COMPUTED_VALUE"""),"| 5 P JAVA % | 8 L JAVA % | 7 L PHP-CGM % | 9 P NS % ")</f>
        <v xml:space="preserve">| 5 P JAVA % | 8 L JAVA % | 7 L PHP-CGM % | 9 P NS % </v>
      </c>
      <c r="AO96" s="4" t="str">
        <f ca="1">IFERROR(__xludf.DUMMYFUNCTION("""COMPUTED_VALUE"""),"| 5 P PHP-CGM % | 7 L CPT % | 8 L NS % | 9 P Python % ")</f>
        <v xml:space="preserve">| 5 P PHP-CGM % | 7 L CPT % | 8 L NS % | 9 P Python % </v>
      </c>
      <c r="AP96" s="4" t="str">
        <f ca="1">IFERROR(__xludf.DUMMYFUNCTION("""COMPUTED_VALUE"""),"| 5 L PHP-CGM % | 6 L NS % | 7 P CPT % | 9 P PRO @ ")</f>
        <v xml:space="preserve">| 5 L PHP-CGM % | 6 L NS % | 7 P CPT % | 9 P PRO @ </v>
      </c>
      <c r="AQ96" s="4" t="str">
        <f ca="1">IFERROR(__xludf.DUMMYFUNCTION("""COMPUTED_VALUE"""),"| 5 L CPT % | 7 L JAVA % | 7 P JAVA % | 9 L INE % ")</f>
        <v xml:space="preserve">| 5 L CPT % | 7 L JAVA % | 7 P JAVA % | 9 L INE % </v>
      </c>
      <c r="AR96" s="4" t="str">
        <f ca="1">IFERROR(__xludf.DUMMYFUNCTION("""COMPUTED_VALUE"""),"| 5 L PHP-CGM % | 6 L NS % | 8 L CPT @ ")</f>
        <v xml:space="preserve">| 5 L PHP-CGM % | 6 L NS % | 8 L CPT @ </v>
      </c>
      <c r="AS96" s="4" t="str">
        <f ca="1">IFERROR(__xludf.DUMMYFUNCTION("""COMPUTED_VALUE"""),"| 5 P PHP-CGM % | 7 L CPT % | 8 L NS % | 9 P Python % ")</f>
        <v xml:space="preserve">| 5 P PHP-CGM % | 7 L CPT % | 8 L NS % | 9 P Python % </v>
      </c>
      <c r="AT96" s="4" t="str">
        <f ca="1">IFERROR(__xludf.DUMMYFUNCTION("""COMPUTED_VALUE"""),"| 5 L PHP-CGM % | 6 L NS % | 7 P CPT % | 9 P PRO % ")</f>
        <v xml:space="preserve">| 5 L PHP-CGM % | 6 L NS % | 7 P CPT % | 9 P PRO % </v>
      </c>
      <c r="AU96" s="4" t="str">
        <f ca="1">IFERROR(__xludf.DUMMYFUNCTION("""COMPUTED_VALUE"""),"| 5 L JAVA % | 6 L CPT % | 8 P JAVA % | 9 L INE % ")</f>
        <v xml:space="preserve">| 5 L JAVA % | 6 L CPT % | 8 P JAVA % | 9 L INE % </v>
      </c>
      <c r="AV96" s="4" t="str">
        <f ca="1">IFERROR(__xludf.DUMMYFUNCTION("""COMPUTED_VALUE"""),"| 5 L PHP-CGM % | 6 L NS % | 7 L JAVA @ | 8 L CPT @ ")</f>
        <v xml:space="preserve">| 5 L PHP-CGM % | 6 L NS % | 7 L JAVA @ | 8 L CPT @ </v>
      </c>
      <c r="AW96" s="4" t="str">
        <f ca="1">IFERROR(__xludf.DUMMYFUNCTION("""COMPUTED_VALUE"""),"| 5 P JAVA % | 7 L PHP-CGM % | 8 L JAVA % | 9 P NS % ")</f>
        <v xml:space="preserve">| 5 P JAVA % | 7 L PHP-CGM % | 8 L JAVA % | 9 P NS % </v>
      </c>
      <c r="AX96" s="4" t="str">
        <f ca="1">IFERROR(__xludf.DUMMYFUNCTION("""COMPUTED_VALUE"""),"| 5 P PHP-CGM % | 7 L CPT % | 8 L NS % | 9 P Python % ")</f>
        <v xml:space="preserve">| 5 P PHP-CGM % | 7 L CPT % | 8 L NS % | 9 P Python % </v>
      </c>
      <c r="AY96" s="4" t="str">
        <f ca="1">IFERROR(__xludf.DUMMYFUNCTION("""COMPUTED_VALUE"""),"| 5 L PHP-CGM % | 6 L NS % | 7 P CPT % | 9 P PRO % ")</f>
        <v xml:space="preserve">| 5 L PHP-CGM % | 6 L NS % | 7 P CPT % | 9 P PRO % </v>
      </c>
      <c r="AZ96" s="4" t="str">
        <f ca="1">IFERROR(__xludf.DUMMYFUNCTION("""COMPUTED_VALUE"""),"| 5 L PHP-CGM % | 6 L NS % | 7 L JAVA % | 8 L CPT % ")</f>
        <v xml:space="preserve">| 5 L PHP-CGM % | 6 L NS % | 7 L JAVA % | 8 L CPT % </v>
      </c>
      <c r="BA96" s="4" t="str">
        <f ca="1">IFERROR(__xludf.DUMMYFUNCTION("""COMPUTED_VALUE"""),"| 5 P JAVA % | 7 L PHP-CGM % | 8 L JAVA % ")</f>
        <v xml:space="preserve">| 5 P JAVA % | 7 L PHP-CGM % | 8 L JAVA % </v>
      </c>
      <c r="BB96" s="4" t="str">
        <f ca="1">IFERROR(__xludf.DUMMYFUNCTION("""COMPUTED_VALUE"""),"| 5 P PHP-CGM % | 7 L CPT % | 8 L NS % ")</f>
        <v xml:space="preserve">| 5 P PHP-CGM % | 7 L CPT % | 8 L NS % </v>
      </c>
      <c r="BC96" s="4" t="str">
        <f ca="1">IFERROR(__xludf.DUMMYFUNCTION("""COMPUTED_VALUE"""),"| 5 L PHP-CGM % | 6 L NS % | 7 P CPT % | 9 P PRO @ ")</f>
        <v xml:space="preserve">| 5 L PHP-CGM % | 6 L NS % | 7 P CPT % | 9 P PRO @ </v>
      </c>
      <c r="BD96" s="4" t="str">
        <f ca="1">IFERROR(__xludf.DUMMYFUNCTION("""COMPUTED_VALUE"""),"| 5 L JAVA % | 6 L CPT % | 7 P JAVA % | 9 L INE % ")</f>
        <v xml:space="preserve">| 5 L JAVA % | 6 L CPT % | 7 P JAVA % | 9 L INE % </v>
      </c>
      <c r="BE9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96" s="4" t="str">
        <f ca="1">IFERROR(__xludf.DUMMYFUNCTION("""COMPUTED_VALUE"""),"| 5 P JAVA % | 7 L PHP-CGM % | 8 L JAVA % | 9 P NS @ ")</f>
        <v xml:space="preserve">| 5 P JAVA % | 7 L PHP-CGM % | 8 L JAVA % | 9 P NS @ </v>
      </c>
      <c r="BG96" s="4" t="str">
        <f ca="1">IFERROR(__xludf.DUMMYFUNCTION("""COMPUTED_VALUE"""),"| 5 L PHP-CGM % | 6 L NS % | 7 P CPT % | 9 P PRO @ ")</f>
        <v xml:space="preserve">| 5 L PHP-CGM % | 6 L NS % | 7 P CPT % | 9 P PRO @ </v>
      </c>
      <c r="BH96" s="4" t="str">
        <f ca="1">IFERROR(__xludf.DUMMYFUNCTION("""COMPUTED_VALUE"""),"| 5 L JAVA % | 6 L CPT % | 7 P JAVA % | 9 L INE % ")</f>
        <v xml:space="preserve">| 5 L JAVA % | 6 L CPT % | 7 P JAVA % | 9 L INE % </v>
      </c>
      <c r="BI9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96" s="4" t="str">
        <f ca="1">IFERROR(__xludf.DUMMYFUNCTION("""COMPUTED_VALUE"""),"| 5 P JAVA @ | 7 L JAVA @ | 7 L PHP-CGM @ ")</f>
        <v xml:space="preserve">| 5 P JAVA @ | 7 L JAVA @ | 7 L PHP-CGM @ </v>
      </c>
      <c r="BK96" s="4" t="str">
        <f ca="1">IFERROR(__xludf.DUMMYFUNCTION("""COMPUTED_VALUE"""),"| 7 L CPT @ | 8 L NS @ ")</f>
        <v xml:space="preserve">| 7 L CPT @ | 8 L NS @ </v>
      </c>
      <c r="BL96" s="4" t="str">
        <f ca="1">IFERROR(__xludf.DUMMYFUNCTION("""COMPUTED_VALUE"""),"| 5 L PHP-CGM % | 6 L NS % | 7 P CPT @ ")</f>
        <v xml:space="preserve">| 5 L PHP-CGM % | 6 L NS % | 7 P CPT @ </v>
      </c>
      <c r="BM96" s="4" t="str">
        <f ca="1">IFERROR(__xludf.DUMMYFUNCTION("""COMPUTED_VALUE"""),"| 5 L JAVA % | 6 L CPT % | 9 L INE @ ")</f>
        <v xml:space="preserve">| 5 L JAVA % | 6 L CPT % | 9 L INE @ </v>
      </c>
      <c r="BN96" s="4" t="str">
        <f ca="1">IFERROR(__xludf.DUMMYFUNCTION("""COMPUTED_VALUE"""),"| 5 L PHP-CGM @ | 6 L NS @ | 9 L JAVA @ | 8 L CPT @ ")</f>
        <v xml:space="preserve">| 5 L PHP-CGM @ | 6 L NS @ | 9 L JAVA @ | 8 L CPT @ </v>
      </c>
      <c r="BO96" s="4" t="str">
        <f ca="1">IFERROR(__xludf.DUMMYFUNCTION("""COMPUTED_VALUE"""),"| 5 P JAVA % | 7 L PHP-CGM @ ")</f>
        <v xml:space="preserve">| 5 P JAVA % | 7 L PHP-CGM @ </v>
      </c>
      <c r="BP96" s="4" t="str">
        <f ca="1">IFERROR(__xludf.DUMMYFUNCTION("""COMPUTED_VALUE"""),"| 5 P PHP-CGM % | 7 L CPT % | 8 L NS % ")</f>
        <v xml:space="preserve">| 5 P PHP-CGM % | 7 L CPT % | 8 L NS % </v>
      </c>
      <c r="BQ96" s="4" t="str">
        <f ca="1">IFERROR(__xludf.DUMMYFUNCTION("""COMPUTED_VALUE"""),"| 5 L JAVA @ | 6 L CPT @ ")</f>
        <v xml:space="preserve">| 5 L JAVA @ | 6 L CPT @ </v>
      </c>
      <c r="BR96" s="4" t="str">
        <f ca="1">IFERROR(__xludf.DUMMYFUNCTION("""COMPUTED_VALUE"""),"| 7 L JAVA @ ")</f>
        <v xml:space="preserve">| 7 L JAVA @ </v>
      </c>
      <c r="BS96" s="4"/>
      <c r="BT96" s="4" t="str">
        <f ca="1">IFERROR(__xludf.DUMMYFUNCTION("""COMPUTED_VALUE"""),"| 7 L CPT @ ")</f>
        <v xml:space="preserve">| 7 L CPT @ </v>
      </c>
      <c r="BU96" s="4" t="str">
        <f ca="1">IFERROR(__xludf.DUMMYFUNCTION("""COMPUTED_VALUE"""),"| 7 P CPT @ ")</f>
        <v xml:space="preserve">| 7 P CPT @ </v>
      </c>
      <c r="BV96" s="4" t="str">
        <f ca="1">IFERROR(__xludf.DUMMYFUNCTION("""COMPUTED_VALUE"""),"| 5 P PHP-CGM % | 7 L CPT % | 8 L NS % | 9 P Python % ")</f>
        <v xml:space="preserve">| 5 P PHP-CGM % | 7 L CPT % | 8 L NS % | 9 P Python % </v>
      </c>
      <c r="BW96" s="4"/>
      <c r="BX96" s="4" t="str">
        <f ca="1">IFERROR(__xludf.DUMMYFUNCTION("""COMPUTED_VALUE"""),"| 5 L JAVA % | 6 L CPT % | 7 P JAVA % ")</f>
        <v xml:space="preserve">| 5 L JAVA % | 6 L CPT % | 7 P JAVA % </v>
      </c>
      <c r="BY9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96" s="4" t="str">
        <f ca="1">IFERROR(__xludf.DUMMYFUNCTION("""COMPUTED_VALUE"""),"| 5 P JAVA % | 8 L JAVA % | 7 L PHP-CGM % | 9 P NS % ")</f>
        <v xml:space="preserve">| 5 P JAVA % | 8 L JAVA % | 7 L PHP-CGM % | 9 P NS % </v>
      </c>
      <c r="CA96" s="4" t="str">
        <f ca="1">IFERROR(__xludf.DUMMYFUNCTION("""COMPUTED_VALUE"""),"| 7 L CPT % | 8 L NS % | 9 P Python % ")</f>
        <v xml:space="preserve">| 7 L CPT % | 8 L NS % | 9 P Python % </v>
      </c>
      <c r="CB96" s="4" t="str">
        <f ca="1">IFERROR(__xludf.DUMMYFUNCTION("""COMPUTED_VALUE"""),"| 5 L PHP-CGM % | 6 L NS % | 7 P CPT % ")</f>
        <v xml:space="preserve">| 5 L PHP-CGM % | 6 L NS % | 7 P CPT % </v>
      </c>
      <c r="CC96" s="4" t="str">
        <f ca="1">IFERROR(__xludf.DUMMYFUNCTION("""COMPUTED_VALUE"""),"| 5 L JAVA % | 7 P JAVA @ | 9 L INE % ")</f>
        <v xml:space="preserve">| 5 L JAVA % | 7 P JAVA @ | 9 L INE % </v>
      </c>
      <c r="CD96" s="4" t="str">
        <f ca="1">IFERROR(__xludf.DUMMYFUNCTION("""COMPUTED_VALUE"""),"| 5 L PHP-CGM % | 6 L NS % | 7 L JAVA % | 8 L CPT % ")</f>
        <v xml:space="preserve">| 5 L PHP-CGM % | 6 L NS % | 7 L JAVA % | 8 L CPT % </v>
      </c>
      <c r="CE96" s="4" t="str">
        <f ca="1">IFERROR(__xludf.DUMMYFUNCTION("""COMPUTED_VALUE"""),"| 5 P JAVA % | 8 L JAVA % | 7 L PHP-CGM % | 9 P NS % ")</f>
        <v xml:space="preserve">| 5 P JAVA % | 8 L JAVA % | 7 L PHP-CGM % | 9 P NS % </v>
      </c>
      <c r="CF96" s="4" t="str">
        <f ca="1">IFERROR(__xludf.DUMMYFUNCTION("""COMPUTED_VALUE"""),"| 7 L CPT % | 8 L NS % | 9 P Python % ")</f>
        <v xml:space="preserve">| 7 L CPT % | 8 L NS % | 9 P Python % </v>
      </c>
      <c r="CG96" s="4" t="str">
        <f ca="1">IFERROR(__xludf.DUMMYFUNCTION("""COMPUTED_VALUE"""),"| 5 L PHP-CGM % | 6 L NS % | 7 P CPT % ")</f>
        <v xml:space="preserve">| 5 L PHP-CGM % | 6 L NS % | 7 P CPT % </v>
      </c>
      <c r="CH96" s="4" t="str">
        <f ca="1">IFERROR(__xludf.DUMMYFUNCTION("""COMPUTED_VALUE"""),"| 5 L JAVA % | 6 L CPT % | 7 P JAVA % | 9 L INE @ ")</f>
        <v xml:space="preserve">| 5 L JAVA % | 6 L CPT % | 7 P JAVA % | 9 L INE @ </v>
      </c>
      <c r="CI96" s="4" t="str">
        <f ca="1">IFERROR(__xludf.DUMMYFUNCTION("""COMPUTED_VALUE"""),"| 5 L PHP-CGM % | 7 L JAVA % | 8 L CPT % ")</f>
        <v xml:space="preserve">| 5 L PHP-CGM % | 7 L JAVA % | 8 L CPT % </v>
      </c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</row>
    <row r="97" spans="1:102" ht="12.5" x14ac:dyDescent="0.25">
      <c r="A97" s="3">
        <f ca="1">IFERROR(__xludf.DUMMYFUNCTION("""COMPUTED_VALUE"""),2)</f>
        <v>2</v>
      </c>
      <c r="B97" s="3" t="str">
        <f ca="1">IFERROR(__xludf.DUMMYFUNCTION("""COMPUTED_VALUE"""),"B")</f>
        <v>B</v>
      </c>
      <c r="C97" s="32" t="str">
        <f ca="1">IFERROR(__xludf.DUMMYFUNCTION("""COMPUTED_VALUE"""),"23291341037")</f>
        <v>23291341037</v>
      </c>
      <c r="D97" s="4" t="str">
        <f ca="1">IFERROR(__xludf.DUMMYFUNCTION("""COMPUTED_VALUE"""),"GANVIT NITINBHAI RAMESHBHAI")</f>
        <v>GANVIT NITINBHAI RAMESHBHAI</v>
      </c>
      <c r="E97" s="3" t="str">
        <f ca="1">IFERROR(__xludf.DUMMYFUNCTION("""COMPUTED_VALUE"""),"HAM/HDP-EVE")</f>
        <v>HAM/HDP-EVE</v>
      </c>
      <c r="F97" s="3">
        <f ca="1">IFERROR(__xludf.DUMMYFUNCTION("""COMPUTED_VALUE"""),7698143629)</f>
        <v>7698143629</v>
      </c>
      <c r="G97" s="3">
        <f ca="1">IFERROR(__xludf.DUMMYFUNCTION("""COMPUTED_VALUE"""),9537890448)</f>
        <v>9537890448</v>
      </c>
      <c r="H97" s="33">
        <f ca="1">IFERROR(__xludf.DUMMYFUNCTION("""COMPUTED_VALUE"""),0.413636363636363)</f>
        <v>0.41363636363636302</v>
      </c>
      <c r="I97" s="25">
        <f ca="1">IFERROR(__xludf.DUMMYFUNCTION("""COMPUTED_VALUE"""),0.351351351351351)</f>
        <v>0.35135135135135098</v>
      </c>
      <c r="J97" s="25">
        <f ca="1">IFERROR(__xludf.DUMMYFUNCTION("""COMPUTED_VALUE"""),0.333333333333333)</f>
        <v>0.33333333333333298</v>
      </c>
      <c r="K97" s="25">
        <f ca="1">IFERROR(__xludf.DUMMYFUNCTION("""COMPUTED_VALUE"""),0.411764705882352)</f>
        <v>0.41176470588235198</v>
      </c>
      <c r="L97" s="25">
        <f ca="1">IFERROR(__xludf.DUMMYFUNCTION("""COMPUTED_VALUE"""),0.285714285714285)</f>
        <v>0.28571428571428498</v>
      </c>
      <c r="M97" s="25">
        <f ca="1">IFERROR(__xludf.DUMMYFUNCTION("""COMPUTED_VALUE"""),0.514285714285714)</f>
        <v>0.51428571428571401</v>
      </c>
      <c r="N97" s="25">
        <f ca="1">IFERROR(__xludf.DUMMYFUNCTION("""COMPUTED_VALUE"""),0.333333333333333)</f>
        <v>0.33333333333333298</v>
      </c>
      <c r="O97" s="25">
        <f ca="1">IFERROR(__xludf.DUMMYFUNCTION("""COMPUTED_VALUE"""),0.542857142857142)</f>
        <v>0.54285714285714204</v>
      </c>
      <c r="P97" s="25">
        <f ca="1">IFERROR(__xludf.DUMMYFUNCTION("""COMPUTED_VALUE"""),0.619047619047619)</f>
        <v>0.61904761904761896</v>
      </c>
      <c r="Q97" s="25">
        <f ca="1">IFERROR(__xludf.DUMMYFUNCTION("""COMPUTED_VALUE"""),0)</f>
        <v>0</v>
      </c>
      <c r="R97" s="25">
        <f ca="1">IFERROR(__xludf.DUMMYFUNCTION("""COMPUTED_VALUE"""),0.133333333333333)</f>
        <v>0.133333333333333</v>
      </c>
      <c r="S97" s="25">
        <f ca="1">IFERROR(__xludf.DUMMYFUNCTION("""COMPUTED_VALUE"""),0)</f>
        <v>0</v>
      </c>
      <c r="T97" s="25">
        <f ca="1">IFERROR(__xludf.DUMMYFUNCTION("""COMPUTED_VALUE"""),0.142857142857142)</f>
        <v>0.14285714285714199</v>
      </c>
      <c r="U97" s="25">
        <f ca="1">IFERROR(__xludf.DUMMYFUNCTION("""COMPUTED_VALUE"""),0.25)</f>
        <v>0.25</v>
      </c>
      <c r="V97" s="25">
        <f ca="1">IFERROR(__xludf.DUMMYFUNCTION("""COMPUTED_VALUE"""),0)</f>
        <v>0</v>
      </c>
      <c r="W97" s="4"/>
      <c r="X97" s="4" t="str">
        <f ca="1">IFERROR(__xludf.DUMMYFUNCTION("""COMPUTED_VALUE"""),"| 5 P PHP-CGM @ | 7 L CPT @ | 8 L NS @ | 9 P Python @ ")</f>
        <v xml:space="preserve">| 5 P PHP-CGM @ | 7 L CPT @ | 8 L NS @ | 9 P Python @ </v>
      </c>
      <c r="Y97" s="4" t="str">
        <f ca="1">IFERROR(__xludf.DUMMYFUNCTION("""COMPUTED_VALUE"""),"| 5 L PHP-CGM @ | 6 L NS @ | 8 P CPT @ | 9 P PRO @ ")</f>
        <v xml:space="preserve">| 5 L PHP-CGM @ | 6 L NS @ | 8 P CPT @ | 9 P PRO @ </v>
      </c>
      <c r="Z97" s="4" t="str">
        <f ca="1">IFERROR(__xludf.DUMMYFUNCTION("""COMPUTED_VALUE"""),"| 5 L JAVA % | 6 L CPT % | 7 P JAVA % ")</f>
        <v xml:space="preserve">| 5 L JAVA % | 6 L CPT % | 7 P JAVA % </v>
      </c>
      <c r="AA97" s="4" t="str">
        <f ca="1">IFERROR(__xludf.DUMMYFUNCTION("""COMPUTED_VALUE"""),"| 5 L PHP-CGM @ | 7 L JAVA @ | 9 P Python @ | 8 L CPT @ ")</f>
        <v xml:space="preserve">| 5 L PHP-CGM @ | 7 L JAVA @ | 9 P Python @ | 8 L CPT @ </v>
      </c>
      <c r="AB97" s="4" t="str">
        <f ca="1">IFERROR(__xludf.DUMMYFUNCTION("""COMPUTED_VALUE"""),"| 5 P JAVA % | 7 L PHP-CGM % | 8 L JAVA % | 9 P NS @ ")</f>
        <v xml:space="preserve">| 5 P JAVA % | 7 L PHP-CGM % | 8 L JAVA % | 9 P NS @ </v>
      </c>
      <c r="AC97" s="4" t="str">
        <f ca="1">IFERROR(__xludf.DUMMYFUNCTION("""COMPUTED_VALUE"""),"| 5 P PHP-CGM % | 7 L CPT % | 8 L NS % | 9 P Python % ")</f>
        <v xml:space="preserve">| 5 P PHP-CGM % | 7 L CPT % | 8 L NS % | 9 P Python % </v>
      </c>
      <c r="AD97" s="4" t="str">
        <f ca="1">IFERROR(__xludf.DUMMYFUNCTION("""COMPUTED_VALUE"""),"| 5 L PHP-CGM % | 6 L NS % | 7 P CPT % ")</f>
        <v xml:space="preserve">| 5 L PHP-CGM % | 6 L NS % | 7 P CPT % </v>
      </c>
      <c r="AE97" s="4" t="str">
        <f ca="1">IFERROR(__xludf.DUMMYFUNCTION("""COMPUTED_VALUE"""),"| 5 L JAVA % | 6 L CPT % | 7 P JAVA % ")</f>
        <v xml:space="preserve">| 5 L JAVA % | 6 L CPT % | 7 P JAVA % </v>
      </c>
      <c r="AF97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G97" s="4" t="str">
        <f ca="1">IFERROR(__xludf.DUMMYFUNCTION("""COMPUTED_VALUE"""),"| 5 P JAVA % | 8 L JAVA % | 7 L PHP-CGM % ")</f>
        <v xml:space="preserve">| 5 P JAVA % | 8 L JAVA % | 7 L PHP-CGM % </v>
      </c>
      <c r="AH97" s="4" t="str">
        <f ca="1">IFERROR(__xludf.DUMMYFUNCTION("""COMPUTED_VALUE"""),"| 5 L PHP-CGM % | 6 L NS % | 7 L JAVA % | 8 L CPT % ")</f>
        <v xml:space="preserve">| 5 L PHP-CGM % | 6 L NS % | 7 L JAVA % | 8 L CPT % </v>
      </c>
      <c r="AI97" s="4" t="str">
        <f ca="1">IFERROR(__xludf.DUMMYFUNCTION("""COMPUTED_VALUE"""),"| 5 P JAVA % | 8 L JAVA % | 7 L PHP-CGM % | 9 P NS @ ")</f>
        <v xml:space="preserve">| 5 P JAVA % | 8 L JAVA % | 7 L PHP-CGM % | 9 P NS @ </v>
      </c>
      <c r="AJ97" s="4" t="str">
        <f ca="1">IFERROR(__xludf.DUMMYFUNCTION("""COMPUTED_VALUE"""),"| 5 P PHP-CGM @ | 7 L CPT @ | 8 L NS @ | 9 P Python @ ")</f>
        <v xml:space="preserve">| 5 P PHP-CGM @ | 7 L CPT @ | 8 L NS @ | 9 P Python @ </v>
      </c>
      <c r="AK97" s="4" t="str">
        <f ca="1">IFERROR(__xludf.DUMMYFUNCTION("""COMPUTED_VALUE"""),"| 5 L PHP-CGM @ | 6 L NS @ | 7 P CPT % | 9 P PRO % ")</f>
        <v xml:space="preserve">| 5 L PHP-CGM @ | 6 L NS @ | 7 P CPT % | 9 P PRO % </v>
      </c>
      <c r="AL97" s="4" t="str">
        <f ca="1">IFERROR(__xludf.DUMMYFUNCTION("""COMPUTED_VALUE"""),"| 5 L JAVA @ | 6 L CPT @ | 7 P JAVA @ | 9 L INE @ ")</f>
        <v xml:space="preserve">| 5 L JAVA @ | 6 L CPT @ | 7 P JAVA @ | 9 L INE @ </v>
      </c>
      <c r="AM97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AN97" s="4" t="str">
        <f ca="1">IFERROR(__xludf.DUMMYFUNCTION("""COMPUTED_VALUE"""),"| 5 P JAVA % | 8 L JAVA @ | 7 L PHP-CGM @ | 9 P NS @ ")</f>
        <v xml:space="preserve">| 5 P JAVA % | 8 L JAVA @ | 7 L PHP-CGM @ | 9 P NS @ </v>
      </c>
      <c r="AO97" s="4" t="str">
        <f ca="1">IFERROR(__xludf.DUMMYFUNCTION("""COMPUTED_VALUE"""),"| 5 P PHP-CGM % | 7 L CPT % | 8 L NS % | 9 P Python @ ")</f>
        <v xml:space="preserve">| 5 P PHP-CGM % | 7 L CPT % | 8 L NS % | 9 P Python @ </v>
      </c>
      <c r="AP97" s="4" t="str">
        <f ca="1">IFERROR(__xludf.DUMMYFUNCTION("""COMPUTED_VALUE"""),"| 5 L PHP-CGM % | 6 L NS % | 7 P CPT @ | 9 P PRO @ ")</f>
        <v xml:space="preserve">| 5 L PHP-CGM % | 6 L NS % | 7 P CPT @ | 9 P PRO @ </v>
      </c>
      <c r="AQ97" s="4" t="str">
        <f ca="1">IFERROR(__xludf.DUMMYFUNCTION("""COMPUTED_VALUE"""),"| 5 L CPT @ | 7 L JAVA @ | 7 P JAVA % | 9 L INE % ")</f>
        <v xml:space="preserve">| 5 L CPT @ | 7 L JAVA @ | 7 P JAVA % | 9 L INE % </v>
      </c>
      <c r="AR97" s="4" t="str">
        <f ca="1">IFERROR(__xludf.DUMMYFUNCTION("""COMPUTED_VALUE"""),"| 5 L PHP-CGM @ | 6 L NS @ | 8 L CPT @ ")</f>
        <v xml:space="preserve">| 5 L PHP-CGM @ | 6 L NS @ | 8 L CPT @ </v>
      </c>
      <c r="AS97" s="4" t="str">
        <f ca="1">IFERROR(__xludf.DUMMYFUNCTION("""COMPUTED_VALUE"""),"| 5 P PHP-CGM @ | 7 L CPT @ | 8 L NS @ | 9 P Python @ ")</f>
        <v xml:space="preserve">| 5 P PHP-CGM @ | 7 L CPT @ | 8 L NS @ | 9 P Python @ </v>
      </c>
      <c r="AT97" s="4" t="str">
        <f ca="1">IFERROR(__xludf.DUMMYFUNCTION("""COMPUTED_VALUE"""),"| 5 L PHP-CGM % | 6 L NS % | 7 P CPT @ | 9 P PRO @ ")</f>
        <v xml:space="preserve">| 5 L PHP-CGM % | 6 L NS % | 7 P CPT @ | 9 P PRO @ </v>
      </c>
      <c r="AU97" s="4" t="str">
        <f ca="1">IFERROR(__xludf.DUMMYFUNCTION("""COMPUTED_VALUE"""),"| 5 L JAVA % | 6 L CPT % | 8 P JAVA % | 9 L INE @ ")</f>
        <v xml:space="preserve">| 5 L JAVA % | 6 L CPT % | 8 P JAVA % | 9 L INE @ </v>
      </c>
      <c r="AV97" s="4" t="str">
        <f ca="1">IFERROR(__xludf.DUMMYFUNCTION("""COMPUTED_VALUE"""),"| 5 L PHP-CGM % | 6 L NS % | 7 L JAVA % | 8 L CPT % ")</f>
        <v xml:space="preserve">| 5 L PHP-CGM % | 6 L NS % | 7 L JAVA % | 8 L CPT % </v>
      </c>
      <c r="AW97" s="4" t="str">
        <f ca="1">IFERROR(__xludf.DUMMYFUNCTION("""COMPUTED_VALUE"""),"| 5 P JAVA % | 7 L PHP-CGM % | 8 L JAVA % | 9 P NS % ")</f>
        <v xml:space="preserve">| 5 P JAVA % | 7 L PHP-CGM % | 8 L JAVA % | 9 P NS % </v>
      </c>
      <c r="AX97" s="4" t="str">
        <f ca="1">IFERROR(__xludf.DUMMYFUNCTION("""COMPUTED_VALUE"""),"| 5 P PHP-CGM @ | 7 L CPT @ | 8 L NS @ | 9 P Python @ ")</f>
        <v xml:space="preserve">| 5 P PHP-CGM @ | 7 L CPT @ | 8 L NS @ | 9 P Python @ </v>
      </c>
      <c r="AY97" s="4" t="str">
        <f ca="1">IFERROR(__xludf.DUMMYFUNCTION("""COMPUTED_VALUE"""),"| 5 L PHP-CGM % | 6 L NS % | 7 P CPT % | 9 P PRO @ ")</f>
        <v xml:space="preserve">| 5 L PHP-CGM % | 6 L NS % | 7 P CPT % | 9 P PRO @ </v>
      </c>
      <c r="AZ97" s="4" t="str">
        <f ca="1">IFERROR(__xludf.DUMMYFUNCTION("""COMPUTED_VALUE"""),"| 5 L PHP-CGM % | 6 L NS % | 7 L JAVA % | 8 L CPT % ")</f>
        <v xml:space="preserve">| 5 L PHP-CGM % | 6 L NS % | 7 L JAVA % | 8 L CPT % </v>
      </c>
      <c r="BA97" s="4" t="str">
        <f ca="1">IFERROR(__xludf.DUMMYFUNCTION("""COMPUTED_VALUE"""),"| 5 P JAVA @ | 7 L PHP-CGM @ | 8 L JAVA @ ")</f>
        <v xml:space="preserve">| 5 P JAVA @ | 7 L PHP-CGM @ | 8 L JAVA @ </v>
      </c>
      <c r="BB97" s="4" t="str">
        <f ca="1">IFERROR(__xludf.DUMMYFUNCTION("""COMPUTED_VALUE"""),"| 5 P PHP-CGM % | 7 L CPT % | 8 L NS % ")</f>
        <v xml:space="preserve">| 5 P PHP-CGM % | 7 L CPT % | 8 L NS % </v>
      </c>
      <c r="BC97" s="4" t="str">
        <f ca="1">IFERROR(__xludf.DUMMYFUNCTION("""COMPUTED_VALUE"""),"| 5 L PHP-CGM @ | 6 L NS @ | 7 P CPT @ | 9 P PRO @ ")</f>
        <v xml:space="preserve">| 5 L PHP-CGM @ | 6 L NS @ | 7 P CPT @ | 9 P PRO @ </v>
      </c>
      <c r="BD97" s="4" t="str">
        <f ca="1">IFERROR(__xludf.DUMMYFUNCTION("""COMPUTED_VALUE"""),"| 5 L JAVA @ | 6 L CPT @ | 7 P JAVA @ | 9 L INE @ ")</f>
        <v xml:space="preserve">| 5 L JAVA @ | 6 L CPT @ | 7 P JAVA @ | 9 L INE @ </v>
      </c>
      <c r="BE97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97" s="4" t="str">
        <f ca="1">IFERROR(__xludf.DUMMYFUNCTION("""COMPUTED_VALUE"""),"| 5 P JAVA % | 7 L PHP-CGM % | 8 L JAVA % | 9 P NS @ ")</f>
        <v xml:space="preserve">| 5 P JAVA % | 7 L PHP-CGM % | 8 L JAVA % | 9 P NS @ </v>
      </c>
      <c r="BG97" s="4" t="str">
        <f ca="1">IFERROR(__xludf.DUMMYFUNCTION("""COMPUTED_VALUE"""),"| 5 L PHP-CGM @ | 6 L NS @ | 7 P CPT @ | 9 P PRO @ ")</f>
        <v xml:space="preserve">| 5 L PHP-CGM @ | 6 L NS @ | 7 P CPT @ | 9 P PRO @ </v>
      </c>
      <c r="BH97" s="4" t="str">
        <f ca="1">IFERROR(__xludf.DUMMYFUNCTION("""COMPUTED_VALUE"""),"| 5 L JAVA @ | 6 L CPT @ | 7 P JAVA @ | 9 L INE @ ")</f>
        <v xml:space="preserve">| 5 L JAVA @ | 6 L CPT @ | 7 P JAVA @ | 9 L INE @ </v>
      </c>
      <c r="BI97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J97" s="4" t="str">
        <f ca="1">IFERROR(__xludf.DUMMYFUNCTION("""COMPUTED_VALUE"""),"| 5 P JAVA @ | 7 L JAVA @ | 7 L PHP-CGM @ ")</f>
        <v xml:space="preserve">| 5 P JAVA @ | 7 L JAVA @ | 7 L PHP-CGM @ </v>
      </c>
      <c r="BK97" s="4" t="str">
        <f ca="1">IFERROR(__xludf.DUMMYFUNCTION("""COMPUTED_VALUE"""),"| 7 L CPT @ | 8 L NS @ ")</f>
        <v xml:space="preserve">| 7 L CPT @ | 8 L NS @ </v>
      </c>
      <c r="BL97" s="4" t="str">
        <f ca="1">IFERROR(__xludf.DUMMYFUNCTION("""COMPUTED_VALUE"""),"| 5 L PHP-CGM @ | 6 L NS @ | 7 P CPT @ ")</f>
        <v xml:space="preserve">| 5 L PHP-CGM @ | 6 L NS @ | 7 P CPT @ </v>
      </c>
      <c r="BM97" s="4" t="str">
        <f ca="1">IFERROR(__xludf.DUMMYFUNCTION("""COMPUTED_VALUE"""),"| 5 L JAVA @ | 6 L CPT @ | 9 L INE @ ")</f>
        <v xml:space="preserve">| 5 L JAVA @ | 6 L CPT @ | 9 L INE @ </v>
      </c>
      <c r="BN97" s="4" t="str">
        <f ca="1">IFERROR(__xludf.DUMMYFUNCTION("""COMPUTED_VALUE"""),"| 5 L PHP-CGM @ | 6 L NS @ | 9 L JAVA @ | 8 L CPT @ ")</f>
        <v xml:space="preserve">| 5 L PHP-CGM @ | 6 L NS @ | 9 L JAVA @ | 8 L CPT @ </v>
      </c>
      <c r="BO97" s="4" t="str">
        <f ca="1">IFERROR(__xludf.DUMMYFUNCTION("""COMPUTED_VALUE"""),"| 5 P JAVA @ | 7 L PHP-CGM @ ")</f>
        <v xml:space="preserve">| 5 P JAVA @ | 7 L PHP-CGM @ </v>
      </c>
      <c r="BP97" s="4" t="str">
        <f ca="1">IFERROR(__xludf.DUMMYFUNCTION("""COMPUTED_VALUE"""),"| 5 P PHP-CGM @ | 7 L CPT @ | 8 L NS @ ")</f>
        <v xml:space="preserve">| 5 P PHP-CGM @ | 7 L CPT @ | 8 L NS @ </v>
      </c>
      <c r="BQ97" s="4" t="str">
        <f ca="1">IFERROR(__xludf.DUMMYFUNCTION("""COMPUTED_VALUE"""),"| 5 L JAVA % | 6 L CPT % ")</f>
        <v xml:space="preserve">| 5 L JAVA % | 6 L CPT % </v>
      </c>
      <c r="BR97" s="4" t="str">
        <f ca="1">IFERROR(__xludf.DUMMYFUNCTION("""COMPUTED_VALUE"""),"| 7 L JAVA % ")</f>
        <v xml:space="preserve">| 7 L JAVA % </v>
      </c>
      <c r="BS97" s="4"/>
      <c r="BT97" s="4" t="str">
        <f ca="1">IFERROR(__xludf.DUMMYFUNCTION("""COMPUTED_VALUE"""),"| 7 L CPT @ ")</f>
        <v xml:space="preserve">| 7 L CPT @ </v>
      </c>
      <c r="BU97" s="4" t="str">
        <f ca="1">IFERROR(__xludf.DUMMYFUNCTION("""COMPUTED_VALUE"""),"| 7 P CPT @ ")</f>
        <v xml:space="preserve">| 7 P CPT @ </v>
      </c>
      <c r="BV97" s="4" t="str">
        <f ca="1">IFERROR(__xludf.DUMMYFUNCTION("""COMPUTED_VALUE"""),"| 5 P PHP-CGM @ | 7 L CPT @ | 8 L NS @ | 9 P Python @ ")</f>
        <v xml:space="preserve">| 5 P PHP-CGM @ | 7 L CPT @ | 8 L NS @ | 9 P Python @ </v>
      </c>
      <c r="BW97" s="4"/>
      <c r="BX97" s="4" t="str">
        <f ca="1">IFERROR(__xludf.DUMMYFUNCTION("""COMPUTED_VALUE"""),"| 5 L JAVA % | 6 L CPT % | 7 P JAVA @ ")</f>
        <v xml:space="preserve">| 5 L JAVA % | 6 L CPT % | 7 P JAVA @ </v>
      </c>
      <c r="BY97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97" s="4" t="str">
        <f ca="1">IFERROR(__xludf.DUMMYFUNCTION("""COMPUTED_VALUE"""),"| 5 P JAVA % | 8 L JAVA % | 7 L PHP-CGM % | 9 P NS @ ")</f>
        <v xml:space="preserve">| 5 P JAVA % | 8 L JAVA % | 7 L PHP-CGM % | 9 P NS @ </v>
      </c>
      <c r="CA97" s="4" t="str">
        <f ca="1">IFERROR(__xludf.DUMMYFUNCTION("""COMPUTED_VALUE"""),"| 7 L CPT @ | 8 L NS @ | 9 P Python @ ")</f>
        <v xml:space="preserve">| 7 L CPT @ | 8 L NS @ | 9 P Python @ </v>
      </c>
      <c r="CB97" s="4" t="str">
        <f ca="1">IFERROR(__xludf.DUMMYFUNCTION("""COMPUTED_VALUE"""),"| 5 L PHP-CGM % | 6 L NS % | 7 P CPT % ")</f>
        <v xml:space="preserve">| 5 L PHP-CGM % | 6 L NS % | 7 P CPT % </v>
      </c>
      <c r="CC97" s="4" t="str">
        <f ca="1">IFERROR(__xludf.DUMMYFUNCTION("""COMPUTED_VALUE"""),"| 5 L JAVA % | 7 P JAVA @ | 9 L INE % ")</f>
        <v xml:space="preserve">| 5 L JAVA % | 7 P JAVA @ | 9 L INE % </v>
      </c>
      <c r="CD97" s="4" t="str">
        <f ca="1">IFERROR(__xludf.DUMMYFUNCTION("""COMPUTED_VALUE"""),"| 5 L PHP-CGM % | 6 L NS % | 7 L JAVA @ | 8 L CPT @ ")</f>
        <v xml:space="preserve">| 5 L PHP-CGM % | 6 L NS % | 7 L JAVA @ | 8 L CPT @ </v>
      </c>
      <c r="CE97" s="4" t="str">
        <f ca="1">IFERROR(__xludf.DUMMYFUNCTION("""COMPUTED_VALUE"""),"| 5 P JAVA % | 8 L JAVA % | 7 L PHP-CGM % | 9 P NS % ")</f>
        <v xml:space="preserve">| 5 P JAVA % | 8 L JAVA % | 7 L PHP-CGM % | 9 P NS % </v>
      </c>
      <c r="CF97" s="4" t="str">
        <f ca="1">IFERROR(__xludf.DUMMYFUNCTION("""COMPUTED_VALUE"""),"| 7 L CPT @ | 8 L NS @ | 9 P Python @ ")</f>
        <v xml:space="preserve">| 7 L CPT @ | 8 L NS @ | 9 P Python @ </v>
      </c>
      <c r="CG97" s="4" t="str">
        <f ca="1">IFERROR(__xludf.DUMMYFUNCTION("""COMPUTED_VALUE"""),"| 5 L PHP-CGM @ | 6 L NS @ | 7 P CPT @ ")</f>
        <v xml:space="preserve">| 5 L PHP-CGM @ | 6 L NS @ | 7 P CPT @ </v>
      </c>
      <c r="CH97" s="4" t="str">
        <f ca="1">IFERROR(__xludf.DUMMYFUNCTION("""COMPUTED_VALUE"""),"| 5 L JAVA @ | 6 L CPT @ | 7 P JAVA % | 9 L INE @ ")</f>
        <v xml:space="preserve">| 5 L JAVA @ | 6 L CPT @ | 7 P JAVA % | 9 L INE @ </v>
      </c>
      <c r="CI97" s="4" t="str">
        <f ca="1">IFERROR(__xludf.DUMMYFUNCTION("""COMPUTED_VALUE"""),"| 5 L PHP-CGM @ | 7 L JAVA @ | 8 L CPT @ ")</f>
        <v xml:space="preserve">| 5 L PHP-CGM @ | 7 L JAVA @ | 8 L CPT @ </v>
      </c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</row>
    <row r="98" spans="1:102" ht="12.5" x14ac:dyDescent="0.25">
      <c r="A98" s="3">
        <f ca="1">IFERROR(__xludf.DUMMYFUNCTION("""COMPUTED_VALUE"""),2)</f>
        <v>2</v>
      </c>
      <c r="B98" s="3" t="str">
        <f ca="1">IFERROR(__xludf.DUMMYFUNCTION("""COMPUTED_VALUE"""),"B")</f>
        <v>B</v>
      </c>
      <c r="C98" s="32" t="str">
        <f ca="1">IFERROR(__xludf.DUMMYFUNCTION("""COMPUTED_VALUE"""),"23291341039")</f>
        <v>23291341039</v>
      </c>
      <c r="D98" s="4" t="str">
        <f ca="1">IFERROR(__xludf.DUMMYFUNCTION("""COMPUTED_VALUE"""),"GAVALI HETALBEN UMESHBHAI")</f>
        <v>GAVALI HETALBEN UMESHBHAI</v>
      </c>
      <c r="E98" s="3" t="str">
        <f ca="1">IFERROR(__xludf.DUMMYFUNCTION("""COMPUTED_VALUE"""),"HAM/HDP-EVE")</f>
        <v>HAM/HDP-EVE</v>
      </c>
      <c r="F98" s="3">
        <f ca="1">IFERROR(__xludf.DUMMYFUNCTION("""COMPUTED_VALUE"""),9313828662)</f>
        <v>9313828662</v>
      </c>
      <c r="G98" s="3">
        <f ca="1">IFERROR(__xludf.DUMMYFUNCTION("""COMPUTED_VALUE"""),9313828662)</f>
        <v>9313828662</v>
      </c>
      <c r="H98" s="33">
        <f ca="1">IFERROR(__xludf.DUMMYFUNCTION("""COMPUTED_VALUE"""),0.795454545454545)</f>
        <v>0.79545454545454497</v>
      </c>
      <c r="I98" s="25">
        <f ca="1">IFERROR(__xludf.DUMMYFUNCTION("""COMPUTED_VALUE"""),0.702702702702702)</f>
        <v>0.70270270270270196</v>
      </c>
      <c r="J98" s="25">
        <f ca="1">IFERROR(__xludf.DUMMYFUNCTION("""COMPUTED_VALUE"""),0.833333333333333)</f>
        <v>0.83333333333333304</v>
      </c>
      <c r="K98" s="25">
        <f ca="1">IFERROR(__xludf.DUMMYFUNCTION("""COMPUTED_VALUE"""),0.764705882352941)</f>
        <v>0.76470588235294101</v>
      </c>
      <c r="L98" s="25">
        <f ca="1">IFERROR(__xludf.DUMMYFUNCTION("""COMPUTED_VALUE"""),0.857142857142857)</f>
        <v>0.85714285714285698</v>
      </c>
      <c r="M98" s="25">
        <f ca="1">IFERROR(__xludf.DUMMYFUNCTION("""COMPUTED_VALUE"""),0.828571428571428)</f>
        <v>0.82857142857142796</v>
      </c>
      <c r="N98" s="25">
        <f ca="1">IFERROR(__xludf.DUMMYFUNCTION("""COMPUTED_VALUE"""),0.666666666666666)</f>
        <v>0.66666666666666596</v>
      </c>
      <c r="O98" s="25">
        <f ca="1">IFERROR(__xludf.DUMMYFUNCTION("""COMPUTED_VALUE"""),0.857142857142857)</f>
        <v>0.85714285714285698</v>
      </c>
      <c r="P98" s="25">
        <f ca="1">IFERROR(__xludf.DUMMYFUNCTION("""COMPUTED_VALUE"""),0.952380952380952)</f>
        <v>0.952380952380952</v>
      </c>
      <c r="Q98" s="25">
        <f ca="1">IFERROR(__xludf.DUMMYFUNCTION("""COMPUTED_VALUE"""),0)</f>
        <v>0</v>
      </c>
      <c r="R98" s="25">
        <f ca="1">IFERROR(__xludf.DUMMYFUNCTION("""COMPUTED_VALUE"""),0.733333333333333)</f>
        <v>0.73333333333333295</v>
      </c>
      <c r="S98" s="25">
        <f ca="1">IFERROR(__xludf.DUMMYFUNCTION("""COMPUTED_VALUE"""),0)</f>
        <v>0</v>
      </c>
      <c r="T98" s="25">
        <f ca="1">IFERROR(__xludf.DUMMYFUNCTION("""COMPUTED_VALUE"""),0.714285714285714)</f>
        <v>0.71428571428571397</v>
      </c>
      <c r="U98" s="25">
        <f ca="1">IFERROR(__xludf.DUMMYFUNCTION("""COMPUTED_VALUE"""),0.75)</f>
        <v>0.75</v>
      </c>
      <c r="V98" s="25">
        <f ca="1">IFERROR(__xludf.DUMMYFUNCTION("""COMPUTED_VALUE"""),0)</f>
        <v>0</v>
      </c>
      <c r="W98" s="4"/>
      <c r="X98" s="4" t="str">
        <f ca="1">IFERROR(__xludf.DUMMYFUNCTION("""COMPUTED_VALUE"""),"| 5 P PHP-CGM @ | 7 L CPT @ | 8 L NS @ | 9 P Python @ ")</f>
        <v xml:space="preserve">| 5 P PHP-CGM @ | 7 L CPT @ | 8 L NS @ | 9 P Python @ </v>
      </c>
      <c r="Y98" s="4" t="str">
        <f ca="1">IFERROR(__xludf.DUMMYFUNCTION("""COMPUTED_VALUE"""),"| 5 L PHP-CGM % | 6 L NS % | 8 P CPT % | 9 P PRO @ ")</f>
        <v xml:space="preserve">| 5 L PHP-CGM % | 6 L NS % | 8 P CPT % | 9 P PRO @ </v>
      </c>
      <c r="Z98" s="4" t="str">
        <f ca="1">IFERROR(__xludf.DUMMYFUNCTION("""COMPUTED_VALUE"""),"| 5 L JAVA % | 6 L CPT % | 7 P JAVA % ")</f>
        <v xml:space="preserve">| 5 L JAVA % | 6 L CPT % | 7 P JAVA % </v>
      </c>
      <c r="AA98" s="4" t="str">
        <f ca="1">IFERROR(__xludf.DUMMYFUNCTION("""COMPUTED_VALUE"""),"| 5 L PHP-CGM % | 7 L JAVA % | 9 P Python % | 8 L CPT % ")</f>
        <v xml:space="preserve">| 5 L PHP-CGM % | 7 L JAVA % | 9 P Python % | 8 L CPT % </v>
      </c>
      <c r="AB98" s="4" t="str">
        <f ca="1">IFERROR(__xludf.DUMMYFUNCTION("""COMPUTED_VALUE"""),"| 5 P JAVA % | 7 L PHP-CGM % | 8 L JAVA % | 9 P NS % ")</f>
        <v xml:space="preserve">| 5 P JAVA % | 7 L PHP-CGM % | 8 L JAVA % | 9 P NS % </v>
      </c>
      <c r="AC98" s="4" t="str">
        <f ca="1">IFERROR(__xludf.DUMMYFUNCTION("""COMPUTED_VALUE"""),"| 5 P PHP-CGM % | 7 L CPT % | 8 L NS % | 9 P Python % ")</f>
        <v xml:space="preserve">| 5 P PHP-CGM % | 7 L CPT % | 8 L NS % | 9 P Python % </v>
      </c>
      <c r="AD98" s="4" t="str">
        <f ca="1">IFERROR(__xludf.DUMMYFUNCTION("""COMPUTED_VALUE"""),"| 5 L PHP-CGM % | 6 L NS % | 7 P CPT % ")</f>
        <v xml:space="preserve">| 5 L PHP-CGM % | 6 L NS % | 7 P CPT % </v>
      </c>
      <c r="AE98" s="4" t="str">
        <f ca="1">IFERROR(__xludf.DUMMYFUNCTION("""COMPUTED_VALUE"""),"| 5 L JAVA % | 6 L CPT % | 7 P JAVA % ")</f>
        <v xml:space="preserve">| 5 L JAVA % | 6 L CPT % | 7 P JAVA % </v>
      </c>
      <c r="AF9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98" s="4" t="str">
        <f ca="1">IFERROR(__xludf.DUMMYFUNCTION("""COMPUTED_VALUE"""),"| 5 P JAVA % | 8 L JAVA % | 7 L PHP-CGM % ")</f>
        <v xml:space="preserve">| 5 P JAVA % | 8 L JAVA % | 7 L PHP-CGM % </v>
      </c>
      <c r="AH98" s="4" t="str">
        <f ca="1">IFERROR(__xludf.DUMMYFUNCTION("""COMPUTED_VALUE"""),"| 5 L PHP-CGM % | 6 L NS % | 7 L JAVA @ | 8 L CPT @ ")</f>
        <v xml:space="preserve">| 5 L PHP-CGM % | 6 L NS % | 7 L JAVA @ | 8 L CPT @ </v>
      </c>
      <c r="AI98" s="4" t="str">
        <f ca="1">IFERROR(__xludf.DUMMYFUNCTION("""COMPUTED_VALUE"""),"| 5 P JAVA % | 8 L JAVA % | 7 L PHP-CGM % | 9 P NS % ")</f>
        <v xml:space="preserve">| 5 P JAVA % | 8 L JAVA % | 7 L PHP-CGM % | 9 P NS % </v>
      </c>
      <c r="AJ98" s="4" t="str">
        <f ca="1">IFERROR(__xludf.DUMMYFUNCTION("""COMPUTED_VALUE"""),"| 5 P PHP-CGM % | 7 L CPT % | 8 L NS % | 9 P Python % ")</f>
        <v xml:space="preserve">| 5 P PHP-CGM % | 7 L CPT % | 8 L NS % | 9 P Python % </v>
      </c>
      <c r="AK98" s="4" t="str">
        <f ca="1">IFERROR(__xludf.DUMMYFUNCTION("""COMPUTED_VALUE"""),"| 5 L PHP-CGM % | 6 L NS % | 7 P CPT % | 9 P PRO % ")</f>
        <v xml:space="preserve">| 5 L PHP-CGM % | 6 L NS % | 7 P CPT % | 9 P PRO % </v>
      </c>
      <c r="AL98" s="4" t="str">
        <f ca="1">IFERROR(__xludf.DUMMYFUNCTION("""COMPUTED_VALUE"""),"| 5 L JAVA % | 6 L CPT % | 7 P JAVA % | 9 L INE @ ")</f>
        <v xml:space="preserve">| 5 L JAVA % | 6 L CPT % | 7 P JAVA % | 9 L INE @ </v>
      </c>
      <c r="AM9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98" s="4" t="str">
        <f ca="1">IFERROR(__xludf.DUMMYFUNCTION("""COMPUTED_VALUE"""),"| 5 P JAVA % | 8 L JAVA % | 7 L PHP-CGM % | 9 P NS % ")</f>
        <v xml:space="preserve">| 5 P JAVA % | 8 L JAVA % | 7 L PHP-CGM % | 9 P NS % </v>
      </c>
      <c r="AO98" s="4" t="str">
        <f ca="1">IFERROR(__xludf.DUMMYFUNCTION("""COMPUTED_VALUE"""),"| 5 P PHP-CGM % | 7 L CPT % | 8 L NS % | 9 P Python % ")</f>
        <v xml:space="preserve">| 5 P PHP-CGM % | 7 L CPT % | 8 L NS % | 9 P Python % </v>
      </c>
      <c r="AP98" s="4" t="str">
        <f ca="1">IFERROR(__xludf.DUMMYFUNCTION("""COMPUTED_VALUE"""),"| 5 L PHP-CGM % | 6 L NS % | 7 P CPT % | 9 P PRO % ")</f>
        <v xml:space="preserve">| 5 L PHP-CGM % | 6 L NS % | 7 P CPT % | 9 P PRO % </v>
      </c>
      <c r="AQ98" s="4" t="str">
        <f ca="1">IFERROR(__xludf.DUMMYFUNCTION("""COMPUTED_VALUE"""),"| 5 L CPT % | 7 L JAVA % | 7 P JAVA % | 9 L INE % ")</f>
        <v xml:space="preserve">| 5 L CPT % | 7 L JAVA % | 7 P JAVA % | 9 L INE % </v>
      </c>
      <c r="AR98" s="4" t="str">
        <f ca="1">IFERROR(__xludf.DUMMYFUNCTION("""COMPUTED_VALUE"""),"| 5 L PHP-CGM % | 6 L NS % | 8 L CPT @ ")</f>
        <v xml:space="preserve">| 5 L PHP-CGM % | 6 L NS % | 8 L CPT @ </v>
      </c>
      <c r="AS98" s="4" t="str">
        <f ca="1">IFERROR(__xludf.DUMMYFUNCTION("""COMPUTED_VALUE"""),"| 5 P PHP-CGM % | 7 L CPT % | 8 L NS % | 9 P Python % ")</f>
        <v xml:space="preserve">| 5 P PHP-CGM % | 7 L CPT % | 8 L NS % | 9 P Python % </v>
      </c>
      <c r="AT98" s="4" t="str">
        <f ca="1">IFERROR(__xludf.DUMMYFUNCTION("""COMPUTED_VALUE"""),"| 5 L PHP-CGM % | 6 L NS % | 7 P CPT % | 9 P PRO % ")</f>
        <v xml:space="preserve">| 5 L PHP-CGM % | 6 L NS % | 7 P CPT % | 9 P PRO % </v>
      </c>
      <c r="AU98" s="4" t="str">
        <f ca="1">IFERROR(__xludf.DUMMYFUNCTION("""COMPUTED_VALUE"""),"| 5 L JAVA % | 6 L CPT % | 8 P JAVA % | 9 L INE % ")</f>
        <v xml:space="preserve">| 5 L JAVA % | 6 L CPT % | 8 P JAVA % | 9 L INE % </v>
      </c>
      <c r="AV98" s="4" t="str">
        <f ca="1">IFERROR(__xludf.DUMMYFUNCTION("""COMPUTED_VALUE"""),"| 5 L PHP-CGM % | 6 L NS % | 7 L JAVA % | 8 L CPT % ")</f>
        <v xml:space="preserve">| 5 L PHP-CGM % | 6 L NS % | 7 L JAVA % | 8 L CPT % </v>
      </c>
      <c r="AW98" s="4" t="str">
        <f ca="1">IFERROR(__xludf.DUMMYFUNCTION("""COMPUTED_VALUE"""),"| 5 P JAVA % | 7 L PHP-CGM % | 8 L JAVA % | 9 P NS % ")</f>
        <v xml:space="preserve">| 5 P JAVA % | 7 L PHP-CGM % | 8 L JAVA % | 9 P NS % </v>
      </c>
      <c r="AX98" s="4" t="str">
        <f ca="1">IFERROR(__xludf.DUMMYFUNCTION("""COMPUTED_VALUE"""),"| 5 P PHP-CGM % | 7 L CPT % | 8 L NS % | 9 P Python @ ")</f>
        <v xml:space="preserve">| 5 P PHP-CGM % | 7 L CPT % | 8 L NS % | 9 P Python @ </v>
      </c>
      <c r="AY98" s="4" t="str">
        <f ca="1">IFERROR(__xludf.DUMMYFUNCTION("""COMPUTED_VALUE"""),"| 5 L PHP-CGM % | 6 L NS % | 7 P CPT % | 9 P PRO % ")</f>
        <v xml:space="preserve">| 5 L PHP-CGM % | 6 L NS % | 7 P CPT % | 9 P PRO % </v>
      </c>
      <c r="AZ98" s="4" t="str">
        <f ca="1">IFERROR(__xludf.DUMMYFUNCTION("""COMPUTED_VALUE"""),"| 5 L PHP-CGM % | 6 L NS % | 7 L JAVA % | 8 L CPT % ")</f>
        <v xml:space="preserve">| 5 L PHP-CGM % | 6 L NS % | 7 L JAVA % | 8 L CPT % </v>
      </c>
      <c r="BA98" s="4" t="str">
        <f ca="1">IFERROR(__xludf.DUMMYFUNCTION("""COMPUTED_VALUE"""),"| 5 P JAVA % | 7 L PHP-CGM % | 8 L JAVA % ")</f>
        <v xml:space="preserve">| 5 P JAVA % | 7 L PHP-CGM % | 8 L JAVA % </v>
      </c>
      <c r="BB98" s="4" t="str">
        <f ca="1">IFERROR(__xludf.DUMMYFUNCTION("""COMPUTED_VALUE"""),"| 5 P PHP-CGM % | 7 L CPT % | 8 L NS % ")</f>
        <v xml:space="preserve">| 5 P PHP-CGM % | 7 L CPT % | 8 L NS % </v>
      </c>
      <c r="BC98" s="4" t="str">
        <f ca="1">IFERROR(__xludf.DUMMYFUNCTION("""COMPUTED_VALUE"""),"| 5 L PHP-CGM % | 6 L NS % | 7 P CPT % | 9 P PRO @ ")</f>
        <v xml:space="preserve">| 5 L PHP-CGM % | 6 L NS % | 7 P CPT % | 9 P PRO @ </v>
      </c>
      <c r="BD98" s="4" t="str">
        <f ca="1">IFERROR(__xludf.DUMMYFUNCTION("""COMPUTED_VALUE"""),"| 5 L JAVA % | 6 L CPT % | 7 P JAVA % | 9 L INE % ")</f>
        <v xml:space="preserve">| 5 L JAVA % | 6 L CPT % | 7 P JAVA % | 9 L INE % </v>
      </c>
      <c r="BE9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98" s="4" t="str">
        <f ca="1">IFERROR(__xludf.DUMMYFUNCTION("""COMPUTED_VALUE"""),"| 5 P JAVA % | 7 L PHP-CGM % | 8 L JAVA % | 9 P NS @ ")</f>
        <v xml:space="preserve">| 5 P JAVA % | 7 L PHP-CGM % | 8 L JAVA % | 9 P NS @ </v>
      </c>
      <c r="BG98" s="4" t="str">
        <f ca="1">IFERROR(__xludf.DUMMYFUNCTION("""COMPUTED_VALUE"""),"| 5 L PHP-CGM % | 6 L NS % | 7 P CPT % | 9 P PRO % ")</f>
        <v xml:space="preserve">| 5 L PHP-CGM % | 6 L NS % | 7 P CPT % | 9 P PRO % </v>
      </c>
      <c r="BH98" s="4" t="str">
        <f ca="1">IFERROR(__xludf.DUMMYFUNCTION("""COMPUTED_VALUE"""),"| 5 L JAVA % | 6 L CPT % | 7 P JAVA % | 9 L INE % ")</f>
        <v xml:space="preserve">| 5 L JAVA % | 6 L CPT % | 7 P JAVA % | 9 L INE % </v>
      </c>
      <c r="BI9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98" s="4" t="str">
        <f ca="1">IFERROR(__xludf.DUMMYFUNCTION("""COMPUTED_VALUE"""),"| 5 P JAVA % | 7 L JAVA % | 7 L PHP-CGM % ")</f>
        <v xml:space="preserve">| 5 P JAVA % | 7 L JAVA % | 7 L PHP-CGM % </v>
      </c>
      <c r="BK98" s="4" t="str">
        <f ca="1">IFERROR(__xludf.DUMMYFUNCTION("""COMPUTED_VALUE"""),"| 7 L CPT @ | 8 L NS @ ")</f>
        <v xml:space="preserve">| 7 L CPT @ | 8 L NS @ </v>
      </c>
      <c r="BL98" s="4" t="str">
        <f ca="1">IFERROR(__xludf.DUMMYFUNCTION("""COMPUTED_VALUE"""),"| 5 L PHP-CGM @ | 6 L NS @ | 7 P CPT @ ")</f>
        <v xml:space="preserve">| 5 L PHP-CGM @ | 6 L NS @ | 7 P CPT @ </v>
      </c>
      <c r="BM98" s="4" t="str">
        <f ca="1">IFERROR(__xludf.DUMMYFUNCTION("""COMPUTED_VALUE"""),"| 5 L JAVA @ | 6 L CPT @ | 9 L INE @ ")</f>
        <v xml:space="preserve">| 5 L JAVA @ | 6 L CPT @ | 9 L INE @ </v>
      </c>
      <c r="BN98" s="4" t="str">
        <f ca="1">IFERROR(__xludf.DUMMYFUNCTION("""COMPUTED_VALUE"""),"| 5 L PHP-CGM @ | 6 L NS @ | 9 L JAVA @ | 8 L CPT @ ")</f>
        <v xml:space="preserve">| 5 L PHP-CGM @ | 6 L NS @ | 9 L JAVA @ | 8 L CPT @ </v>
      </c>
      <c r="BO98" s="4" t="str">
        <f ca="1">IFERROR(__xludf.DUMMYFUNCTION("""COMPUTED_VALUE"""),"| 5 P JAVA @ | 7 L PHP-CGM @ ")</f>
        <v xml:space="preserve">| 5 P JAVA @ | 7 L PHP-CGM @ </v>
      </c>
      <c r="BP98" s="4" t="str">
        <f ca="1">IFERROR(__xludf.DUMMYFUNCTION("""COMPUTED_VALUE"""),"| 5 P PHP-CGM @ | 7 L CPT @ | 8 L NS @ ")</f>
        <v xml:space="preserve">| 5 P PHP-CGM @ | 7 L CPT @ | 8 L NS @ </v>
      </c>
      <c r="BQ98" s="4" t="str">
        <f ca="1">IFERROR(__xludf.DUMMYFUNCTION("""COMPUTED_VALUE"""),"| 5 L JAVA % | 6 L CPT % ")</f>
        <v xml:space="preserve">| 5 L JAVA % | 6 L CPT % </v>
      </c>
      <c r="BR98" s="4" t="str">
        <f ca="1">IFERROR(__xludf.DUMMYFUNCTION("""COMPUTED_VALUE"""),"| 7 L JAVA % ")</f>
        <v xml:space="preserve">| 7 L JAVA % </v>
      </c>
      <c r="BS98" s="4"/>
      <c r="BT98" s="4" t="str">
        <f ca="1">IFERROR(__xludf.DUMMYFUNCTION("""COMPUTED_VALUE"""),"| 7 L CPT @ ")</f>
        <v xml:space="preserve">| 7 L CPT @ </v>
      </c>
      <c r="BU98" s="4" t="str">
        <f ca="1">IFERROR(__xludf.DUMMYFUNCTION("""COMPUTED_VALUE"""),"| 7 P CPT @ ")</f>
        <v xml:space="preserve">| 7 P CPT @ </v>
      </c>
      <c r="BV98" s="4" t="str">
        <f ca="1">IFERROR(__xludf.DUMMYFUNCTION("""COMPUTED_VALUE"""),"| 5 P PHP-CGM @ | 7 L CPT @ | 8 L NS @ | 9 P Python @ ")</f>
        <v xml:space="preserve">| 5 P PHP-CGM @ | 7 L CPT @ | 8 L NS @ | 9 P Python @ </v>
      </c>
      <c r="BW98" s="4"/>
      <c r="BX98" s="4" t="str">
        <f ca="1">IFERROR(__xludf.DUMMYFUNCTION("""COMPUTED_VALUE"""),"| 5 L JAVA % | 6 L CPT % | 7 P JAVA % ")</f>
        <v xml:space="preserve">| 5 L JAVA % | 6 L CPT % | 7 P JAVA % </v>
      </c>
      <c r="BY98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98" s="4" t="str">
        <f ca="1">IFERROR(__xludf.DUMMYFUNCTION("""COMPUTED_VALUE"""),"| 5 P JAVA % | 8 L JAVA % | 7 L PHP-CGM % | 9 P NS % ")</f>
        <v xml:space="preserve">| 5 P JAVA % | 8 L JAVA % | 7 L PHP-CGM % | 9 P NS % </v>
      </c>
      <c r="CA98" s="4" t="str">
        <f ca="1">IFERROR(__xludf.DUMMYFUNCTION("""COMPUTED_VALUE"""),"| 7 L CPT % | 8 L NS % | 9 P Python % ")</f>
        <v xml:space="preserve">| 7 L CPT % | 8 L NS % | 9 P Python % </v>
      </c>
      <c r="CB98" s="4" t="str">
        <f ca="1">IFERROR(__xludf.DUMMYFUNCTION("""COMPUTED_VALUE"""),"| 5 L PHP-CGM % | 6 L NS % | 7 P CPT % ")</f>
        <v xml:space="preserve">| 5 L PHP-CGM % | 6 L NS % | 7 P CPT % </v>
      </c>
      <c r="CC98" s="4" t="str">
        <f ca="1">IFERROR(__xludf.DUMMYFUNCTION("""COMPUTED_VALUE"""),"| 5 L JAVA % | 7 P JAVA % | 9 L INE % ")</f>
        <v xml:space="preserve">| 5 L JAVA % | 7 P JAVA % | 9 L INE % </v>
      </c>
      <c r="CD98" s="4" t="str">
        <f ca="1">IFERROR(__xludf.DUMMYFUNCTION("""COMPUTED_VALUE"""),"| 5 L PHP-CGM % | 6 L NS % | 7 L JAVA % | 8 L CPT % ")</f>
        <v xml:space="preserve">| 5 L PHP-CGM % | 6 L NS % | 7 L JAVA % | 8 L CPT % </v>
      </c>
      <c r="CE98" s="4" t="str">
        <f ca="1">IFERROR(__xludf.DUMMYFUNCTION("""COMPUTED_VALUE"""),"| 5 P JAVA % | 8 L JAVA % | 7 L PHP-CGM % | 9 P NS % ")</f>
        <v xml:space="preserve">| 5 P JAVA % | 8 L JAVA % | 7 L PHP-CGM % | 9 P NS % </v>
      </c>
      <c r="CF98" s="4" t="str">
        <f ca="1">IFERROR(__xludf.DUMMYFUNCTION("""COMPUTED_VALUE"""),"| 7 L CPT % | 8 L NS % | 9 P Python % ")</f>
        <v xml:space="preserve">| 7 L CPT % | 8 L NS % | 9 P Python % </v>
      </c>
      <c r="CG98" s="4" t="str">
        <f ca="1">IFERROR(__xludf.DUMMYFUNCTION("""COMPUTED_VALUE"""),"| 5 L PHP-CGM @ | 6 L NS @ | 7 P CPT % ")</f>
        <v xml:space="preserve">| 5 L PHP-CGM @ | 6 L NS @ | 7 P CPT % </v>
      </c>
      <c r="CH98" s="4" t="str">
        <f ca="1">IFERROR(__xludf.DUMMYFUNCTION("""COMPUTED_VALUE"""),"| 5 L JAVA % | 6 L CPT % | 7 P JAVA % | 9 L INE % ")</f>
        <v xml:space="preserve">| 5 L JAVA % | 6 L CPT % | 7 P JAVA % | 9 L INE % </v>
      </c>
      <c r="CI98" s="4" t="str">
        <f ca="1">IFERROR(__xludf.DUMMYFUNCTION("""COMPUTED_VALUE"""),"| 5 L PHP-CGM @ | 7 L JAVA @ | 8 L CPT @ ")</f>
        <v xml:space="preserve">| 5 L PHP-CGM @ | 7 L JAVA @ | 8 L CPT @ </v>
      </c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</row>
    <row r="99" spans="1:102" ht="12.5" x14ac:dyDescent="0.25">
      <c r="A99" s="3">
        <f ca="1">IFERROR(__xludf.DUMMYFUNCTION("""COMPUTED_VALUE"""),2)</f>
        <v>2</v>
      </c>
      <c r="B99" s="3" t="str">
        <f ca="1">IFERROR(__xludf.DUMMYFUNCTION("""COMPUTED_VALUE"""),"B")</f>
        <v>B</v>
      </c>
      <c r="C99" s="32" t="str">
        <f ca="1">IFERROR(__xludf.DUMMYFUNCTION("""COMPUTED_VALUE"""),"23291341040")</f>
        <v>23291341040</v>
      </c>
      <c r="D99" s="4" t="str">
        <f ca="1">IFERROR(__xludf.DUMMYFUNCTION("""COMPUTED_VALUE"""),"GAVLI NAYNABEN BHAVURAMBHAI")</f>
        <v>GAVLI NAYNABEN BHAVURAMBHAI</v>
      </c>
      <c r="E99" s="3" t="str">
        <f ca="1">IFERROR(__xludf.DUMMYFUNCTION("""COMPUTED_VALUE"""),"HAM/HDP-EVE")</f>
        <v>HAM/HDP-EVE</v>
      </c>
      <c r="F99" s="3">
        <f ca="1">IFERROR(__xludf.DUMMYFUNCTION("""COMPUTED_VALUE"""),8830649522)</f>
        <v>8830649522</v>
      </c>
      <c r="G99" s="3">
        <f ca="1">IFERROR(__xludf.DUMMYFUNCTION("""COMPUTED_VALUE"""),9327168493)</f>
        <v>9327168493</v>
      </c>
      <c r="H99" s="33">
        <f ca="1">IFERROR(__xludf.DUMMYFUNCTION("""COMPUTED_VALUE"""),0.886363636363636)</f>
        <v>0.88636363636363602</v>
      </c>
      <c r="I99" s="25">
        <f ca="1">IFERROR(__xludf.DUMMYFUNCTION("""COMPUTED_VALUE"""),0.864864864864864)</f>
        <v>0.86486486486486402</v>
      </c>
      <c r="J99" s="25">
        <f ca="1">IFERROR(__xludf.DUMMYFUNCTION("""COMPUTED_VALUE"""),0.833333333333333)</f>
        <v>0.83333333333333304</v>
      </c>
      <c r="K99" s="25">
        <f ca="1">IFERROR(__xludf.DUMMYFUNCTION("""COMPUTED_VALUE"""),0.852941176470588)</f>
        <v>0.85294117647058798</v>
      </c>
      <c r="L99" s="25">
        <f ca="1">IFERROR(__xludf.DUMMYFUNCTION("""COMPUTED_VALUE"""),0.857142857142857)</f>
        <v>0.85714285714285698</v>
      </c>
      <c r="M99" s="25">
        <f ca="1">IFERROR(__xludf.DUMMYFUNCTION("""COMPUTED_VALUE"""),0.942857142857142)</f>
        <v>0.94285714285714195</v>
      </c>
      <c r="N99" s="25">
        <f ca="1">IFERROR(__xludf.DUMMYFUNCTION("""COMPUTED_VALUE"""),0.666666666666666)</f>
        <v>0.66666666666666596</v>
      </c>
      <c r="O99" s="25">
        <f ca="1">IFERROR(__xludf.DUMMYFUNCTION("""COMPUTED_VALUE"""),0.942857142857142)</f>
        <v>0.94285714285714195</v>
      </c>
      <c r="P99" s="25">
        <f ca="1">IFERROR(__xludf.DUMMYFUNCTION("""COMPUTED_VALUE"""),1)</f>
        <v>1</v>
      </c>
      <c r="Q99" s="25">
        <f ca="1">IFERROR(__xludf.DUMMYFUNCTION("""COMPUTED_VALUE"""),0)</f>
        <v>0</v>
      </c>
      <c r="R99" s="25">
        <f ca="1">IFERROR(__xludf.DUMMYFUNCTION("""COMPUTED_VALUE"""),0.866666666666666)</f>
        <v>0.86666666666666603</v>
      </c>
      <c r="S99" s="25">
        <f ca="1">IFERROR(__xludf.DUMMYFUNCTION("""COMPUTED_VALUE"""),0)</f>
        <v>0</v>
      </c>
      <c r="T99" s="25">
        <f ca="1">IFERROR(__xludf.DUMMYFUNCTION("""COMPUTED_VALUE"""),0.857142857142857)</f>
        <v>0.85714285714285698</v>
      </c>
      <c r="U99" s="25">
        <f ca="1">IFERROR(__xludf.DUMMYFUNCTION("""COMPUTED_VALUE"""),0.75)</f>
        <v>0.75</v>
      </c>
      <c r="V99" s="25">
        <f ca="1">IFERROR(__xludf.DUMMYFUNCTION("""COMPUTED_VALUE"""),0)</f>
        <v>0</v>
      </c>
      <c r="W99" s="4"/>
      <c r="X99" s="4" t="str">
        <f ca="1">IFERROR(__xludf.DUMMYFUNCTION("""COMPUTED_VALUE"""),"| 5 P PHP-CGM @ | 7 L CPT @ | 8 L NS @ | 9 P Python @ ")</f>
        <v xml:space="preserve">| 5 P PHP-CGM @ | 7 L CPT @ | 8 L NS @ | 9 P Python @ </v>
      </c>
      <c r="Y99" s="4" t="str">
        <f ca="1">IFERROR(__xludf.DUMMYFUNCTION("""COMPUTED_VALUE"""),"| 5 L PHP-CGM % | 6 L NS % | 8 P CPT % | 9 P PRO % ")</f>
        <v xml:space="preserve">| 5 L PHP-CGM % | 6 L NS % | 8 P CPT % | 9 P PRO % </v>
      </c>
      <c r="Z99" s="4" t="str">
        <f ca="1">IFERROR(__xludf.DUMMYFUNCTION("""COMPUTED_VALUE"""),"| 5 L JAVA % | 6 L CPT % | 7 P JAVA % ")</f>
        <v xml:space="preserve">| 5 L JAVA % | 6 L CPT % | 7 P JAVA % </v>
      </c>
      <c r="AA99" s="4" t="str">
        <f ca="1">IFERROR(__xludf.DUMMYFUNCTION("""COMPUTED_VALUE"""),"| 5 L PHP-CGM % | 7 L JAVA % | 9 P Python % | 8 L CPT % ")</f>
        <v xml:space="preserve">| 5 L PHP-CGM % | 7 L JAVA % | 9 P Python % | 8 L CPT % </v>
      </c>
      <c r="AB99" s="4" t="str">
        <f ca="1">IFERROR(__xludf.DUMMYFUNCTION("""COMPUTED_VALUE"""),"| 5 P JAVA % | 7 L PHP-CGM % | 8 L JAVA % | 9 P NS % ")</f>
        <v xml:space="preserve">| 5 P JAVA % | 7 L PHP-CGM % | 8 L JAVA % | 9 P NS % </v>
      </c>
      <c r="AC99" s="4" t="str">
        <f ca="1">IFERROR(__xludf.DUMMYFUNCTION("""COMPUTED_VALUE"""),"| 5 P PHP-CGM % | 7 L CPT % | 8 L NS % | 9 P Python % ")</f>
        <v xml:space="preserve">| 5 P PHP-CGM % | 7 L CPT % | 8 L NS % | 9 P Python % </v>
      </c>
      <c r="AD99" s="4" t="str">
        <f ca="1">IFERROR(__xludf.DUMMYFUNCTION("""COMPUTED_VALUE"""),"| 5 L PHP-CGM % | 6 L NS % | 7 P CPT % ")</f>
        <v xml:space="preserve">| 5 L PHP-CGM % | 6 L NS % | 7 P CPT % </v>
      </c>
      <c r="AE99" s="4" t="str">
        <f ca="1">IFERROR(__xludf.DUMMYFUNCTION("""COMPUTED_VALUE"""),"| 5 L JAVA % | 6 L CPT % | 7 P JAVA % ")</f>
        <v xml:space="preserve">| 5 L JAVA % | 6 L CPT % | 7 P JAVA % </v>
      </c>
      <c r="AF9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99" s="4" t="str">
        <f ca="1">IFERROR(__xludf.DUMMYFUNCTION("""COMPUTED_VALUE"""),"| 5 P JAVA % | 8 L JAVA % | 7 L PHP-CGM % ")</f>
        <v xml:space="preserve">| 5 P JAVA % | 8 L JAVA % | 7 L PHP-CGM % </v>
      </c>
      <c r="AH99" s="4" t="str">
        <f ca="1">IFERROR(__xludf.DUMMYFUNCTION("""COMPUTED_VALUE"""),"| 5 L PHP-CGM % | 6 L NS % | 7 L JAVA % | 8 L CPT % ")</f>
        <v xml:space="preserve">| 5 L PHP-CGM % | 6 L NS % | 7 L JAVA % | 8 L CPT % </v>
      </c>
      <c r="AI99" s="4" t="str">
        <f ca="1">IFERROR(__xludf.DUMMYFUNCTION("""COMPUTED_VALUE"""),"| 5 P JAVA % | 8 L JAVA % | 7 L PHP-CGM % | 9 P NS % ")</f>
        <v xml:space="preserve">| 5 P JAVA % | 8 L JAVA % | 7 L PHP-CGM % | 9 P NS % </v>
      </c>
      <c r="AJ99" s="4" t="str">
        <f ca="1">IFERROR(__xludf.DUMMYFUNCTION("""COMPUTED_VALUE"""),"| 5 P PHP-CGM % | 7 L CPT % | 8 L NS % | 9 P Python % ")</f>
        <v xml:space="preserve">| 5 P PHP-CGM % | 7 L CPT % | 8 L NS % | 9 P Python % </v>
      </c>
      <c r="AK99" s="4" t="str">
        <f ca="1">IFERROR(__xludf.DUMMYFUNCTION("""COMPUTED_VALUE"""),"| 5 L PHP-CGM % | 6 L NS % | 7 P CPT % | 9 P PRO % ")</f>
        <v xml:space="preserve">| 5 L PHP-CGM % | 6 L NS % | 7 P CPT % | 9 P PRO % </v>
      </c>
      <c r="AL99" s="4" t="str">
        <f ca="1">IFERROR(__xludf.DUMMYFUNCTION("""COMPUTED_VALUE"""),"| 5 L JAVA % | 6 L CPT % | 7 P JAVA % | 9 L INE @ ")</f>
        <v xml:space="preserve">| 5 L JAVA % | 6 L CPT % | 7 P JAVA % | 9 L INE @ </v>
      </c>
      <c r="AM9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99" s="4" t="str">
        <f ca="1">IFERROR(__xludf.DUMMYFUNCTION("""COMPUTED_VALUE"""),"| 5 P JAVA % | 8 L JAVA % | 7 L PHP-CGM % | 9 P NS % ")</f>
        <v xml:space="preserve">| 5 P JAVA % | 8 L JAVA % | 7 L PHP-CGM % | 9 P NS % </v>
      </c>
      <c r="AO99" s="4" t="str">
        <f ca="1">IFERROR(__xludf.DUMMYFUNCTION("""COMPUTED_VALUE"""),"| 5 P PHP-CGM % | 7 L CPT % | 8 L NS % | 9 P Python % ")</f>
        <v xml:space="preserve">| 5 P PHP-CGM % | 7 L CPT % | 8 L NS % | 9 P Python % </v>
      </c>
      <c r="AP99" s="4" t="str">
        <f ca="1">IFERROR(__xludf.DUMMYFUNCTION("""COMPUTED_VALUE"""),"| 5 L PHP-CGM % | 6 L NS % | 7 P CPT % | 9 P PRO % ")</f>
        <v xml:space="preserve">| 5 L PHP-CGM % | 6 L NS % | 7 P CPT % | 9 P PRO % </v>
      </c>
      <c r="AQ99" s="4" t="str">
        <f ca="1">IFERROR(__xludf.DUMMYFUNCTION("""COMPUTED_VALUE"""),"| 5 L CPT % | 7 L JAVA % | 7 P JAVA % | 9 L INE % ")</f>
        <v xml:space="preserve">| 5 L CPT % | 7 L JAVA % | 7 P JAVA % | 9 L INE % </v>
      </c>
      <c r="AR99" s="4" t="str">
        <f ca="1">IFERROR(__xludf.DUMMYFUNCTION("""COMPUTED_VALUE"""),"| 5 L PHP-CGM % | 6 L NS % | 8 L CPT @ ")</f>
        <v xml:space="preserve">| 5 L PHP-CGM % | 6 L NS % | 8 L CPT @ </v>
      </c>
      <c r="AS99" s="4" t="str">
        <f ca="1">IFERROR(__xludf.DUMMYFUNCTION("""COMPUTED_VALUE"""),"| 5 P PHP-CGM % | 7 L CPT % | 8 L NS % | 9 P Python % ")</f>
        <v xml:space="preserve">| 5 P PHP-CGM % | 7 L CPT % | 8 L NS % | 9 P Python % </v>
      </c>
      <c r="AT99" s="4" t="str">
        <f ca="1">IFERROR(__xludf.DUMMYFUNCTION("""COMPUTED_VALUE"""),"| 5 L PHP-CGM % | 6 L NS % | 7 P CPT % | 9 P PRO % ")</f>
        <v xml:space="preserve">| 5 L PHP-CGM % | 6 L NS % | 7 P CPT % | 9 P PRO % </v>
      </c>
      <c r="AU99" s="4" t="str">
        <f ca="1">IFERROR(__xludf.DUMMYFUNCTION("""COMPUTED_VALUE"""),"| 5 L JAVA % | 6 L CPT % | 8 P JAVA % | 9 L INE % ")</f>
        <v xml:space="preserve">| 5 L JAVA % | 6 L CPT % | 8 P JAVA % | 9 L INE % </v>
      </c>
      <c r="AV99" s="4" t="str">
        <f ca="1">IFERROR(__xludf.DUMMYFUNCTION("""COMPUTED_VALUE"""),"| 5 L PHP-CGM % | 6 L NS % | 7 L JAVA % | 8 L CPT % ")</f>
        <v xml:space="preserve">| 5 L PHP-CGM % | 6 L NS % | 7 L JAVA % | 8 L CPT % </v>
      </c>
      <c r="AW99" s="4" t="str">
        <f ca="1">IFERROR(__xludf.DUMMYFUNCTION("""COMPUTED_VALUE"""),"| 5 P JAVA % | 7 L PHP-CGM % | 8 L JAVA % | 9 P NS % ")</f>
        <v xml:space="preserve">| 5 P JAVA % | 7 L PHP-CGM % | 8 L JAVA % | 9 P NS % </v>
      </c>
      <c r="AX99" s="4" t="str">
        <f ca="1">IFERROR(__xludf.DUMMYFUNCTION("""COMPUTED_VALUE"""),"| 5 P PHP-CGM % | 7 L CPT % | 8 L NS % | 9 P Python % ")</f>
        <v xml:space="preserve">| 5 P PHP-CGM % | 7 L CPT % | 8 L NS % | 9 P Python % </v>
      </c>
      <c r="AY99" s="4" t="str">
        <f ca="1">IFERROR(__xludf.DUMMYFUNCTION("""COMPUTED_VALUE"""),"| 5 L PHP-CGM % | 6 L NS % | 7 P CPT % | 9 P PRO % ")</f>
        <v xml:space="preserve">| 5 L PHP-CGM % | 6 L NS % | 7 P CPT % | 9 P PRO % </v>
      </c>
      <c r="AZ99" s="4" t="str">
        <f ca="1">IFERROR(__xludf.DUMMYFUNCTION("""COMPUTED_VALUE"""),"| 5 L PHP-CGM % | 6 L NS % | 7 L JAVA % | 8 L CPT % ")</f>
        <v xml:space="preserve">| 5 L PHP-CGM % | 6 L NS % | 7 L JAVA % | 8 L CPT % </v>
      </c>
      <c r="BA99" s="4" t="str">
        <f ca="1">IFERROR(__xludf.DUMMYFUNCTION("""COMPUTED_VALUE"""),"| 5 P JAVA % | 7 L PHP-CGM % | 8 L JAVA % ")</f>
        <v xml:space="preserve">| 5 P JAVA % | 7 L PHP-CGM % | 8 L JAVA % </v>
      </c>
      <c r="BB99" s="4" t="str">
        <f ca="1">IFERROR(__xludf.DUMMYFUNCTION("""COMPUTED_VALUE"""),"| 5 P PHP-CGM % | 7 L CPT % | 8 L NS % ")</f>
        <v xml:space="preserve">| 5 P PHP-CGM % | 7 L CPT % | 8 L NS % </v>
      </c>
      <c r="BC99" s="4" t="str">
        <f ca="1">IFERROR(__xludf.DUMMYFUNCTION("""COMPUTED_VALUE"""),"| 5 L PHP-CGM % | 6 L NS % | 7 P CPT % | 9 P PRO @ ")</f>
        <v xml:space="preserve">| 5 L PHP-CGM % | 6 L NS % | 7 P CPT % | 9 P PRO @ </v>
      </c>
      <c r="BD99" s="4" t="str">
        <f ca="1">IFERROR(__xludf.DUMMYFUNCTION("""COMPUTED_VALUE"""),"| 5 L JAVA % | 6 L CPT % | 7 P JAVA % | 9 L INE % ")</f>
        <v xml:space="preserve">| 5 L JAVA % | 6 L CPT % | 7 P JAVA % | 9 L INE % </v>
      </c>
      <c r="BE9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99" s="4" t="str">
        <f ca="1">IFERROR(__xludf.DUMMYFUNCTION("""COMPUTED_VALUE"""),"| 5 P JAVA % | 7 L PHP-CGM % | 8 L JAVA % | 9 P NS @ ")</f>
        <v xml:space="preserve">| 5 P JAVA % | 7 L PHP-CGM % | 8 L JAVA % | 9 P NS @ </v>
      </c>
      <c r="BG99" s="4" t="str">
        <f ca="1">IFERROR(__xludf.DUMMYFUNCTION("""COMPUTED_VALUE"""),"| 5 L PHP-CGM % | 6 L NS % | 7 P CPT % | 9 P PRO % ")</f>
        <v xml:space="preserve">| 5 L PHP-CGM % | 6 L NS % | 7 P CPT % | 9 P PRO % </v>
      </c>
      <c r="BH99" s="4" t="str">
        <f ca="1">IFERROR(__xludf.DUMMYFUNCTION("""COMPUTED_VALUE"""),"| 5 L JAVA % | 6 L CPT % | 7 P JAVA % | 9 L INE % ")</f>
        <v xml:space="preserve">| 5 L JAVA % | 6 L CPT % | 7 P JAVA % | 9 L INE % </v>
      </c>
      <c r="BI9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99" s="4" t="str">
        <f ca="1">IFERROR(__xludf.DUMMYFUNCTION("""COMPUTED_VALUE"""),"| 5 P JAVA % | 7 L JAVA % | 7 L PHP-CGM % ")</f>
        <v xml:space="preserve">| 5 P JAVA % | 7 L JAVA % | 7 L PHP-CGM % </v>
      </c>
      <c r="BK99" s="4" t="str">
        <f ca="1">IFERROR(__xludf.DUMMYFUNCTION("""COMPUTED_VALUE"""),"| 7 L CPT % | 8 L NS @ ")</f>
        <v xml:space="preserve">| 7 L CPT % | 8 L NS @ </v>
      </c>
      <c r="BL99" s="4" t="str">
        <f ca="1">IFERROR(__xludf.DUMMYFUNCTION("""COMPUTED_VALUE"""),"| 5 L PHP-CGM % | 6 L NS % | 7 P CPT @ ")</f>
        <v xml:space="preserve">| 5 L PHP-CGM % | 6 L NS % | 7 P CPT @ </v>
      </c>
      <c r="BM99" s="4" t="str">
        <f ca="1">IFERROR(__xludf.DUMMYFUNCTION("""COMPUTED_VALUE"""),"| 5 L JAVA % | 6 L CPT % | 9 L INE @ ")</f>
        <v xml:space="preserve">| 5 L JAVA % | 6 L CPT % | 9 L INE @ </v>
      </c>
      <c r="BN99" s="4" t="str">
        <f ca="1">IFERROR(__xludf.DUMMYFUNCTION("""COMPUTED_VALUE"""),"| 5 L PHP-CGM % | 6 L NS % | 9 L JAVA % | 8 L CPT % ")</f>
        <v xml:space="preserve">| 5 L PHP-CGM % | 6 L NS % | 9 L JAVA % | 8 L CPT % </v>
      </c>
      <c r="BO99" s="4" t="str">
        <f ca="1">IFERROR(__xludf.DUMMYFUNCTION("""COMPUTED_VALUE"""),"| 5 P JAVA % | 7 L PHP-CGM % ")</f>
        <v xml:space="preserve">| 5 P JAVA % | 7 L PHP-CGM % </v>
      </c>
      <c r="BP99" s="4" t="str">
        <f ca="1">IFERROR(__xludf.DUMMYFUNCTION("""COMPUTED_VALUE"""),"| 5 P PHP-CGM @ | 7 L CPT % | 8 L NS @ ")</f>
        <v xml:space="preserve">| 5 P PHP-CGM @ | 7 L CPT % | 8 L NS @ </v>
      </c>
      <c r="BQ99" s="4" t="str">
        <f ca="1">IFERROR(__xludf.DUMMYFUNCTION("""COMPUTED_VALUE"""),"| 5 L JAVA % | 6 L CPT % ")</f>
        <v xml:space="preserve">| 5 L JAVA % | 6 L CPT % </v>
      </c>
      <c r="BR99" s="4" t="str">
        <f ca="1">IFERROR(__xludf.DUMMYFUNCTION("""COMPUTED_VALUE"""),"| 7 L JAVA @ ")</f>
        <v xml:space="preserve">| 7 L JAVA @ </v>
      </c>
      <c r="BS99" s="4"/>
      <c r="BT99" s="4" t="str">
        <f ca="1">IFERROR(__xludf.DUMMYFUNCTION("""COMPUTED_VALUE"""),"| 7 L CPT @ ")</f>
        <v xml:space="preserve">| 7 L CPT @ </v>
      </c>
      <c r="BU99" s="4" t="str">
        <f ca="1">IFERROR(__xludf.DUMMYFUNCTION("""COMPUTED_VALUE"""),"| 7 P CPT @ ")</f>
        <v xml:space="preserve">| 7 P CPT @ </v>
      </c>
      <c r="BV99" s="4" t="str">
        <f ca="1">IFERROR(__xludf.DUMMYFUNCTION("""COMPUTED_VALUE"""),"| 5 P PHP-CGM @ | 7 L CPT @ | 8 L NS @ | 9 P Python @ ")</f>
        <v xml:space="preserve">| 5 P PHP-CGM @ | 7 L CPT @ | 8 L NS @ | 9 P Python @ </v>
      </c>
      <c r="BW99" s="4"/>
      <c r="BX99" s="4" t="str">
        <f ca="1">IFERROR(__xludf.DUMMYFUNCTION("""COMPUTED_VALUE"""),"| 5 L JAVA % | 6 L CPT % | 7 P JAVA % ")</f>
        <v xml:space="preserve">| 5 L JAVA % | 6 L CPT % | 7 P JAVA % </v>
      </c>
      <c r="BY9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99" s="4" t="str">
        <f ca="1">IFERROR(__xludf.DUMMYFUNCTION("""COMPUTED_VALUE"""),"| 5 P JAVA % | 8 L JAVA % | 7 L PHP-CGM % | 9 P NS % ")</f>
        <v xml:space="preserve">| 5 P JAVA % | 8 L JAVA % | 7 L PHP-CGM % | 9 P NS % </v>
      </c>
      <c r="CA99" s="4" t="str">
        <f ca="1">IFERROR(__xludf.DUMMYFUNCTION("""COMPUTED_VALUE"""),"| 7 L CPT % | 8 L NS % | 9 P Python % ")</f>
        <v xml:space="preserve">| 7 L CPT % | 8 L NS % | 9 P Python % </v>
      </c>
      <c r="CB99" s="4" t="str">
        <f ca="1">IFERROR(__xludf.DUMMYFUNCTION("""COMPUTED_VALUE"""),"| 5 L PHP-CGM % | 6 L NS % | 7 P CPT % ")</f>
        <v xml:space="preserve">| 5 L PHP-CGM % | 6 L NS % | 7 P CPT % </v>
      </c>
      <c r="CC99" s="4" t="str">
        <f ca="1">IFERROR(__xludf.DUMMYFUNCTION("""COMPUTED_VALUE"""),"| 5 L JAVA % | 7 P JAVA % | 9 L INE % ")</f>
        <v xml:space="preserve">| 5 L JAVA % | 7 P JAVA % | 9 L INE % </v>
      </c>
      <c r="CD99" s="4" t="str">
        <f ca="1">IFERROR(__xludf.DUMMYFUNCTION("""COMPUTED_VALUE"""),"| 5 L PHP-CGM % | 6 L NS % | 7 L JAVA % | 8 L CPT % ")</f>
        <v xml:space="preserve">| 5 L PHP-CGM % | 6 L NS % | 7 L JAVA % | 8 L CPT % </v>
      </c>
      <c r="CE99" s="4" t="str">
        <f ca="1">IFERROR(__xludf.DUMMYFUNCTION("""COMPUTED_VALUE"""),"| 5 P JAVA % | 8 L JAVA % | 7 L PHP-CGM % | 9 P NS % ")</f>
        <v xml:space="preserve">| 5 P JAVA % | 8 L JAVA % | 7 L PHP-CGM % | 9 P NS % </v>
      </c>
      <c r="CF99" s="4" t="str">
        <f ca="1">IFERROR(__xludf.DUMMYFUNCTION("""COMPUTED_VALUE"""),"| 7 L CPT % | 8 L NS % | 9 P Python % ")</f>
        <v xml:space="preserve">| 7 L CPT % | 8 L NS % | 9 P Python % </v>
      </c>
      <c r="CG99" s="4" t="str">
        <f ca="1">IFERROR(__xludf.DUMMYFUNCTION("""COMPUTED_VALUE"""),"| 5 L PHP-CGM @ | 6 L NS @ | 7 P CPT % ")</f>
        <v xml:space="preserve">| 5 L PHP-CGM @ | 6 L NS @ | 7 P CPT % </v>
      </c>
      <c r="CH99" s="4" t="str">
        <f ca="1">IFERROR(__xludf.DUMMYFUNCTION("""COMPUTED_VALUE"""),"| 5 L JAVA % | 6 L CPT % | 7 P JAVA % | 9 L INE % ")</f>
        <v xml:space="preserve">| 5 L JAVA % | 6 L CPT % | 7 P JAVA % | 9 L INE % </v>
      </c>
      <c r="CI99" s="4" t="str">
        <f ca="1">IFERROR(__xludf.DUMMYFUNCTION("""COMPUTED_VALUE"""),"| 5 L PHP-CGM @ | 7 L JAVA @ | 8 L CPT @ ")</f>
        <v xml:space="preserve">| 5 L PHP-CGM @ | 7 L JAVA @ | 8 L CPT @ </v>
      </c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</row>
    <row r="100" spans="1:102" ht="12.5" x14ac:dyDescent="0.25">
      <c r="A100" s="3">
        <f ca="1">IFERROR(__xludf.DUMMYFUNCTION("""COMPUTED_VALUE"""),2)</f>
        <v>2</v>
      </c>
      <c r="B100" s="3" t="str">
        <f ca="1">IFERROR(__xludf.DUMMYFUNCTION("""COMPUTED_VALUE"""),"B")</f>
        <v>B</v>
      </c>
      <c r="C100" s="32" t="str">
        <f ca="1">IFERROR(__xludf.DUMMYFUNCTION("""COMPUTED_VALUE"""),"23291341042")</f>
        <v>23291341042</v>
      </c>
      <c r="D100" s="4" t="str">
        <f ca="1">IFERROR(__xludf.DUMMYFUNCTION("""COMPUTED_VALUE"""),"GOSWAMI DIVYA NARESHBHARTHI")</f>
        <v>GOSWAMI DIVYA NARESHBHARTHI</v>
      </c>
      <c r="E100" s="3" t="str">
        <f ca="1">IFERROR(__xludf.DUMMYFUNCTION("""COMPUTED_VALUE"""),"HAM/HDP-EVE")</f>
        <v>HAM/HDP-EVE</v>
      </c>
      <c r="F100" s="3">
        <f ca="1">IFERROR(__xludf.DUMMYFUNCTION("""COMPUTED_VALUE"""),6351397247)</f>
        <v>6351397247</v>
      </c>
      <c r="G100" s="3">
        <f ca="1">IFERROR(__xludf.DUMMYFUNCTION("""COMPUTED_VALUE"""),8401537566)</f>
        <v>8401537566</v>
      </c>
      <c r="H100" s="33">
        <f ca="1">IFERROR(__xludf.DUMMYFUNCTION("""COMPUTED_VALUE"""),0.522727272727272)</f>
        <v>0.52272727272727204</v>
      </c>
      <c r="I100" s="25">
        <f ca="1">IFERROR(__xludf.DUMMYFUNCTION("""COMPUTED_VALUE"""),0.513513513513513)</f>
        <v>0.51351351351351304</v>
      </c>
      <c r="J100" s="25">
        <f ca="1">IFERROR(__xludf.DUMMYFUNCTION("""COMPUTED_VALUE"""),0.333333333333333)</f>
        <v>0.33333333333333298</v>
      </c>
      <c r="K100" s="25">
        <f ca="1">IFERROR(__xludf.DUMMYFUNCTION("""COMPUTED_VALUE"""),0.558823529411764)</f>
        <v>0.55882352941176405</v>
      </c>
      <c r="L100" s="25">
        <f ca="1">IFERROR(__xludf.DUMMYFUNCTION("""COMPUTED_VALUE"""),0.142857142857142)</f>
        <v>0.14285714285714199</v>
      </c>
      <c r="M100" s="25">
        <f ca="1">IFERROR(__xludf.DUMMYFUNCTION("""COMPUTED_VALUE"""),0.628571428571428)</f>
        <v>0.628571428571428</v>
      </c>
      <c r="N100" s="25">
        <f ca="1">IFERROR(__xludf.DUMMYFUNCTION("""COMPUTED_VALUE"""),0.777777777777777)</f>
        <v>0.77777777777777701</v>
      </c>
      <c r="O100" s="25">
        <f ca="1">IFERROR(__xludf.DUMMYFUNCTION("""COMPUTED_VALUE"""),0.628571428571428)</f>
        <v>0.628571428571428</v>
      </c>
      <c r="P100" s="25">
        <f ca="1">IFERROR(__xludf.DUMMYFUNCTION("""COMPUTED_VALUE"""),0.714285714285714)</f>
        <v>0.71428571428571397</v>
      </c>
      <c r="Q100" s="25">
        <f ca="1">IFERROR(__xludf.DUMMYFUNCTION("""COMPUTED_VALUE"""),0)</f>
        <v>0</v>
      </c>
      <c r="R100" s="25">
        <f ca="1">IFERROR(__xludf.DUMMYFUNCTION("""COMPUTED_VALUE"""),0.266666666666666)</f>
        <v>0.266666666666666</v>
      </c>
      <c r="S100" s="25">
        <f ca="1">IFERROR(__xludf.DUMMYFUNCTION("""COMPUTED_VALUE"""),0)</f>
        <v>0</v>
      </c>
      <c r="T100" s="25">
        <f ca="1">IFERROR(__xludf.DUMMYFUNCTION("""COMPUTED_VALUE"""),0)</f>
        <v>0</v>
      </c>
      <c r="U100" s="25">
        <f ca="1">IFERROR(__xludf.DUMMYFUNCTION("""COMPUTED_VALUE"""),0.25)</f>
        <v>0.25</v>
      </c>
      <c r="V100" s="25">
        <f ca="1">IFERROR(__xludf.DUMMYFUNCTION("""COMPUTED_VALUE"""),0)</f>
        <v>0</v>
      </c>
      <c r="W100" s="4"/>
      <c r="X100" s="4" t="str">
        <f ca="1">IFERROR(__xludf.DUMMYFUNCTION("""COMPUTED_VALUE"""),"| 5 P PHP-CGM @ | 7 L CPT @ | 8 L NS @ | 9 P Python @ ")</f>
        <v xml:space="preserve">| 5 P PHP-CGM @ | 7 L CPT @ | 8 L NS @ | 9 P Python @ </v>
      </c>
      <c r="Y100" s="4" t="str">
        <f ca="1">IFERROR(__xludf.DUMMYFUNCTION("""COMPUTED_VALUE"""),"| 5 L PHP-CGM @ | 6 L NS @ | 8 P CPT @ | 9 P PRO @ ")</f>
        <v xml:space="preserve">| 5 L PHP-CGM @ | 6 L NS @ | 8 P CPT @ | 9 P PRO @ </v>
      </c>
      <c r="Z100" s="4" t="str">
        <f ca="1">IFERROR(__xludf.DUMMYFUNCTION("""COMPUTED_VALUE"""),"| 5 L JAVA @ | 6 L CPT @ | 7 P JAVA @ ")</f>
        <v xml:space="preserve">| 5 L JAVA @ | 6 L CPT @ | 7 P JAVA @ </v>
      </c>
      <c r="AA100" s="4" t="str">
        <f ca="1">IFERROR(__xludf.DUMMYFUNCTION("""COMPUTED_VALUE"""),"| 5 L PHP-CGM % | 7 L JAVA % | 9 P Python % | 8 L CPT % ")</f>
        <v xml:space="preserve">| 5 L PHP-CGM % | 7 L JAVA % | 9 P Python % | 8 L CPT % </v>
      </c>
      <c r="AB100" s="4" t="str">
        <f ca="1">IFERROR(__xludf.DUMMYFUNCTION("""COMPUTED_VALUE"""),"| 5 P JAVA % | 7 L PHP-CGM % | 8 L JAVA % | 9 P NS % ")</f>
        <v xml:space="preserve">| 5 P JAVA % | 7 L PHP-CGM % | 8 L JAVA % | 9 P NS % </v>
      </c>
      <c r="AC100" s="4" t="str">
        <f ca="1">IFERROR(__xludf.DUMMYFUNCTION("""COMPUTED_VALUE"""),"| 5 P PHP-CGM % | 7 L CPT % | 8 L NS % | 9 P Python % ")</f>
        <v xml:space="preserve">| 5 P PHP-CGM % | 7 L CPT % | 8 L NS % | 9 P Python % </v>
      </c>
      <c r="AD100" s="4" t="str">
        <f ca="1">IFERROR(__xludf.DUMMYFUNCTION("""COMPUTED_VALUE"""),"| 5 L PHP-CGM % | 6 L NS % | 7 P CPT @ ")</f>
        <v xml:space="preserve">| 5 L PHP-CGM % | 6 L NS % | 7 P CPT @ </v>
      </c>
      <c r="AE100" s="4" t="str">
        <f ca="1">IFERROR(__xludf.DUMMYFUNCTION("""COMPUTED_VALUE"""),"| 5 L JAVA % | 6 L CPT % | 7 P JAVA % ")</f>
        <v xml:space="preserve">| 5 L JAVA % | 6 L CPT % | 7 P JAVA % </v>
      </c>
      <c r="AF100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00" s="4" t="str">
        <f ca="1">IFERROR(__xludf.DUMMYFUNCTION("""COMPUTED_VALUE"""),"| 5 P JAVA % | 8 L JAVA % | 7 L PHP-CGM % ")</f>
        <v xml:space="preserve">| 5 P JAVA % | 8 L JAVA % | 7 L PHP-CGM % </v>
      </c>
      <c r="AH100" s="4" t="str">
        <f ca="1">IFERROR(__xludf.DUMMYFUNCTION("""COMPUTED_VALUE"""),"| 5 L PHP-CGM % | 6 L NS % | 7 L JAVA % | 8 L CPT % ")</f>
        <v xml:space="preserve">| 5 L PHP-CGM % | 6 L NS % | 7 L JAVA % | 8 L CPT % </v>
      </c>
      <c r="AI100" s="4" t="str">
        <f ca="1">IFERROR(__xludf.DUMMYFUNCTION("""COMPUTED_VALUE"""),"| 5 P JAVA % | 8 L JAVA % | 7 L PHP-CGM % | 9 P NS @ ")</f>
        <v xml:space="preserve">| 5 P JAVA % | 8 L JAVA % | 7 L PHP-CGM % | 9 P NS @ </v>
      </c>
      <c r="AJ100" s="4" t="str">
        <f ca="1">IFERROR(__xludf.DUMMYFUNCTION("""COMPUTED_VALUE"""),"| 5 P PHP-CGM % | 7 L CPT % | 8 L NS % | 9 P Python @ ")</f>
        <v xml:space="preserve">| 5 P PHP-CGM % | 7 L CPT % | 8 L NS % | 9 P Python @ </v>
      </c>
      <c r="AK100" s="4" t="str">
        <f ca="1">IFERROR(__xludf.DUMMYFUNCTION("""COMPUTED_VALUE"""),"| 5 L PHP-CGM % | 6 L NS % | 7 P CPT % | 9 P PRO @ ")</f>
        <v xml:space="preserve">| 5 L PHP-CGM % | 6 L NS % | 7 P CPT % | 9 P PRO @ </v>
      </c>
      <c r="AL100" s="4" t="str">
        <f ca="1">IFERROR(__xludf.DUMMYFUNCTION("""COMPUTED_VALUE"""),"| 5 L JAVA % | 6 L CPT % | 7 P JAVA % | 9 L INE @ ")</f>
        <v xml:space="preserve">| 5 L JAVA % | 6 L CPT % | 7 P JAVA % | 9 L INE @ </v>
      </c>
      <c r="AM100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AN100" s="4" t="str">
        <f ca="1">IFERROR(__xludf.DUMMYFUNCTION("""COMPUTED_VALUE"""),"| 5 P JAVA @ | 8 L JAVA @ | 7 L PHP-CGM @ | 9 P NS @ ")</f>
        <v xml:space="preserve">| 5 P JAVA @ | 8 L JAVA @ | 7 L PHP-CGM @ | 9 P NS @ </v>
      </c>
      <c r="AO100" s="4" t="str">
        <f ca="1">IFERROR(__xludf.DUMMYFUNCTION("""COMPUTED_VALUE"""),"| 5 P PHP-CGM % | 7 L CPT % | 8 L NS % | 9 P Python @ ")</f>
        <v xml:space="preserve">| 5 P PHP-CGM % | 7 L CPT % | 8 L NS % | 9 P Python @ </v>
      </c>
      <c r="AP100" s="4" t="str">
        <f ca="1">IFERROR(__xludf.DUMMYFUNCTION("""COMPUTED_VALUE"""),"| 5 L PHP-CGM % | 6 L NS % | 7 P CPT % | 9 P PRO @ ")</f>
        <v xml:space="preserve">| 5 L PHP-CGM % | 6 L NS % | 7 P CPT % | 9 P PRO @ </v>
      </c>
      <c r="AQ100" s="4" t="str">
        <f ca="1">IFERROR(__xludf.DUMMYFUNCTION("""COMPUTED_VALUE"""),"| 5 L CPT % | 7 L JAVA % | 7 P JAVA % | 9 L INE @ ")</f>
        <v xml:space="preserve">| 5 L CPT % | 7 L JAVA % | 7 P JAVA % | 9 L INE @ </v>
      </c>
      <c r="AR100" s="4" t="str">
        <f ca="1">IFERROR(__xludf.DUMMYFUNCTION("""COMPUTED_VALUE"""),"| 5 L PHP-CGM % | 6 L NS % | 8 L CPT @ ")</f>
        <v xml:space="preserve">| 5 L PHP-CGM % | 6 L NS % | 8 L CPT @ </v>
      </c>
      <c r="AS100" s="4" t="str">
        <f ca="1">IFERROR(__xludf.DUMMYFUNCTION("""COMPUTED_VALUE"""),"| 5 P PHP-CGM % | 7 L CPT % | 8 L NS % | 9 P Python @ ")</f>
        <v xml:space="preserve">| 5 P PHP-CGM % | 7 L CPT % | 8 L NS % | 9 P Python @ </v>
      </c>
      <c r="AT100" s="4" t="str">
        <f ca="1">IFERROR(__xludf.DUMMYFUNCTION("""COMPUTED_VALUE"""),"| 5 L PHP-CGM % | 6 L NS % | 7 P CPT % | 9 P PRO @ ")</f>
        <v xml:space="preserve">| 5 L PHP-CGM % | 6 L NS % | 7 P CPT % | 9 P PRO @ </v>
      </c>
      <c r="AU100" s="4" t="str">
        <f ca="1">IFERROR(__xludf.DUMMYFUNCTION("""COMPUTED_VALUE"""),"| 5 L JAVA % | 6 L CPT % | 8 P JAVA % | 9 L INE % ")</f>
        <v xml:space="preserve">| 5 L JAVA % | 6 L CPT % | 8 P JAVA % | 9 L INE % </v>
      </c>
      <c r="AV100" s="4" t="str">
        <f ca="1">IFERROR(__xludf.DUMMYFUNCTION("""COMPUTED_VALUE"""),"| 5 L PHP-CGM % | 6 L NS % | 7 L JAVA @ | 8 L CPT @ ")</f>
        <v xml:space="preserve">| 5 L PHP-CGM % | 6 L NS % | 7 L JAVA @ | 8 L CPT @ </v>
      </c>
      <c r="AW100" s="4" t="str">
        <f ca="1">IFERROR(__xludf.DUMMYFUNCTION("""COMPUTED_VALUE"""),"| 5 P JAVA @ | 7 L PHP-CGM @ | 8 L JAVA @ | 9 P NS @ ")</f>
        <v xml:space="preserve">| 5 P JAVA @ | 7 L PHP-CGM @ | 8 L JAVA @ | 9 P NS @ </v>
      </c>
      <c r="AX100" s="4" t="str">
        <f ca="1">IFERROR(__xludf.DUMMYFUNCTION("""COMPUTED_VALUE"""),"| 5 P PHP-CGM % | 7 L CPT % | 8 L NS % | 9 P Python @ ")</f>
        <v xml:space="preserve">| 5 P PHP-CGM % | 7 L CPT % | 8 L NS % | 9 P Python @ </v>
      </c>
      <c r="AY100" s="4" t="str">
        <f ca="1">IFERROR(__xludf.DUMMYFUNCTION("""COMPUTED_VALUE"""),"| 5 L PHP-CGM @ | 6 L NS @ | 7 P CPT @ | 9 P PRO @ ")</f>
        <v xml:space="preserve">| 5 L PHP-CGM @ | 6 L NS @ | 7 P CPT @ | 9 P PRO @ </v>
      </c>
      <c r="AZ100" s="4" t="str">
        <f ca="1">IFERROR(__xludf.DUMMYFUNCTION("""COMPUTED_VALUE"""),"| 5 L PHP-CGM % | 6 L NS % | 7 L JAVA % | 8 L CPT % ")</f>
        <v xml:space="preserve">| 5 L PHP-CGM % | 6 L NS % | 7 L JAVA % | 8 L CPT % </v>
      </c>
      <c r="BA100" s="4" t="str">
        <f ca="1">IFERROR(__xludf.DUMMYFUNCTION("""COMPUTED_VALUE"""),"| 5 P JAVA % | 7 L PHP-CGM % | 8 L JAVA % ")</f>
        <v xml:space="preserve">| 5 P JAVA % | 7 L PHP-CGM % | 8 L JAVA % </v>
      </c>
      <c r="BB100" s="4" t="str">
        <f ca="1">IFERROR(__xludf.DUMMYFUNCTION("""COMPUTED_VALUE"""),"| 5 P PHP-CGM % | 7 L CPT @ | 8 L NS @ ")</f>
        <v xml:space="preserve">| 5 P PHP-CGM % | 7 L CPT @ | 8 L NS @ </v>
      </c>
      <c r="BC100" s="4" t="str">
        <f ca="1">IFERROR(__xludf.DUMMYFUNCTION("""COMPUTED_VALUE"""),"| 5 L PHP-CGM % | 6 L NS @ | 7 P CPT @ | 9 P PRO @ ")</f>
        <v xml:space="preserve">| 5 L PHP-CGM % | 6 L NS @ | 7 P CPT @ | 9 P PRO @ </v>
      </c>
      <c r="BD100" s="4" t="str">
        <f ca="1">IFERROR(__xludf.DUMMYFUNCTION("""COMPUTED_VALUE"""),"| 5 L JAVA % | 6 L CPT @ | 7 P JAVA % | 9 L INE % ")</f>
        <v xml:space="preserve">| 5 L JAVA % | 6 L CPT @ | 7 P JAVA % | 9 L INE % </v>
      </c>
      <c r="BE100" s="4" t="str">
        <f ca="1">IFERROR(__xludf.DUMMYFUNCTION("""COMPUTED_VALUE"""),"| 5 L PHP-CGM @ | 6 L NS @ | 7 L JAVA % | 8 L CPT @ | 9 P Python @ ")</f>
        <v xml:space="preserve">| 5 L PHP-CGM @ | 6 L NS @ | 7 L JAVA % | 8 L CPT @ | 9 P Python @ </v>
      </c>
      <c r="BF100" s="4" t="str">
        <f ca="1">IFERROR(__xludf.DUMMYFUNCTION("""COMPUTED_VALUE"""),"| 5 P JAVA % | 7 L PHP-CGM @ | 8 L JAVA @ | 9 P NS @ ")</f>
        <v xml:space="preserve">| 5 P JAVA % | 7 L PHP-CGM @ | 8 L JAVA @ | 9 P NS @ </v>
      </c>
      <c r="BG100" s="4" t="str">
        <f ca="1">IFERROR(__xludf.DUMMYFUNCTION("""COMPUTED_VALUE"""),"| 5 L PHP-CGM @ | 6 L NS @ | 7 P CPT @ | 9 P PRO @ ")</f>
        <v xml:space="preserve">| 5 L PHP-CGM @ | 6 L NS @ | 7 P CPT @ | 9 P PRO @ </v>
      </c>
      <c r="BH100" s="4" t="str">
        <f ca="1">IFERROR(__xludf.DUMMYFUNCTION("""COMPUTED_VALUE"""),"| 5 L JAVA % | 6 L CPT @ | 7 P JAVA % | 9 L INE @ ")</f>
        <v xml:space="preserve">| 5 L JAVA % | 6 L CPT @ | 7 P JAVA % | 9 L INE @ </v>
      </c>
      <c r="BI100" s="4" t="str">
        <f ca="1">IFERROR(__xludf.DUMMYFUNCTION("""COMPUTED_VALUE"""),"| 5 L PHP-CGM % | 6 L NS @ | 7 L JAVA % | 8 L CPT @ | 9 P Python @ ")</f>
        <v xml:space="preserve">| 5 L PHP-CGM % | 6 L NS @ | 7 L JAVA % | 8 L CPT @ | 9 P Python @ </v>
      </c>
      <c r="BJ100" s="4" t="str">
        <f ca="1">IFERROR(__xludf.DUMMYFUNCTION("""COMPUTED_VALUE"""),"| 5 P JAVA % | 7 L JAVA % | 7 L PHP-CGM % ")</f>
        <v xml:space="preserve">| 5 P JAVA % | 7 L JAVA % | 7 L PHP-CGM % </v>
      </c>
      <c r="BK100" s="4" t="str">
        <f ca="1">IFERROR(__xludf.DUMMYFUNCTION("""COMPUTED_VALUE"""),"| 7 L CPT @ | 8 L NS @ ")</f>
        <v xml:space="preserve">| 7 L CPT @ | 8 L NS @ </v>
      </c>
      <c r="BL100" s="4" t="str">
        <f ca="1">IFERROR(__xludf.DUMMYFUNCTION("""COMPUTED_VALUE"""),"| 5 L PHP-CGM @ | 6 L NS @ | 7 P CPT @ ")</f>
        <v xml:space="preserve">| 5 L PHP-CGM @ | 6 L NS @ | 7 P CPT @ </v>
      </c>
      <c r="BM100" s="4" t="str">
        <f ca="1">IFERROR(__xludf.DUMMYFUNCTION("""COMPUTED_VALUE"""),"| 5 L JAVA @ | 6 L CPT @ | 9 L INE @ ")</f>
        <v xml:space="preserve">| 5 L JAVA @ | 6 L CPT @ | 9 L INE @ </v>
      </c>
      <c r="BN100" s="4" t="str">
        <f ca="1">IFERROR(__xludf.DUMMYFUNCTION("""COMPUTED_VALUE"""),"| 5 L PHP-CGM @ | 6 L NS @ | 9 L JAVA @ | 8 L CPT @ ")</f>
        <v xml:space="preserve">| 5 L PHP-CGM @ | 6 L NS @ | 9 L JAVA @ | 8 L CPT @ </v>
      </c>
      <c r="BO100" s="4" t="str">
        <f ca="1">IFERROR(__xludf.DUMMYFUNCTION("""COMPUTED_VALUE"""),"| 5 P JAVA @ | 7 L PHP-CGM @ ")</f>
        <v xml:space="preserve">| 5 P JAVA @ | 7 L PHP-CGM @ </v>
      </c>
      <c r="BP100" s="4" t="str">
        <f ca="1">IFERROR(__xludf.DUMMYFUNCTION("""COMPUTED_VALUE"""),"| 5 P PHP-CGM @ | 7 L CPT @ | 8 L NS @ ")</f>
        <v xml:space="preserve">| 5 P PHP-CGM @ | 7 L CPT @ | 8 L NS @ </v>
      </c>
      <c r="BQ100" s="4" t="str">
        <f ca="1">IFERROR(__xludf.DUMMYFUNCTION("""COMPUTED_VALUE"""),"| 5 L JAVA @ | 6 L CPT @ ")</f>
        <v xml:space="preserve">| 5 L JAVA @ | 6 L CPT @ </v>
      </c>
      <c r="BR100" s="4" t="str">
        <f ca="1">IFERROR(__xludf.DUMMYFUNCTION("""COMPUTED_VALUE"""),"| 7 L JAVA @ ")</f>
        <v xml:space="preserve">| 7 L JAVA @ </v>
      </c>
      <c r="BS100" s="4"/>
      <c r="BT100" s="4" t="str">
        <f ca="1">IFERROR(__xludf.DUMMYFUNCTION("""COMPUTED_VALUE"""),"| 7 L CPT @ ")</f>
        <v xml:space="preserve">| 7 L CPT @ </v>
      </c>
      <c r="BU100" s="4" t="str">
        <f ca="1">IFERROR(__xludf.DUMMYFUNCTION("""COMPUTED_VALUE"""),"| 7 P CPT @ ")</f>
        <v xml:space="preserve">| 7 P CPT @ </v>
      </c>
      <c r="BV100" s="4" t="str">
        <f ca="1">IFERROR(__xludf.DUMMYFUNCTION("""COMPUTED_VALUE"""),"| 5 P PHP-CGM % | 7 L CPT % | 8 L NS % | 9 P Python @ ")</f>
        <v xml:space="preserve">| 5 P PHP-CGM % | 7 L CPT % | 8 L NS % | 9 P Python @ </v>
      </c>
      <c r="BW100" s="4"/>
      <c r="BX100" s="4" t="str">
        <f ca="1">IFERROR(__xludf.DUMMYFUNCTION("""COMPUTED_VALUE"""),"| 5 L JAVA @ | 6 L CPT @ | 7 P JAVA @ ")</f>
        <v xml:space="preserve">| 5 L JAVA @ | 6 L CPT @ | 7 P JAVA @ </v>
      </c>
      <c r="BY100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BZ100" s="4" t="str">
        <f ca="1">IFERROR(__xludf.DUMMYFUNCTION("""COMPUTED_VALUE"""),"| 5 P JAVA % | 8 L JAVA % | 7 L PHP-CGM % | 9 P NS @ ")</f>
        <v xml:space="preserve">| 5 P JAVA % | 8 L JAVA % | 7 L PHP-CGM % | 9 P NS @ </v>
      </c>
      <c r="CA100" s="4" t="str">
        <f ca="1">IFERROR(__xludf.DUMMYFUNCTION("""COMPUTED_VALUE"""),"| 7 L CPT @ | 8 L NS @ | 9 P Python @ ")</f>
        <v xml:space="preserve">| 7 L CPT @ | 8 L NS @ | 9 P Python @ </v>
      </c>
      <c r="CB100" s="4" t="str">
        <f ca="1">IFERROR(__xludf.DUMMYFUNCTION("""COMPUTED_VALUE"""),"| 5 L PHP-CGM @ | 6 L NS @ | 7 P CPT @ ")</f>
        <v xml:space="preserve">| 5 L PHP-CGM @ | 6 L NS @ | 7 P CPT @ </v>
      </c>
      <c r="CC100" s="4" t="str">
        <f ca="1">IFERROR(__xludf.DUMMYFUNCTION("""COMPUTED_VALUE"""),"| 5 L JAVA @ | 7 P JAVA @ | 9 L INE @ ")</f>
        <v xml:space="preserve">| 5 L JAVA @ | 7 P JAVA @ | 9 L INE @ </v>
      </c>
      <c r="CD100" s="4" t="str">
        <f ca="1">IFERROR(__xludf.DUMMYFUNCTION("""COMPUTED_VALUE"""),"| 5 L PHP-CGM @ | 6 L NS @ | 7 L JAVA @ | 8 L CPT @ ")</f>
        <v xml:space="preserve">| 5 L PHP-CGM @ | 6 L NS @ | 7 L JAVA @ | 8 L CPT @ </v>
      </c>
      <c r="CE100" s="4" t="str">
        <f ca="1">IFERROR(__xludf.DUMMYFUNCTION("""COMPUTED_VALUE"""),"| 5 P JAVA % | 8 L JAVA @ | 7 L PHP-CGM @ | 9 P NS @ ")</f>
        <v xml:space="preserve">| 5 P JAVA % | 8 L JAVA @ | 7 L PHP-CGM @ | 9 P NS @ </v>
      </c>
      <c r="CF100" s="4" t="str">
        <f ca="1">IFERROR(__xludf.DUMMYFUNCTION("""COMPUTED_VALUE"""),"| 7 L CPT % | 8 L NS % | 9 P Python % ")</f>
        <v xml:space="preserve">| 7 L CPT % | 8 L NS % | 9 P Python % </v>
      </c>
      <c r="CG100" s="4" t="str">
        <f ca="1">IFERROR(__xludf.DUMMYFUNCTION("""COMPUTED_VALUE"""),"| 5 L PHP-CGM % | 6 L NS % | 7 P CPT % ")</f>
        <v xml:space="preserve">| 5 L PHP-CGM % | 6 L NS % | 7 P CPT % </v>
      </c>
      <c r="CH100" s="4" t="str">
        <f ca="1">IFERROR(__xludf.DUMMYFUNCTION("""COMPUTED_VALUE"""),"| 5 L JAVA % | 6 L CPT % | 7 P JAVA % | 9 L INE @ ")</f>
        <v xml:space="preserve">| 5 L JAVA % | 6 L CPT % | 7 P JAVA % | 9 L INE @ </v>
      </c>
      <c r="CI100" s="4" t="str">
        <f ca="1">IFERROR(__xludf.DUMMYFUNCTION("""COMPUTED_VALUE"""),"| 5 L PHP-CGM % | 7 L JAVA % | 8 L CPT % ")</f>
        <v xml:space="preserve">| 5 L PHP-CGM % | 7 L JAVA % | 8 L CPT % </v>
      </c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</row>
    <row r="101" spans="1:102" ht="12.5" x14ac:dyDescent="0.25">
      <c r="A101" s="3">
        <f ca="1">IFERROR(__xludf.DUMMYFUNCTION("""COMPUTED_VALUE"""),2)</f>
        <v>2</v>
      </c>
      <c r="B101" s="3" t="str">
        <f ca="1">IFERROR(__xludf.DUMMYFUNCTION("""COMPUTED_VALUE"""),"B")</f>
        <v>B</v>
      </c>
      <c r="C101" s="32" t="str">
        <f ca="1">IFERROR(__xludf.DUMMYFUNCTION("""COMPUTED_VALUE"""),"23291341044")</f>
        <v>23291341044</v>
      </c>
      <c r="D101" s="4" t="str">
        <f ca="1">IFERROR(__xludf.DUMMYFUNCTION("""COMPUTED_VALUE"""),"JANI NAISHADH RAKESHKUMAR")</f>
        <v>JANI NAISHADH RAKESHKUMAR</v>
      </c>
      <c r="E101" s="3" t="str">
        <f ca="1">IFERROR(__xludf.DUMMYFUNCTION("""COMPUTED_VALUE"""),"HAM/HDP-EVE")</f>
        <v>HAM/HDP-EVE</v>
      </c>
      <c r="F101" s="3">
        <f ca="1">IFERROR(__xludf.DUMMYFUNCTION("""COMPUTED_VALUE"""),9825570976)</f>
        <v>9825570976</v>
      </c>
      <c r="G101" s="3">
        <f ca="1">IFERROR(__xludf.DUMMYFUNCTION("""COMPUTED_VALUE"""),9825570976)</f>
        <v>9825570976</v>
      </c>
      <c r="H101" s="33">
        <f ca="1">IFERROR(__xludf.DUMMYFUNCTION("""COMPUTED_VALUE"""),0.331818181818181)</f>
        <v>0.33181818181818101</v>
      </c>
      <c r="I101" s="25">
        <f ca="1">IFERROR(__xludf.DUMMYFUNCTION("""COMPUTED_VALUE"""),0.351351351351351)</f>
        <v>0.35135135135135098</v>
      </c>
      <c r="J101" s="25">
        <f ca="1">IFERROR(__xludf.DUMMYFUNCTION("""COMPUTED_VALUE"""),0.166666666666666)</f>
        <v>0.16666666666666599</v>
      </c>
      <c r="K101" s="25">
        <f ca="1">IFERROR(__xludf.DUMMYFUNCTION("""COMPUTED_VALUE"""),0.352941176470588)</f>
        <v>0.35294117647058798</v>
      </c>
      <c r="L101" s="25">
        <f ca="1">IFERROR(__xludf.DUMMYFUNCTION("""COMPUTED_VALUE"""),0)</f>
        <v>0</v>
      </c>
      <c r="M101" s="25">
        <f ca="1">IFERROR(__xludf.DUMMYFUNCTION("""COMPUTED_VALUE"""),0.342857142857142)</f>
        <v>0.34285714285714203</v>
      </c>
      <c r="N101" s="25">
        <f ca="1">IFERROR(__xludf.DUMMYFUNCTION("""COMPUTED_VALUE"""),0.444444444444444)</f>
        <v>0.44444444444444398</v>
      </c>
      <c r="O101" s="25">
        <f ca="1">IFERROR(__xludf.DUMMYFUNCTION("""COMPUTED_VALUE"""),0.371428571428571)</f>
        <v>0.371428571428571</v>
      </c>
      <c r="P101" s="25">
        <f ca="1">IFERROR(__xludf.DUMMYFUNCTION("""COMPUTED_VALUE"""),0.38095238095238)</f>
        <v>0.38095238095237999</v>
      </c>
      <c r="Q101" s="25">
        <f ca="1">IFERROR(__xludf.DUMMYFUNCTION("""COMPUTED_VALUE"""),0)</f>
        <v>0</v>
      </c>
      <c r="R101" s="25">
        <f ca="1">IFERROR(__xludf.DUMMYFUNCTION("""COMPUTED_VALUE"""),0.266666666666666)</f>
        <v>0.266666666666666</v>
      </c>
      <c r="S101" s="25">
        <f ca="1">IFERROR(__xludf.DUMMYFUNCTION("""COMPUTED_VALUE"""),0)</f>
        <v>0</v>
      </c>
      <c r="T101" s="25">
        <f ca="1">IFERROR(__xludf.DUMMYFUNCTION("""COMPUTED_VALUE"""),0.428571428571428)</f>
        <v>0.42857142857142799</v>
      </c>
      <c r="U101" s="25">
        <f ca="1">IFERROR(__xludf.DUMMYFUNCTION("""COMPUTED_VALUE"""),0.25)</f>
        <v>0.25</v>
      </c>
      <c r="V101" s="25">
        <f ca="1">IFERROR(__xludf.DUMMYFUNCTION("""COMPUTED_VALUE"""),0)</f>
        <v>0</v>
      </c>
      <c r="W101" s="4"/>
      <c r="X101" s="4" t="str">
        <f ca="1">IFERROR(__xludf.DUMMYFUNCTION("""COMPUTED_VALUE"""),"| 5 P PHP-CGM % | 7 L CPT % | 8 L NS % | 9 P Python % ")</f>
        <v xml:space="preserve">| 5 P PHP-CGM % | 7 L CPT % | 8 L NS % | 9 P Python % </v>
      </c>
      <c r="Y101" s="4" t="str">
        <f ca="1">IFERROR(__xludf.DUMMYFUNCTION("""COMPUTED_VALUE"""),"| 5 L PHP-CGM @ | 6 L NS @ | 8 P CPT @ | 9 P PRO @ ")</f>
        <v xml:space="preserve">| 5 L PHP-CGM @ | 6 L NS @ | 8 P CPT @ | 9 P PRO @ </v>
      </c>
      <c r="Z101" s="4" t="str">
        <f ca="1">IFERROR(__xludf.DUMMYFUNCTION("""COMPUTED_VALUE"""),"| 5 L JAVA % | 6 L CPT % | 7 P JAVA % ")</f>
        <v xml:space="preserve">| 5 L JAVA % | 6 L CPT % | 7 P JAVA % </v>
      </c>
      <c r="AA101" s="4" t="str">
        <f ca="1">IFERROR(__xludf.DUMMYFUNCTION("""COMPUTED_VALUE"""),"| 5 L PHP-CGM % | 7 L JAVA % | 9 P Python @ | 8 L CPT % ")</f>
        <v xml:space="preserve">| 5 L PHP-CGM % | 7 L JAVA % | 9 P Python @ | 8 L CPT % </v>
      </c>
      <c r="AB101" s="4" t="str">
        <f ca="1">IFERROR(__xludf.DUMMYFUNCTION("""COMPUTED_VALUE"""),"| 5 P JAVA @ | 7 L PHP-CGM @ | 8 L JAVA @ | 9 P NS @ ")</f>
        <v xml:space="preserve">| 5 P JAVA @ | 7 L PHP-CGM @ | 8 L JAVA @ | 9 P NS @ </v>
      </c>
      <c r="AC101" s="4" t="str">
        <f ca="1">IFERROR(__xludf.DUMMYFUNCTION("""COMPUTED_VALUE"""),"| 5 P PHP-CGM % | 7 L CPT % | 8 L NS % | 9 P Python % ")</f>
        <v xml:space="preserve">| 5 P PHP-CGM % | 7 L CPT % | 8 L NS % | 9 P Python % </v>
      </c>
      <c r="AD101" s="4" t="str">
        <f ca="1">IFERROR(__xludf.DUMMYFUNCTION("""COMPUTED_VALUE"""),"| 5 L PHP-CGM % | 6 L NS % | 7 P CPT @ ")</f>
        <v xml:space="preserve">| 5 L PHP-CGM % | 6 L NS % | 7 P CPT @ </v>
      </c>
      <c r="AE101" s="4" t="str">
        <f ca="1">IFERROR(__xludf.DUMMYFUNCTION("""COMPUTED_VALUE"""),"| 5 L JAVA % | 6 L CPT % | 7 P JAVA % ")</f>
        <v xml:space="preserve">| 5 L JAVA % | 6 L CPT % | 7 P JAVA % </v>
      </c>
      <c r="AF101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G101" s="4" t="str">
        <f ca="1">IFERROR(__xludf.DUMMYFUNCTION("""COMPUTED_VALUE"""),"| 5 P JAVA @ | 8 L JAVA @ | 7 L PHP-CGM @ ")</f>
        <v xml:space="preserve">| 5 P JAVA @ | 8 L JAVA @ | 7 L PHP-CGM @ </v>
      </c>
      <c r="AH101" s="4" t="str">
        <f ca="1">IFERROR(__xludf.DUMMYFUNCTION("""COMPUTED_VALUE"""),"| 5 L PHP-CGM @ | 6 L NS @ | 7 L JAVA @ | 8 L CPT @ ")</f>
        <v xml:space="preserve">| 5 L PHP-CGM @ | 6 L NS @ | 7 L JAVA @ | 8 L CPT @ </v>
      </c>
      <c r="AI101" s="4" t="str">
        <f ca="1">IFERROR(__xludf.DUMMYFUNCTION("""COMPUTED_VALUE"""),"| 5 P JAVA @ | 8 L JAVA @ | 7 L PHP-CGM @ | 9 P NS @ ")</f>
        <v xml:space="preserve">| 5 P JAVA @ | 8 L JAVA @ | 7 L PHP-CGM @ | 9 P NS @ </v>
      </c>
      <c r="AJ101" s="4" t="str">
        <f ca="1">IFERROR(__xludf.DUMMYFUNCTION("""COMPUTED_VALUE"""),"| 5 P PHP-CGM @ | 7 L CPT @ | 8 L NS @ | 9 P Python @ ")</f>
        <v xml:space="preserve">| 5 P PHP-CGM @ | 7 L CPT @ | 8 L NS @ | 9 P Python @ </v>
      </c>
      <c r="AK101" s="4" t="str">
        <f ca="1">IFERROR(__xludf.DUMMYFUNCTION("""COMPUTED_VALUE"""),"| 5 L PHP-CGM % | 6 L NS % | 7 P CPT % | 9 P PRO % ")</f>
        <v xml:space="preserve">| 5 L PHP-CGM % | 6 L NS % | 7 P CPT % | 9 P PRO % </v>
      </c>
      <c r="AL101" s="4" t="str">
        <f ca="1">IFERROR(__xludf.DUMMYFUNCTION("""COMPUTED_VALUE"""),"| 5 L JAVA @ | 6 L CPT @ | 7 P JAVA @ | 9 L INE @ ")</f>
        <v xml:space="preserve">| 5 L JAVA @ | 6 L CPT @ | 7 P JAVA @ | 9 L INE @ </v>
      </c>
      <c r="AM101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N101" s="4" t="str">
        <f ca="1">IFERROR(__xludf.DUMMYFUNCTION("""COMPUTED_VALUE"""),"| 5 P JAVA @ | 8 L JAVA @ | 7 L PHP-CGM @ | 9 P NS @ ")</f>
        <v xml:space="preserve">| 5 P JAVA @ | 8 L JAVA @ | 7 L PHP-CGM @ | 9 P NS @ </v>
      </c>
      <c r="AO101" s="4" t="str">
        <f ca="1">IFERROR(__xludf.DUMMYFUNCTION("""COMPUTED_VALUE"""),"| 5 P PHP-CGM @ | 7 L CPT @ | 8 L NS @ | 9 P Python @ ")</f>
        <v xml:space="preserve">| 5 P PHP-CGM @ | 7 L CPT @ | 8 L NS @ | 9 P Python @ </v>
      </c>
      <c r="AP101" s="4" t="str">
        <f ca="1">IFERROR(__xludf.DUMMYFUNCTION("""COMPUTED_VALUE"""),"| 5 L PHP-CGM @ | 6 L NS @ | 7 P CPT @ | 9 P PRO @ ")</f>
        <v xml:space="preserve">| 5 L PHP-CGM @ | 6 L NS @ | 7 P CPT @ | 9 P PRO @ </v>
      </c>
      <c r="AQ101" s="4" t="str">
        <f ca="1">IFERROR(__xludf.DUMMYFUNCTION("""COMPUTED_VALUE"""),"| 5 L CPT @ | 7 L JAVA @ | 7 P JAVA @ | 9 L INE @ ")</f>
        <v xml:space="preserve">| 5 L CPT @ | 7 L JAVA @ | 7 P JAVA @ | 9 L INE @ </v>
      </c>
      <c r="AR101" s="4" t="str">
        <f ca="1">IFERROR(__xludf.DUMMYFUNCTION("""COMPUTED_VALUE"""),"| 5 L PHP-CGM @ | 6 L NS @ | 8 L CPT @ ")</f>
        <v xml:space="preserve">| 5 L PHP-CGM @ | 6 L NS @ | 8 L CPT @ </v>
      </c>
      <c r="AS101" s="4" t="str">
        <f ca="1">IFERROR(__xludf.DUMMYFUNCTION("""COMPUTED_VALUE"""),"| 5 P PHP-CGM @ | 7 L CPT @ | 8 L NS @ | 9 P Python @ ")</f>
        <v xml:space="preserve">| 5 P PHP-CGM @ | 7 L CPT @ | 8 L NS @ | 9 P Python @ </v>
      </c>
      <c r="AT101" s="4" t="str">
        <f ca="1">IFERROR(__xludf.DUMMYFUNCTION("""COMPUTED_VALUE"""),"| 5 L PHP-CGM @ | 6 L NS @ | 7 P CPT @ | 9 P PRO @ ")</f>
        <v xml:space="preserve">| 5 L PHP-CGM @ | 6 L NS @ | 7 P CPT @ | 9 P PRO @ </v>
      </c>
      <c r="AU101" s="4" t="str">
        <f ca="1">IFERROR(__xludf.DUMMYFUNCTION("""COMPUTED_VALUE"""),"| 5 L JAVA @ | 6 L CPT @ | 8 P JAVA @ | 9 L INE @ ")</f>
        <v xml:space="preserve">| 5 L JAVA @ | 6 L CPT @ | 8 P JAVA @ | 9 L INE @ </v>
      </c>
      <c r="AV101" s="4" t="str">
        <f ca="1">IFERROR(__xludf.DUMMYFUNCTION("""COMPUTED_VALUE"""),"| 5 L PHP-CGM @ | 6 L NS @ | 7 L JAVA @ | 8 L CPT @ ")</f>
        <v xml:space="preserve">| 5 L PHP-CGM @ | 6 L NS @ | 7 L JAVA @ | 8 L CPT @ </v>
      </c>
      <c r="AW101" s="4" t="str">
        <f ca="1">IFERROR(__xludf.DUMMYFUNCTION("""COMPUTED_VALUE"""),"| 5 P JAVA @ | 7 L PHP-CGM @ | 8 L JAVA @ | 9 P NS @ ")</f>
        <v xml:space="preserve">| 5 P JAVA @ | 7 L PHP-CGM @ | 8 L JAVA @ | 9 P NS @ </v>
      </c>
      <c r="AX101" s="4" t="str">
        <f ca="1">IFERROR(__xludf.DUMMYFUNCTION("""COMPUTED_VALUE"""),"| 5 P PHP-CGM % | 7 L CPT % | 8 L NS % | 9 P Python % ")</f>
        <v xml:space="preserve">| 5 P PHP-CGM % | 7 L CPT % | 8 L NS % | 9 P Python % </v>
      </c>
      <c r="AY101" s="4" t="str">
        <f ca="1">IFERROR(__xludf.DUMMYFUNCTION("""COMPUTED_VALUE"""),"| 5 L PHP-CGM % | 6 L NS % | 7 P CPT % | 9 P PRO % ")</f>
        <v xml:space="preserve">| 5 L PHP-CGM % | 6 L NS % | 7 P CPT % | 9 P PRO % </v>
      </c>
      <c r="AZ101" s="4" t="str">
        <f ca="1">IFERROR(__xludf.DUMMYFUNCTION("""COMPUTED_VALUE"""),"| 5 L PHP-CGM % | 6 L NS % | 7 L JAVA % | 8 L CPT % ")</f>
        <v xml:space="preserve">| 5 L PHP-CGM % | 6 L NS % | 7 L JAVA % | 8 L CPT % </v>
      </c>
      <c r="BA101" s="4" t="str">
        <f ca="1">IFERROR(__xludf.DUMMYFUNCTION("""COMPUTED_VALUE"""),"| 5 P JAVA % | 7 L PHP-CGM % | 8 L JAVA % ")</f>
        <v xml:space="preserve">| 5 P JAVA % | 7 L PHP-CGM % | 8 L JAVA % </v>
      </c>
      <c r="BB101" s="4" t="str">
        <f ca="1">IFERROR(__xludf.DUMMYFUNCTION("""COMPUTED_VALUE"""),"| 5 P PHP-CGM % | 7 L CPT % | 8 L NS % ")</f>
        <v xml:space="preserve">| 5 P PHP-CGM % | 7 L CPT % | 8 L NS % </v>
      </c>
      <c r="BC101" s="4" t="str">
        <f ca="1">IFERROR(__xludf.DUMMYFUNCTION("""COMPUTED_VALUE"""),"| 5 L PHP-CGM % | 6 L NS % | 7 P CPT @ | 9 P PRO @ ")</f>
        <v xml:space="preserve">| 5 L PHP-CGM % | 6 L NS % | 7 P CPT @ | 9 P PRO @ </v>
      </c>
      <c r="BD101" s="4" t="str">
        <f ca="1">IFERROR(__xludf.DUMMYFUNCTION("""COMPUTED_VALUE"""),"| 5 L JAVA % | 6 L CPT % | 7 P JAVA % | 9 L INE % ")</f>
        <v xml:space="preserve">| 5 L JAVA % | 6 L CPT % | 7 P JAVA % | 9 L INE % </v>
      </c>
      <c r="BE101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01" s="4" t="str">
        <f ca="1">IFERROR(__xludf.DUMMYFUNCTION("""COMPUTED_VALUE"""),"| 5 P JAVA % | 7 L PHP-CGM % | 8 L JAVA % | 9 P NS @ ")</f>
        <v xml:space="preserve">| 5 P JAVA % | 7 L PHP-CGM % | 8 L JAVA % | 9 P NS @ </v>
      </c>
      <c r="BG101" s="4" t="str">
        <f ca="1">IFERROR(__xludf.DUMMYFUNCTION("""COMPUTED_VALUE"""),"| 5 L PHP-CGM % | 6 L NS % | 7 P CPT @ | 9 P PRO % ")</f>
        <v xml:space="preserve">| 5 L PHP-CGM % | 6 L NS % | 7 P CPT @ | 9 P PRO % </v>
      </c>
      <c r="BH101" s="4" t="str">
        <f ca="1">IFERROR(__xludf.DUMMYFUNCTION("""COMPUTED_VALUE"""),"| 5 L JAVA % | 6 L CPT % | 7 P JAVA % | 9 L INE % ")</f>
        <v xml:space="preserve">| 5 L JAVA % | 6 L CPT % | 7 P JAVA % | 9 L INE % </v>
      </c>
      <c r="BI101" s="4" t="str">
        <f ca="1">IFERROR(__xludf.DUMMYFUNCTION("""COMPUTED_VALUE"""),"| 5 L PHP-CGM % | 6 L NS % | 7 L JAVA @ | 8 L CPT @ | 9 P Python @ ")</f>
        <v xml:space="preserve">| 5 L PHP-CGM % | 6 L NS % | 7 L JAVA @ | 8 L CPT @ | 9 P Python @ </v>
      </c>
      <c r="BJ101" s="4" t="str">
        <f ca="1">IFERROR(__xludf.DUMMYFUNCTION("""COMPUTED_VALUE"""),"| 5 P JAVA % | 7 L JAVA % | 7 L PHP-CGM % ")</f>
        <v xml:space="preserve">| 5 P JAVA % | 7 L JAVA % | 7 L PHP-CGM % </v>
      </c>
      <c r="BK101" s="4" t="str">
        <f ca="1">IFERROR(__xludf.DUMMYFUNCTION("""COMPUTED_VALUE"""),"| 7 L CPT @ | 8 L NS @ ")</f>
        <v xml:space="preserve">| 7 L CPT @ | 8 L NS @ </v>
      </c>
      <c r="BL101" s="4" t="str">
        <f ca="1">IFERROR(__xludf.DUMMYFUNCTION("""COMPUTED_VALUE"""),"| 5 L PHP-CGM @ | 6 L NS @ | 7 P CPT @ ")</f>
        <v xml:space="preserve">| 5 L PHP-CGM @ | 6 L NS @ | 7 P CPT @ </v>
      </c>
      <c r="BM101" s="4" t="str">
        <f ca="1">IFERROR(__xludf.DUMMYFUNCTION("""COMPUTED_VALUE"""),"| 5 L JAVA @ | 6 L CPT @ | 9 L INE @ ")</f>
        <v xml:space="preserve">| 5 L JAVA @ | 6 L CPT @ | 9 L INE @ </v>
      </c>
      <c r="BN101" s="4" t="str">
        <f ca="1">IFERROR(__xludf.DUMMYFUNCTION("""COMPUTED_VALUE"""),"| 5 L PHP-CGM @ | 6 L NS @ | 9 L JAVA @ | 8 L CPT @ ")</f>
        <v xml:space="preserve">| 5 L PHP-CGM @ | 6 L NS @ | 9 L JAVA @ | 8 L CPT @ </v>
      </c>
      <c r="BO101" s="4" t="str">
        <f ca="1">IFERROR(__xludf.DUMMYFUNCTION("""COMPUTED_VALUE"""),"| 5 P JAVA @ | 7 L PHP-CGM @ ")</f>
        <v xml:space="preserve">| 5 P JAVA @ | 7 L PHP-CGM @ </v>
      </c>
      <c r="BP101" s="4" t="str">
        <f ca="1">IFERROR(__xludf.DUMMYFUNCTION("""COMPUTED_VALUE"""),"| 5 P PHP-CGM @ | 7 L CPT @ | 8 L NS @ ")</f>
        <v xml:space="preserve">| 5 P PHP-CGM @ | 7 L CPT @ | 8 L NS @ </v>
      </c>
      <c r="BQ101" s="4" t="str">
        <f ca="1">IFERROR(__xludf.DUMMYFUNCTION("""COMPUTED_VALUE"""),"| 5 L JAVA % | 6 L CPT % ")</f>
        <v xml:space="preserve">| 5 L JAVA % | 6 L CPT % </v>
      </c>
      <c r="BR101" s="4" t="str">
        <f ca="1">IFERROR(__xludf.DUMMYFUNCTION("""COMPUTED_VALUE"""),"| 7 L JAVA % ")</f>
        <v xml:space="preserve">| 7 L JAVA % </v>
      </c>
      <c r="BS101" s="4"/>
      <c r="BT101" s="4" t="str">
        <f ca="1">IFERROR(__xludf.DUMMYFUNCTION("""COMPUTED_VALUE"""),"| 7 L CPT @ ")</f>
        <v xml:space="preserve">| 7 L CPT @ </v>
      </c>
      <c r="BU101" s="4" t="str">
        <f ca="1">IFERROR(__xludf.DUMMYFUNCTION("""COMPUTED_VALUE"""),"| 7 P CPT @ ")</f>
        <v xml:space="preserve">| 7 P CPT @ </v>
      </c>
      <c r="BV101" s="4" t="str">
        <f ca="1">IFERROR(__xludf.DUMMYFUNCTION("""COMPUTED_VALUE"""),"| 5 P PHP-CGM @ | 7 L CPT @ | 8 L NS @ | 9 P Python @ ")</f>
        <v xml:space="preserve">| 5 P PHP-CGM @ | 7 L CPT @ | 8 L NS @ | 9 P Python @ </v>
      </c>
      <c r="BW101" s="4"/>
      <c r="BX101" s="4" t="str">
        <f ca="1">IFERROR(__xludf.DUMMYFUNCTION("""COMPUTED_VALUE"""),"| 5 L JAVA % | 6 L CPT % | 7 P JAVA % ")</f>
        <v xml:space="preserve">| 5 L JAVA % | 6 L CPT % | 7 P JAVA % </v>
      </c>
      <c r="BY101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01" s="4" t="str">
        <f ca="1">IFERROR(__xludf.DUMMYFUNCTION("""COMPUTED_VALUE"""),"| 5 P JAVA @ | 8 L JAVA @ | 7 L PHP-CGM @ | 9 P NS @ ")</f>
        <v xml:space="preserve">| 5 P JAVA @ | 8 L JAVA @ | 7 L PHP-CGM @ | 9 P NS @ </v>
      </c>
      <c r="CA101" s="4" t="str">
        <f ca="1">IFERROR(__xludf.DUMMYFUNCTION("""COMPUTED_VALUE"""),"| 7 L CPT @ | 8 L NS @ | 9 P Python @ ")</f>
        <v xml:space="preserve">| 7 L CPT @ | 8 L NS @ | 9 P Python @ </v>
      </c>
      <c r="CB101" s="4" t="str">
        <f ca="1">IFERROR(__xludf.DUMMYFUNCTION("""COMPUTED_VALUE"""),"| 5 L PHP-CGM @ | 6 L NS @ | 7 P CPT @ ")</f>
        <v xml:space="preserve">| 5 L PHP-CGM @ | 6 L NS @ | 7 P CPT @ </v>
      </c>
      <c r="CC101" s="4" t="str">
        <f ca="1">IFERROR(__xludf.DUMMYFUNCTION("""COMPUTED_VALUE"""),"| 5 L JAVA @ | 7 P JAVA @ | 9 L INE @ ")</f>
        <v xml:space="preserve">| 5 L JAVA @ | 7 P JAVA @ | 9 L INE @ </v>
      </c>
      <c r="CD101" s="4" t="str">
        <f ca="1">IFERROR(__xludf.DUMMYFUNCTION("""COMPUTED_VALUE"""),"| 5 L PHP-CGM @ | 6 L NS @ | 7 L JAVA @ | 8 L CPT @ ")</f>
        <v xml:space="preserve">| 5 L PHP-CGM @ | 6 L NS @ | 7 L JAVA @ | 8 L CPT @ </v>
      </c>
      <c r="CE101" s="4" t="str">
        <f ca="1">IFERROR(__xludf.DUMMYFUNCTION("""COMPUTED_VALUE"""),"| 5 P JAVA @ | 8 L JAVA @ | 7 L PHP-CGM @ | 9 P NS @ ")</f>
        <v xml:space="preserve">| 5 P JAVA @ | 8 L JAVA @ | 7 L PHP-CGM @ | 9 P NS @ </v>
      </c>
      <c r="CF101" s="4" t="str">
        <f ca="1">IFERROR(__xludf.DUMMYFUNCTION("""COMPUTED_VALUE"""),"| 7 L CPT @ | 8 L NS @ | 9 P Python @ ")</f>
        <v xml:space="preserve">| 7 L CPT @ | 8 L NS @ | 9 P Python @ </v>
      </c>
      <c r="CG101" s="4" t="str">
        <f ca="1">IFERROR(__xludf.DUMMYFUNCTION("""COMPUTED_VALUE"""),"| 5 L PHP-CGM @ | 6 L NS @ | 7 P CPT @ ")</f>
        <v xml:space="preserve">| 5 L PHP-CGM @ | 6 L NS @ | 7 P CPT @ </v>
      </c>
      <c r="CH101" s="4" t="str">
        <f ca="1">IFERROR(__xludf.DUMMYFUNCTION("""COMPUTED_VALUE"""),"| 5 L JAVA @ | 6 L CPT @ | 7 P JAVA @ | 9 L INE @ ")</f>
        <v xml:space="preserve">| 5 L JAVA @ | 6 L CPT @ | 7 P JAVA @ | 9 L INE @ </v>
      </c>
      <c r="CI101" s="4" t="str">
        <f ca="1">IFERROR(__xludf.DUMMYFUNCTION("""COMPUTED_VALUE"""),"| 5 L PHP-CGM @ | 7 L JAVA @ | 8 L CPT @ ")</f>
        <v xml:space="preserve">| 5 L PHP-CGM @ | 7 L JAVA @ | 8 L CPT @ </v>
      </c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</row>
    <row r="102" spans="1:102" ht="12.5" x14ac:dyDescent="0.25">
      <c r="A102" s="3">
        <f ca="1">IFERROR(__xludf.DUMMYFUNCTION("""COMPUTED_VALUE"""),2)</f>
        <v>2</v>
      </c>
      <c r="B102" s="3" t="str">
        <f ca="1">IFERROR(__xludf.DUMMYFUNCTION("""COMPUTED_VALUE"""),"B")</f>
        <v>B</v>
      </c>
      <c r="C102" s="32" t="str">
        <f ca="1">IFERROR(__xludf.DUMMYFUNCTION("""COMPUTED_VALUE"""),"23291341046")</f>
        <v>23291341046</v>
      </c>
      <c r="D102" s="4" t="str">
        <f ca="1">IFERROR(__xludf.DUMMYFUNCTION("""COMPUTED_VALUE"""),"JOSHI VYOM HITENKUMAR")</f>
        <v>JOSHI VYOM HITENKUMAR</v>
      </c>
      <c r="E102" s="3" t="str">
        <f ca="1">IFERROR(__xludf.DUMMYFUNCTION("""COMPUTED_VALUE"""),"HAM/HDP-EVE")</f>
        <v>HAM/HDP-EVE</v>
      </c>
      <c r="F102" s="3">
        <f ca="1">IFERROR(__xludf.DUMMYFUNCTION("""COMPUTED_VALUE"""),9909255352)</f>
        <v>9909255352</v>
      </c>
      <c r="G102" s="3">
        <f ca="1">IFERROR(__xludf.DUMMYFUNCTION("""COMPUTED_VALUE"""),9427459228)</f>
        <v>9427459228</v>
      </c>
      <c r="H102" s="33">
        <f ca="1">IFERROR(__xludf.DUMMYFUNCTION("""COMPUTED_VALUE"""),0.622727272727272)</f>
        <v>0.62272727272727202</v>
      </c>
      <c r="I102" s="25">
        <f ca="1">IFERROR(__xludf.DUMMYFUNCTION("""COMPUTED_VALUE"""),0.513513513513513)</f>
        <v>0.51351351351351304</v>
      </c>
      <c r="J102" s="25">
        <f ca="1">IFERROR(__xludf.DUMMYFUNCTION("""COMPUTED_VALUE"""),0.416666666666666)</f>
        <v>0.41666666666666602</v>
      </c>
      <c r="K102" s="25">
        <f ca="1">IFERROR(__xludf.DUMMYFUNCTION("""COMPUTED_VALUE"""),0.676470588235294)</f>
        <v>0.67647058823529405</v>
      </c>
      <c r="L102" s="25">
        <f ca="1">IFERROR(__xludf.DUMMYFUNCTION("""COMPUTED_VALUE"""),0.571428571428571)</f>
        <v>0.57142857142857095</v>
      </c>
      <c r="M102" s="25">
        <f ca="1">IFERROR(__xludf.DUMMYFUNCTION("""COMPUTED_VALUE"""),0.771428571428571)</f>
        <v>0.77142857142857102</v>
      </c>
      <c r="N102" s="25">
        <f ca="1">IFERROR(__xludf.DUMMYFUNCTION("""COMPUTED_VALUE"""),0.666666666666666)</f>
        <v>0.66666666666666596</v>
      </c>
      <c r="O102" s="25">
        <f ca="1">IFERROR(__xludf.DUMMYFUNCTION("""COMPUTED_VALUE"""),0.657142857142857)</f>
        <v>0.65714285714285703</v>
      </c>
      <c r="P102" s="25">
        <f ca="1">IFERROR(__xludf.DUMMYFUNCTION("""COMPUTED_VALUE"""),0.857142857142857)</f>
        <v>0.85714285714285698</v>
      </c>
      <c r="Q102" s="25">
        <f ca="1">IFERROR(__xludf.DUMMYFUNCTION("""COMPUTED_VALUE"""),0)</f>
        <v>0</v>
      </c>
      <c r="R102" s="25">
        <f ca="1">IFERROR(__xludf.DUMMYFUNCTION("""COMPUTED_VALUE"""),0.266666666666666)</f>
        <v>0.266666666666666</v>
      </c>
      <c r="S102" s="25">
        <f ca="1">IFERROR(__xludf.DUMMYFUNCTION("""COMPUTED_VALUE"""),0)</f>
        <v>0</v>
      </c>
      <c r="T102" s="25">
        <f ca="1">IFERROR(__xludf.DUMMYFUNCTION("""COMPUTED_VALUE"""),0.285714285714285)</f>
        <v>0.28571428571428498</v>
      </c>
      <c r="U102" s="25">
        <f ca="1">IFERROR(__xludf.DUMMYFUNCTION("""COMPUTED_VALUE"""),0.75)</f>
        <v>0.75</v>
      </c>
      <c r="V102" s="25">
        <f ca="1">IFERROR(__xludf.DUMMYFUNCTION("""COMPUTED_VALUE"""),0)</f>
        <v>0</v>
      </c>
      <c r="W102" s="4"/>
      <c r="X102" s="4" t="str">
        <f ca="1">IFERROR(__xludf.DUMMYFUNCTION("""COMPUTED_VALUE"""),"| 5 P PHP-CGM % | 7 L CPT % | 8 L NS % | 9 P Python % ")</f>
        <v xml:space="preserve">| 5 P PHP-CGM % | 7 L CPT % | 8 L NS % | 9 P Python % </v>
      </c>
      <c r="Y102" s="4" t="str">
        <f ca="1">IFERROR(__xludf.DUMMYFUNCTION("""COMPUTED_VALUE"""),"| 5 L PHP-CGM % | 6 L NS % | 8 P CPT % | 9 P PRO % ")</f>
        <v xml:space="preserve">| 5 L PHP-CGM % | 6 L NS % | 8 P CPT % | 9 P PRO % </v>
      </c>
      <c r="Z102" s="4" t="str">
        <f ca="1">IFERROR(__xludf.DUMMYFUNCTION("""COMPUTED_VALUE"""),"| 5 L JAVA % | 6 L CPT % | 7 P JAVA % ")</f>
        <v xml:space="preserve">| 5 L JAVA % | 6 L CPT % | 7 P JAVA % </v>
      </c>
      <c r="AA102" s="4" t="str">
        <f ca="1">IFERROR(__xludf.DUMMYFUNCTION("""COMPUTED_VALUE"""),"| 5 L PHP-CGM @ | 7 L JAVA @ | 9 P Python @ | 8 L CPT @ ")</f>
        <v xml:space="preserve">| 5 L PHP-CGM @ | 7 L JAVA @ | 9 P Python @ | 8 L CPT @ </v>
      </c>
      <c r="AB102" s="4" t="str">
        <f ca="1">IFERROR(__xludf.DUMMYFUNCTION("""COMPUTED_VALUE"""),"| 5 P JAVA % | 7 L PHP-CGM % | 8 L JAVA % | 9 P NS % ")</f>
        <v xml:space="preserve">| 5 P JAVA % | 7 L PHP-CGM % | 8 L JAVA % | 9 P NS % </v>
      </c>
      <c r="AC102" s="4" t="str">
        <f ca="1">IFERROR(__xludf.DUMMYFUNCTION("""COMPUTED_VALUE"""),"| 5 P PHP-CGM % | 7 L CPT % | 8 L NS % | 9 P Python % ")</f>
        <v xml:space="preserve">| 5 P PHP-CGM % | 7 L CPT % | 8 L NS % | 9 P Python % </v>
      </c>
      <c r="AD102" s="4" t="str">
        <f ca="1">IFERROR(__xludf.DUMMYFUNCTION("""COMPUTED_VALUE"""),"| 5 L PHP-CGM % | 6 L NS % | 7 P CPT % ")</f>
        <v xml:space="preserve">| 5 L PHP-CGM % | 6 L NS % | 7 P CPT % </v>
      </c>
      <c r="AE102" s="4" t="str">
        <f ca="1">IFERROR(__xludf.DUMMYFUNCTION("""COMPUTED_VALUE"""),"| 5 L JAVA % | 6 L CPT % | 7 P JAVA % ")</f>
        <v xml:space="preserve">| 5 L JAVA % | 6 L CPT % | 7 P JAVA % </v>
      </c>
      <c r="AF102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02" s="4" t="str">
        <f ca="1">IFERROR(__xludf.DUMMYFUNCTION("""COMPUTED_VALUE"""),"| 5 P JAVA % | 8 L JAVA % | 7 L PHP-CGM % ")</f>
        <v xml:space="preserve">| 5 P JAVA % | 8 L JAVA % | 7 L PHP-CGM % </v>
      </c>
      <c r="AH102" s="4" t="str">
        <f ca="1">IFERROR(__xludf.DUMMYFUNCTION("""COMPUTED_VALUE"""),"| 5 L PHP-CGM @ | 6 L NS @ | 7 L JAVA % | 8 L CPT % ")</f>
        <v xml:space="preserve">| 5 L PHP-CGM @ | 6 L NS @ | 7 L JAVA % | 8 L CPT % </v>
      </c>
      <c r="AI102" s="4" t="str">
        <f ca="1">IFERROR(__xludf.DUMMYFUNCTION("""COMPUTED_VALUE"""),"| 5 P JAVA % | 8 L JAVA % | 7 L PHP-CGM % | 9 P NS % ")</f>
        <v xml:space="preserve">| 5 P JAVA % | 8 L JAVA % | 7 L PHP-CGM % | 9 P NS % </v>
      </c>
      <c r="AJ102" s="4" t="str">
        <f ca="1">IFERROR(__xludf.DUMMYFUNCTION("""COMPUTED_VALUE"""),"| 5 P PHP-CGM @ | 7 L CPT @ | 8 L NS @ | 9 P Python @ ")</f>
        <v xml:space="preserve">| 5 P PHP-CGM @ | 7 L CPT @ | 8 L NS @ | 9 P Python @ </v>
      </c>
      <c r="AK102" s="4" t="str">
        <f ca="1">IFERROR(__xludf.DUMMYFUNCTION("""COMPUTED_VALUE"""),"| 5 L PHP-CGM % | 6 L NS % | 7 P CPT % | 9 P PRO % ")</f>
        <v xml:space="preserve">| 5 L PHP-CGM % | 6 L NS % | 7 P CPT % | 9 P PRO % </v>
      </c>
      <c r="AL102" s="4" t="str">
        <f ca="1">IFERROR(__xludf.DUMMYFUNCTION("""COMPUTED_VALUE"""),"| 5 L JAVA % | 6 L CPT % | 7 P JAVA % | 9 L INE % ")</f>
        <v xml:space="preserve">| 5 L JAVA % | 6 L CPT % | 7 P JAVA % | 9 L INE % </v>
      </c>
      <c r="AM102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02" s="4" t="str">
        <f ca="1">IFERROR(__xludf.DUMMYFUNCTION("""COMPUTED_VALUE"""),"| 5 P JAVA % | 8 L JAVA % | 7 L PHP-CGM % | 9 P NS @ ")</f>
        <v xml:space="preserve">| 5 P JAVA % | 8 L JAVA % | 7 L PHP-CGM % | 9 P NS @ </v>
      </c>
      <c r="AO102" s="4" t="str">
        <f ca="1">IFERROR(__xludf.DUMMYFUNCTION("""COMPUTED_VALUE"""),"| 5 P PHP-CGM % | 7 L CPT @ | 8 L NS @ | 9 P Python @ ")</f>
        <v xml:space="preserve">| 5 P PHP-CGM % | 7 L CPT @ | 8 L NS @ | 9 P Python @ </v>
      </c>
      <c r="AP102" s="4" t="str">
        <f ca="1">IFERROR(__xludf.DUMMYFUNCTION("""COMPUTED_VALUE"""),"| 5 L PHP-CGM % | 6 L NS % | 7 P CPT % | 9 P PRO @ ")</f>
        <v xml:space="preserve">| 5 L PHP-CGM % | 6 L NS % | 7 P CPT % | 9 P PRO @ </v>
      </c>
      <c r="AQ102" s="4" t="str">
        <f ca="1">IFERROR(__xludf.DUMMYFUNCTION("""COMPUTED_VALUE"""),"| 5 L CPT % | 7 L JAVA % | 7 P JAVA % | 9 L INE % ")</f>
        <v xml:space="preserve">| 5 L CPT % | 7 L JAVA % | 7 P JAVA % | 9 L INE % </v>
      </c>
      <c r="AR102" s="4" t="str">
        <f ca="1">IFERROR(__xludf.DUMMYFUNCTION("""COMPUTED_VALUE"""),"| 5 L PHP-CGM % | 6 L NS % | 8 L CPT @ ")</f>
        <v xml:space="preserve">| 5 L PHP-CGM % | 6 L NS % | 8 L CPT @ </v>
      </c>
      <c r="AS102" s="4" t="str">
        <f ca="1">IFERROR(__xludf.DUMMYFUNCTION("""COMPUTED_VALUE"""),"| 5 P PHP-CGM % | 7 L CPT % | 8 L NS % | 9 P Python @ ")</f>
        <v xml:space="preserve">| 5 P PHP-CGM % | 7 L CPT % | 8 L NS % | 9 P Python @ </v>
      </c>
      <c r="AT102" s="4" t="str">
        <f ca="1">IFERROR(__xludf.DUMMYFUNCTION("""COMPUTED_VALUE"""),"| 5 L PHP-CGM % | 6 L NS % | 7 P CPT % | 9 P PRO @ ")</f>
        <v xml:space="preserve">| 5 L PHP-CGM % | 6 L NS % | 7 P CPT % | 9 P PRO @ </v>
      </c>
      <c r="AU102" s="4" t="str">
        <f ca="1">IFERROR(__xludf.DUMMYFUNCTION("""COMPUTED_VALUE"""),"| 5 L JAVA % | 6 L CPT % | 8 P JAVA % | 9 L INE % ")</f>
        <v xml:space="preserve">| 5 L JAVA % | 6 L CPT % | 8 P JAVA % | 9 L INE % </v>
      </c>
      <c r="AV102" s="4" t="str">
        <f ca="1">IFERROR(__xludf.DUMMYFUNCTION("""COMPUTED_VALUE"""),"| 5 L PHP-CGM % | 6 L NS % | 7 L JAVA @ | 8 L CPT @ ")</f>
        <v xml:space="preserve">| 5 L PHP-CGM % | 6 L NS % | 7 L JAVA @ | 8 L CPT @ </v>
      </c>
      <c r="AW102" s="4" t="str">
        <f ca="1">IFERROR(__xludf.DUMMYFUNCTION("""COMPUTED_VALUE"""),"| 5 P JAVA % | 7 L PHP-CGM % | 8 L JAVA % | 9 P NS % ")</f>
        <v xml:space="preserve">| 5 P JAVA % | 7 L PHP-CGM % | 8 L JAVA % | 9 P NS % </v>
      </c>
      <c r="AX102" s="4" t="str">
        <f ca="1">IFERROR(__xludf.DUMMYFUNCTION("""COMPUTED_VALUE"""),"| 5 P PHP-CGM % | 7 L CPT % | 8 L NS % | 9 P Python @ ")</f>
        <v xml:space="preserve">| 5 P PHP-CGM % | 7 L CPT % | 8 L NS % | 9 P Python @ </v>
      </c>
      <c r="AY102" s="4" t="str">
        <f ca="1">IFERROR(__xludf.DUMMYFUNCTION("""COMPUTED_VALUE"""),"| 5 L PHP-CGM % | 6 L NS % | 7 P CPT @ | 9 P PRO @ ")</f>
        <v xml:space="preserve">| 5 L PHP-CGM % | 6 L NS % | 7 P CPT @ | 9 P PRO @ </v>
      </c>
      <c r="AZ102" s="4" t="str">
        <f ca="1">IFERROR(__xludf.DUMMYFUNCTION("""COMPUTED_VALUE"""),"| 5 L PHP-CGM % | 6 L NS % | 7 L JAVA @ | 8 L CPT @ ")</f>
        <v xml:space="preserve">| 5 L PHP-CGM % | 6 L NS % | 7 L JAVA @ | 8 L CPT @ </v>
      </c>
      <c r="BA102" s="4" t="str">
        <f ca="1">IFERROR(__xludf.DUMMYFUNCTION("""COMPUTED_VALUE"""),"| 5 P JAVA % | 7 L PHP-CGM % | 8 L JAVA % ")</f>
        <v xml:space="preserve">| 5 P JAVA % | 7 L PHP-CGM % | 8 L JAVA % </v>
      </c>
      <c r="BB102" s="4" t="str">
        <f ca="1">IFERROR(__xludf.DUMMYFUNCTION("""COMPUTED_VALUE"""),"| 5 P PHP-CGM % | 7 L CPT % | 8 L NS % ")</f>
        <v xml:space="preserve">| 5 P PHP-CGM % | 7 L CPT % | 8 L NS % </v>
      </c>
      <c r="BC102" s="4" t="str">
        <f ca="1">IFERROR(__xludf.DUMMYFUNCTION("""COMPUTED_VALUE"""),"| 5 L PHP-CGM % | 6 L NS % | 7 P CPT @ | 9 P PRO @ ")</f>
        <v xml:space="preserve">| 5 L PHP-CGM % | 6 L NS % | 7 P CPT @ | 9 P PRO @ </v>
      </c>
      <c r="BD102" s="4" t="str">
        <f ca="1">IFERROR(__xludf.DUMMYFUNCTION("""COMPUTED_VALUE"""),"| 5 L JAVA % | 6 L CPT % | 7 P JAVA % | 9 L INE % ")</f>
        <v xml:space="preserve">| 5 L JAVA % | 6 L CPT % | 7 P JAVA % | 9 L INE % </v>
      </c>
      <c r="BE102" s="4" t="str">
        <f ca="1">IFERROR(__xludf.DUMMYFUNCTION("""COMPUTED_VALUE"""),"| 5 L PHP-CGM % | 6 L NS % | 7 L JAVA @ | 8 L CPT @ | 9 P Python @ ")</f>
        <v xml:space="preserve">| 5 L PHP-CGM % | 6 L NS % | 7 L JAVA @ | 8 L CPT @ | 9 P Python @ </v>
      </c>
      <c r="BF102" s="4" t="str">
        <f ca="1">IFERROR(__xludf.DUMMYFUNCTION("""COMPUTED_VALUE"""),"| 5 P JAVA % | 7 L PHP-CGM % | 8 L JAVA % | 9 P NS @ ")</f>
        <v xml:space="preserve">| 5 P JAVA % | 7 L PHP-CGM % | 8 L JAVA % | 9 P NS @ </v>
      </c>
      <c r="BG102" s="4" t="str">
        <f ca="1">IFERROR(__xludf.DUMMYFUNCTION("""COMPUTED_VALUE"""),"| 5 L PHP-CGM % | 6 L NS % | 7 P CPT @ | 9 P PRO @ ")</f>
        <v xml:space="preserve">| 5 L PHP-CGM % | 6 L NS % | 7 P CPT @ | 9 P PRO @ </v>
      </c>
      <c r="BH102" s="4" t="str">
        <f ca="1">IFERROR(__xludf.DUMMYFUNCTION("""COMPUTED_VALUE"""),"| 5 L JAVA @ | 6 L CPT % | 7 P JAVA % | 9 L INE % ")</f>
        <v xml:space="preserve">| 5 L JAVA @ | 6 L CPT % | 7 P JAVA % | 9 L INE % </v>
      </c>
      <c r="BI102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BJ102" s="4" t="str">
        <f ca="1">IFERROR(__xludf.DUMMYFUNCTION("""COMPUTED_VALUE"""),"| 5 P JAVA % | 7 L JAVA % | 7 L PHP-CGM % ")</f>
        <v xml:space="preserve">| 5 P JAVA % | 7 L JAVA % | 7 L PHP-CGM % </v>
      </c>
      <c r="BK102" s="4" t="str">
        <f ca="1">IFERROR(__xludf.DUMMYFUNCTION("""COMPUTED_VALUE"""),"| 7 L CPT @ | 8 L NS @ ")</f>
        <v xml:space="preserve">| 7 L CPT @ | 8 L NS @ </v>
      </c>
      <c r="BL102" s="4" t="str">
        <f ca="1">IFERROR(__xludf.DUMMYFUNCTION("""COMPUTED_VALUE"""),"| 5 L PHP-CGM % | 6 L NS % | 7 P CPT @ ")</f>
        <v xml:space="preserve">| 5 L PHP-CGM % | 6 L NS % | 7 P CPT @ </v>
      </c>
      <c r="BM102" s="4" t="str">
        <f ca="1">IFERROR(__xludf.DUMMYFUNCTION("""COMPUTED_VALUE"""),"| 5 L JAVA % | 6 L CPT % | 9 L INE @ ")</f>
        <v xml:space="preserve">| 5 L JAVA % | 6 L CPT % | 9 L INE @ </v>
      </c>
      <c r="BN102" s="4" t="str">
        <f ca="1">IFERROR(__xludf.DUMMYFUNCTION("""COMPUTED_VALUE"""),"| 5 L PHP-CGM % | 6 L NS % | 9 L JAVA @ | 8 L CPT @ ")</f>
        <v xml:space="preserve">| 5 L PHP-CGM % | 6 L NS % | 9 L JAVA @ | 8 L CPT @ </v>
      </c>
      <c r="BO102" s="4" t="str">
        <f ca="1">IFERROR(__xludf.DUMMYFUNCTION("""COMPUTED_VALUE"""),"| 5 P JAVA @ | 7 L PHP-CGM @ ")</f>
        <v xml:space="preserve">| 5 P JAVA @ | 7 L PHP-CGM @ </v>
      </c>
      <c r="BP102" s="4" t="str">
        <f ca="1">IFERROR(__xludf.DUMMYFUNCTION("""COMPUTED_VALUE"""),"| 5 P PHP-CGM @ | 7 L CPT @ | 8 L NS @ ")</f>
        <v xml:space="preserve">| 5 P PHP-CGM @ | 7 L CPT @ | 8 L NS @ </v>
      </c>
      <c r="BQ102" s="4" t="str">
        <f ca="1">IFERROR(__xludf.DUMMYFUNCTION("""COMPUTED_VALUE"""),"| 5 L JAVA % | 6 L CPT % ")</f>
        <v xml:space="preserve">| 5 L JAVA % | 6 L CPT % </v>
      </c>
      <c r="BR102" s="4" t="str">
        <f ca="1">IFERROR(__xludf.DUMMYFUNCTION("""COMPUTED_VALUE"""),"| 7 L JAVA % ")</f>
        <v xml:space="preserve">| 7 L JAVA % </v>
      </c>
      <c r="BS102" s="4"/>
      <c r="BT102" s="4" t="str">
        <f ca="1">IFERROR(__xludf.DUMMYFUNCTION("""COMPUTED_VALUE"""),"| 7 L CPT @ ")</f>
        <v xml:space="preserve">| 7 L CPT @ </v>
      </c>
      <c r="BU102" s="4" t="str">
        <f ca="1">IFERROR(__xludf.DUMMYFUNCTION("""COMPUTED_VALUE"""),"| 7 P CPT @ ")</f>
        <v xml:space="preserve">| 7 P CPT @ </v>
      </c>
      <c r="BV102" s="4" t="str">
        <f ca="1">IFERROR(__xludf.DUMMYFUNCTION("""COMPUTED_VALUE"""),"| 5 P PHP-CGM @ | 7 L CPT @ | 8 L NS @ | 9 P Python @ ")</f>
        <v xml:space="preserve">| 5 P PHP-CGM @ | 7 L CPT @ | 8 L NS @ | 9 P Python @ </v>
      </c>
      <c r="BW102" s="4"/>
      <c r="BX102" s="4" t="str">
        <f ca="1">IFERROR(__xludf.DUMMYFUNCTION("""COMPUTED_VALUE"""),"| 5 L JAVA % | 6 L CPT % | 7 P JAVA % ")</f>
        <v xml:space="preserve">| 5 L JAVA % | 6 L CPT % | 7 P JAVA % </v>
      </c>
      <c r="BY102" s="4" t="str">
        <f ca="1">IFERROR(__xludf.DUMMYFUNCTION("""COMPUTED_VALUE"""),"| 5 L PHP-CGM % | 6 L NS % | 7 L JAVA @ | 8 L CPT @ | 9 P Python @ ")</f>
        <v xml:space="preserve">| 5 L PHP-CGM % | 6 L NS % | 7 L JAVA @ | 8 L CPT @ | 9 P Python @ </v>
      </c>
      <c r="BZ102" s="4" t="str">
        <f ca="1">IFERROR(__xludf.DUMMYFUNCTION("""COMPUTED_VALUE"""),"| 5 P JAVA % | 8 L JAVA % | 7 L PHP-CGM % | 9 P NS % ")</f>
        <v xml:space="preserve">| 5 P JAVA % | 8 L JAVA % | 7 L PHP-CGM % | 9 P NS % </v>
      </c>
      <c r="CA102" s="4" t="str">
        <f ca="1">IFERROR(__xludf.DUMMYFUNCTION("""COMPUTED_VALUE"""),"| 7 L CPT @ | 8 L NS @ | 9 P Python @ ")</f>
        <v xml:space="preserve">| 7 L CPT @ | 8 L NS @ | 9 P Python @ </v>
      </c>
      <c r="CB102" s="4" t="str">
        <f ca="1">IFERROR(__xludf.DUMMYFUNCTION("""COMPUTED_VALUE"""),"| 5 L PHP-CGM @ | 6 L NS @ | 7 P CPT @ ")</f>
        <v xml:space="preserve">| 5 L PHP-CGM @ | 6 L NS @ | 7 P CPT @ </v>
      </c>
      <c r="CC102" s="4" t="str">
        <f ca="1">IFERROR(__xludf.DUMMYFUNCTION("""COMPUTED_VALUE"""),"| 5 L JAVA @ | 7 P JAVA @ | 9 L INE % ")</f>
        <v xml:space="preserve">| 5 L JAVA @ | 7 P JAVA @ | 9 L INE % </v>
      </c>
      <c r="CD102" s="4" t="str">
        <f ca="1">IFERROR(__xludf.DUMMYFUNCTION("""COMPUTED_VALUE"""),"| 5 L PHP-CGM @ | 6 L NS @ | 7 L JAVA @ | 8 L CPT @ ")</f>
        <v xml:space="preserve">| 5 L PHP-CGM @ | 6 L NS @ | 7 L JAVA @ | 8 L CPT @ </v>
      </c>
      <c r="CE102" s="4" t="str">
        <f ca="1">IFERROR(__xludf.DUMMYFUNCTION("""COMPUTED_VALUE"""),"| 5 P JAVA @ | 8 L JAVA @ | 7 L PHP-CGM @ | 9 P NS @ ")</f>
        <v xml:space="preserve">| 5 P JAVA @ | 8 L JAVA @ | 7 L PHP-CGM @ | 9 P NS @ </v>
      </c>
      <c r="CF102" s="4" t="str">
        <f ca="1">IFERROR(__xludf.DUMMYFUNCTION("""COMPUTED_VALUE"""),"| 7 L CPT @ | 8 L NS @ | 9 P Python @ ")</f>
        <v xml:space="preserve">| 7 L CPT @ | 8 L NS @ | 9 P Python @ </v>
      </c>
      <c r="CG102" s="4" t="str">
        <f ca="1">IFERROR(__xludf.DUMMYFUNCTION("""COMPUTED_VALUE"""),"| 5 L PHP-CGM @ | 6 L NS @ | 7 P CPT @ ")</f>
        <v xml:space="preserve">| 5 L PHP-CGM @ | 6 L NS @ | 7 P CPT @ </v>
      </c>
      <c r="CH102" s="4" t="str">
        <f ca="1">IFERROR(__xludf.DUMMYFUNCTION("""COMPUTED_VALUE"""),"| 5 L JAVA @ | 6 L CPT @ | 7 P JAVA % | 9 L INE @ ")</f>
        <v xml:space="preserve">| 5 L JAVA @ | 6 L CPT @ | 7 P JAVA % | 9 L INE @ </v>
      </c>
      <c r="CI102" s="4" t="str">
        <f ca="1">IFERROR(__xludf.DUMMYFUNCTION("""COMPUTED_VALUE"""),"| 5 L PHP-CGM @ | 7 L JAVA @ | 8 L CPT @ ")</f>
        <v xml:space="preserve">| 5 L PHP-CGM @ | 7 L JAVA @ | 8 L CPT @ </v>
      </c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</row>
    <row r="103" spans="1:102" ht="12.5" x14ac:dyDescent="0.25">
      <c r="A103" s="3">
        <f ca="1">IFERROR(__xludf.DUMMYFUNCTION("""COMPUTED_VALUE"""),2)</f>
        <v>2</v>
      </c>
      <c r="B103" s="3" t="str">
        <f ca="1">IFERROR(__xludf.DUMMYFUNCTION("""COMPUTED_VALUE"""),"B")</f>
        <v>B</v>
      </c>
      <c r="C103" s="32" t="str">
        <f ca="1">IFERROR(__xludf.DUMMYFUNCTION("""COMPUTED_VALUE"""),"23291341048")</f>
        <v>23291341048</v>
      </c>
      <c r="D103" s="4" t="str">
        <f ca="1">IFERROR(__xludf.DUMMYFUNCTION("""COMPUTED_VALUE"""),"KALARIYA PRITHAL RAJAN")</f>
        <v>KALARIYA PRITHAL RAJAN</v>
      </c>
      <c r="E103" s="3" t="str">
        <f ca="1">IFERROR(__xludf.DUMMYFUNCTION("""COMPUTED_VALUE"""),"HAM/HDP-EVE")</f>
        <v>HAM/HDP-EVE</v>
      </c>
      <c r="F103" s="3">
        <f ca="1">IFERROR(__xludf.DUMMYFUNCTION("""COMPUTED_VALUE"""),9586675073)</f>
        <v>9586675073</v>
      </c>
      <c r="G103" s="3">
        <f ca="1">IFERROR(__xludf.DUMMYFUNCTION("""COMPUTED_VALUE"""),9427275073)</f>
        <v>9427275073</v>
      </c>
      <c r="H103" s="33">
        <f ca="1">IFERROR(__xludf.DUMMYFUNCTION("""COMPUTED_VALUE"""),0.831818181818181)</f>
        <v>0.83181818181818101</v>
      </c>
      <c r="I103" s="25">
        <f ca="1">IFERROR(__xludf.DUMMYFUNCTION("""COMPUTED_VALUE"""),0.81081081081081)</f>
        <v>0.81081081081080997</v>
      </c>
      <c r="J103" s="25">
        <f ca="1">IFERROR(__xludf.DUMMYFUNCTION("""COMPUTED_VALUE"""),0.833333333333333)</f>
        <v>0.83333333333333304</v>
      </c>
      <c r="K103" s="25">
        <f ca="1">IFERROR(__xludf.DUMMYFUNCTION("""COMPUTED_VALUE"""),0.794117647058823)</f>
        <v>0.79411764705882304</v>
      </c>
      <c r="L103" s="25">
        <f ca="1">IFERROR(__xludf.DUMMYFUNCTION("""COMPUTED_VALUE"""),0.857142857142857)</f>
        <v>0.85714285714285698</v>
      </c>
      <c r="M103" s="25">
        <f ca="1">IFERROR(__xludf.DUMMYFUNCTION("""COMPUTED_VALUE"""),0.857142857142857)</f>
        <v>0.85714285714285698</v>
      </c>
      <c r="N103" s="25">
        <f ca="1">IFERROR(__xludf.DUMMYFUNCTION("""COMPUTED_VALUE"""),0.777777777777777)</f>
        <v>0.77777777777777701</v>
      </c>
      <c r="O103" s="25">
        <f ca="1">IFERROR(__xludf.DUMMYFUNCTION("""COMPUTED_VALUE"""),0.914285714285714)</f>
        <v>0.91428571428571404</v>
      </c>
      <c r="P103" s="25">
        <f ca="1">IFERROR(__xludf.DUMMYFUNCTION("""COMPUTED_VALUE"""),1)</f>
        <v>1</v>
      </c>
      <c r="Q103" s="25">
        <f ca="1">IFERROR(__xludf.DUMMYFUNCTION("""COMPUTED_VALUE"""),0)</f>
        <v>0</v>
      </c>
      <c r="R103" s="25">
        <f ca="1">IFERROR(__xludf.DUMMYFUNCTION("""COMPUTED_VALUE"""),0.933333333333333)</f>
        <v>0.93333333333333302</v>
      </c>
      <c r="S103" s="25">
        <f ca="1">IFERROR(__xludf.DUMMYFUNCTION("""COMPUTED_VALUE"""),0)</f>
        <v>0</v>
      </c>
      <c r="T103" s="25">
        <f ca="1">IFERROR(__xludf.DUMMYFUNCTION("""COMPUTED_VALUE"""),0.714285714285714)</f>
        <v>0.71428571428571397</v>
      </c>
      <c r="U103" s="25">
        <f ca="1">IFERROR(__xludf.DUMMYFUNCTION("""COMPUTED_VALUE"""),0.125)</f>
        <v>0.125</v>
      </c>
      <c r="V103" s="25">
        <f ca="1">IFERROR(__xludf.DUMMYFUNCTION("""COMPUTED_VALUE"""),0)</f>
        <v>0</v>
      </c>
      <c r="W103" s="4"/>
      <c r="X103" s="4" t="str">
        <f ca="1">IFERROR(__xludf.DUMMYFUNCTION("""COMPUTED_VALUE"""),"| 5 P PHP-CGM % | 7 L CPT % | 8 L NS % | 9 P Python % ")</f>
        <v xml:space="preserve">| 5 P PHP-CGM % | 7 L CPT % | 8 L NS % | 9 P Python % </v>
      </c>
      <c r="Y103" s="4" t="str">
        <f ca="1">IFERROR(__xludf.DUMMYFUNCTION("""COMPUTED_VALUE"""),"| 5 L PHP-CGM % | 6 L NS % | 8 P CPT % | 9 P PRO % ")</f>
        <v xml:space="preserve">| 5 L PHP-CGM % | 6 L NS % | 8 P CPT % | 9 P PRO % </v>
      </c>
      <c r="Z103" s="4" t="str">
        <f ca="1">IFERROR(__xludf.DUMMYFUNCTION("""COMPUTED_VALUE"""),"| 5 L JAVA % | 6 L CPT % | 7 P JAVA % ")</f>
        <v xml:space="preserve">| 5 L JAVA % | 6 L CPT % | 7 P JAVA % </v>
      </c>
      <c r="AA103" s="4" t="str">
        <f ca="1">IFERROR(__xludf.DUMMYFUNCTION("""COMPUTED_VALUE"""),"| 5 L PHP-CGM % | 7 L JAVA % | 9 P Python % | 8 L CPT % ")</f>
        <v xml:space="preserve">| 5 L PHP-CGM % | 7 L JAVA % | 9 P Python % | 8 L CPT % </v>
      </c>
      <c r="AB103" s="4" t="str">
        <f ca="1">IFERROR(__xludf.DUMMYFUNCTION("""COMPUTED_VALUE"""),"| 5 P JAVA % | 7 L PHP-CGM % | 8 L JAVA % | 9 P NS % ")</f>
        <v xml:space="preserve">| 5 P JAVA % | 7 L PHP-CGM % | 8 L JAVA % | 9 P NS % </v>
      </c>
      <c r="AC103" s="4" t="str">
        <f ca="1">IFERROR(__xludf.DUMMYFUNCTION("""COMPUTED_VALUE"""),"| 5 P PHP-CGM % | 7 L CPT % | 8 L NS % | 9 P Python % ")</f>
        <v xml:space="preserve">| 5 P PHP-CGM % | 7 L CPT % | 8 L NS % | 9 P Python % </v>
      </c>
      <c r="AD103" s="4" t="str">
        <f ca="1">IFERROR(__xludf.DUMMYFUNCTION("""COMPUTED_VALUE"""),"| 5 L PHP-CGM % | 6 L NS % | 7 P CPT % ")</f>
        <v xml:space="preserve">| 5 L PHP-CGM % | 6 L NS % | 7 P CPT % </v>
      </c>
      <c r="AE103" s="4" t="str">
        <f ca="1">IFERROR(__xludf.DUMMYFUNCTION("""COMPUTED_VALUE"""),"| 5 L JAVA % | 6 L CPT % | 7 P JAVA % ")</f>
        <v xml:space="preserve">| 5 L JAVA % | 6 L CPT % | 7 P JAVA % </v>
      </c>
      <c r="AF103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03" s="4" t="str">
        <f ca="1">IFERROR(__xludf.DUMMYFUNCTION("""COMPUTED_VALUE"""),"| 5 P JAVA % | 8 L JAVA % | 7 L PHP-CGM % ")</f>
        <v xml:space="preserve">| 5 P JAVA % | 8 L JAVA % | 7 L PHP-CGM % </v>
      </c>
      <c r="AH103" s="4" t="str">
        <f ca="1">IFERROR(__xludf.DUMMYFUNCTION("""COMPUTED_VALUE"""),"| 5 L PHP-CGM % | 6 L NS % | 7 L JAVA % | 8 L CPT % ")</f>
        <v xml:space="preserve">| 5 L PHP-CGM % | 6 L NS % | 7 L JAVA % | 8 L CPT % </v>
      </c>
      <c r="AI103" s="4" t="str">
        <f ca="1">IFERROR(__xludf.DUMMYFUNCTION("""COMPUTED_VALUE"""),"| 5 P JAVA % | 8 L JAVA % | 7 L PHP-CGM % | 9 P NS % ")</f>
        <v xml:space="preserve">| 5 P JAVA % | 8 L JAVA % | 7 L PHP-CGM % | 9 P NS % </v>
      </c>
      <c r="AJ103" s="4" t="str">
        <f ca="1">IFERROR(__xludf.DUMMYFUNCTION("""COMPUTED_VALUE"""),"| 5 P PHP-CGM % | 7 L CPT % | 8 L NS % | 9 P Python % ")</f>
        <v xml:space="preserve">| 5 P PHP-CGM % | 7 L CPT % | 8 L NS % | 9 P Python % </v>
      </c>
      <c r="AK103" s="4" t="str">
        <f ca="1">IFERROR(__xludf.DUMMYFUNCTION("""COMPUTED_VALUE"""),"| 5 L PHP-CGM % | 6 L NS % | 7 P CPT % | 9 P PRO % ")</f>
        <v xml:space="preserve">| 5 L PHP-CGM % | 6 L NS % | 7 P CPT % | 9 P PRO % </v>
      </c>
      <c r="AL103" s="4" t="str">
        <f ca="1">IFERROR(__xludf.DUMMYFUNCTION("""COMPUTED_VALUE"""),"| 5 L JAVA % | 6 L CPT % | 7 P JAVA % | 9 L INE @ ")</f>
        <v xml:space="preserve">| 5 L JAVA % | 6 L CPT % | 7 P JAVA % | 9 L INE @ </v>
      </c>
      <c r="AM103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03" s="4" t="str">
        <f ca="1">IFERROR(__xludf.DUMMYFUNCTION("""COMPUTED_VALUE"""),"| 5 P JAVA % | 8 L JAVA % | 7 L PHP-CGM % | 9 P NS % ")</f>
        <v xml:space="preserve">| 5 P JAVA % | 8 L JAVA % | 7 L PHP-CGM % | 9 P NS % </v>
      </c>
      <c r="AO103" s="4" t="str">
        <f ca="1">IFERROR(__xludf.DUMMYFUNCTION("""COMPUTED_VALUE"""),"| 5 P PHP-CGM % | 7 L CPT % | 8 L NS % | 9 P Python % ")</f>
        <v xml:space="preserve">| 5 P PHP-CGM % | 7 L CPT % | 8 L NS % | 9 P Python % </v>
      </c>
      <c r="AP103" s="4" t="str">
        <f ca="1">IFERROR(__xludf.DUMMYFUNCTION("""COMPUTED_VALUE"""),"| 5 L PHP-CGM % | 6 L NS % | 7 P CPT % | 9 P PRO @ ")</f>
        <v xml:space="preserve">| 5 L PHP-CGM % | 6 L NS % | 7 P CPT % | 9 P PRO @ </v>
      </c>
      <c r="AQ103" s="4" t="str">
        <f ca="1">IFERROR(__xludf.DUMMYFUNCTION("""COMPUTED_VALUE"""),"| 5 L CPT % | 7 L JAVA % | 7 P JAVA % | 9 L INE @ ")</f>
        <v xml:space="preserve">| 5 L CPT % | 7 L JAVA % | 7 P JAVA % | 9 L INE @ </v>
      </c>
      <c r="AR103" s="4" t="str">
        <f ca="1">IFERROR(__xludf.DUMMYFUNCTION("""COMPUTED_VALUE"""),"| 5 L PHP-CGM @ | 6 L NS @ | 8 L CPT @ ")</f>
        <v xml:space="preserve">| 5 L PHP-CGM @ | 6 L NS @ | 8 L CPT @ </v>
      </c>
      <c r="AS103" s="4" t="str">
        <f ca="1">IFERROR(__xludf.DUMMYFUNCTION("""COMPUTED_VALUE"""),"| 5 P PHP-CGM @ | 7 L CPT @ | 8 L NS @ | 9 P Python @ ")</f>
        <v xml:space="preserve">| 5 P PHP-CGM @ | 7 L CPT @ | 8 L NS @ | 9 P Python @ </v>
      </c>
      <c r="AT103" s="4" t="str">
        <f ca="1">IFERROR(__xludf.DUMMYFUNCTION("""COMPUTED_VALUE"""),"| 5 L PHP-CGM % | 6 L NS % | 7 P CPT % | 9 P PRO % ")</f>
        <v xml:space="preserve">| 5 L PHP-CGM % | 6 L NS % | 7 P CPT % | 9 P PRO % </v>
      </c>
      <c r="AU103" s="4" t="str">
        <f ca="1">IFERROR(__xludf.DUMMYFUNCTION("""COMPUTED_VALUE"""),"| 5 L JAVA % | 6 L CPT % | 8 P JAVA % | 9 L INE @ ")</f>
        <v xml:space="preserve">| 5 L JAVA % | 6 L CPT % | 8 P JAVA % | 9 L INE @ </v>
      </c>
      <c r="AV103" s="4" t="str">
        <f ca="1">IFERROR(__xludf.DUMMYFUNCTION("""COMPUTED_VALUE"""),"| 5 L PHP-CGM % | 6 L NS % | 7 L JAVA % | 8 L CPT % ")</f>
        <v xml:space="preserve">| 5 L PHP-CGM % | 6 L NS % | 7 L JAVA % | 8 L CPT % </v>
      </c>
      <c r="AW103" s="4" t="str">
        <f ca="1">IFERROR(__xludf.DUMMYFUNCTION("""COMPUTED_VALUE"""),"| 5 P JAVA % | 7 L PHP-CGM % | 8 L JAVA % | 9 P NS % ")</f>
        <v xml:space="preserve">| 5 P JAVA % | 7 L PHP-CGM % | 8 L JAVA % | 9 P NS % </v>
      </c>
      <c r="AX103" s="4" t="str">
        <f ca="1">IFERROR(__xludf.DUMMYFUNCTION("""COMPUTED_VALUE"""),"| 5 P PHP-CGM % | 7 L CPT % | 8 L NS % | 9 P Python % ")</f>
        <v xml:space="preserve">| 5 P PHP-CGM % | 7 L CPT % | 8 L NS % | 9 P Python % </v>
      </c>
      <c r="AY103" s="4" t="str">
        <f ca="1">IFERROR(__xludf.DUMMYFUNCTION("""COMPUTED_VALUE"""),"| 5 L PHP-CGM % | 6 L NS % | 7 P CPT % | 9 P PRO @ ")</f>
        <v xml:space="preserve">| 5 L PHP-CGM % | 6 L NS % | 7 P CPT % | 9 P PRO @ </v>
      </c>
      <c r="AZ103" s="4" t="str">
        <f ca="1">IFERROR(__xludf.DUMMYFUNCTION("""COMPUTED_VALUE"""),"| 5 L PHP-CGM % | 6 L NS % | 7 L JAVA % | 8 L CPT % ")</f>
        <v xml:space="preserve">| 5 L PHP-CGM % | 6 L NS % | 7 L JAVA % | 8 L CPT % </v>
      </c>
      <c r="BA103" s="4" t="str">
        <f ca="1">IFERROR(__xludf.DUMMYFUNCTION("""COMPUTED_VALUE"""),"| 5 P JAVA % | 7 L PHP-CGM % | 8 L JAVA % ")</f>
        <v xml:space="preserve">| 5 P JAVA % | 7 L PHP-CGM % | 8 L JAVA % </v>
      </c>
      <c r="BB103" s="4" t="str">
        <f ca="1">IFERROR(__xludf.DUMMYFUNCTION("""COMPUTED_VALUE"""),"| 5 P PHP-CGM % | 7 L CPT % | 8 L NS % ")</f>
        <v xml:space="preserve">| 5 P PHP-CGM % | 7 L CPT % | 8 L NS % </v>
      </c>
      <c r="BC103" s="4" t="str">
        <f ca="1">IFERROR(__xludf.DUMMYFUNCTION("""COMPUTED_VALUE"""),"| 5 L PHP-CGM % | 6 L NS % | 7 P CPT % | 9 P PRO % ")</f>
        <v xml:space="preserve">| 5 L PHP-CGM % | 6 L NS % | 7 P CPT % | 9 P PRO % </v>
      </c>
      <c r="BD103" s="4" t="str">
        <f ca="1">IFERROR(__xludf.DUMMYFUNCTION("""COMPUTED_VALUE"""),"| 5 L JAVA % | 6 L CPT % | 7 P JAVA % | 9 L INE @ ")</f>
        <v xml:space="preserve">| 5 L JAVA % | 6 L CPT % | 7 P JAVA % | 9 L INE @ </v>
      </c>
      <c r="BE103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03" s="4" t="str">
        <f ca="1">IFERROR(__xludf.DUMMYFUNCTION("""COMPUTED_VALUE"""),"| 5 P JAVA % | 7 L PHP-CGM % | 8 L JAVA % | 9 P NS @ ")</f>
        <v xml:space="preserve">| 5 P JAVA % | 7 L PHP-CGM % | 8 L JAVA % | 9 P NS @ </v>
      </c>
      <c r="BG103" s="4" t="str">
        <f ca="1">IFERROR(__xludf.DUMMYFUNCTION("""COMPUTED_VALUE"""),"| 5 L PHP-CGM % | 6 L NS % | 7 P CPT % | 9 P PRO % ")</f>
        <v xml:space="preserve">| 5 L PHP-CGM % | 6 L NS % | 7 P CPT % | 9 P PRO % </v>
      </c>
      <c r="BH103" s="4" t="str">
        <f ca="1">IFERROR(__xludf.DUMMYFUNCTION("""COMPUTED_VALUE"""),"| 5 L JAVA % | 6 L CPT % | 7 P JAVA % | 9 L INE @ ")</f>
        <v xml:space="preserve">| 5 L JAVA % | 6 L CPT % | 7 P JAVA % | 9 L INE @ </v>
      </c>
      <c r="BI103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103" s="4" t="str">
        <f ca="1">IFERROR(__xludf.DUMMYFUNCTION("""COMPUTED_VALUE"""),"| 5 P JAVA % | 7 L JAVA % | 7 L PHP-CGM % ")</f>
        <v xml:space="preserve">| 5 P JAVA % | 7 L JAVA % | 7 L PHP-CGM % </v>
      </c>
      <c r="BK103" s="4" t="str">
        <f ca="1">IFERROR(__xludf.DUMMYFUNCTION("""COMPUTED_VALUE"""),"| 7 L CPT @ | 8 L NS @ ")</f>
        <v xml:space="preserve">| 7 L CPT @ | 8 L NS @ </v>
      </c>
      <c r="BL103" s="4" t="str">
        <f ca="1">IFERROR(__xludf.DUMMYFUNCTION("""COMPUTED_VALUE"""),"| 5 L PHP-CGM @ | 6 L NS @ | 7 P CPT @ ")</f>
        <v xml:space="preserve">| 5 L PHP-CGM @ | 6 L NS @ | 7 P CPT @ </v>
      </c>
      <c r="BM103" s="4" t="str">
        <f ca="1">IFERROR(__xludf.DUMMYFUNCTION("""COMPUTED_VALUE"""),"| 5 L JAVA % | 6 L CPT % | 9 L INE @ ")</f>
        <v xml:space="preserve">| 5 L JAVA % | 6 L CPT % | 9 L INE @ </v>
      </c>
      <c r="BN103" s="4" t="str">
        <f ca="1">IFERROR(__xludf.DUMMYFUNCTION("""COMPUTED_VALUE"""),"| 5 L PHP-CGM % | 6 L NS % | 9 L JAVA % | 8 L CPT % ")</f>
        <v xml:space="preserve">| 5 L PHP-CGM % | 6 L NS % | 9 L JAVA % | 8 L CPT % </v>
      </c>
      <c r="BO103" s="4" t="str">
        <f ca="1">IFERROR(__xludf.DUMMYFUNCTION("""COMPUTED_VALUE"""),"| 5 P JAVA % | 7 L PHP-CGM % ")</f>
        <v xml:space="preserve">| 5 P JAVA % | 7 L PHP-CGM % </v>
      </c>
      <c r="BP103" s="4" t="str">
        <f ca="1">IFERROR(__xludf.DUMMYFUNCTION("""COMPUTED_VALUE"""),"| 5 P PHP-CGM @ | 7 L CPT @ | 8 L NS @ ")</f>
        <v xml:space="preserve">| 5 P PHP-CGM @ | 7 L CPT @ | 8 L NS @ </v>
      </c>
      <c r="BQ103" s="4" t="str">
        <f ca="1">IFERROR(__xludf.DUMMYFUNCTION("""COMPUTED_VALUE"""),"| 5 L JAVA % | 6 L CPT % ")</f>
        <v xml:space="preserve">| 5 L JAVA % | 6 L CPT % </v>
      </c>
      <c r="BR103" s="4" t="str">
        <f ca="1">IFERROR(__xludf.DUMMYFUNCTION("""COMPUTED_VALUE"""),"| 7 L JAVA % ")</f>
        <v xml:space="preserve">| 7 L JAVA % </v>
      </c>
      <c r="BS103" s="4"/>
      <c r="BT103" s="4" t="str">
        <f ca="1">IFERROR(__xludf.DUMMYFUNCTION("""COMPUTED_VALUE"""),"| 7 L CPT @ ")</f>
        <v xml:space="preserve">| 7 L CPT @ </v>
      </c>
      <c r="BU103" s="4" t="str">
        <f ca="1">IFERROR(__xludf.DUMMYFUNCTION("""COMPUTED_VALUE"""),"| 7 P CPT @ ")</f>
        <v xml:space="preserve">| 7 P CPT @ </v>
      </c>
      <c r="BV103" s="4" t="str">
        <f ca="1">IFERROR(__xludf.DUMMYFUNCTION("""COMPUTED_VALUE"""),"| 5 P PHP-CGM % | 7 L CPT % | 8 L NS % | 9 P Python % ")</f>
        <v xml:space="preserve">| 5 P PHP-CGM % | 7 L CPT % | 8 L NS % | 9 P Python % </v>
      </c>
      <c r="BW103" s="4"/>
      <c r="BX103" s="4" t="str">
        <f ca="1">IFERROR(__xludf.DUMMYFUNCTION("""COMPUTED_VALUE"""),"| 5 L JAVA % | 6 L CPT % | 7 P JAVA % ")</f>
        <v xml:space="preserve">| 5 L JAVA % | 6 L CPT % | 7 P JAVA % </v>
      </c>
      <c r="BY103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103" s="4" t="str">
        <f ca="1">IFERROR(__xludf.DUMMYFUNCTION("""COMPUTED_VALUE"""),"| 5 P JAVA % | 8 L JAVA @ | 7 L PHP-CGM @ | 9 P NS % ")</f>
        <v xml:space="preserve">| 5 P JAVA % | 8 L JAVA @ | 7 L PHP-CGM @ | 9 P NS % </v>
      </c>
      <c r="CA103" s="4" t="str">
        <f ca="1">IFERROR(__xludf.DUMMYFUNCTION("""COMPUTED_VALUE"""),"| 7 L CPT % | 8 L NS % | 9 P Python % ")</f>
        <v xml:space="preserve">| 7 L CPT % | 8 L NS % | 9 P Python % </v>
      </c>
      <c r="CB103" s="4" t="str">
        <f ca="1">IFERROR(__xludf.DUMMYFUNCTION("""COMPUTED_VALUE"""),"| 5 L PHP-CGM @ | 6 L NS @ | 7 P CPT % ")</f>
        <v xml:space="preserve">| 5 L PHP-CGM @ | 6 L NS @ | 7 P CPT % </v>
      </c>
      <c r="CC103" s="4" t="str">
        <f ca="1">IFERROR(__xludf.DUMMYFUNCTION("""COMPUTED_VALUE"""),"| 5 L JAVA % | 7 P JAVA % | 9 L INE % ")</f>
        <v xml:space="preserve">| 5 L JAVA % | 7 P JAVA % | 9 L INE % </v>
      </c>
      <c r="CD103" s="4" t="str">
        <f ca="1">IFERROR(__xludf.DUMMYFUNCTION("""COMPUTED_VALUE"""),"| 5 L PHP-CGM % | 6 L NS % | 7 L JAVA @ | 8 L CPT @ ")</f>
        <v xml:space="preserve">| 5 L PHP-CGM % | 6 L NS % | 7 L JAVA @ | 8 L CPT @ </v>
      </c>
      <c r="CE103" s="4" t="str">
        <f ca="1">IFERROR(__xludf.DUMMYFUNCTION("""COMPUTED_VALUE"""),"| 5 P JAVA % | 8 L JAVA % | 7 L PHP-CGM % | 9 P NS % ")</f>
        <v xml:space="preserve">| 5 P JAVA % | 8 L JAVA % | 7 L PHP-CGM % | 9 P NS % </v>
      </c>
      <c r="CF103" s="4" t="str">
        <f ca="1">IFERROR(__xludf.DUMMYFUNCTION("""COMPUTED_VALUE"""),"| 7 L CPT % | 8 L NS % | 9 P Python % ")</f>
        <v xml:space="preserve">| 7 L CPT % | 8 L NS % | 9 P Python % </v>
      </c>
      <c r="CG103" s="4" t="str">
        <f ca="1">IFERROR(__xludf.DUMMYFUNCTION("""COMPUTED_VALUE"""),"| 5 L PHP-CGM @ | 6 L NS @ | 7 P CPT % ")</f>
        <v xml:space="preserve">| 5 L PHP-CGM @ | 6 L NS @ | 7 P CPT % </v>
      </c>
      <c r="CH103" s="4" t="str">
        <f ca="1">IFERROR(__xludf.DUMMYFUNCTION("""COMPUTED_VALUE"""),"| 5 L JAVA % | 6 L CPT % | 7 P JAVA % | 9 L INE @ ")</f>
        <v xml:space="preserve">| 5 L JAVA % | 6 L CPT % | 7 P JAVA % | 9 L INE @ </v>
      </c>
      <c r="CI103" s="4" t="str">
        <f ca="1">IFERROR(__xludf.DUMMYFUNCTION("""COMPUTED_VALUE"""),"| 5 L PHP-CGM % | 7 L JAVA @ | 8 L CPT @ ")</f>
        <v xml:space="preserve">| 5 L PHP-CGM % | 7 L JAVA @ | 8 L CPT @ </v>
      </c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</row>
    <row r="104" spans="1:102" ht="12.5" x14ac:dyDescent="0.25">
      <c r="A104" s="3">
        <f ca="1">IFERROR(__xludf.DUMMYFUNCTION("""COMPUTED_VALUE"""),2)</f>
        <v>2</v>
      </c>
      <c r="B104" s="3" t="str">
        <f ca="1">IFERROR(__xludf.DUMMYFUNCTION("""COMPUTED_VALUE"""),"B")</f>
        <v>B</v>
      </c>
      <c r="C104" s="32" t="str">
        <f ca="1">IFERROR(__xludf.DUMMYFUNCTION("""COMPUTED_VALUE"""),"23291341050")</f>
        <v>23291341050</v>
      </c>
      <c r="D104" s="4" t="str">
        <f ca="1">IFERROR(__xludf.DUMMYFUNCTION("""COMPUTED_VALUE"""),"KANTARIYA JAY DINESHBHAI")</f>
        <v>KANTARIYA JAY DINESHBHAI</v>
      </c>
      <c r="E104" s="3" t="str">
        <f ca="1">IFERROR(__xludf.DUMMYFUNCTION("""COMPUTED_VALUE"""),"HAM/HDP-EVE")</f>
        <v>HAM/HDP-EVE</v>
      </c>
      <c r="F104" s="3">
        <f ca="1">IFERROR(__xludf.DUMMYFUNCTION("""COMPUTED_VALUE"""),7778022836)</f>
        <v>7778022836</v>
      </c>
      <c r="G104" s="3">
        <f ca="1">IFERROR(__xludf.DUMMYFUNCTION("""COMPUTED_VALUE"""),9723658536)</f>
        <v>9723658536</v>
      </c>
      <c r="H104" s="33">
        <f ca="1">IFERROR(__xludf.DUMMYFUNCTION("""COMPUTED_VALUE"""),0.363636363636363)</f>
        <v>0.36363636363636298</v>
      </c>
      <c r="I104" s="25">
        <f ca="1">IFERROR(__xludf.DUMMYFUNCTION("""COMPUTED_VALUE"""),0.378378378378378)</f>
        <v>0.37837837837837801</v>
      </c>
      <c r="J104" s="25">
        <f ca="1">IFERROR(__xludf.DUMMYFUNCTION("""COMPUTED_VALUE"""),0.416666666666666)</f>
        <v>0.41666666666666602</v>
      </c>
      <c r="K104" s="25">
        <f ca="1">IFERROR(__xludf.DUMMYFUNCTION("""COMPUTED_VALUE"""),0.38235294117647)</f>
        <v>0.38235294117647001</v>
      </c>
      <c r="L104" s="25">
        <f ca="1">IFERROR(__xludf.DUMMYFUNCTION("""COMPUTED_VALUE"""),0)</f>
        <v>0</v>
      </c>
      <c r="M104" s="25">
        <f ca="1">IFERROR(__xludf.DUMMYFUNCTION("""COMPUTED_VALUE"""),0.4)</f>
        <v>0.4</v>
      </c>
      <c r="N104" s="25">
        <f ca="1">IFERROR(__xludf.DUMMYFUNCTION("""COMPUTED_VALUE"""),0.333333333333333)</f>
        <v>0.33333333333333298</v>
      </c>
      <c r="O104" s="25">
        <f ca="1">IFERROR(__xludf.DUMMYFUNCTION("""COMPUTED_VALUE"""),0.485714285714285)</f>
        <v>0.48571428571428499</v>
      </c>
      <c r="P104" s="25">
        <f ca="1">IFERROR(__xludf.DUMMYFUNCTION("""COMPUTED_VALUE"""),0.476190476190476)</f>
        <v>0.476190476190476</v>
      </c>
      <c r="Q104" s="25">
        <f ca="1">IFERROR(__xludf.DUMMYFUNCTION("""COMPUTED_VALUE"""),0)</f>
        <v>0</v>
      </c>
      <c r="R104" s="25">
        <f ca="1">IFERROR(__xludf.DUMMYFUNCTION("""COMPUTED_VALUE"""),0.133333333333333)</f>
        <v>0.133333333333333</v>
      </c>
      <c r="S104" s="25">
        <f ca="1">IFERROR(__xludf.DUMMYFUNCTION("""COMPUTED_VALUE"""),0)</f>
        <v>0</v>
      </c>
      <c r="T104" s="25">
        <f ca="1">IFERROR(__xludf.DUMMYFUNCTION("""COMPUTED_VALUE"""),0.142857142857142)</f>
        <v>0.14285714285714199</v>
      </c>
      <c r="U104" s="25">
        <f ca="1">IFERROR(__xludf.DUMMYFUNCTION("""COMPUTED_VALUE"""),0.125)</f>
        <v>0.125</v>
      </c>
      <c r="V104" s="25">
        <f ca="1">IFERROR(__xludf.DUMMYFUNCTION("""COMPUTED_VALUE"""),0)</f>
        <v>0</v>
      </c>
      <c r="W104" s="4"/>
      <c r="X104" s="4" t="str">
        <f ca="1">IFERROR(__xludf.DUMMYFUNCTION("""COMPUTED_VALUE"""),"| 5 P PHP-CGM @ | 7 L CPT @ | 8 L NS @ | 9 P Python @ ")</f>
        <v xml:space="preserve">| 5 P PHP-CGM @ | 7 L CPT @ | 8 L NS @ | 9 P Python @ </v>
      </c>
      <c r="Y104" s="4" t="str">
        <f ca="1">IFERROR(__xludf.DUMMYFUNCTION("""COMPUTED_VALUE"""),"| 5 L PHP-CGM @ | 6 L NS @ | 8 P CPT % | 9 P PRO % ")</f>
        <v xml:space="preserve">| 5 L PHP-CGM @ | 6 L NS @ | 8 P CPT % | 9 P PRO % </v>
      </c>
      <c r="Z104" s="4" t="str">
        <f ca="1">IFERROR(__xludf.DUMMYFUNCTION("""COMPUTED_VALUE"""),"| 5 L JAVA % | 6 L CPT % | 7 P JAVA % ")</f>
        <v xml:space="preserve">| 5 L JAVA % | 6 L CPT % | 7 P JAVA % </v>
      </c>
      <c r="AA104" s="4" t="str">
        <f ca="1">IFERROR(__xludf.DUMMYFUNCTION("""COMPUTED_VALUE"""),"| 5 L PHP-CGM % | 7 L JAVA % | 9 P Python % | 8 L CPT % ")</f>
        <v xml:space="preserve">| 5 L PHP-CGM % | 7 L JAVA % | 9 P Python % | 8 L CPT % </v>
      </c>
      <c r="AB104" s="4" t="str">
        <f ca="1">IFERROR(__xludf.DUMMYFUNCTION("""COMPUTED_VALUE"""),"| 5 P JAVA % | 7 L PHP-CGM % | 8 L JAVA % | 9 P NS @ ")</f>
        <v xml:space="preserve">| 5 P JAVA % | 7 L PHP-CGM % | 8 L JAVA % | 9 P NS @ </v>
      </c>
      <c r="AC104" s="4" t="str">
        <f ca="1">IFERROR(__xludf.DUMMYFUNCTION("""COMPUTED_VALUE"""),"| 5 P PHP-CGM % | 7 L CPT % | 8 L NS % | 9 P Python % ")</f>
        <v xml:space="preserve">| 5 P PHP-CGM % | 7 L CPT % | 8 L NS % | 9 P Python % </v>
      </c>
      <c r="AD104" s="4" t="str">
        <f ca="1">IFERROR(__xludf.DUMMYFUNCTION("""COMPUTED_VALUE"""),"| 5 L PHP-CGM % | 6 L NS % | 7 P CPT % ")</f>
        <v xml:space="preserve">| 5 L PHP-CGM % | 6 L NS % | 7 P CPT % </v>
      </c>
      <c r="AE104" s="4" t="str">
        <f ca="1">IFERROR(__xludf.DUMMYFUNCTION("""COMPUTED_VALUE"""),"| 5 L JAVA % | 6 L CPT % | 7 P JAVA % ")</f>
        <v xml:space="preserve">| 5 L JAVA % | 6 L CPT % | 7 P JAVA % </v>
      </c>
      <c r="AF104" s="4" t="str">
        <f ca="1">IFERROR(__xludf.DUMMYFUNCTION("""COMPUTED_VALUE"""),"| 5 L PHP-CGM % | 6 L NS % | 7 L JAVA % | 8 L CPT @ | 9 P Python @ ")</f>
        <v xml:space="preserve">| 5 L PHP-CGM % | 6 L NS % | 7 L JAVA % | 8 L CPT @ | 9 P Python @ </v>
      </c>
      <c r="AG104" s="4" t="str">
        <f ca="1">IFERROR(__xludf.DUMMYFUNCTION("""COMPUTED_VALUE"""),"| 5 P JAVA % | 8 L JAVA % | 7 L PHP-CGM % ")</f>
        <v xml:space="preserve">| 5 P JAVA % | 8 L JAVA % | 7 L PHP-CGM % </v>
      </c>
      <c r="AH104" s="4" t="str">
        <f ca="1">IFERROR(__xludf.DUMMYFUNCTION("""COMPUTED_VALUE"""),"| 5 L PHP-CGM % | 6 L NS % | 7 L JAVA % | 8 L CPT % ")</f>
        <v xml:space="preserve">| 5 L PHP-CGM % | 6 L NS % | 7 L JAVA % | 8 L CPT % </v>
      </c>
      <c r="AI104" s="4" t="str">
        <f ca="1">IFERROR(__xludf.DUMMYFUNCTION("""COMPUTED_VALUE"""),"| 5 P JAVA % | 8 L JAVA % | 7 L PHP-CGM % | 9 P NS @ ")</f>
        <v xml:space="preserve">| 5 P JAVA % | 8 L JAVA % | 7 L PHP-CGM % | 9 P NS @ </v>
      </c>
      <c r="AJ104" s="4" t="str">
        <f ca="1">IFERROR(__xludf.DUMMYFUNCTION("""COMPUTED_VALUE"""),"| 5 P PHP-CGM @ | 7 L CPT @ | 8 L NS @ | 9 P Python @ ")</f>
        <v xml:space="preserve">| 5 P PHP-CGM @ | 7 L CPT @ | 8 L NS @ | 9 P Python @ </v>
      </c>
      <c r="AK104" s="4" t="str">
        <f ca="1">IFERROR(__xludf.DUMMYFUNCTION("""COMPUTED_VALUE"""),"| 5 L PHP-CGM @ | 6 L NS @ | 7 P CPT % | 9 P PRO @ ")</f>
        <v xml:space="preserve">| 5 L PHP-CGM @ | 6 L NS @ | 7 P CPT % | 9 P PRO @ </v>
      </c>
      <c r="AL104" s="4" t="str">
        <f ca="1">IFERROR(__xludf.DUMMYFUNCTION("""COMPUTED_VALUE"""),"| 5 L JAVA % | 6 L CPT % | 7 P JAVA % | 9 L INE @ ")</f>
        <v xml:space="preserve">| 5 L JAVA % | 6 L CPT % | 7 P JAVA % | 9 L INE @ </v>
      </c>
      <c r="AM104" s="4" t="str">
        <f ca="1">IFERROR(__xludf.DUMMYFUNCTION("""COMPUTED_VALUE"""),"| 5 L PHP-CGM % | 6 L NS % | 7 L JAVA @ | 8 L CPT @ | 9 P Python @ ")</f>
        <v xml:space="preserve">| 5 L PHP-CGM % | 6 L NS % | 7 L JAVA @ | 8 L CPT @ | 9 P Python @ </v>
      </c>
      <c r="AN104" s="4" t="str">
        <f ca="1">IFERROR(__xludf.DUMMYFUNCTION("""COMPUTED_VALUE"""),"| 5 P JAVA % | 8 L JAVA @ | 7 L PHP-CGM @ | 9 P NS @ ")</f>
        <v xml:space="preserve">| 5 P JAVA % | 8 L JAVA @ | 7 L PHP-CGM @ | 9 P NS @ </v>
      </c>
      <c r="AO104" s="4" t="str">
        <f ca="1">IFERROR(__xludf.DUMMYFUNCTION("""COMPUTED_VALUE"""),"| 5 P PHP-CGM @ | 7 L CPT % | 8 L NS % | 9 P Python @ ")</f>
        <v xml:space="preserve">| 5 P PHP-CGM @ | 7 L CPT % | 8 L NS % | 9 P Python @ </v>
      </c>
      <c r="AP104" s="4" t="str">
        <f ca="1">IFERROR(__xludf.DUMMYFUNCTION("""COMPUTED_VALUE"""),"| 5 L PHP-CGM % | 6 L NS % | 7 P CPT % | 9 P PRO @ ")</f>
        <v xml:space="preserve">| 5 L PHP-CGM % | 6 L NS % | 7 P CPT % | 9 P PRO @ </v>
      </c>
      <c r="AQ104" s="4" t="str">
        <f ca="1">IFERROR(__xludf.DUMMYFUNCTION("""COMPUTED_VALUE"""),"| 5 L CPT % | 7 L JAVA % | 7 P JAVA % | 9 L INE @ ")</f>
        <v xml:space="preserve">| 5 L CPT % | 7 L JAVA % | 7 P JAVA % | 9 L INE @ </v>
      </c>
      <c r="AR104" s="4" t="str">
        <f ca="1">IFERROR(__xludf.DUMMYFUNCTION("""COMPUTED_VALUE"""),"| 5 L PHP-CGM @ | 6 L NS @ | 8 L CPT @ ")</f>
        <v xml:space="preserve">| 5 L PHP-CGM @ | 6 L NS @ | 8 L CPT @ </v>
      </c>
      <c r="AS104" s="4" t="str">
        <f ca="1">IFERROR(__xludf.DUMMYFUNCTION("""COMPUTED_VALUE"""),"| 5 P PHP-CGM % | 7 L CPT @ | 8 L NS @ | 9 P Python @ ")</f>
        <v xml:space="preserve">| 5 P PHP-CGM % | 7 L CPT @ | 8 L NS @ | 9 P Python @ </v>
      </c>
      <c r="AT104" s="4" t="str">
        <f ca="1">IFERROR(__xludf.DUMMYFUNCTION("""COMPUTED_VALUE"""),"| 5 L PHP-CGM % | 6 L NS % | 7 P CPT @ | 9 P PRO @ ")</f>
        <v xml:space="preserve">| 5 L PHP-CGM % | 6 L NS % | 7 P CPT @ | 9 P PRO @ </v>
      </c>
      <c r="AU104" s="4" t="str">
        <f ca="1">IFERROR(__xludf.DUMMYFUNCTION("""COMPUTED_VALUE"""),"| 5 L JAVA % | 6 L CPT % | 8 P JAVA % | 9 L INE @ ")</f>
        <v xml:space="preserve">| 5 L JAVA % | 6 L CPT % | 8 P JAVA % | 9 L INE @ </v>
      </c>
      <c r="AV104" s="4" t="str">
        <f ca="1">IFERROR(__xludf.DUMMYFUNCTION("""COMPUTED_VALUE"""),"| 5 L PHP-CGM % | 6 L NS % | 7 L JAVA % | 8 L CPT % ")</f>
        <v xml:space="preserve">| 5 L PHP-CGM % | 6 L NS % | 7 L JAVA % | 8 L CPT % </v>
      </c>
      <c r="AW104" s="4" t="str">
        <f ca="1">IFERROR(__xludf.DUMMYFUNCTION("""COMPUTED_VALUE"""),"| 5 P JAVA @ | 7 L PHP-CGM @ | 8 L JAVA @ | 9 P NS @ ")</f>
        <v xml:space="preserve">| 5 P JAVA @ | 7 L PHP-CGM @ | 8 L JAVA @ | 9 P NS @ </v>
      </c>
      <c r="AX104" s="4" t="str">
        <f ca="1">IFERROR(__xludf.DUMMYFUNCTION("""COMPUTED_VALUE"""),"| 5 P PHP-CGM % | 7 L CPT % | 8 L NS % | 9 P Python @ ")</f>
        <v xml:space="preserve">| 5 P PHP-CGM % | 7 L CPT % | 8 L NS % | 9 P Python @ </v>
      </c>
      <c r="AY104" s="4" t="str">
        <f ca="1">IFERROR(__xludf.DUMMYFUNCTION("""COMPUTED_VALUE"""),"| 5 L PHP-CGM @ | 6 L NS @ | 7 P CPT @ | 9 P PRO @ ")</f>
        <v xml:space="preserve">| 5 L PHP-CGM @ | 6 L NS @ | 7 P CPT @ | 9 P PRO @ </v>
      </c>
      <c r="AZ104" s="4" t="str">
        <f ca="1">IFERROR(__xludf.DUMMYFUNCTION("""COMPUTED_VALUE"""),"| 5 L PHP-CGM @ | 6 L NS @ | 7 L JAVA @ | 8 L CPT @ ")</f>
        <v xml:space="preserve">| 5 L PHP-CGM @ | 6 L NS @ | 7 L JAVA @ | 8 L CPT @ </v>
      </c>
      <c r="BA104" s="4" t="str">
        <f ca="1">IFERROR(__xludf.DUMMYFUNCTION("""COMPUTED_VALUE"""),"| 5 P JAVA @ | 7 L PHP-CGM @ | 8 L JAVA @ ")</f>
        <v xml:space="preserve">| 5 P JAVA @ | 7 L PHP-CGM @ | 8 L JAVA @ </v>
      </c>
      <c r="BB104" s="4" t="str">
        <f ca="1">IFERROR(__xludf.DUMMYFUNCTION("""COMPUTED_VALUE"""),"| 5 P PHP-CGM @ | 7 L CPT @ | 8 L NS @ ")</f>
        <v xml:space="preserve">| 5 P PHP-CGM @ | 7 L CPT @ | 8 L NS @ </v>
      </c>
      <c r="BC104" s="4" t="str">
        <f ca="1">IFERROR(__xludf.DUMMYFUNCTION("""COMPUTED_VALUE"""),"| 5 L PHP-CGM @ | 6 L NS @ | 7 P CPT @ | 9 P PRO @ ")</f>
        <v xml:space="preserve">| 5 L PHP-CGM @ | 6 L NS @ | 7 P CPT @ | 9 P PRO @ </v>
      </c>
      <c r="BD104" s="4" t="str">
        <f ca="1">IFERROR(__xludf.DUMMYFUNCTION("""COMPUTED_VALUE"""),"| 5 L JAVA @ | 6 L CPT @ | 7 P JAVA @ | 9 L INE @ ")</f>
        <v xml:space="preserve">| 5 L JAVA @ | 6 L CPT @ | 7 P JAVA @ | 9 L INE @ </v>
      </c>
      <c r="BE104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F104" s="4" t="str">
        <f ca="1">IFERROR(__xludf.DUMMYFUNCTION("""COMPUTED_VALUE"""),"| 5 P JAVA @ | 7 L PHP-CGM @ | 8 L JAVA @ | 9 P NS @ ")</f>
        <v xml:space="preserve">| 5 P JAVA @ | 7 L PHP-CGM @ | 8 L JAVA @ | 9 P NS @ </v>
      </c>
      <c r="BG104" s="4" t="str">
        <f ca="1">IFERROR(__xludf.DUMMYFUNCTION("""COMPUTED_VALUE"""),"| 5 L PHP-CGM @ | 6 L NS @ | 7 P CPT @ | 9 P PRO @ ")</f>
        <v xml:space="preserve">| 5 L PHP-CGM @ | 6 L NS @ | 7 P CPT @ | 9 P PRO @ </v>
      </c>
      <c r="BH104" s="4" t="str">
        <f ca="1">IFERROR(__xludf.DUMMYFUNCTION("""COMPUTED_VALUE"""),"| 5 L JAVA @ | 6 L CPT @ | 7 P JAVA @ | 9 L INE @ ")</f>
        <v xml:space="preserve">| 5 L JAVA @ | 6 L CPT @ | 7 P JAVA @ | 9 L INE @ </v>
      </c>
      <c r="BI104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J104" s="4" t="str">
        <f ca="1">IFERROR(__xludf.DUMMYFUNCTION("""COMPUTED_VALUE"""),"| 5 P JAVA @ | 7 L JAVA @ | 7 L PHP-CGM @ ")</f>
        <v xml:space="preserve">| 5 P JAVA @ | 7 L JAVA @ | 7 L PHP-CGM @ </v>
      </c>
      <c r="BK104" s="4" t="str">
        <f ca="1">IFERROR(__xludf.DUMMYFUNCTION("""COMPUTED_VALUE"""),"| 7 L CPT @ | 8 L NS @ ")</f>
        <v xml:space="preserve">| 7 L CPT @ | 8 L NS @ </v>
      </c>
      <c r="BL104" s="4" t="str">
        <f ca="1">IFERROR(__xludf.DUMMYFUNCTION("""COMPUTED_VALUE"""),"| 5 L PHP-CGM @ | 6 L NS @ | 7 P CPT @ ")</f>
        <v xml:space="preserve">| 5 L PHP-CGM @ | 6 L NS @ | 7 P CPT @ </v>
      </c>
      <c r="BM104" s="4" t="str">
        <f ca="1">IFERROR(__xludf.DUMMYFUNCTION("""COMPUTED_VALUE"""),"| 5 L JAVA @ | 6 L CPT @ | 9 L INE @ ")</f>
        <v xml:space="preserve">| 5 L JAVA @ | 6 L CPT @ | 9 L INE @ </v>
      </c>
      <c r="BN104" s="4" t="str">
        <f ca="1">IFERROR(__xludf.DUMMYFUNCTION("""COMPUTED_VALUE"""),"| 5 L PHP-CGM @ | 6 L NS @ | 9 L JAVA @ | 8 L CPT @ ")</f>
        <v xml:space="preserve">| 5 L PHP-CGM @ | 6 L NS @ | 9 L JAVA @ | 8 L CPT @ </v>
      </c>
      <c r="BO104" s="4" t="str">
        <f ca="1">IFERROR(__xludf.DUMMYFUNCTION("""COMPUTED_VALUE"""),"| 5 P JAVA @ | 7 L PHP-CGM @ ")</f>
        <v xml:space="preserve">| 5 P JAVA @ | 7 L PHP-CGM @ </v>
      </c>
      <c r="BP104" s="4" t="str">
        <f ca="1">IFERROR(__xludf.DUMMYFUNCTION("""COMPUTED_VALUE"""),"| 5 P PHP-CGM @ | 7 L CPT @ | 8 L NS @ ")</f>
        <v xml:space="preserve">| 5 P PHP-CGM @ | 7 L CPT @ | 8 L NS @ </v>
      </c>
      <c r="BQ104" s="4" t="str">
        <f ca="1">IFERROR(__xludf.DUMMYFUNCTION("""COMPUTED_VALUE"""),"| 5 L JAVA % | 6 L CPT % ")</f>
        <v xml:space="preserve">| 5 L JAVA % | 6 L CPT % </v>
      </c>
      <c r="BR104" s="4" t="str">
        <f ca="1">IFERROR(__xludf.DUMMYFUNCTION("""COMPUTED_VALUE"""),"| 7 L JAVA % ")</f>
        <v xml:space="preserve">| 7 L JAVA % </v>
      </c>
      <c r="BS104" s="4"/>
      <c r="BT104" s="4" t="str">
        <f ca="1">IFERROR(__xludf.DUMMYFUNCTION("""COMPUTED_VALUE"""),"| 7 L CPT @ ")</f>
        <v xml:space="preserve">| 7 L CPT @ </v>
      </c>
      <c r="BU104" s="4" t="str">
        <f ca="1">IFERROR(__xludf.DUMMYFUNCTION("""COMPUTED_VALUE"""),"| 7 P CPT @ ")</f>
        <v xml:space="preserve">| 7 P CPT @ </v>
      </c>
      <c r="BV104" s="4" t="str">
        <f ca="1">IFERROR(__xludf.DUMMYFUNCTION("""COMPUTED_VALUE"""),"| 5 P PHP-CGM @ | 7 L CPT @ | 8 L NS @ | 9 P Python @ ")</f>
        <v xml:space="preserve">| 5 P PHP-CGM @ | 7 L CPT @ | 8 L NS @ | 9 P Python @ </v>
      </c>
      <c r="BW104" s="4"/>
      <c r="BX104" s="4" t="str">
        <f ca="1">IFERROR(__xludf.DUMMYFUNCTION("""COMPUTED_VALUE"""),"| 5 L JAVA @ | 6 L CPT @ | 7 P JAVA @ ")</f>
        <v xml:space="preserve">| 5 L JAVA @ | 6 L CPT @ | 7 P JAVA @ </v>
      </c>
      <c r="BY104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04" s="4" t="str">
        <f ca="1">IFERROR(__xludf.DUMMYFUNCTION("""COMPUTED_VALUE"""),"| 5 P JAVA @ | 8 L JAVA @ | 7 L PHP-CGM @ | 9 P NS @ ")</f>
        <v xml:space="preserve">| 5 P JAVA @ | 8 L JAVA @ | 7 L PHP-CGM @ | 9 P NS @ </v>
      </c>
      <c r="CA104" s="4" t="str">
        <f ca="1">IFERROR(__xludf.DUMMYFUNCTION("""COMPUTED_VALUE"""),"| 7 L CPT % | 8 L NS % | 9 P Python @ ")</f>
        <v xml:space="preserve">| 7 L CPT % | 8 L NS % | 9 P Python @ </v>
      </c>
      <c r="CB104" s="4" t="str">
        <f ca="1">IFERROR(__xludf.DUMMYFUNCTION("""COMPUTED_VALUE"""),"| 5 L PHP-CGM % | 6 L NS % | 7 P CPT % ")</f>
        <v xml:space="preserve">| 5 L PHP-CGM % | 6 L NS % | 7 P CPT % </v>
      </c>
      <c r="CC104" s="4" t="str">
        <f ca="1">IFERROR(__xludf.DUMMYFUNCTION("""COMPUTED_VALUE"""),"| 5 L JAVA % | 7 P JAVA @ | 9 L INE % ")</f>
        <v xml:space="preserve">| 5 L JAVA % | 7 P JAVA @ | 9 L INE % </v>
      </c>
      <c r="CD104" s="4" t="str">
        <f ca="1">IFERROR(__xludf.DUMMYFUNCTION("""COMPUTED_VALUE"""),"| 5 L PHP-CGM % | 6 L NS % | 7 L JAVA % | 8 L CPT % ")</f>
        <v xml:space="preserve">| 5 L PHP-CGM % | 6 L NS % | 7 L JAVA % | 8 L CPT % </v>
      </c>
      <c r="CE104" s="4" t="str">
        <f ca="1">IFERROR(__xludf.DUMMYFUNCTION("""COMPUTED_VALUE"""),"| 5 P JAVA % | 8 L JAVA % | 7 L PHP-CGM % | 9 P NS @ ")</f>
        <v xml:space="preserve">| 5 P JAVA % | 8 L JAVA % | 7 L PHP-CGM % | 9 P NS @ </v>
      </c>
      <c r="CF104" s="4" t="str">
        <f ca="1">IFERROR(__xludf.DUMMYFUNCTION("""COMPUTED_VALUE"""),"| 7 L CPT @ | 8 L NS @ | 9 P Python @ ")</f>
        <v xml:space="preserve">| 7 L CPT @ | 8 L NS @ | 9 P Python @ </v>
      </c>
      <c r="CG104" s="4" t="str">
        <f ca="1">IFERROR(__xludf.DUMMYFUNCTION("""COMPUTED_VALUE"""),"| 5 L PHP-CGM @ | 6 L NS @ | 7 P CPT @ ")</f>
        <v xml:space="preserve">| 5 L PHP-CGM @ | 6 L NS @ | 7 P CPT @ </v>
      </c>
      <c r="CH104" s="4" t="str">
        <f ca="1">IFERROR(__xludf.DUMMYFUNCTION("""COMPUTED_VALUE"""),"| 5 L JAVA @ | 6 L CPT @ | 7 P JAVA @ | 9 L INE @ ")</f>
        <v xml:space="preserve">| 5 L JAVA @ | 6 L CPT @ | 7 P JAVA @ | 9 L INE @ </v>
      </c>
      <c r="CI104" s="4" t="str">
        <f ca="1">IFERROR(__xludf.DUMMYFUNCTION("""COMPUTED_VALUE"""),"| 5 L PHP-CGM @ | 7 L JAVA @ | 8 L CPT @ ")</f>
        <v xml:space="preserve">| 5 L PHP-CGM @ | 7 L JAVA @ | 8 L CPT @ </v>
      </c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</row>
    <row r="105" spans="1:102" ht="12.5" x14ac:dyDescent="0.25">
      <c r="A105" s="3">
        <f ca="1">IFERROR(__xludf.DUMMYFUNCTION("""COMPUTED_VALUE"""),2)</f>
        <v>2</v>
      </c>
      <c r="B105" s="3" t="str">
        <f ca="1">IFERROR(__xludf.DUMMYFUNCTION("""COMPUTED_VALUE"""),"B")</f>
        <v>B</v>
      </c>
      <c r="C105" s="32" t="str">
        <f ca="1">IFERROR(__xludf.DUMMYFUNCTION("""COMPUTED_VALUE"""),"23291341051")</f>
        <v>23291341051</v>
      </c>
      <c r="D105" s="4" t="str">
        <f ca="1">IFERROR(__xludf.DUMMYFUNCTION("""COMPUTED_VALUE"""),"KARDANI DHARMKUMAR JITESHBHAI")</f>
        <v>KARDANI DHARMKUMAR JITESHBHAI</v>
      </c>
      <c r="E105" s="3" t="str">
        <f ca="1">IFERROR(__xludf.DUMMYFUNCTION("""COMPUTED_VALUE"""),"HAM/HDP-EVE")</f>
        <v>HAM/HDP-EVE</v>
      </c>
      <c r="F105" s="3">
        <f ca="1">IFERROR(__xludf.DUMMYFUNCTION("""COMPUTED_VALUE"""),6351490725)</f>
        <v>6351490725</v>
      </c>
      <c r="G105" s="3">
        <f ca="1">IFERROR(__xludf.DUMMYFUNCTION("""COMPUTED_VALUE"""),9909299056)</f>
        <v>9909299056</v>
      </c>
      <c r="H105" s="33">
        <f ca="1">IFERROR(__xludf.DUMMYFUNCTION("""COMPUTED_VALUE"""),0.518181818181818)</f>
        <v>0.51818181818181797</v>
      </c>
      <c r="I105" s="25">
        <f ca="1">IFERROR(__xludf.DUMMYFUNCTION("""COMPUTED_VALUE"""),0.459459459459459)</f>
        <v>0.45945945945945899</v>
      </c>
      <c r="J105" s="25">
        <f ca="1">IFERROR(__xludf.DUMMYFUNCTION("""COMPUTED_VALUE"""),0.5)</f>
        <v>0.5</v>
      </c>
      <c r="K105" s="25">
        <f ca="1">IFERROR(__xludf.DUMMYFUNCTION("""COMPUTED_VALUE"""),0.470588235294117)</f>
        <v>0.47058823529411697</v>
      </c>
      <c r="L105" s="25">
        <f ca="1">IFERROR(__xludf.DUMMYFUNCTION("""COMPUTED_VALUE"""),0.285714285714285)</f>
        <v>0.28571428571428498</v>
      </c>
      <c r="M105" s="25">
        <f ca="1">IFERROR(__xludf.DUMMYFUNCTION("""COMPUTED_VALUE"""),0.542857142857142)</f>
        <v>0.54285714285714204</v>
      </c>
      <c r="N105" s="25">
        <f ca="1">IFERROR(__xludf.DUMMYFUNCTION("""COMPUTED_VALUE"""),0.444444444444444)</f>
        <v>0.44444444444444398</v>
      </c>
      <c r="O105" s="25">
        <f ca="1">IFERROR(__xludf.DUMMYFUNCTION("""COMPUTED_VALUE"""),0.628571428571428)</f>
        <v>0.628571428571428</v>
      </c>
      <c r="P105" s="25">
        <f ca="1">IFERROR(__xludf.DUMMYFUNCTION("""COMPUTED_VALUE"""),0.714285714285714)</f>
        <v>0.71428571428571397</v>
      </c>
      <c r="Q105" s="25">
        <f ca="1">IFERROR(__xludf.DUMMYFUNCTION("""COMPUTED_VALUE"""),0)</f>
        <v>0</v>
      </c>
      <c r="R105" s="25">
        <f ca="1">IFERROR(__xludf.DUMMYFUNCTION("""COMPUTED_VALUE"""),0.333333333333333)</f>
        <v>0.33333333333333298</v>
      </c>
      <c r="S105" s="25">
        <f ca="1">IFERROR(__xludf.DUMMYFUNCTION("""COMPUTED_VALUE"""),0)</f>
        <v>0</v>
      </c>
      <c r="T105" s="25">
        <f ca="1">IFERROR(__xludf.DUMMYFUNCTION("""COMPUTED_VALUE"""),0.714285714285714)</f>
        <v>0.71428571428571397</v>
      </c>
      <c r="U105" s="25">
        <f ca="1">IFERROR(__xludf.DUMMYFUNCTION("""COMPUTED_VALUE"""),0.375)</f>
        <v>0.375</v>
      </c>
      <c r="V105" s="25">
        <f ca="1">IFERROR(__xludf.DUMMYFUNCTION("""COMPUTED_VALUE"""),0)</f>
        <v>0</v>
      </c>
      <c r="W105" s="4"/>
      <c r="X105" s="4" t="str">
        <f ca="1">IFERROR(__xludf.DUMMYFUNCTION("""COMPUTED_VALUE"""),"| 5 P PHP-CGM % | 7 L CPT % | 8 L NS % | 9 P Python % ")</f>
        <v xml:space="preserve">| 5 P PHP-CGM % | 7 L CPT % | 8 L NS % | 9 P Python % </v>
      </c>
      <c r="Y105" s="4" t="str">
        <f ca="1">IFERROR(__xludf.DUMMYFUNCTION("""COMPUTED_VALUE"""),"| 5 L PHP-CGM @ | 6 L NS % | 8 P CPT % | 9 P PRO % ")</f>
        <v xml:space="preserve">| 5 L PHP-CGM @ | 6 L NS % | 8 P CPT % | 9 P PRO % </v>
      </c>
      <c r="Z105" s="4" t="str">
        <f ca="1">IFERROR(__xludf.DUMMYFUNCTION("""COMPUTED_VALUE"""),"| 5 L JAVA % | 6 L CPT % | 7 P JAVA % ")</f>
        <v xml:space="preserve">| 5 L JAVA % | 6 L CPT % | 7 P JAVA % </v>
      </c>
      <c r="AA105" s="4" t="str">
        <f ca="1">IFERROR(__xludf.DUMMYFUNCTION("""COMPUTED_VALUE"""),"| 5 L PHP-CGM % | 7 L JAVA % | 9 P Python % | 8 L CPT % ")</f>
        <v xml:space="preserve">| 5 L PHP-CGM % | 7 L JAVA % | 9 P Python % | 8 L CPT % </v>
      </c>
      <c r="AB105" s="4" t="str">
        <f ca="1">IFERROR(__xludf.DUMMYFUNCTION("""COMPUTED_VALUE"""),"| 5 P JAVA % | 7 L PHP-CGM % | 8 L JAVA % | 9 P NS @ ")</f>
        <v xml:space="preserve">| 5 P JAVA % | 7 L PHP-CGM % | 8 L JAVA % | 9 P NS @ </v>
      </c>
      <c r="AC105" s="4" t="str">
        <f ca="1">IFERROR(__xludf.DUMMYFUNCTION("""COMPUTED_VALUE"""),"| 5 P PHP-CGM % | 7 L CPT % | 8 L NS % | 9 P Python % ")</f>
        <v xml:space="preserve">| 5 P PHP-CGM % | 7 L CPT % | 8 L NS % | 9 P Python % </v>
      </c>
      <c r="AD105" s="4" t="str">
        <f ca="1">IFERROR(__xludf.DUMMYFUNCTION("""COMPUTED_VALUE"""),"| 5 L PHP-CGM % | 6 L NS % | 7 P CPT % ")</f>
        <v xml:space="preserve">| 5 L PHP-CGM % | 6 L NS % | 7 P CPT % </v>
      </c>
      <c r="AE105" s="4" t="str">
        <f ca="1">IFERROR(__xludf.DUMMYFUNCTION("""COMPUTED_VALUE"""),"| 5 L JAVA % | 6 L CPT % | 7 P JAVA % ")</f>
        <v xml:space="preserve">| 5 L JAVA % | 6 L CPT % | 7 P JAVA % </v>
      </c>
      <c r="AF105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AG105" s="4" t="str">
        <f ca="1">IFERROR(__xludf.DUMMYFUNCTION("""COMPUTED_VALUE"""),"| 5 P JAVA % | 8 L JAVA % | 7 L PHP-CGM % ")</f>
        <v xml:space="preserve">| 5 P JAVA % | 8 L JAVA % | 7 L PHP-CGM % </v>
      </c>
      <c r="AH105" s="4" t="str">
        <f ca="1">IFERROR(__xludf.DUMMYFUNCTION("""COMPUTED_VALUE"""),"| 5 L PHP-CGM % | 6 L NS % | 7 L JAVA % | 8 L CPT % ")</f>
        <v xml:space="preserve">| 5 L PHP-CGM % | 6 L NS % | 7 L JAVA % | 8 L CPT % </v>
      </c>
      <c r="AI105" s="4" t="str">
        <f ca="1">IFERROR(__xludf.DUMMYFUNCTION("""COMPUTED_VALUE"""),"| 5 P JAVA @ | 8 L JAVA @ | 7 L PHP-CGM @ | 9 P NS @ ")</f>
        <v xml:space="preserve">| 5 P JAVA @ | 8 L JAVA @ | 7 L PHP-CGM @ | 9 P NS @ </v>
      </c>
      <c r="AJ105" s="4" t="str">
        <f ca="1">IFERROR(__xludf.DUMMYFUNCTION("""COMPUTED_VALUE"""),"| 5 P PHP-CGM @ | 7 L CPT @ | 8 L NS @ | 9 P Python @ ")</f>
        <v xml:space="preserve">| 5 P PHP-CGM @ | 7 L CPT @ | 8 L NS @ | 9 P Python @ </v>
      </c>
      <c r="AK105" s="4" t="str">
        <f ca="1">IFERROR(__xludf.DUMMYFUNCTION("""COMPUTED_VALUE"""),"| 5 L PHP-CGM @ | 6 L NS @ | 7 P CPT % | 9 P PRO % ")</f>
        <v xml:space="preserve">| 5 L PHP-CGM @ | 6 L NS @ | 7 P CPT % | 9 P PRO % </v>
      </c>
      <c r="AL105" s="4" t="str">
        <f ca="1">IFERROR(__xludf.DUMMYFUNCTION("""COMPUTED_VALUE"""),"| 5 L JAVA % | 6 L CPT % | 7 P JAVA % | 9 L INE @ ")</f>
        <v xml:space="preserve">| 5 L JAVA % | 6 L CPT % | 7 P JAVA % | 9 L INE @ </v>
      </c>
      <c r="AM105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AN105" s="4" t="str">
        <f ca="1">IFERROR(__xludf.DUMMYFUNCTION("""COMPUTED_VALUE"""),"| 5 P JAVA @ | 8 L JAVA @ | 7 L PHP-CGM @ | 9 P NS @ ")</f>
        <v xml:space="preserve">| 5 P JAVA @ | 8 L JAVA @ | 7 L PHP-CGM @ | 9 P NS @ </v>
      </c>
      <c r="AO105" s="4" t="str">
        <f ca="1">IFERROR(__xludf.DUMMYFUNCTION("""COMPUTED_VALUE"""),"| 5 P PHP-CGM @ | 7 L CPT @ | 8 L NS @ | 9 P Python @ ")</f>
        <v xml:space="preserve">| 5 P PHP-CGM @ | 7 L CPT @ | 8 L NS @ | 9 P Python @ </v>
      </c>
      <c r="AP105" s="4" t="str">
        <f ca="1">IFERROR(__xludf.DUMMYFUNCTION("""COMPUTED_VALUE"""),"| 5 L PHP-CGM @ | 6 L NS @ | 7 P CPT @ | 9 P PRO @ ")</f>
        <v xml:space="preserve">| 5 L PHP-CGM @ | 6 L NS @ | 7 P CPT @ | 9 P PRO @ </v>
      </c>
      <c r="AQ105" s="4" t="str">
        <f ca="1">IFERROR(__xludf.DUMMYFUNCTION("""COMPUTED_VALUE"""),"| 5 L CPT @ | 7 L JAVA @ | 7 P JAVA @ | 9 L INE @ ")</f>
        <v xml:space="preserve">| 5 L CPT @ | 7 L JAVA @ | 7 P JAVA @ | 9 L INE @ </v>
      </c>
      <c r="AR105" s="4" t="str">
        <f ca="1">IFERROR(__xludf.DUMMYFUNCTION("""COMPUTED_VALUE"""),"| 5 L PHP-CGM @ | 6 L NS @ | 8 L CPT @ ")</f>
        <v xml:space="preserve">| 5 L PHP-CGM @ | 6 L NS @ | 8 L CPT @ </v>
      </c>
      <c r="AS105" s="4" t="str">
        <f ca="1">IFERROR(__xludf.DUMMYFUNCTION("""COMPUTED_VALUE"""),"| 5 P PHP-CGM @ | 7 L CPT @ | 8 L NS @ | 9 P Python @ ")</f>
        <v xml:space="preserve">| 5 P PHP-CGM @ | 7 L CPT @ | 8 L NS @ | 9 P Python @ </v>
      </c>
      <c r="AT105" s="4" t="str">
        <f ca="1">IFERROR(__xludf.DUMMYFUNCTION("""COMPUTED_VALUE"""),"| 5 L PHP-CGM @ | 6 L NS @ | 7 P CPT @ | 9 P PRO @ ")</f>
        <v xml:space="preserve">| 5 L PHP-CGM @ | 6 L NS @ | 7 P CPT @ | 9 P PRO @ </v>
      </c>
      <c r="AU105" s="4" t="str">
        <f ca="1">IFERROR(__xludf.DUMMYFUNCTION("""COMPUTED_VALUE"""),"| 5 L JAVA @ | 6 L CPT @ | 8 P JAVA @ | 9 L INE @ ")</f>
        <v xml:space="preserve">| 5 L JAVA @ | 6 L CPT @ | 8 P JAVA @ | 9 L INE @ </v>
      </c>
      <c r="AV105" s="4" t="str">
        <f ca="1">IFERROR(__xludf.DUMMYFUNCTION("""COMPUTED_VALUE"""),"| 5 L PHP-CGM @ | 6 L NS @ | 7 L JAVA @ | 8 L CPT @ ")</f>
        <v xml:space="preserve">| 5 L PHP-CGM @ | 6 L NS @ | 7 L JAVA @ | 8 L CPT @ </v>
      </c>
      <c r="AW105" s="4" t="str">
        <f ca="1">IFERROR(__xludf.DUMMYFUNCTION("""COMPUTED_VALUE"""),"| 5 P JAVA % | 7 L PHP-CGM % | 8 L JAVA % | 9 P NS % ")</f>
        <v xml:space="preserve">| 5 P JAVA % | 7 L PHP-CGM % | 8 L JAVA % | 9 P NS % </v>
      </c>
      <c r="AX105" s="4" t="str">
        <f ca="1">IFERROR(__xludf.DUMMYFUNCTION("""COMPUTED_VALUE"""),"| 5 P PHP-CGM % | 7 L CPT % | 8 L NS % | 9 P Python % ")</f>
        <v xml:space="preserve">| 5 P PHP-CGM % | 7 L CPT % | 8 L NS % | 9 P Python % </v>
      </c>
      <c r="AY105" s="4" t="str">
        <f ca="1">IFERROR(__xludf.DUMMYFUNCTION("""COMPUTED_VALUE"""),"| 5 L PHP-CGM % | 6 L NS % | 7 P CPT % | 9 P PRO % ")</f>
        <v xml:space="preserve">| 5 L PHP-CGM % | 6 L NS % | 7 P CPT % | 9 P PRO % </v>
      </c>
      <c r="AZ105" s="4" t="str">
        <f ca="1">IFERROR(__xludf.DUMMYFUNCTION("""COMPUTED_VALUE"""),"| 5 L PHP-CGM % | 6 L NS % | 7 L JAVA % | 8 L CPT % ")</f>
        <v xml:space="preserve">| 5 L PHP-CGM % | 6 L NS % | 7 L JAVA % | 8 L CPT % </v>
      </c>
      <c r="BA105" s="4" t="str">
        <f ca="1">IFERROR(__xludf.DUMMYFUNCTION("""COMPUTED_VALUE"""),"| 5 P JAVA % | 7 L PHP-CGM % | 8 L JAVA % ")</f>
        <v xml:space="preserve">| 5 P JAVA % | 7 L PHP-CGM % | 8 L JAVA % </v>
      </c>
      <c r="BB105" s="4" t="str">
        <f ca="1">IFERROR(__xludf.DUMMYFUNCTION("""COMPUTED_VALUE"""),"| 5 P PHP-CGM % | 7 L CPT % | 8 L NS % ")</f>
        <v xml:space="preserve">| 5 P PHP-CGM % | 7 L CPT % | 8 L NS % </v>
      </c>
      <c r="BC105" s="4" t="str">
        <f ca="1">IFERROR(__xludf.DUMMYFUNCTION("""COMPUTED_VALUE"""),"| 5 L PHP-CGM % | 6 L NS % | 7 P CPT @ | 9 P PRO % ")</f>
        <v xml:space="preserve">| 5 L PHP-CGM % | 6 L NS % | 7 P CPT @ | 9 P PRO % </v>
      </c>
      <c r="BD105" s="4" t="str">
        <f ca="1">IFERROR(__xludf.DUMMYFUNCTION("""COMPUTED_VALUE"""),"| 5 L JAVA % | 6 L CPT % | 7 P JAVA % | 9 L INE % ")</f>
        <v xml:space="preserve">| 5 L JAVA % | 6 L CPT % | 7 P JAVA % | 9 L INE % </v>
      </c>
      <c r="BE105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05" s="4" t="str">
        <f ca="1">IFERROR(__xludf.DUMMYFUNCTION("""COMPUTED_VALUE"""),"| 5 P JAVA % | 7 L PHP-CGM % | 8 L JAVA % | 9 P NS @ ")</f>
        <v xml:space="preserve">| 5 P JAVA % | 7 L PHP-CGM % | 8 L JAVA % | 9 P NS @ </v>
      </c>
      <c r="BG105" s="4" t="str">
        <f ca="1">IFERROR(__xludf.DUMMYFUNCTION("""COMPUTED_VALUE"""),"| 5 L PHP-CGM % | 6 L NS % | 7 P CPT @ | 9 P PRO % ")</f>
        <v xml:space="preserve">| 5 L PHP-CGM % | 6 L NS % | 7 P CPT @ | 9 P PRO % </v>
      </c>
      <c r="BH105" s="4" t="str">
        <f ca="1">IFERROR(__xludf.DUMMYFUNCTION("""COMPUTED_VALUE"""),"| 5 L JAVA % | 6 L CPT % | 7 P JAVA % | 9 L INE % ")</f>
        <v xml:space="preserve">| 5 L JAVA % | 6 L CPT % | 7 P JAVA % | 9 L INE % </v>
      </c>
      <c r="BI105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BJ105" s="4" t="str">
        <f ca="1">IFERROR(__xludf.DUMMYFUNCTION("""COMPUTED_VALUE"""),"| 5 P JAVA % | 7 L JAVA @ | 7 L PHP-CGM @ ")</f>
        <v xml:space="preserve">| 5 P JAVA % | 7 L JAVA @ | 7 L PHP-CGM @ </v>
      </c>
      <c r="BK105" s="4" t="str">
        <f ca="1">IFERROR(__xludf.DUMMYFUNCTION("""COMPUTED_VALUE"""),"| 7 L CPT @ | 8 L NS @ ")</f>
        <v xml:space="preserve">| 7 L CPT @ | 8 L NS @ </v>
      </c>
      <c r="BL105" s="4" t="str">
        <f ca="1">IFERROR(__xludf.DUMMYFUNCTION("""COMPUTED_VALUE"""),"| 5 L PHP-CGM @ | 6 L NS @ | 7 P CPT @ ")</f>
        <v xml:space="preserve">| 5 L PHP-CGM @ | 6 L NS @ | 7 P CPT @ </v>
      </c>
      <c r="BM105" s="4" t="str">
        <f ca="1">IFERROR(__xludf.DUMMYFUNCTION("""COMPUTED_VALUE"""),"| 5 L JAVA @ | 6 L CPT @ | 9 L INE @ ")</f>
        <v xml:space="preserve">| 5 L JAVA @ | 6 L CPT @ | 9 L INE @ </v>
      </c>
      <c r="BN105" s="4" t="str">
        <f ca="1">IFERROR(__xludf.DUMMYFUNCTION("""COMPUTED_VALUE"""),"| 5 L PHP-CGM @ | 6 L NS @ | 9 L JAVA @ | 8 L CPT @ ")</f>
        <v xml:space="preserve">| 5 L PHP-CGM @ | 6 L NS @ | 9 L JAVA @ | 8 L CPT @ </v>
      </c>
      <c r="BO105" s="4" t="str">
        <f ca="1">IFERROR(__xludf.DUMMYFUNCTION("""COMPUTED_VALUE"""),"| 5 P JAVA @ | 7 L PHP-CGM @ ")</f>
        <v xml:space="preserve">| 5 P JAVA @ | 7 L PHP-CGM @ </v>
      </c>
      <c r="BP105" s="4" t="str">
        <f ca="1">IFERROR(__xludf.DUMMYFUNCTION("""COMPUTED_VALUE"""),"| 5 P PHP-CGM @ | 7 L CPT @ | 8 L NS @ ")</f>
        <v xml:space="preserve">| 5 P PHP-CGM @ | 7 L CPT @ | 8 L NS @ </v>
      </c>
      <c r="BQ105" s="4" t="str">
        <f ca="1">IFERROR(__xludf.DUMMYFUNCTION("""COMPUTED_VALUE"""),"| 5 L JAVA % | 6 L CPT % ")</f>
        <v xml:space="preserve">| 5 L JAVA % | 6 L CPT % </v>
      </c>
      <c r="BR105" s="4" t="str">
        <f ca="1">IFERROR(__xludf.DUMMYFUNCTION("""COMPUTED_VALUE"""),"| 7 L JAVA % ")</f>
        <v xml:space="preserve">| 7 L JAVA % </v>
      </c>
      <c r="BS105" s="4"/>
      <c r="BT105" s="4" t="str">
        <f ca="1">IFERROR(__xludf.DUMMYFUNCTION("""COMPUTED_VALUE"""),"| 7 L CPT @ ")</f>
        <v xml:space="preserve">| 7 L CPT @ </v>
      </c>
      <c r="BU105" s="4" t="str">
        <f ca="1">IFERROR(__xludf.DUMMYFUNCTION("""COMPUTED_VALUE"""),"| 7 P CPT @ ")</f>
        <v xml:space="preserve">| 7 P CPT @ </v>
      </c>
      <c r="BV105" s="4" t="str">
        <f ca="1">IFERROR(__xludf.DUMMYFUNCTION("""COMPUTED_VALUE"""),"| 5 P PHP-CGM @ | 7 L CPT @ | 8 L NS @ | 9 P Python @ ")</f>
        <v xml:space="preserve">| 5 P PHP-CGM @ | 7 L CPT @ | 8 L NS @ | 9 P Python @ </v>
      </c>
      <c r="BW105" s="4"/>
      <c r="BX105" s="4" t="str">
        <f ca="1">IFERROR(__xludf.DUMMYFUNCTION("""COMPUTED_VALUE"""),"| 5 L JAVA @ | 6 L CPT @ | 7 P JAVA @ ")</f>
        <v xml:space="preserve">| 5 L JAVA @ | 6 L CPT @ | 7 P JAVA @ </v>
      </c>
      <c r="BY105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05" s="4" t="str">
        <f ca="1">IFERROR(__xludf.DUMMYFUNCTION("""COMPUTED_VALUE"""),"| 5 P JAVA % | 8 L JAVA % | 7 L PHP-CGM % | 9 P NS @ ")</f>
        <v xml:space="preserve">| 5 P JAVA % | 8 L JAVA % | 7 L PHP-CGM % | 9 P NS @ </v>
      </c>
      <c r="CA105" s="4" t="str">
        <f ca="1">IFERROR(__xludf.DUMMYFUNCTION("""COMPUTED_VALUE"""),"| 7 L CPT @ | 8 L NS @ | 9 P Python @ ")</f>
        <v xml:space="preserve">| 7 L CPT @ | 8 L NS @ | 9 P Python @ </v>
      </c>
      <c r="CB105" s="4" t="str">
        <f ca="1">IFERROR(__xludf.DUMMYFUNCTION("""COMPUTED_VALUE"""),"| 5 L PHP-CGM % | 6 L NS % | 7 P CPT % ")</f>
        <v xml:space="preserve">| 5 L PHP-CGM % | 6 L NS % | 7 P CPT % </v>
      </c>
      <c r="CC105" s="4" t="str">
        <f ca="1">IFERROR(__xludf.DUMMYFUNCTION("""COMPUTED_VALUE"""),"| 5 L JAVA % | 7 P JAVA % | 9 L INE % ")</f>
        <v xml:space="preserve">| 5 L JAVA % | 7 P JAVA % | 9 L INE % </v>
      </c>
      <c r="CD105" s="4" t="str">
        <f ca="1">IFERROR(__xludf.DUMMYFUNCTION("""COMPUTED_VALUE"""),"| 5 L PHP-CGM @ | 6 L NS @ | 7 L JAVA @ | 8 L CPT @ ")</f>
        <v xml:space="preserve">| 5 L PHP-CGM @ | 6 L NS @ | 7 L JAVA @ | 8 L CPT @ </v>
      </c>
      <c r="CE105" s="4" t="str">
        <f ca="1">IFERROR(__xludf.DUMMYFUNCTION("""COMPUTED_VALUE"""),"| 5 P JAVA % | 8 L JAVA % | 7 L PHP-CGM % | 9 P NS % ")</f>
        <v xml:space="preserve">| 5 P JAVA % | 8 L JAVA % | 7 L PHP-CGM % | 9 P NS % </v>
      </c>
      <c r="CF105" s="4" t="str">
        <f ca="1">IFERROR(__xludf.DUMMYFUNCTION("""COMPUTED_VALUE"""),"| 7 L CPT @ | 8 L NS @ | 9 P Python @ ")</f>
        <v xml:space="preserve">| 7 L CPT @ | 8 L NS @ | 9 P Python @ </v>
      </c>
      <c r="CG105" s="4" t="str">
        <f ca="1">IFERROR(__xludf.DUMMYFUNCTION("""COMPUTED_VALUE"""),"| 5 L PHP-CGM @ | 6 L NS @ | 7 P CPT % ")</f>
        <v xml:space="preserve">| 5 L PHP-CGM @ | 6 L NS @ | 7 P CPT % </v>
      </c>
      <c r="CH105" s="4" t="str">
        <f ca="1">IFERROR(__xludf.DUMMYFUNCTION("""COMPUTED_VALUE"""),"| 5 L JAVA @ | 6 L CPT @ | 7 P JAVA % | 9 L INE @ ")</f>
        <v xml:space="preserve">| 5 L JAVA @ | 6 L CPT @ | 7 P JAVA % | 9 L INE @ </v>
      </c>
      <c r="CI105" s="4" t="str">
        <f ca="1">IFERROR(__xludf.DUMMYFUNCTION("""COMPUTED_VALUE"""),"| 5 L PHP-CGM @ | 7 L JAVA @ | 8 L CPT @ ")</f>
        <v xml:space="preserve">| 5 L PHP-CGM @ | 7 L JAVA @ | 8 L CPT @ </v>
      </c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</row>
    <row r="106" spans="1:102" ht="12.5" x14ac:dyDescent="0.25">
      <c r="A106" s="3">
        <f ca="1">IFERROR(__xludf.DUMMYFUNCTION("""COMPUTED_VALUE"""),2)</f>
        <v>2</v>
      </c>
      <c r="B106" s="3" t="str">
        <f ca="1">IFERROR(__xludf.DUMMYFUNCTION("""COMPUTED_VALUE"""),"B")</f>
        <v>B</v>
      </c>
      <c r="C106" s="32" t="str">
        <f ca="1">IFERROR(__xludf.DUMMYFUNCTION("""COMPUTED_VALUE"""),"23291341053")</f>
        <v>23291341053</v>
      </c>
      <c r="D106" s="4" t="str">
        <f ca="1">IFERROR(__xludf.DUMMYFUNCTION("""COMPUTED_VALUE"""),"MAHESHWARI PARTH ARVINDBHAI")</f>
        <v>MAHESHWARI PARTH ARVINDBHAI</v>
      </c>
      <c r="E106" s="3" t="str">
        <f ca="1">IFERROR(__xludf.DUMMYFUNCTION("""COMPUTED_VALUE"""),"HAM/HDP-EVE")</f>
        <v>HAM/HDP-EVE</v>
      </c>
      <c r="F106" s="3">
        <f ca="1">IFERROR(__xludf.DUMMYFUNCTION("""COMPUTED_VALUE"""),9725179795)</f>
        <v>9725179795</v>
      </c>
      <c r="G106" s="3">
        <f ca="1">IFERROR(__xludf.DUMMYFUNCTION("""COMPUTED_VALUE"""),9723253224)</f>
        <v>9723253224</v>
      </c>
      <c r="H106" s="33">
        <f ca="1">IFERROR(__xludf.DUMMYFUNCTION("""COMPUTED_VALUE"""),0.513636363636363)</f>
        <v>0.513636363636363</v>
      </c>
      <c r="I106" s="25">
        <f ca="1">IFERROR(__xludf.DUMMYFUNCTION("""COMPUTED_VALUE"""),0.513513513513513)</f>
        <v>0.51351351351351304</v>
      </c>
      <c r="J106" s="25">
        <f ca="1">IFERROR(__xludf.DUMMYFUNCTION("""COMPUTED_VALUE"""),0.333333333333333)</f>
        <v>0.33333333333333298</v>
      </c>
      <c r="K106" s="25">
        <f ca="1">IFERROR(__xludf.DUMMYFUNCTION("""COMPUTED_VALUE"""),0.470588235294117)</f>
        <v>0.47058823529411697</v>
      </c>
      <c r="L106" s="25">
        <f ca="1">IFERROR(__xludf.DUMMYFUNCTION("""COMPUTED_VALUE"""),0.285714285714285)</f>
        <v>0.28571428571428498</v>
      </c>
      <c r="M106" s="25">
        <f ca="1">IFERROR(__xludf.DUMMYFUNCTION("""COMPUTED_VALUE"""),0.571428571428571)</f>
        <v>0.57142857142857095</v>
      </c>
      <c r="N106" s="25">
        <f ca="1">IFERROR(__xludf.DUMMYFUNCTION("""COMPUTED_VALUE"""),0.333333333333333)</f>
        <v>0.33333333333333298</v>
      </c>
      <c r="O106" s="25">
        <f ca="1">IFERROR(__xludf.DUMMYFUNCTION("""COMPUTED_VALUE"""),0.571428571428571)</f>
        <v>0.57142857142857095</v>
      </c>
      <c r="P106" s="25">
        <f ca="1">IFERROR(__xludf.DUMMYFUNCTION("""COMPUTED_VALUE"""),0.809523809523809)</f>
        <v>0.80952380952380898</v>
      </c>
      <c r="Q106" s="25">
        <f ca="1">IFERROR(__xludf.DUMMYFUNCTION("""COMPUTED_VALUE"""),0)</f>
        <v>0</v>
      </c>
      <c r="R106" s="25">
        <f ca="1">IFERROR(__xludf.DUMMYFUNCTION("""COMPUTED_VALUE"""),0.2)</f>
        <v>0.2</v>
      </c>
      <c r="S106" s="25">
        <f ca="1">IFERROR(__xludf.DUMMYFUNCTION("""COMPUTED_VALUE"""),0)</f>
        <v>0</v>
      </c>
      <c r="T106" s="25">
        <f ca="1">IFERROR(__xludf.DUMMYFUNCTION("""COMPUTED_VALUE"""),0.714285714285714)</f>
        <v>0.71428571428571397</v>
      </c>
      <c r="U106" s="25">
        <f ca="1">IFERROR(__xludf.DUMMYFUNCTION("""COMPUTED_VALUE"""),0.5)</f>
        <v>0.5</v>
      </c>
      <c r="V106" s="25">
        <f ca="1">IFERROR(__xludf.DUMMYFUNCTION("""COMPUTED_VALUE"""),0)</f>
        <v>0</v>
      </c>
      <c r="W106" s="4"/>
      <c r="X106" s="4" t="str">
        <f ca="1">IFERROR(__xludf.DUMMYFUNCTION("""COMPUTED_VALUE"""),"| 5 P PHP-CGM @ | 7 L CPT @ | 8 L NS @ | 9 P Python @ ")</f>
        <v xml:space="preserve">| 5 P PHP-CGM @ | 7 L CPT @ | 8 L NS @ | 9 P Python @ </v>
      </c>
      <c r="Y106" s="4" t="str">
        <f ca="1">IFERROR(__xludf.DUMMYFUNCTION("""COMPUTED_VALUE"""),"| 5 L PHP-CGM @ | 6 L NS @ | 8 P CPT @ | 9 P PRO @ ")</f>
        <v xml:space="preserve">| 5 L PHP-CGM @ | 6 L NS @ | 8 P CPT @ | 9 P PRO @ </v>
      </c>
      <c r="Z106" s="4" t="str">
        <f ca="1">IFERROR(__xludf.DUMMYFUNCTION("""COMPUTED_VALUE"""),"| 5 L JAVA % | 6 L CPT % | 7 P JAVA % ")</f>
        <v xml:space="preserve">| 5 L JAVA % | 6 L CPT % | 7 P JAVA % </v>
      </c>
      <c r="AA106" s="4" t="str">
        <f ca="1">IFERROR(__xludf.DUMMYFUNCTION("""COMPUTED_VALUE"""),"| 5 L PHP-CGM % | 7 L JAVA % | 9 P Python % | 8 L CPT % ")</f>
        <v xml:space="preserve">| 5 L PHP-CGM % | 7 L JAVA % | 9 P Python % | 8 L CPT % </v>
      </c>
      <c r="AB106" s="4" t="str">
        <f ca="1">IFERROR(__xludf.DUMMYFUNCTION("""COMPUTED_VALUE"""),"| 5 P JAVA % | 7 L PHP-CGM % | 8 L JAVA % | 9 P NS @ ")</f>
        <v xml:space="preserve">| 5 P JAVA % | 7 L PHP-CGM % | 8 L JAVA % | 9 P NS @ </v>
      </c>
      <c r="AC106" s="4" t="str">
        <f ca="1">IFERROR(__xludf.DUMMYFUNCTION("""COMPUTED_VALUE"""),"| 5 P PHP-CGM % | 7 L CPT % | 8 L NS % | 9 P Python % ")</f>
        <v xml:space="preserve">| 5 P PHP-CGM % | 7 L CPT % | 8 L NS % | 9 P Python % </v>
      </c>
      <c r="AD106" s="4" t="str">
        <f ca="1">IFERROR(__xludf.DUMMYFUNCTION("""COMPUTED_VALUE"""),"| 5 L PHP-CGM % | 6 L NS % | 7 P CPT % ")</f>
        <v xml:space="preserve">| 5 L PHP-CGM % | 6 L NS % | 7 P CPT % </v>
      </c>
      <c r="AE106" s="4" t="str">
        <f ca="1">IFERROR(__xludf.DUMMYFUNCTION("""COMPUTED_VALUE"""),"| 5 L JAVA % | 6 L CPT % | 7 P JAVA % ")</f>
        <v xml:space="preserve">| 5 L JAVA % | 6 L CPT % | 7 P JAVA % </v>
      </c>
      <c r="AF106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AG106" s="4" t="str">
        <f ca="1">IFERROR(__xludf.DUMMYFUNCTION("""COMPUTED_VALUE"""),"| 5 P JAVA % | 8 L JAVA % | 7 L PHP-CGM % ")</f>
        <v xml:space="preserve">| 5 P JAVA % | 8 L JAVA % | 7 L PHP-CGM % </v>
      </c>
      <c r="AH106" s="4" t="str">
        <f ca="1">IFERROR(__xludf.DUMMYFUNCTION("""COMPUTED_VALUE"""),"| 5 L PHP-CGM % | 6 L NS % | 7 L JAVA % | 8 L CPT % ")</f>
        <v xml:space="preserve">| 5 L PHP-CGM % | 6 L NS % | 7 L JAVA % | 8 L CPT % </v>
      </c>
      <c r="AI106" s="4" t="str">
        <f ca="1">IFERROR(__xludf.DUMMYFUNCTION("""COMPUTED_VALUE"""),"| 5 P JAVA % | 8 L JAVA % | 7 L PHP-CGM % | 9 P NS @ ")</f>
        <v xml:space="preserve">| 5 P JAVA % | 8 L JAVA % | 7 L PHP-CGM % | 9 P NS @ </v>
      </c>
      <c r="AJ106" s="4" t="str">
        <f ca="1">IFERROR(__xludf.DUMMYFUNCTION("""COMPUTED_VALUE"""),"| 5 P PHP-CGM @ | 7 L CPT @ | 8 L NS @ | 9 P Python @ ")</f>
        <v xml:space="preserve">| 5 P PHP-CGM @ | 7 L CPT @ | 8 L NS @ | 9 P Python @ </v>
      </c>
      <c r="AK106" s="4" t="str">
        <f ca="1">IFERROR(__xludf.DUMMYFUNCTION("""COMPUTED_VALUE"""),"| 5 L PHP-CGM @ | 6 L NS @ | 7 P CPT % | 9 P PRO % ")</f>
        <v xml:space="preserve">| 5 L PHP-CGM @ | 6 L NS @ | 7 P CPT % | 9 P PRO % </v>
      </c>
      <c r="AL106" s="4" t="str">
        <f ca="1">IFERROR(__xludf.DUMMYFUNCTION("""COMPUTED_VALUE"""),"| 5 L JAVA % | 6 L CPT % | 7 P JAVA % | 9 L INE @ ")</f>
        <v xml:space="preserve">| 5 L JAVA % | 6 L CPT % | 7 P JAVA % | 9 L INE @ </v>
      </c>
      <c r="AM106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AN106" s="4" t="str">
        <f ca="1">IFERROR(__xludf.DUMMYFUNCTION("""COMPUTED_VALUE"""),"| 5 P JAVA % | 8 L JAVA @ | 7 L PHP-CGM @ | 9 P NS @ ")</f>
        <v xml:space="preserve">| 5 P JAVA % | 8 L JAVA @ | 7 L PHP-CGM @ | 9 P NS @ </v>
      </c>
      <c r="AO106" s="4" t="str">
        <f ca="1">IFERROR(__xludf.DUMMYFUNCTION("""COMPUTED_VALUE"""),"| 5 P PHP-CGM @ | 7 L CPT @ | 8 L NS @ | 9 P Python @ ")</f>
        <v xml:space="preserve">| 5 P PHP-CGM @ | 7 L CPT @ | 8 L NS @ | 9 P Python @ </v>
      </c>
      <c r="AP106" s="4" t="str">
        <f ca="1">IFERROR(__xludf.DUMMYFUNCTION("""COMPUTED_VALUE"""),"| 5 L PHP-CGM @ | 6 L NS @ | 7 P CPT @ | 9 P PRO @ ")</f>
        <v xml:space="preserve">| 5 L PHP-CGM @ | 6 L NS @ | 7 P CPT @ | 9 P PRO @ </v>
      </c>
      <c r="AQ106" s="4" t="str">
        <f ca="1">IFERROR(__xludf.DUMMYFUNCTION("""COMPUTED_VALUE"""),"| 5 L CPT @ | 7 L JAVA @ | 7 P JAVA @ | 9 L INE @ ")</f>
        <v xml:space="preserve">| 5 L CPT @ | 7 L JAVA @ | 7 P JAVA @ | 9 L INE @ </v>
      </c>
      <c r="AR106" s="4" t="str">
        <f ca="1">IFERROR(__xludf.DUMMYFUNCTION("""COMPUTED_VALUE"""),"| 5 L PHP-CGM @ | 6 L NS @ | 8 L CPT @ ")</f>
        <v xml:space="preserve">| 5 L PHP-CGM @ | 6 L NS @ | 8 L CPT @ </v>
      </c>
      <c r="AS106" s="4" t="str">
        <f ca="1">IFERROR(__xludf.DUMMYFUNCTION("""COMPUTED_VALUE"""),"| 5 P PHP-CGM @ | 7 L CPT @ | 8 L NS @ | 9 P Python @ ")</f>
        <v xml:space="preserve">| 5 P PHP-CGM @ | 7 L CPT @ | 8 L NS @ | 9 P Python @ </v>
      </c>
      <c r="AT106" s="4" t="str">
        <f ca="1">IFERROR(__xludf.DUMMYFUNCTION("""COMPUTED_VALUE"""),"| 5 L PHP-CGM % | 6 L NS % | 7 P CPT @ | 9 P PRO % ")</f>
        <v xml:space="preserve">| 5 L PHP-CGM % | 6 L NS % | 7 P CPT @ | 9 P PRO % </v>
      </c>
      <c r="AU106" s="4" t="str">
        <f ca="1">IFERROR(__xludf.DUMMYFUNCTION("""COMPUTED_VALUE"""),"| 5 L JAVA @ | 6 L CPT % | 8 P JAVA % | 9 L INE % ")</f>
        <v xml:space="preserve">| 5 L JAVA @ | 6 L CPT % | 8 P JAVA % | 9 L INE % </v>
      </c>
      <c r="AV106" s="4" t="str">
        <f ca="1">IFERROR(__xludf.DUMMYFUNCTION("""COMPUTED_VALUE"""),"| 5 L PHP-CGM % | 6 L NS % | 7 L JAVA % | 8 L CPT % ")</f>
        <v xml:space="preserve">| 5 L PHP-CGM % | 6 L NS % | 7 L JAVA % | 8 L CPT % </v>
      </c>
      <c r="AW106" s="4" t="str">
        <f ca="1">IFERROR(__xludf.DUMMYFUNCTION("""COMPUTED_VALUE"""),"| 5 P JAVA % | 7 L PHP-CGM % | 8 L JAVA % | 9 P NS % ")</f>
        <v xml:space="preserve">| 5 P JAVA % | 7 L PHP-CGM % | 8 L JAVA % | 9 P NS % </v>
      </c>
      <c r="AX106" s="4" t="str">
        <f ca="1">IFERROR(__xludf.DUMMYFUNCTION("""COMPUTED_VALUE"""),"| 5 P PHP-CGM % | 7 L CPT % | 8 L NS % | 9 P Python @ ")</f>
        <v xml:space="preserve">| 5 P PHP-CGM % | 7 L CPT % | 8 L NS % | 9 P Python @ </v>
      </c>
      <c r="AY106" s="4" t="str">
        <f ca="1">IFERROR(__xludf.DUMMYFUNCTION("""COMPUTED_VALUE"""),"| 5 L PHP-CGM % | 6 L NS % | 7 P CPT % | 9 P PRO % ")</f>
        <v xml:space="preserve">| 5 L PHP-CGM % | 6 L NS % | 7 P CPT % | 9 P PRO % </v>
      </c>
      <c r="AZ106" s="4" t="str">
        <f ca="1">IFERROR(__xludf.DUMMYFUNCTION("""COMPUTED_VALUE"""),"| 5 L PHP-CGM @ | 6 L NS @ | 7 L JAVA % | 8 L CPT % ")</f>
        <v xml:space="preserve">| 5 L PHP-CGM @ | 6 L NS @ | 7 L JAVA % | 8 L CPT % </v>
      </c>
      <c r="BA106" s="4" t="str">
        <f ca="1">IFERROR(__xludf.DUMMYFUNCTION("""COMPUTED_VALUE"""),"| 5 P JAVA % | 7 L PHP-CGM @ | 8 L JAVA @ ")</f>
        <v xml:space="preserve">| 5 P JAVA % | 7 L PHP-CGM @ | 8 L JAVA @ </v>
      </c>
      <c r="BB106" s="4" t="str">
        <f ca="1">IFERROR(__xludf.DUMMYFUNCTION("""COMPUTED_VALUE"""),"| 5 P PHP-CGM % | 7 L CPT % | 8 L NS % ")</f>
        <v xml:space="preserve">| 5 P PHP-CGM % | 7 L CPT % | 8 L NS % </v>
      </c>
      <c r="BC106" s="4" t="str">
        <f ca="1">IFERROR(__xludf.DUMMYFUNCTION("""COMPUTED_VALUE"""),"| 5 L PHP-CGM % | 6 L NS % | 7 P CPT @ | 9 P PRO % ")</f>
        <v xml:space="preserve">| 5 L PHP-CGM % | 6 L NS % | 7 P CPT @ | 9 P PRO % </v>
      </c>
      <c r="BD106" s="4" t="str">
        <f ca="1">IFERROR(__xludf.DUMMYFUNCTION("""COMPUTED_VALUE"""),"| 5 L JAVA % | 6 L CPT % | 7 P JAVA % | 9 L INE % ")</f>
        <v xml:space="preserve">| 5 L JAVA % | 6 L CPT % | 7 P JAVA % | 9 L INE % </v>
      </c>
      <c r="BE10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06" s="4" t="str">
        <f ca="1">IFERROR(__xludf.DUMMYFUNCTION("""COMPUTED_VALUE"""),"| 5 P JAVA % | 7 L PHP-CGM % | 8 L JAVA % | 9 P NS @ ")</f>
        <v xml:space="preserve">| 5 P JAVA % | 7 L PHP-CGM % | 8 L JAVA % | 9 P NS @ </v>
      </c>
      <c r="BG106" s="4" t="str">
        <f ca="1">IFERROR(__xludf.DUMMYFUNCTION("""COMPUTED_VALUE"""),"| 5 L PHP-CGM % | 6 L NS % | 7 P CPT @ | 9 P PRO % ")</f>
        <v xml:space="preserve">| 5 L PHP-CGM % | 6 L NS % | 7 P CPT @ | 9 P PRO % </v>
      </c>
      <c r="BH106" s="4" t="str">
        <f ca="1">IFERROR(__xludf.DUMMYFUNCTION("""COMPUTED_VALUE"""),"| 5 L JAVA % | 6 L CPT % | 7 P JAVA % | 9 L INE % ")</f>
        <v xml:space="preserve">| 5 L JAVA % | 6 L CPT % | 7 P JAVA % | 9 L INE % </v>
      </c>
      <c r="BI106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BJ106" s="4" t="str">
        <f ca="1">IFERROR(__xludf.DUMMYFUNCTION("""COMPUTED_VALUE"""),"| 5 P JAVA % | 7 L JAVA @ | 7 L PHP-CGM @ ")</f>
        <v xml:space="preserve">| 5 P JAVA % | 7 L JAVA @ | 7 L PHP-CGM @ </v>
      </c>
      <c r="BK106" s="4" t="str">
        <f ca="1">IFERROR(__xludf.DUMMYFUNCTION("""COMPUTED_VALUE"""),"| 7 L CPT @ | 8 L NS @ ")</f>
        <v xml:space="preserve">| 7 L CPT @ | 8 L NS @ </v>
      </c>
      <c r="BL106" s="4" t="str">
        <f ca="1">IFERROR(__xludf.DUMMYFUNCTION("""COMPUTED_VALUE"""),"| 5 L PHP-CGM @ | 6 L NS @ | 7 P CPT @ ")</f>
        <v xml:space="preserve">| 5 L PHP-CGM @ | 6 L NS @ | 7 P CPT @ </v>
      </c>
      <c r="BM106" s="4" t="str">
        <f ca="1">IFERROR(__xludf.DUMMYFUNCTION("""COMPUTED_VALUE"""),"| 5 L JAVA @ | 6 L CPT @ | 9 L INE @ ")</f>
        <v xml:space="preserve">| 5 L JAVA @ | 6 L CPT @ | 9 L INE @ </v>
      </c>
      <c r="BN106" s="4" t="str">
        <f ca="1">IFERROR(__xludf.DUMMYFUNCTION("""COMPUTED_VALUE"""),"| 5 L PHP-CGM @ | 6 L NS @ | 9 L JAVA @ | 8 L CPT @ ")</f>
        <v xml:space="preserve">| 5 L PHP-CGM @ | 6 L NS @ | 9 L JAVA @ | 8 L CPT @ </v>
      </c>
      <c r="BO106" s="4" t="str">
        <f ca="1">IFERROR(__xludf.DUMMYFUNCTION("""COMPUTED_VALUE"""),"| 5 P JAVA @ | 7 L PHP-CGM @ ")</f>
        <v xml:space="preserve">| 5 P JAVA @ | 7 L PHP-CGM @ </v>
      </c>
      <c r="BP106" s="4" t="str">
        <f ca="1">IFERROR(__xludf.DUMMYFUNCTION("""COMPUTED_VALUE"""),"| 5 P PHP-CGM @ | 7 L CPT % | 8 L NS @ ")</f>
        <v xml:space="preserve">| 5 P PHP-CGM @ | 7 L CPT % | 8 L NS @ </v>
      </c>
      <c r="BQ106" s="4" t="str">
        <f ca="1">IFERROR(__xludf.DUMMYFUNCTION("""COMPUTED_VALUE"""),"| 5 L JAVA @ | 6 L CPT @ ")</f>
        <v xml:space="preserve">| 5 L JAVA @ | 6 L CPT @ </v>
      </c>
      <c r="BR106" s="4" t="str">
        <f ca="1">IFERROR(__xludf.DUMMYFUNCTION("""COMPUTED_VALUE"""),"| 7 L JAVA @ ")</f>
        <v xml:space="preserve">| 7 L JAVA @ </v>
      </c>
      <c r="BS106" s="4"/>
      <c r="BT106" s="4" t="str">
        <f ca="1">IFERROR(__xludf.DUMMYFUNCTION("""COMPUTED_VALUE"""),"| 7 L CPT @ ")</f>
        <v xml:space="preserve">| 7 L CPT @ </v>
      </c>
      <c r="BU106" s="4" t="str">
        <f ca="1">IFERROR(__xludf.DUMMYFUNCTION("""COMPUTED_VALUE"""),"| 7 P CPT @ ")</f>
        <v xml:space="preserve">| 7 P CPT @ </v>
      </c>
      <c r="BV106" s="4" t="str">
        <f ca="1">IFERROR(__xludf.DUMMYFUNCTION("""COMPUTED_VALUE"""),"| 5 P PHP-CGM @ | 7 L CPT @ | 8 L NS @ | 9 P Python @ ")</f>
        <v xml:space="preserve">| 5 P PHP-CGM @ | 7 L CPT @ | 8 L NS @ | 9 P Python @ </v>
      </c>
      <c r="BW106" s="4"/>
      <c r="BX106" s="4" t="str">
        <f ca="1">IFERROR(__xludf.DUMMYFUNCTION("""COMPUTED_VALUE"""),"| 5 L JAVA @ | 6 L CPT @ | 7 P JAVA @ ")</f>
        <v xml:space="preserve">| 5 L JAVA @ | 6 L CPT @ | 7 P JAVA @ </v>
      </c>
      <c r="BY106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06" s="4" t="str">
        <f ca="1">IFERROR(__xludf.DUMMYFUNCTION("""COMPUTED_VALUE"""),"| 5 P JAVA @ | 8 L JAVA @ | 7 L PHP-CGM @ | 9 P NS @ ")</f>
        <v xml:space="preserve">| 5 P JAVA @ | 8 L JAVA @ | 7 L PHP-CGM @ | 9 P NS @ </v>
      </c>
      <c r="CA106" s="4" t="str">
        <f ca="1">IFERROR(__xludf.DUMMYFUNCTION("""COMPUTED_VALUE"""),"| 7 L CPT % | 8 L NS @ | 9 P Python @ ")</f>
        <v xml:space="preserve">| 7 L CPT % | 8 L NS @ | 9 P Python @ </v>
      </c>
      <c r="CB106" s="4" t="str">
        <f ca="1">IFERROR(__xludf.DUMMYFUNCTION("""COMPUTED_VALUE"""),"| 5 L PHP-CGM % | 6 L NS % | 7 P CPT % ")</f>
        <v xml:space="preserve">| 5 L PHP-CGM % | 6 L NS % | 7 P CPT % </v>
      </c>
      <c r="CC106" s="4" t="str">
        <f ca="1">IFERROR(__xludf.DUMMYFUNCTION("""COMPUTED_VALUE"""),"| 5 L JAVA % | 7 P JAVA % | 9 L INE % ")</f>
        <v xml:space="preserve">| 5 L JAVA % | 7 P JAVA % | 9 L INE % </v>
      </c>
      <c r="CD106" s="4" t="str">
        <f ca="1">IFERROR(__xludf.DUMMYFUNCTION("""COMPUTED_VALUE"""),"| 5 L PHP-CGM % | 6 L NS % | 7 L JAVA @ | 8 L CPT @ ")</f>
        <v xml:space="preserve">| 5 L PHP-CGM % | 6 L NS % | 7 L JAVA @ | 8 L CPT @ </v>
      </c>
      <c r="CE106" s="4" t="str">
        <f ca="1">IFERROR(__xludf.DUMMYFUNCTION("""COMPUTED_VALUE"""),"| 5 P JAVA % | 8 L JAVA % | 7 L PHP-CGM % | 9 P NS % ")</f>
        <v xml:space="preserve">| 5 P JAVA % | 8 L JAVA % | 7 L PHP-CGM % | 9 P NS % </v>
      </c>
      <c r="CF106" s="4" t="str">
        <f ca="1">IFERROR(__xludf.DUMMYFUNCTION("""COMPUTED_VALUE"""),"| 7 L CPT @ | 8 L NS @ | 9 P Python @ ")</f>
        <v xml:space="preserve">| 7 L CPT @ | 8 L NS @ | 9 P Python @ </v>
      </c>
      <c r="CG106" s="4" t="str">
        <f ca="1">IFERROR(__xludf.DUMMYFUNCTION("""COMPUTED_VALUE"""),"| 5 L PHP-CGM @ | 6 L NS @ | 7 P CPT @ ")</f>
        <v xml:space="preserve">| 5 L PHP-CGM @ | 6 L NS @ | 7 P CPT @ </v>
      </c>
      <c r="CH106" s="4" t="str">
        <f ca="1">IFERROR(__xludf.DUMMYFUNCTION("""COMPUTED_VALUE"""),"| 5 L JAVA @ | 6 L CPT @ | 7 P JAVA % | 9 L INE @ ")</f>
        <v xml:space="preserve">| 5 L JAVA @ | 6 L CPT @ | 7 P JAVA % | 9 L INE @ </v>
      </c>
      <c r="CI106" s="4" t="str">
        <f ca="1">IFERROR(__xludf.DUMMYFUNCTION("""COMPUTED_VALUE"""),"| 5 L PHP-CGM @ | 7 L JAVA @ | 8 L CPT @ ")</f>
        <v xml:space="preserve">| 5 L PHP-CGM @ | 7 L JAVA @ | 8 L CPT @ </v>
      </c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</row>
    <row r="107" spans="1:102" ht="12.5" x14ac:dyDescent="0.25">
      <c r="A107" s="3">
        <f ca="1">IFERROR(__xludf.DUMMYFUNCTION("""COMPUTED_VALUE"""),2)</f>
        <v>2</v>
      </c>
      <c r="B107" s="3" t="str">
        <f ca="1">IFERROR(__xludf.DUMMYFUNCTION("""COMPUTED_VALUE"""),"B")</f>
        <v>B</v>
      </c>
      <c r="C107" s="32" t="str">
        <f ca="1">IFERROR(__xludf.DUMMYFUNCTION("""COMPUTED_VALUE"""),"23291341054")</f>
        <v>23291341054</v>
      </c>
      <c r="D107" s="4" t="str">
        <f ca="1">IFERROR(__xludf.DUMMYFUNCTION("""COMPUTED_VALUE"""),"MAKAVANA TEJ SHANTIBHAI")</f>
        <v>MAKAVANA TEJ SHANTIBHAI</v>
      </c>
      <c r="E107" s="3" t="str">
        <f ca="1">IFERROR(__xludf.DUMMYFUNCTION("""COMPUTED_VALUE"""),"HAM/HDP-EVE")</f>
        <v>HAM/HDP-EVE</v>
      </c>
      <c r="F107" s="3">
        <f ca="1">IFERROR(__xludf.DUMMYFUNCTION("""COMPUTED_VALUE"""),8980632095)</f>
        <v>8980632095</v>
      </c>
      <c r="G107" s="3">
        <f ca="1">IFERROR(__xludf.DUMMYFUNCTION("""COMPUTED_VALUE"""),9428376079)</f>
        <v>9428376079</v>
      </c>
      <c r="H107" s="33">
        <f ca="1">IFERROR(__xludf.DUMMYFUNCTION("""COMPUTED_VALUE"""),0.859090909090909)</f>
        <v>0.85909090909090902</v>
      </c>
      <c r="I107" s="25">
        <f ca="1">IFERROR(__xludf.DUMMYFUNCTION("""COMPUTED_VALUE"""),0.837837837837837)</f>
        <v>0.83783783783783705</v>
      </c>
      <c r="J107" s="25">
        <f ca="1">IFERROR(__xludf.DUMMYFUNCTION("""COMPUTED_VALUE"""),0.75)</f>
        <v>0.75</v>
      </c>
      <c r="K107" s="25">
        <f ca="1">IFERROR(__xludf.DUMMYFUNCTION("""COMPUTED_VALUE"""),0.823529411764705)</f>
        <v>0.82352941176470495</v>
      </c>
      <c r="L107" s="25">
        <f ca="1">IFERROR(__xludf.DUMMYFUNCTION("""COMPUTED_VALUE"""),0.857142857142857)</f>
        <v>0.85714285714285698</v>
      </c>
      <c r="M107" s="25">
        <f ca="1">IFERROR(__xludf.DUMMYFUNCTION("""COMPUTED_VALUE"""),0.914285714285714)</f>
        <v>0.91428571428571404</v>
      </c>
      <c r="N107" s="25">
        <f ca="1">IFERROR(__xludf.DUMMYFUNCTION("""COMPUTED_VALUE"""),1)</f>
        <v>1</v>
      </c>
      <c r="O107" s="25">
        <f ca="1">IFERROR(__xludf.DUMMYFUNCTION("""COMPUTED_VALUE"""),0.914285714285714)</f>
        <v>0.91428571428571404</v>
      </c>
      <c r="P107" s="25">
        <f ca="1">IFERROR(__xludf.DUMMYFUNCTION("""COMPUTED_VALUE"""),0.952380952380952)</f>
        <v>0.952380952380952</v>
      </c>
      <c r="Q107" s="25">
        <f ca="1">IFERROR(__xludf.DUMMYFUNCTION("""COMPUTED_VALUE"""),0)</f>
        <v>0</v>
      </c>
      <c r="R107" s="25">
        <f ca="1">IFERROR(__xludf.DUMMYFUNCTION("""COMPUTED_VALUE"""),0.8)</f>
        <v>0.8</v>
      </c>
      <c r="S107" s="25">
        <f ca="1">IFERROR(__xludf.DUMMYFUNCTION("""COMPUTED_VALUE"""),0)</f>
        <v>0</v>
      </c>
      <c r="T107" s="25">
        <f ca="1">IFERROR(__xludf.DUMMYFUNCTION("""COMPUTED_VALUE"""),0.571428571428571)</f>
        <v>0.57142857142857095</v>
      </c>
      <c r="U107" s="25">
        <f ca="1">IFERROR(__xludf.DUMMYFUNCTION("""COMPUTED_VALUE"""),0.75)</f>
        <v>0.75</v>
      </c>
      <c r="V107" s="25">
        <f ca="1">IFERROR(__xludf.DUMMYFUNCTION("""COMPUTED_VALUE"""),0)</f>
        <v>0</v>
      </c>
      <c r="W107" s="4"/>
      <c r="X107" s="4" t="str">
        <f ca="1">IFERROR(__xludf.DUMMYFUNCTION("""COMPUTED_VALUE"""),"| 5 P PHP-CGM % | 7 L CPT % | 8 L NS % | 9 P Python % ")</f>
        <v xml:space="preserve">| 5 P PHP-CGM % | 7 L CPT % | 8 L NS % | 9 P Python % </v>
      </c>
      <c r="Y107" s="4" t="str">
        <f ca="1">IFERROR(__xludf.DUMMYFUNCTION("""COMPUTED_VALUE"""),"| 5 L PHP-CGM % | 6 L NS % | 8 P CPT % | 9 P PRO % ")</f>
        <v xml:space="preserve">| 5 L PHP-CGM % | 6 L NS % | 8 P CPT % | 9 P PRO % </v>
      </c>
      <c r="Z107" s="4" t="str">
        <f ca="1">IFERROR(__xludf.DUMMYFUNCTION("""COMPUTED_VALUE"""),"| 5 L JAVA % | 6 L CPT % | 7 P JAVA % ")</f>
        <v xml:space="preserve">| 5 L JAVA % | 6 L CPT % | 7 P JAVA % </v>
      </c>
      <c r="AA107" s="4" t="str">
        <f ca="1">IFERROR(__xludf.DUMMYFUNCTION("""COMPUTED_VALUE"""),"| 5 L PHP-CGM % | 7 L JAVA % | 9 P Python % | 8 L CPT % ")</f>
        <v xml:space="preserve">| 5 L PHP-CGM % | 7 L JAVA % | 9 P Python % | 8 L CPT % </v>
      </c>
      <c r="AB107" s="4" t="str">
        <f ca="1">IFERROR(__xludf.DUMMYFUNCTION("""COMPUTED_VALUE"""),"| 5 P JAVA % | 7 L PHP-CGM % | 8 L JAVA % | 9 P NS % ")</f>
        <v xml:space="preserve">| 5 P JAVA % | 7 L PHP-CGM % | 8 L JAVA % | 9 P NS % </v>
      </c>
      <c r="AC107" s="4" t="str">
        <f ca="1">IFERROR(__xludf.DUMMYFUNCTION("""COMPUTED_VALUE"""),"| 5 P PHP-CGM % | 7 L CPT % | 8 L NS % | 9 P Python % ")</f>
        <v xml:space="preserve">| 5 P PHP-CGM % | 7 L CPT % | 8 L NS % | 9 P Python % </v>
      </c>
      <c r="AD107" s="4" t="str">
        <f ca="1">IFERROR(__xludf.DUMMYFUNCTION("""COMPUTED_VALUE"""),"| 5 L PHP-CGM % | 6 L NS % | 7 P CPT % ")</f>
        <v xml:space="preserve">| 5 L PHP-CGM % | 6 L NS % | 7 P CPT % </v>
      </c>
      <c r="AE107" s="4" t="str">
        <f ca="1">IFERROR(__xludf.DUMMYFUNCTION("""COMPUTED_VALUE"""),"| 5 L JAVA % | 6 L CPT % | 7 P JAVA % ")</f>
        <v xml:space="preserve">| 5 L JAVA % | 6 L CPT % | 7 P JAVA % </v>
      </c>
      <c r="AF107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07" s="4" t="str">
        <f ca="1">IFERROR(__xludf.DUMMYFUNCTION("""COMPUTED_VALUE"""),"| 5 P JAVA % | 8 L JAVA % | 7 L PHP-CGM % ")</f>
        <v xml:space="preserve">| 5 P JAVA % | 8 L JAVA % | 7 L PHP-CGM % </v>
      </c>
      <c r="AH107" s="4" t="str">
        <f ca="1">IFERROR(__xludf.DUMMYFUNCTION("""COMPUTED_VALUE"""),"| 5 L PHP-CGM % | 6 L NS % | 7 L JAVA % | 8 L CPT % ")</f>
        <v xml:space="preserve">| 5 L PHP-CGM % | 6 L NS % | 7 L JAVA % | 8 L CPT % </v>
      </c>
      <c r="AI107" s="4" t="str">
        <f ca="1">IFERROR(__xludf.DUMMYFUNCTION("""COMPUTED_VALUE"""),"| 5 P JAVA % | 8 L JAVA % | 7 L PHP-CGM % | 9 P NS % ")</f>
        <v xml:space="preserve">| 5 P JAVA % | 8 L JAVA % | 7 L PHP-CGM % | 9 P NS % </v>
      </c>
      <c r="AJ107" s="4" t="str">
        <f ca="1">IFERROR(__xludf.DUMMYFUNCTION("""COMPUTED_VALUE"""),"| 5 P PHP-CGM % | 7 L CPT % | 8 L NS % | 9 P Python % ")</f>
        <v xml:space="preserve">| 5 P PHP-CGM % | 7 L CPT % | 8 L NS % | 9 P Python % </v>
      </c>
      <c r="AK107" s="4" t="str">
        <f ca="1">IFERROR(__xludf.DUMMYFUNCTION("""COMPUTED_VALUE"""),"| 5 L PHP-CGM % | 6 L NS % | 7 P CPT % | 9 P PRO % ")</f>
        <v xml:space="preserve">| 5 L PHP-CGM % | 6 L NS % | 7 P CPT % | 9 P PRO % </v>
      </c>
      <c r="AL107" s="4" t="str">
        <f ca="1">IFERROR(__xludf.DUMMYFUNCTION("""COMPUTED_VALUE"""),"| 5 L JAVA % | 6 L CPT % | 7 P JAVA % | 9 L INE % ")</f>
        <v xml:space="preserve">| 5 L JAVA % | 6 L CPT % | 7 P JAVA % | 9 L INE % </v>
      </c>
      <c r="AM107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07" s="4" t="str">
        <f ca="1">IFERROR(__xludf.DUMMYFUNCTION("""COMPUTED_VALUE"""),"| 5 P JAVA % | 8 L JAVA % | 7 L PHP-CGM % | 9 P NS % ")</f>
        <v xml:space="preserve">| 5 P JAVA % | 8 L JAVA % | 7 L PHP-CGM % | 9 P NS % </v>
      </c>
      <c r="AO107" s="4" t="str">
        <f ca="1">IFERROR(__xludf.DUMMYFUNCTION("""COMPUTED_VALUE"""),"| 5 P PHP-CGM % | 7 L CPT % | 8 L NS % | 9 P Python % ")</f>
        <v xml:space="preserve">| 5 P PHP-CGM % | 7 L CPT % | 8 L NS % | 9 P Python % </v>
      </c>
      <c r="AP107" s="4" t="str">
        <f ca="1">IFERROR(__xludf.DUMMYFUNCTION("""COMPUTED_VALUE"""),"| 5 L PHP-CGM % | 6 L NS % | 7 P CPT % | 9 P PRO @ ")</f>
        <v xml:space="preserve">| 5 L PHP-CGM % | 6 L NS % | 7 P CPT % | 9 P PRO @ </v>
      </c>
      <c r="AQ107" s="4" t="str">
        <f ca="1">IFERROR(__xludf.DUMMYFUNCTION("""COMPUTED_VALUE"""),"| 5 L CPT % | 7 L JAVA % | 7 P JAVA % | 9 L INE % ")</f>
        <v xml:space="preserve">| 5 L CPT % | 7 L JAVA % | 7 P JAVA % | 9 L INE % </v>
      </c>
      <c r="AR107" s="4" t="str">
        <f ca="1">IFERROR(__xludf.DUMMYFUNCTION("""COMPUTED_VALUE"""),"| 5 L PHP-CGM % | 6 L NS % | 8 L CPT @ ")</f>
        <v xml:space="preserve">| 5 L PHP-CGM % | 6 L NS % | 8 L CPT @ </v>
      </c>
      <c r="AS107" s="4" t="str">
        <f ca="1">IFERROR(__xludf.DUMMYFUNCTION("""COMPUTED_VALUE"""),"| 5 P PHP-CGM % | 7 L CPT % | 8 L NS @ | 9 P Python @ ")</f>
        <v xml:space="preserve">| 5 P PHP-CGM % | 7 L CPT % | 8 L NS @ | 9 P Python @ </v>
      </c>
      <c r="AT107" s="4" t="str">
        <f ca="1">IFERROR(__xludf.DUMMYFUNCTION("""COMPUTED_VALUE"""),"| 5 L PHP-CGM % | 6 L NS % | 7 P CPT % | 9 P PRO % ")</f>
        <v xml:space="preserve">| 5 L PHP-CGM % | 6 L NS % | 7 P CPT % | 9 P PRO % </v>
      </c>
      <c r="AU107" s="4" t="str">
        <f ca="1">IFERROR(__xludf.DUMMYFUNCTION("""COMPUTED_VALUE"""),"| 5 L JAVA % | 6 L CPT % | 8 P JAVA % | 9 L INE % ")</f>
        <v xml:space="preserve">| 5 L JAVA % | 6 L CPT % | 8 P JAVA % | 9 L INE % </v>
      </c>
      <c r="AV107" s="4" t="str">
        <f ca="1">IFERROR(__xludf.DUMMYFUNCTION("""COMPUTED_VALUE"""),"| 5 L PHP-CGM % | 6 L NS % | 7 L JAVA % | 8 L CPT % ")</f>
        <v xml:space="preserve">| 5 L PHP-CGM % | 6 L NS % | 7 L JAVA % | 8 L CPT % </v>
      </c>
      <c r="AW107" s="4" t="str">
        <f ca="1">IFERROR(__xludf.DUMMYFUNCTION("""COMPUTED_VALUE"""),"| 5 P JAVA % | 7 L PHP-CGM @ | 8 L JAVA @ | 9 P NS % ")</f>
        <v xml:space="preserve">| 5 P JAVA % | 7 L PHP-CGM @ | 8 L JAVA @ | 9 P NS % </v>
      </c>
      <c r="AX107" s="4" t="str">
        <f ca="1">IFERROR(__xludf.DUMMYFUNCTION("""COMPUTED_VALUE"""),"| 5 P PHP-CGM % | 7 L CPT % | 8 L NS % | 9 P Python % ")</f>
        <v xml:space="preserve">| 5 P PHP-CGM % | 7 L CPT % | 8 L NS % | 9 P Python % </v>
      </c>
      <c r="AY107" s="4" t="str">
        <f ca="1">IFERROR(__xludf.DUMMYFUNCTION("""COMPUTED_VALUE"""),"| 5 L PHP-CGM % | 6 L NS % | 7 P CPT % | 9 P PRO % ")</f>
        <v xml:space="preserve">| 5 L PHP-CGM % | 6 L NS % | 7 P CPT % | 9 P PRO % </v>
      </c>
      <c r="AZ107" s="4" t="str">
        <f ca="1">IFERROR(__xludf.DUMMYFUNCTION("""COMPUTED_VALUE"""),"| 5 L PHP-CGM % | 6 L NS % | 7 L JAVA % | 8 L CPT % ")</f>
        <v xml:space="preserve">| 5 L PHP-CGM % | 6 L NS % | 7 L JAVA % | 8 L CPT % </v>
      </c>
      <c r="BA107" s="4" t="str">
        <f ca="1">IFERROR(__xludf.DUMMYFUNCTION("""COMPUTED_VALUE"""),"| 5 P JAVA % | 7 L PHP-CGM % | 8 L JAVA % ")</f>
        <v xml:space="preserve">| 5 P JAVA % | 7 L PHP-CGM % | 8 L JAVA % </v>
      </c>
      <c r="BB107" s="4" t="str">
        <f ca="1">IFERROR(__xludf.DUMMYFUNCTION("""COMPUTED_VALUE"""),"| 5 P PHP-CGM % | 7 L CPT % | 8 L NS % ")</f>
        <v xml:space="preserve">| 5 P PHP-CGM % | 7 L CPT % | 8 L NS % </v>
      </c>
      <c r="BC107" s="4" t="str">
        <f ca="1">IFERROR(__xludf.DUMMYFUNCTION("""COMPUTED_VALUE"""),"| 5 L PHP-CGM % | 6 L NS % | 7 P CPT % | 9 P PRO @ ")</f>
        <v xml:space="preserve">| 5 L PHP-CGM % | 6 L NS % | 7 P CPT % | 9 P PRO @ </v>
      </c>
      <c r="BD107" s="4" t="str">
        <f ca="1">IFERROR(__xludf.DUMMYFUNCTION("""COMPUTED_VALUE"""),"| 5 L JAVA % | 6 L CPT % | 7 P JAVA % | 9 L INE % ")</f>
        <v xml:space="preserve">| 5 L JAVA % | 6 L CPT % | 7 P JAVA % | 9 L INE % </v>
      </c>
      <c r="BE107" s="4" t="str">
        <f ca="1">IFERROR(__xludf.DUMMYFUNCTION("""COMPUTED_VALUE"""),"| 5 L PHP-CGM % | 6 L NS % | 7 L JAVA @ | 8 L CPT @ | 9 P Python % ")</f>
        <v xml:space="preserve">| 5 L PHP-CGM % | 6 L NS % | 7 L JAVA @ | 8 L CPT @ | 9 P Python % </v>
      </c>
      <c r="BF107" s="4" t="str">
        <f ca="1">IFERROR(__xludf.DUMMYFUNCTION("""COMPUTED_VALUE"""),"| 5 P JAVA % | 7 L PHP-CGM % | 8 L JAVA % | 9 P NS @ ")</f>
        <v xml:space="preserve">| 5 P JAVA % | 7 L PHP-CGM % | 8 L JAVA % | 9 P NS @ </v>
      </c>
      <c r="BG107" s="4" t="str">
        <f ca="1">IFERROR(__xludf.DUMMYFUNCTION("""COMPUTED_VALUE"""),"| 5 L PHP-CGM @ | 6 L NS @ | 7 P CPT @ | 9 P PRO @ ")</f>
        <v xml:space="preserve">| 5 L PHP-CGM @ | 6 L NS @ | 7 P CPT @ | 9 P PRO @ </v>
      </c>
      <c r="BH107" s="4" t="str">
        <f ca="1">IFERROR(__xludf.DUMMYFUNCTION("""COMPUTED_VALUE"""),"| 5 L JAVA % | 6 L CPT @ | 7 P JAVA % | 9 L INE % ")</f>
        <v xml:space="preserve">| 5 L JAVA % | 6 L CPT @ | 7 P JAVA % | 9 L INE % </v>
      </c>
      <c r="BI107" s="4" t="str">
        <f ca="1">IFERROR(__xludf.DUMMYFUNCTION("""COMPUTED_VALUE"""),"| 5 L PHP-CGM % | 6 L NS @ | 7 L JAVA % | 8 L CPT @ | 9 P Python @ ")</f>
        <v xml:space="preserve">| 5 L PHP-CGM % | 6 L NS @ | 7 L JAVA % | 8 L CPT @ | 9 P Python @ </v>
      </c>
      <c r="BJ107" s="4" t="str">
        <f ca="1">IFERROR(__xludf.DUMMYFUNCTION("""COMPUTED_VALUE"""),"| 5 P JAVA % | 7 L JAVA % | 7 L PHP-CGM % ")</f>
        <v xml:space="preserve">| 5 P JAVA % | 7 L JAVA % | 7 L PHP-CGM % </v>
      </c>
      <c r="BK107" s="4" t="str">
        <f ca="1">IFERROR(__xludf.DUMMYFUNCTION("""COMPUTED_VALUE"""),"| 7 L CPT % | 8 L NS @ ")</f>
        <v xml:space="preserve">| 7 L CPT % | 8 L NS @ </v>
      </c>
      <c r="BL107" s="4" t="str">
        <f ca="1">IFERROR(__xludf.DUMMYFUNCTION("""COMPUTED_VALUE"""),"| 5 L PHP-CGM @ | 6 L NS @ | 7 P CPT @ ")</f>
        <v xml:space="preserve">| 5 L PHP-CGM @ | 6 L NS @ | 7 P CPT @ </v>
      </c>
      <c r="BM107" s="4" t="str">
        <f ca="1">IFERROR(__xludf.DUMMYFUNCTION("""COMPUTED_VALUE"""),"| 5 L JAVA % | 6 L CPT % | 9 L INE @ ")</f>
        <v xml:space="preserve">| 5 L JAVA % | 6 L CPT % | 9 L INE @ </v>
      </c>
      <c r="BN107" s="4" t="str">
        <f ca="1">IFERROR(__xludf.DUMMYFUNCTION("""COMPUTED_VALUE"""),"| 5 L PHP-CGM % | 6 L NS % | 9 L JAVA % | 8 L CPT % ")</f>
        <v xml:space="preserve">| 5 L PHP-CGM % | 6 L NS % | 9 L JAVA % | 8 L CPT % </v>
      </c>
      <c r="BO107" s="4" t="str">
        <f ca="1">IFERROR(__xludf.DUMMYFUNCTION("""COMPUTED_VALUE"""),"| 5 P JAVA @ | 7 L PHP-CGM % ")</f>
        <v xml:space="preserve">| 5 P JAVA @ | 7 L PHP-CGM % </v>
      </c>
      <c r="BP107" s="4" t="str">
        <f ca="1">IFERROR(__xludf.DUMMYFUNCTION("""COMPUTED_VALUE"""),"| 5 P PHP-CGM % | 7 L CPT % | 8 L NS @ ")</f>
        <v xml:space="preserve">| 5 P PHP-CGM % | 7 L CPT % | 8 L NS @ </v>
      </c>
      <c r="BQ107" s="4" t="str">
        <f ca="1">IFERROR(__xludf.DUMMYFUNCTION("""COMPUTED_VALUE"""),"| 5 L JAVA % | 6 L CPT % ")</f>
        <v xml:space="preserve">| 5 L JAVA % | 6 L CPT % </v>
      </c>
      <c r="BR107" s="4" t="str">
        <f ca="1">IFERROR(__xludf.DUMMYFUNCTION("""COMPUTED_VALUE"""),"| 7 L JAVA % ")</f>
        <v xml:space="preserve">| 7 L JAVA % </v>
      </c>
      <c r="BS107" s="4"/>
      <c r="BT107" s="4" t="str">
        <f ca="1">IFERROR(__xludf.DUMMYFUNCTION("""COMPUTED_VALUE"""),"| 7 L CPT @ ")</f>
        <v xml:space="preserve">| 7 L CPT @ </v>
      </c>
      <c r="BU107" s="4" t="str">
        <f ca="1">IFERROR(__xludf.DUMMYFUNCTION("""COMPUTED_VALUE"""),"| 7 P CPT @ ")</f>
        <v xml:space="preserve">| 7 P CPT @ </v>
      </c>
      <c r="BV107" s="4" t="str">
        <f ca="1">IFERROR(__xludf.DUMMYFUNCTION("""COMPUTED_VALUE"""),"| 5 P PHP-CGM % | 7 L CPT % | 8 L NS % | 9 P Python @ ")</f>
        <v xml:space="preserve">| 5 P PHP-CGM % | 7 L CPT % | 8 L NS % | 9 P Python @ </v>
      </c>
      <c r="BW107" s="4"/>
      <c r="BX107" s="4" t="str">
        <f ca="1">IFERROR(__xludf.DUMMYFUNCTION("""COMPUTED_VALUE"""),"| 5 L JAVA % | 6 L CPT % | 7 P JAVA % ")</f>
        <v xml:space="preserve">| 5 L JAVA % | 6 L CPT % | 7 P JAVA % </v>
      </c>
      <c r="BY107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107" s="4" t="str">
        <f ca="1">IFERROR(__xludf.DUMMYFUNCTION("""COMPUTED_VALUE"""),"| 5 P JAVA % | 8 L JAVA % | 7 L PHP-CGM % | 9 P NS % ")</f>
        <v xml:space="preserve">| 5 P JAVA % | 8 L JAVA % | 7 L PHP-CGM % | 9 P NS % </v>
      </c>
      <c r="CA107" s="4" t="str">
        <f ca="1">IFERROR(__xludf.DUMMYFUNCTION("""COMPUTED_VALUE"""),"| 7 L CPT % | 8 L NS % | 9 P Python % ")</f>
        <v xml:space="preserve">| 7 L CPT % | 8 L NS % | 9 P Python % </v>
      </c>
      <c r="CB107" s="4" t="str">
        <f ca="1">IFERROR(__xludf.DUMMYFUNCTION("""COMPUTED_VALUE"""),"| 5 L PHP-CGM % | 6 L NS % | 7 P CPT % ")</f>
        <v xml:space="preserve">| 5 L PHP-CGM % | 6 L NS % | 7 P CPT % </v>
      </c>
      <c r="CC107" s="4" t="str">
        <f ca="1">IFERROR(__xludf.DUMMYFUNCTION("""COMPUTED_VALUE"""),"| 5 L JAVA % | 7 P JAVA % | 9 L INE % ")</f>
        <v xml:space="preserve">| 5 L JAVA % | 7 P JAVA % | 9 L INE % </v>
      </c>
      <c r="CD107" s="4" t="str">
        <f ca="1">IFERROR(__xludf.DUMMYFUNCTION("""COMPUTED_VALUE"""),"| 5 L PHP-CGM % | 6 L NS % | 7 L JAVA % | 8 L CPT % ")</f>
        <v xml:space="preserve">| 5 L PHP-CGM % | 6 L NS % | 7 L JAVA % | 8 L CPT % </v>
      </c>
      <c r="CE107" s="4" t="str">
        <f ca="1">IFERROR(__xludf.DUMMYFUNCTION("""COMPUTED_VALUE"""),"| 5 P JAVA % | 8 L JAVA % | 7 L PHP-CGM % | 9 P NS % ")</f>
        <v xml:space="preserve">| 5 P JAVA % | 8 L JAVA % | 7 L PHP-CGM % | 9 P NS % </v>
      </c>
      <c r="CF107" s="4" t="str">
        <f ca="1">IFERROR(__xludf.DUMMYFUNCTION("""COMPUTED_VALUE"""),"| 7 L CPT % | 8 L NS % | 9 P Python % ")</f>
        <v xml:space="preserve">| 7 L CPT % | 8 L NS % | 9 P Python % </v>
      </c>
      <c r="CG107" s="4" t="str">
        <f ca="1">IFERROR(__xludf.DUMMYFUNCTION("""COMPUTED_VALUE"""),"| 5 L PHP-CGM % | 6 L NS % | 7 P CPT % ")</f>
        <v xml:space="preserve">| 5 L PHP-CGM % | 6 L NS % | 7 P CPT % </v>
      </c>
      <c r="CH107" s="4" t="str">
        <f ca="1">IFERROR(__xludf.DUMMYFUNCTION("""COMPUTED_VALUE"""),"| 5 L JAVA % | 6 L CPT % | 7 P JAVA % | 9 L INE @ ")</f>
        <v xml:space="preserve">| 5 L JAVA % | 6 L CPT % | 7 P JAVA % | 9 L INE @ </v>
      </c>
      <c r="CI107" s="4" t="str">
        <f ca="1">IFERROR(__xludf.DUMMYFUNCTION("""COMPUTED_VALUE"""),"| 5 L PHP-CGM % | 7 L JAVA @ | 8 L CPT @ ")</f>
        <v xml:space="preserve">| 5 L PHP-CGM % | 7 L JAVA @ | 8 L CPT @ </v>
      </c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</row>
    <row r="108" spans="1:102" ht="12.5" x14ac:dyDescent="0.25">
      <c r="A108" s="3">
        <f ca="1">IFERROR(__xludf.DUMMYFUNCTION("""COMPUTED_VALUE"""),2)</f>
        <v>2</v>
      </c>
      <c r="B108" s="3" t="str">
        <f ca="1">IFERROR(__xludf.DUMMYFUNCTION("""COMPUTED_VALUE"""),"B")</f>
        <v>B</v>
      </c>
      <c r="C108" s="32" t="str">
        <f ca="1">IFERROR(__xludf.DUMMYFUNCTION("""COMPUTED_VALUE"""),"23291341055")</f>
        <v>23291341055</v>
      </c>
      <c r="D108" s="4" t="str">
        <f ca="1">IFERROR(__xludf.DUMMYFUNCTION("""COMPUTED_VALUE"""),"MANSURI ARSH RAJMAHMAD")</f>
        <v>MANSURI ARSH RAJMAHMAD</v>
      </c>
      <c r="E108" s="3" t="str">
        <f ca="1">IFERROR(__xludf.DUMMYFUNCTION("""COMPUTED_VALUE"""),"HAM/HDP-EVE")</f>
        <v>HAM/HDP-EVE</v>
      </c>
      <c r="F108" s="3">
        <f ca="1">IFERROR(__xludf.DUMMYFUNCTION("""COMPUTED_VALUE"""),7226867666)</f>
        <v>7226867666</v>
      </c>
      <c r="G108" s="3">
        <f ca="1">IFERROR(__xludf.DUMMYFUNCTION("""COMPUTED_VALUE"""),9427828345)</f>
        <v>9427828345</v>
      </c>
      <c r="H108" s="33">
        <f ca="1">IFERROR(__xludf.DUMMYFUNCTION("""COMPUTED_VALUE"""),0.64090909090909)</f>
        <v>0.64090909090908998</v>
      </c>
      <c r="I108" s="25">
        <f ca="1">IFERROR(__xludf.DUMMYFUNCTION("""COMPUTED_VALUE"""),0.675675675675675)</f>
        <v>0.67567567567567499</v>
      </c>
      <c r="J108" s="25">
        <f ca="1">IFERROR(__xludf.DUMMYFUNCTION("""COMPUTED_VALUE"""),0.75)</f>
        <v>0.75</v>
      </c>
      <c r="K108" s="25">
        <f ca="1">IFERROR(__xludf.DUMMYFUNCTION("""COMPUTED_VALUE"""),0.647058823529411)</f>
        <v>0.64705882352941102</v>
      </c>
      <c r="L108" s="25">
        <f ca="1">IFERROR(__xludf.DUMMYFUNCTION("""COMPUTED_VALUE"""),0.285714285714285)</f>
        <v>0.28571428571428498</v>
      </c>
      <c r="M108" s="25">
        <f ca="1">IFERROR(__xludf.DUMMYFUNCTION("""COMPUTED_VALUE"""),0.628571428571428)</f>
        <v>0.628571428571428</v>
      </c>
      <c r="N108" s="25">
        <f ca="1">IFERROR(__xludf.DUMMYFUNCTION("""COMPUTED_VALUE"""),0.888888888888888)</f>
        <v>0.88888888888888795</v>
      </c>
      <c r="O108" s="25">
        <f ca="1">IFERROR(__xludf.DUMMYFUNCTION("""COMPUTED_VALUE"""),0.628571428571428)</f>
        <v>0.628571428571428</v>
      </c>
      <c r="P108" s="25">
        <f ca="1">IFERROR(__xludf.DUMMYFUNCTION("""COMPUTED_VALUE"""),0.666666666666666)</f>
        <v>0.66666666666666596</v>
      </c>
      <c r="Q108" s="25">
        <f ca="1">IFERROR(__xludf.DUMMYFUNCTION("""COMPUTED_VALUE"""),0)</f>
        <v>0</v>
      </c>
      <c r="R108" s="25">
        <f ca="1">IFERROR(__xludf.DUMMYFUNCTION("""COMPUTED_VALUE"""),0.666666666666666)</f>
        <v>0.66666666666666596</v>
      </c>
      <c r="S108" s="25">
        <f ca="1">IFERROR(__xludf.DUMMYFUNCTION("""COMPUTED_VALUE"""),0)</f>
        <v>0</v>
      </c>
      <c r="T108" s="25">
        <f ca="1">IFERROR(__xludf.DUMMYFUNCTION("""COMPUTED_VALUE"""),0.428571428571428)</f>
        <v>0.42857142857142799</v>
      </c>
      <c r="U108" s="25">
        <f ca="1">IFERROR(__xludf.DUMMYFUNCTION("""COMPUTED_VALUE"""),0.5)</f>
        <v>0.5</v>
      </c>
      <c r="V108" s="25">
        <f ca="1">IFERROR(__xludf.DUMMYFUNCTION("""COMPUTED_VALUE"""),0)</f>
        <v>0</v>
      </c>
      <c r="W108" s="4"/>
      <c r="X108" s="4" t="str">
        <f ca="1">IFERROR(__xludf.DUMMYFUNCTION("""COMPUTED_VALUE"""),"| 5 P PHP-CGM % | 7 L CPT % | 8 L NS % | 9 P Python % ")</f>
        <v xml:space="preserve">| 5 P PHP-CGM % | 7 L CPT % | 8 L NS % | 9 P Python % </v>
      </c>
      <c r="Y108" s="4" t="str">
        <f ca="1">IFERROR(__xludf.DUMMYFUNCTION("""COMPUTED_VALUE"""),"| 5 L PHP-CGM % | 6 L NS % | 8 P CPT % | 9 P PRO @ ")</f>
        <v xml:space="preserve">| 5 L PHP-CGM % | 6 L NS % | 8 P CPT % | 9 P PRO @ </v>
      </c>
      <c r="Z108" s="4" t="str">
        <f ca="1">IFERROR(__xludf.DUMMYFUNCTION("""COMPUTED_VALUE"""),"| 5 L JAVA % | 6 L CPT % | 7 P JAVA % ")</f>
        <v xml:space="preserve">| 5 L JAVA % | 6 L CPT % | 7 P JAVA % </v>
      </c>
      <c r="AA108" s="4" t="str">
        <f ca="1">IFERROR(__xludf.DUMMYFUNCTION("""COMPUTED_VALUE"""),"| 5 L PHP-CGM % | 7 L JAVA % | 9 P Python % | 8 L CPT % ")</f>
        <v xml:space="preserve">| 5 L PHP-CGM % | 7 L JAVA % | 9 P Python % | 8 L CPT % </v>
      </c>
      <c r="AB108" s="4" t="str">
        <f ca="1">IFERROR(__xludf.DUMMYFUNCTION("""COMPUTED_VALUE"""),"| 5 P JAVA % | 7 L PHP-CGM % | 8 L JAVA % | 9 P NS % ")</f>
        <v xml:space="preserve">| 5 P JAVA % | 7 L PHP-CGM % | 8 L JAVA % | 9 P NS % </v>
      </c>
      <c r="AC108" s="4" t="str">
        <f ca="1">IFERROR(__xludf.DUMMYFUNCTION("""COMPUTED_VALUE"""),"| 5 P PHP-CGM % | 7 L CPT % | 8 L NS % | 9 P Python % ")</f>
        <v xml:space="preserve">| 5 P PHP-CGM % | 7 L CPT % | 8 L NS % | 9 P Python % </v>
      </c>
      <c r="AD108" s="4" t="str">
        <f ca="1">IFERROR(__xludf.DUMMYFUNCTION("""COMPUTED_VALUE"""),"| 5 L PHP-CGM % | 6 L NS % | 7 P CPT % ")</f>
        <v xml:space="preserve">| 5 L PHP-CGM % | 6 L NS % | 7 P CPT % </v>
      </c>
      <c r="AE108" s="4" t="str">
        <f ca="1">IFERROR(__xludf.DUMMYFUNCTION("""COMPUTED_VALUE"""),"| 5 L JAVA % | 6 L CPT % | 7 P JAVA % ")</f>
        <v xml:space="preserve">| 5 L JAVA % | 6 L CPT % | 7 P JAVA % </v>
      </c>
      <c r="AF10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08" s="4" t="str">
        <f ca="1">IFERROR(__xludf.DUMMYFUNCTION("""COMPUTED_VALUE"""),"| 5 P JAVA % | 8 L JAVA % | 7 L PHP-CGM % ")</f>
        <v xml:space="preserve">| 5 P JAVA % | 8 L JAVA % | 7 L PHP-CGM % </v>
      </c>
      <c r="AH108" s="4" t="str">
        <f ca="1">IFERROR(__xludf.DUMMYFUNCTION("""COMPUTED_VALUE"""),"| 5 L PHP-CGM @ | 6 L NS @ | 7 L JAVA @ | 8 L CPT @ ")</f>
        <v xml:space="preserve">| 5 L PHP-CGM @ | 6 L NS @ | 7 L JAVA @ | 8 L CPT @ </v>
      </c>
      <c r="AI108" s="4" t="str">
        <f ca="1">IFERROR(__xludf.DUMMYFUNCTION("""COMPUTED_VALUE"""),"| 5 P JAVA % | 8 L JAVA @ | 7 L PHP-CGM @ | 9 P NS @ ")</f>
        <v xml:space="preserve">| 5 P JAVA % | 8 L JAVA @ | 7 L PHP-CGM @ | 9 P NS @ </v>
      </c>
      <c r="AJ108" s="4" t="str">
        <f ca="1">IFERROR(__xludf.DUMMYFUNCTION("""COMPUTED_VALUE"""),"| 5 P PHP-CGM % | 7 L CPT % | 8 L NS % | 9 P Python % ")</f>
        <v xml:space="preserve">| 5 P PHP-CGM % | 7 L CPT % | 8 L NS % | 9 P Python % </v>
      </c>
      <c r="AK108" s="4" t="str">
        <f ca="1">IFERROR(__xludf.DUMMYFUNCTION("""COMPUTED_VALUE"""),"| 5 L PHP-CGM % | 6 L NS % | 7 P CPT % | 9 P PRO % ")</f>
        <v xml:space="preserve">| 5 L PHP-CGM % | 6 L NS % | 7 P CPT % | 9 P PRO % </v>
      </c>
      <c r="AL108" s="4" t="str">
        <f ca="1">IFERROR(__xludf.DUMMYFUNCTION("""COMPUTED_VALUE"""),"| 5 L JAVA % | 6 L CPT % | 7 P JAVA % | 9 L INE % ")</f>
        <v xml:space="preserve">| 5 L JAVA % | 6 L CPT % | 7 P JAVA % | 9 L INE % </v>
      </c>
      <c r="AM108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N108" s="4" t="str">
        <f ca="1">IFERROR(__xludf.DUMMYFUNCTION("""COMPUTED_VALUE"""),"| 5 P JAVA % | 8 L JAVA % | 7 L PHP-CGM % | 9 P NS % ")</f>
        <v xml:space="preserve">| 5 P JAVA % | 8 L JAVA % | 7 L PHP-CGM % | 9 P NS % </v>
      </c>
      <c r="AO108" s="4" t="str">
        <f ca="1">IFERROR(__xludf.DUMMYFUNCTION("""COMPUTED_VALUE"""),"| 5 P PHP-CGM % | 7 L CPT % | 8 L NS % | 9 P Python % ")</f>
        <v xml:space="preserve">| 5 P PHP-CGM % | 7 L CPT % | 8 L NS % | 9 P Python % </v>
      </c>
      <c r="AP108" s="4" t="str">
        <f ca="1">IFERROR(__xludf.DUMMYFUNCTION("""COMPUTED_VALUE"""),"| 5 L PHP-CGM % | 6 L NS % | 7 P CPT % | 9 P PRO @ ")</f>
        <v xml:space="preserve">| 5 L PHP-CGM % | 6 L NS % | 7 P CPT % | 9 P PRO @ </v>
      </c>
      <c r="AQ108" s="4" t="str">
        <f ca="1">IFERROR(__xludf.DUMMYFUNCTION("""COMPUTED_VALUE"""),"| 5 L CPT @ | 7 L JAVA @ | 7 P JAVA @ | 9 L INE @ ")</f>
        <v xml:space="preserve">| 5 L CPT @ | 7 L JAVA @ | 7 P JAVA @ | 9 L INE @ </v>
      </c>
      <c r="AR108" s="4" t="str">
        <f ca="1">IFERROR(__xludf.DUMMYFUNCTION("""COMPUTED_VALUE"""),"| 5 L PHP-CGM @ | 6 L NS @ | 8 L CPT @ ")</f>
        <v xml:space="preserve">| 5 L PHP-CGM @ | 6 L NS @ | 8 L CPT @ </v>
      </c>
      <c r="AS108" s="4" t="str">
        <f ca="1">IFERROR(__xludf.DUMMYFUNCTION("""COMPUTED_VALUE"""),"| 5 P PHP-CGM % | 7 L CPT % | 8 L NS % | 9 P Python @ ")</f>
        <v xml:space="preserve">| 5 P PHP-CGM % | 7 L CPT % | 8 L NS % | 9 P Python @ </v>
      </c>
      <c r="AT108" s="4" t="str">
        <f ca="1">IFERROR(__xludf.DUMMYFUNCTION("""COMPUTED_VALUE"""),"| 5 L PHP-CGM % | 6 L NS % | 7 P CPT % | 9 P PRO @ ")</f>
        <v xml:space="preserve">| 5 L PHP-CGM % | 6 L NS % | 7 P CPT % | 9 P PRO @ </v>
      </c>
      <c r="AU108" s="4" t="str">
        <f ca="1">IFERROR(__xludf.DUMMYFUNCTION("""COMPUTED_VALUE"""),"| 5 L JAVA % | 6 L CPT % | 8 P JAVA % | 9 L INE % ")</f>
        <v xml:space="preserve">| 5 L JAVA % | 6 L CPT % | 8 P JAVA % | 9 L INE % </v>
      </c>
      <c r="AV108" s="4" t="str">
        <f ca="1">IFERROR(__xludf.DUMMYFUNCTION("""COMPUTED_VALUE"""),"| 5 L PHP-CGM % | 6 L NS % | 7 L JAVA % | 8 L CPT % ")</f>
        <v xml:space="preserve">| 5 L PHP-CGM % | 6 L NS % | 7 L JAVA % | 8 L CPT % </v>
      </c>
      <c r="AW108" s="4" t="str">
        <f ca="1">IFERROR(__xludf.DUMMYFUNCTION("""COMPUTED_VALUE"""),"| 5 P JAVA @ | 7 L PHP-CGM @ | 8 L JAVA @ | 9 P NS @ ")</f>
        <v xml:space="preserve">| 5 P JAVA @ | 7 L PHP-CGM @ | 8 L JAVA @ | 9 P NS @ </v>
      </c>
      <c r="AX108" s="4" t="str">
        <f ca="1">IFERROR(__xludf.DUMMYFUNCTION("""COMPUTED_VALUE"""),"| 5 P PHP-CGM % | 7 L CPT % | 8 L NS % | 9 P Python % ")</f>
        <v xml:space="preserve">| 5 P PHP-CGM % | 7 L CPT % | 8 L NS % | 9 P Python % </v>
      </c>
      <c r="AY108" s="4" t="str">
        <f ca="1">IFERROR(__xludf.DUMMYFUNCTION("""COMPUTED_VALUE"""),"| 5 L PHP-CGM @ | 6 L NS @ | 7 P CPT % | 9 P PRO % ")</f>
        <v xml:space="preserve">| 5 L PHP-CGM @ | 6 L NS @ | 7 P CPT % | 9 P PRO % </v>
      </c>
      <c r="AZ108" s="4" t="str">
        <f ca="1">IFERROR(__xludf.DUMMYFUNCTION("""COMPUTED_VALUE"""),"| 5 L PHP-CGM @ | 6 L NS @ | 7 L JAVA @ | 8 L CPT @ ")</f>
        <v xml:space="preserve">| 5 L PHP-CGM @ | 6 L NS @ | 7 L JAVA @ | 8 L CPT @ </v>
      </c>
      <c r="BA108" s="4" t="str">
        <f ca="1">IFERROR(__xludf.DUMMYFUNCTION("""COMPUTED_VALUE"""),"| 5 P JAVA % | 7 L PHP-CGM % | 8 L JAVA % ")</f>
        <v xml:space="preserve">| 5 P JAVA % | 7 L PHP-CGM % | 8 L JAVA % </v>
      </c>
      <c r="BB108" s="4" t="str">
        <f ca="1">IFERROR(__xludf.DUMMYFUNCTION("""COMPUTED_VALUE"""),"| 5 P PHP-CGM % | 7 L CPT % | 8 L NS % ")</f>
        <v xml:space="preserve">| 5 P PHP-CGM % | 7 L CPT % | 8 L NS % </v>
      </c>
      <c r="BC108" s="4" t="str">
        <f ca="1">IFERROR(__xludf.DUMMYFUNCTION("""COMPUTED_VALUE"""),"| 5 L PHP-CGM % | 6 L NS % | 7 P CPT % | 9 P PRO @ ")</f>
        <v xml:space="preserve">| 5 L PHP-CGM % | 6 L NS % | 7 P CPT % | 9 P PRO @ </v>
      </c>
      <c r="BD108" s="4" t="str">
        <f ca="1">IFERROR(__xludf.DUMMYFUNCTION("""COMPUTED_VALUE"""),"| 5 L JAVA % | 6 L CPT % | 7 P JAVA % | 9 L INE % ")</f>
        <v xml:space="preserve">| 5 L JAVA % | 6 L CPT % | 7 P JAVA % | 9 L INE % </v>
      </c>
      <c r="BE10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08" s="4" t="str">
        <f ca="1">IFERROR(__xludf.DUMMYFUNCTION("""COMPUTED_VALUE"""),"| 5 P JAVA @ | 7 L PHP-CGM % | 8 L JAVA % | 9 P NS @ ")</f>
        <v xml:space="preserve">| 5 P JAVA @ | 7 L PHP-CGM % | 8 L JAVA % | 9 P NS @ </v>
      </c>
      <c r="BG108" s="4" t="str">
        <f ca="1">IFERROR(__xludf.DUMMYFUNCTION("""COMPUTED_VALUE"""),"| 5 L PHP-CGM % | 6 L NS % | 7 P CPT % | 9 P PRO % ")</f>
        <v xml:space="preserve">| 5 L PHP-CGM % | 6 L NS % | 7 P CPT % | 9 P PRO % </v>
      </c>
      <c r="BH108" s="4" t="str">
        <f ca="1">IFERROR(__xludf.DUMMYFUNCTION("""COMPUTED_VALUE"""),"| 5 L JAVA @ | 6 L CPT @ | 7 P JAVA % | 9 L INE % ")</f>
        <v xml:space="preserve">| 5 L JAVA @ | 6 L CPT @ | 7 P JAVA % | 9 L INE % </v>
      </c>
      <c r="BI10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108" s="4" t="str">
        <f ca="1">IFERROR(__xludf.DUMMYFUNCTION("""COMPUTED_VALUE"""),"| 5 P JAVA % | 7 L JAVA % | 7 L PHP-CGM % ")</f>
        <v xml:space="preserve">| 5 P JAVA % | 7 L JAVA % | 7 L PHP-CGM % </v>
      </c>
      <c r="BK108" s="4" t="str">
        <f ca="1">IFERROR(__xludf.DUMMYFUNCTION("""COMPUTED_VALUE"""),"| 7 L CPT % | 8 L NS @ ")</f>
        <v xml:space="preserve">| 7 L CPT % | 8 L NS @ </v>
      </c>
      <c r="BL108" s="4" t="str">
        <f ca="1">IFERROR(__xludf.DUMMYFUNCTION("""COMPUTED_VALUE"""),"| 5 L PHP-CGM @ | 6 L NS @ | 7 P CPT @ ")</f>
        <v xml:space="preserve">| 5 L PHP-CGM @ | 6 L NS @ | 7 P CPT @ </v>
      </c>
      <c r="BM108" s="4" t="str">
        <f ca="1">IFERROR(__xludf.DUMMYFUNCTION("""COMPUTED_VALUE"""),"| 5 L JAVA % | 6 L CPT % | 9 L INE @ ")</f>
        <v xml:space="preserve">| 5 L JAVA % | 6 L CPT % | 9 L INE @ </v>
      </c>
      <c r="BN108" s="4" t="str">
        <f ca="1">IFERROR(__xludf.DUMMYFUNCTION("""COMPUTED_VALUE"""),"| 5 L PHP-CGM % | 6 L NS % | 9 L JAVA % | 8 L CPT % ")</f>
        <v xml:space="preserve">| 5 L PHP-CGM % | 6 L NS % | 9 L JAVA % | 8 L CPT % </v>
      </c>
      <c r="BO108" s="4" t="str">
        <f ca="1">IFERROR(__xludf.DUMMYFUNCTION("""COMPUTED_VALUE"""),"| 5 P JAVA @ | 7 L PHP-CGM @ ")</f>
        <v xml:space="preserve">| 5 P JAVA @ | 7 L PHP-CGM @ </v>
      </c>
      <c r="BP108" s="4" t="str">
        <f ca="1">IFERROR(__xludf.DUMMYFUNCTION("""COMPUTED_VALUE"""),"| 5 P PHP-CGM % | 7 L CPT % | 8 L NS @ ")</f>
        <v xml:space="preserve">| 5 P PHP-CGM % | 7 L CPT % | 8 L NS @ </v>
      </c>
      <c r="BQ108" s="4" t="str">
        <f ca="1">IFERROR(__xludf.DUMMYFUNCTION("""COMPUTED_VALUE"""),"| 5 L JAVA % | 6 L CPT % ")</f>
        <v xml:space="preserve">| 5 L JAVA % | 6 L CPT % </v>
      </c>
      <c r="BR108" s="4" t="str">
        <f ca="1">IFERROR(__xludf.DUMMYFUNCTION("""COMPUTED_VALUE"""),"| 7 L JAVA @ ")</f>
        <v xml:space="preserve">| 7 L JAVA @ </v>
      </c>
      <c r="BS108" s="4"/>
      <c r="BT108" s="4" t="str">
        <f ca="1">IFERROR(__xludf.DUMMYFUNCTION("""COMPUTED_VALUE"""),"| 7 L CPT @ ")</f>
        <v xml:space="preserve">| 7 L CPT @ </v>
      </c>
      <c r="BU108" s="4" t="str">
        <f ca="1">IFERROR(__xludf.DUMMYFUNCTION("""COMPUTED_VALUE"""),"| 7 P CPT @ ")</f>
        <v xml:space="preserve">| 7 P CPT @ </v>
      </c>
      <c r="BV108" s="4" t="str">
        <f ca="1">IFERROR(__xludf.DUMMYFUNCTION("""COMPUTED_VALUE"""),"| 5 P PHP-CGM @ | 7 L CPT @ | 8 L NS @ | 9 P Python @ ")</f>
        <v xml:space="preserve">| 5 P PHP-CGM @ | 7 L CPT @ | 8 L NS @ | 9 P Python @ </v>
      </c>
      <c r="BW108" s="4"/>
      <c r="BX108" s="4" t="str">
        <f ca="1">IFERROR(__xludf.DUMMYFUNCTION("""COMPUTED_VALUE"""),"| 5 L JAVA @ | 6 L CPT @ | 7 P JAVA @ ")</f>
        <v xml:space="preserve">| 5 L JAVA @ | 6 L CPT @ | 7 P JAVA @ </v>
      </c>
      <c r="BY108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08" s="4" t="str">
        <f ca="1">IFERROR(__xludf.DUMMYFUNCTION("""COMPUTED_VALUE"""),"| 5 P JAVA @ | 8 L JAVA @ | 7 L PHP-CGM @ | 9 P NS @ ")</f>
        <v xml:space="preserve">| 5 P JAVA @ | 8 L JAVA @ | 7 L PHP-CGM @ | 9 P NS @ </v>
      </c>
      <c r="CA108" s="4" t="str">
        <f ca="1">IFERROR(__xludf.DUMMYFUNCTION("""COMPUTED_VALUE"""),"| 7 L CPT @ | 8 L NS @ | 9 P Python @ ")</f>
        <v xml:space="preserve">| 7 L CPT @ | 8 L NS @ | 9 P Python @ </v>
      </c>
      <c r="CB108" s="4" t="str">
        <f ca="1">IFERROR(__xludf.DUMMYFUNCTION("""COMPUTED_VALUE"""),"| 5 L PHP-CGM @ | 6 L NS @ | 7 P CPT @ ")</f>
        <v xml:space="preserve">| 5 L PHP-CGM @ | 6 L NS @ | 7 P CPT @ </v>
      </c>
      <c r="CC108" s="4" t="str">
        <f ca="1">IFERROR(__xludf.DUMMYFUNCTION("""COMPUTED_VALUE"""),"| 5 L JAVA @ | 7 P JAVA @ | 9 L INE @ ")</f>
        <v xml:space="preserve">| 5 L JAVA @ | 7 P JAVA @ | 9 L INE @ </v>
      </c>
      <c r="CD108" s="4" t="str">
        <f ca="1">IFERROR(__xludf.DUMMYFUNCTION("""COMPUTED_VALUE"""),"| 5 L PHP-CGM % | 6 L NS % | 7 L JAVA % | 8 L CPT % ")</f>
        <v xml:space="preserve">| 5 L PHP-CGM % | 6 L NS % | 7 L JAVA % | 8 L CPT % </v>
      </c>
      <c r="CE108" s="4" t="str">
        <f ca="1">IFERROR(__xludf.DUMMYFUNCTION("""COMPUTED_VALUE"""),"| 5 P JAVA % | 8 L JAVA % | 7 L PHP-CGM % | 9 P NS @ ")</f>
        <v xml:space="preserve">| 5 P JAVA % | 8 L JAVA % | 7 L PHP-CGM % | 9 P NS @ </v>
      </c>
      <c r="CF108" s="4" t="str">
        <f ca="1">IFERROR(__xludf.DUMMYFUNCTION("""COMPUTED_VALUE"""),"| 7 L CPT % | 8 L NS % | 9 P Python % ")</f>
        <v xml:space="preserve">| 7 L CPT % | 8 L NS % | 9 P Python % </v>
      </c>
      <c r="CG108" s="4" t="str">
        <f ca="1">IFERROR(__xludf.DUMMYFUNCTION("""COMPUTED_VALUE"""),"| 5 L PHP-CGM % | 6 L NS % | 7 P CPT % ")</f>
        <v xml:space="preserve">| 5 L PHP-CGM % | 6 L NS % | 7 P CPT % </v>
      </c>
      <c r="CH108" s="4" t="str">
        <f ca="1">IFERROR(__xludf.DUMMYFUNCTION("""COMPUTED_VALUE"""),"| 5 L JAVA % | 6 L CPT % | 7 P JAVA % | 9 L INE @ ")</f>
        <v xml:space="preserve">| 5 L JAVA % | 6 L CPT % | 7 P JAVA % | 9 L INE @ </v>
      </c>
      <c r="CI108" s="4" t="str">
        <f ca="1">IFERROR(__xludf.DUMMYFUNCTION("""COMPUTED_VALUE"""),"| 5 L PHP-CGM @ | 7 L JAVA @ | 8 L CPT @ ")</f>
        <v xml:space="preserve">| 5 L PHP-CGM @ | 7 L JAVA @ | 8 L CPT @ </v>
      </c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</row>
    <row r="109" spans="1:102" ht="12.5" x14ac:dyDescent="0.25">
      <c r="A109" s="3">
        <f ca="1">IFERROR(__xludf.DUMMYFUNCTION("""COMPUTED_VALUE"""),2)</f>
        <v>2</v>
      </c>
      <c r="B109" s="3" t="str">
        <f ca="1">IFERROR(__xludf.DUMMYFUNCTION("""COMPUTED_VALUE"""),"B")</f>
        <v>B</v>
      </c>
      <c r="C109" s="32" t="str">
        <f ca="1">IFERROR(__xludf.DUMMYFUNCTION("""COMPUTED_VALUE"""),"23291341059")</f>
        <v>23291341059</v>
      </c>
      <c r="D109" s="4" t="str">
        <f ca="1">IFERROR(__xludf.DUMMYFUNCTION("""COMPUTED_VALUE"""),"MEVADA MAHI JIGARKUMAR")</f>
        <v>MEVADA MAHI JIGARKUMAR</v>
      </c>
      <c r="E109" s="3" t="str">
        <f ca="1">IFERROR(__xludf.DUMMYFUNCTION("""COMPUTED_VALUE"""),"HAM/HDP-EVE")</f>
        <v>HAM/HDP-EVE</v>
      </c>
      <c r="F109" s="3">
        <f ca="1">IFERROR(__xludf.DUMMYFUNCTION("""COMPUTED_VALUE"""),8200745777)</f>
        <v>8200745777</v>
      </c>
      <c r="G109" s="3">
        <f ca="1">IFERROR(__xludf.DUMMYFUNCTION("""COMPUTED_VALUE"""),9925874431)</f>
        <v>9925874431</v>
      </c>
      <c r="H109" s="33">
        <f ca="1">IFERROR(__xludf.DUMMYFUNCTION("""COMPUTED_VALUE"""),0.554545454545454)</f>
        <v>0.55454545454545401</v>
      </c>
      <c r="I109" s="25">
        <f ca="1">IFERROR(__xludf.DUMMYFUNCTION("""COMPUTED_VALUE"""),0.459459459459459)</f>
        <v>0.45945945945945899</v>
      </c>
      <c r="J109" s="25">
        <f ca="1">IFERROR(__xludf.DUMMYFUNCTION("""COMPUTED_VALUE"""),0.75)</f>
        <v>0.75</v>
      </c>
      <c r="K109" s="25">
        <f ca="1">IFERROR(__xludf.DUMMYFUNCTION("""COMPUTED_VALUE"""),0.588235294117647)</f>
        <v>0.58823529411764697</v>
      </c>
      <c r="L109" s="25">
        <f ca="1">IFERROR(__xludf.DUMMYFUNCTION("""COMPUTED_VALUE"""),0.142857142857142)</f>
        <v>0.14285714285714199</v>
      </c>
      <c r="M109" s="25">
        <f ca="1">IFERROR(__xludf.DUMMYFUNCTION("""COMPUTED_VALUE"""),0.657142857142857)</f>
        <v>0.65714285714285703</v>
      </c>
      <c r="N109" s="25">
        <f ca="1">IFERROR(__xludf.DUMMYFUNCTION("""COMPUTED_VALUE"""),0.444444444444444)</f>
        <v>0.44444444444444398</v>
      </c>
      <c r="O109" s="25">
        <f ca="1">IFERROR(__xludf.DUMMYFUNCTION("""COMPUTED_VALUE"""),0.542857142857142)</f>
        <v>0.54285714285714204</v>
      </c>
      <c r="P109" s="25">
        <f ca="1">IFERROR(__xludf.DUMMYFUNCTION("""COMPUTED_VALUE"""),0.619047619047619)</f>
        <v>0.61904761904761896</v>
      </c>
      <c r="Q109" s="25">
        <f ca="1">IFERROR(__xludf.DUMMYFUNCTION("""COMPUTED_VALUE"""),0)</f>
        <v>0</v>
      </c>
      <c r="R109" s="25">
        <f ca="1">IFERROR(__xludf.DUMMYFUNCTION("""COMPUTED_VALUE"""),0.466666666666666)</f>
        <v>0.46666666666666601</v>
      </c>
      <c r="S109" s="25">
        <f ca="1">IFERROR(__xludf.DUMMYFUNCTION("""COMPUTED_VALUE"""),0)</f>
        <v>0</v>
      </c>
      <c r="T109" s="25">
        <f ca="1">IFERROR(__xludf.DUMMYFUNCTION("""COMPUTED_VALUE"""),0.857142857142857)</f>
        <v>0.85714285714285698</v>
      </c>
      <c r="U109" s="25">
        <f ca="1">IFERROR(__xludf.DUMMYFUNCTION("""COMPUTED_VALUE"""),0.375)</f>
        <v>0.375</v>
      </c>
      <c r="V109" s="25">
        <f ca="1">IFERROR(__xludf.DUMMYFUNCTION("""COMPUTED_VALUE"""),0)</f>
        <v>0</v>
      </c>
      <c r="W109" s="4"/>
      <c r="X109" s="4" t="str">
        <f ca="1">IFERROR(__xludf.DUMMYFUNCTION("""COMPUTED_VALUE"""),"| 5 P PHP-CGM % | 7 L CPT % | 8 L NS % | 9 P Python % ")</f>
        <v xml:space="preserve">| 5 P PHP-CGM % | 7 L CPT % | 8 L NS % | 9 P Python % </v>
      </c>
      <c r="Y109" s="4" t="str">
        <f ca="1">IFERROR(__xludf.DUMMYFUNCTION("""COMPUTED_VALUE"""),"| 5 L PHP-CGM % | 6 L NS % | 8 P CPT % | 9 P PRO % ")</f>
        <v xml:space="preserve">| 5 L PHP-CGM % | 6 L NS % | 8 P CPT % | 9 P PRO % </v>
      </c>
      <c r="Z109" s="4" t="str">
        <f ca="1">IFERROR(__xludf.DUMMYFUNCTION("""COMPUTED_VALUE"""),"| 5 L JAVA @ | 6 L CPT @ | 7 P JAVA @ ")</f>
        <v xml:space="preserve">| 5 L JAVA @ | 6 L CPT @ | 7 P JAVA @ </v>
      </c>
      <c r="AA109" s="4" t="str">
        <f ca="1">IFERROR(__xludf.DUMMYFUNCTION("""COMPUTED_VALUE"""),"| 5 L PHP-CGM % | 7 L JAVA % | 9 P Python @ | 8 L CPT % ")</f>
        <v xml:space="preserve">| 5 L PHP-CGM % | 7 L JAVA % | 9 P Python @ | 8 L CPT % </v>
      </c>
      <c r="AB109" s="4" t="str">
        <f ca="1">IFERROR(__xludf.DUMMYFUNCTION("""COMPUTED_VALUE"""),"| 5 P JAVA % | 7 L PHP-CGM % | 8 L JAVA % | 9 P NS @ ")</f>
        <v xml:space="preserve">| 5 P JAVA % | 7 L PHP-CGM % | 8 L JAVA % | 9 P NS @ </v>
      </c>
      <c r="AC109" s="4" t="str">
        <f ca="1">IFERROR(__xludf.DUMMYFUNCTION("""COMPUTED_VALUE"""),"| 5 P PHP-CGM @ | 7 L CPT @ | 8 L NS @ | 9 P Python @ ")</f>
        <v xml:space="preserve">| 5 P PHP-CGM @ | 7 L CPT @ | 8 L NS @ | 9 P Python @ </v>
      </c>
      <c r="AD109" s="4" t="str">
        <f ca="1">IFERROR(__xludf.DUMMYFUNCTION("""COMPUTED_VALUE"""),"| 5 L PHP-CGM % | 6 L NS % | 7 P CPT % ")</f>
        <v xml:space="preserve">| 5 L PHP-CGM % | 6 L NS % | 7 P CPT % </v>
      </c>
      <c r="AE109" s="4" t="str">
        <f ca="1">IFERROR(__xludf.DUMMYFUNCTION("""COMPUTED_VALUE"""),"| 5 L JAVA % | 6 L CPT % | 7 P JAVA % ")</f>
        <v xml:space="preserve">| 5 L JAVA % | 6 L CPT % | 7 P JAVA % </v>
      </c>
      <c r="AF109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G109" s="4" t="str">
        <f ca="1">IFERROR(__xludf.DUMMYFUNCTION("""COMPUTED_VALUE"""),"| 5 P JAVA @ | 8 L JAVA @ | 7 L PHP-CGM @ ")</f>
        <v xml:space="preserve">| 5 P JAVA @ | 8 L JAVA @ | 7 L PHP-CGM @ </v>
      </c>
      <c r="AH109" s="4" t="str">
        <f ca="1">IFERROR(__xludf.DUMMYFUNCTION("""COMPUTED_VALUE"""),"| 5 L PHP-CGM @ | 6 L NS @ | 7 L JAVA @ | 8 L CPT @ ")</f>
        <v xml:space="preserve">| 5 L PHP-CGM @ | 6 L NS @ | 7 L JAVA @ | 8 L CPT @ </v>
      </c>
      <c r="AI109" s="4" t="str">
        <f ca="1">IFERROR(__xludf.DUMMYFUNCTION("""COMPUTED_VALUE"""),"| 5 P JAVA % | 8 L JAVA % | 7 L PHP-CGM % | 9 P NS @ ")</f>
        <v xml:space="preserve">| 5 P JAVA % | 8 L JAVA % | 7 L PHP-CGM % | 9 P NS @ </v>
      </c>
      <c r="AJ109" s="4" t="str">
        <f ca="1">IFERROR(__xludf.DUMMYFUNCTION("""COMPUTED_VALUE"""),"| 5 P PHP-CGM % | 7 L CPT % | 8 L NS % | 9 P Python % ")</f>
        <v xml:space="preserve">| 5 P PHP-CGM % | 7 L CPT % | 8 L NS % | 9 P Python % </v>
      </c>
      <c r="AK109" s="4" t="str">
        <f ca="1">IFERROR(__xludf.DUMMYFUNCTION("""COMPUTED_VALUE"""),"| 5 L PHP-CGM % | 6 L NS % | 7 P CPT % | 9 P PRO % ")</f>
        <v xml:space="preserve">| 5 L PHP-CGM % | 6 L NS % | 7 P CPT % | 9 P PRO % </v>
      </c>
      <c r="AL109" s="4" t="str">
        <f ca="1">IFERROR(__xludf.DUMMYFUNCTION("""COMPUTED_VALUE"""),"| 5 L JAVA % | 6 L CPT % | 7 P JAVA % | 9 L INE @ ")</f>
        <v xml:space="preserve">| 5 L JAVA % | 6 L CPT % | 7 P JAVA % | 9 L INE @ </v>
      </c>
      <c r="AM10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09" s="4" t="str">
        <f ca="1">IFERROR(__xludf.DUMMYFUNCTION("""COMPUTED_VALUE"""),"| 5 P JAVA % | 8 L JAVA % | 7 L PHP-CGM % | 9 P NS % ")</f>
        <v xml:space="preserve">| 5 P JAVA % | 8 L JAVA % | 7 L PHP-CGM % | 9 P NS % </v>
      </c>
      <c r="AO109" s="4" t="str">
        <f ca="1">IFERROR(__xludf.DUMMYFUNCTION("""COMPUTED_VALUE"""),"| 5 P PHP-CGM @ | 7 L CPT @ | 8 L NS @ | 9 P Python @ ")</f>
        <v xml:space="preserve">| 5 P PHP-CGM @ | 7 L CPT @ | 8 L NS @ | 9 P Python @ </v>
      </c>
      <c r="AP109" s="4" t="str">
        <f ca="1">IFERROR(__xludf.DUMMYFUNCTION("""COMPUTED_VALUE"""),"| 5 L PHP-CGM % | 6 L NS % | 7 P CPT % | 9 P PRO @ ")</f>
        <v xml:space="preserve">| 5 L PHP-CGM % | 6 L NS % | 7 P CPT % | 9 P PRO @ </v>
      </c>
      <c r="AQ109" s="4" t="str">
        <f ca="1">IFERROR(__xludf.DUMMYFUNCTION("""COMPUTED_VALUE"""),"| 5 L CPT % | 7 L JAVA % | 7 P JAVA % | 9 L INE % ")</f>
        <v xml:space="preserve">| 5 L CPT % | 7 L JAVA % | 7 P JAVA % | 9 L INE % </v>
      </c>
      <c r="AR109" s="4" t="str">
        <f ca="1">IFERROR(__xludf.DUMMYFUNCTION("""COMPUTED_VALUE"""),"| 5 L PHP-CGM % | 6 L NS % | 8 L CPT @ ")</f>
        <v xml:space="preserve">| 5 L PHP-CGM % | 6 L NS % | 8 L CPT @ </v>
      </c>
      <c r="AS109" s="4" t="str">
        <f ca="1">IFERROR(__xludf.DUMMYFUNCTION("""COMPUTED_VALUE"""),"| 5 P PHP-CGM @ | 7 L CPT @ | 8 L NS @ | 9 P Python @ ")</f>
        <v xml:space="preserve">| 5 P PHP-CGM @ | 7 L CPT @ | 8 L NS @ | 9 P Python @ </v>
      </c>
      <c r="AT109" s="4" t="str">
        <f ca="1">IFERROR(__xludf.DUMMYFUNCTION("""COMPUTED_VALUE"""),"| 5 L PHP-CGM % | 6 L NS % | 7 P CPT % | 9 P PRO % ")</f>
        <v xml:space="preserve">| 5 L PHP-CGM % | 6 L NS % | 7 P CPT % | 9 P PRO % </v>
      </c>
      <c r="AU109" s="4" t="str">
        <f ca="1">IFERROR(__xludf.DUMMYFUNCTION("""COMPUTED_VALUE"""),"| 5 L JAVA @ | 6 L CPT @ | 8 P JAVA @ | 9 L INE @ ")</f>
        <v xml:space="preserve">| 5 L JAVA @ | 6 L CPT @ | 8 P JAVA @ | 9 L INE @ </v>
      </c>
      <c r="AV109" s="4" t="str">
        <f ca="1">IFERROR(__xludf.DUMMYFUNCTION("""COMPUTED_VALUE"""),"| 5 L PHP-CGM % | 6 L NS % | 7 L JAVA % | 8 L CPT % ")</f>
        <v xml:space="preserve">| 5 L PHP-CGM % | 6 L NS % | 7 L JAVA % | 8 L CPT % </v>
      </c>
      <c r="AW109" s="4" t="str">
        <f ca="1">IFERROR(__xludf.DUMMYFUNCTION("""COMPUTED_VALUE"""),"| 5 P JAVA % | 7 L PHP-CGM % | 8 L JAVA % | 9 P NS @ ")</f>
        <v xml:space="preserve">| 5 P JAVA % | 7 L PHP-CGM % | 8 L JAVA % | 9 P NS @ </v>
      </c>
      <c r="AX109" s="4" t="str">
        <f ca="1">IFERROR(__xludf.DUMMYFUNCTION("""COMPUTED_VALUE"""),"| 5 P PHP-CGM @ | 7 L CPT % | 8 L NS % | 9 P Python @ ")</f>
        <v xml:space="preserve">| 5 P PHP-CGM @ | 7 L CPT % | 8 L NS % | 9 P Python @ </v>
      </c>
      <c r="AY109" s="4" t="str">
        <f ca="1">IFERROR(__xludf.DUMMYFUNCTION("""COMPUTED_VALUE"""),"| 5 L PHP-CGM % | 6 L NS % | 7 P CPT % | 9 P PRO % ")</f>
        <v xml:space="preserve">| 5 L PHP-CGM % | 6 L NS % | 7 P CPT % | 9 P PRO % </v>
      </c>
      <c r="AZ109" s="4" t="str">
        <f ca="1">IFERROR(__xludf.DUMMYFUNCTION("""COMPUTED_VALUE"""),"| 5 L PHP-CGM % | 6 L NS % | 7 L JAVA % | 8 L CPT % ")</f>
        <v xml:space="preserve">| 5 L PHP-CGM % | 6 L NS % | 7 L JAVA % | 8 L CPT % </v>
      </c>
      <c r="BA109" s="4" t="str">
        <f ca="1">IFERROR(__xludf.DUMMYFUNCTION("""COMPUTED_VALUE"""),"| 5 P JAVA @ | 7 L PHP-CGM @ | 8 L JAVA @ ")</f>
        <v xml:space="preserve">| 5 P JAVA @ | 7 L PHP-CGM @ | 8 L JAVA @ </v>
      </c>
      <c r="BB109" s="4" t="str">
        <f ca="1">IFERROR(__xludf.DUMMYFUNCTION("""COMPUTED_VALUE"""),"| 5 P PHP-CGM % | 7 L CPT % | 8 L NS % ")</f>
        <v xml:space="preserve">| 5 P PHP-CGM % | 7 L CPT % | 8 L NS % </v>
      </c>
      <c r="BC109" s="4" t="str">
        <f ca="1">IFERROR(__xludf.DUMMYFUNCTION("""COMPUTED_VALUE"""),"| 5 L PHP-CGM % | 6 L NS % | 7 P CPT @ | 9 P PRO % ")</f>
        <v xml:space="preserve">| 5 L PHP-CGM % | 6 L NS % | 7 P CPT @ | 9 P PRO % </v>
      </c>
      <c r="BD109" s="4" t="str">
        <f ca="1">IFERROR(__xludf.DUMMYFUNCTION("""COMPUTED_VALUE"""),"| 5 L JAVA % | 6 L CPT % | 7 P JAVA % | 9 L INE % ")</f>
        <v xml:space="preserve">| 5 L JAVA % | 6 L CPT % | 7 P JAVA % | 9 L INE % </v>
      </c>
      <c r="BE10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09" s="4" t="str">
        <f ca="1">IFERROR(__xludf.DUMMYFUNCTION("""COMPUTED_VALUE"""),"| 5 P JAVA % | 7 L PHP-CGM % | 8 L JAVA % | 9 P NS @ ")</f>
        <v xml:space="preserve">| 5 P JAVA % | 7 L PHP-CGM % | 8 L JAVA % | 9 P NS @ </v>
      </c>
      <c r="BG109" s="4" t="str">
        <f ca="1">IFERROR(__xludf.DUMMYFUNCTION("""COMPUTED_VALUE"""),"| 5 L PHP-CGM % | 6 L NS % | 7 P CPT % | 9 P PRO % ")</f>
        <v xml:space="preserve">| 5 L PHP-CGM % | 6 L NS % | 7 P CPT % | 9 P PRO % </v>
      </c>
      <c r="BH109" s="4" t="str">
        <f ca="1">IFERROR(__xludf.DUMMYFUNCTION("""COMPUTED_VALUE"""),"| 5 L JAVA % | 6 L CPT % | 7 P JAVA % | 9 L INE @ ")</f>
        <v xml:space="preserve">| 5 L JAVA % | 6 L CPT % | 7 P JAVA % | 9 L INE @ </v>
      </c>
      <c r="BI10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109" s="4" t="str">
        <f ca="1">IFERROR(__xludf.DUMMYFUNCTION("""COMPUTED_VALUE"""),"| 5 P JAVA @ | 7 L JAVA @ | 7 L PHP-CGM @ ")</f>
        <v xml:space="preserve">| 5 P JAVA @ | 7 L JAVA @ | 7 L PHP-CGM @ </v>
      </c>
      <c r="BK109" s="4" t="str">
        <f ca="1">IFERROR(__xludf.DUMMYFUNCTION("""COMPUTED_VALUE"""),"| 7 L CPT @ | 8 L NS @ ")</f>
        <v xml:space="preserve">| 7 L CPT @ | 8 L NS @ </v>
      </c>
      <c r="BL109" s="4" t="str">
        <f ca="1">IFERROR(__xludf.DUMMYFUNCTION("""COMPUTED_VALUE"""),"| 5 L PHP-CGM @ | 6 L NS @ | 7 P CPT @ ")</f>
        <v xml:space="preserve">| 5 L PHP-CGM @ | 6 L NS @ | 7 P CPT @ </v>
      </c>
      <c r="BM109" s="4" t="str">
        <f ca="1">IFERROR(__xludf.DUMMYFUNCTION("""COMPUTED_VALUE"""),"| 5 L JAVA @ | 6 L CPT @ | 9 L INE @ ")</f>
        <v xml:space="preserve">| 5 L JAVA @ | 6 L CPT @ | 9 L INE @ </v>
      </c>
      <c r="BN109" s="4" t="str">
        <f ca="1">IFERROR(__xludf.DUMMYFUNCTION("""COMPUTED_VALUE"""),"| 5 L PHP-CGM @ | 6 L NS @ | 9 L JAVA @ | 8 L CPT @ ")</f>
        <v xml:space="preserve">| 5 L PHP-CGM @ | 6 L NS @ | 9 L JAVA @ | 8 L CPT @ </v>
      </c>
      <c r="BO109" s="4" t="str">
        <f ca="1">IFERROR(__xludf.DUMMYFUNCTION("""COMPUTED_VALUE"""),"| 5 P JAVA @ | 7 L PHP-CGM @ ")</f>
        <v xml:space="preserve">| 5 P JAVA @ | 7 L PHP-CGM @ </v>
      </c>
      <c r="BP109" s="4" t="str">
        <f ca="1">IFERROR(__xludf.DUMMYFUNCTION("""COMPUTED_VALUE"""),"| 5 P PHP-CGM @ | 7 L CPT @ | 8 L NS @ ")</f>
        <v xml:space="preserve">| 5 P PHP-CGM @ | 7 L CPT @ | 8 L NS @ </v>
      </c>
      <c r="BQ109" s="4" t="str">
        <f ca="1">IFERROR(__xludf.DUMMYFUNCTION("""COMPUTED_VALUE"""),"| 5 L JAVA @ | 6 L CPT @ ")</f>
        <v xml:space="preserve">| 5 L JAVA @ | 6 L CPT @ </v>
      </c>
      <c r="BR109" s="4" t="str">
        <f ca="1">IFERROR(__xludf.DUMMYFUNCTION("""COMPUTED_VALUE"""),"| 7 L JAVA @ ")</f>
        <v xml:space="preserve">| 7 L JAVA @ </v>
      </c>
      <c r="BS109" s="4"/>
      <c r="BT109" s="4" t="str">
        <f ca="1">IFERROR(__xludf.DUMMYFUNCTION("""COMPUTED_VALUE"""),"| 7 L CPT @ ")</f>
        <v xml:space="preserve">| 7 L CPT @ </v>
      </c>
      <c r="BU109" s="4" t="str">
        <f ca="1">IFERROR(__xludf.DUMMYFUNCTION("""COMPUTED_VALUE"""),"| 7 P CPT @ ")</f>
        <v xml:space="preserve">| 7 P CPT @ </v>
      </c>
      <c r="BV109" s="4" t="str">
        <f ca="1">IFERROR(__xludf.DUMMYFUNCTION("""COMPUTED_VALUE"""),"| 5 P PHP-CGM % | 7 L CPT @ | 8 L NS @ | 9 P Python @ ")</f>
        <v xml:space="preserve">| 5 P PHP-CGM % | 7 L CPT @ | 8 L NS @ | 9 P Python @ </v>
      </c>
      <c r="BW109" s="4"/>
      <c r="BX109" s="4" t="str">
        <f ca="1">IFERROR(__xludf.DUMMYFUNCTION("""COMPUTED_VALUE"""),"| 5 L JAVA % | 6 L CPT % | 7 P JAVA % ")</f>
        <v xml:space="preserve">| 5 L JAVA % | 6 L CPT % | 7 P JAVA % </v>
      </c>
      <c r="BY109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109" s="4" t="str">
        <f ca="1">IFERROR(__xludf.DUMMYFUNCTION("""COMPUTED_VALUE"""),"| 5 P JAVA @ | 8 L JAVA @ | 7 L PHP-CGM @ | 9 P NS @ ")</f>
        <v xml:space="preserve">| 5 P JAVA @ | 8 L JAVA @ | 7 L PHP-CGM @ | 9 P NS @ </v>
      </c>
      <c r="CA109" s="4" t="str">
        <f ca="1">IFERROR(__xludf.DUMMYFUNCTION("""COMPUTED_VALUE"""),"| 7 L CPT @ | 8 L NS @ | 9 P Python @ ")</f>
        <v xml:space="preserve">| 7 L CPT @ | 8 L NS @ | 9 P Python @ </v>
      </c>
      <c r="CB109" s="4" t="str">
        <f ca="1">IFERROR(__xludf.DUMMYFUNCTION("""COMPUTED_VALUE"""),"| 5 L PHP-CGM % | 6 L NS % | 7 P CPT % ")</f>
        <v xml:space="preserve">| 5 L PHP-CGM % | 6 L NS % | 7 P CPT % </v>
      </c>
      <c r="CC109" s="4" t="str">
        <f ca="1">IFERROR(__xludf.DUMMYFUNCTION("""COMPUTED_VALUE"""),"| 5 L JAVA % | 7 P JAVA % | 9 L INE % ")</f>
        <v xml:space="preserve">| 5 L JAVA % | 7 P JAVA % | 9 L INE % </v>
      </c>
      <c r="CD109" s="4" t="str">
        <f ca="1">IFERROR(__xludf.DUMMYFUNCTION("""COMPUTED_VALUE"""),"| 5 L PHP-CGM % | 6 L NS @ | 7 L JAVA @ | 8 L CPT @ ")</f>
        <v xml:space="preserve">| 5 L PHP-CGM % | 6 L NS @ | 7 L JAVA @ | 8 L CPT @ </v>
      </c>
      <c r="CE109" s="4" t="str">
        <f ca="1">IFERROR(__xludf.DUMMYFUNCTION("""COMPUTED_VALUE"""),"| 5 P JAVA @ | 8 L JAVA @ | 7 L PHP-CGM @ | 9 P NS @ ")</f>
        <v xml:space="preserve">| 5 P JAVA @ | 8 L JAVA @ | 7 L PHP-CGM @ | 9 P NS @ </v>
      </c>
      <c r="CF109" s="4" t="str">
        <f ca="1">IFERROR(__xludf.DUMMYFUNCTION("""COMPUTED_VALUE"""),"| 7 L CPT @ | 8 L NS @ | 9 P Python % ")</f>
        <v xml:space="preserve">| 7 L CPT @ | 8 L NS @ | 9 P Python % </v>
      </c>
      <c r="CG109" s="4" t="str">
        <f ca="1">IFERROR(__xludf.DUMMYFUNCTION("""COMPUTED_VALUE"""),"| 5 L PHP-CGM @ | 6 L NS @ | 7 P CPT % ")</f>
        <v xml:space="preserve">| 5 L PHP-CGM @ | 6 L NS @ | 7 P CPT % </v>
      </c>
      <c r="CH109" s="4" t="str">
        <f ca="1">IFERROR(__xludf.DUMMYFUNCTION("""COMPUTED_VALUE"""),"| 5 L JAVA @ | 6 L CPT @ | 7 P JAVA % | 9 L INE @ ")</f>
        <v xml:space="preserve">| 5 L JAVA @ | 6 L CPT @ | 7 P JAVA % | 9 L INE @ </v>
      </c>
      <c r="CI109" s="4" t="str">
        <f ca="1">IFERROR(__xludf.DUMMYFUNCTION("""COMPUTED_VALUE"""),"| 5 L PHP-CGM @ | 7 L JAVA @ | 8 L CPT @ ")</f>
        <v xml:space="preserve">| 5 L PHP-CGM @ | 7 L JAVA @ | 8 L CPT @ </v>
      </c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</row>
    <row r="110" spans="1:102" ht="12.5" x14ac:dyDescent="0.25">
      <c r="A110" s="3">
        <f ca="1">IFERROR(__xludf.DUMMYFUNCTION("""COMPUTED_VALUE"""),2)</f>
        <v>2</v>
      </c>
      <c r="B110" s="3" t="str">
        <f ca="1">IFERROR(__xludf.DUMMYFUNCTION("""COMPUTED_VALUE"""),"B")</f>
        <v>B</v>
      </c>
      <c r="C110" s="32" t="str">
        <f ca="1">IFERROR(__xludf.DUMMYFUNCTION("""COMPUTED_VALUE"""),"23291341061")</f>
        <v>23291341061</v>
      </c>
      <c r="D110" s="4" t="str">
        <f ca="1">IFERROR(__xludf.DUMMYFUNCTION("""COMPUTED_VALUE"""),"MILI ATULBHAI RUDANI")</f>
        <v>MILI ATULBHAI RUDANI</v>
      </c>
      <c r="E110" s="3" t="str">
        <f ca="1">IFERROR(__xludf.DUMMYFUNCTION("""COMPUTED_VALUE"""),"HAM/HDP-EVE")</f>
        <v>HAM/HDP-EVE</v>
      </c>
      <c r="F110" s="3">
        <f ca="1">IFERROR(__xludf.DUMMYFUNCTION("""COMPUTED_VALUE"""),9313061584)</f>
        <v>9313061584</v>
      </c>
      <c r="G110" s="3">
        <f ca="1">IFERROR(__xludf.DUMMYFUNCTION("""COMPUTED_VALUE"""),9879594699)</f>
        <v>9879594699</v>
      </c>
      <c r="H110" s="33">
        <f ca="1">IFERROR(__xludf.DUMMYFUNCTION("""COMPUTED_VALUE"""),0.618181818181818)</f>
        <v>0.61818181818181805</v>
      </c>
      <c r="I110" s="25">
        <f ca="1">IFERROR(__xludf.DUMMYFUNCTION("""COMPUTED_VALUE"""),0.567567567567567)</f>
        <v>0.56756756756756699</v>
      </c>
      <c r="J110" s="25">
        <f ca="1">IFERROR(__xludf.DUMMYFUNCTION("""COMPUTED_VALUE"""),0.5)</f>
        <v>0.5</v>
      </c>
      <c r="K110" s="25">
        <f ca="1">IFERROR(__xludf.DUMMYFUNCTION("""COMPUTED_VALUE"""),0.588235294117647)</f>
        <v>0.58823529411764697</v>
      </c>
      <c r="L110" s="25">
        <f ca="1">IFERROR(__xludf.DUMMYFUNCTION("""COMPUTED_VALUE"""),0.714285714285714)</f>
        <v>0.71428571428571397</v>
      </c>
      <c r="M110" s="25">
        <f ca="1">IFERROR(__xludf.DUMMYFUNCTION("""COMPUTED_VALUE"""),0.657142857142857)</f>
        <v>0.65714285714285703</v>
      </c>
      <c r="N110" s="25">
        <f ca="1">IFERROR(__xludf.DUMMYFUNCTION("""COMPUTED_VALUE"""),0.555555555555555)</f>
        <v>0.55555555555555503</v>
      </c>
      <c r="O110" s="25">
        <f ca="1">IFERROR(__xludf.DUMMYFUNCTION("""COMPUTED_VALUE"""),0.685714285714285)</f>
        <v>0.68571428571428505</v>
      </c>
      <c r="P110" s="25">
        <f ca="1">IFERROR(__xludf.DUMMYFUNCTION("""COMPUTED_VALUE"""),0.857142857142857)</f>
        <v>0.85714285714285698</v>
      </c>
      <c r="Q110" s="25">
        <f ca="1">IFERROR(__xludf.DUMMYFUNCTION("""COMPUTED_VALUE"""),0)</f>
        <v>0</v>
      </c>
      <c r="R110" s="25">
        <f ca="1">IFERROR(__xludf.DUMMYFUNCTION("""COMPUTED_VALUE"""),0.6)</f>
        <v>0.6</v>
      </c>
      <c r="S110" s="25">
        <f ca="1">IFERROR(__xludf.DUMMYFUNCTION("""COMPUTED_VALUE"""),0)</f>
        <v>0</v>
      </c>
      <c r="T110" s="25">
        <f ca="1">IFERROR(__xludf.DUMMYFUNCTION("""COMPUTED_VALUE"""),0.285714285714285)</f>
        <v>0.28571428571428498</v>
      </c>
      <c r="U110" s="25">
        <f ca="1">IFERROR(__xludf.DUMMYFUNCTION("""COMPUTED_VALUE"""),0.375)</f>
        <v>0.375</v>
      </c>
      <c r="V110" s="25">
        <f ca="1">IFERROR(__xludf.DUMMYFUNCTION("""COMPUTED_VALUE"""),0)</f>
        <v>0</v>
      </c>
      <c r="W110" s="4"/>
      <c r="X110" s="4" t="str">
        <f ca="1">IFERROR(__xludf.DUMMYFUNCTION("""COMPUTED_VALUE"""),"| 5 P PHP-CGM @ | 7 L CPT @ | 8 L NS @ | 9 P Python @ ")</f>
        <v xml:space="preserve">| 5 P PHP-CGM @ | 7 L CPT @ | 8 L NS @ | 9 P Python @ </v>
      </c>
      <c r="Y110" s="4" t="str">
        <f ca="1">IFERROR(__xludf.DUMMYFUNCTION("""COMPUTED_VALUE"""),"| 5 L PHP-CGM @ | 6 L NS % | 8 P CPT @ | 9 P PRO @ ")</f>
        <v xml:space="preserve">| 5 L PHP-CGM @ | 6 L NS % | 8 P CPT @ | 9 P PRO @ </v>
      </c>
      <c r="Z110" s="4" t="str">
        <f ca="1">IFERROR(__xludf.DUMMYFUNCTION("""COMPUTED_VALUE"""),"| 5 L JAVA % | 6 L CPT % | 7 P JAVA % ")</f>
        <v xml:space="preserve">| 5 L JAVA % | 6 L CPT % | 7 P JAVA % </v>
      </c>
      <c r="AA110" s="4" t="str">
        <f ca="1">IFERROR(__xludf.DUMMYFUNCTION("""COMPUTED_VALUE"""),"| 5 L PHP-CGM % | 7 L JAVA % | 9 P Python % | 8 L CPT % ")</f>
        <v xml:space="preserve">| 5 L PHP-CGM % | 7 L JAVA % | 9 P Python % | 8 L CPT % </v>
      </c>
      <c r="AB110" s="4" t="str">
        <f ca="1">IFERROR(__xludf.DUMMYFUNCTION("""COMPUTED_VALUE"""),"| 5 P JAVA % | 7 L PHP-CGM % | 8 L JAVA % | 9 P NS % ")</f>
        <v xml:space="preserve">| 5 P JAVA % | 7 L PHP-CGM % | 8 L JAVA % | 9 P NS % </v>
      </c>
      <c r="AC110" s="4" t="str">
        <f ca="1">IFERROR(__xludf.DUMMYFUNCTION("""COMPUTED_VALUE"""),"| 5 P PHP-CGM % | 7 L CPT % | 8 L NS % | 9 P Python % ")</f>
        <v xml:space="preserve">| 5 P PHP-CGM % | 7 L CPT % | 8 L NS % | 9 P Python % </v>
      </c>
      <c r="AD110" s="4" t="str">
        <f ca="1">IFERROR(__xludf.DUMMYFUNCTION("""COMPUTED_VALUE"""),"| 5 L PHP-CGM % | 6 L NS % | 7 P CPT % ")</f>
        <v xml:space="preserve">| 5 L PHP-CGM % | 6 L NS % | 7 P CPT % </v>
      </c>
      <c r="AE110" s="4" t="str">
        <f ca="1">IFERROR(__xludf.DUMMYFUNCTION("""COMPUTED_VALUE"""),"| 5 L JAVA @ | 6 L CPT @ | 7 P JAVA % ")</f>
        <v xml:space="preserve">| 5 L JAVA @ | 6 L CPT @ | 7 P JAVA % </v>
      </c>
      <c r="AF110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10" s="4" t="str">
        <f ca="1">IFERROR(__xludf.DUMMYFUNCTION("""COMPUTED_VALUE"""),"| 5 P JAVA % | 8 L JAVA % | 7 L PHP-CGM % ")</f>
        <v xml:space="preserve">| 5 P JAVA % | 8 L JAVA % | 7 L PHP-CGM % </v>
      </c>
      <c r="AH110" s="4" t="str">
        <f ca="1">IFERROR(__xludf.DUMMYFUNCTION("""COMPUTED_VALUE"""),"| 5 L PHP-CGM % | 6 L NS % | 7 L JAVA % | 8 L CPT % ")</f>
        <v xml:space="preserve">| 5 L PHP-CGM % | 6 L NS % | 7 L JAVA % | 8 L CPT % </v>
      </c>
      <c r="AI110" s="4" t="str">
        <f ca="1">IFERROR(__xludf.DUMMYFUNCTION("""COMPUTED_VALUE"""),"| 5 P JAVA % | 8 L JAVA % | 7 L PHP-CGM % | 9 P NS % ")</f>
        <v xml:space="preserve">| 5 P JAVA % | 8 L JAVA % | 7 L PHP-CGM % | 9 P NS % </v>
      </c>
      <c r="AJ110" s="4" t="str">
        <f ca="1">IFERROR(__xludf.DUMMYFUNCTION("""COMPUTED_VALUE"""),"| 5 P PHP-CGM % | 7 L CPT % | 8 L NS % | 9 P Python @ ")</f>
        <v xml:space="preserve">| 5 P PHP-CGM % | 7 L CPT % | 8 L NS % | 9 P Python @ </v>
      </c>
      <c r="AK110" s="4" t="str">
        <f ca="1">IFERROR(__xludf.DUMMYFUNCTION("""COMPUTED_VALUE"""),"| 5 L PHP-CGM % | 6 L NS % | 7 P CPT % | 9 P PRO % ")</f>
        <v xml:space="preserve">| 5 L PHP-CGM % | 6 L NS % | 7 P CPT % | 9 P PRO % </v>
      </c>
      <c r="AL110" s="4" t="str">
        <f ca="1">IFERROR(__xludf.DUMMYFUNCTION("""COMPUTED_VALUE"""),"| 5 L JAVA % | 6 L CPT % | 7 P JAVA % | 9 L INE @ ")</f>
        <v xml:space="preserve">| 5 L JAVA % | 6 L CPT % | 7 P JAVA % | 9 L INE @ </v>
      </c>
      <c r="AM110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10" s="4" t="str">
        <f ca="1">IFERROR(__xludf.DUMMYFUNCTION("""COMPUTED_VALUE"""),"| 5 P JAVA @ | 8 L JAVA @ | 7 L PHP-CGM @ | 9 P NS @ ")</f>
        <v xml:space="preserve">| 5 P JAVA @ | 8 L JAVA @ | 7 L PHP-CGM @ | 9 P NS @ </v>
      </c>
      <c r="AO110" s="4" t="str">
        <f ca="1">IFERROR(__xludf.DUMMYFUNCTION("""COMPUTED_VALUE"""),"| 5 P PHP-CGM @ | 7 L CPT @ | 8 L NS @ | 9 P Python @ ")</f>
        <v xml:space="preserve">| 5 P PHP-CGM @ | 7 L CPT @ | 8 L NS @ | 9 P Python @ </v>
      </c>
      <c r="AP110" s="4" t="str">
        <f ca="1">IFERROR(__xludf.DUMMYFUNCTION("""COMPUTED_VALUE"""),"| 5 L PHP-CGM @ | 6 L NS @ | 7 P CPT @ | 9 P PRO @ ")</f>
        <v xml:space="preserve">| 5 L PHP-CGM @ | 6 L NS @ | 7 P CPT @ | 9 P PRO @ </v>
      </c>
      <c r="AQ110" s="4" t="str">
        <f ca="1">IFERROR(__xludf.DUMMYFUNCTION("""COMPUTED_VALUE"""),"| 5 L CPT % | 7 L JAVA % | 7 P JAVA % | 9 L INE @ ")</f>
        <v xml:space="preserve">| 5 L CPT % | 7 L JAVA % | 7 P JAVA % | 9 L INE @ </v>
      </c>
      <c r="AR110" s="4" t="str">
        <f ca="1">IFERROR(__xludf.DUMMYFUNCTION("""COMPUTED_VALUE"""),"| 5 L PHP-CGM % | 6 L NS % | 8 L CPT @ ")</f>
        <v xml:space="preserve">| 5 L PHP-CGM % | 6 L NS % | 8 L CPT @ </v>
      </c>
      <c r="AS110" s="4" t="str">
        <f ca="1">IFERROR(__xludf.DUMMYFUNCTION("""COMPUTED_VALUE"""),"| 5 P PHP-CGM % | 7 L CPT % | 8 L NS % | 9 P Python % ")</f>
        <v xml:space="preserve">| 5 P PHP-CGM % | 7 L CPT % | 8 L NS % | 9 P Python % </v>
      </c>
      <c r="AT110" s="4" t="str">
        <f ca="1">IFERROR(__xludf.DUMMYFUNCTION("""COMPUTED_VALUE"""),"| 5 L PHP-CGM @ | 6 L NS @ | 7 P CPT % | 9 P PRO % ")</f>
        <v xml:space="preserve">| 5 L PHP-CGM @ | 6 L NS @ | 7 P CPT % | 9 P PRO % </v>
      </c>
      <c r="AU110" s="4" t="str">
        <f ca="1">IFERROR(__xludf.DUMMYFUNCTION("""COMPUTED_VALUE"""),"| 5 L JAVA % | 6 L CPT % | 8 P JAVA % | 9 L INE @ ")</f>
        <v xml:space="preserve">| 5 L JAVA % | 6 L CPT % | 8 P JAVA % | 9 L INE @ </v>
      </c>
      <c r="AV110" s="4" t="str">
        <f ca="1">IFERROR(__xludf.DUMMYFUNCTION("""COMPUTED_VALUE"""),"| 5 L PHP-CGM % | 6 L NS % | 7 L JAVA % | 8 L CPT % ")</f>
        <v xml:space="preserve">| 5 L PHP-CGM % | 6 L NS % | 7 L JAVA % | 8 L CPT % </v>
      </c>
      <c r="AW110" s="4" t="str">
        <f ca="1">IFERROR(__xludf.DUMMYFUNCTION("""COMPUTED_VALUE"""),"| 5 P JAVA % | 7 L PHP-CGM % | 8 L JAVA % | 9 P NS % ")</f>
        <v xml:space="preserve">| 5 P JAVA % | 7 L PHP-CGM % | 8 L JAVA % | 9 P NS % </v>
      </c>
      <c r="AX110" s="4" t="str">
        <f ca="1">IFERROR(__xludf.DUMMYFUNCTION("""COMPUTED_VALUE"""),"| 5 P PHP-CGM % | 7 L CPT % | 8 L NS % | 9 P Python % ")</f>
        <v xml:space="preserve">| 5 P PHP-CGM % | 7 L CPT % | 8 L NS % | 9 P Python % </v>
      </c>
      <c r="AY110" s="4" t="str">
        <f ca="1">IFERROR(__xludf.DUMMYFUNCTION("""COMPUTED_VALUE"""),"| 5 L PHP-CGM % | 6 L NS % | 7 P CPT % | 9 P PRO @ ")</f>
        <v xml:space="preserve">| 5 L PHP-CGM % | 6 L NS % | 7 P CPT % | 9 P PRO @ </v>
      </c>
      <c r="AZ110" s="4" t="str">
        <f ca="1">IFERROR(__xludf.DUMMYFUNCTION("""COMPUTED_VALUE"""),"| 5 L PHP-CGM % | 6 L NS % | 7 L JAVA % | 8 L CPT % ")</f>
        <v xml:space="preserve">| 5 L PHP-CGM % | 6 L NS % | 7 L JAVA % | 8 L CPT % </v>
      </c>
      <c r="BA110" s="4" t="str">
        <f ca="1">IFERROR(__xludf.DUMMYFUNCTION("""COMPUTED_VALUE"""),"| 5 P JAVA @ | 7 L PHP-CGM % | 8 L JAVA % ")</f>
        <v xml:space="preserve">| 5 P JAVA @ | 7 L PHP-CGM % | 8 L JAVA % </v>
      </c>
      <c r="BB110" s="4" t="str">
        <f ca="1">IFERROR(__xludf.DUMMYFUNCTION("""COMPUTED_VALUE"""),"| 5 P PHP-CGM % | 7 L CPT % | 8 L NS % ")</f>
        <v xml:space="preserve">| 5 P PHP-CGM % | 7 L CPT % | 8 L NS % </v>
      </c>
      <c r="BC110" s="4" t="str">
        <f ca="1">IFERROR(__xludf.DUMMYFUNCTION("""COMPUTED_VALUE"""),"| 5 L PHP-CGM % | 6 L NS % | 7 P CPT % | 9 P PRO @ ")</f>
        <v xml:space="preserve">| 5 L PHP-CGM % | 6 L NS % | 7 P CPT % | 9 P PRO @ </v>
      </c>
      <c r="BD110" s="4" t="str">
        <f ca="1">IFERROR(__xludf.DUMMYFUNCTION("""COMPUTED_VALUE"""),"| 5 L JAVA % | 6 L CPT % | 7 P JAVA % | 9 L INE % ")</f>
        <v xml:space="preserve">| 5 L JAVA % | 6 L CPT % | 7 P JAVA % | 9 L INE % </v>
      </c>
      <c r="BE110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F110" s="4" t="str">
        <f ca="1">IFERROR(__xludf.DUMMYFUNCTION("""COMPUTED_VALUE"""),"| 5 P JAVA % | 7 L PHP-CGM % | 8 L JAVA % | 9 P NS @ ")</f>
        <v xml:space="preserve">| 5 P JAVA % | 7 L PHP-CGM % | 8 L JAVA % | 9 P NS @ </v>
      </c>
      <c r="BG110" s="4" t="str">
        <f ca="1">IFERROR(__xludf.DUMMYFUNCTION("""COMPUTED_VALUE"""),"| 5 L PHP-CGM % | 6 L NS % | 7 P CPT @ | 9 P PRO @ ")</f>
        <v xml:space="preserve">| 5 L PHP-CGM % | 6 L NS % | 7 P CPT @ | 9 P PRO @ </v>
      </c>
      <c r="BH110" s="4" t="str">
        <f ca="1">IFERROR(__xludf.DUMMYFUNCTION("""COMPUTED_VALUE"""),"| 5 L JAVA % | 6 L CPT % | 7 P JAVA % | 9 L INE % ")</f>
        <v xml:space="preserve">| 5 L JAVA % | 6 L CPT % | 7 P JAVA % | 9 L INE % </v>
      </c>
      <c r="BI110" s="4" t="str">
        <f ca="1">IFERROR(__xludf.DUMMYFUNCTION("""COMPUTED_VALUE"""),"| 5 L PHP-CGM % | 6 L NS % | 7 L JAVA % | 8 L CPT @ | 9 P Python % ")</f>
        <v xml:space="preserve">| 5 L PHP-CGM % | 6 L NS % | 7 L JAVA % | 8 L CPT @ | 9 P Python % </v>
      </c>
      <c r="BJ110" s="4" t="str">
        <f ca="1">IFERROR(__xludf.DUMMYFUNCTION("""COMPUTED_VALUE"""),"| 5 P JAVA % | 7 L JAVA % | 7 L PHP-CGM % ")</f>
        <v xml:space="preserve">| 5 P JAVA % | 7 L JAVA % | 7 L PHP-CGM % </v>
      </c>
      <c r="BK110" s="4" t="str">
        <f ca="1">IFERROR(__xludf.DUMMYFUNCTION("""COMPUTED_VALUE"""),"| 7 L CPT @ | 8 L NS @ ")</f>
        <v xml:space="preserve">| 7 L CPT @ | 8 L NS @ </v>
      </c>
      <c r="BL110" s="4" t="str">
        <f ca="1">IFERROR(__xludf.DUMMYFUNCTION("""COMPUTED_VALUE"""),"| 5 L PHP-CGM @ | 6 L NS @ | 7 P CPT @ ")</f>
        <v xml:space="preserve">| 5 L PHP-CGM @ | 6 L NS @ | 7 P CPT @ </v>
      </c>
      <c r="BM110" s="4" t="str">
        <f ca="1">IFERROR(__xludf.DUMMYFUNCTION("""COMPUTED_VALUE"""),"| 5 L JAVA @ | 6 L CPT @ | 9 L INE @ ")</f>
        <v xml:space="preserve">| 5 L JAVA @ | 6 L CPT @ | 9 L INE @ </v>
      </c>
      <c r="BN110" s="4" t="str">
        <f ca="1">IFERROR(__xludf.DUMMYFUNCTION("""COMPUTED_VALUE"""),"| 5 L PHP-CGM @ | 6 L NS @ | 9 L JAVA @ | 8 L CPT @ ")</f>
        <v xml:space="preserve">| 5 L PHP-CGM @ | 6 L NS @ | 9 L JAVA @ | 8 L CPT @ </v>
      </c>
      <c r="BO110" s="4" t="str">
        <f ca="1">IFERROR(__xludf.DUMMYFUNCTION("""COMPUTED_VALUE"""),"| 5 P JAVA @ | 7 L PHP-CGM @ ")</f>
        <v xml:space="preserve">| 5 P JAVA @ | 7 L PHP-CGM @ </v>
      </c>
      <c r="BP110" s="4" t="str">
        <f ca="1">IFERROR(__xludf.DUMMYFUNCTION("""COMPUTED_VALUE"""),"| 5 P PHP-CGM @ | 7 L CPT @ | 8 L NS @ ")</f>
        <v xml:space="preserve">| 5 P PHP-CGM @ | 7 L CPT @ | 8 L NS @ </v>
      </c>
      <c r="BQ110" s="4" t="str">
        <f ca="1">IFERROR(__xludf.DUMMYFUNCTION("""COMPUTED_VALUE"""),"| 5 L JAVA @ | 6 L CPT @ ")</f>
        <v xml:space="preserve">| 5 L JAVA @ | 6 L CPT @ </v>
      </c>
      <c r="BR110" s="4" t="str">
        <f ca="1">IFERROR(__xludf.DUMMYFUNCTION("""COMPUTED_VALUE"""),"| 7 L JAVA @ ")</f>
        <v xml:space="preserve">| 7 L JAVA @ </v>
      </c>
      <c r="BS110" s="4"/>
      <c r="BT110" s="4" t="str">
        <f ca="1">IFERROR(__xludf.DUMMYFUNCTION("""COMPUTED_VALUE"""),"| 7 L CPT @ ")</f>
        <v xml:space="preserve">| 7 L CPT @ </v>
      </c>
      <c r="BU110" s="4" t="str">
        <f ca="1">IFERROR(__xludf.DUMMYFUNCTION("""COMPUTED_VALUE"""),"| 7 P CPT @ ")</f>
        <v xml:space="preserve">| 7 P CPT @ </v>
      </c>
      <c r="BV110" s="4" t="str">
        <f ca="1">IFERROR(__xludf.DUMMYFUNCTION("""COMPUTED_VALUE"""),"| 5 P PHP-CGM @ | 7 L CPT @ | 8 L NS @ | 9 P Python @ ")</f>
        <v xml:space="preserve">| 5 P PHP-CGM @ | 7 L CPT @ | 8 L NS @ | 9 P Python @ </v>
      </c>
      <c r="BW110" s="4"/>
      <c r="BX110" s="4" t="str">
        <f ca="1">IFERROR(__xludf.DUMMYFUNCTION("""COMPUTED_VALUE"""),"| 5 L JAVA % | 6 L CPT % | 7 P JAVA % ")</f>
        <v xml:space="preserve">| 5 L JAVA % | 6 L CPT % | 7 P JAVA % </v>
      </c>
      <c r="BY110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10" s="4" t="str">
        <f ca="1">IFERROR(__xludf.DUMMYFUNCTION("""COMPUTED_VALUE"""),"| 5 P JAVA % | 8 L JAVA % | 7 L PHP-CGM % | 9 P NS % ")</f>
        <v xml:space="preserve">| 5 P JAVA % | 8 L JAVA % | 7 L PHP-CGM % | 9 P NS % </v>
      </c>
      <c r="CA110" s="4" t="str">
        <f ca="1">IFERROR(__xludf.DUMMYFUNCTION("""COMPUTED_VALUE"""),"| 7 L CPT % | 8 L NS % | 9 P Python % ")</f>
        <v xml:space="preserve">| 7 L CPT % | 8 L NS % | 9 P Python % </v>
      </c>
      <c r="CB110" s="4" t="str">
        <f ca="1">IFERROR(__xludf.DUMMYFUNCTION("""COMPUTED_VALUE"""),"| 5 L PHP-CGM @ | 6 L NS @ | 7 P CPT @ ")</f>
        <v xml:space="preserve">| 5 L PHP-CGM @ | 6 L NS @ | 7 P CPT @ </v>
      </c>
      <c r="CC110" s="4" t="str">
        <f ca="1">IFERROR(__xludf.DUMMYFUNCTION("""COMPUTED_VALUE"""),"| 5 L JAVA @ | 7 P JAVA % | 9 L INE % ")</f>
        <v xml:space="preserve">| 5 L JAVA @ | 7 P JAVA % | 9 L INE % </v>
      </c>
      <c r="CD110" s="4" t="str">
        <f ca="1">IFERROR(__xludf.DUMMYFUNCTION("""COMPUTED_VALUE"""),"| 5 L PHP-CGM @ | 6 L NS @ | 7 L JAVA @ | 8 L CPT @ ")</f>
        <v xml:space="preserve">| 5 L PHP-CGM @ | 6 L NS @ | 7 L JAVA @ | 8 L CPT @ </v>
      </c>
      <c r="CE110" s="4" t="str">
        <f ca="1">IFERROR(__xludf.DUMMYFUNCTION("""COMPUTED_VALUE"""),"| 5 P JAVA % | 8 L JAVA % | 7 L PHP-CGM % | 9 P NS % ")</f>
        <v xml:space="preserve">| 5 P JAVA % | 8 L JAVA % | 7 L PHP-CGM % | 9 P NS % </v>
      </c>
      <c r="CF110" s="4" t="str">
        <f ca="1">IFERROR(__xludf.DUMMYFUNCTION("""COMPUTED_VALUE"""),"| 7 L CPT % | 8 L NS % | 9 P Python % ")</f>
        <v xml:space="preserve">| 7 L CPT % | 8 L NS % | 9 P Python % </v>
      </c>
      <c r="CG110" s="4" t="str">
        <f ca="1">IFERROR(__xludf.DUMMYFUNCTION("""COMPUTED_VALUE"""),"| 5 L PHP-CGM @ | 6 L NS @ | 7 P CPT % ")</f>
        <v xml:space="preserve">| 5 L PHP-CGM @ | 6 L NS @ | 7 P CPT % </v>
      </c>
      <c r="CH110" s="4" t="str">
        <f ca="1">IFERROR(__xludf.DUMMYFUNCTION("""COMPUTED_VALUE"""),"| 5 L JAVA % | 6 L CPT % | 7 P JAVA % | 9 L INE @ ")</f>
        <v xml:space="preserve">| 5 L JAVA % | 6 L CPT % | 7 P JAVA % | 9 L INE @ </v>
      </c>
      <c r="CI110" s="4" t="str">
        <f ca="1">IFERROR(__xludf.DUMMYFUNCTION("""COMPUTED_VALUE"""),"| 5 L PHP-CGM % | 7 L JAVA @ | 8 L CPT @ ")</f>
        <v xml:space="preserve">| 5 L PHP-CGM % | 7 L JAVA @ | 8 L CPT @ </v>
      </c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</row>
    <row r="111" spans="1:102" ht="12.5" x14ac:dyDescent="0.25">
      <c r="A111" s="3">
        <f ca="1">IFERROR(__xludf.DUMMYFUNCTION("""COMPUTED_VALUE"""),2)</f>
        <v>2</v>
      </c>
      <c r="B111" s="3" t="str">
        <f ca="1">IFERROR(__xludf.DUMMYFUNCTION("""COMPUTED_VALUE"""),"B")</f>
        <v>B</v>
      </c>
      <c r="C111" s="32" t="str">
        <f ca="1">IFERROR(__xludf.DUMMYFUNCTION("""COMPUTED_VALUE"""),"23291341062")</f>
        <v>23291341062</v>
      </c>
      <c r="D111" s="4" t="str">
        <f ca="1">IFERROR(__xludf.DUMMYFUNCTION("""COMPUTED_VALUE"""),"MINSARIYA AZAD ALNUR")</f>
        <v>MINSARIYA AZAD ALNUR</v>
      </c>
      <c r="E111" s="3" t="str">
        <f ca="1">IFERROR(__xludf.DUMMYFUNCTION("""COMPUTED_VALUE"""),"HAM/HDP-EVE")</f>
        <v>HAM/HDP-EVE</v>
      </c>
      <c r="F111" s="3">
        <f ca="1">IFERROR(__xludf.DUMMYFUNCTION("""COMPUTED_VALUE"""),9924570321)</f>
        <v>9924570321</v>
      </c>
      <c r="G111" s="3">
        <f ca="1">IFERROR(__xludf.DUMMYFUNCTION("""COMPUTED_VALUE"""),9662318376)</f>
        <v>9662318376</v>
      </c>
      <c r="H111" s="33">
        <f ca="1">IFERROR(__xludf.DUMMYFUNCTION("""COMPUTED_VALUE"""),0.4)</f>
        <v>0.4</v>
      </c>
      <c r="I111" s="25">
        <f ca="1">IFERROR(__xludf.DUMMYFUNCTION("""COMPUTED_VALUE"""),0.378378378378378)</f>
        <v>0.37837837837837801</v>
      </c>
      <c r="J111" s="25">
        <f ca="1">IFERROR(__xludf.DUMMYFUNCTION("""COMPUTED_VALUE"""),0.25)</f>
        <v>0.25</v>
      </c>
      <c r="K111" s="25">
        <f ca="1">IFERROR(__xludf.DUMMYFUNCTION("""COMPUTED_VALUE"""),0.411764705882352)</f>
        <v>0.41176470588235198</v>
      </c>
      <c r="L111" s="25">
        <f ca="1">IFERROR(__xludf.DUMMYFUNCTION("""COMPUTED_VALUE"""),0.142857142857142)</f>
        <v>0.14285714285714199</v>
      </c>
      <c r="M111" s="25">
        <f ca="1">IFERROR(__xludf.DUMMYFUNCTION("""COMPUTED_VALUE"""),0.514285714285714)</f>
        <v>0.51428571428571401</v>
      </c>
      <c r="N111" s="25">
        <f ca="1">IFERROR(__xludf.DUMMYFUNCTION("""COMPUTED_VALUE"""),0.444444444444444)</f>
        <v>0.44444444444444398</v>
      </c>
      <c r="O111" s="25">
        <f ca="1">IFERROR(__xludf.DUMMYFUNCTION("""COMPUTED_VALUE"""),0.457142857142857)</f>
        <v>0.45714285714285702</v>
      </c>
      <c r="P111" s="25">
        <f ca="1">IFERROR(__xludf.DUMMYFUNCTION("""COMPUTED_VALUE"""),0.523809523809523)</f>
        <v>0.52380952380952295</v>
      </c>
      <c r="Q111" s="25">
        <f ca="1">IFERROR(__xludf.DUMMYFUNCTION("""COMPUTED_VALUE"""),0)</f>
        <v>0</v>
      </c>
      <c r="R111" s="25">
        <f ca="1">IFERROR(__xludf.DUMMYFUNCTION("""COMPUTED_VALUE"""),0.133333333333333)</f>
        <v>0.133333333333333</v>
      </c>
      <c r="S111" s="25">
        <f ca="1">IFERROR(__xludf.DUMMYFUNCTION("""COMPUTED_VALUE"""),0)</f>
        <v>0</v>
      </c>
      <c r="T111" s="25">
        <f ca="1">IFERROR(__xludf.DUMMYFUNCTION("""COMPUTED_VALUE"""),0.428571428571428)</f>
        <v>0.42857142857142799</v>
      </c>
      <c r="U111" s="25">
        <f ca="1">IFERROR(__xludf.DUMMYFUNCTION("""COMPUTED_VALUE"""),0.25)</f>
        <v>0.25</v>
      </c>
      <c r="V111" s="25">
        <f ca="1">IFERROR(__xludf.DUMMYFUNCTION("""COMPUTED_VALUE"""),0)</f>
        <v>0</v>
      </c>
      <c r="W111" s="4"/>
      <c r="X111" s="4" t="str">
        <f ca="1">IFERROR(__xludf.DUMMYFUNCTION("""COMPUTED_VALUE"""),"| 5 P PHP-CGM % | 7 L CPT % | 8 L NS % | 9 P Python @ ")</f>
        <v xml:space="preserve">| 5 P PHP-CGM % | 7 L CPT % | 8 L NS % | 9 P Python @ </v>
      </c>
      <c r="Y111" s="4" t="str">
        <f ca="1">IFERROR(__xludf.DUMMYFUNCTION("""COMPUTED_VALUE"""),"| 5 L PHP-CGM @ | 6 L NS @ | 8 P CPT @ | 9 P PRO @ ")</f>
        <v xml:space="preserve">| 5 L PHP-CGM @ | 6 L NS @ | 8 P CPT @ | 9 P PRO @ </v>
      </c>
      <c r="Z111" s="4" t="str">
        <f ca="1">IFERROR(__xludf.DUMMYFUNCTION("""COMPUTED_VALUE"""),"| 5 L JAVA % | 6 L CPT % | 7 P JAVA % ")</f>
        <v xml:space="preserve">| 5 L JAVA % | 6 L CPT % | 7 P JAVA % </v>
      </c>
      <c r="AA111" s="4" t="str">
        <f ca="1">IFERROR(__xludf.DUMMYFUNCTION("""COMPUTED_VALUE"""),"| 5 L PHP-CGM % | 7 L JAVA % | 9 P Python @ | 8 L CPT % ")</f>
        <v xml:space="preserve">| 5 L PHP-CGM % | 7 L JAVA % | 9 P Python @ | 8 L CPT % </v>
      </c>
      <c r="AB111" s="4" t="str">
        <f ca="1">IFERROR(__xludf.DUMMYFUNCTION("""COMPUTED_VALUE"""),"| 5 P JAVA % | 7 L PHP-CGM % | 8 L JAVA % | 9 P NS @ ")</f>
        <v xml:space="preserve">| 5 P JAVA % | 7 L PHP-CGM % | 8 L JAVA % | 9 P NS @ </v>
      </c>
      <c r="AC111" s="4" t="str">
        <f ca="1">IFERROR(__xludf.DUMMYFUNCTION("""COMPUTED_VALUE"""),"| 5 P PHP-CGM % | 7 L CPT % | 8 L NS % | 9 P Python % ")</f>
        <v xml:space="preserve">| 5 P PHP-CGM % | 7 L CPT % | 8 L NS % | 9 P Python % </v>
      </c>
      <c r="AD111" s="4" t="str">
        <f ca="1">IFERROR(__xludf.DUMMYFUNCTION("""COMPUTED_VALUE"""),"| 5 L PHP-CGM % | 6 L NS % | 7 P CPT @ ")</f>
        <v xml:space="preserve">| 5 L PHP-CGM % | 6 L NS % | 7 P CPT @ </v>
      </c>
      <c r="AE111" s="4" t="str">
        <f ca="1">IFERROR(__xludf.DUMMYFUNCTION("""COMPUTED_VALUE"""),"| 5 L JAVA % | 6 L CPT % | 7 P JAVA % ")</f>
        <v xml:space="preserve">| 5 L JAVA % | 6 L CPT % | 7 P JAVA % </v>
      </c>
      <c r="AF111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G111" s="4" t="str">
        <f ca="1">IFERROR(__xludf.DUMMYFUNCTION("""COMPUTED_VALUE"""),"| 5 P JAVA @ | 8 L JAVA @ | 7 L PHP-CGM @ ")</f>
        <v xml:space="preserve">| 5 P JAVA @ | 8 L JAVA @ | 7 L PHP-CGM @ </v>
      </c>
      <c r="AH111" s="4" t="str">
        <f ca="1">IFERROR(__xludf.DUMMYFUNCTION("""COMPUTED_VALUE"""),"| 5 L PHP-CGM @ | 6 L NS @ | 7 L JAVA @ | 8 L CPT @ ")</f>
        <v xml:space="preserve">| 5 L PHP-CGM @ | 6 L NS @ | 7 L JAVA @ | 8 L CPT @ </v>
      </c>
      <c r="AI111" s="4" t="str">
        <f ca="1">IFERROR(__xludf.DUMMYFUNCTION("""COMPUTED_VALUE"""),"| 5 P JAVA @ | 8 L JAVA @ | 7 L PHP-CGM @ | 9 P NS @ ")</f>
        <v xml:space="preserve">| 5 P JAVA @ | 8 L JAVA @ | 7 L PHP-CGM @ | 9 P NS @ </v>
      </c>
      <c r="AJ111" s="4" t="str">
        <f ca="1">IFERROR(__xludf.DUMMYFUNCTION("""COMPUTED_VALUE"""),"| 5 P PHP-CGM @ | 7 L CPT @ | 8 L NS @ | 9 P Python @ ")</f>
        <v xml:space="preserve">| 5 P PHP-CGM @ | 7 L CPT @ | 8 L NS @ | 9 P Python @ </v>
      </c>
      <c r="AK111" s="4" t="str">
        <f ca="1">IFERROR(__xludf.DUMMYFUNCTION("""COMPUTED_VALUE"""),"| 5 L PHP-CGM % | 6 L NS % | 7 P CPT % | 9 P PRO % ")</f>
        <v xml:space="preserve">| 5 L PHP-CGM % | 6 L NS % | 7 P CPT % | 9 P PRO % </v>
      </c>
      <c r="AL111" s="4" t="str">
        <f ca="1">IFERROR(__xludf.DUMMYFUNCTION("""COMPUTED_VALUE"""),"| 5 L JAVA @ | 6 L CPT @ | 7 P JAVA @ | 9 L INE @ ")</f>
        <v xml:space="preserve">| 5 L JAVA @ | 6 L CPT @ | 7 P JAVA @ | 9 L INE @ </v>
      </c>
      <c r="AM111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N111" s="4" t="str">
        <f ca="1">IFERROR(__xludf.DUMMYFUNCTION("""COMPUTED_VALUE"""),"| 5 P JAVA @ | 8 L JAVA @ | 7 L PHP-CGM @ | 9 P NS @ ")</f>
        <v xml:space="preserve">| 5 P JAVA @ | 8 L JAVA @ | 7 L PHP-CGM @ | 9 P NS @ </v>
      </c>
      <c r="AO111" s="4" t="str">
        <f ca="1">IFERROR(__xludf.DUMMYFUNCTION("""COMPUTED_VALUE"""),"| 5 P PHP-CGM @ | 7 L CPT @ | 8 L NS @ | 9 P Python @ ")</f>
        <v xml:space="preserve">| 5 P PHP-CGM @ | 7 L CPT @ | 8 L NS @ | 9 P Python @ </v>
      </c>
      <c r="AP111" s="4" t="str">
        <f ca="1">IFERROR(__xludf.DUMMYFUNCTION("""COMPUTED_VALUE"""),"| 5 L PHP-CGM @ | 6 L NS @ | 7 P CPT @ | 9 P PRO @ ")</f>
        <v xml:space="preserve">| 5 L PHP-CGM @ | 6 L NS @ | 7 P CPT @ | 9 P PRO @ </v>
      </c>
      <c r="AQ111" s="4" t="str">
        <f ca="1">IFERROR(__xludf.DUMMYFUNCTION("""COMPUTED_VALUE"""),"| 5 L CPT @ | 7 L JAVA @ | 7 P JAVA @ | 9 L INE @ ")</f>
        <v xml:space="preserve">| 5 L CPT @ | 7 L JAVA @ | 7 P JAVA @ | 9 L INE @ </v>
      </c>
      <c r="AR111" s="4" t="str">
        <f ca="1">IFERROR(__xludf.DUMMYFUNCTION("""COMPUTED_VALUE"""),"| 5 L PHP-CGM @ | 6 L NS @ | 8 L CPT @ ")</f>
        <v xml:space="preserve">| 5 L PHP-CGM @ | 6 L NS @ | 8 L CPT @ </v>
      </c>
      <c r="AS111" s="4" t="str">
        <f ca="1">IFERROR(__xludf.DUMMYFUNCTION("""COMPUTED_VALUE"""),"| 5 P PHP-CGM % | 7 L CPT @ | 8 L NS @ | 9 P Python @ ")</f>
        <v xml:space="preserve">| 5 P PHP-CGM % | 7 L CPT @ | 8 L NS @ | 9 P Python @ </v>
      </c>
      <c r="AT111" s="4" t="str">
        <f ca="1">IFERROR(__xludf.DUMMYFUNCTION("""COMPUTED_VALUE"""),"| 5 L PHP-CGM % | 6 L NS % | 7 P CPT @ | 9 P PRO % ")</f>
        <v xml:space="preserve">| 5 L PHP-CGM % | 6 L NS % | 7 P CPT @ | 9 P PRO % </v>
      </c>
      <c r="AU111" s="4" t="str">
        <f ca="1">IFERROR(__xludf.DUMMYFUNCTION("""COMPUTED_VALUE"""),"| 5 L JAVA % | 6 L CPT % | 8 P JAVA % | 9 L INE % ")</f>
        <v xml:space="preserve">| 5 L JAVA % | 6 L CPT % | 8 P JAVA % | 9 L INE % </v>
      </c>
      <c r="AV111" s="4" t="str">
        <f ca="1">IFERROR(__xludf.DUMMYFUNCTION("""COMPUTED_VALUE"""),"| 5 L PHP-CGM % | 6 L NS % | 7 L JAVA % | 8 L CPT % ")</f>
        <v xml:space="preserve">| 5 L PHP-CGM % | 6 L NS % | 7 L JAVA % | 8 L CPT % </v>
      </c>
      <c r="AW111" s="4" t="str">
        <f ca="1">IFERROR(__xludf.DUMMYFUNCTION("""COMPUTED_VALUE"""),"| 5 P JAVA % | 7 L PHP-CGM % | 8 L JAVA % | 9 P NS % ")</f>
        <v xml:space="preserve">| 5 P JAVA % | 7 L PHP-CGM % | 8 L JAVA % | 9 P NS % </v>
      </c>
      <c r="AX111" s="4" t="str">
        <f ca="1">IFERROR(__xludf.DUMMYFUNCTION("""COMPUTED_VALUE"""),"| 5 P PHP-CGM % | 7 L CPT % | 8 L NS % | 9 P Python % ")</f>
        <v xml:space="preserve">| 5 P PHP-CGM % | 7 L CPT % | 8 L NS % | 9 P Python % </v>
      </c>
      <c r="AY111" s="4" t="str">
        <f ca="1">IFERROR(__xludf.DUMMYFUNCTION("""COMPUTED_VALUE"""),"| 5 L PHP-CGM % | 6 L NS % | 7 P CPT % | 9 P PRO % ")</f>
        <v xml:space="preserve">| 5 L PHP-CGM % | 6 L NS % | 7 P CPT % | 9 P PRO % </v>
      </c>
      <c r="AZ111" s="4" t="str">
        <f ca="1">IFERROR(__xludf.DUMMYFUNCTION("""COMPUTED_VALUE"""),"| 5 L PHP-CGM % | 6 L NS % | 7 L JAVA % | 8 L CPT % ")</f>
        <v xml:space="preserve">| 5 L PHP-CGM % | 6 L NS % | 7 L JAVA % | 8 L CPT % </v>
      </c>
      <c r="BA111" s="4" t="str">
        <f ca="1">IFERROR(__xludf.DUMMYFUNCTION("""COMPUTED_VALUE"""),"| 5 P JAVA % | 7 L PHP-CGM % | 8 L JAVA % ")</f>
        <v xml:space="preserve">| 5 P JAVA % | 7 L PHP-CGM % | 8 L JAVA % </v>
      </c>
      <c r="BB111" s="4" t="str">
        <f ca="1">IFERROR(__xludf.DUMMYFUNCTION("""COMPUTED_VALUE"""),"| 5 P PHP-CGM @ | 7 L CPT @ | 8 L NS @ ")</f>
        <v xml:space="preserve">| 5 P PHP-CGM @ | 7 L CPT @ | 8 L NS @ </v>
      </c>
      <c r="BC111" s="4" t="str">
        <f ca="1">IFERROR(__xludf.DUMMYFUNCTION("""COMPUTED_VALUE"""),"| 5 L PHP-CGM % | 6 L NS % | 7 P CPT @ | 9 P PRO @ ")</f>
        <v xml:space="preserve">| 5 L PHP-CGM % | 6 L NS % | 7 P CPT @ | 9 P PRO @ </v>
      </c>
      <c r="BD111" s="4" t="str">
        <f ca="1">IFERROR(__xludf.DUMMYFUNCTION("""COMPUTED_VALUE"""),"| 5 L JAVA @ | 6 L CPT @ | 7 P JAVA @ | 9 L INE @ ")</f>
        <v xml:space="preserve">| 5 L JAVA @ | 6 L CPT @ | 7 P JAVA @ | 9 L INE @ </v>
      </c>
      <c r="BE111" s="4" t="str">
        <f ca="1">IFERROR(__xludf.DUMMYFUNCTION("""COMPUTED_VALUE"""),"| 5 L PHP-CGM % | 6 L NS % | 7 L JAVA @ | 8 L CPT @ | 9 P Python @ ")</f>
        <v xml:space="preserve">| 5 L PHP-CGM % | 6 L NS % | 7 L JAVA @ | 8 L CPT @ | 9 P Python @ </v>
      </c>
      <c r="BF111" s="4" t="str">
        <f ca="1">IFERROR(__xludf.DUMMYFUNCTION("""COMPUTED_VALUE"""),"| 5 P JAVA @ | 7 L PHP-CGM @ | 8 L JAVA @ | 9 P NS @ ")</f>
        <v xml:space="preserve">| 5 P JAVA @ | 7 L PHP-CGM @ | 8 L JAVA @ | 9 P NS @ </v>
      </c>
      <c r="BG111" s="4" t="str">
        <f ca="1">IFERROR(__xludf.DUMMYFUNCTION("""COMPUTED_VALUE"""),"| 5 L PHP-CGM @ | 6 L NS @ | 7 P CPT @ | 9 P PRO @ ")</f>
        <v xml:space="preserve">| 5 L PHP-CGM @ | 6 L NS @ | 7 P CPT @ | 9 P PRO @ </v>
      </c>
      <c r="BH111" s="4" t="str">
        <f ca="1">IFERROR(__xludf.DUMMYFUNCTION("""COMPUTED_VALUE"""),"| 5 L JAVA @ | 6 L CPT @ | 7 P JAVA @ | 9 L INE @ ")</f>
        <v xml:space="preserve">| 5 L JAVA @ | 6 L CPT @ | 7 P JAVA @ | 9 L INE @ </v>
      </c>
      <c r="BI111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J111" s="4" t="str">
        <f ca="1">IFERROR(__xludf.DUMMYFUNCTION("""COMPUTED_VALUE"""),"| 5 P JAVA @ | 7 L JAVA @ | 7 L PHP-CGM @ ")</f>
        <v xml:space="preserve">| 5 P JAVA @ | 7 L JAVA @ | 7 L PHP-CGM @ </v>
      </c>
      <c r="BK111" s="4" t="str">
        <f ca="1">IFERROR(__xludf.DUMMYFUNCTION("""COMPUTED_VALUE"""),"| 7 L CPT @ | 8 L NS @ ")</f>
        <v xml:space="preserve">| 7 L CPT @ | 8 L NS @ </v>
      </c>
      <c r="BL111" s="4" t="str">
        <f ca="1">IFERROR(__xludf.DUMMYFUNCTION("""COMPUTED_VALUE"""),"| 5 L PHP-CGM @ | 6 L NS @ | 7 P CPT @ ")</f>
        <v xml:space="preserve">| 5 L PHP-CGM @ | 6 L NS @ | 7 P CPT @ </v>
      </c>
      <c r="BM111" s="4" t="str">
        <f ca="1">IFERROR(__xludf.DUMMYFUNCTION("""COMPUTED_VALUE"""),"| 5 L JAVA @ | 6 L CPT @ | 9 L INE @ ")</f>
        <v xml:space="preserve">| 5 L JAVA @ | 6 L CPT @ | 9 L INE @ </v>
      </c>
      <c r="BN111" s="4" t="str">
        <f ca="1">IFERROR(__xludf.DUMMYFUNCTION("""COMPUTED_VALUE"""),"| 5 L PHP-CGM % | 6 L NS @ | 9 L JAVA @ | 8 L CPT @ ")</f>
        <v xml:space="preserve">| 5 L PHP-CGM % | 6 L NS @ | 9 L JAVA @ | 8 L CPT @ </v>
      </c>
      <c r="BO111" s="4" t="str">
        <f ca="1">IFERROR(__xludf.DUMMYFUNCTION("""COMPUTED_VALUE"""),"| 5 P JAVA @ | 7 L PHP-CGM @ ")</f>
        <v xml:space="preserve">| 5 P JAVA @ | 7 L PHP-CGM @ </v>
      </c>
      <c r="BP111" s="4" t="str">
        <f ca="1">IFERROR(__xludf.DUMMYFUNCTION("""COMPUTED_VALUE"""),"| 5 P PHP-CGM @ | 7 L CPT % | 8 L NS @ ")</f>
        <v xml:space="preserve">| 5 P PHP-CGM @ | 7 L CPT % | 8 L NS @ </v>
      </c>
      <c r="BQ111" s="4" t="str">
        <f ca="1">IFERROR(__xludf.DUMMYFUNCTION("""COMPUTED_VALUE"""),"| 5 L JAVA % | 6 L CPT % ")</f>
        <v xml:space="preserve">| 5 L JAVA % | 6 L CPT % </v>
      </c>
      <c r="BR111" s="4" t="str">
        <f ca="1">IFERROR(__xludf.DUMMYFUNCTION("""COMPUTED_VALUE"""),"| 7 L JAVA % ")</f>
        <v xml:space="preserve">| 7 L JAVA % </v>
      </c>
      <c r="BS111" s="4"/>
      <c r="BT111" s="4" t="str">
        <f ca="1">IFERROR(__xludf.DUMMYFUNCTION("""COMPUTED_VALUE"""),"| 7 L CPT @ ")</f>
        <v xml:space="preserve">| 7 L CPT @ </v>
      </c>
      <c r="BU111" s="4" t="str">
        <f ca="1">IFERROR(__xludf.DUMMYFUNCTION("""COMPUTED_VALUE"""),"| 7 P CPT @ ")</f>
        <v xml:space="preserve">| 7 P CPT @ </v>
      </c>
      <c r="BV111" s="4" t="str">
        <f ca="1">IFERROR(__xludf.DUMMYFUNCTION("""COMPUTED_VALUE"""),"| 5 P PHP-CGM @ | 7 L CPT @ | 8 L NS @ | 9 P Python @ ")</f>
        <v xml:space="preserve">| 5 P PHP-CGM @ | 7 L CPT @ | 8 L NS @ | 9 P Python @ </v>
      </c>
      <c r="BW111" s="4"/>
      <c r="BX111" s="4" t="str">
        <f ca="1">IFERROR(__xludf.DUMMYFUNCTION("""COMPUTED_VALUE"""),"| 5 L JAVA % | 6 L CPT % | 7 P JAVA % ")</f>
        <v xml:space="preserve">| 5 L JAVA % | 6 L CPT % | 7 P JAVA % </v>
      </c>
      <c r="BY111" s="4" t="str">
        <f ca="1">IFERROR(__xludf.DUMMYFUNCTION("""COMPUTED_VALUE"""),"| 5 L PHP-CGM % | 6 L NS @ | 7 L JAVA @ | 8 L CPT @ | 9 P Python @ ")</f>
        <v xml:space="preserve">| 5 L PHP-CGM % | 6 L NS @ | 7 L JAVA @ | 8 L CPT @ | 9 P Python @ </v>
      </c>
      <c r="BZ111" s="4" t="str">
        <f ca="1">IFERROR(__xludf.DUMMYFUNCTION("""COMPUTED_VALUE"""),"| 5 P JAVA % | 8 L JAVA % | 7 L PHP-CGM % | 9 P NS @ ")</f>
        <v xml:space="preserve">| 5 P JAVA % | 8 L JAVA % | 7 L PHP-CGM % | 9 P NS @ </v>
      </c>
      <c r="CA111" s="4" t="str">
        <f ca="1">IFERROR(__xludf.DUMMYFUNCTION("""COMPUTED_VALUE"""),"| 7 L CPT % | 8 L NS % | 9 P Python @ ")</f>
        <v xml:space="preserve">| 7 L CPT % | 8 L NS % | 9 P Python @ </v>
      </c>
      <c r="CB111" s="4" t="str">
        <f ca="1">IFERROR(__xludf.DUMMYFUNCTION("""COMPUTED_VALUE"""),"| 5 L PHP-CGM % | 6 L NS % | 7 P CPT % ")</f>
        <v xml:space="preserve">| 5 L PHP-CGM % | 6 L NS % | 7 P CPT % </v>
      </c>
      <c r="CC111" s="4" t="str">
        <f ca="1">IFERROR(__xludf.DUMMYFUNCTION("""COMPUTED_VALUE"""),"| 5 L JAVA % | 7 P JAVA % | 9 L INE % ")</f>
        <v xml:space="preserve">| 5 L JAVA % | 7 P JAVA % | 9 L INE % </v>
      </c>
      <c r="CD111" s="4" t="str">
        <f ca="1">IFERROR(__xludf.DUMMYFUNCTION("""COMPUTED_VALUE"""),"| 5 L PHP-CGM % | 6 L NS % | 7 L JAVA % | 8 L CPT % ")</f>
        <v xml:space="preserve">| 5 L PHP-CGM % | 6 L NS % | 7 L JAVA % | 8 L CPT % </v>
      </c>
      <c r="CE111" s="4" t="str">
        <f ca="1">IFERROR(__xludf.DUMMYFUNCTION("""COMPUTED_VALUE"""),"| 5 P JAVA % | 8 L JAVA % | 7 L PHP-CGM % | 9 P NS @ ")</f>
        <v xml:space="preserve">| 5 P JAVA % | 8 L JAVA % | 7 L PHP-CGM % | 9 P NS @ </v>
      </c>
      <c r="CF111" s="4" t="str">
        <f ca="1">IFERROR(__xludf.DUMMYFUNCTION("""COMPUTED_VALUE"""),"| 7 L CPT @ | 8 L NS @ | 9 P Python @ ")</f>
        <v xml:space="preserve">| 7 L CPT @ | 8 L NS @ | 9 P Python @ </v>
      </c>
      <c r="CG111" s="4" t="str">
        <f ca="1">IFERROR(__xludf.DUMMYFUNCTION("""COMPUTED_VALUE"""),"| 5 L PHP-CGM @ | 6 L NS @ | 7 P CPT @ ")</f>
        <v xml:space="preserve">| 5 L PHP-CGM @ | 6 L NS @ | 7 P CPT @ </v>
      </c>
      <c r="CH111" s="4" t="str">
        <f ca="1">IFERROR(__xludf.DUMMYFUNCTION("""COMPUTED_VALUE"""),"| 5 L JAVA @ | 6 L CPT @ | 7 P JAVA % | 9 L INE @ ")</f>
        <v xml:space="preserve">| 5 L JAVA @ | 6 L CPT @ | 7 P JAVA % | 9 L INE @ </v>
      </c>
      <c r="CI111" s="4" t="str">
        <f ca="1">IFERROR(__xludf.DUMMYFUNCTION("""COMPUTED_VALUE"""),"| 5 L PHP-CGM @ | 7 L JAVA @ | 8 L CPT @ ")</f>
        <v xml:space="preserve">| 5 L PHP-CGM @ | 7 L JAVA @ | 8 L CPT @ </v>
      </c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</row>
    <row r="112" spans="1:102" ht="12.5" x14ac:dyDescent="0.25">
      <c r="A112" s="3">
        <f ca="1">IFERROR(__xludf.DUMMYFUNCTION("""COMPUTED_VALUE"""),2)</f>
        <v>2</v>
      </c>
      <c r="B112" s="3" t="str">
        <f ca="1">IFERROR(__xludf.DUMMYFUNCTION("""COMPUTED_VALUE"""),"B")</f>
        <v>B</v>
      </c>
      <c r="C112" s="32" t="str">
        <f ca="1">IFERROR(__xludf.DUMMYFUNCTION("""COMPUTED_VALUE"""),"23291341063")</f>
        <v>23291341063</v>
      </c>
      <c r="D112" s="4" t="str">
        <f ca="1">IFERROR(__xludf.DUMMYFUNCTION("""COMPUTED_VALUE"""),"MODI HETAVI JIGESH")</f>
        <v>MODI HETAVI JIGESH</v>
      </c>
      <c r="E112" s="3" t="str">
        <f ca="1">IFERROR(__xludf.DUMMYFUNCTION("""COMPUTED_VALUE"""),"HAM/HDP-EVE")</f>
        <v>HAM/HDP-EVE</v>
      </c>
      <c r="F112" s="3">
        <f ca="1">IFERROR(__xludf.DUMMYFUNCTION("""COMPUTED_VALUE"""),9428311134)</f>
        <v>9428311134</v>
      </c>
      <c r="G112" s="3">
        <f ca="1">IFERROR(__xludf.DUMMYFUNCTION("""COMPUTED_VALUE"""),9099682820)</f>
        <v>9099682820</v>
      </c>
      <c r="H112" s="33">
        <f ca="1">IFERROR(__xludf.DUMMYFUNCTION("""COMPUTED_VALUE"""),0.786363636363636)</f>
        <v>0.78636363636363604</v>
      </c>
      <c r="I112" s="25">
        <f ca="1">IFERROR(__xludf.DUMMYFUNCTION("""COMPUTED_VALUE"""),0.729729729729729)</f>
        <v>0.72972972972972905</v>
      </c>
      <c r="J112" s="25">
        <f ca="1">IFERROR(__xludf.DUMMYFUNCTION("""COMPUTED_VALUE"""),0.833333333333333)</f>
        <v>0.83333333333333304</v>
      </c>
      <c r="K112" s="25">
        <f ca="1">IFERROR(__xludf.DUMMYFUNCTION("""COMPUTED_VALUE"""),0.764705882352941)</f>
        <v>0.76470588235294101</v>
      </c>
      <c r="L112" s="25">
        <f ca="1">IFERROR(__xludf.DUMMYFUNCTION("""COMPUTED_VALUE"""),0.714285714285714)</f>
        <v>0.71428571428571397</v>
      </c>
      <c r="M112" s="25">
        <f ca="1">IFERROR(__xludf.DUMMYFUNCTION("""COMPUTED_VALUE"""),0.8)</f>
        <v>0.8</v>
      </c>
      <c r="N112" s="25">
        <f ca="1">IFERROR(__xludf.DUMMYFUNCTION("""COMPUTED_VALUE"""),1)</f>
        <v>1</v>
      </c>
      <c r="O112" s="25">
        <f ca="1">IFERROR(__xludf.DUMMYFUNCTION("""COMPUTED_VALUE"""),0.8)</f>
        <v>0.8</v>
      </c>
      <c r="P112" s="25">
        <f ca="1">IFERROR(__xludf.DUMMYFUNCTION("""COMPUTED_VALUE"""),0.952380952380952)</f>
        <v>0.952380952380952</v>
      </c>
      <c r="Q112" s="25">
        <f ca="1">IFERROR(__xludf.DUMMYFUNCTION("""COMPUTED_VALUE"""),0)</f>
        <v>0</v>
      </c>
      <c r="R112" s="25">
        <f ca="1">IFERROR(__xludf.DUMMYFUNCTION("""COMPUTED_VALUE"""),0.733333333333333)</f>
        <v>0.73333333333333295</v>
      </c>
      <c r="S112" s="25">
        <f ca="1">IFERROR(__xludf.DUMMYFUNCTION("""COMPUTED_VALUE"""),0)</f>
        <v>0</v>
      </c>
      <c r="T112" s="25">
        <f ca="1">IFERROR(__xludf.DUMMYFUNCTION("""COMPUTED_VALUE"""),0.714285714285714)</f>
        <v>0.71428571428571397</v>
      </c>
      <c r="U112" s="25">
        <f ca="1">IFERROR(__xludf.DUMMYFUNCTION("""COMPUTED_VALUE"""),0.5)</f>
        <v>0.5</v>
      </c>
      <c r="V112" s="25">
        <f ca="1">IFERROR(__xludf.DUMMYFUNCTION("""COMPUTED_VALUE"""),0)</f>
        <v>0</v>
      </c>
      <c r="W112" s="4"/>
      <c r="X112" s="4" t="str">
        <f ca="1">IFERROR(__xludf.DUMMYFUNCTION("""COMPUTED_VALUE"""),"| 5 P PHP-CGM % | 7 L CPT % | 8 L NS % | 9 P Python % ")</f>
        <v xml:space="preserve">| 5 P PHP-CGM % | 7 L CPT % | 8 L NS % | 9 P Python % </v>
      </c>
      <c r="Y112" s="4" t="str">
        <f ca="1">IFERROR(__xludf.DUMMYFUNCTION("""COMPUTED_VALUE"""),"| 5 L PHP-CGM % | 6 L NS % | 8 P CPT % | 9 P PRO % ")</f>
        <v xml:space="preserve">| 5 L PHP-CGM % | 6 L NS % | 8 P CPT % | 9 P PRO % </v>
      </c>
      <c r="Z112" s="4" t="str">
        <f ca="1">IFERROR(__xludf.DUMMYFUNCTION("""COMPUTED_VALUE"""),"| 5 L JAVA % | 6 L CPT % | 7 P JAVA % ")</f>
        <v xml:space="preserve">| 5 L JAVA % | 6 L CPT % | 7 P JAVA % </v>
      </c>
      <c r="AA112" s="4" t="str">
        <f ca="1">IFERROR(__xludf.DUMMYFUNCTION("""COMPUTED_VALUE"""),"| 5 L PHP-CGM % | 7 L JAVA % | 9 P Python % | 8 L CPT % ")</f>
        <v xml:space="preserve">| 5 L PHP-CGM % | 7 L JAVA % | 9 P Python % | 8 L CPT % </v>
      </c>
      <c r="AB112" s="4" t="str">
        <f ca="1">IFERROR(__xludf.DUMMYFUNCTION("""COMPUTED_VALUE"""),"| 5 P JAVA % | 7 L PHP-CGM % | 8 L JAVA % | 9 P NS % ")</f>
        <v xml:space="preserve">| 5 P JAVA % | 7 L PHP-CGM % | 8 L JAVA % | 9 P NS % </v>
      </c>
      <c r="AC112" s="4" t="str">
        <f ca="1">IFERROR(__xludf.DUMMYFUNCTION("""COMPUTED_VALUE"""),"| 5 P PHP-CGM % | 7 L CPT % | 8 L NS % | 9 P Python % ")</f>
        <v xml:space="preserve">| 5 P PHP-CGM % | 7 L CPT % | 8 L NS % | 9 P Python % </v>
      </c>
      <c r="AD112" s="4" t="str">
        <f ca="1">IFERROR(__xludf.DUMMYFUNCTION("""COMPUTED_VALUE"""),"| 5 L PHP-CGM % | 6 L NS % | 7 P CPT % ")</f>
        <v xml:space="preserve">| 5 L PHP-CGM % | 6 L NS % | 7 P CPT % </v>
      </c>
      <c r="AE112" s="4" t="str">
        <f ca="1">IFERROR(__xludf.DUMMYFUNCTION("""COMPUTED_VALUE"""),"| 5 L JAVA % | 6 L CPT % | 7 P JAVA % ")</f>
        <v xml:space="preserve">| 5 L JAVA % | 6 L CPT % | 7 P JAVA % </v>
      </c>
      <c r="AF112" s="4" t="str">
        <f ca="1">IFERROR(__xludf.DUMMYFUNCTION("""COMPUTED_VALUE"""),"| 5 L PHP-CGM % | 6 L NS % | 7 L JAVA % | 8 L CPT @ | 9 P Python % ")</f>
        <v xml:space="preserve">| 5 L PHP-CGM % | 6 L NS % | 7 L JAVA % | 8 L CPT @ | 9 P Python % </v>
      </c>
      <c r="AG112" s="4" t="str">
        <f ca="1">IFERROR(__xludf.DUMMYFUNCTION("""COMPUTED_VALUE"""),"| 5 P JAVA % | 8 L JAVA % | 7 L PHP-CGM % ")</f>
        <v xml:space="preserve">| 5 P JAVA % | 8 L JAVA % | 7 L PHP-CGM % </v>
      </c>
      <c r="AH112" s="4" t="str">
        <f ca="1">IFERROR(__xludf.DUMMYFUNCTION("""COMPUTED_VALUE"""),"| 5 L PHP-CGM % | 6 L NS % | 7 L JAVA % | 8 L CPT % ")</f>
        <v xml:space="preserve">| 5 L PHP-CGM % | 6 L NS % | 7 L JAVA % | 8 L CPT % </v>
      </c>
      <c r="AI112" s="4" t="str">
        <f ca="1">IFERROR(__xludf.DUMMYFUNCTION("""COMPUTED_VALUE"""),"| 5 P JAVA % | 8 L JAVA % | 7 L PHP-CGM % | 9 P NS % ")</f>
        <v xml:space="preserve">| 5 P JAVA % | 8 L JAVA % | 7 L PHP-CGM % | 9 P NS % </v>
      </c>
      <c r="AJ112" s="4" t="str">
        <f ca="1">IFERROR(__xludf.DUMMYFUNCTION("""COMPUTED_VALUE"""),"| 5 P PHP-CGM % | 7 L CPT % | 8 L NS % | 9 P Python @ ")</f>
        <v xml:space="preserve">| 5 P PHP-CGM % | 7 L CPT % | 8 L NS % | 9 P Python @ </v>
      </c>
      <c r="AK112" s="4" t="str">
        <f ca="1">IFERROR(__xludf.DUMMYFUNCTION("""COMPUTED_VALUE"""),"| 5 L PHP-CGM % | 6 L NS % | 7 P CPT % | 9 P PRO % ")</f>
        <v xml:space="preserve">| 5 L PHP-CGM % | 6 L NS % | 7 P CPT % | 9 P PRO % </v>
      </c>
      <c r="AL112" s="4" t="str">
        <f ca="1">IFERROR(__xludf.DUMMYFUNCTION("""COMPUTED_VALUE"""),"| 5 L JAVA % | 6 L CPT % | 7 P JAVA % | 9 L INE @ ")</f>
        <v xml:space="preserve">| 5 L JAVA % | 6 L CPT % | 7 P JAVA % | 9 L INE @ </v>
      </c>
      <c r="AM112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12" s="4" t="str">
        <f ca="1">IFERROR(__xludf.DUMMYFUNCTION("""COMPUTED_VALUE"""),"| 5 P JAVA % | 8 L JAVA % | 7 L PHP-CGM % | 9 P NS % ")</f>
        <v xml:space="preserve">| 5 P JAVA % | 8 L JAVA % | 7 L PHP-CGM % | 9 P NS % </v>
      </c>
      <c r="AO112" s="4" t="str">
        <f ca="1">IFERROR(__xludf.DUMMYFUNCTION("""COMPUTED_VALUE"""),"| 5 P PHP-CGM % | 7 L CPT % | 8 L NS % | 9 P Python % ")</f>
        <v xml:space="preserve">| 5 P PHP-CGM % | 7 L CPT % | 8 L NS % | 9 P Python % </v>
      </c>
      <c r="AP112" s="4" t="str">
        <f ca="1">IFERROR(__xludf.DUMMYFUNCTION("""COMPUTED_VALUE"""),"| 5 L PHP-CGM % | 6 L NS % | 7 P CPT % | 9 P PRO @ ")</f>
        <v xml:space="preserve">| 5 L PHP-CGM % | 6 L NS % | 7 P CPT % | 9 P PRO @ </v>
      </c>
      <c r="AQ112" s="4" t="str">
        <f ca="1">IFERROR(__xludf.DUMMYFUNCTION("""COMPUTED_VALUE"""),"| 5 L CPT % | 7 L JAVA % | 7 P JAVA % | 9 L INE % ")</f>
        <v xml:space="preserve">| 5 L CPT % | 7 L JAVA % | 7 P JAVA % | 9 L INE % </v>
      </c>
      <c r="AR112" s="4" t="str">
        <f ca="1">IFERROR(__xludf.DUMMYFUNCTION("""COMPUTED_VALUE"""),"| 5 L PHP-CGM % | 6 L NS % | 8 L CPT @ ")</f>
        <v xml:space="preserve">| 5 L PHP-CGM % | 6 L NS % | 8 L CPT @ </v>
      </c>
      <c r="AS112" s="4" t="str">
        <f ca="1">IFERROR(__xludf.DUMMYFUNCTION("""COMPUTED_VALUE"""),"| 5 P PHP-CGM % | 7 L CPT % | 8 L NS % | 9 P Python % ")</f>
        <v xml:space="preserve">| 5 P PHP-CGM % | 7 L CPT % | 8 L NS % | 9 P Python % </v>
      </c>
      <c r="AT112" s="4" t="str">
        <f ca="1">IFERROR(__xludf.DUMMYFUNCTION("""COMPUTED_VALUE"""),"| 5 L PHP-CGM % | 6 L NS % | 7 P CPT % | 9 P PRO % ")</f>
        <v xml:space="preserve">| 5 L PHP-CGM % | 6 L NS % | 7 P CPT % | 9 P PRO % </v>
      </c>
      <c r="AU112" s="4" t="str">
        <f ca="1">IFERROR(__xludf.DUMMYFUNCTION("""COMPUTED_VALUE"""),"| 5 L JAVA % | 6 L CPT % | 8 P JAVA % | 9 L INE % ")</f>
        <v xml:space="preserve">| 5 L JAVA % | 6 L CPT % | 8 P JAVA % | 9 L INE % </v>
      </c>
      <c r="AV112" s="4" t="str">
        <f ca="1">IFERROR(__xludf.DUMMYFUNCTION("""COMPUTED_VALUE"""),"| 5 L PHP-CGM % | 6 L NS % | 7 L JAVA % | 8 L CPT % ")</f>
        <v xml:space="preserve">| 5 L PHP-CGM % | 6 L NS % | 7 L JAVA % | 8 L CPT % </v>
      </c>
      <c r="AW112" s="4" t="str">
        <f ca="1">IFERROR(__xludf.DUMMYFUNCTION("""COMPUTED_VALUE"""),"| 5 P JAVA % | 7 L PHP-CGM % | 8 L JAVA % | 9 P NS @ ")</f>
        <v xml:space="preserve">| 5 P JAVA % | 7 L PHP-CGM % | 8 L JAVA % | 9 P NS @ </v>
      </c>
      <c r="AX112" s="4" t="str">
        <f ca="1">IFERROR(__xludf.DUMMYFUNCTION("""COMPUTED_VALUE"""),"| 5 P PHP-CGM % | 7 L CPT % | 8 L NS % | 9 P Python @ ")</f>
        <v xml:space="preserve">| 5 P PHP-CGM % | 7 L CPT % | 8 L NS % | 9 P Python @ </v>
      </c>
      <c r="AY112" s="4" t="str">
        <f ca="1">IFERROR(__xludf.DUMMYFUNCTION("""COMPUTED_VALUE"""),"| 5 L PHP-CGM % | 6 L NS % | 7 P CPT % | 9 P PRO % ")</f>
        <v xml:space="preserve">| 5 L PHP-CGM % | 6 L NS % | 7 P CPT % | 9 P PRO % </v>
      </c>
      <c r="AZ112" s="4" t="str">
        <f ca="1">IFERROR(__xludf.DUMMYFUNCTION("""COMPUTED_VALUE"""),"| 5 L PHP-CGM @ | 6 L NS @ | 7 L JAVA @ | 8 L CPT @ ")</f>
        <v xml:space="preserve">| 5 L PHP-CGM @ | 6 L NS @ | 7 L JAVA @ | 8 L CPT @ </v>
      </c>
      <c r="BA112" s="4" t="str">
        <f ca="1">IFERROR(__xludf.DUMMYFUNCTION("""COMPUTED_VALUE"""),"| 5 P JAVA % | 7 L PHP-CGM @ | 8 L JAVA @ ")</f>
        <v xml:space="preserve">| 5 P JAVA % | 7 L PHP-CGM @ | 8 L JAVA @ </v>
      </c>
      <c r="BB112" s="4" t="str">
        <f ca="1">IFERROR(__xludf.DUMMYFUNCTION("""COMPUTED_VALUE"""),"| 5 P PHP-CGM % | 7 L CPT % | 8 L NS % ")</f>
        <v xml:space="preserve">| 5 P PHP-CGM % | 7 L CPT % | 8 L NS % </v>
      </c>
      <c r="BC112" s="4" t="str">
        <f ca="1">IFERROR(__xludf.DUMMYFUNCTION("""COMPUTED_VALUE"""),"| 5 L PHP-CGM % | 6 L NS % | 7 P CPT % | 9 P PRO @ ")</f>
        <v xml:space="preserve">| 5 L PHP-CGM % | 6 L NS % | 7 P CPT % | 9 P PRO @ </v>
      </c>
      <c r="BD112" s="4" t="str">
        <f ca="1">IFERROR(__xludf.DUMMYFUNCTION("""COMPUTED_VALUE"""),"| 5 L JAVA % | 6 L CPT % | 7 P JAVA % | 9 L INE @ ")</f>
        <v xml:space="preserve">| 5 L JAVA % | 6 L CPT % | 7 P JAVA % | 9 L INE @ </v>
      </c>
      <c r="BE112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12" s="4" t="str">
        <f ca="1">IFERROR(__xludf.DUMMYFUNCTION("""COMPUTED_VALUE"""),"| 5 P JAVA % | 7 L PHP-CGM % | 8 L JAVA % | 9 P NS @ ")</f>
        <v xml:space="preserve">| 5 P JAVA % | 7 L PHP-CGM % | 8 L JAVA % | 9 P NS @ </v>
      </c>
      <c r="BG112" s="4" t="str">
        <f ca="1">IFERROR(__xludf.DUMMYFUNCTION("""COMPUTED_VALUE"""),"| 5 L PHP-CGM % | 6 L NS % | 7 P CPT % | 9 P PRO % ")</f>
        <v xml:space="preserve">| 5 L PHP-CGM % | 6 L NS % | 7 P CPT % | 9 P PRO % </v>
      </c>
      <c r="BH112" s="4" t="str">
        <f ca="1">IFERROR(__xludf.DUMMYFUNCTION("""COMPUTED_VALUE"""),"| 5 L JAVA % | 6 L CPT % | 7 P JAVA % | 9 L INE % ")</f>
        <v xml:space="preserve">| 5 L JAVA % | 6 L CPT % | 7 P JAVA % | 9 L INE % </v>
      </c>
      <c r="BI112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J112" s="4" t="str">
        <f ca="1">IFERROR(__xludf.DUMMYFUNCTION("""COMPUTED_VALUE"""),"| 5 P JAVA @ | 7 L JAVA @ | 7 L PHP-CGM @ ")</f>
        <v xml:space="preserve">| 5 P JAVA @ | 7 L JAVA @ | 7 L PHP-CGM @ </v>
      </c>
      <c r="BK112" s="4" t="str">
        <f ca="1">IFERROR(__xludf.DUMMYFUNCTION("""COMPUTED_VALUE"""),"| 7 L CPT @ | 8 L NS @ ")</f>
        <v xml:space="preserve">| 7 L CPT @ | 8 L NS @ </v>
      </c>
      <c r="BL112" s="4" t="str">
        <f ca="1">IFERROR(__xludf.DUMMYFUNCTION("""COMPUTED_VALUE"""),"| 5 L PHP-CGM @ | 6 L NS @ | 7 P CPT @ ")</f>
        <v xml:space="preserve">| 5 L PHP-CGM @ | 6 L NS @ | 7 P CPT @ </v>
      </c>
      <c r="BM112" s="4" t="str">
        <f ca="1">IFERROR(__xludf.DUMMYFUNCTION("""COMPUTED_VALUE"""),"| 5 L JAVA % | 6 L CPT % | 9 L INE @ ")</f>
        <v xml:space="preserve">| 5 L JAVA % | 6 L CPT % | 9 L INE @ </v>
      </c>
      <c r="BN112" s="4" t="str">
        <f ca="1">IFERROR(__xludf.DUMMYFUNCTION("""COMPUTED_VALUE"""),"| 5 L PHP-CGM @ | 6 L NS @ | 9 L JAVA @ | 8 L CPT @ ")</f>
        <v xml:space="preserve">| 5 L PHP-CGM @ | 6 L NS @ | 9 L JAVA @ | 8 L CPT @ </v>
      </c>
      <c r="BO112" s="4" t="str">
        <f ca="1">IFERROR(__xludf.DUMMYFUNCTION("""COMPUTED_VALUE"""),"| 5 P JAVA % | 7 L PHP-CGM % ")</f>
        <v xml:space="preserve">| 5 P JAVA % | 7 L PHP-CGM % </v>
      </c>
      <c r="BP112" s="4" t="str">
        <f ca="1">IFERROR(__xludf.DUMMYFUNCTION("""COMPUTED_VALUE"""),"| 5 P PHP-CGM % | 7 L CPT % | 8 L NS @ ")</f>
        <v xml:space="preserve">| 5 P PHP-CGM % | 7 L CPT % | 8 L NS @ </v>
      </c>
      <c r="BQ112" s="4" t="str">
        <f ca="1">IFERROR(__xludf.DUMMYFUNCTION("""COMPUTED_VALUE"""),"| 5 L JAVA % | 6 L CPT % ")</f>
        <v xml:space="preserve">| 5 L JAVA % | 6 L CPT % </v>
      </c>
      <c r="BR112" s="4" t="str">
        <f ca="1">IFERROR(__xludf.DUMMYFUNCTION("""COMPUTED_VALUE"""),"| 7 L JAVA % ")</f>
        <v xml:space="preserve">| 7 L JAVA % </v>
      </c>
      <c r="BS112" s="4"/>
      <c r="BT112" s="4" t="str">
        <f ca="1">IFERROR(__xludf.DUMMYFUNCTION("""COMPUTED_VALUE"""),"| 7 L CPT @ ")</f>
        <v xml:space="preserve">| 7 L CPT @ </v>
      </c>
      <c r="BU112" s="4" t="str">
        <f ca="1">IFERROR(__xludf.DUMMYFUNCTION("""COMPUTED_VALUE"""),"| 7 P CPT @ ")</f>
        <v xml:space="preserve">| 7 P CPT @ </v>
      </c>
      <c r="BV112" s="4" t="str">
        <f ca="1">IFERROR(__xludf.DUMMYFUNCTION("""COMPUTED_VALUE"""),"| 5 P PHP-CGM % | 7 L CPT % | 8 L NS % | 9 P Python % ")</f>
        <v xml:space="preserve">| 5 P PHP-CGM % | 7 L CPT % | 8 L NS % | 9 P Python % </v>
      </c>
      <c r="BW112" s="4"/>
      <c r="BX112" s="4" t="str">
        <f ca="1">IFERROR(__xludf.DUMMYFUNCTION("""COMPUTED_VALUE"""),"| 5 L JAVA % | 6 L CPT % | 7 P JAVA % ")</f>
        <v xml:space="preserve">| 5 L JAVA % | 6 L CPT % | 7 P JAVA % </v>
      </c>
      <c r="BY112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112" s="4" t="str">
        <f ca="1">IFERROR(__xludf.DUMMYFUNCTION("""COMPUTED_VALUE"""),"| 5 P JAVA % | 8 L JAVA % | 7 L PHP-CGM % | 9 P NS % ")</f>
        <v xml:space="preserve">| 5 P JAVA % | 8 L JAVA % | 7 L PHP-CGM % | 9 P NS % </v>
      </c>
      <c r="CA112" s="4" t="str">
        <f ca="1">IFERROR(__xludf.DUMMYFUNCTION("""COMPUTED_VALUE"""),"| 7 L CPT @ | 8 L NS @ | 9 P Python @ ")</f>
        <v xml:space="preserve">| 7 L CPT @ | 8 L NS @ | 9 P Python @ </v>
      </c>
      <c r="CB112" s="4" t="str">
        <f ca="1">IFERROR(__xludf.DUMMYFUNCTION("""COMPUTED_VALUE"""),"| 5 L PHP-CGM % | 6 L NS % | 7 P CPT % ")</f>
        <v xml:space="preserve">| 5 L PHP-CGM % | 6 L NS % | 7 P CPT % </v>
      </c>
      <c r="CC112" s="4" t="str">
        <f ca="1">IFERROR(__xludf.DUMMYFUNCTION("""COMPUTED_VALUE"""),"| 5 L JAVA % | 7 P JAVA % | 9 L INE % ")</f>
        <v xml:space="preserve">| 5 L JAVA % | 7 P JAVA % | 9 L INE % </v>
      </c>
      <c r="CD112" s="4" t="str">
        <f ca="1">IFERROR(__xludf.DUMMYFUNCTION("""COMPUTED_VALUE"""),"| 5 L PHP-CGM @ | 6 L NS @ | 7 L JAVA @ | 8 L CPT @ ")</f>
        <v xml:space="preserve">| 5 L PHP-CGM @ | 6 L NS @ | 7 L JAVA @ | 8 L CPT @ </v>
      </c>
      <c r="CE112" s="4" t="str">
        <f ca="1">IFERROR(__xludf.DUMMYFUNCTION("""COMPUTED_VALUE"""),"| 5 P JAVA % | 8 L JAVA % | 7 L PHP-CGM % | 9 P NS % ")</f>
        <v xml:space="preserve">| 5 P JAVA % | 8 L JAVA % | 7 L PHP-CGM % | 9 P NS % </v>
      </c>
      <c r="CF112" s="4" t="str">
        <f ca="1">IFERROR(__xludf.DUMMYFUNCTION("""COMPUTED_VALUE"""),"| 7 L CPT % | 8 L NS % | 9 P Python % ")</f>
        <v xml:space="preserve">| 7 L CPT % | 8 L NS % | 9 P Python % </v>
      </c>
      <c r="CG112" s="4" t="str">
        <f ca="1">IFERROR(__xludf.DUMMYFUNCTION("""COMPUTED_VALUE"""),"| 5 L PHP-CGM % | 6 L NS % | 7 P CPT % ")</f>
        <v xml:space="preserve">| 5 L PHP-CGM % | 6 L NS % | 7 P CPT % </v>
      </c>
      <c r="CH112" s="4" t="str">
        <f ca="1">IFERROR(__xludf.DUMMYFUNCTION("""COMPUTED_VALUE"""),"| 5 L JAVA % | 6 L CPT % | 7 P JAVA % | 9 L INE @ ")</f>
        <v xml:space="preserve">| 5 L JAVA % | 6 L CPT % | 7 P JAVA % | 9 L INE @ </v>
      </c>
      <c r="CI112" s="4" t="str">
        <f ca="1">IFERROR(__xludf.DUMMYFUNCTION("""COMPUTED_VALUE"""),"| 5 L PHP-CGM % | 7 L JAVA @ | 8 L CPT @ ")</f>
        <v xml:space="preserve">| 5 L PHP-CGM % | 7 L JAVA @ | 8 L CPT @ </v>
      </c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</row>
    <row r="113" spans="1:102" ht="12.5" x14ac:dyDescent="0.25">
      <c r="A113" s="3">
        <f ca="1">IFERROR(__xludf.DUMMYFUNCTION("""COMPUTED_VALUE"""),2)</f>
        <v>2</v>
      </c>
      <c r="B113" s="3" t="str">
        <f ca="1">IFERROR(__xludf.DUMMYFUNCTION("""COMPUTED_VALUE"""),"B")</f>
        <v>B</v>
      </c>
      <c r="C113" s="32" t="str">
        <f ca="1">IFERROR(__xludf.DUMMYFUNCTION("""COMPUTED_VALUE"""),"23291341065")</f>
        <v>23291341065</v>
      </c>
      <c r="D113" s="4" t="str">
        <f ca="1">IFERROR(__xludf.DUMMYFUNCTION("""COMPUTED_VALUE"""),"NANDHA KAVY PARESHBHAI")</f>
        <v>NANDHA KAVY PARESHBHAI</v>
      </c>
      <c r="E113" s="3" t="str">
        <f ca="1">IFERROR(__xludf.DUMMYFUNCTION("""COMPUTED_VALUE"""),"HAM/HDP-EVE")</f>
        <v>HAM/HDP-EVE</v>
      </c>
      <c r="F113" s="3">
        <f ca="1">IFERROR(__xludf.DUMMYFUNCTION("""COMPUTED_VALUE"""),9924035310)</f>
        <v>9924035310</v>
      </c>
      <c r="G113" s="3">
        <f ca="1">IFERROR(__xludf.DUMMYFUNCTION("""COMPUTED_VALUE"""),9924035310)</f>
        <v>9924035310</v>
      </c>
      <c r="H113" s="33">
        <f ca="1">IFERROR(__xludf.DUMMYFUNCTION("""COMPUTED_VALUE"""),0.659090909090909)</f>
        <v>0.65909090909090895</v>
      </c>
      <c r="I113" s="25">
        <f ca="1">IFERROR(__xludf.DUMMYFUNCTION("""COMPUTED_VALUE"""),0.621621621621621)</f>
        <v>0.62162162162162105</v>
      </c>
      <c r="J113" s="25">
        <f ca="1">IFERROR(__xludf.DUMMYFUNCTION("""COMPUTED_VALUE"""),0.666666666666666)</f>
        <v>0.66666666666666596</v>
      </c>
      <c r="K113" s="25">
        <f ca="1">IFERROR(__xludf.DUMMYFUNCTION("""COMPUTED_VALUE"""),0.676470588235294)</f>
        <v>0.67647058823529405</v>
      </c>
      <c r="L113" s="25">
        <f ca="1">IFERROR(__xludf.DUMMYFUNCTION("""COMPUTED_VALUE"""),0.571428571428571)</f>
        <v>0.57142857142857095</v>
      </c>
      <c r="M113" s="25">
        <f ca="1">IFERROR(__xludf.DUMMYFUNCTION("""COMPUTED_VALUE"""),0.742857142857142)</f>
        <v>0.74285714285714199</v>
      </c>
      <c r="N113" s="25">
        <f ca="1">IFERROR(__xludf.DUMMYFUNCTION("""COMPUTED_VALUE"""),0.555555555555555)</f>
        <v>0.55555555555555503</v>
      </c>
      <c r="O113" s="25">
        <f ca="1">IFERROR(__xludf.DUMMYFUNCTION("""COMPUTED_VALUE"""),0.742857142857142)</f>
        <v>0.74285714285714199</v>
      </c>
      <c r="P113" s="25">
        <f ca="1">IFERROR(__xludf.DUMMYFUNCTION("""COMPUTED_VALUE"""),0.809523809523809)</f>
        <v>0.80952380952380898</v>
      </c>
      <c r="Q113" s="25">
        <f ca="1">IFERROR(__xludf.DUMMYFUNCTION("""COMPUTED_VALUE"""),0)</f>
        <v>0</v>
      </c>
      <c r="R113" s="25">
        <f ca="1">IFERROR(__xludf.DUMMYFUNCTION("""COMPUTED_VALUE"""),0.4)</f>
        <v>0.4</v>
      </c>
      <c r="S113" s="25">
        <f ca="1">IFERROR(__xludf.DUMMYFUNCTION("""COMPUTED_VALUE"""),0)</f>
        <v>0</v>
      </c>
      <c r="T113" s="25">
        <f ca="1">IFERROR(__xludf.DUMMYFUNCTION("""COMPUTED_VALUE"""),0.428571428571428)</f>
        <v>0.42857142857142799</v>
      </c>
      <c r="U113" s="25">
        <f ca="1">IFERROR(__xludf.DUMMYFUNCTION("""COMPUTED_VALUE"""),0.5)</f>
        <v>0.5</v>
      </c>
      <c r="V113" s="25">
        <f ca="1">IFERROR(__xludf.DUMMYFUNCTION("""COMPUTED_VALUE"""),0)</f>
        <v>0</v>
      </c>
      <c r="W113" s="4"/>
      <c r="X113" s="4" t="str">
        <f ca="1">IFERROR(__xludf.DUMMYFUNCTION("""COMPUTED_VALUE"""),"| 5 P PHP-CGM @ | 7 L CPT @ | 8 L NS @ | 9 P Python @ ")</f>
        <v xml:space="preserve">| 5 P PHP-CGM @ | 7 L CPT @ | 8 L NS @ | 9 P Python @ </v>
      </c>
      <c r="Y113" s="4" t="str">
        <f ca="1">IFERROR(__xludf.DUMMYFUNCTION("""COMPUTED_VALUE"""),"| 5 L PHP-CGM @ | 6 L NS @ | 8 P CPT @ | 9 P PRO @ ")</f>
        <v xml:space="preserve">| 5 L PHP-CGM @ | 6 L NS @ | 8 P CPT @ | 9 P PRO @ </v>
      </c>
      <c r="Z113" s="4" t="str">
        <f ca="1">IFERROR(__xludf.DUMMYFUNCTION("""COMPUTED_VALUE"""),"| 5 L JAVA @ | 6 L CPT @ | 7 P JAVA @ ")</f>
        <v xml:space="preserve">| 5 L JAVA @ | 6 L CPT @ | 7 P JAVA @ </v>
      </c>
      <c r="AA113" s="4" t="str">
        <f ca="1">IFERROR(__xludf.DUMMYFUNCTION("""COMPUTED_VALUE"""),"| 5 L PHP-CGM % | 7 L JAVA % | 9 P Python @ | 8 L CPT % ")</f>
        <v xml:space="preserve">| 5 L PHP-CGM % | 7 L JAVA % | 9 P Python @ | 8 L CPT % </v>
      </c>
      <c r="AB113" s="4" t="str">
        <f ca="1">IFERROR(__xludf.DUMMYFUNCTION("""COMPUTED_VALUE"""),"| 5 P JAVA % | 7 L PHP-CGM % | 8 L JAVA % | 9 P NS % ")</f>
        <v xml:space="preserve">| 5 P JAVA % | 7 L PHP-CGM % | 8 L JAVA % | 9 P NS % </v>
      </c>
      <c r="AC113" s="4" t="str">
        <f ca="1">IFERROR(__xludf.DUMMYFUNCTION("""COMPUTED_VALUE"""),"| 5 P PHP-CGM % | 7 L CPT % | 8 L NS % | 9 P Python % ")</f>
        <v xml:space="preserve">| 5 P PHP-CGM % | 7 L CPT % | 8 L NS % | 9 P Python % </v>
      </c>
      <c r="AD113" s="4" t="str">
        <f ca="1">IFERROR(__xludf.DUMMYFUNCTION("""COMPUTED_VALUE"""),"| 5 L PHP-CGM % | 6 L NS % | 7 P CPT % ")</f>
        <v xml:space="preserve">| 5 L PHP-CGM % | 6 L NS % | 7 P CPT % </v>
      </c>
      <c r="AE113" s="4" t="str">
        <f ca="1">IFERROR(__xludf.DUMMYFUNCTION("""COMPUTED_VALUE"""),"| 5 L JAVA % | 6 L CPT % | 7 P JAVA % ")</f>
        <v xml:space="preserve">| 5 L JAVA % | 6 L CPT % | 7 P JAVA % </v>
      </c>
      <c r="AF113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AG113" s="4" t="str">
        <f ca="1">IFERROR(__xludf.DUMMYFUNCTION("""COMPUTED_VALUE"""),"| 5 P JAVA % | 8 L JAVA % | 7 L PHP-CGM % ")</f>
        <v xml:space="preserve">| 5 P JAVA % | 8 L JAVA % | 7 L PHP-CGM % </v>
      </c>
      <c r="AH113" s="4" t="str">
        <f ca="1">IFERROR(__xludf.DUMMYFUNCTION("""COMPUTED_VALUE"""),"| 5 L PHP-CGM % | 6 L NS % | 7 L JAVA % | 8 L CPT % ")</f>
        <v xml:space="preserve">| 5 L PHP-CGM % | 6 L NS % | 7 L JAVA % | 8 L CPT % </v>
      </c>
      <c r="AI113" s="4" t="str">
        <f ca="1">IFERROR(__xludf.DUMMYFUNCTION("""COMPUTED_VALUE"""),"| 5 P JAVA % | 8 L JAVA % | 7 L PHP-CGM % | 9 P NS % ")</f>
        <v xml:space="preserve">| 5 P JAVA % | 8 L JAVA % | 7 L PHP-CGM % | 9 P NS % </v>
      </c>
      <c r="AJ113" s="4" t="str">
        <f ca="1">IFERROR(__xludf.DUMMYFUNCTION("""COMPUTED_VALUE"""),"| 5 P PHP-CGM % | 7 L CPT % | 8 L NS % | 9 P Python % ")</f>
        <v xml:space="preserve">| 5 P PHP-CGM % | 7 L CPT % | 8 L NS % | 9 P Python % </v>
      </c>
      <c r="AK113" s="4" t="str">
        <f ca="1">IFERROR(__xludf.DUMMYFUNCTION("""COMPUTED_VALUE"""),"| 5 L PHP-CGM % | 6 L NS % | 7 P CPT % | 9 P PRO % ")</f>
        <v xml:space="preserve">| 5 L PHP-CGM % | 6 L NS % | 7 P CPT % | 9 P PRO % </v>
      </c>
      <c r="AL113" s="4" t="str">
        <f ca="1">IFERROR(__xludf.DUMMYFUNCTION("""COMPUTED_VALUE"""),"| 5 L JAVA % | 6 L CPT % | 7 P JAVA % | 9 L INE @ ")</f>
        <v xml:space="preserve">| 5 L JAVA % | 6 L CPT % | 7 P JAVA % | 9 L INE @ </v>
      </c>
      <c r="AM113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13" s="4" t="str">
        <f ca="1">IFERROR(__xludf.DUMMYFUNCTION("""COMPUTED_VALUE"""),"| 5 P JAVA % | 8 L JAVA % | 7 L PHP-CGM @ | 9 P NS @ ")</f>
        <v xml:space="preserve">| 5 P JAVA % | 8 L JAVA % | 7 L PHP-CGM @ | 9 P NS @ </v>
      </c>
      <c r="AO113" s="4" t="str">
        <f ca="1">IFERROR(__xludf.DUMMYFUNCTION("""COMPUTED_VALUE"""),"| 5 P PHP-CGM @ | 7 L CPT @ | 8 L NS @ | 9 P Python @ ")</f>
        <v xml:space="preserve">| 5 P PHP-CGM @ | 7 L CPT @ | 8 L NS @ | 9 P Python @ </v>
      </c>
      <c r="AP113" s="4" t="str">
        <f ca="1">IFERROR(__xludf.DUMMYFUNCTION("""COMPUTED_VALUE"""),"| 5 L PHP-CGM @ | 6 L NS @ | 7 P CPT @ | 9 P PRO @ ")</f>
        <v xml:space="preserve">| 5 L PHP-CGM @ | 6 L NS @ | 7 P CPT @ | 9 P PRO @ </v>
      </c>
      <c r="AQ113" s="4" t="str">
        <f ca="1">IFERROR(__xludf.DUMMYFUNCTION("""COMPUTED_VALUE"""),"| 5 L CPT @ | 7 L JAVA @ | 7 P JAVA @ | 9 L INE @ ")</f>
        <v xml:space="preserve">| 5 L CPT @ | 7 L JAVA @ | 7 P JAVA @ | 9 L INE @ </v>
      </c>
      <c r="AR113" s="4" t="str">
        <f ca="1">IFERROR(__xludf.DUMMYFUNCTION("""COMPUTED_VALUE"""),"| 5 L PHP-CGM @ | 6 L NS @ | 8 L CPT @ ")</f>
        <v xml:space="preserve">| 5 L PHP-CGM @ | 6 L NS @ | 8 L CPT @ </v>
      </c>
      <c r="AS113" s="4" t="str">
        <f ca="1">IFERROR(__xludf.DUMMYFUNCTION("""COMPUTED_VALUE"""),"| 5 P PHP-CGM % | 7 L CPT @ | 8 L NS @ | 9 P Python @ ")</f>
        <v xml:space="preserve">| 5 P PHP-CGM % | 7 L CPT @ | 8 L NS @ | 9 P Python @ </v>
      </c>
      <c r="AT113" s="4" t="str">
        <f ca="1">IFERROR(__xludf.DUMMYFUNCTION("""COMPUTED_VALUE"""),"| 5 L PHP-CGM % | 6 L NS % | 7 P CPT % | 9 P PRO % ")</f>
        <v xml:space="preserve">| 5 L PHP-CGM % | 6 L NS % | 7 P CPT % | 9 P PRO % </v>
      </c>
      <c r="AU113" s="4" t="str">
        <f ca="1">IFERROR(__xludf.DUMMYFUNCTION("""COMPUTED_VALUE"""),"| 5 L JAVA % | 6 L CPT % | 8 P JAVA % | 9 L INE % ")</f>
        <v xml:space="preserve">| 5 L JAVA % | 6 L CPT % | 8 P JAVA % | 9 L INE % </v>
      </c>
      <c r="AV113" s="4" t="str">
        <f ca="1">IFERROR(__xludf.DUMMYFUNCTION("""COMPUTED_VALUE"""),"| 5 L PHP-CGM % | 6 L NS % | 7 L JAVA % | 8 L CPT % ")</f>
        <v xml:space="preserve">| 5 L PHP-CGM % | 6 L NS % | 7 L JAVA % | 8 L CPT % </v>
      </c>
      <c r="AW113" s="4" t="str">
        <f ca="1">IFERROR(__xludf.DUMMYFUNCTION("""COMPUTED_VALUE"""),"| 5 P JAVA % | 7 L PHP-CGM @ | 8 L JAVA @ | 9 P NS % ")</f>
        <v xml:space="preserve">| 5 P JAVA % | 7 L PHP-CGM @ | 8 L JAVA @ | 9 P NS % </v>
      </c>
      <c r="AX113" s="4" t="str">
        <f ca="1">IFERROR(__xludf.DUMMYFUNCTION("""COMPUTED_VALUE"""),"| 5 P PHP-CGM % | 7 L CPT % | 8 L NS % | 9 P Python % ")</f>
        <v xml:space="preserve">| 5 P PHP-CGM % | 7 L CPT % | 8 L NS % | 9 P Python % </v>
      </c>
      <c r="AY113" s="4" t="str">
        <f ca="1">IFERROR(__xludf.DUMMYFUNCTION("""COMPUTED_VALUE"""),"| 5 L PHP-CGM % | 6 L NS % | 7 P CPT % | 9 P PRO @ ")</f>
        <v xml:space="preserve">| 5 L PHP-CGM % | 6 L NS % | 7 P CPT % | 9 P PRO @ </v>
      </c>
      <c r="AZ113" s="4" t="str">
        <f ca="1">IFERROR(__xludf.DUMMYFUNCTION("""COMPUTED_VALUE"""),"| 5 L PHP-CGM % | 6 L NS % | 7 L JAVA % | 8 L CPT % ")</f>
        <v xml:space="preserve">| 5 L PHP-CGM % | 6 L NS % | 7 L JAVA % | 8 L CPT % </v>
      </c>
      <c r="BA113" s="4" t="str">
        <f ca="1">IFERROR(__xludf.DUMMYFUNCTION("""COMPUTED_VALUE"""),"| 5 P JAVA % | 7 L PHP-CGM % | 8 L JAVA % ")</f>
        <v xml:space="preserve">| 5 P JAVA % | 7 L PHP-CGM % | 8 L JAVA % </v>
      </c>
      <c r="BB113" s="4" t="str">
        <f ca="1">IFERROR(__xludf.DUMMYFUNCTION("""COMPUTED_VALUE"""),"| 5 P PHP-CGM % | 7 L CPT % | 8 L NS % ")</f>
        <v xml:space="preserve">| 5 P PHP-CGM % | 7 L CPT % | 8 L NS % </v>
      </c>
      <c r="BC113" s="4" t="str">
        <f ca="1">IFERROR(__xludf.DUMMYFUNCTION("""COMPUTED_VALUE"""),"| 5 L PHP-CGM % | 6 L NS % | 7 P CPT % | 9 P PRO @ ")</f>
        <v xml:space="preserve">| 5 L PHP-CGM % | 6 L NS % | 7 P CPT % | 9 P PRO @ </v>
      </c>
      <c r="BD113" s="4" t="str">
        <f ca="1">IFERROR(__xludf.DUMMYFUNCTION("""COMPUTED_VALUE"""),"| 5 L JAVA % | 6 L CPT % | 7 P JAVA % | 9 L INE % ")</f>
        <v xml:space="preserve">| 5 L JAVA % | 6 L CPT % | 7 P JAVA % | 9 L INE % </v>
      </c>
      <c r="BE113" s="4" t="str">
        <f ca="1">IFERROR(__xludf.DUMMYFUNCTION("""COMPUTED_VALUE"""),"| 5 L PHP-CGM % | 6 L NS % | 7 L JAVA @ | 8 L CPT @ | 9 P Python % ")</f>
        <v xml:space="preserve">| 5 L PHP-CGM % | 6 L NS % | 7 L JAVA @ | 8 L CPT @ | 9 P Python % </v>
      </c>
      <c r="BF113" s="4" t="str">
        <f ca="1">IFERROR(__xludf.DUMMYFUNCTION("""COMPUTED_VALUE"""),"| 5 P JAVA % | 7 L PHP-CGM % | 8 L JAVA % | 9 P NS @ ")</f>
        <v xml:space="preserve">| 5 P JAVA % | 7 L PHP-CGM % | 8 L JAVA % | 9 P NS @ </v>
      </c>
      <c r="BG113" s="4" t="str">
        <f ca="1">IFERROR(__xludf.DUMMYFUNCTION("""COMPUTED_VALUE"""),"| 5 L PHP-CGM % | 6 L NS % | 7 P CPT % | 9 P PRO % ")</f>
        <v xml:space="preserve">| 5 L PHP-CGM % | 6 L NS % | 7 P CPT % | 9 P PRO % </v>
      </c>
      <c r="BH113" s="4" t="str">
        <f ca="1">IFERROR(__xludf.DUMMYFUNCTION("""COMPUTED_VALUE"""),"| 5 L JAVA % | 6 L CPT % | 7 P JAVA % | 9 L INE % ")</f>
        <v xml:space="preserve">| 5 L JAVA % | 6 L CPT % | 7 P JAVA % | 9 L INE % </v>
      </c>
      <c r="BI113" s="4" t="str">
        <f ca="1">IFERROR(__xludf.DUMMYFUNCTION("""COMPUTED_VALUE"""),"| 5 L PHP-CGM % | 6 L NS % | 7 L JAVA % | 8 L CPT % | 9 P Python @ ")</f>
        <v xml:space="preserve">| 5 L PHP-CGM % | 6 L NS % | 7 L JAVA % | 8 L CPT % | 9 P Python @ </v>
      </c>
      <c r="BJ113" s="4" t="str">
        <f ca="1">IFERROR(__xludf.DUMMYFUNCTION("""COMPUTED_VALUE"""),"| 5 P JAVA % | 7 L JAVA % | 7 L PHP-CGM % ")</f>
        <v xml:space="preserve">| 5 P JAVA % | 7 L JAVA % | 7 L PHP-CGM % </v>
      </c>
      <c r="BK113" s="4" t="str">
        <f ca="1">IFERROR(__xludf.DUMMYFUNCTION("""COMPUTED_VALUE"""),"| 7 L CPT @ | 8 L NS @ ")</f>
        <v xml:space="preserve">| 7 L CPT @ | 8 L NS @ </v>
      </c>
      <c r="BL113" s="4" t="str">
        <f ca="1">IFERROR(__xludf.DUMMYFUNCTION("""COMPUTED_VALUE"""),"| 5 L PHP-CGM % | 6 L NS % | 7 P CPT @ ")</f>
        <v xml:space="preserve">| 5 L PHP-CGM % | 6 L NS % | 7 P CPT @ </v>
      </c>
      <c r="BM113" s="4" t="str">
        <f ca="1">IFERROR(__xludf.DUMMYFUNCTION("""COMPUTED_VALUE"""),"| 5 L JAVA % | 6 L CPT % | 9 L INE @ ")</f>
        <v xml:space="preserve">| 5 L JAVA % | 6 L CPT % | 9 L INE @ </v>
      </c>
      <c r="BN113" s="4" t="str">
        <f ca="1">IFERROR(__xludf.DUMMYFUNCTION("""COMPUTED_VALUE"""),"| 5 L PHP-CGM % | 6 L NS % | 9 L JAVA % | 8 L CPT % ")</f>
        <v xml:space="preserve">| 5 L PHP-CGM % | 6 L NS % | 9 L JAVA % | 8 L CPT % </v>
      </c>
      <c r="BO113" s="4" t="str">
        <f ca="1">IFERROR(__xludf.DUMMYFUNCTION("""COMPUTED_VALUE"""),"| 5 P JAVA % | 7 L PHP-CGM % ")</f>
        <v xml:space="preserve">| 5 P JAVA % | 7 L PHP-CGM % </v>
      </c>
      <c r="BP113" s="4" t="str">
        <f ca="1">IFERROR(__xludf.DUMMYFUNCTION("""COMPUTED_VALUE"""),"| 5 P PHP-CGM @ | 7 L CPT @ | 8 L NS @ ")</f>
        <v xml:space="preserve">| 5 P PHP-CGM @ | 7 L CPT @ | 8 L NS @ </v>
      </c>
      <c r="BQ113" s="4" t="str">
        <f ca="1">IFERROR(__xludf.DUMMYFUNCTION("""COMPUTED_VALUE"""),"| 5 L JAVA % | 6 L CPT % ")</f>
        <v xml:space="preserve">| 5 L JAVA % | 6 L CPT % </v>
      </c>
      <c r="BR113" s="4" t="str">
        <f ca="1">IFERROR(__xludf.DUMMYFUNCTION("""COMPUTED_VALUE"""),"| 7 L JAVA @ ")</f>
        <v xml:space="preserve">| 7 L JAVA @ </v>
      </c>
      <c r="BS113" s="4"/>
      <c r="BT113" s="4" t="str">
        <f ca="1">IFERROR(__xludf.DUMMYFUNCTION("""COMPUTED_VALUE"""),"| 7 L CPT @ ")</f>
        <v xml:space="preserve">| 7 L CPT @ </v>
      </c>
      <c r="BU113" s="4" t="str">
        <f ca="1">IFERROR(__xludf.DUMMYFUNCTION("""COMPUTED_VALUE"""),"| 7 P CPT @ ")</f>
        <v xml:space="preserve">| 7 P CPT @ </v>
      </c>
      <c r="BV113" s="4" t="str">
        <f ca="1">IFERROR(__xludf.DUMMYFUNCTION("""COMPUTED_VALUE"""),"| 5 P PHP-CGM @ | 7 L CPT @ | 8 L NS @ | 9 P Python @ ")</f>
        <v xml:space="preserve">| 5 P PHP-CGM @ | 7 L CPT @ | 8 L NS @ | 9 P Python @ </v>
      </c>
      <c r="BW113" s="4"/>
      <c r="BX113" s="4" t="str">
        <f ca="1">IFERROR(__xludf.DUMMYFUNCTION("""COMPUTED_VALUE"""),"| 5 L JAVA @ | 6 L CPT @ | 7 P JAVA @ ")</f>
        <v xml:space="preserve">| 5 L JAVA @ | 6 L CPT @ | 7 P JAVA @ </v>
      </c>
      <c r="BY113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13" s="4" t="str">
        <f ca="1">IFERROR(__xludf.DUMMYFUNCTION("""COMPUTED_VALUE"""),"| 5 P JAVA @ | 8 L JAVA @ | 7 L PHP-CGM @ | 9 P NS @ ")</f>
        <v xml:space="preserve">| 5 P JAVA @ | 8 L JAVA @ | 7 L PHP-CGM @ | 9 P NS @ </v>
      </c>
      <c r="CA113" s="4" t="str">
        <f ca="1">IFERROR(__xludf.DUMMYFUNCTION("""COMPUTED_VALUE"""),"| 7 L CPT % | 8 L NS % | 9 P Python @ ")</f>
        <v xml:space="preserve">| 7 L CPT % | 8 L NS % | 9 P Python @ </v>
      </c>
      <c r="CB113" s="4" t="str">
        <f ca="1">IFERROR(__xludf.DUMMYFUNCTION("""COMPUTED_VALUE"""),"| 5 L PHP-CGM % | 6 L NS % | 7 P CPT % ")</f>
        <v xml:space="preserve">| 5 L PHP-CGM % | 6 L NS % | 7 P CPT % </v>
      </c>
      <c r="CC113" s="4" t="str">
        <f ca="1">IFERROR(__xludf.DUMMYFUNCTION("""COMPUTED_VALUE"""),"| 5 L JAVA % | 7 P JAVA % | 9 L INE % ")</f>
        <v xml:space="preserve">| 5 L JAVA % | 7 P JAVA % | 9 L INE % </v>
      </c>
      <c r="CD113" s="4" t="str">
        <f ca="1">IFERROR(__xludf.DUMMYFUNCTION("""COMPUTED_VALUE"""),"| 5 L PHP-CGM % | 6 L NS % | 7 L JAVA % | 8 L CPT % ")</f>
        <v xml:space="preserve">| 5 L PHP-CGM % | 6 L NS % | 7 L JAVA % | 8 L CPT % </v>
      </c>
      <c r="CE113" s="4" t="str">
        <f ca="1">IFERROR(__xludf.DUMMYFUNCTION("""COMPUTED_VALUE"""),"| 5 P JAVA % | 8 L JAVA % | 7 L PHP-CGM % | 9 P NS % ")</f>
        <v xml:space="preserve">| 5 P JAVA % | 8 L JAVA % | 7 L PHP-CGM % | 9 P NS % </v>
      </c>
      <c r="CF113" s="4" t="str">
        <f ca="1">IFERROR(__xludf.DUMMYFUNCTION("""COMPUTED_VALUE"""),"| 7 L CPT % | 8 L NS % | 9 P Python % ")</f>
        <v xml:space="preserve">| 7 L CPT % | 8 L NS % | 9 P Python % </v>
      </c>
      <c r="CG113" s="4" t="str">
        <f ca="1">IFERROR(__xludf.DUMMYFUNCTION("""COMPUTED_VALUE"""),"| 5 L PHP-CGM @ | 6 L NS @ | 7 P CPT % ")</f>
        <v xml:space="preserve">| 5 L PHP-CGM @ | 6 L NS @ | 7 P CPT % </v>
      </c>
      <c r="CH113" s="4" t="str">
        <f ca="1">IFERROR(__xludf.DUMMYFUNCTION("""COMPUTED_VALUE"""),"| 5 L JAVA % | 6 L CPT % | 7 P JAVA % | 9 L INE @ ")</f>
        <v xml:space="preserve">| 5 L JAVA % | 6 L CPT % | 7 P JAVA % | 9 L INE @ </v>
      </c>
      <c r="CI113" s="4" t="str">
        <f ca="1">IFERROR(__xludf.DUMMYFUNCTION("""COMPUTED_VALUE"""),"| 5 L PHP-CGM @ | 7 L JAVA @ | 8 L CPT @ ")</f>
        <v xml:space="preserve">| 5 L PHP-CGM @ | 7 L JAVA @ | 8 L CPT @ </v>
      </c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</row>
    <row r="114" spans="1:102" ht="12.5" x14ac:dyDescent="0.25">
      <c r="A114" s="3">
        <f ca="1">IFERROR(__xludf.DUMMYFUNCTION("""COMPUTED_VALUE"""),2)</f>
        <v>2</v>
      </c>
      <c r="B114" s="3" t="str">
        <f ca="1">IFERROR(__xludf.DUMMYFUNCTION("""COMPUTED_VALUE"""),"B")</f>
        <v>B</v>
      </c>
      <c r="C114" s="32" t="str">
        <f ca="1">IFERROR(__xludf.DUMMYFUNCTION("""COMPUTED_VALUE"""),"23291341066")</f>
        <v>23291341066</v>
      </c>
      <c r="D114" s="4" t="str">
        <f ca="1">IFERROR(__xludf.DUMMYFUNCTION("""COMPUTED_VALUE"""),"NAYAK DEVANGKUMAR CHANDANKUMAR")</f>
        <v>NAYAK DEVANGKUMAR CHANDANKUMAR</v>
      </c>
      <c r="E114" s="3" t="str">
        <f ca="1">IFERROR(__xludf.DUMMYFUNCTION("""COMPUTED_VALUE"""),"HAM/HDP-EVE")</f>
        <v>HAM/HDP-EVE</v>
      </c>
      <c r="F114" s="3">
        <f ca="1">IFERROR(__xludf.DUMMYFUNCTION("""COMPUTED_VALUE"""),9909046302)</f>
        <v>9909046302</v>
      </c>
      <c r="G114" s="3">
        <f ca="1">IFERROR(__xludf.DUMMYFUNCTION("""COMPUTED_VALUE"""),9664994523)</f>
        <v>9664994523</v>
      </c>
      <c r="H114" s="33">
        <f ca="1">IFERROR(__xludf.DUMMYFUNCTION("""COMPUTED_VALUE"""),0.254545454545454)</f>
        <v>0.25454545454545402</v>
      </c>
      <c r="I114" s="25">
        <f ca="1">IFERROR(__xludf.DUMMYFUNCTION("""COMPUTED_VALUE"""),0.243243243243243)</f>
        <v>0.24324324324324301</v>
      </c>
      <c r="J114" s="25">
        <f ca="1">IFERROR(__xludf.DUMMYFUNCTION("""COMPUTED_VALUE"""),0.166666666666666)</f>
        <v>0.16666666666666599</v>
      </c>
      <c r="K114" s="25">
        <f ca="1">IFERROR(__xludf.DUMMYFUNCTION("""COMPUTED_VALUE"""),0.352941176470588)</f>
        <v>0.35294117647058798</v>
      </c>
      <c r="L114" s="25">
        <f ca="1">IFERROR(__xludf.DUMMYFUNCTION("""COMPUTED_VALUE"""),0.142857142857142)</f>
        <v>0.14285714285714199</v>
      </c>
      <c r="M114" s="25">
        <f ca="1">IFERROR(__xludf.DUMMYFUNCTION("""COMPUTED_VALUE"""),0.314285714285714)</f>
        <v>0.314285714285714</v>
      </c>
      <c r="N114" s="25">
        <f ca="1">IFERROR(__xludf.DUMMYFUNCTION("""COMPUTED_VALUE"""),0.444444444444444)</f>
        <v>0.44444444444444398</v>
      </c>
      <c r="O114" s="25">
        <f ca="1">IFERROR(__xludf.DUMMYFUNCTION("""COMPUTED_VALUE"""),0.228571428571428)</f>
        <v>0.22857142857142801</v>
      </c>
      <c r="P114" s="25">
        <f ca="1">IFERROR(__xludf.DUMMYFUNCTION("""COMPUTED_VALUE"""),0.238095238095238)</f>
        <v>0.238095238095238</v>
      </c>
      <c r="Q114" s="25">
        <f ca="1">IFERROR(__xludf.DUMMYFUNCTION("""COMPUTED_VALUE"""),0)</f>
        <v>0</v>
      </c>
      <c r="R114" s="25">
        <f ca="1">IFERROR(__xludf.DUMMYFUNCTION("""COMPUTED_VALUE"""),0.133333333333333)</f>
        <v>0.133333333333333</v>
      </c>
      <c r="S114" s="25">
        <f ca="1">IFERROR(__xludf.DUMMYFUNCTION("""COMPUTED_VALUE"""),0)</f>
        <v>0</v>
      </c>
      <c r="T114" s="25">
        <f ca="1">IFERROR(__xludf.DUMMYFUNCTION("""COMPUTED_VALUE"""),0.142857142857142)</f>
        <v>0.14285714285714199</v>
      </c>
      <c r="U114" s="25">
        <f ca="1">IFERROR(__xludf.DUMMYFUNCTION("""COMPUTED_VALUE"""),0.125)</f>
        <v>0.125</v>
      </c>
      <c r="V114" s="25">
        <f ca="1">IFERROR(__xludf.DUMMYFUNCTION("""COMPUTED_VALUE"""),0)</f>
        <v>0</v>
      </c>
      <c r="W114" s="4"/>
      <c r="X114" s="4" t="str">
        <f ca="1">IFERROR(__xludf.DUMMYFUNCTION("""COMPUTED_VALUE"""),"| 5 P PHP-CGM % | 7 L CPT % | 8 L NS % | 9 P Python % ")</f>
        <v xml:space="preserve">| 5 P PHP-CGM % | 7 L CPT % | 8 L NS % | 9 P Python % </v>
      </c>
      <c r="Y114" s="4" t="str">
        <f ca="1">IFERROR(__xludf.DUMMYFUNCTION("""COMPUTED_VALUE"""),"| 5 L PHP-CGM % | 6 L NS @ | 8 P CPT % | 9 P PRO % ")</f>
        <v xml:space="preserve">| 5 L PHP-CGM % | 6 L NS @ | 8 P CPT % | 9 P PRO % </v>
      </c>
      <c r="Z114" s="4" t="str">
        <f ca="1">IFERROR(__xludf.DUMMYFUNCTION("""COMPUTED_VALUE"""),"| 5 L JAVA % | 6 L CPT % | 7 P JAVA % ")</f>
        <v xml:space="preserve">| 5 L JAVA % | 6 L CPT % | 7 P JAVA % </v>
      </c>
      <c r="AA114" s="4" t="str">
        <f ca="1">IFERROR(__xludf.DUMMYFUNCTION("""COMPUTED_VALUE"""),"| 5 L PHP-CGM @ | 7 L JAVA @ | 9 P Python @ | 8 L CPT @ ")</f>
        <v xml:space="preserve">| 5 L PHP-CGM @ | 7 L JAVA @ | 9 P Python @ | 8 L CPT @ </v>
      </c>
      <c r="AB114" s="4" t="str">
        <f ca="1">IFERROR(__xludf.DUMMYFUNCTION("""COMPUTED_VALUE"""),"| 5 P JAVA % | 7 L PHP-CGM % | 8 L JAVA % | 9 P NS % ")</f>
        <v xml:space="preserve">| 5 P JAVA % | 7 L PHP-CGM % | 8 L JAVA % | 9 P NS % </v>
      </c>
      <c r="AC114" s="4" t="str">
        <f ca="1">IFERROR(__xludf.DUMMYFUNCTION("""COMPUTED_VALUE"""),"| 5 P PHP-CGM @ | 7 L CPT @ | 8 L NS @ | 9 P Python @ ")</f>
        <v xml:space="preserve">| 5 P PHP-CGM @ | 7 L CPT @ | 8 L NS @ | 9 P Python @ </v>
      </c>
      <c r="AD114" s="4" t="str">
        <f ca="1">IFERROR(__xludf.DUMMYFUNCTION("""COMPUTED_VALUE"""),"| 5 L PHP-CGM % | 6 L NS % | 7 P CPT % ")</f>
        <v xml:space="preserve">| 5 L PHP-CGM % | 6 L NS % | 7 P CPT % </v>
      </c>
      <c r="AE114" s="4" t="str">
        <f ca="1">IFERROR(__xludf.DUMMYFUNCTION("""COMPUTED_VALUE"""),"| 5 L JAVA % | 6 L CPT % | 7 P JAVA % ")</f>
        <v xml:space="preserve">| 5 L JAVA % | 6 L CPT % | 7 P JAVA % </v>
      </c>
      <c r="AF114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14" s="4" t="str">
        <f ca="1">IFERROR(__xludf.DUMMYFUNCTION("""COMPUTED_VALUE"""),"| 5 P JAVA % | 8 L JAVA % | 7 L PHP-CGM % ")</f>
        <v xml:space="preserve">| 5 P JAVA % | 8 L JAVA % | 7 L PHP-CGM % </v>
      </c>
      <c r="AH114" s="4" t="str">
        <f ca="1">IFERROR(__xludf.DUMMYFUNCTION("""COMPUTED_VALUE"""),"| 5 L PHP-CGM @ | 6 L NS @ | 7 L JAVA @ | 8 L CPT @ ")</f>
        <v xml:space="preserve">| 5 L PHP-CGM @ | 6 L NS @ | 7 L JAVA @ | 8 L CPT @ </v>
      </c>
      <c r="AI114" s="4" t="str">
        <f ca="1">IFERROR(__xludf.DUMMYFUNCTION("""COMPUTED_VALUE"""),"| 5 P JAVA @ | 8 L JAVA @ | 7 L PHP-CGM @ | 9 P NS @ ")</f>
        <v xml:space="preserve">| 5 P JAVA @ | 8 L JAVA @ | 7 L PHP-CGM @ | 9 P NS @ </v>
      </c>
      <c r="AJ114" s="4" t="str">
        <f ca="1">IFERROR(__xludf.DUMMYFUNCTION("""COMPUTED_VALUE"""),"| 5 P PHP-CGM @ | 7 L CPT @ | 8 L NS @ | 9 P Python @ ")</f>
        <v xml:space="preserve">| 5 P PHP-CGM @ | 7 L CPT @ | 8 L NS @ | 9 P Python @ </v>
      </c>
      <c r="AK114" s="4" t="str">
        <f ca="1">IFERROR(__xludf.DUMMYFUNCTION("""COMPUTED_VALUE"""),"| 5 L PHP-CGM % | 6 L NS % | 7 P CPT @ | 9 P PRO @ ")</f>
        <v xml:space="preserve">| 5 L PHP-CGM % | 6 L NS % | 7 P CPT @ | 9 P PRO @ </v>
      </c>
      <c r="AL114" s="4" t="str">
        <f ca="1">IFERROR(__xludf.DUMMYFUNCTION("""COMPUTED_VALUE"""),"| 5 L JAVA @ | 6 L CPT @ | 7 P JAVA @ | 9 L INE @ ")</f>
        <v xml:space="preserve">| 5 L JAVA @ | 6 L CPT @ | 7 P JAVA @ | 9 L INE @ </v>
      </c>
      <c r="AM114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N114" s="4" t="str">
        <f ca="1">IFERROR(__xludf.DUMMYFUNCTION("""COMPUTED_VALUE"""),"| 5 P JAVA @ | 8 L JAVA @ | 7 L PHP-CGM @ | 9 P NS @ ")</f>
        <v xml:space="preserve">| 5 P JAVA @ | 8 L JAVA @ | 7 L PHP-CGM @ | 9 P NS @ </v>
      </c>
      <c r="AO114" s="4" t="str">
        <f ca="1">IFERROR(__xludf.DUMMYFUNCTION("""COMPUTED_VALUE"""),"| 5 P PHP-CGM @ | 7 L CPT @ | 8 L NS @ | 9 P Python @ ")</f>
        <v xml:space="preserve">| 5 P PHP-CGM @ | 7 L CPT @ | 8 L NS @ | 9 P Python @ </v>
      </c>
      <c r="AP114" s="4" t="str">
        <f ca="1">IFERROR(__xludf.DUMMYFUNCTION("""COMPUTED_VALUE"""),"| 5 L PHP-CGM % | 6 L NS % | 7 P CPT @ | 9 P PRO @ ")</f>
        <v xml:space="preserve">| 5 L PHP-CGM % | 6 L NS % | 7 P CPT @ | 9 P PRO @ </v>
      </c>
      <c r="AQ114" s="4" t="str">
        <f ca="1">IFERROR(__xludf.DUMMYFUNCTION("""COMPUTED_VALUE"""),"| 5 L CPT @ | 7 L JAVA @ | 7 P JAVA @ | 9 L INE @ ")</f>
        <v xml:space="preserve">| 5 L CPT @ | 7 L JAVA @ | 7 P JAVA @ | 9 L INE @ </v>
      </c>
      <c r="AR114" s="4" t="str">
        <f ca="1">IFERROR(__xludf.DUMMYFUNCTION("""COMPUTED_VALUE"""),"| 5 L PHP-CGM @ | 6 L NS @ | 8 L CPT @ ")</f>
        <v xml:space="preserve">| 5 L PHP-CGM @ | 6 L NS @ | 8 L CPT @ </v>
      </c>
      <c r="AS114" s="4" t="str">
        <f ca="1">IFERROR(__xludf.DUMMYFUNCTION("""COMPUTED_VALUE"""),"| 5 P PHP-CGM % | 7 L CPT % | 8 L NS % | 9 P Python @ ")</f>
        <v xml:space="preserve">| 5 P PHP-CGM % | 7 L CPT % | 8 L NS % | 9 P Python @ </v>
      </c>
      <c r="AT114" s="4" t="str">
        <f ca="1">IFERROR(__xludf.DUMMYFUNCTION("""COMPUTED_VALUE"""),"| 5 L PHP-CGM % | 6 L NS % | 7 P CPT @ | 9 P PRO @ ")</f>
        <v xml:space="preserve">| 5 L PHP-CGM % | 6 L NS % | 7 P CPT @ | 9 P PRO @ </v>
      </c>
      <c r="AU114" s="4" t="str">
        <f ca="1">IFERROR(__xludf.DUMMYFUNCTION("""COMPUTED_VALUE"""),"| 5 L JAVA % | 6 L CPT % | 8 P JAVA % | 9 L INE @ ")</f>
        <v xml:space="preserve">| 5 L JAVA % | 6 L CPT % | 8 P JAVA % | 9 L INE @ </v>
      </c>
      <c r="AV114" s="4" t="str">
        <f ca="1">IFERROR(__xludf.DUMMYFUNCTION("""COMPUTED_VALUE"""),"| 5 L PHP-CGM @ | 6 L NS @ | 7 L JAVA @ | 8 L CPT @ ")</f>
        <v xml:space="preserve">| 5 L PHP-CGM @ | 6 L NS @ | 7 L JAVA @ | 8 L CPT @ </v>
      </c>
      <c r="AW114" s="4" t="str">
        <f ca="1">IFERROR(__xludf.DUMMYFUNCTION("""COMPUTED_VALUE"""),"| 5 P JAVA @ | 7 L PHP-CGM @ | 8 L JAVA @ | 9 P NS @ ")</f>
        <v xml:space="preserve">| 5 P JAVA @ | 7 L PHP-CGM @ | 8 L JAVA @ | 9 P NS @ </v>
      </c>
      <c r="AX114" s="4" t="str">
        <f ca="1">IFERROR(__xludf.DUMMYFUNCTION("""COMPUTED_VALUE"""),"| 5 P PHP-CGM % | 7 L CPT % | 8 L NS % | 9 P Python @ ")</f>
        <v xml:space="preserve">| 5 P PHP-CGM % | 7 L CPT % | 8 L NS % | 9 P Python @ </v>
      </c>
      <c r="AY114" s="4" t="str">
        <f ca="1">IFERROR(__xludf.DUMMYFUNCTION("""COMPUTED_VALUE"""),"| 5 L PHP-CGM % | 6 L NS % | 7 P CPT @ | 9 P PRO @ ")</f>
        <v xml:space="preserve">| 5 L PHP-CGM % | 6 L NS % | 7 P CPT @ | 9 P PRO @ </v>
      </c>
      <c r="AZ114" s="4" t="str">
        <f ca="1">IFERROR(__xludf.DUMMYFUNCTION("""COMPUTED_VALUE"""),"| 5 L PHP-CGM @ | 6 L NS @ | 7 L JAVA @ | 8 L CPT @ ")</f>
        <v xml:space="preserve">| 5 L PHP-CGM @ | 6 L NS @ | 7 L JAVA @ | 8 L CPT @ </v>
      </c>
      <c r="BA114" s="4" t="str">
        <f ca="1">IFERROR(__xludf.DUMMYFUNCTION("""COMPUTED_VALUE"""),"| 5 P JAVA @ | 7 L PHP-CGM @ | 8 L JAVA @ ")</f>
        <v xml:space="preserve">| 5 P JAVA @ | 7 L PHP-CGM @ | 8 L JAVA @ </v>
      </c>
      <c r="BB114" s="4" t="str">
        <f ca="1">IFERROR(__xludf.DUMMYFUNCTION("""COMPUTED_VALUE"""),"| 5 P PHP-CGM % | 7 L CPT % | 8 L NS % ")</f>
        <v xml:space="preserve">| 5 P PHP-CGM % | 7 L CPT % | 8 L NS % </v>
      </c>
      <c r="BC114" s="4" t="str">
        <f ca="1">IFERROR(__xludf.DUMMYFUNCTION("""COMPUTED_VALUE"""),"| 5 L PHP-CGM @ | 6 L NS @ | 7 P CPT @ | 9 P PRO @ ")</f>
        <v xml:space="preserve">| 5 L PHP-CGM @ | 6 L NS @ | 7 P CPT @ | 9 P PRO @ </v>
      </c>
      <c r="BD114" s="4" t="str">
        <f ca="1">IFERROR(__xludf.DUMMYFUNCTION("""COMPUTED_VALUE"""),"| 5 L JAVA % | 6 L CPT % | 7 P JAVA @ | 9 L INE @ ")</f>
        <v xml:space="preserve">| 5 L JAVA % | 6 L CPT % | 7 P JAVA @ | 9 L INE @ </v>
      </c>
      <c r="BE114" s="4" t="str">
        <f ca="1">IFERROR(__xludf.DUMMYFUNCTION("""COMPUTED_VALUE"""),"| 5 L PHP-CGM % | 6 L NS % | 7 L JAVA @ | 8 L CPT @ | 9 P Python @ ")</f>
        <v xml:space="preserve">| 5 L PHP-CGM % | 6 L NS % | 7 L JAVA @ | 8 L CPT @ | 9 P Python @ </v>
      </c>
      <c r="BF114" s="4" t="str">
        <f ca="1">IFERROR(__xludf.DUMMYFUNCTION("""COMPUTED_VALUE"""),"| 5 P JAVA @ | 7 L PHP-CGM @ | 8 L JAVA @ | 9 P NS @ ")</f>
        <v xml:space="preserve">| 5 P JAVA @ | 7 L PHP-CGM @ | 8 L JAVA @ | 9 P NS @ </v>
      </c>
      <c r="BG114" s="4" t="str">
        <f ca="1">IFERROR(__xludf.DUMMYFUNCTION("""COMPUTED_VALUE"""),"| 5 L PHP-CGM @ | 6 L NS @ | 7 P CPT @ | 9 P PRO @ ")</f>
        <v xml:space="preserve">| 5 L PHP-CGM @ | 6 L NS @ | 7 P CPT @ | 9 P PRO @ </v>
      </c>
      <c r="BH114" s="4" t="str">
        <f ca="1">IFERROR(__xludf.DUMMYFUNCTION("""COMPUTED_VALUE"""),"| 5 L JAVA @ | 6 L CPT @ | 7 P JAVA @ | 9 L INE @ ")</f>
        <v xml:space="preserve">| 5 L JAVA @ | 6 L CPT @ | 7 P JAVA @ | 9 L INE @ </v>
      </c>
      <c r="BI114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J114" s="4" t="str">
        <f ca="1">IFERROR(__xludf.DUMMYFUNCTION("""COMPUTED_VALUE"""),"| 5 P JAVA @ | 7 L JAVA @ | 7 L PHP-CGM @ ")</f>
        <v xml:space="preserve">| 5 P JAVA @ | 7 L JAVA @ | 7 L PHP-CGM @ </v>
      </c>
      <c r="BK114" s="4" t="str">
        <f ca="1">IFERROR(__xludf.DUMMYFUNCTION("""COMPUTED_VALUE"""),"| 7 L CPT @ | 8 L NS @ ")</f>
        <v xml:space="preserve">| 7 L CPT @ | 8 L NS @ </v>
      </c>
      <c r="BL114" s="4" t="str">
        <f ca="1">IFERROR(__xludf.DUMMYFUNCTION("""COMPUTED_VALUE"""),"| 5 L PHP-CGM @ | 6 L NS @ | 7 P CPT @ ")</f>
        <v xml:space="preserve">| 5 L PHP-CGM @ | 6 L NS @ | 7 P CPT @ </v>
      </c>
      <c r="BM114" s="4" t="str">
        <f ca="1">IFERROR(__xludf.DUMMYFUNCTION("""COMPUTED_VALUE"""),"| 5 L JAVA @ | 6 L CPT @ | 9 L INE @ ")</f>
        <v xml:space="preserve">| 5 L JAVA @ | 6 L CPT @ | 9 L INE @ </v>
      </c>
      <c r="BN114" s="4" t="str">
        <f ca="1">IFERROR(__xludf.DUMMYFUNCTION("""COMPUTED_VALUE"""),"| 5 L PHP-CGM @ | 6 L NS @ | 9 L JAVA @ | 8 L CPT @ ")</f>
        <v xml:space="preserve">| 5 L PHP-CGM @ | 6 L NS @ | 9 L JAVA @ | 8 L CPT @ </v>
      </c>
      <c r="BO114" s="4" t="str">
        <f ca="1">IFERROR(__xludf.DUMMYFUNCTION("""COMPUTED_VALUE"""),"| 5 P JAVA @ | 7 L PHP-CGM @ ")</f>
        <v xml:space="preserve">| 5 P JAVA @ | 7 L PHP-CGM @ </v>
      </c>
      <c r="BP114" s="4" t="str">
        <f ca="1">IFERROR(__xludf.DUMMYFUNCTION("""COMPUTED_VALUE"""),"| 5 P PHP-CGM @ | 7 L CPT @ | 8 L NS @ ")</f>
        <v xml:space="preserve">| 5 P PHP-CGM @ | 7 L CPT @ | 8 L NS @ </v>
      </c>
      <c r="BQ114" s="4" t="str">
        <f ca="1">IFERROR(__xludf.DUMMYFUNCTION("""COMPUTED_VALUE"""),"| 5 L JAVA @ | 6 L CPT @ ")</f>
        <v xml:space="preserve">| 5 L JAVA @ | 6 L CPT @ </v>
      </c>
      <c r="BR114" s="4" t="str">
        <f ca="1">IFERROR(__xludf.DUMMYFUNCTION("""COMPUTED_VALUE"""),"| 7 L JAVA @ ")</f>
        <v xml:space="preserve">| 7 L JAVA @ </v>
      </c>
      <c r="BS114" s="4"/>
      <c r="BT114" s="4" t="str">
        <f ca="1">IFERROR(__xludf.DUMMYFUNCTION("""COMPUTED_VALUE"""),"| 7 L CPT @ ")</f>
        <v xml:space="preserve">| 7 L CPT @ </v>
      </c>
      <c r="BU114" s="4" t="str">
        <f ca="1">IFERROR(__xludf.DUMMYFUNCTION("""COMPUTED_VALUE"""),"| 7 P CPT @ ")</f>
        <v xml:space="preserve">| 7 P CPT @ </v>
      </c>
      <c r="BV114" s="4" t="str">
        <f ca="1">IFERROR(__xludf.DUMMYFUNCTION("""COMPUTED_VALUE"""),"| 5 P PHP-CGM @ | 7 L CPT @ | 8 L NS @ | 9 P Python @ ")</f>
        <v xml:space="preserve">| 5 P PHP-CGM @ | 7 L CPT @ | 8 L NS @ | 9 P Python @ </v>
      </c>
      <c r="BW114" s="4"/>
      <c r="BX114" s="4" t="str">
        <f ca="1">IFERROR(__xludf.DUMMYFUNCTION("""COMPUTED_VALUE"""),"| 5 L JAVA @ | 6 L CPT @ | 7 P JAVA @ ")</f>
        <v xml:space="preserve">| 5 L JAVA @ | 6 L CPT @ | 7 P JAVA @ </v>
      </c>
      <c r="BY114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14" s="4" t="str">
        <f ca="1">IFERROR(__xludf.DUMMYFUNCTION("""COMPUTED_VALUE"""),"| 5 P JAVA @ | 8 L JAVA @ | 7 L PHP-CGM @ | 9 P NS @ ")</f>
        <v xml:space="preserve">| 5 P JAVA @ | 8 L JAVA @ | 7 L PHP-CGM @ | 9 P NS @ </v>
      </c>
      <c r="CA114" s="4" t="str">
        <f ca="1">IFERROR(__xludf.DUMMYFUNCTION("""COMPUTED_VALUE"""),"| 7 L CPT @ | 8 L NS @ | 9 P Python @ ")</f>
        <v xml:space="preserve">| 7 L CPT @ | 8 L NS @ | 9 P Python @ </v>
      </c>
      <c r="CB114" s="4" t="str">
        <f ca="1">IFERROR(__xludf.DUMMYFUNCTION("""COMPUTED_VALUE"""),"| 5 L PHP-CGM % | 6 L NS % | 7 P CPT @ ")</f>
        <v xml:space="preserve">| 5 L PHP-CGM % | 6 L NS % | 7 P CPT @ </v>
      </c>
      <c r="CC114" s="4" t="str">
        <f ca="1">IFERROR(__xludf.DUMMYFUNCTION("""COMPUTED_VALUE"""),"| 5 L JAVA % | 7 P JAVA @ | 9 L INE % ")</f>
        <v xml:space="preserve">| 5 L JAVA % | 7 P JAVA @ | 9 L INE % </v>
      </c>
      <c r="CD114" s="4" t="str">
        <f ca="1">IFERROR(__xludf.DUMMYFUNCTION("""COMPUTED_VALUE"""),"| 5 L PHP-CGM @ | 6 L NS @ | 7 L JAVA @ | 8 L CPT @ ")</f>
        <v xml:space="preserve">| 5 L PHP-CGM @ | 6 L NS @ | 7 L JAVA @ | 8 L CPT @ </v>
      </c>
      <c r="CE114" s="4" t="str">
        <f ca="1">IFERROR(__xludf.DUMMYFUNCTION("""COMPUTED_VALUE"""),"| 5 P JAVA @ | 8 L JAVA @ | 7 L PHP-CGM @ | 9 P NS @ ")</f>
        <v xml:space="preserve">| 5 P JAVA @ | 8 L JAVA @ | 7 L PHP-CGM @ | 9 P NS @ </v>
      </c>
      <c r="CF114" s="4" t="str">
        <f ca="1">IFERROR(__xludf.DUMMYFUNCTION("""COMPUTED_VALUE"""),"| 7 L CPT @ | 8 L NS @ | 9 P Python @ ")</f>
        <v xml:space="preserve">| 7 L CPT @ | 8 L NS @ | 9 P Python @ </v>
      </c>
      <c r="CG114" s="4" t="str">
        <f ca="1">IFERROR(__xludf.DUMMYFUNCTION("""COMPUTED_VALUE"""),"| 5 L PHP-CGM @ | 6 L NS @ | 7 P CPT @ ")</f>
        <v xml:space="preserve">| 5 L PHP-CGM @ | 6 L NS @ | 7 P CPT @ </v>
      </c>
      <c r="CH114" s="4" t="str">
        <f ca="1">IFERROR(__xludf.DUMMYFUNCTION("""COMPUTED_VALUE"""),"| 5 L JAVA @ | 6 L CPT @ | 7 P JAVA @ | 9 L INE @ ")</f>
        <v xml:space="preserve">| 5 L JAVA @ | 6 L CPT @ | 7 P JAVA @ | 9 L INE @ </v>
      </c>
      <c r="CI114" s="4" t="str">
        <f ca="1">IFERROR(__xludf.DUMMYFUNCTION("""COMPUTED_VALUE"""),"| 5 L PHP-CGM @ | 7 L JAVA @ | 8 L CPT @ ")</f>
        <v xml:space="preserve">| 5 L PHP-CGM @ | 7 L JAVA @ | 8 L CPT @ </v>
      </c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</row>
    <row r="115" spans="1:102" ht="12.5" x14ac:dyDescent="0.25">
      <c r="A115" s="3">
        <f ca="1">IFERROR(__xludf.DUMMYFUNCTION("""COMPUTED_VALUE"""),2)</f>
        <v>2</v>
      </c>
      <c r="B115" s="3" t="str">
        <f ca="1">IFERROR(__xludf.DUMMYFUNCTION("""COMPUTED_VALUE"""),"B")</f>
        <v>B</v>
      </c>
      <c r="C115" s="32" t="str">
        <f ca="1">IFERROR(__xludf.DUMMYFUNCTION("""COMPUTED_VALUE"""),"23291341068")</f>
        <v>23291341068</v>
      </c>
      <c r="D115" s="4" t="str">
        <f ca="1">IFERROR(__xludf.DUMMYFUNCTION("""COMPUTED_VALUE"""),"NAYAK RUDRA JAYESHBHAI")</f>
        <v>NAYAK RUDRA JAYESHBHAI</v>
      </c>
      <c r="E115" s="3" t="str">
        <f ca="1">IFERROR(__xludf.DUMMYFUNCTION("""COMPUTED_VALUE"""),"HAM/HDP-EVE")</f>
        <v>HAM/HDP-EVE</v>
      </c>
      <c r="F115" s="3">
        <f ca="1">IFERROR(__xludf.DUMMYFUNCTION("""COMPUTED_VALUE"""),6352741410)</f>
        <v>6352741410</v>
      </c>
      <c r="G115" s="3">
        <f ca="1">IFERROR(__xludf.DUMMYFUNCTION("""COMPUTED_VALUE"""),9824045304)</f>
        <v>9824045304</v>
      </c>
      <c r="H115" s="33">
        <f ca="1">IFERROR(__xludf.DUMMYFUNCTION("""COMPUTED_VALUE"""),0.513636363636363)</f>
        <v>0.513636363636363</v>
      </c>
      <c r="I115" s="25">
        <f ca="1">IFERROR(__xludf.DUMMYFUNCTION("""COMPUTED_VALUE"""),0.54054054054054)</f>
        <v>0.54054054054054002</v>
      </c>
      <c r="J115" s="25">
        <f ca="1">IFERROR(__xludf.DUMMYFUNCTION("""COMPUTED_VALUE"""),0.416666666666666)</f>
        <v>0.41666666666666602</v>
      </c>
      <c r="K115" s="25">
        <f ca="1">IFERROR(__xludf.DUMMYFUNCTION("""COMPUTED_VALUE"""),0.38235294117647)</f>
        <v>0.38235294117647001</v>
      </c>
      <c r="L115" s="25">
        <f ca="1">IFERROR(__xludf.DUMMYFUNCTION("""COMPUTED_VALUE"""),0.142857142857142)</f>
        <v>0.14285714285714199</v>
      </c>
      <c r="M115" s="25">
        <f ca="1">IFERROR(__xludf.DUMMYFUNCTION("""COMPUTED_VALUE"""),0.514285714285714)</f>
        <v>0.51428571428571401</v>
      </c>
      <c r="N115" s="25">
        <f ca="1">IFERROR(__xludf.DUMMYFUNCTION("""COMPUTED_VALUE"""),0.666666666666666)</f>
        <v>0.66666666666666596</v>
      </c>
      <c r="O115" s="25">
        <f ca="1">IFERROR(__xludf.DUMMYFUNCTION("""COMPUTED_VALUE"""),0.6)</f>
        <v>0.6</v>
      </c>
      <c r="P115" s="25">
        <f ca="1">IFERROR(__xludf.DUMMYFUNCTION("""COMPUTED_VALUE"""),0.571428571428571)</f>
        <v>0.57142857142857095</v>
      </c>
      <c r="Q115" s="25">
        <f ca="1">IFERROR(__xludf.DUMMYFUNCTION("""COMPUTED_VALUE"""),0)</f>
        <v>0</v>
      </c>
      <c r="R115" s="25">
        <f ca="1">IFERROR(__xludf.DUMMYFUNCTION("""COMPUTED_VALUE"""),0.6)</f>
        <v>0.6</v>
      </c>
      <c r="S115" s="25">
        <f ca="1">IFERROR(__xludf.DUMMYFUNCTION("""COMPUTED_VALUE"""),0)</f>
        <v>0</v>
      </c>
      <c r="T115" s="25">
        <f ca="1">IFERROR(__xludf.DUMMYFUNCTION("""COMPUTED_VALUE"""),0.714285714285714)</f>
        <v>0.71428571428571397</v>
      </c>
      <c r="U115" s="25">
        <f ca="1">IFERROR(__xludf.DUMMYFUNCTION("""COMPUTED_VALUE"""),0.375)</f>
        <v>0.375</v>
      </c>
      <c r="V115" s="25">
        <f ca="1">IFERROR(__xludf.DUMMYFUNCTION("""COMPUTED_VALUE"""),0)</f>
        <v>0</v>
      </c>
      <c r="W115" s="4"/>
      <c r="X115" s="4" t="str">
        <f ca="1">IFERROR(__xludf.DUMMYFUNCTION("""COMPUTED_VALUE"""),"| 5 P PHP-CGM % | 7 L CPT % | 8 L NS % | 9 P Python % ")</f>
        <v xml:space="preserve">| 5 P PHP-CGM % | 7 L CPT % | 8 L NS % | 9 P Python % </v>
      </c>
      <c r="Y115" s="4" t="str">
        <f ca="1">IFERROR(__xludf.DUMMYFUNCTION("""COMPUTED_VALUE"""),"| 5 L PHP-CGM % | 6 L NS % | 8 P CPT % | 9 P PRO % ")</f>
        <v xml:space="preserve">| 5 L PHP-CGM % | 6 L NS % | 8 P CPT % | 9 P PRO % </v>
      </c>
      <c r="Z115" s="4" t="str">
        <f ca="1">IFERROR(__xludf.DUMMYFUNCTION("""COMPUTED_VALUE"""),"| 5 L JAVA % | 6 L CPT % | 7 P JAVA % ")</f>
        <v xml:space="preserve">| 5 L JAVA % | 6 L CPT % | 7 P JAVA % </v>
      </c>
      <c r="AA115" s="4" t="str">
        <f ca="1">IFERROR(__xludf.DUMMYFUNCTION("""COMPUTED_VALUE"""),"| 5 L PHP-CGM @ | 7 L JAVA @ | 9 P Python @ | 8 L CPT @ ")</f>
        <v xml:space="preserve">| 5 L PHP-CGM @ | 7 L JAVA @ | 9 P Python @ | 8 L CPT @ </v>
      </c>
      <c r="AB115" s="4" t="str">
        <f ca="1">IFERROR(__xludf.DUMMYFUNCTION("""COMPUTED_VALUE"""),"| 5 P JAVA % | 7 L PHP-CGM % | 8 L JAVA % | 9 P NS @ ")</f>
        <v xml:space="preserve">| 5 P JAVA % | 7 L PHP-CGM % | 8 L JAVA % | 9 P NS @ </v>
      </c>
      <c r="AC115" s="4" t="str">
        <f ca="1">IFERROR(__xludf.DUMMYFUNCTION("""COMPUTED_VALUE"""),"| 5 P PHP-CGM % | 7 L CPT % | 8 L NS % | 9 P Python % ")</f>
        <v xml:space="preserve">| 5 P PHP-CGM % | 7 L CPT % | 8 L NS % | 9 P Python % </v>
      </c>
      <c r="AD115" s="4" t="str">
        <f ca="1">IFERROR(__xludf.DUMMYFUNCTION("""COMPUTED_VALUE"""),"| 5 L PHP-CGM % | 6 L NS % | 7 P CPT % ")</f>
        <v xml:space="preserve">| 5 L PHP-CGM % | 6 L NS % | 7 P CPT % </v>
      </c>
      <c r="AE115" s="4" t="str">
        <f ca="1">IFERROR(__xludf.DUMMYFUNCTION("""COMPUTED_VALUE"""),"| 5 L JAVA % | 6 L CPT % | 7 P JAVA % ")</f>
        <v xml:space="preserve">| 5 L JAVA % | 6 L CPT % | 7 P JAVA % </v>
      </c>
      <c r="AF115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G115" s="4" t="str">
        <f ca="1">IFERROR(__xludf.DUMMYFUNCTION("""COMPUTED_VALUE"""),"| 5 P JAVA % | 8 L JAVA % | 7 L PHP-CGM % ")</f>
        <v xml:space="preserve">| 5 P JAVA % | 8 L JAVA % | 7 L PHP-CGM % </v>
      </c>
      <c r="AH115" s="4" t="str">
        <f ca="1">IFERROR(__xludf.DUMMYFUNCTION("""COMPUTED_VALUE"""),"| 5 L PHP-CGM % | 6 L NS % | 7 L JAVA % | 8 L CPT % ")</f>
        <v xml:space="preserve">| 5 L PHP-CGM % | 6 L NS % | 7 L JAVA % | 8 L CPT % </v>
      </c>
      <c r="AI115" s="4" t="str">
        <f ca="1">IFERROR(__xludf.DUMMYFUNCTION("""COMPUTED_VALUE"""),"| 5 P JAVA % | 8 L JAVA % | 7 L PHP-CGM % | 9 P NS @ ")</f>
        <v xml:space="preserve">| 5 P JAVA % | 8 L JAVA % | 7 L PHP-CGM % | 9 P NS @ </v>
      </c>
      <c r="AJ115" s="4" t="str">
        <f ca="1">IFERROR(__xludf.DUMMYFUNCTION("""COMPUTED_VALUE"""),"| 5 P PHP-CGM % | 7 L CPT % | 8 L NS @ | 9 P Python % ")</f>
        <v xml:space="preserve">| 5 P PHP-CGM % | 7 L CPT % | 8 L NS @ | 9 P Python % </v>
      </c>
      <c r="AK115" s="4" t="str">
        <f ca="1">IFERROR(__xludf.DUMMYFUNCTION("""COMPUTED_VALUE"""),"| 5 L PHP-CGM % | 6 L NS % | 7 P CPT % | 9 P PRO % ")</f>
        <v xml:space="preserve">| 5 L PHP-CGM % | 6 L NS % | 7 P CPT % | 9 P PRO % </v>
      </c>
      <c r="AL115" s="4" t="str">
        <f ca="1">IFERROR(__xludf.DUMMYFUNCTION("""COMPUTED_VALUE"""),"| 5 L JAVA % | 6 L CPT % | 7 P JAVA % | 9 L INE @ ")</f>
        <v xml:space="preserve">| 5 L JAVA % | 6 L CPT % | 7 P JAVA % | 9 L INE @ </v>
      </c>
      <c r="AM115" s="4" t="str">
        <f ca="1">IFERROR(__xludf.DUMMYFUNCTION("""COMPUTED_VALUE"""),"| 5 L PHP-CGM % | 6 L NS @ | 7 L JAVA % | 8 L CPT % | 9 P Python % ")</f>
        <v xml:space="preserve">| 5 L PHP-CGM % | 6 L NS @ | 7 L JAVA % | 8 L CPT % | 9 P Python % </v>
      </c>
      <c r="AN115" s="4" t="str">
        <f ca="1">IFERROR(__xludf.DUMMYFUNCTION("""COMPUTED_VALUE"""),"| 5 P JAVA % | 8 L JAVA % | 7 L PHP-CGM % | 9 P NS % ")</f>
        <v xml:space="preserve">| 5 P JAVA % | 8 L JAVA % | 7 L PHP-CGM % | 9 P NS % </v>
      </c>
      <c r="AO115" s="4" t="str">
        <f ca="1">IFERROR(__xludf.DUMMYFUNCTION("""COMPUTED_VALUE"""),"| 5 P PHP-CGM % | 7 L CPT % | 8 L NS % | 9 P Python @ ")</f>
        <v xml:space="preserve">| 5 P PHP-CGM % | 7 L CPT % | 8 L NS % | 9 P Python @ </v>
      </c>
      <c r="AP115" s="4" t="str">
        <f ca="1">IFERROR(__xludf.DUMMYFUNCTION("""COMPUTED_VALUE"""),"| 5 L PHP-CGM % | 6 L NS % | 7 P CPT % | 9 P PRO @ ")</f>
        <v xml:space="preserve">| 5 L PHP-CGM % | 6 L NS % | 7 P CPT % | 9 P PRO @ </v>
      </c>
      <c r="AQ115" s="4" t="str">
        <f ca="1">IFERROR(__xludf.DUMMYFUNCTION("""COMPUTED_VALUE"""),"| 5 L CPT % | 7 L JAVA % | 7 P JAVA % | 9 L INE % ")</f>
        <v xml:space="preserve">| 5 L CPT % | 7 L JAVA % | 7 P JAVA % | 9 L INE % </v>
      </c>
      <c r="AR115" s="4" t="str">
        <f ca="1">IFERROR(__xludf.DUMMYFUNCTION("""COMPUTED_VALUE"""),"| 5 L PHP-CGM @ | 6 L NS @ | 8 L CPT @ ")</f>
        <v xml:space="preserve">| 5 L PHP-CGM @ | 6 L NS @ | 8 L CPT @ </v>
      </c>
      <c r="AS115" s="4" t="str">
        <f ca="1">IFERROR(__xludf.DUMMYFUNCTION("""COMPUTED_VALUE"""),"| 5 P PHP-CGM @ | 7 L CPT @ | 8 L NS @ | 9 P Python @ ")</f>
        <v xml:space="preserve">| 5 P PHP-CGM @ | 7 L CPT @ | 8 L NS @ | 9 P Python @ </v>
      </c>
      <c r="AT115" s="4" t="str">
        <f ca="1">IFERROR(__xludf.DUMMYFUNCTION("""COMPUTED_VALUE"""),"| 5 L PHP-CGM % | 6 L NS @ | 7 P CPT % | 9 P PRO % ")</f>
        <v xml:space="preserve">| 5 L PHP-CGM % | 6 L NS @ | 7 P CPT % | 9 P PRO % </v>
      </c>
      <c r="AU115" s="4" t="str">
        <f ca="1">IFERROR(__xludf.DUMMYFUNCTION("""COMPUTED_VALUE"""),"| 5 L JAVA @ | 6 L CPT @ | 8 P JAVA @ | 9 L INE @ ")</f>
        <v xml:space="preserve">| 5 L JAVA @ | 6 L CPT @ | 8 P JAVA @ | 9 L INE @ </v>
      </c>
      <c r="AV115" s="4" t="str">
        <f ca="1">IFERROR(__xludf.DUMMYFUNCTION("""COMPUTED_VALUE"""),"| 5 L PHP-CGM % | 6 L NS % | 7 L JAVA % | 8 L CPT % ")</f>
        <v xml:space="preserve">| 5 L PHP-CGM % | 6 L NS % | 7 L JAVA % | 8 L CPT % </v>
      </c>
      <c r="AW115" s="4" t="str">
        <f ca="1">IFERROR(__xludf.DUMMYFUNCTION("""COMPUTED_VALUE"""),"| 5 P JAVA @ | 7 L PHP-CGM @ | 8 L JAVA @ | 9 P NS @ ")</f>
        <v xml:space="preserve">| 5 P JAVA @ | 7 L PHP-CGM @ | 8 L JAVA @ | 9 P NS @ </v>
      </c>
      <c r="AX115" s="4" t="str">
        <f ca="1">IFERROR(__xludf.DUMMYFUNCTION("""COMPUTED_VALUE"""),"| 5 P PHP-CGM @ | 7 L CPT @ | 8 L NS @ | 9 P Python @ ")</f>
        <v xml:space="preserve">| 5 P PHP-CGM @ | 7 L CPT @ | 8 L NS @ | 9 P Python @ </v>
      </c>
      <c r="AY115" s="4" t="str">
        <f ca="1">IFERROR(__xludf.DUMMYFUNCTION("""COMPUTED_VALUE"""),"| 5 L PHP-CGM % | 6 L NS % | 7 P CPT @ | 9 P PRO % ")</f>
        <v xml:space="preserve">| 5 L PHP-CGM % | 6 L NS % | 7 P CPT @ | 9 P PRO % </v>
      </c>
      <c r="AZ115" s="4" t="str">
        <f ca="1">IFERROR(__xludf.DUMMYFUNCTION("""COMPUTED_VALUE"""),"| 5 L PHP-CGM % | 6 L NS % | 7 L JAVA % | 8 L CPT % ")</f>
        <v xml:space="preserve">| 5 L PHP-CGM % | 6 L NS % | 7 L JAVA % | 8 L CPT % </v>
      </c>
      <c r="BA115" s="4" t="str">
        <f ca="1">IFERROR(__xludf.DUMMYFUNCTION("""COMPUTED_VALUE"""),"| 5 P JAVA % | 7 L PHP-CGM % | 8 L JAVA % ")</f>
        <v xml:space="preserve">| 5 P JAVA % | 7 L PHP-CGM % | 8 L JAVA % </v>
      </c>
      <c r="BB115" s="4" t="str">
        <f ca="1">IFERROR(__xludf.DUMMYFUNCTION("""COMPUTED_VALUE"""),"| 5 P PHP-CGM % | 7 L CPT @ | 8 L NS @ ")</f>
        <v xml:space="preserve">| 5 P PHP-CGM % | 7 L CPT @ | 8 L NS @ </v>
      </c>
      <c r="BC115" s="4" t="str">
        <f ca="1">IFERROR(__xludf.DUMMYFUNCTION("""COMPUTED_VALUE"""),"| 5 L PHP-CGM @ | 6 L NS @ | 7 P CPT @ | 9 P PRO @ ")</f>
        <v xml:space="preserve">| 5 L PHP-CGM @ | 6 L NS @ | 7 P CPT @ | 9 P PRO @ </v>
      </c>
      <c r="BD115" s="4" t="str">
        <f ca="1">IFERROR(__xludf.DUMMYFUNCTION("""COMPUTED_VALUE"""),"| 5 L JAVA % | 6 L CPT % | 7 P JAVA % | 9 L INE @ ")</f>
        <v xml:space="preserve">| 5 L JAVA % | 6 L CPT % | 7 P JAVA % | 9 L INE @ </v>
      </c>
      <c r="BE115" s="4" t="str">
        <f ca="1">IFERROR(__xludf.DUMMYFUNCTION("""COMPUTED_VALUE"""),"| 5 L PHP-CGM @ | 6 L NS @ | 7 L JAVA % | 8 L CPT % | 9 P Python % ")</f>
        <v xml:space="preserve">| 5 L PHP-CGM @ | 6 L NS @ | 7 L JAVA % | 8 L CPT % | 9 P Python % </v>
      </c>
      <c r="BF115" s="4" t="str">
        <f ca="1">IFERROR(__xludf.DUMMYFUNCTION("""COMPUTED_VALUE"""),"| 5 P JAVA @ | 7 L PHP-CGM @ | 8 L JAVA @ | 9 P NS @ ")</f>
        <v xml:space="preserve">| 5 P JAVA @ | 7 L PHP-CGM @ | 8 L JAVA @ | 9 P NS @ </v>
      </c>
      <c r="BG115" s="4" t="str">
        <f ca="1">IFERROR(__xludf.DUMMYFUNCTION("""COMPUTED_VALUE"""),"| 5 L PHP-CGM @ | 6 L NS @ | 7 P CPT @ | 9 P PRO % ")</f>
        <v xml:space="preserve">| 5 L PHP-CGM @ | 6 L NS @ | 7 P CPT @ | 9 P PRO % </v>
      </c>
      <c r="BH115" s="4" t="str">
        <f ca="1">IFERROR(__xludf.DUMMYFUNCTION("""COMPUTED_VALUE"""),"| 5 L JAVA % | 6 L CPT % | 7 P JAVA % | 9 L INE % ")</f>
        <v xml:space="preserve">| 5 L JAVA % | 6 L CPT % | 7 P JAVA % | 9 L INE % </v>
      </c>
      <c r="BI115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115" s="4" t="str">
        <f ca="1">IFERROR(__xludf.DUMMYFUNCTION("""COMPUTED_VALUE"""),"| 5 P JAVA @ | 7 L JAVA @ | 7 L PHP-CGM @ ")</f>
        <v xml:space="preserve">| 5 P JAVA @ | 7 L JAVA @ | 7 L PHP-CGM @ </v>
      </c>
      <c r="BK115" s="4" t="str">
        <f ca="1">IFERROR(__xludf.DUMMYFUNCTION("""COMPUTED_VALUE"""),"| 7 L CPT @ | 8 L NS @ ")</f>
        <v xml:space="preserve">| 7 L CPT @ | 8 L NS @ </v>
      </c>
      <c r="BL115" s="4" t="str">
        <f ca="1">IFERROR(__xludf.DUMMYFUNCTION("""COMPUTED_VALUE"""),"| 5 L PHP-CGM @ | 6 L NS @ | 7 P CPT @ ")</f>
        <v xml:space="preserve">| 5 L PHP-CGM @ | 6 L NS @ | 7 P CPT @ </v>
      </c>
      <c r="BM115" s="4" t="str">
        <f ca="1">IFERROR(__xludf.DUMMYFUNCTION("""COMPUTED_VALUE"""),"| 5 L JAVA @ | 6 L CPT @ | 9 L INE @ ")</f>
        <v xml:space="preserve">| 5 L JAVA @ | 6 L CPT @ | 9 L INE @ </v>
      </c>
      <c r="BN115" s="4" t="str">
        <f ca="1">IFERROR(__xludf.DUMMYFUNCTION("""COMPUTED_VALUE"""),"| 5 L PHP-CGM @ | 6 L NS @ | 9 L JAVA @ | 8 L CPT @ ")</f>
        <v xml:space="preserve">| 5 L PHP-CGM @ | 6 L NS @ | 9 L JAVA @ | 8 L CPT @ </v>
      </c>
      <c r="BO115" s="4" t="str">
        <f ca="1">IFERROR(__xludf.DUMMYFUNCTION("""COMPUTED_VALUE"""),"| 5 P JAVA @ | 7 L PHP-CGM @ ")</f>
        <v xml:space="preserve">| 5 P JAVA @ | 7 L PHP-CGM @ </v>
      </c>
      <c r="BP115" s="4" t="str">
        <f ca="1">IFERROR(__xludf.DUMMYFUNCTION("""COMPUTED_VALUE"""),"| 5 P PHP-CGM % | 7 L CPT % | 8 L NS @ ")</f>
        <v xml:space="preserve">| 5 P PHP-CGM % | 7 L CPT % | 8 L NS @ </v>
      </c>
      <c r="BQ115" s="4" t="str">
        <f ca="1">IFERROR(__xludf.DUMMYFUNCTION("""COMPUTED_VALUE"""),"| 5 L JAVA % | 6 L CPT % ")</f>
        <v xml:space="preserve">| 5 L JAVA % | 6 L CPT % </v>
      </c>
      <c r="BR115" s="4" t="str">
        <f ca="1">IFERROR(__xludf.DUMMYFUNCTION("""COMPUTED_VALUE"""),"| 7 L JAVA @ ")</f>
        <v xml:space="preserve">| 7 L JAVA @ </v>
      </c>
      <c r="BS115" s="4"/>
      <c r="BT115" s="4" t="str">
        <f ca="1">IFERROR(__xludf.DUMMYFUNCTION("""COMPUTED_VALUE"""),"| 7 L CPT @ ")</f>
        <v xml:space="preserve">| 7 L CPT @ </v>
      </c>
      <c r="BU115" s="4" t="str">
        <f ca="1">IFERROR(__xludf.DUMMYFUNCTION("""COMPUTED_VALUE"""),"| 7 P CPT @ ")</f>
        <v xml:space="preserve">| 7 P CPT @ </v>
      </c>
      <c r="BV115" s="4" t="str">
        <f ca="1">IFERROR(__xludf.DUMMYFUNCTION("""COMPUTED_VALUE"""),"| 5 P PHP-CGM @ | 7 L CPT @ | 8 L NS @ | 9 P Python @ ")</f>
        <v xml:space="preserve">| 5 P PHP-CGM @ | 7 L CPT @ | 8 L NS @ | 9 P Python @ </v>
      </c>
      <c r="BW115" s="4"/>
      <c r="BX115" s="4" t="str">
        <f ca="1">IFERROR(__xludf.DUMMYFUNCTION("""COMPUTED_VALUE"""),"| 5 L JAVA % | 6 L CPT % | 7 P JAVA @ ")</f>
        <v xml:space="preserve">| 5 L JAVA % | 6 L CPT % | 7 P JAVA @ </v>
      </c>
      <c r="BY115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15" s="4" t="str">
        <f ca="1">IFERROR(__xludf.DUMMYFUNCTION("""COMPUTED_VALUE"""),"| 5 P JAVA @ | 8 L JAVA @ | 7 L PHP-CGM @ | 9 P NS @ ")</f>
        <v xml:space="preserve">| 5 P JAVA @ | 8 L JAVA @ | 7 L PHP-CGM @ | 9 P NS @ </v>
      </c>
      <c r="CA115" s="4" t="str">
        <f ca="1">IFERROR(__xludf.DUMMYFUNCTION("""COMPUTED_VALUE"""),"| 7 L CPT @ | 8 L NS @ | 9 P Python % ")</f>
        <v xml:space="preserve">| 7 L CPT @ | 8 L NS @ | 9 P Python % </v>
      </c>
      <c r="CB115" s="4" t="str">
        <f ca="1">IFERROR(__xludf.DUMMYFUNCTION("""COMPUTED_VALUE"""),"| 5 L PHP-CGM @ | 6 L NS @ | 7 P CPT @ ")</f>
        <v xml:space="preserve">| 5 L PHP-CGM @ | 6 L NS @ | 7 P CPT @ </v>
      </c>
      <c r="CC115" s="4" t="str">
        <f ca="1">IFERROR(__xludf.DUMMYFUNCTION("""COMPUTED_VALUE"""),"| 5 L JAVA % | 7 P JAVA @ | 9 L INE % ")</f>
        <v xml:space="preserve">| 5 L JAVA % | 7 P JAVA @ | 9 L INE % </v>
      </c>
      <c r="CD115" s="4" t="str">
        <f ca="1">IFERROR(__xludf.DUMMYFUNCTION("""COMPUTED_VALUE"""),"| 5 L PHP-CGM % | 6 L NS @ | 7 L JAVA @ | 8 L CPT @ ")</f>
        <v xml:space="preserve">| 5 L PHP-CGM % | 6 L NS @ | 7 L JAVA @ | 8 L CPT @ </v>
      </c>
      <c r="CE115" s="4" t="str">
        <f ca="1">IFERROR(__xludf.DUMMYFUNCTION("""COMPUTED_VALUE"""),"| 5 P JAVA @ | 8 L JAVA @ | 7 L PHP-CGM @ | 9 P NS @ ")</f>
        <v xml:space="preserve">| 5 P JAVA @ | 8 L JAVA @ | 7 L PHP-CGM @ | 9 P NS @ </v>
      </c>
      <c r="CF115" s="4" t="str">
        <f ca="1">IFERROR(__xludf.DUMMYFUNCTION("""COMPUTED_VALUE"""),"| 7 L CPT @ | 8 L NS @ | 9 P Python % ")</f>
        <v xml:space="preserve">| 7 L CPT @ | 8 L NS @ | 9 P Python % </v>
      </c>
      <c r="CG115" s="4" t="str">
        <f ca="1">IFERROR(__xludf.DUMMYFUNCTION("""COMPUTED_VALUE"""),"| 5 L PHP-CGM @ | 6 L NS @ | 7 P CPT @ ")</f>
        <v xml:space="preserve">| 5 L PHP-CGM @ | 6 L NS @ | 7 P CPT @ </v>
      </c>
      <c r="CH115" s="4" t="str">
        <f ca="1">IFERROR(__xludf.DUMMYFUNCTION("""COMPUTED_VALUE"""),"| 5 L JAVA @ | 6 L CPT @ | 7 P JAVA % | 9 L INE @ ")</f>
        <v xml:space="preserve">| 5 L JAVA @ | 6 L CPT @ | 7 P JAVA % | 9 L INE @ </v>
      </c>
      <c r="CI115" s="4" t="str">
        <f ca="1">IFERROR(__xludf.DUMMYFUNCTION("""COMPUTED_VALUE"""),"| 5 L PHP-CGM @ | 7 L JAVA @ | 8 L CPT @ ")</f>
        <v xml:space="preserve">| 5 L PHP-CGM @ | 7 L JAVA @ | 8 L CPT @ </v>
      </c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</row>
    <row r="116" spans="1:102" ht="12.5" x14ac:dyDescent="0.25">
      <c r="A116" s="3">
        <f ca="1">IFERROR(__xludf.DUMMYFUNCTION("""COMPUTED_VALUE"""),2)</f>
        <v>2</v>
      </c>
      <c r="B116" s="3" t="str">
        <f ca="1">IFERROR(__xludf.DUMMYFUNCTION("""COMPUTED_VALUE"""),"B")</f>
        <v>B</v>
      </c>
      <c r="C116" s="32" t="str">
        <f ca="1">IFERROR(__xludf.DUMMYFUNCTION("""COMPUTED_VALUE"""),"23291341069")</f>
        <v>23291341069</v>
      </c>
      <c r="D116" s="4" t="str">
        <f ca="1">IFERROR(__xludf.DUMMYFUNCTION("""COMPUTED_VALUE"""),"OZA YESHA HEMANTKUMAR")</f>
        <v>OZA YESHA HEMANTKUMAR</v>
      </c>
      <c r="E116" s="3" t="str">
        <f ca="1">IFERROR(__xludf.DUMMYFUNCTION("""COMPUTED_VALUE"""),"HAM/HDP-EVE")</f>
        <v>HAM/HDP-EVE</v>
      </c>
      <c r="F116" s="3">
        <f ca="1">IFERROR(__xludf.DUMMYFUNCTION("""COMPUTED_VALUE"""),8488039489)</f>
        <v>8488039489</v>
      </c>
      <c r="G116" s="3">
        <f ca="1">IFERROR(__xludf.DUMMYFUNCTION("""COMPUTED_VALUE"""),9825039489)</f>
        <v>9825039489</v>
      </c>
      <c r="H116" s="33">
        <f ca="1">IFERROR(__xludf.DUMMYFUNCTION("""COMPUTED_VALUE"""),0.763636363636363)</f>
        <v>0.763636363636363</v>
      </c>
      <c r="I116" s="25">
        <f ca="1">IFERROR(__xludf.DUMMYFUNCTION("""COMPUTED_VALUE"""),0.729729729729729)</f>
        <v>0.72972972972972905</v>
      </c>
      <c r="J116" s="25">
        <f ca="1">IFERROR(__xludf.DUMMYFUNCTION("""COMPUTED_VALUE"""),0.75)</f>
        <v>0.75</v>
      </c>
      <c r="K116" s="25">
        <f ca="1">IFERROR(__xludf.DUMMYFUNCTION("""COMPUTED_VALUE"""),0.852941176470588)</f>
        <v>0.85294117647058798</v>
      </c>
      <c r="L116" s="25">
        <f ca="1">IFERROR(__xludf.DUMMYFUNCTION("""COMPUTED_VALUE"""),0.714285714285714)</f>
        <v>0.71428571428571397</v>
      </c>
      <c r="M116" s="25">
        <f ca="1">IFERROR(__xludf.DUMMYFUNCTION("""COMPUTED_VALUE"""),0.8)</f>
        <v>0.8</v>
      </c>
      <c r="N116" s="25">
        <f ca="1">IFERROR(__xludf.DUMMYFUNCTION("""COMPUTED_VALUE"""),1)</f>
        <v>1</v>
      </c>
      <c r="O116" s="25">
        <f ca="1">IFERROR(__xludf.DUMMYFUNCTION("""COMPUTED_VALUE"""),0.742857142857142)</f>
        <v>0.74285714285714199</v>
      </c>
      <c r="P116" s="25">
        <f ca="1">IFERROR(__xludf.DUMMYFUNCTION("""COMPUTED_VALUE"""),0.761904761904761)</f>
        <v>0.76190476190476097</v>
      </c>
      <c r="Q116" s="25">
        <f ca="1">IFERROR(__xludf.DUMMYFUNCTION("""COMPUTED_VALUE"""),0)</f>
        <v>0</v>
      </c>
      <c r="R116" s="25">
        <f ca="1">IFERROR(__xludf.DUMMYFUNCTION("""COMPUTED_VALUE"""),0.866666666666666)</f>
        <v>0.86666666666666603</v>
      </c>
      <c r="S116" s="25">
        <f ca="1">IFERROR(__xludf.DUMMYFUNCTION("""COMPUTED_VALUE"""),0)</f>
        <v>0</v>
      </c>
      <c r="T116" s="25">
        <f ca="1">IFERROR(__xludf.DUMMYFUNCTION("""COMPUTED_VALUE"""),0.714285714285714)</f>
        <v>0.71428571428571397</v>
      </c>
      <c r="U116" s="25">
        <f ca="1">IFERROR(__xludf.DUMMYFUNCTION("""COMPUTED_VALUE"""),0.125)</f>
        <v>0.125</v>
      </c>
      <c r="V116" s="25">
        <f ca="1">IFERROR(__xludf.DUMMYFUNCTION("""COMPUTED_VALUE"""),0)</f>
        <v>0</v>
      </c>
      <c r="W116" s="4"/>
      <c r="X116" s="4" t="str">
        <f ca="1">IFERROR(__xludf.DUMMYFUNCTION("""COMPUTED_VALUE"""),"| 5 P PHP-CGM % | 7 L CPT % | 8 L NS % | 9 P Python % ")</f>
        <v xml:space="preserve">| 5 P PHP-CGM % | 7 L CPT % | 8 L NS % | 9 P Python % </v>
      </c>
      <c r="Y116" s="4" t="str">
        <f ca="1">IFERROR(__xludf.DUMMYFUNCTION("""COMPUTED_VALUE"""),"| 5 L PHP-CGM % | 6 L NS % | 8 P CPT % | 9 P PRO % ")</f>
        <v xml:space="preserve">| 5 L PHP-CGM % | 6 L NS % | 8 P CPT % | 9 P PRO % </v>
      </c>
      <c r="Z116" s="4" t="str">
        <f ca="1">IFERROR(__xludf.DUMMYFUNCTION("""COMPUTED_VALUE"""),"| 5 L JAVA % | 6 L CPT % | 7 P JAVA % ")</f>
        <v xml:space="preserve">| 5 L JAVA % | 6 L CPT % | 7 P JAVA % </v>
      </c>
      <c r="AA116" s="4" t="str">
        <f ca="1">IFERROR(__xludf.DUMMYFUNCTION("""COMPUTED_VALUE"""),"| 5 L PHP-CGM % | 7 L JAVA % | 9 P Python % | 8 L CPT % ")</f>
        <v xml:space="preserve">| 5 L PHP-CGM % | 7 L JAVA % | 9 P Python % | 8 L CPT % </v>
      </c>
      <c r="AB116" s="4" t="str">
        <f ca="1">IFERROR(__xludf.DUMMYFUNCTION("""COMPUTED_VALUE"""),"| 5 P JAVA % | 7 L PHP-CGM % | 8 L JAVA % | 9 P NS % ")</f>
        <v xml:space="preserve">| 5 P JAVA % | 7 L PHP-CGM % | 8 L JAVA % | 9 P NS % </v>
      </c>
      <c r="AC116" s="4" t="str">
        <f ca="1">IFERROR(__xludf.DUMMYFUNCTION("""COMPUTED_VALUE"""),"| 5 P PHP-CGM % | 7 L CPT % | 8 L NS % | 9 P Python % ")</f>
        <v xml:space="preserve">| 5 P PHP-CGM % | 7 L CPT % | 8 L NS % | 9 P Python % </v>
      </c>
      <c r="AD116" s="4" t="str">
        <f ca="1">IFERROR(__xludf.DUMMYFUNCTION("""COMPUTED_VALUE"""),"| 5 L PHP-CGM @ | 6 L NS @ | 7 P CPT @ ")</f>
        <v xml:space="preserve">| 5 L PHP-CGM @ | 6 L NS @ | 7 P CPT @ </v>
      </c>
      <c r="AE116" s="4" t="str">
        <f ca="1">IFERROR(__xludf.DUMMYFUNCTION("""COMPUTED_VALUE"""),"| 5 L JAVA @ | 6 L CPT @ | 7 P JAVA @ ")</f>
        <v xml:space="preserve">| 5 L JAVA @ | 6 L CPT @ | 7 P JAVA @ </v>
      </c>
      <c r="AF116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G116" s="4" t="str">
        <f ca="1">IFERROR(__xludf.DUMMYFUNCTION("""COMPUTED_VALUE"""),"| 5 P JAVA @ | 8 L JAVA @ | 7 L PHP-CGM @ ")</f>
        <v xml:space="preserve">| 5 P JAVA @ | 8 L JAVA @ | 7 L PHP-CGM @ </v>
      </c>
      <c r="AH116" s="4" t="str">
        <f ca="1">IFERROR(__xludf.DUMMYFUNCTION("""COMPUTED_VALUE"""),"| 5 L PHP-CGM % | 6 L NS % | 7 L JAVA % | 8 L CPT % ")</f>
        <v xml:space="preserve">| 5 L PHP-CGM % | 6 L NS % | 7 L JAVA % | 8 L CPT % </v>
      </c>
      <c r="AI116" s="4" t="str">
        <f ca="1">IFERROR(__xludf.DUMMYFUNCTION("""COMPUTED_VALUE"""),"| 5 P JAVA % | 8 L JAVA % | 7 L PHP-CGM % | 9 P NS % ")</f>
        <v xml:space="preserve">| 5 P JAVA % | 8 L JAVA % | 7 L PHP-CGM % | 9 P NS % </v>
      </c>
      <c r="AJ116" s="4" t="str">
        <f ca="1">IFERROR(__xludf.DUMMYFUNCTION("""COMPUTED_VALUE"""),"| 5 P PHP-CGM % | 7 L CPT % | 8 L NS % | 9 P Python % ")</f>
        <v xml:space="preserve">| 5 P PHP-CGM % | 7 L CPT % | 8 L NS % | 9 P Python % </v>
      </c>
      <c r="AK116" s="4" t="str">
        <f ca="1">IFERROR(__xludf.DUMMYFUNCTION("""COMPUTED_VALUE"""),"| 5 L PHP-CGM % | 6 L NS % | 7 P CPT % | 9 P PRO % ")</f>
        <v xml:space="preserve">| 5 L PHP-CGM % | 6 L NS % | 7 P CPT % | 9 P PRO % </v>
      </c>
      <c r="AL116" s="4" t="str">
        <f ca="1">IFERROR(__xludf.DUMMYFUNCTION("""COMPUTED_VALUE"""),"| 5 L JAVA % | 6 L CPT % | 7 P JAVA % | 9 L INE @ ")</f>
        <v xml:space="preserve">| 5 L JAVA % | 6 L CPT % | 7 P JAVA % | 9 L INE @ </v>
      </c>
      <c r="AM11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16" s="4" t="str">
        <f ca="1">IFERROR(__xludf.DUMMYFUNCTION("""COMPUTED_VALUE"""),"| 5 P JAVA % | 8 L JAVA % | 7 L PHP-CGM % | 9 P NS % ")</f>
        <v xml:space="preserve">| 5 P JAVA % | 8 L JAVA % | 7 L PHP-CGM % | 9 P NS % </v>
      </c>
      <c r="AO116" s="4" t="str">
        <f ca="1">IFERROR(__xludf.DUMMYFUNCTION("""COMPUTED_VALUE"""),"| 5 P PHP-CGM % | 7 L CPT % | 8 L NS % | 9 P Python % ")</f>
        <v xml:space="preserve">| 5 P PHP-CGM % | 7 L CPT % | 8 L NS % | 9 P Python % </v>
      </c>
      <c r="AP116" s="4" t="str">
        <f ca="1">IFERROR(__xludf.DUMMYFUNCTION("""COMPUTED_VALUE"""),"| 5 L PHP-CGM % | 6 L NS % | 7 P CPT % | 9 P PRO @ ")</f>
        <v xml:space="preserve">| 5 L PHP-CGM % | 6 L NS % | 7 P CPT % | 9 P PRO @ </v>
      </c>
      <c r="AQ116" s="4" t="str">
        <f ca="1">IFERROR(__xludf.DUMMYFUNCTION("""COMPUTED_VALUE"""),"| 5 L CPT % | 7 L JAVA % | 7 P JAVA % | 9 L INE @ ")</f>
        <v xml:space="preserve">| 5 L CPT % | 7 L JAVA % | 7 P JAVA % | 9 L INE @ </v>
      </c>
      <c r="AR116" s="4" t="str">
        <f ca="1">IFERROR(__xludf.DUMMYFUNCTION("""COMPUTED_VALUE"""),"| 5 L PHP-CGM % | 6 L NS % | 8 L CPT @ ")</f>
        <v xml:space="preserve">| 5 L PHP-CGM % | 6 L NS % | 8 L CPT @ </v>
      </c>
      <c r="AS116" s="4" t="str">
        <f ca="1">IFERROR(__xludf.DUMMYFUNCTION("""COMPUTED_VALUE"""),"| 5 P PHP-CGM % | 7 L CPT % | 8 L NS % | 9 P Python % ")</f>
        <v xml:space="preserve">| 5 P PHP-CGM % | 7 L CPT % | 8 L NS % | 9 P Python % </v>
      </c>
      <c r="AT116" s="4" t="str">
        <f ca="1">IFERROR(__xludf.DUMMYFUNCTION("""COMPUTED_VALUE"""),"| 5 L PHP-CGM % | 6 L NS % | 7 P CPT % | 9 P PRO % ")</f>
        <v xml:space="preserve">| 5 L PHP-CGM % | 6 L NS % | 7 P CPT % | 9 P PRO % </v>
      </c>
      <c r="AU116" s="4" t="str">
        <f ca="1">IFERROR(__xludf.DUMMYFUNCTION("""COMPUTED_VALUE"""),"| 5 L JAVA % | 6 L CPT % | 8 P JAVA % | 9 L INE @ ")</f>
        <v xml:space="preserve">| 5 L JAVA % | 6 L CPT % | 8 P JAVA % | 9 L INE @ </v>
      </c>
      <c r="AV116" s="4" t="str">
        <f ca="1">IFERROR(__xludf.DUMMYFUNCTION("""COMPUTED_VALUE"""),"| 5 L PHP-CGM % | 6 L NS % | 7 L JAVA % | 8 L CPT % ")</f>
        <v xml:space="preserve">| 5 L PHP-CGM % | 6 L NS % | 7 L JAVA % | 8 L CPT % </v>
      </c>
      <c r="AW116" s="4" t="str">
        <f ca="1">IFERROR(__xludf.DUMMYFUNCTION("""COMPUTED_VALUE"""),"| 5 P JAVA @ | 7 L PHP-CGM @ | 8 L JAVA @ | 9 P NS @ ")</f>
        <v xml:space="preserve">| 5 P JAVA @ | 7 L PHP-CGM @ | 8 L JAVA @ | 9 P NS @ </v>
      </c>
      <c r="AX116" s="4" t="str">
        <f ca="1">IFERROR(__xludf.DUMMYFUNCTION("""COMPUTED_VALUE"""),"| 5 P PHP-CGM % | 7 L CPT % | 8 L NS % | 9 P Python % ")</f>
        <v xml:space="preserve">| 5 P PHP-CGM % | 7 L CPT % | 8 L NS % | 9 P Python % </v>
      </c>
      <c r="AY116" s="4" t="str">
        <f ca="1">IFERROR(__xludf.DUMMYFUNCTION("""COMPUTED_VALUE"""),"| 5 L PHP-CGM % | 6 L NS % | 7 P CPT % | 9 P PRO @ ")</f>
        <v xml:space="preserve">| 5 L PHP-CGM % | 6 L NS % | 7 P CPT % | 9 P PRO @ </v>
      </c>
      <c r="AZ116" s="4" t="str">
        <f ca="1">IFERROR(__xludf.DUMMYFUNCTION("""COMPUTED_VALUE"""),"| 5 L PHP-CGM % | 6 L NS % | 7 L JAVA @ | 8 L CPT @ ")</f>
        <v xml:space="preserve">| 5 L PHP-CGM % | 6 L NS % | 7 L JAVA @ | 8 L CPT @ </v>
      </c>
      <c r="BA116" s="4" t="str">
        <f ca="1">IFERROR(__xludf.DUMMYFUNCTION("""COMPUTED_VALUE"""),"| 5 P JAVA % | 7 L PHP-CGM % | 8 L JAVA % ")</f>
        <v xml:space="preserve">| 5 P JAVA % | 7 L PHP-CGM % | 8 L JAVA % </v>
      </c>
      <c r="BB116" s="4" t="str">
        <f ca="1">IFERROR(__xludf.DUMMYFUNCTION("""COMPUTED_VALUE"""),"| 5 P PHP-CGM % | 7 L CPT % | 8 L NS % ")</f>
        <v xml:space="preserve">| 5 P PHP-CGM % | 7 L CPT % | 8 L NS % </v>
      </c>
      <c r="BC116" s="4" t="str">
        <f ca="1">IFERROR(__xludf.DUMMYFUNCTION("""COMPUTED_VALUE"""),"| 5 L PHP-CGM % | 6 L NS % | 7 P CPT % | 9 P PRO % ")</f>
        <v xml:space="preserve">| 5 L PHP-CGM % | 6 L NS % | 7 P CPT % | 9 P PRO % </v>
      </c>
      <c r="BD116" s="4" t="str">
        <f ca="1">IFERROR(__xludf.DUMMYFUNCTION("""COMPUTED_VALUE"""),"| 5 L JAVA % | 6 L CPT % | 7 P JAVA % | 9 L INE @ ")</f>
        <v xml:space="preserve">| 5 L JAVA % | 6 L CPT % | 7 P JAVA % | 9 L INE @ </v>
      </c>
      <c r="BE116" s="4" t="str">
        <f ca="1">IFERROR(__xludf.DUMMYFUNCTION("""COMPUTED_VALUE"""),"| 5 L PHP-CGM % | 6 L NS % | 7 L JAVA @ | 8 L CPT @ | 9 P Python @ ")</f>
        <v xml:space="preserve">| 5 L PHP-CGM % | 6 L NS % | 7 L JAVA @ | 8 L CPT @ | 9 P Python @ </v>
      </c>
      <c r="BF116" s="4" t="str">
        <f ca="1">IFERROR(__xludf.DUMMYFUNCTION("""COMPUTED_VALUE"""),"| 5 P JAVA @ | 7 L PHP-CGM @ | 8 L JAVA @ | 9 P NS @ ")</f>
        <v xml:space="preserve">| 5 P JAVA @ | 7 L PHP-CGM @ | 8 L JAVA @ | 9 P NS @ </v>
      </c>
      <c r="BG116" s="4" t="str">
        <f ca="1">IFERROR(__xludf.DUMMYFUNCTION("""COMPUTED_VALUE"""),"| 5 L PHP-CGM % | 6 L NS % | 7 P CPT % | 9 P PRO % ")</f>
        <v xml:space="preserve">| 5 L PHP-CGM % | 6 L NS % | 7 P CPT % | 9 P PRO % </v>
      </c>
      <c r="BH116" s="4" t="str">
        <f ca="1">IFERROR(__xludf.DUMMYFUNCTION("""COMPUTED_VALUE"""),"| 5 L JAVA % | 6 L CPT % | 7 P JAVA % | 9 L INE @ ")</f>
        <v xml:space="preserve">| 5 L JAVA % | 6 L CPT % | 7 P JAVA % | 9 L INE @ </v>
      </c>
      <c r="BI11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116" s="4" t="str">
        <f ca="1">IFERROR(__xludf.DUMMYFUNCTION("""COMPUTED_VALUE"""),"| 5 P JAVA % | 7 L JAVA % | 7 L PHP-CGM % ")</f>
        <v xml:space="preserve">| 5 P JAVA % | 7 L JAVA % | 7 L PHP-CGM % </v>
      </c>
      <c r="BK116" s="4" t="str">
        <f ca="1">IFERROR(__xludf.DUMMYFUNCTION("""COMPUTED_VALUE"""),"| 7 L CPT @ | 8 L NS @ ")</f>
        <v xml:space="preserve">| 7 L CPT @ | 8 L NS @ </v>
      </c>
      <c r="BL116" s="4" t="str">
        <f ca="1">IFERROR(__xludf.DUMMYFUNCTION("""COMPUTED_VALUE"""),"| 5 L PHP-CGM @ | 6 L NS @ | 7 P CPT @ ")</f>
        <v xml:space="preserve">| 5 L PHP-CGM @ | 6 L NS @ | 7 P CPT @ </v>
      </c>
      <c r="BM116" s="4" t="str">
        <f ca="1">IFERROR(__xludf.DUMMYFUNCTION("""COMPUTED_VALUE"""),"| 5 L JAVA % | 6 L CPT % | 9 L INE @ ")</f>
        <v xml:space="preserve">| 5 L JAVA % | 6 L CPT % | 9 L INE @ </v>
      </c>
      <c r="BN116" s="4" t="str">
        <f ca="1">IFERROR(__xludf.DUMMYFUNCTION("""COMPUTED_VALUE"""),"| 5 L PHP-CGM % | 6 L NS % | 9 L JAVA % | 8 L CPT % ")</f>
        <v xml:space="preserve">| 5 L PHP-CGM % | 6 L NS % | 9 L JAVA % | 8 L CPT % </v>
      </c>
      <c r="BO116" s="4" t="str">
        <f ca="1">IFERROR(__xludf.DUMMYFUNCTION("""COMPUTED_VALUE"""),"| 5 P JAVA @ | 7 L PHP-CGM @ ")</f>
        <v xml:space="preserve">| 5 P JAVA @ | 7 L PHP-CGM @ </v>
      </c>
      <c r="BP116" s="4" t="str">
        <f ca="1">IFERROR(__xludf.DUMMYFUNCTION("""COMPUTED_VALUE"""),"| 5 P PHP-CGM % | 7 L CPT @ | 8 L NS @ ")</f>
        <v xml:space="preserve">| 5 P PHP-CGM % | 7 L CPT @ | 8 L NS @ </v>
      </c>
      <c r="BQ116" s="4" t="str">
        <f ca="1">IFERROR(__xludf.DUMMYFUNCTION("""COMPUTED_VALUE"""),"| 5 L JAVA % | 6 L CPT % ")</f>
        <v xml:space="preserve">| 5 L JAVA % | 6 L CPT % </v>
      </c>
      <c r="BR116" s="4" t="str">
        <f ca="1">IFERROR(__xludf.DUMMYFUNCTION("""COMPUTED_VALUE"""),"| 7 L JAVA % ")</f>
        <v xml:space="preserve">| 7 L JAVA % </v>
      </c>
      <c r="BS116" s="4"/>
      <c r="BT116" s="4" t="str">
        <f ca="1">IFERROR(__xludf.DUMMYFUNCTION("""COMPUTED_VALUE"""),"| 7 L CPT @ ")</f>
        <v xml:space="preserve">| 7 L CPT @ </v>
      </c>
      <c r="BU116" s="4" t="str">
        <f ca="1">IFERROR(__xludf.DUMMYFUNCTION("""COMPUTED_VALUE"""),"| 7 P CPT @ ")</f>
        <v xml:space="preserve">| 7 P CPT @ </v>
      </c>
      <c r="BV116" s="4" t="str">
        <f ca="1">IFERROR(__xludf.DUMMYFUNCTION("""COMPUTED_VALUE"""),"| 5 P PHP-CGM % | 7 L CPT % | 8 L NS % | 9 P Python % ")</f>
        <v xml:space="preserve">| 5 P PHP-CGM % | 7 L CPT % | 8 L NS % | 9 P Python % </v>
      </c>
      <c r="BW116" s="4"/>
      <c r="BX116" s="4" t="str">
        <f ca="1">IFERROR(__xludf.DUMMYFUNCTION("""COMPUTED_VALUE"""),"| 5 L JAVA % | 6 L CPT % | 7 P JAVA % ")</f>
        <v xml:space="preserve">| 5 L JAVA % | 6 L CPT % | 7 P JAVA % </v>
      </c>
      <c r="BY116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116" s="4" t="str">
        <f ca="1">IFERROR(__xludf.DUMMYFUNCTION("""COMPUTED_VALUE"""),"| 5 P JAVA % | 8 L JAVA % | 7 L PHP-CGM % | 9 P NS % ")</f>
        <v xml:space="preserve">| 5 P JAVA % | 8 L JAVA % | 7 L PHP-CGM % | 9 P NS % </v>
      </c>
      <c r="CA116" s="4" t="str">
        <f ca="1">IFERROR(__xludf.DUMMYFUNCTION("""COMPUTED_VALUE"""),"| 7 L CPT % | 8 L NS % | 9 P Python % ")</f>
        <v xml:space="preserve">| 7 L CPT % | 8 L NS % | 9 P Python % </v>
      </c>
      <c r="CB116" s="4" t="str">
        <f ca="1">IFERROR(__xludf.DUMMYFUNCTION("""COMPUTED_VALUE"""),"| 5 L PHP-CGM % | 6 L NS % | 7 P CPT % ")</f>
        <v xml:space="preserve">| 5 L PHP-CGM % | 6 L NS % | 7 P CPT % </v>
      </c>
      <c r="CC116" s="4" t="str">
        <f ca="1">IFERROR(__xludf.DUMMYFUNCTION("""COMPUTED_VALUE"""),"| 5 L JAVA % | 7 P JAVA % | 9 L INE % ")</f>
        <v xml:space="preserve">| 5 L JAVA % | 7 P JAVA % | 9 L INE % </v>
      </c>
      <c r="CD116" s="4" t="str">
        <f ca="1">IFERROR(__xludf.DUMMYFUNCTION("""COMPUTED_VALUE"""),"| 5 L PHP-CGM % | 6 L NS % | 7 L JAVA @ | 8 L CPT @ ")</f>
        <v xml:space="preserve">| 5 L PHP-CGM % | 6 L NS % | 7 L JAVA @ | 8 L CPT @ </v>
      </c>
      <c r="CE116" s="4" t="str">
        <f ca="1">IFERROR(__xludf.DUMMYFUNCTION("""COMPUTED_VALUE"""),"| 5 P JAVA % | 8 L JAVA % | 7 L PHP-CGM % | 9 P NS % ")</f>
        <v xml:space="preserve">| 5 P JAVA % | 8 L JAVA % | 7 L PHP-CGM % | 9 P NS % </v>
      </c>
      <c r="CF116" s="4" t="str">
        <f ca="1">IFERROR(__xludf.DUMMYFUNCTION("""COMPUTED_VALUE"""),"| 7 L CPT % | 8 L NS % | 9 P Python % ")</f>
        <v xml:space="preserve">| 7 L CPT % | 8 L NS % | 9 P Python % </v>
      </c>
      <c r="CG116" s="4" t="str">
        <f ca="1">IFERROR(__xludf.DUMMYFUNCTION("""COMPUTED_VALUE"""),"| 5 L PHP-CGM % | 6 L NS % | 7 P CPT % ")</f>
        <v xml:space="preserve">| 5 L PHP-CGM % | 6 L NS % | 7 P CPT % </v>
      </c>
      <c r="CH116" s="4" t="str">
        <f ca="1">IFERROR(__xludf.DUMMYFUNCTION("""COMPUTED_VALUE"""),"| 5 L JAVA % | 6 L CPT % | 7 P JAVA % | 9 L INE @ ")</f>
        <v xml:space="preserve">| 5 L JAVA % | 6 L CPT % | 7 P JAVA % | 9 L INE @ </v>
      </c>
      <c r="CI116" s="4" t="str">
        <f ca="1">IFERROR(__xludf.DUMMYFUNCTION("""COMPUTED_VALUE"""),"| 5 L PHP-CGM % | 7 L JAVA @ | 8 L CPT @ ")</f>
        <v xml:space="preserve">| 5 L PHP-CGM % | 7 L JAVA @ | 8 L CPT @ </v>
      </c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</row>
    <row r="117" spans="1:102" ht="12.5" x14ac:dyDescent="0.25">
      <c r="A117" s="3">
        <f ca="1">IFERROR(__xludf.DUMMYFUNCTION("""COMPUTED_VALUE"""),2)</f>
        <v>2</v>
      </c>
      <c r="B117" s="3" t="str">
        <f ca="1">IFERROR(__xludf.DUMMYFUNCTION("""COMPUTED_VALUE"""),"B")</f>
        <v>B</v>
      </c>
      <c r="C117" s="32" t="str">
        <f ca="1">IFERROR(__xludf.DUMMYFUNCTION("""COMPUTED_VALUE"""),"23291341071")</f>
        <v>23291341071</v>
      </c>
      <c r="D117" s="4" t="str">
        <f ca="1">IFERROR(__xludf.DUMMYFUNCTION("""COMPUTED_VALUE"""),"PANCHAL KHUSHI NIRANJANKUMAR")</f>
        <v>PANCHAL KHUSHI NIRANJANKUMAR</v>
      </c>
      <c r="E117" s="3" t="str">
        <f ca="1">IFERROR(__xludf.DUMMYFUNCTION("""COMPUTED_VALUE"""),"HAM/HDP-EVE")</f>
        <v>HAM/HDP-EVE</v>
      </c>
      <c r="F117" s="3">
        <f ca="1">IFERROR(__xludf.DUMMYFUNCTION("""COMPUTED_VALUE"""),8980665791)</f>
        <v>8980665791</v>
      </c>
      <c r="G117" s="3">
        <f ca="1">IFERROR(__xludf.DUMMYFUNCTION("""COMPUTED_VALUE"""),9825026657)</f>
        <v>9825026657</v>
      </c>
      <c r="H117" s="33">
        <f ca="1">IFERROR(__xludf.DUMMYFUNCTION("""COMPUTED_VALUE"""),0.772727272727272)</f>
        <v>0.77272727272727204</v>
      </c>
      <c r="I117" s="25">
        <f ca="1">IFERROR(__xludf.DUMMYFUNCTION("""COMPUTED_VALUE"""),0.783783783783783)</f>
        <v>0.78378378378378299</v>
      </c>
      <c r="J117" s="25">
        <f ca="1">IFERROR(__xludf.DUMMYFUNCTION("""COMPUTED_VALUE"""),0.833333333333333)</f>
        <v>0.83333333333333304</v>
      </c>
      <c r="K117" s="25">
        <f ca="1">IFERROR(__xludf.DUMMYFUNCTION("""COMPUTED_VALUE"""),0.88235294117647)</f>
        <v>0.88235294117647001</v>
      </c>
      <c r="L117" s="25">
        <f ca="1">IFERROR(__xludf.DUMMYFUNCTION("""COMPUTED_VALUE"""),0.714285714285714)</f>
        <v>0.71428571428571397</v>
      </c>
      <c r="M117" s="25">
        <f ca="1">IFERROR(__xludf.DUMMYFUNCTION("""COMPUTED_VALUE"""),0.685714285714285)</f>
        <v>0.68571428571428505</v>
      </c>
      <c r="N117" s="25">
        <f ca="1">IFERROR(__xludf.DUMMYFUNCTION("""COMPUTED_VALUE"""),1)</f>
        <v>1</v>
      </c>
      <c r="O117" s="25">
        <f ca="1">IFERROR(__xludf.DUMMYFUNCTION("""COMPUTED_VALUE"""),0.685714285714285)</f>
        <v>0.68571428571428505</v>
      </c>
      <c r="P117" s="25">
        <f ca="1">IFERROR(__xludf.DUMMYFUNCTION("""COMPUTED_VALUE"""),0.857142857142857)</f>
        <v>0.85714285714285698</v>
      </c>
      <c r="Q117" s="25">
        <f ca="1">IFERROR(__xludf.DUMMYFUNCTION("""COMPUTED_VALUE"""),0)</f>
        <v>0</v>
      </c>
      <c r="R117" s="25">
        <f ca="1">IFERROR(__xludf.DUMMYFUNCTION("""COMPUTED_VALUE"""),0.8)</f>
        <v>0.8</v>
      </c>
      <c r="S117" s="25">
        <f ca="1">IFERROR(__xludf.DUMMYFUNCTION("""COMPUTED_VALUE"""),0)</f>
        <v>0</v>
      </c>
      <c r="T117" s="25">
        <f ca="1">IFERROR(__xludf.DUMMYFUNCTION("""COMPUTED_VALUE"""),0.714285714285714)</f>
        <v>0.71428571428571397</v>
      </c>
      <c r="U117" s="25">
        <f ca="1">IFERROR(__xludf.DUMMYFUNCTION("""COMPUTED_VALUE"""),0.5)</f>
        <v>0.5</v>
      </c>
      <c r="V117" s="25">
        <f ca="1">IFERROR(__xludf.DUMMYFUNCTION("""COMPUTED_VALUE"""),0)</f>
        <v>0</v>
      </c>
      <c r="W117" s="4"/>
      <c r="X117" s="4" t="str">
        <f ca="1">IFERROR(__xludf.DUMMYFUNCTION("""COMPUTED_VALUE"""),"| 5 P PHP-CGM % | 7 L CPT % | 8 L NS % | 9 P Python % ")</f>
        <v xml:space="preserve">| 5 P PHP-CGM % | 7 L CPT % | 8 L NS % | 9 P Python % </v>
      </c>
      <c r="Y117" s="4" t="str">
        <f ca="1">IFERROR(__xludf.DUMMYFUNCTION("""COMPUTED_VALUE"""),"| 5 L PHP-CGM % | 6 L NS % | 8 P CPT % | 9 P PRO % ")</f>
        <v xml:space="preserve">| 5 L PHP-CGM % | 6 L NS % | 8 P CPT % | 9 P PRO % </v>
      </c>
      <c r="Z117" s="4" t="str">
        <f ca="1">IFERROR(__xludf.DUMMYFUNCTION("""COMPUTED_VALUE"""),"| 5 L JAVA % | 6 L CPT % | 7 P JAVA % ")</f>
        <v xml:space="preserve">| 5 L JAVA % | 6 L CPT % | 7 P JAVA % </v>
      </c>
      <c r="AA117" s="4" t="str">
        <f ca="1">IFERROR(__xludf.DUMMYFUNCTION("""COMPUTED_VALUE"""),"| 5 L PHP-CGM % | 7 L JAVA % | 9 P Python % | 8 L CPT % ")</f>
        <v xml:space="preserve">| 5 L PHP-CGM % | 7 L JAVA % | 9 P Python % | 8 L CPT % </v>
      </c>
      <c r="AB117" s="4" t="str">
        <f ca="1">IFERROR(__xludf.DUMMYFUNCTION("""COMPUTED_VALUE"""),"| 5 P JAVA % | 7 L PHP-CGM % | 8 L JAVA % | 9 P NS % ")</f>
        <v xml:space="preserve">| 5 P JAVA % | 7 L PHP-CGM % | 8 L JAVA % | 9 P NS % </v>
      </c>
      <c r="AC117" s="4" t="str">
        <f ca="1">IFERROR(__xludf.DUMMYFUNCTION("""COMPUTED_VALUE"""),"| 5 P PHP-CGM % | 7 L CPT % | 8 L NS % | 9 P Python % ")</f>
        <v xml:space="preserve">| 5 P PHP-CGM % | 7 L CPT % | 8 L NS % | 9 P Python % </v>
      </c>
      <c r="AD117" s="4" t="str">
        <f ca="1">IFERROR(__xludf.DUMMYFUNCTION("""COMPUTED_VALUE"""),"| 5 L PHP-CGM % | 6 L NS % | 7 P CPT % ")</f>
        <v xml:space="preserve">| 5 L PHP-CGM % | 6 L NS % | 7 P CPT % </v>
      </c>
      <c r="AE117" s="4" t="str">
        <f ca="1">IFERROR(__xludf.DUMMYFUNCTION("""COMPUTED_VALUE"""),"| 5 L JAVA % | 6 L CPT % | 7 P JAVA % ")</f>
        <v xml:space="preserve">| 5 L JAVA % | 6 L CPT % | 7 P JAVA % </v>
      </c>
      <c r="AF117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G117" s="4" t="str">
        <f ca="1">IFERROR(__xludf.DUMMYFUNCTION("""COMPUTED_VALUE"""),"| 5 P JAVA @ | 8 L JAVA @ | 7 L PHP-CGM @ ")</f>
        <v xml:space="preserve">| 5 P JAVA @ | 8 L JAVA @ | 7 L PHP-CGM @ </v>
      </c>
      <c r="AH117" s="4" t="str">
        <f ca="1">IFERROR(__xludf.DUMMYFUNCTION("""COMPUTED_VALUE"""),"| 5 L PHP-CGM % | 6 L NS % | 7 L JAVA % | 8 L CPT % ")</f>
        <v xml:space="preserve">| 5 L PHP-CGM % | 6 L NS % | 7 L JAVA % | 8 L CPT % </v>
      </c>
      <c r="AI117" s="4" t="str">
        <f ca="1">IFERROR(__xludf.DUMMYFUNCTION("""COMPUTED_VALUE"""),"| 5 P JAVA % | 8 L JAVA % | 7 L PHP-CGM % | 9 P NS % ")</f>
        <v xml:space="preserve">| 5 P JAVA % | 8 L JAVA % | 7 L PHP-CGM % | 9 P NS % </v>
      </c>
      <c r="AJ117" s="4" t="str">
        <f ca="1">IFERROR(__xludf.DUMMYFUNCTION("""COMPUTED_VALUE"""),"| 5 P PHP-CGM % | 7 L CPT % | 8 L NS % | 9 P Python % ")</f>
        <v xml:space="preserve">| 5 P PHP-CGM % | 7 L CPT % | 8 L NS % | 9 P Python % </v>
      </c>
      <c r="AK117" s="4" t="str">
        <f ca="1">IFERROR(__xludf.DUMMYFUNCTION("""COMPUTED_VALUE"""),"| 5 L PHP-CGM % | 6 L NS % | 7 P CPT % | 9 P PRO % ")</f>
        <v xml:space="preserve">| 5 L PHP-CGM % | 6 L NS % | 7 P CPT % | 9 P PRO % </v>
      </c>
      <c r="AL117" s="4" t="str">
        <f ca="1">IFERROR(__xludf.DUMMYFUNCTION("""COMPUTED_VALUE"""),"| 5 L JAVA % | 6 L CPT % | 7 P JAVA % | 9 L INE @ ")</f>
        <v xml:space="preserve">| 5 L JAVA % | 6 L CPT % | 7 P JAVA % | 9 L INE @ </v>
      </c>
      <c r="AM117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AN117" s="4" t="str">
        <f ca="1">IFERROR(__xludf.DUMMYFUNCTION("""COMPUTED_VALUE"""),"| 5 P JAVA % | 8 L JAVA % | 7 L PHP-CGM % | 9 P NS % ")</f>
        <v xml:space="preserve">| 5 P JAVA % | 8 L JAVA % | 7 L PHP-CGM % | 9 P NS % </v>
      </c>
      <c r="AO117" s="4" t="str">
        <f ca="1">IFERROR(__xludf.DUMMYFUNCTION("""COMPUTED_VALUE"""),"| 5 P PHP-CGM % | 7 L CPT % | 8 L NS % | 9 P Python % ")</f>
        <v xml:space="preserve">| 5 P PHP-CGM % | 7 L CPT % | 8 L NS % | 9 P Python % </v>
      </c>
      <c r="AP117" s="4" t="str">
        <f ca="1">IFERROR(__xludf.DUMMYFUNCTION("""COMPUTED_VALUE"""),"| 5 L PHP-CGM % | 6 L NS % | 7 P CPT % | 9 P PRO @ ")</f>
        <v xml:space="preserve">| 5 L PHP-CGM % | 6 L NS % | 7 P CPT % | 9 P PRO @ </v>
      </c>
      <c r="AQ117" s="4" t="str">
        <f ca="1">IFERROR(__xludf.DUMMYFUNCTION("""COMPUTED_VALUE"""),"| 5 L CPT % | 7 L JAVA % | 7 P JAVA % | 9 L INE % ")</f>
        <v xml:space="preserve">| 5 L CPT % | 7 L JAVA % | 7 P JAVA % | 9 L INE % </v>
      </c>
      <c r="AR117" s="4" t="str">
        <f ca="1">IFERROR(__xludf.DUMMYFUNCTION("""COMPUTED_VALUE"""),"| 5 L PHP-CGM % | 6 L NS % | 8 L CPT @ ")</f>
        <v xml:space="preserve">| 5 L PHP-CGM % | 6 L NS % | 8 L CPT @ </v>
      </c>
      <c r="AS117" s="4" t="str">
        <f ca="1">IFERROR(__xludf.DUMMYFUNCTION("""COMPUTED_VALUE"""),"| 5 P PHP-CGM % | 7 L CPT % | 8 L NS % | 9 P Python % ")</f>
        <v xml:space="preserve">| 5 P PHP-CGM % | 7 L CPT % | 8 L NS % | 9 P Python % </v>
      </c>
      <c r="AT117" s="4" t="str">
        <f ca="1">IFERROR(__xludf.DUMMYFUNCTION("""COMPUTED_VALUE"""),"| 5 L PHP-CGM % | 6 L NS % | 7 P CPT % | 9 P PRO % ")</f>
        <v xml:space="preserve">| 5 L PHP-CGM % | 6 L NS % | 7 P CPT % | 9 P PRO % </v>
      </c>
      <c r="AU117" s="4" t="str">
        <f ca="1">IFERROR(__xludf.DUMMYFUNCTION("""COMPUTED_VALUE"""),"| 5 L JAVA % | 6 L CPT % | 8 P JAVA % | 9 L INE % ")</f>
        <v xml:space="preserve">| 5 L JAVA % | 6 L CPT % | 8 P JAVA % | 9 L INE % </v>
      </c>
      <c r="AV117" s="4" t="str">
        <f ca="1">IFERROR(__xludf.DUMMYFUNCTION("""COMPUTED_VALUE"""),"| 5 L PHP-CGM % | 6 L NS % | 7 L JAVA % | 8 L CPT % ")</f>
        <v xml:space="preserve">| 5 L PHP-CGM % | 6 L NS % | 7 L JAVA % | 8 L CPT % </v>
      </c>
      <c r="AW117" s="4" t="str">
        <f ca="1">IFERROR(__xludf.DUMMYFUNCTION("""COMPUTED_VALUE"""),"| 5 P JAVA @ | 7 L PHP-CGM @ | 8 L JAVA @ | 9 P NS @ ")</f>
        <v xml:space="preserve">| 5 P JAVA @ | 7 L PHP-CGM @ | 8 L JAVA @ | 9 P NS @ </v>
      </c>
      <c r="AX117" s="4" t="str">
        <f ca="1">IFERROR(__xludf.DUMMYFUNCTION("""COMPUTED_VALUE"""),"| 5 P PHP-CGM % | 7 L CPT % | 8 L NS % | 9 P Python @ ")</f>
        <v xml:space="preserve">| 5 P PHP-CGM % | 7 L CPT % | 8 L NS % | 9 P Python @ </v>
      </c>
      <c r="AY117" s="4" t="str">
        <f ca="1">IFERROR(__xludf.DUMMYFUNCTION("""COMPUTED_VALUE"""),"| 5 L PHP-CGM % | 6 L NS % | 7 P CPT % | 9 P PRO % ")</f>
        <v xml:space="preserve">| 5 L PHP-CGM % | 6 L NS % | 7 P CPT % | 9 P PRO % </v>
      </c>
      <c r="AZ117" s="4" t="str">
        <f ca="1">IFERROR(__xludf.DUMMYFUNCTION("""COMPUTED_VALUE"""),"| 5 L PHP-CGM % | 6 L NS % | 7 L JAVA % | 8 L CPT % ")</f>
        <v xml:space="preserve">| 5 L PHP-CGM % | 6 L NS % | 7 L JAVA % | 8 L CPT % </v>
      </c>
      <c r="BA117" s="4" t="str">
        <f ca="1">IFERROR(__xludf.DUMMYFUNCTION("""COMPUTED_VALUE"""),"| 5 P JAVA % | 7 L PHP-CGM @ | 8 L JAVA @ ")</f>
        <v xml:space="preserve">| 5 P JAVA % | 7 L PHP-CGM @ | 8 L JAVA @ </v>
      </c>
      <c r="BB117" s="4" t="str">
        <f ca="1">IFERROR(__xludf.DUMMYFUNCTION("""COMPUTED_VALUE"""),"| 5 P PHP-CGM % | 7 L CPT % | 8 L NS % ")</f>
        <v xml:space="preserve">| 5 P PHP-CGM % | 7 L CPT % | 8 L NS % </v>
      </c>
      <c r="BC117" s="4" t="str">
        <f ca="1">IFERROR(__xludf.DUMMYFUNCTION("""COMPUTED_VALUE"""),"| 5 L PHP-CGM % | 6 L NS % | 7 P CPT % | 9 P PRO @ ")</f>
        <v xml:space="preserve">| 5 L PHP-CGM % | 6 L NS % | 7 P CPT % | 9 P PRO @ </v>
      </c>
      <c r="BD117" s="4" t="str">
        <f ca="1">IFERROR(__xludf.DUMMYFUNCTION("""COMPUTED_VALUE"""),"| 5 L JAVA % | 6 L CPT % | 7 P JAVA % | 9 L INE @ ")</f>
        <v xml:space="preserve">| 5 L JAVA % | 6 L CPT % | 7 P JAVA % | 9 L INE @ </v>
      </c>
      <c r="BE117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F117" s="4" t="str">
        <f ca="1">IFERROR(__xludf.DUMMYFUNCTION("""COMPUTED_VALUE"""),"| 5 P JAVA % | 7 L PHP-CGM @ | 8 L JAVA @ | 9 P NS @ ")</f>
        <v xml:space="preserve">| 5 P JAVA % | 7 L PHP-CGM @ | 8 L JAVA @ | 9 P NS @ </v>
      </c>
      <c r="BG117" s="4" t="str">
        <f ca="1">IFERROR(__xludf.DUMMYFUNCTION("""COMPUTED_VALUE"""),"| 5 L PHP-CGM % | 6 L NS % | 7 P CPT % | 9 P PRO % ")</f>
        <v xml:space="preserve">| 5 L PHP-CGM % | 6 L NS % | 7 P CPT % | 9 P PRO % </v>
      </c>
      <c r="BH117" s="4" t="str">
        <f ca="1">IFERROR(__xludf.DUMMYFUNCTION("""COMPUTED_VALUE"""),"| 5 L JAVA % | 6 L CPT % | 7 P JAVA % | 9 L INE % ")</f>
        <v xml:space="preserve">| 5 L JAVA % | 6 L CPT % | 7 P JAVA % | 9 L INE % </v>
      </c>
      <c r="BI117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J117" s="4" t="str">
        <f ca="1">IFERROR(__xludf.DUMMYFUNCTION("""COMPUTED_VALUE"""),"| 5 P JAVA @ | 7 L JAVA @ | 7 L PHP-CGM @ ")</f>
        <v xml:space="preserve">| 5 P JAVA @ | 7 L JAVA @ | 7 L PHP-CGM @ </v>
      </c>
      <c r="BK117" s="4" t="str">
        <f ca="1">IFERROR(__xludf.DUMMYFUNCTION("""COMPUTED_VALUE"""),"| 7 L CPT @ | 8 L NS @ ")</f>
        <v xml:space="preserve">| 7 L CPT @ | 8 L NS @ </v>
      </c>
      <c r="BL117" s="4" t="str">
        <f ca="1">IFERROR(__xludf.DUMMYFUNCTION("""COMPUTED_VALUE"""),"| 5 L PHP-CGM % | 6 L NS % | 7 P CPT @ ")</f>
        <v xml:space="preserve">| 5 L PHP-CGM % | 6 L NS % | 7 P CPT @ </v>
      </c>
      <c r="BM117" s="4" t="str">
        <f ca="1">IFERROR(__xludf.DUMMYFUNCTION("""COMPUTED_VALUE"""),"| 5 L JAVA % | 6 L CPT % | 9 L INE @ ")</f>
        <v xml:space="preserve">| 5 L JAVA % | 6 L CPT % | 9 L INE @ </v>
      </c>
      <c r="BN117" s="4" t="str">
        <f ca="1">IFERROR(__xludf.DUMMYFUNCTION("""COMPUTED_VALUE"""),"| 5 L PHP-CGM @ | 6 L NS @ | 9 L JAVA @ | 8 L CPT @ ")</f>
        <v xml:space="preserve">| 5 L PHP-CGM @ | 6 L NS @ | 9 L JAVA @ | 8 L CPT @ </v>
      </c>
      <c r="BO117" s="4" t="str">
        <f ca="1">IFERROR(__xludf.DUMMYFUNCTION("""COMPUTED_VALUE"""),"| 5 P JAVA % | 7 L PHP-CGM @ ")</f>
        <v xml:space="preserve">| 5 P JAVA % | 7 L PHP-CGM @ </v>
      </c>
      <c r="BP117" s="4" t="str">
        <f ca="1">IFERROR(__xludf.DUMMYFUNCTION("""COMPUTED_VALUE"""),"| 5 P PHP-CGM % | 7 L CPT % | 8 L NS % ")</f>
        <v xml:space="preserve">| 5 P PHP-CGM % | 7 L CPT % | 8 L NS % </v>
      </c>
      <c r="BQ117" s="4" t="str">
        <f ca="1">IFERROR(__xludf.DUMMYFUNCTION("""COMPUTED_VALUE"""),"| 5 L JAVA % | 6 L CPT % ")</f>
        <v xml:space="preserve">| 5 L JAVA % | 6 L CPT % </v>
      </c>
      <c r="BR117" s="4" t="str">
        <f ca="1">IFERROR(__xludf.DUMMYFUNCTION("""COMPUTED_VALUE"""),"| 7 L JAVA @ ")</f>
        <v xml:space="preserve">| 7 L JAVA @ </v>
      </c>
      <c r="BS117" s="4"/>
      <c r="BT117" s="4" t="str">
        <f ca="1">IFERROR(__xludf.DUMMYFUNCTION("""COMPUTED_VALUE"""),"| 7 L CPT @ ")</f>
        <v xml:space="preserve">| 7 L CPT @ </v>
      </c>
      <c r="BU117" s="4" t="str">
        <f ca="1">IFERROR(__xludf.DUMMYFUNCTION("""COMPUTED_VALUE"""),"| 7 P CPT @ ")</f>
        <v xml:space="preserve">| 7 P CPT @ </v>
      </c>
      <c r="BV117" s="4" t="str">
        <f ca="1">IFERROR(__xludf.DUMMYFUNCTION("""COMPUTED_VALUE"""),"| 5 P PHP-CGM % | 7 L CPT % | 8 L NS % | 9 P Python % ")</f>
        <v xml:space="preserve">| 5 P PHP-CGM % | 7 L CPT % | 8 L NS % | 9 P Python % </v>
      </c>
      <c r="BW117" s="4"/>
      <c r="BX117" s="4" t="str">
        <f ca="1">IFERROR(__xludf.DUMMYFUNCTION("""COMPUTED_VALUE"""),"| 5 L JAVA % | 6 L CPT % | 7 P JAVA % ")</f>
        <v xml:space="preserve">| 5 L JAVA % | 6 L CPT % | 7 P JAVA % </v>
      </c>
      <c r="BY117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BZ117" s="4" t="str">
        <f ca="1">IFERROR(__xludf.DUMMYFUNCTION("""COMPUTED_VALUE"""),"| 5 P JAVA % | 8 L JAVA % | 7 L PHP-CGM % | 9 P NS % ")</f>
        <v xml:space="preserve">| 5 P JAVA % | 8 L JAVA % | 7 L PHP-CGM % | 9 P NS % </v>
      </c>
      <c r="CA117" s="4" t="str">
        <f ca="1">IFERROR(__xludf.DUMMYFUNCTION("""COMPUTED_VALUE"""),"| 7 L CPT % | 8 L NS % | 9 P Python % ")</f>
        <v xml:space="preserve">| 7 L CPT % | 8 L NS % | 9 P Python % </v>
      </c>
      <c r="CB117" s="4" t="str">
        <f ca="1">IFERROR(__xludf.DUMMYFUNCTION("""COMPUTED_VALUE"""),"| 5 L PHP-CGM % | 6 L NS % | 7 P CPT % ")</f>
        <v xml:space="preserve">| 5 L PHP-CGM % | 6 L NS % | 7 P CPT % </v>
      </c>
      <c r="CC117" s="4" t="str">
        <f ca="1">IFERROR(__xludf.DUMMYFUNCTION("""COMPUTED_VALUE"""),"| 5 L JAVA % | 7 P JAVA % | 9 L INE % ")</f>
        <v xml:space="preserve">| 5 L JAVA % | 7 P JAVA % | 9 L INE % </v>
      </c>
      <c r="CD117" s="4" t="str">
        <f ca="1">IFERROR(__xludf.DUMMYFUNCTION("""COMPUTED_VALUE"""),"| 5 L PHP-CGM % | 6 L NS % | 7 L JAVA % | 8 L CPT % ")</f>
        <v xml:space="preserve">| 5 L PHP-CGM % | 6 L NS % | 7 L JAVA % | 8 L CPT % </v>
      </c>
      <c r="CE117" s="4" t="str">
        <f ca="1">IFERROR(__xludf.DUMMYFUNCTION("""COMPUTED_VALUE"""),"| 5 P JAVA % | 8 L JAVA % | 7 L PHP-CGM % | 9 P NS % ")</f>
        <v xml:space="preserve">| 5 P JAVA % | 8 L JAVA % | 7 L PHP-CGM % | 9 P NS % </v>
      </c>
      <c r="CF117" s="4" t="str">
        <f ca="1">IFERROR(__xludf.DUMMYFUNCTION("""COMPUTED_VALUE"""),"| 7 L CPT % | 8 L NS % | 9 P Python % ")</f>
        <v xml:space="preserve">| 7 L CPT % | 8 L NS % | 9 P Python % </v>
      </c>
      <c r="CG117" s="4" t="str">
        <f ca="1">IFERROR(__xludf.DUMMYFUNCTION("""COMPUTED_VALUE"""),"| 5 L PHP-CGM @ | 6 L NS % | 7 P CPT % ")</f>
        <v xml:space="preserve">| 5 L PHP-CGM @ | 6 L NS % | 7 P CPT % </v>
      </c>
      <c r="CH117" s="4" t="str">
        <f ca="1">IFERROR(__xludf.DUMMYFUNCTION("""COMPUTED_VALUE"""),"| 5 L JAVA @ | 6 L CPT @ | 7 P JAVA % | 9 L INE @ ")</f>
        <v xml:space="preserve">| 5 L JAVA @ | 6 L CPT @ | 7 P JAVA % | 9 L INE @ </v>
      </c>
      <c r="CI117" s="4" t="str">
        <f ca="1">IFERROR(__xludf.DUMMYFUNCTION("""COMPUTED_VALUE"""),"| 5 L PHP-CGM @ | 7 L JAVA @ | 8 L CPT @ ")</f>
        <v xml:space="preserve">| 5 L PHP-CGM @ | 7 L JAVA @ | 8 L CPT @ </v>
      </c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</row>
    <row r="118" spans="1:102" ht="12.5" x14ac:dyDescent="0.25">
      <c r="A118" s="3">
        <f ca="1">IFERROR(__xludf.DUMMYFUNCTION("""COMPUTED_VALUE"""),2)</f>
        <v>2</v>
      </c>
      <c r="B118" s="3" t="str">
        <f ca="1">IFERROR(__xludf.DUMMYFUNCTION("""COMPUTED_VALUE"""),"B")</f>
        <v>B</v>
      </c>
      <c r="C118" s="32" t="str">
        <f ca="1">IFERROR(__xludf.DUMMYFUNCTION("""COMPUTED_VALUE"""),"23291341074")</f>
        <v>23291341074</v>
      </c>
      <c r="D118" s="4" t="str">
        <f ca="1">IFERROR(__xludf.DUMMYFUNCTION("""COMPUTED_VALUE"""),"PARMAR VRAJ SATISHKUMAR")</f>
        <v>PARMAR VRAJ SATISHKUMAR</v>
      </c>
      <c r="E118" s="3" t="str">
        <f ca="1">IFERROR(__xludf.DUMMYFUNCTION("""COMPUTED_VALUE"""),"HAM/HDP-EVE")</f>
        <v>HAM/HDP-EVE</v>
      </c>
      <c r="F118" s="3">
        <f ca="1">IFERROR(__xludf.DUMMYFUNCTION("""COMPUTED_VALUE"""),8160008656)</f>
        <v>8160008656</v>
      </c>
      <c r="G118" s="3">
        <f ca="1">IFERROR(__xludf.DUMMYFUNCTION("""COMPUTED_VALUE"""),9727692745)</f>
        <v>9727692745</v>
      </c>
      <c r="H118" s="33">
        <f ca="1">IFERROR(__xludf.DUMMYFUNCTION("""COMPUTED_VALUE"""),0.659090909090909)</f>
        <v>0.65909090909090895</v>
      </c>
      <c r="I118" s="25">
        <f ca="1">IFERROR(__xludf.DUMMYFUNCTION("""COMPUTED_VALUE"""),0.54054054054054)</f>
        <v>0.54054054054054002</v>
      </c>
      <c r="J118" s="25">
        <f ca="1">IFERROR(__xludf.DUMMYFUNCTION("""COMPUTED_VALUE"""),0.666666666666666)</f>
        <v>0.66666666666666596</v>
      </c>
      <c r="K118" s="25">
        <f ca="1">IFERROR(__xludf.DUMMYFUNCTION("""COMPUTED_VALUE"""),0.588235294117647)</f>
        <v>0.58823529411764697</v>
      </c>
      <c r="L118" s="25">
        <f ca="1">IFERROR(__xludf.DUMMYFUNCTION("""COMPUTED_VALUE"""),0.428571428571428)</f>
        <v>0.42857142857142799</v>
      </c>
      <c r="M118" s="25">
        <f ca="1">IFERROR(__xludf.DUMMYFUNCTION("""COMPUTED_VALUE"""),0.714285714285714)</f>
        <v>0.71428571428571397</v>
      </c>
      <c r="N118" s="25">
        <f ca="1">IFERROR(__xludf.DUMMYFUNCTION("""COMPUTED_VALUE"""),1)</f>
        <v>1</v>
      </c>
      <c r="O118" s="25">
        <f ca="1">IFERROR(__xludf.DUMMYFUNCTION("""COMPUTED_VALUE"""),0.685714285714285)</f>
        <v>0.68571428571428505</v>
      </c>
      <c r="P118" s="25">
        <f ca="1">IFERROR(__xludf.DUMMYFUNCTION("""COMPUTED_VALUE"""),0.809523809523809)</f>
        <v>0.80952380952380898</v>
      </c>
      <c r="Q118" s="25">
        <f ca="1">IFERROR(__xludf.DUMMYFUNCTION("""COMPUTED_VALUE"""),0)</f>
        <v>0</v>
      </c>
      <c r="R118" s="25">
        <f ca="1">IFERROR(__xludf.DUMMYFUNCTION("""COMPUTED_VALUE"""),0.733333333333333)</f>
        <v>0.73333333333333295</v>
      </c>
      <c r="S118" s="25">
        <f ca="1">IFERROR(__xludf.DUMMYFUNCTION("""COMPUTED_VALUE"""),0)</f>
        <v>0</v>
      </c>
      <c r="T118" s="25">
        <f ca="1">IFERROR(__xludf.DUMMYFUNCTION("""COMPUTED_VALUE"""),0.571428571428571)</f>
        <v>0.57142857142857095</v>
      </c>
      <c r="U118" s="25">
        <f ca="1">IFERROR(__xludf.DUMMYFUNCTION("""COMPUTED_VALUE"""),0.5)</f>
        <v>0.5</v>
      </c>
      <c r="V118" s="25">
        <f ca="1">IFERROR(__xludf.DUMMYFUNCTION("""COMPUTED_VALUE"""),0)</f>
        <v>0</v>
      </c>
      <c r="W118" s="4"/>
      <c r="X118" s="4" t="str">
        <f ca="1">IFERROR(__xludf.DUMMYFUNCTION("""COMPUTED_VALUE"""),"| 5 P PHP-CGM % | 7 L CPT % | 8 L NS % | 9 P Python % ")</f>
        <v xml:space="preserve">| 5 P PHP-CGM % | 7 L CPT % | 8 L NS % | 9 P Python % </v>
      </c>
      <c r="Y118" s="4" t="str">
        <f ca="1">IFERROR(__xludf.DUMMYFUNCTION("""COMPUTED_VALUE"""),"| 5 L PHP-CGM % | 6 L NS % | 8 P CPT % | 9 P PRO % ")</f>
        <v xml:space="preserve">| 5 L PHP-CGM % | 6 L NS % | 8 P CPT % | 9 P PRO % </v>
      </c>
      <c r="Z118" s="4" t="str">
        <f ca="1">IFERROR(__xludf.DUMMYFUNCTION("""COMPUTED_VALUE"""),"| 5 L JAVA % | 6 L CPT % | 7 P JAVA % ")</f>
        <v xml:space="preserve">| 5 L JAVA % | 6 L CPT % | 7 P JAVA % </v>
      </c>
      <c r="AA118" s="4" t="str">
        <f ca="1">IFERROR(__xludf.DUMMYFUNCTION("""COMPUTED_VALUE"""),"| 5 L PHP-CGM % | 7 L JAVA % | 9 P Python % | 8 L CPT % ")</f>
        <v xml:space="preserve">| 5 L PHP-CGM % | 7 L JAVA % | 9 P Python % | 8 L CPT % </v>
      </c>
      <c r="AB118" s="4" t="str">
        <f ca="1">IFERROR(__xludf.DUMMYFUNCTION("""COMPUTED_VALUE"""),"| 5 P JAVA % | 7 L PHP-CGM % | 8 L JAVA % | 9 P NS @ ")</f>
        <v xml:space="preserve">| 5 P JAVA % | 7 L PHP-CGM % | 8 L JAVA % | 9 P NS @ </v>
      </c>
      <c r="AC118" s="4" t="str">
        <f ca="1">IFERROR(__xludf.DUMMYFUNCTION("""COMPUTED_VALUE"""),"| 5 P PHP-CGM % | 7 L CPT % | 8 L NS % | 9 P Python % ")</f>
        <v xml:space="preserve">| 5 P PHP-CGM % | 7 L CPT % | 8 L NS % | 9 P Python % </v>
      </c>
      <c r="AD118" s="4" t="str">
        <f ca="1">IFERROR(__xludf.DUMMYFUNCTION("""COMPUTED_VALUE"""),"| 5 L PHP-CGM % | 6 L NS % | 7 P CPT % ")</f>
        <v xml:space="preserve">| 5 L PHP-CGM % | 6 L NS % | 7 P CPT % </v>
      </c>
      <c r="AE118" s="4" t="str">
        <f ca="1">IFERROR(__xludf.DUMMYFUNCTION("""COMPUTED_VALUE"""),"| 5 L JAVA % | 6 L CPT % | 7 P JAVA % ")</f>
        <v xml:space="preserve">| 5 L JAVA % | 6 L CPT % | 7 P JAVA % </v>
      </c>
      <c r="AF118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G118" s="4" t="str">
        <f ca="1">IFERROR(__xludf.DUMMYFUNCTION("""COMPUTED_VALUE"""),"| 5 P JAVA % | 8 L JAVA % | 7 L PHP-CGM % ")</f>
        <v xml:space="preserve">| 5 P JAVA % | 8 L JAVA % | 7 L PHP-CGM % </v>
      </c>
      <c r="AH118" s="4" t="str">
        <f ca="1">IFERROR(__xludf.DUMMYFUNCTION("""COMPUTED_VALUE"""),"| 5 L PHP-CGM % | 6 L NS % | 7 L JAVA % | 8 L CPT % ")</f>
        <v xml:space="preserve">| 5 L PHP-CGM % | 6 L NS % | 7 L JAVA % | 8 L CPT % </v>
      </c>
      <c r="AI118" s="4" t="str">
        <f ca="1">IFERROR(__xludf.DUMMYFUNCTION("""COMPUTED_VALUE"""),"| 5 P JAVA % | 8 L JAVA % | 7 L PHP-CGM % | 9 P NS % ")</f>
        <v xml:space="preserve">| 5 P JAVA % | 8 L JAVA % | 7 L PHP-CGM % | 9 P NS % </v>
      </c>
      <c r="AJ118" s="4" t="str">
        <f ca="1">IFERROR(__xludf.DUMMYFUNCTION("""COMPUTED_VALUE"""),"| 5 P PHP-CGM % | 7 L CPT % | 8 L NS % | 9 P Python % ")</f>
        <v xml:space="preserve">| 5 P PHP-CGM % | 7 L CPT % | 8 L NS % | 9 P Python % </v>
      </c>
      <c r="AK118" s="4" t="str">
        <f ca="1">IFERROR(__xludf.DUMMYFUNCTION("""COMPUTED_VALUE"""),"| 5 L PHP-CGM @ | 6 L NS @ | 7 P CPT @ | 9 P PRO @ ")</f>
        <v xml:space="preserve">| 5 L PHP-CGM @ | 6 L NS @ | 7 P CPT @ | 9 P PRO @ </v>
      </c>
      <c r="AL118" s="4" t="str">
        <f ca="1">IFERROR(__xludf.DUMMYFUNCTION("""COMPUTED_VALUE"""),"| 5 L JAVA % | 6 L CPT % | 7 P JAVA % | 9 L INE @ ")</f>
        <v xml:space="preserve">| 5 L JAVA % | 6 L CPT % | 7 P JAVA % | 9 L INE @ </v>
      </c>
      <c r="AM118" s="4" t="str">
        <f ca="1">IFERROR(__xludf.DUMMYFUNCTION("""COMPUTED_VALUE"""),"| 5 L PHP-CGM @ | 6 L NS @ | 7 L JAVA @ | 8 L CPT @ | 9 P Python @ ")</f>
        <v xml:space="preserve">| 5 L PHP-CGM @ | 6 L NS @ | 7 L JAVA @ | 8 L CPT @ | 9 P Python @ </v>
      </c>
      <c r="AN118" s="4" t="str">
        <f ca="1">IFERROR(__xludf.DUMMYFUNCTION("""COMPUTED_VALUE"""),"| 5 P JAVA % | 8 L JAVA % | 7 L PHP-CGM % | 9 P NS @ ")</f>
        <v xml:space="preserve">| 5 P JAVA % | 8 L JAVA % | 7 L PHP-CGM % | 9 P NS @ </v>
      </c>
      <c r="AO118" s="4" t="str">
        <f ca="1">IFERROR(__xludf.DUMMYFUNCTION("""COMPUTED_VALUE"""),"| 5 P PHP-CGM % | 7 L CPT % | 8 L NS % | 9 P Python % ")</f>
        <v xml:space="preserve">| 5 P PHP-CGM % | 7 L CPT % | 8 L NS % | 9 P Python % </v>
      </c>
      <c r="AP118" s="4" t="str">
        <f ca="1">IFERROR(__xludf.DUMMYFUNCTION("""COMPUTED_VALUE"""),"| 5 L PHP-CGM % | 6 L NS % | 7 P CPT % | 9 P PRO @ ")</f>
        <v xml:space="preserve">| 5 L PHP-CGM % | 6 L NS % | 7 P CPT % | 9 P PRO @ </v>
      </c>
      <c r="AQ118" s="4" t="str">
        <f ca="1">IFERROR(__xludf.DUMMYFUNCTION("""COMPUTED_VALUE"""),"| 5 L CPT @ | 7 L JAVA @ | 7 P JAVA @ | 9 L INE @ ")</f>
        <v xml:space="preserve">| 5 L CPT @ | 7 L JAVA @ | 7 P JAVA @ | 9 L INE @ </v>
      </c>
      <c r="AR118" s="4" t="str">
        <f ca="1">IFERROR(__xludf.DUMMYFUNCTION("""COMPUTED_VALUE"""),"| 5 L PHP-CGM @ | 6 L NS @ | 8 L CPT @ ")</f>
        <v xml:space="preserve">| 5 L PHP-CGM @ | 6 L NS @ | 8 L CPT @ </v>
      </c>
      <c r="AS118" s="4" t="str">
        <f ca="1">IFERROR(__xludf.DUMMYFUNCTION("""COMPUTED_VALUE"""),"| 5 P PHP-CGM % | 7 L CPT % | 8 L NS % | 9 P Python @ ")</f>
        <v xml:space="preserve">| 5 P PHP-CGM % | 7 L CPT % | 8 L NS % | 9 P Python @ </v>
      </c>
      <c r="AT118" s="4" t="str">
        <f ca="1">IFERROR(__xludf.DUMMYFUNCTION("""COMPUTED_VALUE"""),"| 5 L PHP-CGM % | 6 L NS % | 7 P CPT % | 9 P PRO @ ")</f>
        <v xml:space="preserve">| 5 L PHP-CGM % | 6 L NS % | 7 P CPT % | 9 P PRO @ </v>
      </c>
      <c r="AU118" s="4" t="str">
        <f ca="1">IFERROR(__xludf.DUMMYFUNCTION("""COMPUTED_VALUE"""),"| 5 L JAVA @ | 6 L CPT @ | 8 P JAVA @ | 9 L INE @ ")</f>
        <v xml:space="preserve">| 5 L JAVA @ | 6 L CPT @ | 8 P JAVA @ | 9 L INE @ </v>
      </c>
      <c r="AV118" s="4" t="str">
        <f ca="1">IFERROR(__xludf.DUMMYFUNCTION("""COMPUTED_VALUE"""),"| 5 L PHP-CGM % | 6 L NS % | 7 L JAVA % | 8 L CPT % ")</f>
        <v xml:space="preserve">| 5 L PHP-CGM % | 6 L NS % | 7 L JAVA % | 8 L CPT % </v>
      </c>
      <c r="AW118" s="4" t="str">
        <f ca="1">IFERROR(__xludf.DUMMYFUNCTION("""COMPUTED_VALUE"""),"| 5 P JAVA % | 7 L PHP-CGM @ | 8 L JAVA @ | 9 P NS @ ")</f>
        <v xml:space="preserve">| 5 P JAVA % | 7 L PHP-CGM @ | 8 L JAVA @ | 9 P NS @ </v>
      </c>
      <c r="AX118" s="4" t="str">
        <f ca="1">IFERROR(__xludf.DUMMYFUNCTION("""COMPUTED_VALUE"""),"| 5 P PHP-CGM % | 7 L CPT % | 8 L NS % | 9 P Python % ")</f>
        <v xml:space="preserve">| 5 P PHP-CGM % | 7 L CPT % | 8 L NS % | 9 P Python % </v>
      </c>
      <c r="AY118" s="4" t="str">
        <f ca="1">IFERROR(__xludf.DUMMYFUNCTION("""COMPUTED_VALUE"""),"| 5 L PHP-CGM % | 6 L NS % | 7 P CPT % | 9 P PRO % ")</f>
        <v xml:space="preserve">| 5 L PHP-CGM % | 6 L NS % | 7 P CPT % | 9 P PRO % </v>
      </c>
      <c r="AZ118" s="4" t="str">
        <f ca="1">IFERROR(__xludf.DUMMYFUNCTION("""COMPUTED_VALUE"""),"| 5 L PHP-CGM % | 6 L NS % | 7 L JAVA % | 8 L CPT % ")</f>
        <v xml:space="preserve">| 5 L PHP-CGM % | 6 L NS % | 7 L JAVA % | 8 L CPT % </v>
      </c>
      <c r="BA118" s="4" t="str">
        <f ca="1">IFERROR(__xludf.DUMMYFUNCTION("""COMPUTED_VALUE"""),"| 5 P JAVA % | 7 L PHP-CGM % | 8 L JAVA % ")</f>
        <v xml:space="preserve">| 5 P JAVA % | 7 L PHP-CGM % | 8 L JAVA % </v>
      </c>
      <c r="BB118" s="4" t="str">
        <f ca="1">IFERROR(__xludf.DUMMYFUNCTION("""COMPUTED_VALUE"""),"| 5 P PHP-CGM % | 7 L CPT @ | 8 L NS @ ")</f>
        <v xml:space="preserve">| 5 P PHP-CGM % | 7 L CPT @ | 8 L NS @ </v>
      </c>
      <c r="BC118" s="4" t="str">
        <f ca="1">IFERROR(__xludf.DUMMYFUNCTION("""COMPUTED_VALUE"""),"| 5 L PHP-CGM % | 6 L NS @ | 7 P CPT % | 9 P PRO % ")</f>
        <v xml:space="preserve">| 5 L PHP-CGM % | 6 L NS @ | 7 P CPT % | 9 P PRO % </v>
      </c>
      <c r="BD118" s="4" t="str">
        <f ca="1">IFERROR(__xludf.DUMMYFUNCTION("""COMPUTED_VALUE"""),"| 5 L JAVA % | 6 L CPT @ | 7 P JAVA % | 9 L INE % ")</f>
        <v xml:space="preserve">| 5 L JAVA % | 6 L CPT @ | 7 P JAVA % | 9 L INE % </v>
      </c>
      <c r="BE118" s="4" t="str">
        <f ca="1">IFERROR(__xludf.DUMMYFUNCTION("""COMPUTED_VALUE"""),"| 5 L PHP-CGM % | 6 L NS @ | 7 L JAVA % | 8 L CPT @ | 9 P Python % ")</f>
        <v xml:space="preserve">| 5 L PHP-CGM % | 6 L NS @ | 7 L JAVA % | 8 L CPT @ | 9 P Python % </v>
      </c>
      <c r="BF118" s="4" t="str">
        <f ca="1">IFERROR(__xludf.DUMMYFUNCTION("""COMPUTED_VALUE"""),"| 5 P JAVA % | 7 L PHP-CGM % | 8 L JAVA % | 9 P NS @ ")</f>
        <v xml:space="preserve">| 5 P JAVA % | 7 L PHP-CGM % | 8 L JAVA % | 9 P NS @ </v>
      </c>
      <c r="BG118" s="4" t="str">
        <f ca="1">IFERROR(__xludf.DUMMYFUNCTION("""COMPUTED_VALUE"""),"| 5 L PHP-CGM % | 6 L NS @ | 7 P CPT @ | 9 P PRO % ")</f>
        <v xml:space="preserve">| 5 L PHP-CGM % | 6 L NS @ | 7 P CPT @ | 9 P PRO % </v>
      </c>
      <c r="BH118" s="4" t="str">
        <f ca="1">IFERROR(__xludf.DUMMYFUNCTION("""COMPUTED_VALUE"""),"| 5 L JAVA % | 6 L CPT @ | 7 P JAVA % | 9 L INE % ")</f>
        <v xml:space="preserve">| 5 L JAVA % | 6 L CPT @ | 7 P JAVA % | 9 L INE % </v>
      </c>
      <c r="BI118" s="4" t="str">
        <f ca="1">IFERROR(__xludf.DUMMYFUNCTION("""COMPUTED_VALUE"""),"| 5 L PHP-CGM % | 6 L NS @ | 7 L JAVA % | 8 L CPT @ | 9 P Python @ ")</f>
        <v xml:space="preserve">| 5 L PHP-CGM % | 6 L NS @ | 7 L JAVA % | 8 L CPT @ | 9 P Python @ </v>
      </c>
      <c r="BJ118" s="4" t="str">
        <f ca="1">IFERROR(__xludf.DUMMYFUNCTION("""COMPUTED_VALUE"""),"| 5 P JAVA @ | 7 L JAVA @ | 7 L PHP-CGM @ ")</f>
        <v xml:space="preserve">| 5 P JAVA @ | 7 L JAVA @ | 7 L PHP-CGM @ </v>
      </c>
      <c r="BK118" s="4" t="str">
        <f ca="1">IFERROR(__xludf.DUMMYFUNCTION("""COMPUTED_VALUE"""),"| 7 L CPT @ | 8 L NS @ ")</f>
        <v xml:space="preserve">| 7 L CPT @ | 8 L NS @ </v>
      </c>
      <c r="BL118" s="4" t="str">
        <f ca="1">IFERROR(__xludf.DUMMYFUNCTION("""COMPUTED_VALUE"""),"| 5 L PHP-CGM @ | 6 L NS @ | 7 P CPT @ ")</f>
        <v xml:space="preserve">| 5 L PHP-CGM @ | 6 L NS @ | 7 P CPT @ </v>
      </c>
      <c r="BM118" s="4" t="str">
        <f ca="1">IFERROR(__xludf.DUMMYFUNCTION("""COMPUTED_VALUE"""),"| 5 L JAVA @ | 6 L CPT @ | 9 L INE @ ")</f>
        <v xml:space="preserve">| 5 L JAVA @ | 6 L CPT @ | 9 L INE @ </v>
      </c>
      <c r="BN118" s="4" t="str">
        <f ca="1">IFERROR(__xludf.DUMMYFUNCTION("""COMPUTED_VALUE"""),"| 5 L PHP-CGM @ | 6 L NS @ | 9 L JAVA @ | 8 L CPT @ ")</f>
        <v xml:space="preserve">| 5 L PHP-CGM @ | 6 L NS @ | 9 L JAVA @ | 8 L CPT @ </v>
      </c>
      <c r="BO118" s="4" t="str">
        <f ca="1">IFERROR(__xludf.DUMMYFUNCTION("""COMPUTED_VALUE"""),"| 5 P JAVA @ | 7 L PHP-CGM @ ")</f>
        <v xml:space="preserve">| 5 P JAVA @ | 7 L PHP-CGM @ </v>
      </c>
      <c r="BP118" s="4" t="str">
        <f ca="1">IFERROR(__xludf.DUMMYFUNCTION("""COMPUTED_VALUE"""),"| 5 P PHP-CGM % | 7 L CPT % | 8 L NS @ ")</f>
        <v xml:space="preserve">| 5 P PHP-CGM % | 7 L CPT % | 8 L NS @ </v>
      </c>
      <c r="BQ118" s="4" t="str">
        <f ca="1">IFERROR(__xludf.DUMMYFUNCTION("""COMPUTED_VALUE"""),"| 5 L JAVA @ | 6 L CPT @ ")</f>
        <v xml:space="preserve">| 5 L JAVA @ | 6 L CPT @ </v>
      </c>
      <c r="BR118" s="4" t="str">
        <f ca="1">IFERROR(__xludf.DUMMYFUNCTION("""COMPUTED_VALUE"""),"| 7 L JAVA @ ")</f>
        <v xml:space="preserve">| 7 L JAVA @ </v>
      </c>
      <c r="BS118" s="4"/>
      <c r="BT118" s="4" t="str">
        <f ca="1">IFERROR(__xludf.DUMMYFUNCTION("""COMPUTED_VALUE"""),"| 7 L CPT @ ")</f>
        <v xml:space="preserve">| 7 L CPT @ </v>
      </c>
      <c r="BU118" s="4" t="str">
        <f ca="1">IFERROR(__xludf.DUMMYFUNCTION("""COMPUTED_VALUE"""),"| 7 P CPT @ ")</f>
        <v xml:space="preserve">| 7 P CPT @ </v>
      </c>
      <c r="BV118" s="4" t="str">
        <f ca="1">IFERROR(__xludf.DUMMYFUNCTION("""COMPUTED_VALUE"""),"| 5 P PHP-CGM % | 7 L CPT % | 8 L NS % | 9 P Python % ")</f>
        <v xml:space="preserve">| 5 P PHP-CGM % | 7 L CPT % | 8 L NS % | 9 P Python % </v>
      </c>
      <c r="BW118" s="4"/>
      <c r="BX118" s="4" t="str">
        <f ca="1">IFERROR(__xludf.DUMMYFUNCTION("""COMPUTED_VALUE"""),"| 5 L JAVA % | 6 L CPT % | 7 P JAVA % ")</f>
        <v xml:space="preserve">| 5 L JAVA % | 6 L CPT % | 7 P JAVA % </v>
      </c>
      <c r="BY118" s="4" t="str">
        <f ca="1">IFERROR(__xludf.DUMMYFUNCTION("""COMPUTED_VALUE"""),"| 5 L PHP-CGM % | 6 L NS % | 7 L JAVA % | 8 L CPT % | 9 P Python % ")</f>
        <v xml:space="preserve">| 5 L PHP-CGM % | 6 L NS % | 7 L JAVA % | 8 L CPT % | 9 P Python % </v>
      </c>
      <c r="BZ118" s="4" t="str">
        <f ca="1">IFERROR(__xludf.DUMMYFUNCTION("""COMPUTED_VALUE"""),"| 5 P JAVA % | 8 L JAVA % | 7 L PHP-CGM % | 9 P NS % ")</f>
        <v xml:space="preserve">| 5 P JAVA % | 8 L JAVA % | 7 L PHP-CGM % | 9 P NS % </v>
      </c>
      <c r="CA118" s="4" t="str">
        <f ca="1">IFERROR(__xludf.DUMMYFUNCTION("""COMPUTED_VALUE"""),"| 7 L CPT % | 8 L NS % | 9 P Python % ")</f>
        <v xml:space="preserve">| 7 L CPT % | 8 L NS % | 9 P Python % </v>
      </c>
      <c r="CB118" s="4" t="str">
        <f ca="1">IFERROR(__xludf.DUMMYFUNCTION("""COMPUTED_VALUE"""),"| 5 L PHP-CGM % | 6 L NS % | 7 P CPT % ")</f>
        <v xml:space="preserve">| 5 L PHP-CGM % | 6 L NS % | 7 P CPT % </v>
      </c>
      <c r="CC118" s="4" t="str">
        <f ca="1">IFERROR(__xludf.DUMMYFUNCTION("""COMPUTED_VALUE"""),"| 5 L JAVA % | 7 P JAVA % | 9 L INE % ")</f>
        <v xml:space="preserve">| 5 L JAVA % | 7 P JAVA % | 9 L INE % </v>
      </c>
      <c r="CD118" s="4" t="str">
        <f ca="1">IFERROR(__xludf.DUMMYFUNCTION("""COMPUTED_VALUE"""),"| 5 L PHP-CGM @ | 6 L NS @ | 7 L JAVA @ | 8 L CPT @ ")</f>
        <v xml:space="preserve">| 5 L PHP-CGM @ | 6 L NS @ | 7 L JAVA @ | 8 L CPT @ </v>
      </c>
      <c r="CE118" s="4" t="str">
        <f ca="1">IFERROR(__xludf.DUMMYFUNCTION("""COMPUTED_VALUE"""),"| 5 P JAVA % | 8 L JAVA % | 7 L PHP-CGM % | 9 P NS % ")</f>
        <v xml:space="preserve">| 5 P JAVA % | 8 L JAVA % | 7 L PHP-CGM % | 9 P NS % </v>
      </c>
      <c r="CF118" s="4" t="str">
        <f ca="1">IFERROR(__xludf.DUMMYFUNCTION("""COMPUTED_VALUE"""),"| 7 L CPT % | 8 L NS % | 9 P Python % ")</f>
        <v xml:space="preserve">| 7 L CPT % | 8 L NS % | 9 P Python % </v>
      </c>
      <c r="CG118" s="4" t="str">
        <f ca="1">IFERROR(__xludf.DUMMYFUNCTION("""COMPUTED_VALUE"""),"| 5 L PHP-CGM % | 6 L NS % | 7 P CPT % ")</f>
        <v xml:space="preserve">| 5 L PHP-CGM % | 6 L NS % | 7 P CPT % </v>
      </c>
      <c r="CH118" s="4" t="str">
        <f ca="1">IFERROR(__xludf.DUMMYFUNCTION("""COMPUTED_VALUE"""),"| 5 L JAVA % | 6 L CPT % | 7 P JAVA % | 9 L INE % ")</f>
        <v xml:space="preserve">| 5 L JAVA % | 6 L CPT % | 7 P JAVA % | 9 L INE % </v>
      </c>
      <c r="CI118" s="4" t="str">
        <f ca="1">IFERROR(__xludf.DUMMYFUNCTION("""COMPUTED_VALUE"""),"| 5 L PHP-CGM % | 7 L JAVA % | 8 L CPT @ ")</f>
        <v xml:space="preserve">| 5 L PHP-CGM % | 7 L JAVA % | 8 L CPT @ </v>
      </c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</row>
    <row r="119" spans="1:102" ht="12.5" x14ac:dyDescent="0.25">
      <c r="A119" s="3">
        <f ca="1">IFERROR(__xludf.DUMMYFUNCTION("""COMPUTED_VALUE"""),3)</f>
        <v>3</v>
      </c>
      <c r="B119" s="3" t="str">
        <f ca="1">IFERROR(__xludf.DUMMYFUNCTION("""COMPUTED_VALUE"""),"B")</f>
        <v>B</v>
      </c>
      <c r="C119" s="32" t="str">
        <f ca="1">IFERROR(__xludf.DUMMYFUNCTION("""COMPUTED_VALUE"""),"23291341077")</f>
        <v>23291341077</v>
      </c>
      <c r="D119" s="4" t="str">
        <f ca="1">IFERROR(__xludf.DUMMYFUNCTION("""COMPUTED_VALUE"""),"PATEL ARPI ALPESH")</f>
        <v>PATEL ARPI ALPESH</v>
      </c>
      <c r="E119" s="3" t="str">
        <f ca="1">IFERROR(__xludf.DUMMYFUNCTION("""COMPUTED_VALUE"""),"HAM/HDP-EVE")</f>
        <v>HAM/HDP-EVE</v>
      </c>
      <c r="F119" s="3">
        <f ca="1">IFERROR(__xludf.DUMMYFUNCTION("""COMPUTED_VALUE"""),7096919093)</f>
        <v>7096919093</v>
      </c>
      <c r="G119" s="3">
        <f ca="1">IFERROR(__xludf.DUMMYFUNCTION("""COMPUTED_VALUE"""),9824160607)</f>
        <v>9824160607</v>
      </c>
      <c r="H119" s="33">
        <f ca="1">IFERROR(__xludf.DUMMYFUNCTION("""COMPUTED_VALUE"""),0.735930735930735)</f>
        <v>0.73593073593073499</v>
      </c>
      <c r="I119" s="25">
        <f ca="1">IFERROR(__xludf.DUMMYFUNCTION("""COMPUTED_VALUE"""),0.648648648648648)</f>
        <v>0.64864864864864802</v>
      </c>
      <c r="J119" s="25">
        <f ca="1">IFERROR(__xludf.DUMMYFUNCTION("""COMPUTED_VALUE"""),0.909090909090909)</f>
        <v>0.90909090909090895</v>
      </c>
      <c r="K119" s="25">
        <f ca="1">IFERROR(__xludf.DUMMYFUNCTION("""COMPUTED_VALUE"""),0.705882352941176)</f>
        <v>0.70588235294117596</v>
      </c>
      <c r="L119" s="25">
        <f ca="1">IFERROR(__xludf.DUMMYFUNCTION("""COMPUTED_VALUE"""),0.5)</f>
        <v>0.5</v>
      </c>
      <c r="M119" s="25">
        <f ca="1">IFERROR(__xludf.DUMMYFUNCTION("""COMPUTED_VALUE"""),0.857142857142857)</f>
        <v>0.85714285714285698</v>
      </c>
      <c r="N119" s="25">
        <f ca="1">IFERROR(__xludf.DUMMYFUNCTION("""COMPUTED_VALUE"""),0.75)</f>
        <v>0.75</v>
      </c>
      <c r="O119" s="25">
        <f ca="1">IFERROR(__xludf.DUMMYFUNCTION("""COMPUTED_VALUE"""),0.8)</f>
        <v>0.8</v>
      </c>
      <c r="P119" s="25">
        <f ca="1">IFERROR(__xludf.DUMMYFUNCTION("""COMPUTED_VALUE"""),0.888888888888888)</f>
        <v>0.88888888888888795</v>
      </c>
      <c r="Q119" s="25">
        <f ca="1">IFERROR(__xludf.DUMMYFUNCTION("""COMPUTED_VALUE"""),0)</f>
        <v>0</v>
      </c>
      <c r="R119" s="25">
        <f ca="1">IFERROR(__xludf.DUMMYFUNCTION("""COMPUTED_VALUE"""),0.583333333333333)</f>
        <v>0.58333333333333304</v>
      </c>
      <c r="S119" s="25">
        <f ca="1">IFERROR(__xludf.DUMMYFUNCTION("""COMPUTED_VALUE"""),0)</f>
        <v>0</v>
      </c>
      <c r="T119" s="25">
        <f ca="1">IFERROR(__xludf.DUMMYFUNCTION("""COMPUTED_VALUE"""),0.777777777777777)</f>
        <v>0.77777777777777701</v>
      </c>
      <c r="U119" s="25">
        <f ca="1">IFERROR(__xludf.DUMMYFUNCTION("""COMPUTED_VALUE"""),0.625)</f>
        <v>0.625</v>
      </c>
      <c r="V119" s="25">
        <f ca="1">IFERROR(__xludf.DUMMYFUNCTION("""COMPUTED_VALUE"""),0)</f>
        <v>0</v>
      </c>
      <c r="W119" s="4"/>
      <c r="X119" s="4" t="str">
        <f ca="1">IFERROR(__xludf.DUMMYFUNCTION("""COMPUTED_VALUE"""),"| 5 P PHP-CGM % | 7 L CPT % | 8 L NS % | 9 P Python @ ")</f>
        <v xml:space="preserve">| 5 P PHP-CGM % | 7 L CPT % | 8 L NS % | 9 P Python @ </v>
      </c>
      <c r="Y119" s="4" t="str">
        <f ca="1">IFERROR(__xludf.DUMMYFUNCTION("""COMPUTED_VALUE"""),"| 5 L PHP-CGM % | 6 L NS % | 8 P CPT % | 9 P PRO % ")</f>
        <v xml:space="preserve">| 5 L PHP-CGM % | 6 L NS % | 8 P CPT % | 9 P PRO % </v>
      </c>
      <c r="Z119" s="4" t="str">
        <f ca="1">IFERROR(__xludf.DUMMYFUNCTION("""COMPUTED_VALUE"""),"| 5 L JAVA % | 6 L CPT % | 7 P JAVA % ")</f>
        <v xml:space="preserve">| 5 L JAVA % | 6 L CPT % | 7 P JAVA % </v>
      </c>
      <c r="AA119" s="4" t="str">
        <f ca="1">IFERROR(__xludf.DUMMYFUNCTION("""COMPUTED_VALUE"""),"| 5 L PHP-CGM % | 7 L JAVA % | 9 P Python @ | 8 L CPT % ")</f>
        <v xml:space="preserve">| 5 L PHP-CGM % | 7 L JAVA % | 9 P Python @ | 8 L CPT % </v>
      </c>
      <c r="AB119" s="4" t="str">
        <f ca="1">IFERROR(__xludf.DUMMYFUNCTION("""COMPUTED_VALUE"""),"| 5 P JAVA % | 7 L PHP-CGM % | 8 L JAVA % | 9 P NS @ ")</f>
        <v xml:space="preserve">| 5 P JAVA % | 7 L PHP-CGM % | 8 L JAVA % | 9 P NS @ </v>
      </c>
      <c r="AC119" s="4" t="str">
        <f ca="1">IFERROR(__xludf.DUMMYFUNCTION("""COMPUTED_VALUE"""),"| 5 P Python @ | 7 L CPT @ | 8 L NS @ | 9 P NS @ ")</f>
        <v xml:space="preserve">| 5 P Python @ | 7 L CPT @ | 8 L NS @ | 9 P NS @ </v>
      </c>
      <c r="AD119" s="4" t="str">
        <f ca="1">IFERROR(__xludf.DUMMYFUNCTION("""COMPUTED_VALUE"""),"| 5 L PHP-CGM % | 6 L NS @ | 7 P JAVA % | 9 P PRO % ")</f>
        <v xml:space="preserve">| 5 L PHP-CGM % | 6 L NS @ | 7 P JAVA % | 9 P PRO % </v>
      </c>
      <c r="AE119" s="4" t="str">
        <f ca="1">IFERROR(__xludf.DUMMYFUNCTION("""COMPUTED_VALUE"""),"| 5 L JAVA % | 6 L CPT % | 7 P CPT % ")</f>
        <v xml:space="preserve">| 5 L JAVA % | 6 L CPT % | 7 P CPT % </v>
      </c>
      <c r="AF11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19" s="4" t="str">
        <f ca="1">IFERROR(__xludf.DUMMYFUNCTION("""COMPUTED_VALUE"""),"| 5 P Python % | 8 L JAVA % | 7 L PHP-CGM % | 9 P JAVA % ")</f>
        <v xml:space="preserve">| 5 P Python % | 8 L JAVA % | 7 L PHP-CGM % | 9 P JAVA % </v>
      </c>
      <c r="AH119" s="4" t="str">
        <f ca="1">IFERROR(__xludf.DUMMYFUNCTION("""COMPUTED_VALUE"""),"| 5 L PHP-CGM % | 6 L NS @ | 7 L JAVA % | 8 L CPT % | 9 P PHP-CGM % ")</f>
        <v xml:space="preserve">| 5 L PHP-CGM % | 6 L NS @ | 7 L JAVA % | 8 L CPT % | 9 P PHP-CGM % </v>
      </c>
      <c r="AI119" s="4" t="str">
        <f ca="1">IFERROR(__xludf.DUMMYFUNCTION("""COMPUTED_VALUE"""),"| 5 P Python % | 8 L JAVA % | 7 L PHP-CGM % | 9 P JAVA % ")</f>
        <v xml:space="preserve">| 5 P Python % | 8 L JAVA % | 7 L PHP-CGM % | 9 P JAVA % </v>
      </c>
      <c r="AJ119" s="4" t="str">
        <f ca="1">IFERROR(__xludf.DUMMYFUNCTION("""COMPUTED_VALUE"""),"| 5 P Python % | 7 L CPT % | 8 L NS % | 9 P NS % ")</f>
        <v xml:space="preserve">| 5 P Python % | 7 L CPT % | 8 L NS % | 9 P NS % </v>
      </c>
      <c r="AK119" s="4" t="str">
        <f ca="1">IFERROR(__xludf.DUMMYFUNCTION("""COMPUTED_VALUE"""),"| 5 L PHP-CGM % | 6 L NS % | 7 P JAVA % | 9 P PRO % ")</f>
        <v xml:space="preserve">| 5 L PHP-CGM % | 6 L NS % | 7 P JAVA % | 9 P PRO % </v>
      </c>
      <c r="AL119" s="4" t="str">
        <f ca="1">IFERROR(__xludf.DUMMYFUNCTION("""COMPUTED_VALUE"""),"| 5 L JAVA % | 6 L CPT % | 7 P CPT % | 9 L INE % ")</f>
        <v xml:space="preserve">| 5 L JAVA % | 6 L CPT % | 7 P CPT % | 9 L INE % </v>
      </c>
      <c r="AM11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19" s="4" t="str">
        <f ca="1">IFERROR(__xludf.DUMMYFUNCTION("""COMPUTED_VALUE"""),"| 5 P Python @ | 8 L JAVA % | 7 L PHP-CGM % | 9 P JAVA % ")</f>
        <v xml:space="preserve">| 5 P Python @ | 8 L JAVA % | 7 L PHP-CGM % | 9 P JAVA % </v>
      </c>
      <c r="AO119" s="4" t="str">
        <f ca="1">IFERROR(__xludf.DUMMYFUNCTION("""COMPUTED_VALUE"""),"| 5 P Python % | 7 L CPT % | 8 L NS % ")</f>
        <v xml:space="preserve">| 5 P Python % | 7 L CPT % | 8 L NS % </v>
      </c>
      <c r="AP119" s="4" t="str">
        <f ca="1">IFERROR(__xludf.DUMMYFUNCTION("""COMPUTED_VALUE"""),"| 5 L PHP-CGM % | 6 L NS % | 7 P JAVA % | 9 P PRO % ")</f>
        <v xml:space="preserve">| 5 L PHP-CGM % | 6 L NS % | 7 P JAVA % | 9 P PRO % </v>
      </c>
      <c r="AQ119" s="4" t="str">
        <f ca="1">IFERROR(__xludf.DUMMYFUNCTION("""COMPUTED_VALUE"""),"| 5 L CPT % | 7 L JAVA % | 7 P CPT % | 9 L INE % ")</f>
        <v xml:space="preserve">| 5 L CPT % | 7 L JAVA % | 7 P CPT % | 9 L INE % </v>
      </c>
      <c r="AR119" s="4" t="str">
        <f ca="1">IFERROR(__xludf.DUMMYFUNCTION("""COMPUTED_VALUE"""),"| 5 L PHP-CGM % | 6 L NS % | 8 L CPT @ ")</f>
        <v xml:space="preserve">| 5 L PHP-CGM % | 6 L NS % | 8 L CPT @ </v>
      </c>
      <c r="AS119" s="4" t="str">
        <f ca="1">IFERROR(__xludf.DUMMYFUNCTION("""COMPUTED_VALUE"""),"| 5 P Python % | 7 L CPT % | 8 L NS % | 9 P NS % ")</f>
        <v xml:space="preserve">| 5 P Python % | 7 L CPT % | 8 L NS % | 9 P NS % </v>
      </c>
      <c r="AT119" s="4" t="str">
        <f ca="1">IFERROR(__xludf.DUMMYFUNCTION("""COMPUTED_VALUE"""),"| 5 L PHP-CGM % | 6 L NS % | 7 P JAVA % | 9 P PRO % ")</f>
        <v xml:space="preserve">| 5 L PHP-CGM % | 6 L NS % | 7 P JAVA % | 9 P PRO % </v>
      </c>
      <c r="AU119" s="4" t="str">
        <f ca="1">IFERROR(__xludf.DUMMYFUNCTION("""COMPUTED_VALUE"""),"| 5 L JAVA % | 6 L CPT % | 7 P CPT % | 9 L INE % ")</f>
        <v xml:space="preserve">| 5 L JAVA % | 6 L CPT % | 7 P CPT % | 9 L INE % </v>
      </c>
      <c r="AV11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19" s="4" t="str">
        <f ca="1">IFERROR(__xludf.DUMMYFUNCTION("""COMPUTED_VALUE"""),"| 5 P Python % | 7 L PHP-CGM % | 8 L JAVA % | 9 P JAVA % ")</f>
        <v xml:space="preserve">| 5 P Python % | 7 L PHP-CGM % | 8 L JAVA % | 9 P JAVA % </v>
      </c>
      <c r="AX119" s="4" t="str">
        <f ca="1">IFERROR(__xludf.DUMMYFUNCTION("""COMPUTED_VALUE"""),"| 5 P Python % | 7 L CPT % | 8 L NS % | 9 P NS % ")</f>
        <v xml:space="preserve">| 5 P Python % | 7 L CPT % | 8 L NS % | 9 P NS % </v>
      </c>
      <c r="AY119" s="4" t="str">
        <f ca="1">IFERROR(__xludf.DUMMYFUNCTION("""COMPUTED_VALUE"""),"| 5 L PHP-CGM % | 6 L NS % | 7 P JAVA % ")</f>
        <v xml:space="preserve">| 5 L PHP-CGM % | 6 L NS % | 7 P JAVA % </v>
      </c>
      <c r="AZ119" s="4" t="str">
        <f ca="1">IFERROR(__xludf.DUMMYFUNCTION("""COMPUTED_VALUE"""),"| 5 L PHP-CGM % | 6 L NS % | 7 L JAVA % | 8 L CPT % ")</f>
        <v xml:space="preserve">| 5 L PHP-CGM % | 6 L NS % | 7 L JAVA % | 8 L CPT % </v>
      </c>
      <c r="BA119" s="4" t="str">
        <f ca="1">IFERROR(__xludf.DUMMYFUNCTION("""COMPUTED_VALUE"""),"| 5 P Python % | 7 L PHP-CGM @ | 8 L JAVA @ ")</f>
        <v xml:space="preserve">| 5 P Python % | 7 L PHP-CGM @ | 8 L JAVA @ </v>
      </c>
      <c r="BB119" s="4" t="str">
        <f ca="1">IFERROR(__xludf.DUMMYFUNCTION("""COMPUTED_VALUE"""),"| 5 P Python % | 7 L CPT % | 8 L NS % | 9 P NS % ")</f>
        <v xml:space="preserve">| 5 P Python % | 7 L CPT % | 8 L NS % | 9 P NS % </v>
      </c>
      <c r="BC119" s="4" t="str">
        <f ca="1">IFERROR(__xludf.DUMMYFUNCTION("""COMPUTED_VALUE"""),"| 5 L PHP-CGM % | 6 L NS % | 7 P JAVA % | 9 P PRO % ")</f>
        <v xml:space="preserve">| 5 L PHP-CGM % | 6 L NS % | 7 P JAVA % | 9 P PRO % </v>
      </c>
      <c r="BD119" s="4" t="str">
        <f ca="1">IFERROR(__xludf.DUMMYFUNCTION("""COMPUTED_VALUE"""),"| 5 L JAVA % | 6 L CPT % | 7 P CPT % | 9 L INE % ")</f>
        <v xml:space="preserve">| 5 L JAVA % | 6 L CPT % | 7 P CPT % | 9 L INE % </v>
      </c>
      <c r="BE11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19" s="4" t="str">
        <f ca="1">IFERROR(__xludf.DUMMYFUNCTION("""COMPUTED_VALUE"""),"| 5 P Python % | 7 L PHP-CGM % | 9 P JAVA % | 8 L JAVA % ")</f>
        <v xml:space="preserve">| 5 P Python % | 7 L PHP-CGM % | 9 P JAVA % | 8 L JAVA % </v>
      </c>
      <c r="BG119" s="4" t="str">
        <f ca="1">IFERROR(__xludf.DUMMYFUNCTION("""COMPUTED_VALUE"""),"| 5 L PHP-CGM % | 6 L NS % | 7 P JAVA % | 9 P PRO % ")</f>
        <v xml:space="preserve">| 5 L PHP-CGM % | 6 L NS % | 7 P JAVA % | 9 P PRO % </v>
      </c>
      <c r="BH119" s="4" t="str">
        <f ca="1">IFERROR(__xludf.DUMMYFUNCTION("""COMPUTED_VALUE"""),"| 5 L JAVA % | 6 L CPT % | 7 P CPT % | 9 L INE @ ")</f>
        <v xml:space="preserve">| 5 L JAVA % | 6 L CPT % | 7 P CPT % | 9 L INE @ </v>
      </c>
      <c r="BI119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19" s="4" t="str">
        <f ca="1">IFERROR(__xludf.DUMMYFUNCTION("""COMPUTED_VALUE"""),"| 5 P Python @ | 7 L JAVA % | 8 L PHP-CGM % ")</f>
        <v xml:space="preserve">| 5 P Python @ | 7 L JAVA % | 8 L PHP-CGM % </v>
      </c>
      <c r="BK119" s="4" t="str">
        <f ca="1">IFERROR(__xludf.DUMMYFUNCTION("""COMPUTED_VALUE"""),"| 5 P Python @ | 7 L CPT @ | 8 L NS @ | 9 P NS @ ")</f>
        <v xml:space="preserve">| 5 P Python @ | 7 L CPT @ | 8 L NS @ | 9 P NS @ </v>
      </c>
      <c r="BL119" s="4" t="str">
        <f ca="1">IFERROR(__xludf.DUMMYFUNCTION("""COMPUTED_VALUE"""),"| 5 L PHP-CGM @ | 6 L NS @ | 7 P JAVA @ | 9 P PRO @ ")</f>
        <v xml:space="preserve">| 5 L PHP-CGM @ | 6 L NS @ | 7 P JAVA @ | 9 P PRO @ </v>
      </c>
      <c r="BM119" s="4" t="str">
        <f ca="1">IFERROR(__xludf.DUMMYFUNCTION("""COMPUTED_VALUE"""),"| 5 L JAVA @ | 6 L CPT @ | 7 P CPT @ | 9 L INE @ ")</f>
        <v xml:space="preserve">| 5 L JAVA @ | 6 L CPT @ | 7 P CPT @ | 9 L INE @ </v>
      </c>
      <c r="BN119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19" s="4" t="str">
        <f ca="1">IFERROR(__xludf.DUMMYFUNCTION("""COMPUTED_VALUE"""),"| 5 P Python @ | 7 L PHP-CGM @ ")</f>
        <v xml:space="preserve">| 5 P Python @ | 7 L PHP-CGM @ </v>
      </c>
      <c r="BP119" s="4" t="str">
        <f ca="1">IFERROR(__xludf.DUMMYFUNCTION("""COMPUTED_VALUE"""),"| 5 P Python @ | 7 L CPT @ | 8 L NS @ | 9 P NS @ ")</f>
        <v xml:space="preserve">| 5 P Python @ | 7 L CPT @ | 8 L NS @ | 9 P NS @ </v>
      </c>
      <c r="BQ119" s="4" t="str">
        <f ca="1">IFERROR(__xludf.DUMMYFUNCTION("""COMPUTED_VALUE"""),"| 5 L JAVA @ | 6 L CPT @ ")</f>
        <v xml:space="preserve">| 5 L JAVA @ | 6 L CPT @ </v>
      </c>
      <c r="BR119" s="4" t="str">
        <f ca="1">IFERROR(__xludf.DUMMYFUNCTION("""COMPUTED_VALUE"""),"| 7 L JAVA @ ")</f>
        <v xml:space="preserve">| 7 L JAVA @ </v>
      </c>
      <c r="BS119" s="4"/>
      <c r="BT119" s="4" t="str">
        <f ca="1">IFERROR(__xludf.DUMMYFUNCTION("""COMPUTED_VALUE"""),"| 7 L CPT @ | 9 P NS @ ")</f>
        <v xml:space="preserve">| 7 L CPT @ | 9 P NS @ </v>
      </c>
      <c r="BU119" s="4" t="str">
        <f ca="1">IFERROR(__xludf.DUMMYFUNCTION("""COMPUTED_VALUE"""),"| 9 P PRO @ ")</f>
        <v xml:space="preserve">| 9 P PRO @ </v>
      </c>
      <c r="BV119" s="4" t="str">
        <f ca="1">IFERROR(__xludf.DUMMYFUNCTION("""COMPUTED_VALUE"""),"| 5 P Python % | 7 L CPT @ | 8 L NS @ | 9 P NS @ ")</f>
        <v xml:space="preserve">| 5 P Python % | 7 L CPT @ | 8 L NS @ | 9 P NS @ </v>
      </c>
      <c r="BW119" s="4"/>
      <c r="BX119" s="4" t="str">
        <f ca="1">IFERROR(__xludf.DUMMYFUNCTION("""COMPUTED_VALUE"""),"| 5 L JAVA % | 6 L CPT % | 7 P CPT % ")</f>
        <v xml:space="preserve">| 5 L JAVA % | 6 L CPT % | 7 P CPT % </v>
      </c>
      <c r="BY119" s="4" t="str">
        <f ca="1">IFERROR(__xludf.DUMMYFUNCTION("""COMPUTED_VALUE"""),"| 5 L PHP-CGM % | 6 L NS % | 7 L JAVA % | 8 L CPT % ")</f>
        <v xml:space="preserve">| 5 L PHP-CGM % | 6 L NS % | 7 L JAVA % | 8 L CPT % </v>
      </c>
      <c r="BZ119" s="4" t="str">
        <f ca="1">IFERROR(__xludf.DUMMYFUNCTION("""COMPUTED_VALUE"""),"| 5 P Python @ | 8 L JAVA @ | 7 L PHP-CGM @ | 9 P JAVA @ ")</f>
        <v xml:space="preserve">| 5 P Python @ | 8 L JAVA @ | 7 L PHP-CGM @ | 9 P JAVA @ </v>
      </c>
      <c r="CA119" s="4" t="str">
        <f ca="1">IFERROR(__xludf.DUMMYFUNCTION("""COMPUTED_VALUE"""),"| 5 P Python @ | 7 L CPT @ | 8 L NS @ | 9 P NS % ")</f>
        <v xml:space="preserve">| 5 P Python @ | 7 L CPT @ | 8 L NS @ | 9 P NS % </v>
      </c>
      <c r="CB119" s="4" t="str">
        <f ca="1">IFERROR(__xludf.DUMMYFUNCTION("""COMPUTED_VALUE"""),"| 5 L PHP-CGM % | 6 L NS % | 7 P JAVA % ")</f>
        <v xml:space="preserve">| 5 L PHP-CGM % | 6 L NS % | 7 P JAVA % </v>
      </c>
      <c r="CC119" s="4" t="str">
        <f ca="1">IFERROR(__xludf.DUMMYFUNCTION("""COMPUTED_VALUE"""),"| 5 L JAVA % | 7 P CPT % | 9 L INE % ")</f>
        <v xml:space="preserve">| 5 L JAVA % | 7 P CPT % | 9 L INE % </v>
      </c>
      <c r="CD119" s="4" t="str">
        <f ca="1">IFERROR(__xludf.DUMMYFUNCTION("""COMPUTED_VALUE"""),"| 5 L PHP-CGM % | 6 L NS @ | 7 L JAVA @ | 8 L CPT @ ")</f>
        <v xml:space="preserve">| 5 L PHP-CGM % | 6 L NS @ | 7 L JAVA @ | 8 L CPT @ </v>
      </c>
      <c r="CE119" s="4" t="str">
        <f ca="1">IFERROR(__xludf.DUMMYFUNCTION("""COMPUTED_VALUE"""),"| 5 P Python % | 8 L JAVA % | 7 L PHP-CGM % ")</f>
        <v xml:space="preserve">| 5 P Python % | 8 L JAVA % | 7 L PHP-CGM % </v>
      </c>
      <c r="CF119" s="4" t="str">
        <f ca="1">IFERROR(__xludf.DUMMYFUNCTION("""COMPUTED_VALUE"""),"| 5 P Python % | 7 L CPT @ | 8 L NS % | 9 P NS % ")</f>
        <v xml:space="preserve">| 5 P Python % | 7 L CPT @ | 8 L NS % | 9 P NS % </v>
      </c>
      <c r="CG119" s="4" t="str">
        <f ca="1">IFERROR(__xludf.DUMMYFUNCTION("""COMPUTED_VALUE"""),"| 5 L PHP-CGM % | 6 L NS % | 7 P JAVA % ")</f>
        <v xml:space="preserve">| 5 L PHP-CGM % | 6 L NS % | 7 P JAVA % </v>
      </c>
      <c r="CH119" s="4" t="str">
        <f ca="1">IFERROR(__xludf.DUMMYFUNCTION("""COMPUTED_VALUE"""),"| 5 L JAVA % | 6 L CPT % | 7 P CPT % | 9 L INE @ ")</f>
        <v xml:space="preserve">| 5 L JAVA % | 6 L CPT % | 7 P CPT % | 9 L INE @ </v>
      </c>
      <c r="CI119" s="4" t="str">
        <f ca="1">IFERROR(__xludf.DUMMYFUNCTION("""COMPUTED_VALUE"""),"| 5 L PHP-CGM % | 7 L JAVA % | 8 L CPT @ ")</f>
        <v xml:space="preserve">| 5 L PHP-CGM % | 7 L JAVA % | 8 L CPT @ </v>
      </c>
      <c r="CJ119" s="4" t="str">
        <f ca="1">IFERROR(__xludf.DUMMYFUNCTION("""COMPUTED_VALUE"""),"| 5 P Python % ")</f>
        <v xml:space="preserve">| 5 P Python % </v>
      </c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</row>
    <row r="120" spans="1:102" ht="12.5" x14ac:dyDescent="0.25">
      <c r="A120" s="3">
        <f ca="1">IFERROR(__xludf.DUMMYFUNCTION("""COMPUTED_VALUE"""),3)</f>
        <v>3</v>
      </c>
      <c r="B120" s="3" t="str">
        <f ca="1">IFERROR(__xludf.DUMMYFUNCTION("""COMPUTED_VALUE"""),"B")</f>
        <v>B</v>
      </c>
      <c r="C120" s="32" t="str">
        <f ca="1">IFERROR(__xludf.DUMMYFUNCTION("""COMPUTED_VALUE"""),"23291341081")</f>
        <v>23291341081</v>
      </c>
      <c r="D120" s="4" t="str">
        <f ca="1">IFERROR(__xludf.DUMMYFUNCTION("""COMPUTED_VALUE"""),"PATEL DEV DINESHKUMAR")</f>
        <v>PATEL DEV DINESHKUMAR</v>
      </c>
      <c r="E120" s="3" t="str">
        <f ca="1">IFERROR(__xludf.DUMMYFUNCTION("""COMPUTED_VALUE"""),"HAM/HDP-EVE")</f>
        <v>HAM/HDP-EVE</v>
      </c>
      <c r="F120" s="3">
        <f ca="1">IFERROR(__xludf.DUMMYFUNCTION("""COMPUTED_VALUE"""),8799216821)</f>
        <v>8799216821</v>
      </c>
      <c r="G120" s="3">
        <f ca="1">IFERROR(__xludf.DUMMYFUNCTION("""COMPUTED_VALUE"""),9427545609)</f>
        <v>9427545609</v>
      </c>
      <c r="H120" s="33">
        <f ca="1">IFERROR(__xludf.DUMMYFUNCTION("""COMPUTED_VALUE"""),0.593073593073593)</f>
        <v>0.59307359307359298</v>
      </c>
      <c r="I120" s="25">
        <f ca="1">IFERROR(__xludf.DUMMYFUNCTION("""COMPUTED_VALUE"""),0.621621621621621)</f>
        <v>0.62162162162162105</v>
      </c>
      <c r="J120" s="25">
        <f ca="1">IFERROR(__xludf.DUMMYFUNCTION("""COMPUTED_VALUE"""),0.545454545454545)</f>
        <v>0.54545454545454497</v>
      </c>
      <c r="K120" s="25">
        <f ca="1">IFERROR(__xludf.DUMMYFUNCTION("""COMPUTED_VALUE"""),0.617647058823529)</f>
        <v>0.61764705882352899</v>
      </c>
      <c r="L120" s="25">
        <f ca="1">IFERROR(__xludf.DUMMYFUNCTION("""COMPUTED_VALUE"""),0.25)</f>
        <v>0.25</v>
      </c>
      <c r="M120" s="25">
        <f ca="1">IFERROR(__xludf.DUMMYFUNCTION("""COMPUTED_VALUE"""),0.657142857142857)</f>
        <v>0.65714285714285703</v>
      </c>
      <c r="N120" s="25">
        <f ca="1">IFERROR(__xludf.DUMMYFUNCTION("""COMPUTED_VALUE"""),0.75)</f>
        <v>0.75</v>
      </c>
      <c r="O120" s="25">
        <f ca="1">IFERROR(__xludf.DUMMYFUNCTION("""COMPUTED_VALUE"""),0.657142857142857)</f>
        <v>0.65714285714285703</v>
      </c>
      <c r="P120" s="25">
        <f ca="1">IFERROR(__xludf.DUMMYFUNCTION("""COMPUTED_VALUE"""),0.666666666666666)</f>
        <v>0.66666666666666596</v>
      </c>
      <c r="Q120" s="25">
        <f ca="1">IFERROR(__xludf.DUMMYFUNCTION("""COMPUTED_VALUE"""),0)</f>
        <v>0</v>
      </c>
      <c r="R120" s="25">
        <f ca="1">IFERROR(__xludf.DUMMYFUNCTION("""COMPUTED_VALUE"""),0.541666666666666)</f>
        <v>0.54166666666666596</v>
      </c>
      <c r="S120" s="25">
        <f ca="1">IFERROR(__xludf.DUMMYFUNCTION("""COMPUTED_VALUE"""),0)</f>
        <v>0</v>
      </c>
      <c r="T120" s="25">
        <f ca="1">IFERROR(__xludf.DUMMYFUNCTION("""COMPUTED_VALUE"""),0.555555555555555)</f>
        <v>0.55555555555555503</v>
      </c>
      <c r="U120" s="25">
        <f ca="1">IFERROR(__xludf.DUMMYFUNCTION("""COMPUTED_VALUE"""),0.25)</f>
        <v>0.25</v>
      </c>
      <c r="V120" s="25">
        <f ca="1">IFERROR(__xludf.DUMMYFUNCTION("""COMPUTED_VALUE"""),0)</f>
        <v>0</v>
      </c>
      <c r="W120" s="4"/>
      <c r="X120" s="4" t="str">
        <f ca="1">IFERROR(__xludf.DUMMYFUNCTION("""COMPUTED_VALUE"""),"| 5 P Python % | 7 L CPT % | 8 L NS % | 9 P NS % ")</f>
        <v xml:space="preserve">| 5 P Python % | 7 L CPT % | 8 L NS % | 9 P NS % </v>
      </c>
      <c r="Y120" s="4" t="str">
        <f ca="1">IFERROR(__xludf.DUMMYFUNCTION("""COMPUTED_VALUE"""),"| 5 L PHP-CGM % | 6 L NS % | 7 P JAVA % | 9 P PRO % ")</f>
        <v xml:space="preserve">| 5 L PHP-CGM % | 6 L NS % | 7 P JAVA % | 9 P PRO % </v>
      </c>
      <c r="Z120" s="4" t="str">
        <f ca="1">IFERROR(__xludf.DUMMYFUNCTION("""COMPUTED_VALUE"""),"| 5 L JAVA % | 6 L CPT % | 7 P CPT % ")</f>
        <v xml:space="preserve">| 5 L JAVA % | 6 L CPT % | 7 P CPT % </v>
      </c>
      <c r="AA120" s="4" t="str">
        <f ca="1">IFERROR(__xludf.DUMMYFUNCTION("""COMPUTED_VALUE"""),"| 5 L PHP-CGM % | 7 L JAVA % | 9 P PHP-CGM % | 8 L CPT % ")</f>
        <v xml:space="preserve">| 5 L PHP-CGM % | 7 L JAVA % | 9 P PHP-CGM % | 8 L CPT % </v>
      </c>
      <c r="AB120" s="4" t="str">
        <f ca="1">IFERROR(__xludf.DUMMYFUNCTION("""COMPUTED_VALUE"""),"| 5 P Python % | 7 L PHP-CGM % | 8 L JAVA % | 9 P JAVA % ")</f>
        <v xml:space="preserve">| 5 P Python % | 7 L PHP-CGM % | 8 L JAVA % | 9 P JAVA % </v>
      </c>
      <c r="AC120" s="4" t="str">
        <f ca="1">IFERROR(__xludf.DUMMYFUNCTION("""COMPUTED_VALUE"""),"| 5 P Python @ | 7 L CPT @ | 8 L NS @ | 9 P NS @ ")</f>
        <v xml:space="preserve">| 5 P Python @ | 7 L CPT @ | 8 L NS @ | 9 P NS @ </v>
      </c>
      <c r="AD120" s="4" t="str">
        <f ca="1">IFERROR(__xludf.DUMMYFUNCTION("""COMPUTED_VALUE"""),"| 5 L PHP-CGM % | 6 L NS % | 7 P JAVA % | 9 P PRO % ")</f>
        <v xml:space="preserve">| 5 L PHP-CGM % | 6 L NS % | 7 P JAVA % | 9 P PRO % </v>
      </c>
      <c r="AE120" s="4" t="str">
        <f ca="1">IFERROR(__xludf.DUMMYFUNCTION("""COMPUTED_VALUE"""),"| 5 L JAVA % | 6 L CPT % | 7 P CPT % ")</f>
        <v xml:space="preserve">| 5 L JAVA % | 6 L CPT % | 7 P CPT % </v>
      </c>
      <c r="AF12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0" s="4" t="str">
        <f ca="1">IFERROR(__xludf.DUMMYFUNCTION("""COMPUTED_VALUE"""),"| 5 P Python % | 8 L JAVA @ | 7 L PHP-CGM @ | 9 P JAVA @ ")</f>
        <v xml:space="preserve">| 5 P Python % | 8 L JAVA @ | 7 L PHP-CGM @ | 9 P JAVA @ </v>
      </c>
      <c r="AH12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20" s="4" t="str">
        <f ca="1">IFERROR(__xludf.DUMMYFUNCTION("""COMPUTED_VALUE"""),"| 5 P Python % | 8 L JAVA % | 7 L PHP-CGM % | 9 P JAVA % ")</f>
        <v xml:space="preserve">| 5 P Python % | 8 L JAVA % | 7 L PHP-CGM % | 9 P JAVA % </v>
      </c>
      <c r="AJ120" s="4" t="str">
        <f ca="1">IFERROR(__xludf.DUMMYFUNCTION("""COMPUTED_VALUE"""),"| 5 P Python % | 7 L CPT % | 8 L NS % | 9 P NS % ")</f>
        <v xml:space="preserve">| 5 P Python % | 7 L CPT % | 8 L NS % | 9 P NS % </v>
      </c>
      <c r="AK120" s="4" t="str">
        <f ca="1">IFERROR(__xludf.DUMMYFUNCTION("""COMPUTED_VALUE"""),"| 5 L PHP-CGM % | 6 L NS % | 7 P JAVA % | 9 P PRO % ")</f>
        <v xml:space="preserve">| 5 L PHP-CGM % | 6 L NS % | 7 P JAVA % | 9 P PRO % </v>
      </c>
      <c r="AL120" s="4" t="str">
        <f ca="1">IFERROR(__xludf.DUMMYFUNCTION("""COMPUTED_VALUE"""),"| 5 L JAVA % | 6 L CPT % | 7 P CPT % | 9 L INE @ ")</f>
        <v xml:space="preserve">| 5 L JAVA % | 6 L CPT % | 7 P CPT % | 9 L INE @ </v>
      </c>
      <c r="AM12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0" s="4" t="str">
        <f ca="1">IFERROR(__xludf.DUMMYFUNCTION("""COMPUTED_VALUE"""),"| 5 P Python @ | 8 L JAVA % | 7 L PHP-CGM % | 9 P JAVA % ")</f>
        <v xml:space="preserve">| 5 P Python @ | 8 L JAVA % | 7 L PHP-CGM % | 9 P JAVA % </v>
      </c>
      <c r="AO120" s="4" t="str">
        <f ca="1">IFERROR(__xludf.DUMMYFUNCTION("""COMPUTED_VALUE"""),"| 5 P Python % | 7 L CPT % | 8 L NS % ")</f>
        <v xml:space="preserve">| 5 P Python % | 7 L CPT % | 8 L NS % </v>
      </c>
      <c r="AP120" s="4" t="str">
        <f ca="1">IFERROR(__xludf.DUMMYFUNCTION("""COMPUTED_VALUE"""),"| 5 L PHP-CGM % | 6 L NS % | 7 P JAVA % | 9 P PRO % ")</f>
        <v xml:space="preserve">| 5 L PHP-CGM % | 6 L NS % | 7 P JAVA % | 9 P PRO % </v>
      </c>
      <c r="AQ120" s="4" t="str">
        <f ca="1">IFERROR(__xludf.DUMMYFUNCTION("""COMPUTED_VALUE"""),"| 5 L CPT % | 7 L JAVA % | 7 P CPT @ | 9 L INE @ ")</f>
        <v xml:space="preserve">| 5 L CPT % | 7 L JAVA % | 7 P CPT @ | 9 L INE @ </v>
      </c>
      <c r="AR120" s="4" t="str">
        <f ca="1">IFERROR(__xludf.DUMMYFUNCTION("""COMPUTED_VALUE"""),"| 5 L PHP-CGM @ | 6 L NS @ | 8 L CPT @ ")</f>
        <v xml:space="preserve">| 5 L PHP-CGM @ | 6 L NS @ | 8 L CPT @ </v>
      </c>
      <c r="AS120" s="4" t="str">
        <f ca="1">IFERROR(__xludf.DUMMYFUNCTION("""COMPUTED_VALUE"""),"| 5 P Python % | 7 L CPT % | 8 L NS % | 9 P NS % ")</f>
        <v xml:space="preserve">| 5 P Python % | 7 L CPT % | 8 L NS % | 9 P NS % </v>
      </c>
      <c r="AT120" s="4" t="str">
        <f ca="1">IFERROR(__xludf.DUMMYFUNCTION("""COMPUTED_VALUE"""),"| 5 L PHP-CGM % | 6 L NS % | 7 P JAVA % | 9 P PRO % ")</f>
        <v xml:space="preserve">| 5 L PHP-CGM % | 6 L NS % | 7 P JAVA % | 9 P PRO % </v>
      </c>
      <c r="AU120" s="4" t="str">
        <f ca="1">IFERROR(__xludf.DUMMYFUNCTION("""COMPUTED_VALUE"""),"| 5 L JAVA % | 6 L CPT % | 7 P CPT % | 9 L INE % ")</f>
        <v xml:space="preserve">| 5 L JAVA % | 6 L CPT % | 7 P CPT % | 9 L INE % </v>
      </c>
      <c r="AV12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20" s="4" t="str">
        <f ca="1">IFERROR(__xludf.DUMMYFUNCTION("""COMPUTED_VALUE"""),"| 5 P Python % | 7 L PHP-CGM % | 8 L JAVA % | 9 P JAVA % ")</f>
        <v xml:space="preserve">| 5 P Python % | 7 L PHP-CGM % | 8 L JAVA % | 9 P JAVA % </v>
      </c>
      <c r="AX120" s="4" t="str">
        <f ca="1">IFERROR(__xludf.DUMMYFUNCTION("""COMPUTED_VALUE"""),"| 5 P Python @ | 7 L CPT @ | 8 L NS @ | 9 P NS @ ")</f>
        <v xml:space="preserve">| 5 P Python @ | 7 L CPT @ | 8 L NS @ | 9 P NS @ </v>
      </c>
      <c r="AY120" s="4" t="str">
        <f ca="1">IFERROR(__xludf.DUMMYFUNCTION("""COMPUTED_VALUE"""),"| 5 L PHP-CGM % | 6 L NS % | 7 P JAVA % ")</f>
        <v xml:space="preserve">| 5 L PHP-CGM % | 6 L NS % | 7 P JAVA % </v>
      </c>
      <c r="AZ120" s="4" t="str">
        <f ca="1">IFERROR(__xludf.DUMMYFUNCTION("""COMPUTED_VALUE"""),"| 5 L PHP-CGM % | 6 L NS % | 7 L JAVA % | 8 L CPT % ")</f>
        <v xml:space="preserve">| 5 L PHP-CGM % | 6 L NS % | 7 L JAVA % | 8 L CPT % </v>
      </c>
      <c r="BA120" s="4" t="str">
        <f ca="1">IFERROR(__xludf.DUMMYFUNCTION("""COMPUTED_VALUE"""),"| 5 P Python % | 7 L PHP-CGM % | 8 L JAVA % ")</f>
        <v xml:space="preserve">| 5 P Python % | 7 L PHP-CGM % | 8 L JAVA % </v>
      </c>
      <c r="BB120" s="4" t="str">
        <f ca="1">IFERROR(__xludf.DUMMYFUNCTION("""COMPUTED_VALUE"""),"| 5 P Python @ | 7 L CPT @ | 8 L NS @ | 9 P NS @ ")</f>
        <v xml:space="preserve">| 5 P Python @ | 7 L CPT @ | 8 L NS @ | 9 P NS @ </v>
      </c>
      <c r="BC120" s="4" t="str">
        <f ca="1">IFERROR(__xludf.DUMMYFUNCTION("""COMPUTED_VALUE"""),"| 5 L PHP-CGM @ | 6 L NS @ | 7 P JAVA @ | 9 P PRO @ ")</f>
        <v xml:space="preserve">| 5 L PHP-CGM @ | 6 L NS @ | 7 P JAVA @ | 9 P PRO @ </v>
      </c>
      <c r="BD120" s="4" t="str">
        <f ca="1">IFERROR(__xludf.DUMMYFUNCTION("""COMPUTED_VALUE"""),"| 5 L JAVA % | 6 L CPT % | 7 P CPT % | 9 L INE % ")</f>
        <v xml:space="preserve">| 5 L JAVA % | 6 L CPT % | 7 P CPT % | 9 L INE % </v>
      </c>
      <c r="BE12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20" s="4" t="str">
        <f ca="1">IFERROR(__xludf.DUMMYFUNCTION("""COMPUTED_VALUE"""),"| 5 P Python % | 7 L PHP-CGM % | 9 P JAVA @ | 8 L JAVA % ")</f>
        <v xml:space="preserve">| 5 P Python % | 7 L PHP-CGM % | 9 P JAVA @ | 8 L JAVA % </v>
      </c>
      <c r="BG120" s="4" t="str">
        <f ca="1">IFERROR(__xludf.DUMMYFUNCTION("""COMPUTED_VALUE"""),"| 5 L PHP-CGM % | 6 L NS % | 7 P JAVA % | 9 P PRO @ ")</f>
        <v xml:space="preserve">| 5 L PHP-CGM % | 6 L NS % | 7 P JAVA % | 9 P PRO @ </v>
      </c>
      <c r="BH120" s="4" t="str">
        <f ca="1">IFERROR(__xludf.DUMMYFUNCTION("""COMPUTED_VALUE"""),"| 5 L JAVA % | 6 L CPT % | 7 P CPT % | 9 L INE @ ")</f>
        <v xml:space="preserve">| 5 L JAVA % | 6 L CPT % | 7 P CPT % | 9 L INE @ </v>
      </c>
      <c r="BI120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20" s="4" t="str">
        <f ca="1">IFERROR(__xludf.DUMMYFUNCTION("""COMPUTED_VALUE"""),"| 5 P Python @ | 7 L JAVA @ | 8 L PHP-CGM @ ")</f>
        <v xml:space="preserve">| 5 P Python @ | 7 L JAVA @ | 8 L PHP-CGM @ </v>
      </c>
      <c r="BK120" s="4" t="str">
        <f ca="1">IFERROR(__xludf.DUMMYFUNCTION("""COMPUTED_VALUE"""),"| 5 P Python % | 7 L CPT % | 8 L NS @ | 9 P NS @ ")</f>
        <v xml:space="preserve">| 5 P Python % | 7 L CPT % | 8 L NS @ | 9 P NS @ </v>
      </c>
      <c r="BL120" s="4" t="str">
        <f ca="1">IFERROR(__xludf.DUMMYFUNCTION("""COMPUTED_VALUE"""),"| 5 L PHP-CGM @ | 6 L NS @ | 7 P JAVA @ | 9 P PRO @ ")</f>
        <v xml:space="preserve">| 5 L PHP-CGM @ | 6 L NS @ | 7 P JAVA @ | 9 P PRO @ </v>
      </c>
      <c r="BM120" s="4" t="str">
        <f ca="1">IFERROR(__xludf.DUMMYFUNCTION("""COMPUTED_VALUE"""),"| 5 L JAVA @ | 6 L CPT @ | 7 P CPT @ | 9 L INE @ ")</f>
        <v xml:space="preserve">| 5 L JAVA @ | 6 L CPT @ | 7 P CPT @ | 9 L INE @ </v>
      </c>
      <c r="BN120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20" s="4" t="str">
        <f ca="1">IFERROR(__xludf.DUMMYFUNCTION("""COMPUTED_VALUE"""),"| 5 P Python @ | 7 L PHP-CGM @ ")</f>
        <v xml:space="preserve">| 5 P Python @ | 7 L PHP-CGM @ </v>
      </c>
      <c r="BP120" s="4" t="str">
        <f ca="1">IFERROR(__xludf.DUMMYFUNCTION("""COMPUTED_VALUE"""),"| 5 P Python % | 7 L CPT % | 8 L NS % | 9 P NS @ ")</f>
        <v xml:space="preserve">| 5 P Python % | 7 L CPT % | 8 L NS % | 9 P NS @ </v>
      </c>
      <c r="BQ120" s="4" t="str">
        <f ca="1">IFERROR(__xludf.DUMMYFUNCTION("""COMPUTED_VALUE"""),"| 5 L JAVA % | 6 L CPT % ")</f>
        <v xml:space="preserve">| 5 L JAVA % | 6 L CPT % </v>
      </c>
      <c r="BR120" s="4" t="str">
        <f ca="1">IFERROR(__xludf.DUMMYFUNCTION("""COMPUTED_VALUE"""),"| 7 L JAVA @ ")</f>
        <v xml:space="preserve">| 7 L JAVA @ </v>
      </c>
      <c r="BS120" s="4"/>
      <c r="BT120" s="4" t="str">
        <f ca="1">IFERROR(__xludf.DUMMYFUNCTION("""COMPUTED_VALUE"""),"| 7 L CPT @ | 9 P NS @ ")</f>
        <v xml:space="preserve">| 7 L CPT @ | 9 P NS @ </v>
      </c>
      <c r="BU120" s="4" t="str">
        <f ca="1">IFERROR(__xludf.DUMMYFUNCTION("""COMPUTED_VALUE"""),"| 9 P PRO @ ")</f>
        <v xml:space="preserve">| 9 P PRO @ </v>
      </c>
      <c r="BV120" s="4" t="str">
        <f ca="1">IFERROR(__xludf.DUMMYFUNCTION("""COMPUTED_VALUE"""),"| 5 P Python @ | 7 L CPT % | 8 L NS % | 9 P NS @ ")</f>
        <v xml:space="preserve">| 5 P Python @ | 7 L CPT % | 8 L NS % | 9 P NS @ </v>
      </c>
      <c r="BW120" s="4"/>
      <c r="BX120" s="4" t="str">
        <f ca="1">IFERROR(__xludf.DUMMYFUNCTION("""COMPUTED_VALUE"""),"| 5 L JAVA @ | 6 L CPT @ | 7 P CPT @ ")</f>
        <v xml:space="preserve">| 5 L JAVA @ | 6 L CPT @ | 7 P CPT @ </v>
      </c>
      <c r="BY120" s="4" t="str">
        <f ca="1">IFERROR(__xludf.DUMMYFUNCTION("""COMPUTED_VALUE"""),"| 5 L PHP-CGM @ | 6 L NS @ | 7 L JAVA @ | 8 L CPT @ ")</f>
        <v xml:space="preserve">| 5 L PHP-CGM @ | 6 L NS @ | 7 L JAVA @ | 8 L CPT @ </v>
      </c>
      <c r="BZ120" s="4" t="str">
        <f ca="1">IFERROR(__xludf.DUMMYFUNCTION("""COMPUTED_VALUE"""),"| 5 P Python @ | 8 L JAVA @ | 7 L PHP-CGM @ | 9 P JAVA % ")</f>
        <v xml:space="preserve">| 5 P Python @ | 8 L JAVA @ | 7 L PHP-CGM @ | 9 P JAVA % </v>
      </c>
      <c r="CA120" s="4" t="str">
        <f ca="1">IFERROR(__xludf.DUMMYFUNCTION("""COMPUTED_VALUE"""),"| 5 P Python @ | 7 L CPT @ | 8 L NS @ | 9 P NS @ ")</f>
        <v xml:space="preserve">| 5 P Python @ | 7 L CPT @ | 8 L NS @ | 9 P NS @ </v>
      </c>
      <c r="CB120" s="4" t="str">
        <f ca="1">IFERROR(__xludf.DUMMYFUNCTION("""COMPUTED_VALUE"""),"| 5 L PHP-CGM % | 6 L NS % | 7 P JAVA @ ")</f>
        <v xml:space="preserve">| 5 L PHP-CGM % | 6 L NS % | 7 P JAVA @ </v>
      </c>
      <c r="CC120" s="4" t="str">
        <f ca="1">IFERROR(__xludf.DUMMYFUNCTION("""COMPUTED_VALUE"""),"| 5 L JAVA @ | 7 P CPT @ | 9 L INE @ ")</f>
        <v xml:space="preserve">| 5 L JAVA @ | 7 P CPT @ | 9 L INE @ </v>
      </c>
      <c r="CD120" s="4" t="str">
        <f ca="1">IFERROR(__xludf.DUMMYFUNCTION("""COMPUTED_VALUE"""),"| 5 L PHP-CGM % | 6 L NS @ | 7 L JAVA @ | 8 L CPT @ ")</f>
        <v xml:space="preserve">| 5 L PHP-CGM % | 6 L NS @ | 7 L JAVA @ | 8 L CPT @ </v>
      </c>
      <c r="CE120" s="4" t="str">
        <f ca="1">IFERROR(__xludf.DUMMYFUNCTION("""COMPUTED_VALUE"""),"| 5 P Python @ | 8 L JAVA @ | 7 L PHP-CGM @ ")</f>
        <v xml:space="preserve">| 5 P Python @ | 8 L JAVA @ | 7 L PHP-CGM @ </v>
      </c>
      <c r="CF120" s="4" t="str">
        <f ca="1">IFERROR(__xludf.DUMMYFUNCTION("""COMPUTED_VALUE"""),"| 5 P Python @ | 7 L CPT @ | 8 L NS @ | 9 P NS @ ")</f>
        <v xml:space="preserve">| 5 P Python @ | 7 L CPT @ | 8 L NS @ | 9 P NS @ </v>
      </c>
      <c r="CG120" s="4" t="str">
        <f ca="1">IFERROR(__xludf.DUMMYFUNCTION("""COMPUTED_VALUE"""),"| 5 L PHP-CGM @ | 6 L NS @ | 7 P JAVA @ ")</f>
        <v xml:space="preserve">| 5 L PHP-CGM @ | 6 L NS @ | 7 P JAVA @ </v>
      </c>
      <c r="CH120" s="4" t="str">
        <f ca="1">IFERROR(__xludf.DUMMYFUNCTION("""COMPUTED_VALUE"""),"| 5 L JAVA @ | 6 L CPT @ | 7 P CPT @ | 9 L INE @ ")</f>
        <v xml:space="preserve">| 5 L JAVA @ | 6 L CPT @ | 7 P CPT @ | 9 L INE @ </v>
      </c>
      <c r="CI120" s="4" t="str">
        <f ca="1">IFERROR(__xludf.DUMMYFUNCTION("""COMPUTED_VALUE"""),"| 5 L PHP-CGM @ | 7 L JAVA % | 8 L CPT @ ")</f>
        <v xml:space="preserve">| 5 L PHP-CGM @ | 7 L JAVA % | 8 L CPT @ </v>
      </c>
      <c r="CJ120" s="4" t="str">
        <f ca="1">IFERROR(__xludf.DUMMYFUNCTION("""COMPUTED_VALUE"""),"| 5 P Python % ")</f>
        <v xml:space="preserve">| 5 P Python % </v>
      </c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</row>
    <row r="121" spans="1:102" ht="12.5" x14ac:dyDescent="0.25">
      <c r="A121" s="3">
        <f ca="1">IFERROR(__xludf.DUMMYFUNCTION("""COMPUTED_VALUE"""),3)</f>
        <v>3</v>
      </c>
      <c r="B121" s="3" t="str">
        <f ca="1">IFERROR(__xludf.DUMMYFUNCTION("""COMPUTED_VALUE"""),"B")</f>
        <v>B</v>
      </c>
      <c r="C121" s="32" t="str">
        <f ca="1">IFERROR(__xludf.DUMMYFUNCTION("""COMPUTED_VALUE"""),"23291341082")</f>
        <v>23291341082</v>
      </c>
      <c r="D121" s="4" t="str">
        <f ca="1">IFERROR(__xludf.DUMMYFUNCTION("""COMPUTED_VALUE"""),"PATEL DRASHTI SUNIL")</f>
        <v>PATEL DRASHTI SUNIL</v>
      </c>
      <c r="E121" s="3" t="str">
        <f ca="1">IFERROR(__xludf.DUMMYFUNCTION("""COMPUTED_VALUE"""),"HAM/HDP-EVE")</f>
        <v>HAM/HDP-EVE</v>
      </c>
      <c r="F121" s="3">
        <f ca="1">IFERROR(__xludf.DUMMYFUNCTION("""COMPUTED_VALUE"""),9662774839)</f>
        <v>9662774839</v>
      </c>
      <c r="G121" s="3">
        <f ca="1">IFERROR(__xludf.DUMMYFUNCTION("""COMPUTED_VALUE"""),9909474839)</f>
        <v>9909474839</v>
      </c>
      <c r="H121" s="33">
        <f ca="1">IFERROR(__xludf.DUMMYFUNCTION("""COMPUTED_VALUE"""),0.792207792207792)</f>
        <v>0.79220779220779203</v>
      </c>
      <c r="I121" s="25">
        <f ca="1">IFERROR(__xludf.DUMMYFUNCTION("""COMPUTED_VALUE"""),0.837837837837837)</f>
        <v>0.83783783783783705</v>
      </c>
      <c r="J121" s="25">
        <f ca="1">IFERROR(__xludf.DUMMYFUNCTION("""COMPUTED_VALUE"""),0.909090909090909)</f>
        <v>0.90909090909090895</v>
      </c>
      <c r="K121" s="25">
        <f ca="1">IFERROR(__xludf.DUMMYFUNCTION("""COMPUTED_VALUE"""),0.705882352941176)</f>
        <v>0.70588235294117596</v>
      </c>
      <c r="L121" s="25">
        <f ca="1">IFERROR(__xludf.DUMMYFUNCTION("""COMPUTED_VALUE"""),0.666666666666666)</f>
        <v>0.66666666666666596</v>
      </c>
      <c r="M121" s="25">
        <f ca="1">IFERROR(__xludf.DUMMYFUNCTION("""COMPUTED_VALUE"""),0.771428571428571)</f>
        <v>0.77142857142857102</v>
      </c>
      <c r="N121" s="25">
        <f ca="1">IFERROR(__xludf.DUMMYFUNCTION("""COMPUTED_VALUE"""),0.875)</f>
        <v>0.875</v>
      </c>
      <c r="O121" s="25">
        <f ca="1">IFERROR(__xludf.DUMMYFUNCTION("""COMPUTED_VALUE"""),0.914285714285714)</f>
        <v>0.91428571428571404</v>
      </c>
      <c r="P121" s="25">
        <f ca="1">IFERROR(__xludf.DUMMYFUNCTION("""COMPUTED_VALUE"""),0.944444444444444)</f>
        <v>0.94444444444444398</v>
      </c>
      <c r="Q121" s="25">
        <f ca="1">IFERROR(__xludf.DUMMYFUNCTION("""COMPUTED_VALUE"""),0)</f>
        <v>0</v>
      </c>
      <c r="R121" s="25">
        <f ca="1">IFERROR(__xludf.DUMMYFUNCTION("""COMPUTED_VALUE"""),0.75)</f>
        <v>0.75</v>
      </c>
      <c r="S121" s="25">
        <f ca="1">IFERROR(__xludf.DUMMYFUNCTION("""COMPUTED_VALUE"""),0)</f>
        <v>0</v>
      </c>
      <c r="T121" s="25">
        <f ca="1">IFERROR(__xludf.DUMMYFUNCTION("""COMPUTED_VALUE"""),0.555555555555555)</f>
        <v>0.55555555555555503</v>
      </c>
      <c r="U121" s="25">
        <f ca="1">IFERROR(__xludf.DUMMYFUNCTION("""COMPUTED_VALUE"""),0.5)</f>
        <v>0.5</v>
      </c>
      <c r="V121" s="25">
        <f ca="1">IFERROR(__xludf.DUMMYFUNCTION("""COMPUTED_VALUE"""),0)</f>
        <v>0</v>
      </c>
      <c r="W121" s="4"/>
      <c r="X121" s="4" t="str">
        <f ca="1">IFERROR(__xludf.DUMMYFUNCTION("""COMPUTED_VALUE"""),"| 5 P Python @ | 7 L CPT @ | 8 L NS @ | 9 P NS @ ")</f>
        <v xml:space="preserve">| 5 P Python @ | 7 L CPT @ | 8 L NS @ | 9 P NS @ </v>
      </c>
      <c r="Y121" s="4" t="str">
        <f ca="1">IFERROR(__xludf.DUMMYFUNCTION("""COMPUTED_VALUE"""),"| 5 L PHP-CGM @ | 6 L NS @ | 7 P JAVA @ | 9 P PRO @ ")</f>
        <v xml:space="preserve">| 5 L PHP-CGM @ | 6 L NS @ | 7 P JAVA @ | 9 P PRO @ </v>
      </c>
      <c r="Z121" s="4" t="str">
        <f ca="1">IFERROR(__xludf.DUMMYFUNCTION("""COMPUTED_VALUE"""),"| 5 L JAVA % | 6 L CPT % | 7 P CPT % ")</f>
        <v xml:space="preserve">| 5 L JAVA % | 6 L CPT % | 7 P CPT % </v>
      </c>
      <c r="AA121" s="4" t="str">
        <f ca="1">IFERROR(__xludf.DUMMYFUNCTION("""COMPUTED_VALUE"""),"| 5 L PHP-CGM % | 7 L JAVA % | 9 P PHP-CGM % | 8 L CPT % ")</f>
        <v xml:space="preserve">| 5 L PHP-CGM % | 7 L JAVA % | 9 P PHP-CGM % | 8 L CPT % </v>
      </c>
      <c r="AB121" s="4" t="str">
        <f ca="1">IFERROR(__xludf.DUMMYFUNCTION("""COMPUTED_VALUE"""),"| 5 P Python % | 7 L PHP-CGM % | 8 L JAVA % | 9 P JAVA % ")</f>
        <v xml:space="preserve">| 5 P Python % | 7 L PHP-CGM % | 8 L JAVA % | 9 P JAVA % </v>
      </c>
      <c r="AC121" s="4" t="str">
        <f ca="1">IFERROR(__xludf.DUMMYFUNCTION("""COMPUTED_VALUE"""),"| 5 P Python % | 7 L CPT % | 8 L NS % | 9 P NS % ")</f>
        <v xml:space="preserve">| 5 P Python % | 7 L CPT % | 8 L NS % | 9 P NS % </v>
      </c>
      <c r="AD121" s="4" t="str">
        <f ca="1">IFERROR(__xludf.DUMMYFUNCTION("""COMPUTED_VALUE"""),"| 5 L PHP-CGM % | 6 L NS % | 7 P JAVA % | 9 P PRO % ")</f>
        <v xml:space="preserve">| 5 L PHP-CGM % | 6 L NS % | 7 P JAVA % | 9 P PRO % </v>
      </c>
      <c r="AE121" s="4" t="str">
        <f ca="1">IFERROR(__xludf.DUMMYFUNCTION("""COMPUTED_VALUE"""),"| 5 L JAVA % | 6 L CPT % | 7 P CPT % ")</f>
        <v xml:space="preserve">| 5 L JAVA % | 6 L CPT % | 7 P CPT % </v>
      </c>
      <c r="AF12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1" s="4" t="str">
        <f ca="1">IFERROR(__xludf.DUMMYFUNCTION("""COMPUTED_VALUE"""),"| 5 P Python % | 8 L JAVA % | 7 L PHP-CGM % | 9 P JAVA % ")</f>
        <v xml:space="preserve">| 5 P Python % | 8 L JAVA % | 7 L PHP-CGM % | 9 P JAVA % </v>
      </c>
      <c r="AH12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21" s="4" t="str">
        <f ca="1">IFERROR(__xludf.DUMMYFUNCTION("""COMPUTED_VALUE"""),"| 5 P Python % | 8 L JAVA % | 7 L PHP-CGM % | 9 P JAVA % ")</f>
        <v xml:space="preserve">| 5 P Python % | 8 L JAVA % | 7 L PHP-CGM % | 9 P JAVA % </v>
      </c>
      <c r="AJ121" s="4" t="str">
        <f ca="1">IFERROR(__xludf.DUMMYFUNCTION("""COMPUTED_VALUE"""),"| 5 P Python % | 7 L CPT % | 8 L NS % | 9 P NS % ")</f>
        <v xml:space="preserve">| 5 P Python % | 7 L CPT % | 8 L NS % | 9 P NS % </v>
      </c>
      <c r="AK121" s="4" t="str">
        <f ca="1">IFERROR(__xludf.DUMMYFUNCTION("""COMPUTED_VALUE"""),"| 5 L PHP-CGM % | 6 L NS % | 7 P JAVA % | 9 P PRO @ ")</f>
        <v xml:space="preserve">| 5 L PHP-CGM % | 6 L NS % | 7 P JAVA % | 9 P PRO @ </v>
      </c>
      <c r="AL121" s="4" t="str">
        <f ca="1">IFERROR(__xludf.DUMMYFUNCTION("""COMPUTED_VALUE"""),"| 5 L JAVA % | 6 L CPT % | 7 P CPT % | 9 L INE @ ")</f>
        <v xml:space="preserve">| 5 L JAVA % | 6 L CPT % | 7 P CPT % | 9 L INE @ </v>
      </c>
      <c r="AM12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1" s="4" t="str">
        <f ca="1">IFERROR(__xludf.DUMMYFUNCTION("""COMPUTED_VALUE"""),"| 5 P Python @ | 8 L JAVA % | 7 L PHP-CGM % | 9 P JAVA % ")</f>
        <v xml:space="preserve">| 5 P Python @ | 8 L JAVA % | 7 L PHP-CGM % | 9 P JAVA % </v>
      </c>
      <c r="AO121" s="4" t="str">
        <f ca="1">IFERROR(__xludf.DUMMYFUNCTION("""COMPUTED_VALUE"""),"| 5 P Python % | 7 L CPT % | 8 L NS % ")</f>
        <v xml:space="preserve">| 5 P Python % | 7 L CPT % | 8 L NS % </v>
      </c>
      <c r="AP121" s="4" t="str">
        <f ca="1">IFERROR(__xludf.DUMMYFUNCTION("""COMPUTED_VALUE"""),"| 5 L PHP-CGM % | 6 L NS % | 7 P JAVA % | 9 P PRO % ")</f>
        <v xml:space="preserve">| 5 L PHP-CGM % | 6 L NS % | 7 P JAVA % | 9 P PRO % </v>
      </c>
      <c r="AQ121" s="4" t="str">
        <f ca="1">IFERROR(__xludf.DUMMYFUNCTION("""COMPUTED_VALUE"""),"| 5 L CPT % | 7 L JAVA % | 7 P CPT @ | 9 L INE @ ")</f>
        <v xml:space="preserve">| 5 L CPT % | 7 L JAVA % | 7 P CPT @ | 9 L INE @ </v>
      </c>
      <c r="AR121" s="4" t="str">
        <f ca="1">IFERROR(__xludf.DUMMYFUNCTION("""COMPUTED_VALUE"""),"| 5 L PHP-CGM @ | 6 L NS @ | 8 L CPT @ ")</f>
        <v xml:space="preserve">| 5 L PHP-CGM @ | 6 L NS @ | 8 L CPT @ </v>
      </c>
      <c r="AS121" s="4" t="str">
        <f ca="1">IFERROR(__xludf.DUMMYFUNCTION("""COMPUTED_VALUE"""),"| 5 P Python @ | 7 L CPT @ | 8 L NS @ | 9 P NS @ ")</f>
        <v xml:space="preserve">| 5 P Python @ | 7 L CPT @ | 8 L NS @ | 9 P NS @ </v>
      </c>
      <c r="AT121" s="4" t="str">
        <f ca="1">IFERROR(__xludf.DUMMYFUNCTION("""COMPUTED_VALUE"""),"| 5 L PHP-CGM % | 6 L NS % | 7 P JAVA % | 9 P PRO % ")</f>
        <v xml:space="preserve">| 5 L PHP-CGM % | 6 L NS % | 7 P JAVA % | 9 P PRO % </v>
      </c>
      <c r="AU121" s="4" t="str">
        <f ca="1">IFERROR(__xludf.DUMMYFUNCTION("""COMPUTED_VALUE"""),"| 5 L JAVA % | 6 L CPT % | 7 P CPT % | 9 L INE % ")</f>
        <v xml:space="preserve">| 5 L JAVA % | 6 L CPT % | 7 P CPT % | 9 L INE % </v>
      </c>
      <c r="AV12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21" s="4" t="str">
        <f ca="1">IFERROR(__xludf.DUMMYFUNCTION("""COMPUTED_VALUE"""),"| 5 P Python % | 7 L PHP-CGM % | 8 L JAVA % | 9 P JAVA % ")</f>
        <v xml:space="preserve">| 5 P Python % | 7 L PHP-CGM % | 8 L JAVA % | 9 P JAVA % </v>
      </c>
      <c r="AX121" s="4" t="str">
        <f ca="1">IFERROR(__xludf.DUMMYFUNCTION("""COMPUTED_VALUE"""),"| 5 P Python % | 7 L CPT % | 8 L NS % | 9 P NS @ ")</f>
        <v xml:space="preserve">| 5 P Python % | 7 L CPT % | 8 L NS % | 9 P NS @ </v>
      </c>
      <c r="AY121" s="4" t="str">
        <f ca="1">IFERROR(__xludf.DUMMYFUNCTION("""COMPUTED_VALUE"""),"| 5 L PHP-CGM % | 6 L NS % | 7 P JAVA % ")</f>
        <v xml:space="preserve">| 5 L PHP-CGM % | 6 L NS % | 7 P JAVA % </v>
      </c>
      <c r="AZ121" s="4" t="str">
        <f ca="1">IFERROR(__xludf.DUMMYFUNCTION("""COMPUTED_VALUE"""),"| 5 L PHP-CGM % | 6 L NS % | 7 L JAVA % | 8 L CPT % ")</f>
        <v xml:space="preserve">| 5 L PHP-CGM % | 6 L NS % | 7 L JAVA % | 8 L CPT % </v>
      </c>
      <c r="BA121" s="4" t="str">
        <f ca="1">IFERROR(__xludf.DUMMYFUNCTION("""COMPUTED_VALUE"""),"| 5 P Python @ | 7 L PHP-CGM @ | 8 L JAVA @ ")</f>
        <v xml:space="preserve">| 5 P Python @ | 7 L PHP-CGM @ | 8 L JAVA @ </v>
      </c>
      <c r="BB121" s="4" t="str">
        <f ca="1">IFERROR(__xludf.DUMMYFUNCTION("""COMPUTED_VALUE"""),"| 5 P Python % | 7 L CPT % | 8 L NS % | 9 P NS % ")</f>
        <v xml:space="preserve">| 5 P Python % | 7 L CPT % | 8 L NS % | 9 P NS % </v>
      </c>
      <c r="BC121" s="4" t="str">
        <f ca="1">IFERROR(__xludf.DUMMYFUNCTION("""COMPUTED_VALUE"""),"| 5 L PHP-CGM % | 6 L NS % | 7 P JAVA % | 9 P PRO % ")</f>
        <v xml:space="preserve">| 5 L PHP-CGM % | 6 L NS % | 7 P JAVA % | 9 P PRO % </v>
      </c>
      <c r="BD121" s="4" t="str">
        <f ca="1">IFERROR(__xludf.DUMMYFUNCTION("""COMPUTED_VALUE"""),"| 5 L JAVA % | 6 L CPT % | 7 P CPT % | 9 L INE % ")</f>
        <v xml:space="preserve">| 5 L JAVA % | 6 L CPT % | 7 P CPT % | 9 L INE % </v>
      </c>
      <c r="BE121" s="4" t="str">
        <f ca="1">IFERROR(__xludf.DUMMYFUNCTION("""COMPUTED_VALUE"""),"| 5 L PHP-CGM % | 6 L NS @ | 7 L JAVA % | 8 L CPT % | 9 P PHP-CGM % ")</f>
        <v xml:space="preserve">| 5 L PHP-CGM % | 6 L NS @ | 7 L JAVA % | 8 L CPT % | 9 P PHP-CGM % </v>
      </c>
      <c r="BF121" s="4" t="str">
        <f ca="1">IFERROR(__xludf.DUMMYFUNCTION("""COMPUTED_VALUE"""),"| 5 P Python % | 7 L PHP-CGM % | 9 P JAVA % | 8 L JAVA % ")</f>
        <v xml:space="preserve">| 5 P Python % | 7 L PHP-CGM % | 9 P JAVA % | 8 L JAVA % </v>
      </c>
      <c r="BG121" s="4" t="str">
        <f ca="1">IFERROR(__xludf.DUMMYFUNCTION("""COMPUTED_VALUE"""),"| 5 L PHP-CGM % | 6 L NS % | 7 P JAVA % | 9 P PRO % ")</f>
        <v xml:space="preserve">| 5 L PHP-CGM % | 6 L NS % | 7 P JAVA % | 9 P PRO % </v>
      </c>
      <c r="BH121" s="4" t="str">
        <f ca="1">IFERROR(__xludf.DUMMYFUNCTION("""COMPUTED_VALUE"""),"| 5 L JAVA % | 6 L CPT % | 7 P CPT % | 9 L INE @ ")</f>
        <v xml:space="preserve">| 5 L JAVA % | 6 L CPT % | 7 P CPT % | 9 L INE @ </v>
      </c>
      <c r="BI121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21" s="4" t="str">
        <f ca="1">IFERROR(__xludf.DUMMYFUNCTION("""COMPUTED_VALUE"""),"| 5 P Python @ | 7 L JAVA @ | 8 L PHP-CGM @ ")</f>
        <v xml:space="preserve">| 5 P Python @ | 7 L JAVA @ | 8 L PHP-CGM @ </v>
      </c>
      <c r="BK121" s="4" t="str">
        <f ca="1">IFERROR(__xludf.DUMMYFUNCTION("""COMPUTED_VALUE"""),"| 5 P Python % | 7 L CPT % | 8 L NS @ | 9 P NS @ ")</f>
        <v xml:space="preserve">| 5 P Python % | 7 L CPT % | 8 L NS @ | 9 P NS @ </v>
      </c>
      <c r="BL121" s="4" t="str">
        <f ca="1">IFERROR(__xludf.DUMMYFUNCTION("""COMPUTED_VALUE"""),"| 5 L PHP-CGM % | 6 L NS % | 7 P JAVA % | 9 P PRO @ ")</f>
        <v xml:space="preserve">| 5 L PHP-CGM % | 6 L NS % | 7 P JAVA % | 9 P PRO @ </v>
      </c>
      <c r="BM121" s="4" t="str">
        <f ca="1">IFERROR(__xludf.DUMMYFUNCTION("""COMPUTED_VALUE"""),"| 5 L JAVA % | 6 L CPT % | 7 P CPT % | 9 L INE @ ")</f>
        <v xml:space="preserve">| 5 L JAVA % | 6 L CPT % | 7 P CPT % | 9 L INE @ </v>
      </c>
      <c r="BN121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21" s="4" t="str">
        <f ca="1">IFERROR(__xludf.DUMMYFUNCTION("""COMPUTED_VALUE"""),"| 5 P Python % | 7 L PHP-CGM % ")</f>
        <v xml:space="preserve">| 5 P Python % | 7 L PHP-CGM % </v>
      </c>
      <c r="BP121" s="4" t="str">
        <f ca="1">IFERROR(__xludf.DUMMYFUNCTION("""COMPUTED_VALUE"""),"| 5 P Python % | 7 L CPT % | 8 L NS % | 9 P NS % ")</f>
        <v xml:space="preserve">| 5 P Python % | 7 L CPT % | 8 L NS % | 9 P NS % </v>
      </c>
      <c r="BQ121" s="4" t="str">
        <f ca="1">IFERROR(__xludf.DUMMYFUNCTION("""COMPUTED_VALUE"""),"| 5 L JAVA % | 6 L CPT % ")</f>
        <v xml:space="preserve">| 5 L JAVA % | 6 L CPT % </v>
      </c>
      <c r="BR121" s="4" t="str">
        <f ca="1">IFERROR(__xludf.DUMMYFUNCTION("""COMPUTED_VALUE"""),"| 7 L JAVA % ")</f>
        <v xml:space="preserve">| 7 L JAVA % </v>
      </c>
      <c r="BS121" s="4"/>
      <c r="BT121" s="4" t="str">
        <f ca="1">IFERROR(__xludf.DUMMYFUNCTION("""COMPUTED_VALUE"""),"| 7 L CPT @ | 9 P NS % ")</f>
        <v xml:space="preserve">| 7 L CPT @ | 9 P NS % </v>
      </c>
      <c r="BU121" s="4" t="str">
        <f ca="1">IFERROR(__xludf.DUMMYFUNCTION("""COMPUTED_VALUE"""),"| 9 P PRO @ ")</f>
        <v xml:space="preserve">| 9 P PRO @ </v>
      </c>
      <c r="BV121" s="4" t="str">
        <f ca="1">IFERROR(__xludf.DUMMYFUNCTION("""COMPUTED_VALUE"""),"| 5 P Python % | 7 L CPT % | 8 L NS % | 9 P NS % ")</f>
        <v xml:space="preserve">| 5 P Python % | 7 L CPT % | 8 L NS % | 9 P NS % </v>
      </c>
      <c r="BW121" s="4"/>
      <c r="BX121" s="4" t="str">
        <f ca="1">IFERROR(__xludf.DUMMYFUNCTION("""COMPUTED_VALUE"""),"| 5 L JAVA % | 6 L CPT % | 7 P CPT % ")</f>
        <v xml:space="preserve">| 5 L JAVA % | 6 L CPT % | 7 P CPT % </v>
      </c>
      <c r="BY121" s="4" t="str">
        <f ca="1">IFERROR(__xludf.DUMMYFUNCTION("""COMPUTED_VALUE"""),"| 5 L PHP-CGM % | 6 L NS % | 7 L JAVA % | 8 L CPT % ")</f>
        <v xml:space="preserve">| 5 L PHP-CGM % | 6 L NS % | 7 L JAVA % | 8 L CPT % </v>
      </c>
      <c r="BZ121" s="4" t="str">
        <f ca="1">IFERROR(__xludf.DUMMYFUNCTION("""COMPUTED_VALUE"""),"| 5 P Python % | 8 L JAVA % | 7 L PHP-CGM % | 9 P JAVA % ")</f>
        <v xml:space="preserve">| 5 P Python % | 8 L JAVA % | 7 L PHP-CGM % | 9 P JAVA % </v>
      </c>
      <c r="CA121" s="4" t="str">
        <f ca="1">IFERROR(__xludf.DUMMYFUNCTION("""COMPUTED_VALUE"""),"| 5 P Python % | 7 L CPT @ | 8 L NS @ | 9 P NS % ")</f>
        <v xml:space="preserve">| 5 P Python % | 7 L CPT @ | 8 L NS @ | 9 P NS % </v>
      </c>
      <c r="CB121" s="4" t="str">
        <f ca="1">IFERROR(__xludf.DUMMYFUNCTION("""COMPUTED_VALUE"""),"| 5 L PHP-CGM @ | 6 L NS @ | 7 P JAVA % ")</f>
        <v xml:space="preserve">| 5 L PHP-CGM @ | 6 L NS @ | 7 P JAVA % </v>
      </c>
      <c r="CC121" s="4" t="str">
        <f ca="1">IFERROR(__xludf.DUMMYFUNCTION("""COMPUTED_VALUE"""),"| 5 L JAVA % | 7 P CPT % | 9 L INE % ")</f>
        <v xml:space="preserve">| 5 L JAVA % | 7 P CPT % | 9 L INE % </v>
      </c>
      <c r="CD121" s="4" t="str">
        <f ca="1">IFERROR(__xludf.DUMMYFUNCTION("""COMPUTED_VALUE"""),"| 5 L PHP-CGM @ | 6 L NS @ | 7 L JAVA @ | 8 L CPT @ ")</f>
        <v xml:space="preserve">| 5 L PHP-CGM @ | 6 L NS @ | 7 L JAVA @ | 8 L CPT @ </v>
      </c>
      <c r="CE121" s="4" t="str">
        <f ca="1">IFERROR(__xludf.DUMMYFUNCTION("""COMPUTED_VALUE"""),"| 5 P Python @ | 8 L JAVA % | 7 L PHP-CGM % ")</f>
        <v xml:space="preserve">| 5 P Python @ | 8 L JAVA % | 7 L PHP-CGM % </v>
      </c>
      <c r="CF121" s="4" t="str">
        <f ca="1">IFERROR(__xludf.DUMMYFUNCTION("""COMPUTED_VALUE"""),"| 5 P Python % | 7 L CPT % | 8 L NS % | 9 P NS % ")</f>
        <v xml:space="preserve">| 5 P Python % | 7 L CPT % | 8 L NS % | 9 P NS % </v>
      </c>
      <c r="CG121" s="4" t="str">
        <f ca="1">IFERROR(__xludf.DUMMYFUNCTION("""COMPUTED_VALUE"""),"| 5 L PHP-CGM @ | 6 L NS @ | 7 P JAVA % ")</f>
        <v xml:space="preserve">| 5 L PHP-CGM @ | 6 L NS @ | 7 P JAVA % </v>
      </c>
      <c r="CH121" s="4" t="str">
        <f ca="1">IFERROR(__xludf.DUMMYFUNCTION("""COMPUTED_VALUE"""),"| 5 L JAVA % | 6 L CPT % | 7 P CPT % | 9 L INE % ")</f>
        <v xml:space="preserve">| 5 L JAVA % | 6 L CPT % | 7 P CPT % | 9 L INE % </v>
      </c>
      <c r="CI121" s="4" t="str">
        <f ca="1">IFERROR(__xludf.DUMMYFUNCTION("""COMPUTED_VALUE"""),"| 5 L PHP-CGM @ | 7 L JAVA % | 8 L CPT % ")</f>
        <v xml:space="preserve">| 5 L PHP-CGM @ | 7 L JAVA % | 8 L CPT % </v>
      </c>
      <c r="CJ121" s="4" t="str">
        <f ca="1">IFERROR(__xludf.DUMMYFUNCTION("""COMPUTED_VALUE"""),"| 5 P Python % ")</f>
        <v xml:space="preserve">| 5 P Python % </v>
      </c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</row>
    <row r="122" spans="1:102" ht="12.5" x14ac:dyDescent="0.25">
      <c r="A122" s="3">
        <f ca="1">IFERROR(__xludf.DUMMYFUNCTION("""COMPUTED_VALUE"""),3)</f>
        <v>3</v>
      </c>
      <c r="B122" s="3" t="str">
        <f ca="1">IFERROR(__xludf.DUMMYFUNCTION("""COMPUTED_VALUE"""),"B")</f>
        <v>B</v>
      </c>
      <c r="C122" s="32" t="str">
        <f ca="1">IFERROR(__xludf.DUMMYFUNCTION("""COMPUTED_VALUE"""),"23291341084")</f>
        <v>23291341084</v>
      </c>
      <c r="D122" s="4" t="str">
        <f ca="1">IFERROR(__xludf.DUMMYFUNCTION("""COMPUTED_VALUE"""),"PATEL GARV KIRTIBHAI")</f>
        <v>PATEL GARV KIRTIBHAI</v>
      </c>
      <c r="E122" s="3" t="str">
        <f ca="1">IFERROR(__xludf.DUMMYFUNCTION("""COMPUTED_VALUE"""),"HAM/HDP-EVE")</f>
        <v>HAM/HDP-EVE</v>
      </c>
      <c r="F122" s="3">
        <f ca="1">IFERROR(__xludf.DUMMYFUNCTION("""COMPUTED_VALUE"""),9426062484)</f>
        <v>9426062484</v>
      </c>
      <c r="G122" s="3">
        <f ca="1">IFERROR(__xludf.DUMMYFUNCTION("""COMPUTED_VALUE"""),9879289623)</f>
        <v>9879289623</v>
      </c>
      <c r="H122" s="33">
        <f ca="1">IFERROR(__xludf.DUMMYFUNCTION("""COMPUTED_VALUE"""),0.852813852813852)</f>
        <v>0.85281385281385202</v>
      </c>
      <c r="I122" s="25">
        <f ca="1">IFERROR(__xludf.DUMMYFUNCTION("""COMPUTED_VALUE"""),0.783783783783783)</f>
        <v>0.78378378378378299</v>
      </c>
      <c r="J122" s="25">
        <f ca="1">IFERROR(__xludf.DUMMYFUNCTION("""COMPUTED_VALUE"""),1)</f>
        <v>1</v>
      </c>
      <c r="K122" s="25">
        <f ca="1">IFERROR(__xludf.DUMMYFUNCTION("""COMPUTED_VALUE"""),0.852941176470588)</f>
        <v>0.85294117647058798</v>
      </c>
      <c r="L122" s="25">
        <f ca="1">IFERROR(__xludf.DUMMYFUNCTION("""COMPUTED_VALUE"""),0.833333333333333)</f>
        <v>0.83333333333333304</v>
      </c>
      <c r="M122" s="25">
        <f ca="1">IFERROR(__xludf.DUMMYFUNCTION("""COMPUTED_VALUE"""),0.885714285714285)</f>
        <v>0.88571428571428501</v>
      </c>
      <c r="N122" s="25">
        <f ca="1">IFERROR(__xludf.DUMMYFUNCTION("""COMPUTED_VALUE"""),0.875)</f>
        <v>0.875</v>
      </c>
      <c r="O122" s="25">
        <f ca="1">IFERROR(__xludf.DUMMYFUNCTION("""COMPUTED_VALUE"""),0.828571428571428)</f>
        <v>0.82857142857142796</v>
      </c>
      <c r="P122" s="25">
        <f ca="1">IFERROR(__xludf.DUMMYFUNCTION("""COMPUTED_VALUE"""),0.888888888888888)</f>
        <v>0.88888888888888795</v>
      </c>
      <c r="Q122" s="25">
        <f ca="1">IFERROR(__xludf.DUMMYFUNCTION("""COMPUTED_VALUE"""),0)</f>
        <v>0</v>
      </c>
      <c r="R122" s="25">
        <f ca="1">IFERROR(__xludf.DUMMYFUNCTION("""COMPUTED_VALUE"""),0.875)</f>
        <v>0.875</v>
      </c>
      <c r="S122" s="25">
        <f ca="1">IFERROR(__xludf.DUMMYFUNCTION("""COMPUTED_VALUE"""),0)</f>
        <v>0</v>
      </c>
      <c r="T122" s="25">
        <f ca="1">IFERROR(__xludf.DUMMYFUNCTION("""COMPUTED_VALUE"""),0.888888888888888)</f>
        <v>0.88888888888888795</v>
      </c>
      <c r="U122" s="25">
        <f ca="1">IFERROR(__xludf.DUMMYFUNCTION("""COMPUTED_VALUE"""),0.75)</f>
        <v>0.75</v>
      </c>
      <c r="V122" s="25">
        <f ca="1">IFERROR(__xludf.DUMMYFUNCTION("""COMPUTED_VALUE"""),0)</f>
        <v>0</v>
      </c>
      <c r="W122" s="4"/>
      <c r="X122" s="4" t="str">
        <f ca="1">IFERROR(__xludf.DUMMYFUNCTION("""COMPUTED_VALUE"""),"| 5 P Python % | 7 L CPT % | 8 L NS % | 9 P NS % ")</f>
        <v xml:space="preserve">| 5 P Python % | 7 L CPT % | 8 L NS % | 9 P NS % </v>
      </c>
      <c r="Y122" s="4" t="str">
        <f ca="1">IFERROR(__xludf.DUMMYFUNCTION("""COMPUTED_VALUE"""),"| 5 L PHP-CGM % | 6 L NS % | 7 P JAVA % | 9 P PRO % ")</f>
        <v xml:space="preserve">| 5 L PHP-CGM % | 6 L NS % | 7 P JAVA % | 9 P PRO % </v>
      </c>
      <c r="Z122" s="4" t="str">
        <f ca="1">IFERROR(__xludf.DUMMYFUNCTION("""COMPUTED_VALUE"""),"| 5 L JAVA % | 6 L CPT % | 7 P CPT % ")</f>
        <v xml:space="preserve">| 5 L JAVA % | 6 L CPT % | 7 P CPT % </v>
      </c>
      <c r="AA122" s="4" t="str">
        <f ca="1">IFERROR(__xludf.DUMMYFUNCTION("""COMPUTED_VALUE"""),"| 5 L PHP-CGM % | 7 L JAVA % | 9 P PHP-CGM % | 8 L CPT % ")</f>
        <v xml:space="preserve">| 5 L PHP-CGM % | 7 L JAVA % | 9 P PHP-CGM % | 8 L CPT % </v>
      </c>
      <c r="AB122" s="4" t="str">
        <f ca="1">IFERROR(__xludf.DUMMYFUNCTION("""COMPUTED_VALUE"""),"| 5 P Python % | 7 L PHP-CGM % | 8 L JAVA % | 9 P JAVA % ")</f>
        <v xml:space="preserve">| 5 P Python % | 7 L PHP-CGM % | 8 L JAVA % | 9 P JAVA % </v>
      </c>
      <c r="AC122" s="4" t="str">
        <f ca="1">IFERROR(__xludf.DUMMYFUNCTION("""COMPUTED_VALUE"""),"| 5 P Python % | 7 L CPT % | 8 L NS % | 9 P NS % ")</f>
        <v xml:space="preserve">| 5 P Python % | 7 L CPT % | 8 L NS % | 9 P NS % </v>
      </c>
      <c r="AD122" s="4" t="str">
        <f ca="1">IFERROR(__xludf.DUMMYFUNCTION("""COMPUTED_VALUE"""),"| 5 L PHP-CGM % | 6 L NS % | 7 P JAVA % | 9 P PRO % ")</f>
        <v xml:space="preserve">| 5 L PHP-CGM % | 6 L NS % | 7 P JAVA % | 9 P PRO % </v>
      </c>
      <c r="AE122" s="4" t="str">
        <f ca="1">IFERROR(__xludf.DUMMYFUNCTION("""COMPUTED_VALUE"""),"| 5 L JAVA % | 6 L CPT % | 7 P CPT % ")</f>
        <v xml:space="preserve">| 5 L JAVA % | 6 L CPT % | 7 P CPT % </v>
      </c>
      <c r="AF12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2" s="4" t="str">
        <f ca="1">IFERROR(__xludf.DUMMYFUNCTION("""COMPUTED_VALUE"""),"| 5 P Python % | 8 L JAVA % | 7 L PHP-CGM % | 9 P JAVA % ")</f>
        <v xml:space="preserve">| 5 P Python % | 8 L JAVA % | 7 L PHP-CGM % | 9 P JAVA % </v>
      </c>
      <c r="AH12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22" s="4" t="str">
        <f ca="1">IFERROR(__xludf.DUMMYFUNCTION("""COMPUTED_VALUE"""),"| 5 P Python % | 8 L JAVA % | 7 L PHP-CGM % | 9 P JAVA % ")</f>
        <v xml:space="preserve">| 5 P Python % | 8 L JAVA % | 7 L PHP-CGM % | 9 P JAVA % </v>
      </c>
      <c r="AJ122" s="4" t="str">
        <f ca="1">IFERROR(__xludf.DUMMYFUNCTION("""COMPUTED_VALUE"""),"| 5 P Python % | 7 L CPT % | 8 L NS % | 9 P NS % ")</f>
        <v xml:space="preserve">| 5 P Python % | 7 L CPT % | 8 L NS % | 9 P NS % </v>
      </c>
      <c r="AK122" s="4" t="str">
        <f ca="1">IFERROR(__xludf.DUMMYFUNCTION("""COMPUTED_VALUE"""),"| 5 L PHP-CGM % | 6 L NS % | 7 P JAVA % | 9 P PRO % ")</f>
        <v xml:space="preserve">| 5 L PHP-CGM % | 6 L NS % | 7 P JAVA % | 9 P PRO % </v>
      </c>
      <c r="AL122" s="4" t="str">
        <f ca="1">IFERROR(__xludf.DUMMYFUNCTION("""COMPUTED_VALUE"""),"| 5 L JAVA % | 6 L CPT % | 7 P CPT % | 9 L INE % ")</f>
        <v xml:space="preserve">| 5 L JAVA % | 6 L CPT % | 7 P CPT % | 9 L INE % </v>
      </c>
      <c r="AM12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2" s="4" t="str">
        <f ca="1">IFERROR(__xludf.DUMMYFUNCTION("""COMPUTED_VALUE"""),"| 5 P Python @ | 8 L JAVA % | 7 L PHP-CGM % | 9 P JAVA % ")</f>
        <v xml:space="preserve">| 5 P Python @ | 8 L JAVA % | 7 L PHP-CGM % | 9 P JAVA % </v>
      </c>
      <c r="AO122" s="4" t="str">
        <f ca="1">IFERROR(__xludf.DUMMYFUNCTION("""COMPUTED_VALUE"""),"| 5 P Python @ | 7 L CPT @ | 8 L NS @ ")</f>
        <v xml:space="preserve">| 5 P Python @ | 7 L CPT @ | 8 L NS @ </v>
      </c>
      <c r="AP122" s="4" t="str">
        <f ca="1">IFERROR(__xludf.DUMMYFUNCTION("""COMPUTED_VALUE"""),"| 5 L PHP-CGM % | 6 L NS % | 7 P JAVA % | 9 P PRO @ ")</f>
        <v xml:space="preserve">| 5 L PHP-CGM % | 6 L NS % | 7 P JAVA % | 9 P PRO @ </v>
      </c>
      <c r="AQ122" s="4" t="str">
        <f ca="1">IFERROR(__xludf.DUMMYFUNCTION("""COMPUTED_VALUE"""),"| 5 L CPT % | 7 L JAVA % | 7 P CPT % | 9 L INE % ")</f>
        <v xml:space="preserve">| 5 L CPT % | 7 L JAVA % | 7 P CPT % | 9 L INE % </v>
      </c>
      <c r="AR122" s="4" t="str">
        <f ca="1">IFERROR(__xludf.DUMMYFUNCTION("""COMPUTED_VALUE"""),"| 5 L PHP-CGM % | 6 L NS % | 8 L CPT @ ")</f>
        <v xml:space="preserve">| 5 L PHP-CGM % | 6 L NS % | 8 L CPT @ </v>
      </c>
      <c r="AS122" s="4" t="str">
        <f ca="1">IFERROR(__xludf.DUMMYFUNCTION("""COMPUTED_VALUE"""),"| 5 P Python % | 7 L CPT % | 8 L NS % | 9 P NS % ")</f>
        <v xml:space="preserve">| 5 P Python % | 7 L CPT % | 8 L NS % | 9 P NS % </v>
      </c>
      <c r="AT122" s="4" t="str">
        <f ca="1">IFERROR(__xludf.DUMMYFUNCTION("""COMPUTED_VALUE"""),"| 5 L PHP-CGM % | 6 L NS % | 7 P JAVA % | 9 P PRO % ")</f>
        <v xml:space="preserve">| 5 L PHP-CGM % | 6 L NS % | 7 P JAVA % | 9 P PRO % </v>
      </c>
      <c r="AU122" s="4" t="str">
        <f ca="1">IFERROR(__xludf.DUMMYFUNCTION("""COMPUTED_VALUE"""),"| 5 L JAVA % | 6 L CPT % | 7 P CPT % | 9 L INE % ")</f>
        <v xml:space="preserve">| 5 L JAVA % | 6 L CPT % | 7 P CPT % | 9 L INE % </v>
      </c>
      <c r="AV12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22" s="4" t="str">
        <f ca="1">IFERROR(__xludf.DUMMYFUNCTION("""COMPUTED_VALUE"""),"| 5 P Python % | 7 L PHP-CGM % | 8 L JAVA % | 9 P JAVA @ ")</f>
        <v xml:space="preserve">| 5 P Python % | 7 L PHP-CGM % | 8 L JAVA % | 9 P JAVA @ </v>
      </c>
      <c r="AX122" s="4" t="str">
        <f ca="1">IFERROR(__xludf.DUMMYFUNCTION("""COMPUTED_VALUE"""),"| 5 P Python % | 7 L CPT % | 8 L NS % | 9 P NS % ")</f>
        <v xml:space="preserve">| 5 P Python % | 7 L CPT % | 8 L NS % | 9 P NS % </v>
      </c>
      <c r="AY122" s="4" t="str">
        <f ca="1">IFERROR(__xludf.DUMMYFUNCTION("""COMPUTED_VALUE"""),"| 5 L PHP-CGM % | 6 L NS % | 7 P JAVA % ")</f>
        <v xml:space="preserve">| 5 L PHP-CGM % | 6 L NS % | 7 P JAVA % </v>
      </c>
      <c r="AZ122" s="4" t="str">
        <f ca="1">IFERROR(__xludf.DUMMYFUNCTION("""COMPUTED_VALUE"""),"| 5 L PHP-CGM % | 6 L NS % | 7 L JAVA % | 8 L CPT % ")</f>
        <v xml:space="preserve">| 5 L PHP-CGM % | 6 L NS % | 7 L JAVA % | 8 L CPT % </v>
      </c>
      <c r="BA122" s="4" t="str">
        <f ca="1">IFERROR(__xludf.DUMMYFUNCTION("""COMPUTED_VALUE"""),"| 5 P Python % | 7 L PHP-CGM % | 8 L JAVA % ")</f>
        <v xml:space="preserve">| 5 P Python % | 7 L PHP-CGM % | 8 L JAVA % </v>
      </c>
      <c r="BB122" s="4" t="str">
        <f ca="1">IFERROR(__xludf.DUMMYFUNCTION("""COMPUTED_VALUE"""),"| 5 P Python % | 7 L CPT % | 8 L NS % | 9 P NS % ")</f>
        <v xml:space="preserve">| 5 P Python % | 7 L CPT % | 8 L NS % | 9 P NS % </v>
      </c>
      <c r="BC122" s="4" t="str">
        <f ca="1">IFERROR(__xludf.DUMMYFUNCTION("""COMPUTED_VALUE"""),"| 5 L PHP-CGM % | 6 L NS % | 7 P JAVA % | 9 P PRO % ")</f>
        <v xml:space="preserve">| 5 L PHP-CGM % | 6 L NS % | 7 P JAVA % | 9 P PRO % </v>
      </c>
      <c r="BD122" s="4" t="str">
        <f ca="1">IFERROR(__xludf.DUMMYFUNCTION("""COMPUTED_VALUE"""),"| 5 L JAVA % | 6 L CPT % | 7 P CPT % | 9 L INE % ")</f>
        <v xml:space="preserve">| 5 L JAVA % | 6 L CPT % | 7 P CPT % | 9 L INE % </v>
      </c>
      <c r="BE12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22" s="4" t="str">
        <f ca="1">IFERROR(__xludf.DUMMYFUNCTION("""COMPUTED_VALUE"""),"| 5 P Python % | 7 L PHP-CGM % | 9 P JAVA @ | 8 L JAVA % ")</f>
        <v xml:space="preserve">| 5 P Python % | 7 L PHP-CGM % | 9 P JAVA @ | 8 L JAVA % </v>
      </c>
      <c r="BG122" s="4" t="str">
        <f ca="1">IFERROR(__xludf.DUMMYFUNCTION("""COMPUTED_VALUE"""),"| 5 L PHP-CGM % | 6 L NS % | 7 P JAVA % | 9 P PRO % ")</f>
        <v xml:space="preserve">| 5 L PHP-CGM % | 6 L NS % | 7 P JAVA % | 9 P PRO % </v>
      </c>
      <c r="BH122" s="4" t="str">
        <f ca="1">IFERROR(__xludf.DUMMYFUNCTION("""COMPUTED_VALUE"""),"| 5 L JAVA % | 6 L CPT % | 7 P CPT % | 9 L INE @ ")</f>
        <v xml:space="preserve">| 5 L JAVA % | 6 L CPT % | 7 P CPT % | 9 L INE @ </v>
      </c>
      <c r="BI122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J122" s="4" t="str">
        <f ca="1">IFERROR(__xludf.DUMMYFUNCTION("""COMPUTED_VALUE"""),"| 5 P Python @ | 7 L JAVA @ | 8 L PHP-CGM @ ")</f>
        <v xml:space="preserve">| 5 P Python @ | 7 L JAVA @ | 8 L PHP-CGM @ </v>
      </c>
      <c r="BK122" s="4" t="str">
        <f ca="1">IFERROR(__xludf.DUMMYFUNCTION("""COMPUTED_VALUE"""),"| 5 P Python % | 7 L CPT @ | 8 L NS @ | 9 P NS @ ")</f>
        <v xml:space="preserve">| 5 P Python % | 7 L CPT @ | 8 L NS @ | 9 P NS @ </v>
      </c>
      <c r="BL122" s="4" t="str">
        <f ca="1">IFERROR(__xludf.DUMMYFUNCTION("""COMPUTED_VALUE"""),"| 5 L PHP-CGM % | 6 L NS % | 7 P JAVA % | 9 P PRO % ")</f>
        <v xml:space="preserve">| 5 L PHP-CGM % | 6 L NS % | 7 P JAVA % | 9 P PRO % </v>
      </c>
      <c r="BM122" s="4" t="str">
        <f ca="1">IFERROR(__xludf.DUMMYFUNCTION("""COMPUTED_VALUE"""),"| 5 L JAVA % | 6 L CPT % | 7 P CPT % | 9 L INE @ ")</f>
        <v xml:space="preserve">| 5 L JAVA % | 6 L CPT % | 7 P CPT % | 9 L INE @ </v>
      </c>
      <c r="BN122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22" s="4" t="str">
        <f ca="1">IFERROR(__xludf.DUMMYFUNCTION("""COMPUTED_VALUE"""),"| 5 P Python % | 7 L PHP-CGM % ")</f>
        <v xml:space="preserve">| 5 P Python % | 7 L PHP-CGM % </v>
      </c>
      <c r="BP122" s="4" t="str">
        <f ca="1">IFERROR(__xludf.DUMMYFUNCTION("""COMPUTED_VALUE"""),"| 5 P Python % | 7 L CPT % | 8 L NS % | 9 P NS @ ")</f>
        <v xml:space="preserve">| 5 P Python % | 7 L CPT % | 8 L NS % | 9 P NS @ </v>
      </c>
      <c r="BQ122" s="4" t="str">
        <f ca="1">IFERROR(__xludf.DUMMYFUNCTION("""COMPUTED_VALUE"""),"| 5 L JAVA % | 6 L CPT % ")</f>
        <v xml:space="preserve">| 5 L JAVA % | 6 L CPT % </v>
      </c>
      <c r="BR122" s="4" t="str">
        <f ca="1">IFERROR(__xludf.DUMMYFUNCTION("""COMPUTED_VALUE"""),"| 7 L JAVA % ")</f>
        <v xml:space="preserve">| 7 L JAVA % </v>
      </c>
      <c r="BS122" s="4"/>
      <c r="BT122" s="4" t="str">
        <f ca="1">IFERROR(__xludf.DUMMYFUNCTION("""COMPUTED_VALUE"""),"| 7 L CPT @ | 9 P NS % ")</f>
        <v xml:space="preserve">| 7 L CPT @ | 9 P NS % </v>
      </c>
      <c r="BU122" s="4" t="str">
        <f ca="1">IFERROR(__xludf.DUMMYFUNCTION("""COMPUTED_VALUE"""),"| 9 P PRO % ")</f>
        <v xml:space="preserve">| 9 P PRO % </v>
      </c>
      <c r="BV122" s="4" t="str">
        <f ca="1">IFERROR(__xludf.DUMMYFUNCTION("""COMPUTED_VALUE"""),"| 5 P Python % | 7 L CPT % | 8 L NS % | 9 P NS % ")</f>
        <v xml:space="preserve">| 5 P Python % | 7 L CPT % | 8 L NS % | 9 P NS % </v>
      </c>
      <c r="BW122" s="4"/>
      <c r="BX122" s="4" t="str">
        <f ca="1">IFERROR(__xludf.DUMMYFUNCTION("""COMPUTED_VALUE"""),"| 5 L JAVA % | 6 L CPT % | 7 P CPT % ")</f>
        <v xml:space="preserve">| 5 L JAVA % | 6 L CPT % | 7 P CPT % </v>
      </c>
      <c r="BY122" s="4" t="str">
        <f ca="1">IFERROR(__xludf.DUMMYFUNCTION("""COMPUTED_VALUE"""),"| 5 L PHP-CGM % | 6 L NS % | 7 L JAVA @ | 8 L CPT @ ")</f>
        <v xml:space="preserve">| 5 L PHP-CGM % | 6 L NS % | 7 L JAVA @ | 8 L CPT @ </v>
      </c>
      <c r="BZ122" s="4" t="str">
        <f ca="1">IFERROR(__xludf.DUMMYFUNCTION("""COMPUTED_VALUE"""),"| 5 P Python % | 8 L JAVA @ | 7 L PHP-CGM @ | 9 P JAVA % ")</f>
        <v xml:space="preserve">| 5 P Python % | 8 L JAVA @ | 7 L PHP-CGM @ | 9 P JAVA % </v>
      </c>
      <c r="CA122" s="4" t="str">
        <f ca="1">IFERROR(__xludf.DUMMYFUNCTION("""COMPUTED_VALUE"""),"| 5 P Python % | 7 L CPT % | 8 L NS % | 9 P NS % ")</f>
        <v xml:space="preserve">| 5 P Python % | 7 L CPT % | 8 L NS % | 9 P NS % </v>
      </c>
      <c r="CB122" s="4" t="str">
        <f ca="1">IFERROR(__xludf.DUMMYFUNCTION("""COMPUTED_VALUE"""),"| 5 L PHP-CGM % | 6 L NS % | 7 P JAVA % ")</f>
        <v xml:space="preserve">| 5 L PHP-CGM % | 6 L NS % | 7 P JAVA % </v>
      </c>
      <c r="CC122" s="4" t="str">
        <f ca="1">IFERROR(__xludf.DUMMYFUNCTION("""COMPUTED_VALUE"""),"| 5 L JAVA @ | 7 P CPT % | 9 L INE % ")</f>
        <v xml:space="preserve">| 5 L JAVA @ | 7 P CPT % | 9 L INE % </v>
      </c>
      <c r="CD122" s="4" t="str">
        <f ca="1">IFERROR(__xludf.DUMMYFUNCTION("""COMPUTED_VALUE"""),"| 5 L PHP-CGM % | 6 L NS % | 7 L JAVA @ | 8 L CPT @ ")</f>
        <v xml:space="preserve">| 5 L PHP-CGM % | 6 L NS % | 7 L JAVA @ | 8 L CPT @ </v>
      </c>
      <c r="CE122" s="4" t="str">
        <f ca="1">IFERROR(__xludf.DUMMYFUNCTION("""COMPUTED_VALUE"""),"| 5 P Python % | 8 L JAVA % | 7 L PHP-CGM % ")</f>
        <v xml:space="preserve">| 5 P Python % | 8 L JAVA % | 7 L PHP-CGM % </v>
      </c>
      <c r="CF122" s="4" t="str">
        <f ca="1">IFERROR(__xludf.DUMMYFUNCTION("""COMPUTED_VALUE"""),"| 5 P Python % | 7 L CPT @ | 8 L NS @ | 9 P NS % ")</f>
        <v xml:space="preserve">| 5 P Python % | 7 L CPT @ | 8 L NS @ | 9 P NS % </v>
      </c>
      <c r="CG122" s="4" t="str">
        <f ca="1">IFERROR(__xludf.DUMMYFUNCTION("""COMPUTED_VALUE"""),"| 5 L PHP-CGM @ | 6 L NS @ | 7 P JAVA % ")</f>
        <v xml:space="preserve">| 5 L PHP-CGM @ | 6 L NS @ | 7 P JAVA % </v>
      </c>
      <c r="CH122" s="4" t="str">
        <f ca="1">IFERROR(__xludf.DUMMYFUNCTION("""COMPUTED_VALUE"""),"| 5 L JAVA % | 6 L CPT % | 7 P CPT % | 9 L INE % ")</f>
        <v xml:space="preserve">| 5 L JAVA % | 6 L CPT % | 7 P CPT % | 9 L INE % </v>
      </c>
      <c r="CI122" s="4" t="str">
        <f ca="1">IFERROR(__xludf.DUMMYFUNCTION("""COMPUTED_VALUE"""),"| 5 L PHP-CGM % | 7 L JAVA % | 8 L CPT % ")</f>
        <v xml:space="preserve">| 5 L PHP-CGM % | 7 L JAVA % | 8 L CPT % </v>
      </c>
      <c r="CJ122" s="4" t="str">
        <f ca="1">IFERROR(__xludf.DUMMYFUNCTION("""COMPUTED_VALUE"""),"| 5 P Python % ")</f>
        <v xml:space="preserve">| 5 P Python % </v>
      </c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</row>
    <row r="123" spans="1:102" ht="12.5" x14ac:dyDescent="0.25">
      <c r="A123" s="3">
        <f ca="1">IFERROR(__xludf.DUMMYFUNCTION("""COMPUTED_VALUE"""),3)</f>
        <v>3</v>
      </c>
      <c r="B123" s="3" t="str">
        <f ca="1">IFERROR(__xludf.DUMMYFUNCTION("""COMPUTED_VALUE"""),"B")</f>
        <v>B</v>
      </c>
      <c r="C123" s="32" t="str">
        <f ca="1">IFERROR(__xludf.DUMMYFUNCTION("""COMPUTED_VALUE"""),"23291341086")</f>
        <v>23291341086</v>
      </c>
      <c r="D123" s="4" t="str">
        <f ca="1">IFERROR(__xludf.DUMMYFUNCTION("""COMPUTED_VALUE"""),"PATEL HARSHKUMAR MUKESHBHAI")</f>
        <v>PATEL HARSHKUMAR MUKESHBHAI</v>
      </c>
      <c r="E123" s="3" t="str">
        <f ca="1">IFERROR(__xludf.DUMMYFUNCTION("""COMPUTED_VALUE"""),"HAM/HDP-EVE")</f>
        <v>HAM/HDP-EVE</v>
      </c>
      <c r="F123" s="3">
        <f ca="1">IFERROR(__xludf.DUMMYFUNCTION("""COMPUTED_VALUE"""),9313181231)</f>
        <v>9313181231</v>
      </c>
      <c r="G123" s="3">
        <f ca="1">IFERROR(__xludf.DUMMYFUNCTION("""COMPUTED_VALUE"""),9913539062)</f>
        <v>9913539062</v>
      </c>
      <c r="H123" s="33">
        <f ca="1">IFERROR(__xludf.DUMMYFUNCTION("""COMPUTED_VALUE"""),0.679653679653679)</f>
        <v>0.67965367965367895</v>
      </c>
      <c r="I123" s="25">
        <f ca="1">IFERROR(__xludf.DUMMYFUNCTION("""COMPUTED_VALUE"""),0.729729729729729)</f>
        <v>0.72972972972972905</v>
      </c>
      <c r="J123" s="25">
        <f ca="1">IFERROR(__xludf.DUMMYFUNCTION("""COMPUTED_VALUE"""),0.818181818181818)</f>
        <v>0.81818181818181801</v>
      </c>
      <c r="K123" s="25">
        <f ca="1">IFERROR(__xludf.DUMMYFUNCTION("""COMPUTED_VALUE"""),0.705882352941176)</f>
        <v>0.70588235294117596</v>
      </c>
      <c r="L123" s="25">
        <f ca="1">IFERROR(__xludf.DUMMYFUNCTION("""COMPUTED_VALUE"""),0.5)</f>
        <v>0.5</v>
      </c>
      <c r="M123" s="25">
        <f ca="1">IFERROR(__xludf.DUMMYFUNCTION("""COMPUTED_VALUE"""),0.657142857142857)</f>
        <v>0.65714285714285703</v>
      </c>
      <c r="N123" s="25">
        <f ca="1">IFERROR(__xludf.DUMMYFUNCTION("""COMPUTED_VALUE"""),0.5)</f>
        <v>0.5</v>
      </c>
      <c r="O123" s="25">
        <f ca="1">IFERROR(__xludf.DUMMYFUNCTION("""COMPUTED_VALUE"""),0.628571428571428)</f>
        <v>0.628571428571428</v>
      </c>
      <c r="P123" s="25">
        <f ca="1">IFERROR(__xludf.DUMMYFUNCTION("""COMPUTED_VALUE"""),0.777777777777777)</f>
        <v>0.77777777777777701</v>
      </c>
      <c r="Q123" s="25">
        <f ca="1">IFERROR(__xludf.DUMMYFUNCTION("""COMPUTED_VALUE"""),0)</f>
        <v>0</v>
      </c>
      <c r="R123" s="25">
        <f ca="1">IFERROR(__xludf.DUMMYFUNCTION("""COMPUTED_VALUE"""),0.75)</f>
        <v>0.75</v>
      </c>
      <c r="S123" s="25">
        <f ca="1">IFERROR(__xludf.DUMMYFUNCTION("""COMPUTED_VALUE"""),0)</f>
        <v>0</v>
      </c>
      <c r="T123" s="25">
        <f ca="1">IFERROR(__xludf.DUMMYFUNCTION("""COMPUTED_VALUE"""),0.666666666666666)</f>
        <v>0.66666666666666596</v>
      </c>
      <c r="U123" s="25">
        <f ca="1">IFERROR(__xludf.DUMMYFUNCTION("""COMPUTED_VALUE"""),0.5)</f>
        <v>0.5</v>
      </c>
      <c r="V123" s="25">
        <f ca="1">IFERROR(__xludf.DUMMYFUNCTION("""COMPUTED_VALUE"""),0)</f>
        <v>0</v>
      </c>
      <c r="W123" s="4"/>
      <c r="X123" s="4" t="str">
        <f ca="1">IFERROR(__xludf.DUMMYFUNCTION("""COMPUTED_VALUE"""),"| 5 P Python % | 7 L CPT % | 8 L NS % | 9 P NS % ")</f>
        <v xml:space="preserve">| 5 P Python % | 7 L CPT % | 8 L NS % | 9 P NS % </v>
      </c>
      <c r="Y123" s="4" t="str">
        <f ca="1">IFERROR(__xludf.DUMMYFUNCTION("""COMPUTED_VALUE"""),"| 5 L PHP-CGM % | 6 L NS % | 7 P JAVA % | 9 P PRO % ")</f>
        <v xml:space="preserve">| 5 L PHP-CGM % | 6 L NS % | 7 P JAVA % | 9 P PRO % </v>
      </c>
      <c r="Z123" s="4" t="str">
        <f ca="1">IFERROR(__xludf.DUMMYFUNCTION("""COMPUTED_VALUE"""),"| 5 L JAVA % | 6 L CPT % | 7 P CPT % ")</f>
        <v xml:space="preserve">| 5 L JAVA % | 6 L CPT % | 7 P CPT % </v>
      </c>
      <c r="AA123" s="4" t="str">
        <f ca="1">IFERROR(__xludf.DUMMYFUNCTION("""COMPUTED_VALUE"""),"| 5 L PHP-CGM % | 7 L JAVA % | 9 P PHP-CGM % | 8 L CPT % ")</f>
        <v xml:space="preserve">| 5 L PHP-CGM % | 7 L JAVA % | 9 P PHP-CGM % | 8 L CPT % </v>
      </c>
      <c r="AB123" s="4" t="str">
        <f ca="1">IFERROR(__xludf.DUMMYFUNCTION("""COMPUTED_VALUE"""),"| 5 P Python % | 7 L PHP-CGM % | 8 L JAVA % | 9 P JAVA % ")</f>
        <v xml:space="preserve">| 5 P Python % | 7 L PHP-CGM % | 8 L JAVA % | 9 P JAVA % </v>
      </c>
      <c r="AC123" s="4" t="str">
        <f ca="1">IFERROR(__xludf.DUMMYFUNCTION("""COMPUTED_VALUE"""),"| 5 P Python % | 7 L CPT % | 8 L NS % | 9 P NS % ")</f>
        <v xml:space="preserve">| 5 P Python % | 7 L CPT % | 8 L NS % | 9 P NS % </v>
      </c>
      <c r="AD123" s="4" t="str">
        <f ca="1">IFERROR(__xludf.DUMMYFUNCTION("""COMPUTED_VALUE"""),"| 5 L PHP-CGM % | 6 L NS % | 7 P JAVA % | 9 P PRO % ")</f>
        <v xml:space="preserve">| 5 L PHP-CGM % | 6 L NS % | 7 P JAVA % | 9 P PRO % </v>
      </c>
      <c r="AE123" s="4" t="str">
        <f ca="1">IFERROR(__xludf.DUMMYFUNCTION("""COMPUTED_VALUE"""),"| 5 L JAVA % | 6 L CPT % | 7 P CPT % ")</f>
        <v xml:space="preserve">| 5 L JAVA % | 6 L CPT % | 7 P CPT % </v>
      </c>
      <c r="AF123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3" s="4" t="str">
        <f ca="1">IFERROR(__xludf.DUMMYFUNCTION("""COMPUTED_VALUE"""),"| 5 P Python % | 8 L JAVA % | 7 L PHP-CGM % | 9 P JAVA % ")</f>
        <v xml:space="preserve">| 5 P Python % | 8 L JAVA % | 7 L PHP-CGM % | 9 P JAVA % </v>
      </c>
      <c r="AH123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I123" s="4" t="str">
        <f ca="1">IFERROR(__xludf.DUMMYFUNCTION("""COMPUTED_VALUE"""),"| 5 P Python @ | 8 L JAVA @ | 7 L PHP-CGM @ | 9 P JAVA @ ")</f>
        <v xml:space="preserve">| 5 P Python @ | 8 L JAVA @ | 7 L PHP-CGM @ | 9 P JAVA @ </v>
      </c>
      <c r="AJ123" s="4" t="str">
        <f ca="1">IFERROR(__xludf.DUMMYFUNCTION("""COMPUTED_VALUE"""),"| 5 P Python % | 7 L CPT % | 8 L NS % | 9 P NS % ")</f>
        <v xml:space="preserve">| 5 P Python % | 7 L CPT % | 8 L NS % | 9 P NS % </v>
      </c>
      <c r="AK123" s="4" t="str">
        <f ca="1">IFERROR(__xludf.DUMMYFUNCTION("""COMPUTED_VALUE"""),"| 5 L PHP-CGM % | 6 L NS % | 7 P JAVA % | 9 P PRO % ")</f>
        <v xml:space="preserve">| 5 L PHP-CGM % | 6 L NS % | 7 P JAVA % | 9 P PRO % </v>
      </c>
      <c r="AL123" s="4" t="str">
        <f ca="1">IFERROR(__xludf.DUMMYFUNCTION("""COMPUTED_VALUE"""),"| 5 L JAVA % | 6 L CPT % | 7 P CPT % | 9 L INE % ")</f>
        <v xml:space="preserve">| 5 L JAVA % | 6 L CPT % | 7 P CPT % | 9 L INE % </v>
      </c>
      <c r="AM123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3" s="4" t="str">
        <f ca="1">IFERROR(__xludf.DUMMYFUNCTION("""COMPUTED_VALUE"""),"| 5 P Python @ | 8 L JAVA @ | 7 L PHP-CGM @ | 9 P JAVA @ ")</f>
        <v xml:space="preserve">| 5 P Python @ | 8 L JAVA @ | 7 L PHP-CGM @ | 9 P JAVA @ </v>
      </c>
      <c r="AO123" s="4" t="str">
        <f ca="1">IFERROR(__xludf.DUMMYFUNCTION("""COMPUTED_VALUE"""),"| 5 P Python % | 7 L CPT % | 8 L NS % ")</f>
        <v xml:space="preserve">| 5 P Python % | 7 L CPT % | 8 L NS % </v>
      </c>
      <c r="AP123" s="4" t="str">
        <f ca="1">IFERROR(__xludf.DUMMYFUNCTION("""COMPUTED_VALUE"""),"| 5 L PHP-CGM % | 6 L NS % | 7 P JAVA % | 9 P PRO % ")</f>
        <v xml:space="preserve">| 5 L PHP-CGM % | 6 L NS % | 7 P JAVA % | 9 P PRO % </v>
      </c>
      <c r="AQ123" s="4" t="str">
        <f ca="1">IFERROR(__xludf.DUMMYFUNCTION("""COMPUTED_VALUE"""),"| 5 L CPT % | 7 L JAVA % | 7 P CPT @ | 9 L INE @ ")</f>
        <v xml:space="preserve">| 5 L CPT % | 7 L JAVA % | 7 P CPT @ | 9 L INE @ </v>
      </c>
      <c r="AR123" s="4" t="str">
        <f ca="1">IFERROR(__xludf.DUMMYFUNCTION("""COMPUTED_VALUE"""),"| 5 L PHP-CGM % | 6 L NS % | 8 L CPT @ ")</f>
        <v xml:space="preserve">| 5 L PHP-CGM % | 6 L NS % | 8 L CPT @ </v>
      </c>
      <c r="AS123" s="4" t="str">
        <f ca="1">IFERROR(__xludf.DUMMYFUNCTION("""COMPUTED_VALUE"""),"| 5 P Python % | 7 L CPT % | 8 L NS % | 9 P NS % ")</f>
        <v xml:space="preserve">| 5 P Python % | 7 L CPT % | 8 L NS % | 9 P NS % </v>
      </c>
      <c r="AT123" s="4" t="str">
        <f ca="1">IFERROR(__xludf.DUMMYFUNCTION("""COMPUTED_VALUE"""),"| 5 L PHP-CGM % | 6 L NS % | 7 P JAVA % | 9 P PRO % ")</f>
        <v xml:space="preserve">| 5 L PHP-CGM % | 6 L NS % | 7 P JAVA % | 9 P PRO % </v>
      </c>
      <c r="AU123" s="4" t="str">
        <f ca="1">IFERROR(__xludf.DUMMYFUNCTION("""COMPUTED_VALUE"""),"| 5 L JAVA % | 6 L CPT % | 7 P CPT % | 9 L INE % ")</f>
        <v xml:space="preserve">| 5 L JAVA % | 6 L CPT % | 7 P CPT % | 9 L INE % </v>
      </c>
      <c r="AV123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W123" s="4" t="str">
        <f ca="1">IFERROR(__xludf.DUMMYFUNCTION("""COMPUTED_VALUE"""),"| 5 P Python % | 7 L PHP-CGM % | 8 L JAVA % | 9 P JAVA % ")</f>
        <v xml:space="preserve">| 5 P Python % | 7 L PHP-CGM % | 8 L JAVA % | 9 P JAVA % </v>
      </c>
      <c r="AX123" s="4" t="str">
        <f ca="1">IFERROR(__xludf.DUMMYFUNCTION("""COMPUTED_VALUE"""),"| 5 P Python % | 7 L CPT % | 8 L NS @ | 9 P NS @ ")</f>
        <v xml:space="preserve">| 5 P Python % | 7 L CPT % | 8 L NS @ | 9 P NS @ </v>
      </c>
      <c r="AY123" s="4" t="str">
        <f ca="1">IFERROR(__xludf.DUMMYFUNCTION("""COMPUTED_VALUE"""),"| 5 L PHP-CGM % | 6 L NS % | 7 P JAVA % ")</f>
        <v xml:space="preserve">| 5 L PHP-CGM % | 6 L NS % | 7 P JAVA % </v>
      </c>
      <c r="AZ123" s="4" t="str">
        <f ca="1">IFERROR(__xludf.DUMMYFUNCTION("""COMPUTED_VALUE"""),"| 5 L PHP-CGM % | 6 L NS % | 7 L JAVA % | 8 L CPT % ")</f>
        <v xml:space="preserve">| 5 L PHP-CGM % | 6 L NS % | 7 L JAVA % | 8 L CPT % </v>
      </c>
      <c r="BA123" s="4" t="str">
        <f ca="1">IFERROR(__xludf.DUMMYFUNCTION("""COMPUTED_VALUE"""),"| 5 P Python % | 7 L PHP-CGM @ | 8 L JAVA @ ")</f>
        <v xml:space="preserve">| 5 P Python % | 7 L PHP-CGM @ | 8 L JAVA @ </v>
      </c>
      <c r="BB123" s="4" t="str">
        <f ca="1">IFERROR(__xludf.DUMMYFUNCTION("""COMPUTED_VALUE"""),"| 5 P Python % | 7 L CPT % | 8 L NS % | 9 P NS @ ")</f>
        <v xml:space="preserve">| 5 P Python % | 7 L CPT % | 8 L NS % | 9 P NS @ </v>
      </c>
      <c r="BC123" s="4" t="str">
        <f ca="1">IFERROR(__xludf.DUMMYFUNCTION("""COMPUTED_VALUE"""),"| 5 L PHP-CGM % | 6 L NS % | 7 P JAVA @ | 9 P PRO @ ")</f>
        <v xml:space="preserve">| 5 L PHP-CGM % | 6 L NS % | 7 P JAVA @ | 9 P PRO @ </v>
      </c>
      <c r="BD123" s="4" t="str">
        <f ca="1">IFERROR(__xludf.DUMMYFUNCTION("""COMPUTED_VALUE"""),"| 5 L JAVA @ | 6 L CPT @ | 7 P CPT @ | 9 L INE @ ")</f>
        <v xml:space="preserve">| 5 L JAVA @ | 6 L CPT @ | 7 P CPT @ | 9 L INE @ </v>
      </c>
      <c r="BE123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F123" s="4" t="str">
        <f ca="1">IFERROR(__xludf.DUMMYFUNCTION("""COMPUTED_VALUE"""),"| 5 P Python @ | 7 L PHP-CGM @ | 9 P JAVA @ | 8 L JAVA @ ")</f>
        <v xml:space="preserve">| 5 P Python @ | 7 L PHP-CGM @ | 9 P JAVA @ | 8 L JAVA @ </v>
      </c>
      <c r="BG123" s="4" t="str">
        <f ca="1">IFERROR(__xludf.DUMMYFUNCTION("""COMPUTED_VALUE"""),"| 5 L PHP-CGM % | 6 L NS % | 7 P JAVA % | 9 P PRO % ")</f>
        <v xml:space="preserve">| 5 L PHP-CGM % | 6 L NS % | 7 P JAVA % | 9 P PRO % </v>
      </c>
      <c r="BH123" s="4" t="str">
        <f ca="1">IFERROR(__xludf.DUMMYFUNCTION("""COMPUTED_VALUE"""),"| 5 L JAVA % | 6 L CPT % | 7 P CPT % | 9 L INE % ")</f>
        <v xml:space="preserve">| 5 L JAVA % | 6 L CPT % | 7 P CPT % | 9 L INE % </v>
      </c>
      <c r="BI123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23" s="4" t="str">
        <f ca="1">IFERROR(__xludf.DUMMYFUNCTION("""COMPUTED_VALUE"""),"| 5 P Python % | 7 L JAVA % | 8 L PHP-CGM % ")</f>
        <v xml:space="preserve">| 5 P Python % | 7 L JAVA % | 8 L PHP-CGM % </v>
      </c>
      <c r="BK123" s="4" t="str">
        <f ca="1">IFERROR(__xludf.DUMMYFUNCTION("""COMPUTED_VALUE"""),"| 5 P Python % | 7 L CPT % | 8 L NS @ | 9 P NS @ ")</f>
        <v xml:space="preserve">| 5 P Python % | 7 L CPT % | 8 L NS @ | 9 P NS @ </v>
      </c>
      <c r="BL123" s="4" t="str">
        <f ca="1">IFERROR(__xludf.DUMMYFUNCTION("""COMPUTED_VALUE"""),"| 5 L PHP-CGM % | 6 L NS % | 7 P JAVA % | 9 P PRO @ ")</f>
        <v xml:space="preserve">| 5 L PHP-CGM % | 6 L NS % | 7 P JAVA % | 9 P PRO @ </v>
      </c>
      <c r="BM123" s="4" t="str">
        <f ca="1">IFERROR(__xludf.DUMMYFUNCTION("""COMPUTED_VALUE"""),"| 5 L JAVA % | 6 L CPT % | 7 P CPT % | 9 L INE @ ")</f>
        <v xml:space="preserve">| 5 L JAVA % | 6 L CPT % | 7 P CPT % | 9 L INE @ </v>
      </c>
      <c r="BN123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23" s="4" t="str">
        <f ca="1">IFERROR(__xludf.DUMMYFUNCTION("""COMPUTED_VALUE"""),"| 5 P Python % | 7 L PHP-CGM % ")</f>
        <v xml:space="preserve">| 5 P Python % | 7 L PHP-CGM % </v>
      </c>
      <c r="BP123" s="4" t="str">
        <f ca="1">IFERROR(__xludf.DUMMYFUNCTION("""COMPUTED_VALUE"""),"| 5 P Python % | 7 L CPT % | 8 L NS % | 9 P NS % ")</f>
        <v xml:space="preserve">| 5 P Python % | 7 L CPT % | 8 L NS % | 9 P NS % </v>
      </c>
      <c r="BQ123" s="4" t="str">
        <f ca="1">IFERROR(__xludf.DUMMYFUNCTION("""COMPUTED_VALUE"""),"| 5 L JAVA % | 6 L CPT % ")</f>
        <v xml:space="preserve">| 5 L JAVA % | 6 L CPT % </v>
      </c>
      <c r="BR123" s="4" t="str">
        <f ca="1">IFERROR(__xludf.DUMMYFUNCTION("""COMPUTED_VALUE"""),"| 7 L JAVA % ")</f>
        <v xml:space="preserve">| 7 L JAVA % </v>
      </c>
      <c r="BS123" s="4"/>
      <c r="BT123" s="4" t="str">
        <f ca="1">IFERROR(__xludf.DUMMYFUNCTION("""COMPUTED_VALUE"""),"| 7 L CPT @ | 9 P NS @ ")</f>
        <v xml:space="preserve">| 7 L CPT @ | 9 P NS @ </v>
      </c>
      <c r="BU123" s="4" t="str">
        <f ca="1">IFERROR(__xludf.DUMMYFUNCTION("""COMPUTED_VALUE"""),"| 9 P PRO @ ")</f>
        <v xml:space="preserve">| 9 P PRO @ </v>
      </c>
      <c r="BV123" s="4" t="str">
        <f ca="1">IFERROR(__xludf.DUMMYFUNCTION("""COMPUTED_VALUE"""),"| 5 P Python @ | 7 L CPT @ | 8 L NS @ | 9 P NS @ ")</f>
        <v xml:space="preserve">| 5 P Python @ | 7 L CPT @ | 8 L NS @ | 9 P NS @ </v>
      </c>
      <c r="BW123" s="4"/>
      <c r="BX123" s="4" t="str">
        <f ca="1">IFERROR(__xludf.DUMMYFUNCTION("""COMPUTED_VALUE"""),"| 5 L JAVA @ | 6 L CPT % | 7 P CPT % ")</f>
        <v xml:space="preserve">| 5 L JAVA @ | 6 L CPT % | 7 P CPT % </v>
      </c>
      <c r="BY123" s="4" t="str">
        <f ca="1">IFERROR(__xludf.DUMMYFUNCTION("""COMPUTED_VALUE"""),"| 5 L PHP-CGM % | 6 L NS % | 7 L JAVA @ | 8 L CPT @ ")</f>
        <v xml:space="preserve">| 5 L PHP-CGM % | 6 L NS % | 7 L JAVA @ | 8 L CPT @ </v>
      </c>
      <c r="BZ123" s="4" t="str">
        <f ca="1">IFERROR(__xludf.DUMMYFUNCTION("""COMPUTED_VALUE"""),"| 5 P Python % | 8 L JAVA @ | 7 L PHP-CGM @ | 9 P JAVA % ")</f>
        <v xml:space="preserve">| 5 P Python % | 8 L JAVA @ | 7 L PHP-CGM @ | 9 P JAVA % </v>
      </c>
      <c r="CA123" s="4" t="str">
        <f ca="1">IFERROR(__xludf.DUMMYFUNCTION("""COMPUTED_VALUE"""),"| 5 P Python % | 7 L CPT @ | 8 L NS @ | 9 P NS % ")</f>
        <v xml:space="preserve">| 5 P Python % | 7 L CPT @ | 8 L NS @ | 9 P NS % </v>
      </c>
      <c r="CB123" s="4" t="str">
        <f ca="1">IFERROR(__xludf.DUMMYFUNCTION("""COMPUTED_VALUE"""),"| 5 L PHP-CGM @ | 6 L NS @ | 7 P JAVA % ")</f>
        <v xml:space="preserve">| 5 L PHP-CGM @ | 6 L NS @ | 7 P JAVA % </v>
      </c>
      <c r="CC123" s="4" t="str">
        <f ca="1">IFERROR(__xludf.DUMMYFUNCTION("""COMPUTED_VALUE"""),"| 5 L JAVA % | 7 P CPT % | 9 L INE % ")</f>
        <v xml:space="preserve">| 5 L JAVA % | 7 P CPT % | 9 L INE % </v>
      </c>
      <c r="CD123" s="4" t="str">
        <f ca="1">IFERROR(__xludf.DUMMYFUNCTION("""COMPUTED_VALUE"""),"| 5 L PHP-CGM @ | 6 L NS @ | 7 L JAVA @ | 8 L CPT @ ")</f>
        <v xml:space="preserve">| 5 L PHP-CGM @ | 6 L NS @ | 7 L JAVA @ | 8 L CPT @ </v>
      </c>
      <c r="CE123" s="4" t="str">
        <f ca="1">IFERROR(__xludf.DUMMYFUNCTION("""COMPUTED_VALUE"""),"| 5 P Python @ | 8 L JAVA @ | 7 L PHP-CGM @ ")</f>
        <v xml:space="preserve">| 5 P Python @ | 8 L JAVA @ | 7 L PHP-CGM @ </v>
      </c>
      <c r="CF123" s="4" t="str">
        <f ca="1">IFERROR(__xludf.DUMMYFUNCTION("""COMPUTED_VALUE"""),"| 5 P Python @ | 7 L CPT @ | 8 L NS @ | 9 P NS @ ")</f>
        <v xml:space="preserve">| 5 P Python @ | 7 L CPT @ | 8 L NS @ | 9 P NS @ </v>
      </c>
      <c r="CG123" s="4" t="str">
        <f ca="1">IFERROR(__xludf.DUMMYFUNCTION("""COMPUTED_VALUE"""),"| 5 L PHP-CGM @ | 6 L NS @ | 7 P JAVA % ")</f>
        <v xml:space="preserve">| 5 L PHP-CGM @ | 6 L NS @ | 7 P JAVA % </v>
      </c>
      <c r="CH123" s="4" t="str">
        <f ca="1">IFERROR(__xludf.DUMMYFUNCTION("""COMPUTED_VALUE"""),"| 5 L JAVA @ | 6 L CPT % | 7 P CPT % | 9 L INE @ ")</f>
        <v xml:space="preserve">| 5 L JAVA @ | 6 L CPT % | 7 P CPT % | 9 L INE @ </v>
      </c>
      <c r="CI123" s="4" t="str">
        <f ca="1">IFERROR(__xludf.DUMMYFUNCTION("""COMPUTED_VALUE"""),"| 5 L PHP-CGM @ | 7 L JAVA % | 8 L CPT % ")</f>
        <v xml:space="preserve">| 5 L PHP-CGM @ | 7 L JAVA % | 8 L CPT % </v>
      </c>
      <c r="CJ123" s="4" t="str">
        <f ca="1">IFERROR(__xludf.DUMMYFUNCTION("""COMPUTED_VALUE"""),"| 5 P Python % ")</f>
        <v xml:space="preserve">| 5 P Python % </v>
      </c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</row>
    <row r="124" spans="1:102" ht="12.5" x14ac:dyDescent="0.25">
      <c r="A124" s="3">
        <f ca="1">IFERROR(__xludf.DUMMYFUNCTION("""COMPUTED_VALUE"""),3)</f>
        <v>3</v>
      </c>
      <c r="B124" s="3" t="str">
        <f ca="1">IFERROR(__xludf.DUMMYFUNCTION("""COMPUTED_VALUE"""),"B")</f>
        <v>B</v>
      </c>
      <c r="C124" s="32" t="str">
        <f ca="1">IFERROR(__xludf.DUMMYFUNCTION("""COMPUTED_VALUE"""),"23291341087")</f>
        <v>23291341087</v>
      </c>
      <c r="D124" s="4" t="str">
        <f ca="1">IFERROR(__xludf.DUMMYFUNCTION("""COMPUTED_VALUE"""),"PATEL HEER RITESHKUMAR")</f>
        <v>PATEL HEER RITESHKUMAR</v>
      </c>
      <c r="E124" s="3" t="str">
        <f ca="1">IFERROR(__xludf.DUMMYFUNCTION("""COMPUTED_VALUE"""),"HAM/HDP-EVE")</f>
        <v>HAM/HDP-EVE</v>
      </c>
      <c r="F124" s="3">
        <f ca="1">IFERROR(__xludf.DUMMYFUNCTION("""COMPUTED_VALUE"""),9925857852)</f>
        <v>9925857852</v>
      </c>
      <c r="G124" s="3">
        <f ca="1">IFERROR(__xludf.DUMMYFUNCTION("""COMPUTED_VALUE"""),8200432658)</f>
        <v>8200432658</v>
      </c>
      <c r="H124" s="33">
        <f ca="1">IFERROR(__xludf.DUMMYFUNCTION("""COMPUTED_VALUE"""),0.831168831168831)</f>
        <v>0.831168831168831</v>
      </c>
      <c r="I124" s="25">
        <f ca="1">IFERROR(__xludf.DUMMYFUNCTION("""COMPUTED_VALUE"""),0.756756756756756)</f>
        <v>0.75675675675675602</v>
      </c>
      <c r="J124" s="25">
        <f ca="1">IFERROR(__xludf.DUMMYFUNCTION("""COMPUTED_VALUE"""),1)</f>
        <v>1</v>
      </c>
      <c r="K124" s="25">
        <f ca="1">IFERROR(__xludf.DUMMYFUNCTION("""COMPUTED_VALUE"""),0.794117647058823)</f>
        <v>0.79411764705882304</v>
      </c>
      <c r="L124" s="25">
        <f ca="1">IFERROR(__xludf.DUMMYFUNCTION("""COMPUTED_VALUE"""),0.666666666666666)</f>
        <v>0.66666666666666596</v>
      </c>
      <c r="M124" s="25">
        <f ca="1">IFERROR(__xludf.DUMMYFUNCTION("""COMPUTED_VALUE"""),0.942857142857142)</f>
        <v>0.94285714285714195</v>
      </c>
      <c r="N124" s="25">
        <f ca="1">IFERROR(__xludf.DUMMYFUNCTION("""COMPUTED_VALUE"""),0.75)</f>
        <v>0.75</v>
      </c>
      <c r="O124" s="25">
        <f ca="1">IFERROR(__xludf.DUMMYFUNCTION("""COMPUTED_VALUE"""),0.942857142857142)</f>
        <v>0.94285714285714195</v>
      </c>
      <c r="P124" s="25">
        <f ca="1">IFERROR(__xludf.DUMMYFUNCTION("""COMPUTED_VALUE"""),1)</f>
        <v>1</v>
      </c>
      <c r="Q124" s="25">
        <f ca="1">IFERROR(__xludf.DUMMYFUNCTION("""COMPUTED_VALUE"""),0)</f>
        <v>0</v>
      </c>
      <c r="R124" s="25">
        <f ca="1">IFERROR(__xludf.DUMMYFUNCTION("""COMPUTED_VALUE"""),0.666666666666666)</f>
        <v>0.66666666666666596</v>
      </c>
      <c r="S124" s="25">
        <f ca="1">IFERROR(__xludf.DUMMYFUNCTION("""COMPUTED_VALUE"""),0)</f>
        <v>0</v>
      </c>
      <c r="T124" s="25">
        <f ca="1">IFERROR(__xludf.DUMMYFUNCTION("""COMPUTED_VALUE"""),0.777777777777777)</f>
        <v>0.77777777777777701</v>
      </c>
      <c r="U124" s="25">
        <f ca="1">IFERROR(__xludf.DUMMYFUNCTION("""COMPUTED_VALUE"""),0.625)</f>
        <v>0.625</v>
      </c>
      <c r="V124" s="25">
        <f ca="1">IFERROR(__xludf.DUMMYFUNCTION("""COMPUTED_VALUE"""),0)</f>
        <v>0</v>
      </c>
      <c r="W124" s="4"/>
      <c r="X124" s="4" t="str">
        <f ca="1">IFERROR(__xludf.DUMMYFUNCTION("""COMPUTED_VALUE"""),"| 5 P Python % | 7 L CPT % | 8 L NS % | 9 P NS % ")</f>
        <v xml:space="preserve">| 5 P Python % | 7 L CPT % | 8 L NS % | 9 P NS % </v>
      </c>
      <c r="Y124" s="4" t="str">
        <f ca="1">IFERROR(__xludf.DUMMYFUNCTION("""COMPUTED_VALUE"""),"| 5 L PHP-CGM % | 6 L NS % | 7 P JAVA % | 9 P PRO % ")</f>
        <v xml:space="preserve">| 5 L PHP-CGM % | 6 L NS % | 7 P JAVA % | 9 P PRO % </v>
      </c>
      <c r="Z124" s="4" t="str">
        <f ca="1">IFERROR(__xludf.DUMMYFUNCTION("""COMPUTED_VALUE"""),"| 5 L JAVA % | 6 L CPT % | 7 P CPT % ")</f>
        <v xml:space="preserve">| 5 L JAVA % | 6 L CPT % | 7 P CPT % </v>
      </c>
      <c r="AA124" s="4" t="str">
        <f ca="1">IFERROR(__xludf.DUMMYFUNCTION("""COMPUTED_VALUE"""),"| 5 L PHP-CGM % | 7 L JAVA % | 9 P PHP-CGM @ | 8 L CPT % ")</f>
        <v xml:space="preserve">| 5 L PHP-CGM % | 7 L JAVA % | 9 P PHP-CGM @ | 8 L CPT % </v>
      </c>
      <c r="AB124" s="4" t="str">
        <f ca="1">IFERROR(__xludf.DUMMYFUNCTION("""COMPUTED_VALUE"""),"| 5 P Python % | 7 L PHP-CGM % | 8 L JAVA % | 9 P JAVA % ")</f>
        <v xml:space="preserve">| 5 P Python % | 7 L PHP-CGM % | 8 L JAVA % | 9 P JAVA % </v>
      </c>
      <c r="AC124" s="4" t="str">
        <f ca="1">IFERROR(__xludf.DUMMYFUNCTION("""COMPUTED_VALUE"""),"| 5 P Python % | 7 L CPT % | 8 L NS % | 9 P NS % ")</f>
        <v xml:space="preserve">| 5 P Python % | 7 L CPT % | 8 L NS % | 9 P NS % </v>
      </c>
      <c r="AD124" s="4" t="str">
        <f ca="1">IFERROR(__xludf.DUMMYFUNCTION("""COMPUTED_VALUE"""),"| 5 L PHP-CGM % | 6 L NS % | 7 P JAVA % | 9 P PRO % ")</f>
        <v xml:space="preserve">| 5 L PHP-CGM % | 6 L NS % | 7 P JAVA % | 9 P PRO % </v>
      </c>
      <c r="AE124" s="4" t="str">
        <f ca="1">IFERROR(__xludf.DUMMYFUNCTION("""COMPUTED_VALUE"""),"| 5 L JAVA % | 6 L CPT % | 7 P CPT % ")</f>
        <v xml:space="preserve">| 5 L JAVA % | 6 L CPT % | 7 P CPT % </v>
      </c>
      <c r="AF12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4" s="4" t="str">
        <f ca="1">IFERROR(__xludf.DUMMYFUNCTION("""COMPUTED_VALUE"""),"| 5 P Python % | 8 L JAVA % | 7 L PHP-CGM % | 9 P JAVA % ")</f>
        <v xml:space="preserve">| 5 P Python % | 8 L JAVA % | 7 L PHP-CGM % | 9 P JAVA % </v>
      </c>
      <c r="AH12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24" s="4" t="str">
        <f ca="1">IFERROR(__xludf.DUMMYFUNCTION("""COMPUTED_VALUE"""),"| 5 P Python % | 8 L JAVA % | 7 L PHP-CGM % | 9 P JAVA % ")</f>
        <v xml:space="preserve">| 5 P Python % | 8 L JAVA % | 7 L PHP-CGM % | 9 P JAVA % </v>
      </c>
      <c r="AJ124" s="4" t="str">
        <f ca="1">IFERROR(__xludf.DUMMYFUNCTION("""COMPUTED_VALUE"""),"| 5 P Python % | 7 L CPT % | 8 L NS % | 9 P NS % ")</f>
        <v xml:space="preserve">| 5 P Python % | 7 L CPT % | 8 L NS % | 9 P NS % </v>
      </c>
      <c r="AK124" s="4" t="str">
        <f ca="1">IFERROR(__xludf.DUMMYFUNCTION("""COMPUTED_VALUE"""),"| 5 L PHP-CGM @ | 6 L NS @ | 7 P JAVA % | 9 P PRO % ")</f>
        <v xml:space="preserve">| 5 L PHP-CGM @ | 6 L NS @ | 7 P JAVA % | 9 P PRO % </v>
      </c>
      <c r="AL124" s="4" t="str">
        <f ca="1">IFERROR(__xludf.DUMMYFUNCTION("""COMPUTED_VALUE"""),"| 5 L JAVA % | 6 L CPT % | 7 P CPT % | 9 L INE % ")</f>
        <v xml:space="preserve">| 5 L JAVA % | 6 L CPT % | 7 P CPT % | 9 L INE % </v>
      </c>
      <c r="AM12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4" s="4" t="str">
        <f ca="1">IFERROR(__xludf.DUMMYFUNCTION("""COMPUTED_VALUE"""),"| 5 P Python @ | 8 L JAVA % | 7 L PHP-CGM % | 9 P JAVA % ")</f>
        <v xml:space="preserve">| 5 P Python @ | 8 L JAVA % | 7 L PHP-CGM % | 9 P JAVA % </v>
      </c>
      <c r="AO124" s="4" t="str">
        <f ca="1">IFERROR(__xludf.DUMMYFUNCTION("""COMPUTED_VALUE"""),"| 5 P Python @ | 7 L CPT @ | 8 L NS @ ")</f>
        <v xml:space="preserve">| 5 P Python @ | 7 L CPT @ | 8 L NS @ </v>
      </c>
      <c r="AP124" s="4" t="str">
        <f ca="1">IFERROR(__xludf.DUMMYFUNCTION("""COMPUTED_VALUE"""),"| 5 L PHP-CGM % | 6 L NS % | 7 P JAVA % | 9 P PRO % ")</f>
        <v xml:space="preserve">| 5 L PHP-CGM % | 6 L NS % | 7 P JAVA % | 9 P PRO % </v>
      </c>
      <c r="AQ124" s="4" t="str">
        <f ca="1">IFERROR(__xludf.DUMMYFUNCTION("""COMPUTED_VALUE"""),"| 5 L CPT % | 7 L JAVA % | 7 P CPT % | 9 L INE % ")</f>
        <v xml:space="preserve">| 5 L CPT % | 7 L JAVA % | 7 P CPT % | 9 L INE % </v>
      </c>
      <c r="AR124" s="4" t="str">
        <f ca="1">IFERROR(__xludf.DUMMYFUNCTION("""COMPUTED_VALUE"""),"| 5 L PHP-CGM % | 6 L NS % | 8 L CPT @ ")</f>
        <v xml:space="preserve">| 5 L PHP-CGM % | 6 L NS % | 8 L CPT @ </v>
      </c>
      <c r="AS124" s="4" t="str">
        <f ca="1">IFERROR(__xludf.DUMMYFUNCTION("""COMPUTED_VALUE"""),"| 5 P Python % | 7 L CPT % | 8 L NS % | 9 P NS % ")</f>
        <v xml:space="preserve">| 5 P Python % | 7 L CPT % | 8 L NS % | 9 P NS % </v>
      </c>
      <c r="AT124" s="4" t="str">
        <f ca="1">IFERROR(__xludf.DUMMYFUNCTION("""COMPUTED_VALUE"""),"| 5 L PHP-CGM % | 6 L NS % | 7 P JAVA % | 9 P PRO % ")</f>
        <v xml:space="preserve">| 5 L PHP-CGM % | 6 L NS % | 7 P JAVA % | 9 P PRO % </v>
      </c>
      <c r="AU124" s="4" t="str">
        <f ca="1">IFERROR(__xludf.DUMMYFUNCTION("""COMPUTED_VALUE"""),"| 5 L JAVA % | 6 L CPT % | 7 P CPT % | 9 L INE % ")</f>
        <v xml:space="preserve">| 5 L JAVA % | 6 L CPT % | 7 P CPT % | 9 L INE % </v>
      </c>
      <c r="AV12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24" s="4" t="str">
        <f ca="1">IFERROR(__xludf.DUMMYFUNCTION("""COMPUTED_VALUE"""),"| 5 P Python % | 7 L PHP-CGM % | 8 L JAVA % | 9 P JAVA % ")</f>
        <v xml:space="preserve">| 5 P Python % | 7 L PHP-CGM % | 8 L JAVA % | 9 P JAVA % </v>
      </c>
      <c r="AX124" s="4" t="str">
        <f ca="1">IFERROR(__xludf.DUMMYFUNCTION("""COMPUTED_VALUE"""),"| 5 P Python @ | 7 L CPT @ | 8 L NS @ | 9 P NS % ")</f>
        <v xml:space="preserve">| 5 P Python @ | 7 L CPT @ | 8 L NS @ | 9 P NS % </v>
      </c>
      <c r="AY124" s="4" t="str">
        <f ca="1">IFERROR(__xludf.DUMMYFUNCTION("""COMPUTED_VALUE"""),"| 5 L PHP-CGM % | 6 L NS % | 7 P JAVA % ")</f>
        <v xml:space="preserve">| 5 L PHP-CGM % | 6 L NS % | 7 P JAVA % </v>
      </c>
      <c r="AZ124" s="4" t="str">
        <f ca="1">IFERROR(__xludf.DUMMYFUNCTION("""COMPUTED_VALUE"""),"| 5 L PHP-CGM % | 6 L NS % | 7 L JAVA % | 8 L CPT % ")</f>
        <v xml:space="preserve">| 5 L PHP-CGM % | 6 L NS % | 7 L JAVA % | 8 L CPT % </v>
      </c>
      <c r="BA124" s="4" t="str">
        <f ca="1">IFERROR(__xludf.DUMMYFUNCTION("""COMPUTED_VALUE"""),"| 5 P Python % | 7 L PHP-CGM % | 8 L JAVA % ")</f>
        <v xml:space="preserve">| 5 P Python % | 7 L PHP-CGM % | 8 L JAVA % </v>
      </c>
      <c r="BB124" s="4" t="str">
        <f ca="1">IFERROR(__xludf.DUMMYFUNCTION("""COMPUTED_VALUE"""),"| 5 P Python % | 7 L CPT % | 8 L NS % | 9 P NS % ")</f>
        <v xml:space="preserve">| 5 P Python % | 7 L CPT % | 8 L NS % | 9 P NS % </v>
      </c>
      <c r="BC124" s="4" t="str">
        <f ca="1">IFERROR(__xludf.DUMMYFUNCTION("""COMPUTED_VALUE"""),"| 5 L PHP-CGM % | 6 L NS % | 7 P JAVA % | 9 P PRO % ")</f>
        <v xml:space="preserve">| 5 L PHP-CGM % | 6 L NS % | 7 P JAVA % | 9 P PRO % </v>
      </c>
      <c r="BD124" s="4" t="str">
        <f ca="1">IFERROR(__xludf.DUMMYFUNCTION("""COMPUTED_VALUE"""),"| 5 L JAVA % | 6 L CPT % | 7 P CPT % | 9 L INE % ")</f>
        <v xml:space="preserve">| 5 L JAVA % | 6 L CPT % | 7 P CPT % | 9 L INE % </v>
      </c>
      <c r="BE12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24" s="4" t="str">
        <f ca="1">IFERROR(__xludf.DUMMYFUNCTION("""COMPUTED_VALUE"""),"| 5 P Python % | 7 L PHP-CGM % | 9 P JAVA % | 8 L JAVA % ")</f>
        <v xml:space="preserve">| 5 P Python % | 7 L PHP-CGM % | 9 P JAVA % | 8 L JAVA % </v>
      </c>
      <c r="BG124" s="4" t="str">
        <f ca="1">IFERROR(__xludf.DUMMYFUNCTION("""COMPUTED_VALUE"""),"| 5 L PHP-CGM % | 6 L NS % | 7 P JAVA % | 9 P PRO % ")</f>
        <v xml:space="preserve">| 5 L PHP-CGM % | 6 L NS % | 7 P JAVA % | 9 P PRO % </v>
      </c>
      <c r="BH124" s="4" t="str">
        <f ca="1">IFERROR(__xludf.DUMMYFUNCTION("""COMPUTED_VALUE"""),"| 5 L JAVA % | 6 L CPT % | 7 P CPT % | 9 L INE @ ")</f>
        <v xml:space="preserve">| 5 L JAVA % | 6 L CPT % | 7 P CPT % | 9 L INE @ </v>
      </c>
      <c r="BI124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24" s="4" t="str">
        <f ca="1">IFERROR(__xludf.DUMMYFUNCTION("""COMPUTED_VALUE"""),"| 5 P Python @ | 7 L JAVA % | 8 L PHP-CGM % ")</f>
        <v xml:space="preserve">| 5 P Python @ | 7 L JAVA % | 8 L PHP-CGM % </v>
      </c>
      <c r="BK124" s="4" t="str">
        <f ca="1">IFERROR(__xludf.DUMMYFUNCTION("""COMPUTED_VALUE"""),"| 5 P Python @ | 7 L CPT @ | 8 L NS @ | 9 P NS @ ")</f>
        <v xml:space="preserve">| 5 P Python @ | 7 L CPT @ | 8 L NS @ | 9 P NS @ </v>
      </c>
      <c r="BL124" s="4" t="str">
        <f ca="1">IFERROR(__xludf.DUMMYFUNCTION("""COMPUTED_VALUE"""),"| 5 L PHP-CGM % | 6 L NS % | 7 P JAVA % | 9 P PRO @ ")</f>
        <v xml:space="preserve">| 5 L PHP-CGM % | 6 L NS % | 7 P JAVA % | 9 P PRO @ </v>
      </c>
      <c r="BM124" s="4" t="str">
        <f ca="1">IFERROR(__xludf.DUMMYFUNCTION("""COMPUTED_VALUE"""),"| 5 L JAVA % | 6 L CPT % | 7 P CPT % | 9 L INE @ ")</f>
        <v xml:space="preserve">| 5 L JAVA % | 6 L CPT % | 7 P CPT % | 9 L INE @ </v>
      </c>
      <c r="BN124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24" s="4" t="str">
        <f ca="1">IFERROR(__xludf.DUMMYFUNCTION("""COMPUTED_VALUE"""),"| 5 P Python % | 7 L PHP-CGM % ")</f>
        <v xml:space="preserve">| 5 P Python % | 7 L PHP-CGM % </v>
      </c>
      <c r="BP124" s="4" t="str">
        <f ca="1">IFERROR(__xludf.DUMMYFUNCTION("""COMPUTED_VALUE"""),"| 5 P Python % | 7 L CPT % | 8 L NS % | 9 P NS @ ")</f>
        <v xml:space="preserve">| 5 P Python % | 7 L CPT % | 8 L NS % | 9 P NS @ </v>
      </c>
      <c r="BQ124" s="4" t="str">
        <f ca="1">IFERROR(__xludf.DUMMYFUNCTION("""COMPUTED_VALUE"""),"| 5 L JAVA % | 6 L CPT % ")</f>
        <v xml:space="preserve">| 5 L JAVA % | 6 L CPT % </v>
      </c>
      <c r="BR124" s="4" t="str">
        <f ca="1">IFERROR(__xludf.DUMMYFUNCTION("""COMPUTED_VALUE"""),"| 7 L JAVA % ")</f>
        <v xml:space="preserve">| 7 L JAVA % </v>
      </c>
      <c r="BS124" s="4"/>
      <c r="BT124" s="4" t="str">
        <f ca="1">IFERROR(__xludf.DUMMYFUNCTION("""COMPUTED_VALUE"""),"| 7 L CPT @ | 9 P NS @ ")</f>
        <v xml:space="preserve">| 7 L CPT @ | 9 P NS @ </v>
      </c>
      <c r="BU124" s="4" t="str">
        <f ca="1">IFERROR(__xludf.DUMMYFUNCTION("""COMPUTED_VALUE"""),"| 9 P PRO @ ")</f>
        <v xml:space="preserve">| 9 P PRO @ </v>
      </c>
      <c r="BV124" s="4" t="str">
        <f ca="1">IFERROR(__xludf.DUMMYFUNCTION("""COMPUTED_VALUE"""),"| 5 P Python @ | 7 L CPT @ | 8 L NS @ | 9 P NS @ ")</f>
        <v xml:space="preserve">| 5 P Python @ | 7 L CPT @ | 8 L NS @ | 9 P NS @ </v>
      </c>
      <c r="BW124" s="4"/>
      <c r="BX124" s="4" t="str">
        <f ca="1">IFERROR(__xludf.DUMMYFUNCTION("""COMPUTED_VALUE"""),"| 5 L JAVA % | 6 L CPT % | 7 P CPT % ")</f>
        <v xml:space="preserve">| 5 L JAVA % | 6 L CPT % | 7 P CPT % </v>
      </c>
      <c r="BY124" s="4" t="str">
        <f ca="1">IFERROR(__xludf.DUMMYFUNCTION("""COMPUTED_VALUE"""),"| 5 L PHP-CGM % | 6 L NS % | 7 L JAVA % | 8 L CPT % ")</f>
        <v xml:space="preserve">| 5 L PHP-CGM % | 6 L NS % | 7 L JAVA % | 8 L CPT % </v>
      </c>
      <c r="BZ124" s="4" t="str">
        <f ca="1">IFERROR(__xludf.DUMMYFUNCTION("""COMPUTED_VALUE"""),"| 5 P Python % | 8 L JAVA % | 7 L PHP-CGM % | 9 P JAVA % ")</f>
        <v xml:space="preserve">| 5 P Python % | 8 L JAVA % | 7 L PHP-CGM % | 9 P JAVA % </v>
      </c>
      <c r="CA124" s="4" t="str">
        <f ca="1">IFERROR(__xludf.DUMMYFUNCTION("""COMPUTED_VALUE"""),"| 5 P Python @ | 7 L CPT @ | 8 L NS @ | 9 P NS % ")</f>
        <v xml:space="preserve">| 5 P Python @ | 7 L CPT @ | 8 L NS @ | 9 P NS % </v>
      </c>
      <c r="CB124" s="4" t="str">
        <f ca="1">IFERROR(__xludf.DUMMYFUNCTION("""COMPUTED_VALUE"""),"| 5 L PHP-CGM % | 6 L NS % | 7 P JAVA % ")</f>
        <v xml:space="preserve">| 5 L PHP-CGM % | 6 L NS % | 7 P JAVA % </v>
      </c>
      <c r="CC124" s="4" t="str">
        <f ca="1">IFERROR(__xludf.DUMMYFUNCTION("""COMPUTED_VALUE"""),"| 5 L JAVA % | 7 P CPT % | 9 L INE % ")</f>
        <v xml:space="preserve">| 5 L JAVA % | 7 P CPT % | 9 L INE % </v>
      </c>
      <c r="CD124" s="4" t="str">
        <f ca="1">IFERROR(__xludf.DUMMYFUNCTION("""COMPUTED_VALUE"""),"| 5 L PHP-CGM % | 6 L NS @ | 7 L JAVA @ | 8 L CPT @ ")</f>
        <v xml:space="preserve">| 5 L PHP-CGM % | 6 L NS @ | 7 L JAVA @ | 8 L CPT @ </v>
      </c>
      <c r="CE124" s="4" t="str">
        <f ca="1">IFERROR(__xludf.DUMMYFUNCTION("""COMPUTED_VALUE"""),"| 5 P Python @ | 8 L JAVA @ | 7 L PHP-CGM @ ")</f>
        <v xml:space="preserve">| 5 P Python @ | 8 L JAVA @ | 7 L PHP-CGM @ </v>
      </c>
      <c r="CF124" s="4" t="str">
        <f ca="1">IFERROR(__xludf.DUMMYFUNCTION("""COMPUTED_VALUE"""),"| 5 P Python % | 7 L CPT % | 8 L NS % | 9 P NS % ")</f>
        <v xml:space="preserve">| 5 P Python % | 7 L CPT % | 8 L NS % | 9 P NS % </v>
      </c>
      <c r="CG124" s="4" t="str">
        <f ca="1">IFERROR(__xludf.DUMMYFUNCTION("""COMPUTED_VALUE"""),"| 5 L PHP-CGM % | 6 L NS % | 7 P JAVA % ")</f>
        <v xml:space="preserve">| 5 L PHP-CGM % | 6 L NS % | 7 P JAVA % </v>
      </c>
      <c r="CH124" s="4" t="str">
        <f ca="1">IFERROR(__xludf.DUMMYFUNCTION("""COMPUTED_VALUE"""),"| 5 L JAVA % | 6 L CPT % | 7 P CPT % | 9 L INE @ ")</f>
        <v xml:space="preserve">| 5 L JAVA % | 6 L CPT % | 7 P CPT % | 9 L INE @ </v>
      </c>
      <c r="CI124" s="4" t="str">
        <f ca="1">IFERROR(__xludf.DUMMYFUNCTION("""COMPUTED_VALUE"""),"| 5 L PHP-CGM % | 7 L JAVA % | 8 L CPT @ ")</f>
        <v xml:space="preserve">| 5 L PHP-CGM % | 7 L JAVA % | 8 L CPT @ </v>
      </c>
      <c r="CJ124" s="4" t="str">
        <f ca="1">IFERROR(__xludf.DUMMYFUNCTION("""COMPUTED_VALUE"""),"| 5 P Python % ")</f>
        <v xml:space="preserve">| 5 P Python % </v>
      </c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</row>
    <row r="125" spans="1:102" ht="12.5" x14ac:dyDescent="0.25">
      <c r="A125" s="3">
        <f ca="1">IFERROR(__xludf.DUMMYFUNCTION("""COMPUTED_VALUE"""),3)</f>
        <v>3</v>
      </c>
      <c r="B125" s="3" t="str">
        <f ca="1">IFERROR(__xludf.DUMMYFUNCTION("""COMPUTED_VALUE"""),"B")</f>
        <v>B</v>
      </c>
      <c r="C125" s="32" t="str">
        <f ca="1">IFERROR(__xludf.DUMMYFUNCTION("""COMPUTED_VALUE"""),"23291341088")</f>
        <v>23291341088</v>
      </c>
      <c r="D125" s="4" t="str">
        <f ca="1">IFERROR(__xludf.DUMMYFUNCTION("""COMPUTED_VALUE"""),"PATEL HENSIBEN SANJAYKUMAR")</f>
        <v>PATEL HENSIBEN SANJAYKUMAR</v>
      </c>
      <c r="E125" s="3" t="str">
        <f ca="1">IFERROR(__xludf.DUMMYFUNCTION("""COMPUTED_VALUE"""),"HAM/HDP-EVE")</f>
        <v>HAM/HDP-EVE</v>
      </c>
      <c r="F125" s="3">
        <f ca="1">IFERROR(__xludf.DUMMYFUNCTION("""COMPUTED_VALUE"""),9978088933)</f>
        <v>9978088933</v>
      </c>
      <c r="G125" s="3">
        <f ca="1">IFERROR(__xludf.DUMMYFUNCTION("""COMPUTED_VALUE"""),9978088933)</f>
        <v>9978088933</v>
      </c>
      <c r="H125" s="33">
        <f ca="1">IFERROR(__xludf.DUMMYFUNCTION("""COMPUTED_VALUE"""),0.766233766233766)</f>
        <v>0.76623376623376604</v>
      </c>
      <c r="I125" s="25">
        <f ca="1">IFERROR(__xludf.DUMMYFUNCTION("""COMPUTED_VALUE"""),0.756756756756756)</f>
        <v>0.75675675675675602</v>
      </c>
      <c r="J125" s="25">
        <f ca="1">IFERROR(__xludf.DUMMYFUNCTION("""COMPUTED_VALUE"""),0.818181818181818)</f>
        <v>0.81818181818181801</v>
      </c>
      <c r="K125" s="25">
        <f ca="1">IFERROR(__xludf.DUMMYFUNCTION("""COMPUTED_VALUE"""),0.735294117647058)</f>
        <v>0.73529411764705799</v>
      </c>
      <c r="L125" s="25">
        <f ca="1">IFERROR(__xludf.DUMMYFUNCTION("""COMPUTED_VALUE"""),0.75)</f>
        <v>0.75</v>
      </c>
      <c r="M125" s="25">
        <f ca="1">IFERROR(__xludf.DUMMYFUNCTION("""COMPUTED_VALUE"""),0.8)</f>
        <v>0.8</v>
      </c>
      <c r="N125" s="25">
        <f ca="1">IFERROR(__xludf.DUMMYFUNCTION("""COMPUTED_VALUE"""),0.875)</f>
        <v>0.875</v>
      </c>
      <c r="O125" s="25">
        <f ca="1">IFERROR(__xludf.DUMMYFUNCTION("""COMPUTED_VALUE"""),0.885714285714285)</f>
        <v>0.88571428571428501</v>
      </c>
      <c r="P125" s="25">
        <f ca="1">IFERROR(__xludf.DUMMYFUNCTION("""COMPUTED_VALUE"""),0.833333333333333)</f>
        <v>0.83333333333333304</v>
      </c>
      <c r="Q125" s="25">
        <f ca="1">IFERROR(__xludf.DUMMYFUNCTION("""COMPUTED_VALUE"""),0)</f>
        <v>0</v>
      </c>
      <c r="R125" s="25">
        <f ca="1">IFERROR(__xludf.DUMMYFUNCTION("""COMPUTED_VALUE"""),0.75)</f>
        <v>0.75</v>
      </c>
      <c r="S125" s="25">
        <f ca="1">IFERROR(__xludf.DUMMYFUNCTION("""COMPUTED_VALUE"""),0)</f>
        <v>0</v>
      </c>
      <c r="T125" s="25">
        <f ca="1">IFERROR(__xludf.DUMMYFUNCTION("""COMPUTED_VALUE"""),0.666666666666666)</f>
        <v>0.66666666666666596</v>
      </c>
      <c r="U125" s="25">
        <f ca="1">IFERROR(__xludf.DUMMYFUNCTION("""COMPUTED_VALUE"""),0.125)</f>
        <v>0.125</v>
      </c>
      <c r="V125" s="25">
        <f ca="1">IFERROR(__xludf.DUMMYFUNCTION("""COMPUTED_VALUE"""),0)</f>
        <v>0</v>
      </c>
      <c r="W125" s="4"/>
      <c r="X125" s="4" t="str">
        <f ca="1">IFERROR(__xludf.DUMMYFUNCTION("""COMPUTED_VALUE"""),"| 5 P Python % | 7 L CPT % | 8 L NS % | 9 P NS % ")</f>
        <v xml:space="preserve">| 5 P Python % | 7 L CPT % | 8 L NS % | 9 P NS % </v>
      </c>
      <c r="Y125" s="4" t="str">
        <f ca="1">IFERROR(__xludf.DUMMYFUNCTION("""COMPUTED_VALUE"""),"| 5 L PHP-CGM % | 6 L NS % | 7 P JAVA % | 9 P PRO % ")</f>
        <v xml:space="preserve">| 5 L PHP-CGM % | 6 L NS % | 7 P JAVA % | 9 P PRO % </v>
      </c>
      <c r="Z125" s="4" t="str">
        <f ca="1">IFERROR(__xludf.DUMMYFUNCTION("""COMPUTED_VALUE"""),"| 5 L JAVA % | 6 L CPT % | 7 P CPT % ")</f>
        <v xml:space="preserve">| 5 L JAVA % | 6 L CPT % | 7 P CPT % </v>
      </c>
      <c r="AA125" s="4" t="str">
        <f ca="1">IFERROR(__xludf.DUMMYFUNCTION("""COMPUTED_VALUE"""),"| 5 L PHP-CGM % | 7 L JAVA % | 9 P PHP-CGM % | 8 L CPT % ")</f>
        <v xml:space="preserve">| 5 L PHP-CGM % | 7 L JAVA % | 9 P PHP-CGM % | 8 L CPT % </v>
      </c>
      <c r="AB125" s="4" t="str">
        <f ca="1">IFERROR(__xludf.DUMMYFUNCTION("""COMPUTED_VALUE"""),"| 5 P Python % | 7 L PHP-CGM % | 8 L JAVA % | 9 P JAVA % ")</f>
        <v xml:space="preserve">| 5 P Python % | 7 L PHP-CGM % | 8 L JAVA % | 9 P JAVA % </v>
      </c>
      <c r="AC125" s="4" t="str">
        <f ca="1">IFERROR(__xludf.DUMMYFUNCTION("""COMPUTED_VALUE"""),"| 5 P Python % | 7 L CPT % | 8 L NS % | 9 P NS % ")</f>
        <v xml:space="preserve">| 5 P Python % | 7 L CPT % | 8 L NS % | 9 P NS % </v>
      </c>
      <c r="AD125" s="4" t="str">
        <f ca="1">IFERROR(__xludf.DUMMYFUNCTION("""COMPUTED_VALUE"""),"| 5 L PHP-CGM % | 6 L NS % | 7 P JAVA % | 9 P PRO % ")</f>
        <v xml:space="preserve">| 5 L PHP-CGM % | 6 L NS % | 7 P JAVA % | 9 P PRO % </v>
      </c>
      <c r="AE125" s="4" t="str">
        <f ca="1">IFERROR(__xludf.DUMMYFUNCTION("""COMPUTED_VALUE"""),"| 5 L JAVA % | 6 L CPT % | 7 P CPT % ")</f>
        <v xml:space="preserve">| 5 L JAVA % | 6 L CPT % | 7 P CPT % </v>
      </c>
      <c r="AF12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5" s="4" t="str">
        <f ca="1">IFERROR(__xludf.DUMMYFUNCTION("""COMPUTED_VALUE"""),"| 5 P Python % | 8 L JAVA % | 7 L PHP-CGM % | 9 P JAVA % ")</f>
        <v xml:space="preserve">| 5 P Python % | 8 L JAVA % | 7 L PHP-CGM % | 9 P JAVA % </v>
      </c>
      <c r="AH12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25" s="4" t="str">
        <f ca="1">IFERROR(__xludf.DUMMYFUNCTION("""COMPUTED_VALUE"""),"| 5 P Python % | 8 L JAVA % | 7 L PHP-CGM % | 9 P JAVA % ")</f>
        <v xml:space="preserve">| 5 P Python % | 8 L JAVA % | 7 L PHP-CGM % | 9 P JAVA % </v>
      </c>
      <c r="AJ125" s="4" t="str">
        <f ca="1">IFERROR(__xludf.DUMMYFUNCTION("""COMPUTED_VALUE"""),"| 5 P Python % | 7 L CPT % | 8 L NS % | 9 P NS % ")</f>
        <v xml:space="preserve">| 5 P Python % | 7 L CPT % | 8 L NS % | 9 P NS % </v>
      </c>
      <c r="AK125" s="4" t="str">
        <f ca="1">IFERROR(__xludf.DUMMYFUNCTION("""COMPUTED_VALUE"""),"| 5 L PHP-CGM % | 6 L NS % | 7 P JAVA % | 9 P PRO % ")</f>
        <v xml:space="preserve">| 5 L PHP-CGM % | 6 L NS % | 7 P JAVA % | 9 P PRO % </v>
      </c>
      <c r="AL125" s="4" t="str">
        <f ca="1">IFERROR(__xludf.DUMMYFUNCTION("""COMPUTED_VALUE"""),"| 5 L JAVA % | 6 L CPT % | 7 P CPT % | 9 L INE @ ")</f>
        <v xml:space="preserve">| 5 L JAVA % | 6 L CPT % | 7 P CPT % | 9 L INE @ </v>
      </c>
      <c r="AM12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5" s="4" t="str">
        <f ca="1">IFERROR(__xludf.DUMMYFUNCTION("""COMPUTED_VALUE"""),"| 5 P Python @ | 8 L JAVA @ | 7 L PHP-CGM @ | 9 P JAVA @ ")</f>
        <v xml:space="preserve">| 5 P Python @ | 8 L JAVA @ | 7 L PHP-CGM @ | 9 P JAVA @ </v>
      </c>
      <c r="AO125" s="4" t="str">
        <f ca="1">IFERROR(__xludf.DUMMYFUNCTION("""COMPUTED_VALUE"""),"| 5 P Python @ | 7 L CPT @ | 8 L NS @ ")</f>
        <v xml:space="preserve">| 5 P Python @ | 7 L CPT @ | 8 L NS @ </v>
      </c>
      <c r="AP125" s="4" t="str">
        <f ca="1">IFERROR(__xludf.DUMMYFUNCTION("""COMPUTED_VALUE"""),"| 5 L PHP-CGM @ | 6 L NS @ | 7 P JAVA @ | 9 P PRO @ ")</f>
        <v xml:space="preserve">| 5 L PHP-CGM @ | 6 L NS @ | 7 P JAVA @ | 9 P PRO @ </v>
      </c>
      <c r="AQ125" s="4" t="str">
        <f ca="1">IFERROR(__xludf.DUMMYFUNCTION("""COMPUTED_VALUE"""),"| 5 L CPT @ | 7 L JAVA @ | 7 P CPT @ | 9 L INE @ ")</f>
        <v xml:space="preserve">| 5 L CPT @ | 7 L JAVA @ | 7 P CPT @ | 9 L INE @ </v>
      </c>
      <c r="AR125" s="4" t="str">
        <f ca="1">IFERROR(__xludf.DUMMYFUNCTION("""COMPUTED_VALUE"""),"| 5 L PHP-CGM @ | 6 L NS @ | 8 L CPT @ ")</f>
        <v xml:space="preserve">| 5 L PHP-CGM @ | 6 L NS @ | 8 L CPT @ </v>
      </c>
      <c r="AS125" s="4" t="str">
        <f ca="1">IFERROR(__xludf.DUMMYFUNCTION("""COMPUTED_VALUE"""),"| 5 P Python % | 7 L CPT % | 8 L NS % | 9 P NS % ")</f>
        <v xml:space="preserve">| 5 P Python % | 7 L CPT % | 8 L NS % | 9 P NS % </v>
      </c>
      <c r="AT125" s="4" t="str">
        <f ca="1">IFERROR(__xludf.DUMMYFUNCTION("""COMPUTED_VALUE"""),"| 5 L PHP-CGM % | 6 L NS % | 7 P JAVA % | 9 P PRO % ")</f>
        <v xml:space="preserve">| 5 L PHP-CGM % | 6 L NS % | 7 P JAVA % | 9 P PRO % </v>
      </c>
      <c r="AU125" s="4" t="str">
        <f ca="1">IFERROR(__xludf.DUMMYFUNCTION("""COMPUTED_VALUE"""),"| 5 L JAVA % | 6 L CPT % | 7 P CPT % | 9 L INE @ ")</f>
        <v xml:space="preserve">| 5 L JAVA % | 6 L CPT % | 7 P CPT % | 9 L INE @ </v>
      </c>
      <c r="AV12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25" s="4" t="str">
        <f ca="1">IFERROR(__xludf.DUMMYFUNCTION("""COMPUTED_VALUE"""),"| 5 P Python % | 7 L PHP-CGM % | 8 L JAVA % | 9 P JAVA % ")</f>
        <v xml:space="preserve">| 5 P Python % | 7 L PHP-CGM % | 8 L JAVA % | 9 P JAVA % </v>
      </c>
      <c r="AX125" s="4" t="str">
        <f ca="1">IFERROR(__xludf.DUMMYFUNCTION("""COMPUTED_VALUE"""),"| 5 P Python % | 7 L CPT % | 8 L NS % | 9 P NS % ")</f>
        <v xml:space="preserve">| 5 P Python % | 7 L CPT % | 8 L NS % | 9 P NS % </v>
      </c>
      <c r="AY125" s="4" t="str">
        <f ca="1">IFERROR(__xludf.DUMMYFUNCTION("""COMPUTED_VALUE"""),"| 5 L PHP-CGM % | 6 L NS % | 7 P JAVA % ")</f>
        <v xml:space="preserve">| 5 L PHP-CGM % | 6 L NS % | 7 P JAVA % </v>
      </c>
      <c r="AZ125" s="4" t="str">
        <f ca="1">IFERROR(__xludf.DUMMYFUNCTION("""COMPUTED_VALUE"""),"| 5 L PHP-CGM % | 6 L NS % | 7 L JAVA % | 8 L CPT % ")</f>
        <v xml:space="preserve">| 5 L PHP-CGM % | 6 L NS % | 7 L JAVA % | 8 L CPT % </v>
      </c>
      <c r="BA125" s="4" t="str">
        <f ca="1">IFERROR(__xludf.DUMMYFUNCTION("""COMPUTED_VALUE"""),"| 5 P Python % | 7 L PHP-CGM % | 8 L JAVA % ")</f>
        <v xml:space="preserve">| 5 P Python % | 7 L PHP-CGM % | 8 L JAVA % </v>
      </c>
      <c r="BB125" s="4" t="str">
        <f ca="1">IFERROR(__xludf.DUMMYFUNCTION("""COMPUTED_VALUE"""),"| 5 P Python % | 7 L CPT @ | 8 L NS @ | 9 P NS % ")</f>
        <v xml:space="preserve">| 5 P Python % | 7 L CPT @ | 8 L NS @ | 9 P NS % </v>
      </c>
      <c r="BC125" s="4" t="str">
        <f ca="1">IFERROR(__xludf.DUMMYFUNCTION("""COMPUTED_VALUE"""),"| 5 L PHP-CGM % | 6 L NS % | 7 P JAVA % | 9 P PRO % ")</f>
        <v xml:space="preserve">| 5 L PHP-CGM % | 6 L NS % | 7 P JAVA % | 9 P PRO % </v>
      </c>
      <c r="BD125" s="4" t="str">
        <f ca="1">IFERROR(__xludf.DUMMYFUNCTION("""COMPUTED_VALUE"""),"| 5 L JAVA % | 6 L CPT % | 7 P CPT % | 9 L INE @ ")</f>
        <v xml:space="preserve">| 5 L JAVA % | 6 L CPT % | 7 P CPT % | 9 L INE @ </v>
      </c>
      <c r="BE12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25" s="4" t="str">
        <f ca="1">IFERROR(__xludf.DUMMYFUNCTION("""COMPUTED_VALUE"""),"| 5 P Python % | 7 L PHP-CGM % | 9 P JAVA % | 8 L JAVA % ")</f>
        <v xml:space="preserve">| 5 P Python % | 7 L PHP-CGM % | 9 P JAVA % | 8 L JAVA % </v>
      </c>
      <c r="BG125" s="4" t="str">
        <f ca="1">IFERROR(__xludf.DUMMYFUNCTION("""COMPUTED_VALUE"""),"| 5 L PHP-CGM % | 6 L NS % | 7 P JAVA % | 9 P PRO % ")</f>
        <v xml:space="preserve">| 5 L PHP-CGM % | 6 L NS % | 7 P JAVA % | 9 P PRO % </v>
      </c>
      <c r="BH125" s="4" t="str">
        <f ca="1">IFERROR(__xludf.DUMMYFUNCTION("""COMPUTED_VALUE"""),"| 5 L JAVA % | 6 L CPT % | 7 P CPT % | 9 L INE @ ")</f>
        <v xml:space="preserve">| 5 L JAVA % | 6 L CPT % | 7 P CPT % | 9 L INE @ </v>
      </c>
      <c r="BI125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25" s="4" t="str">
        <f ca="1">IFERROR(__xludf.DUMMYFUNCTION("""COMPUTED_VALUE"""),"| 5 P Python @ | 7 L JAVA % | 8 L PHP-CGM % ")</f>
        <v xml:space="preserve">| 5 P Python @ | 7 L JAVA % | 8 L PHP-CGM % </v>
      </c>
      <c r="BK125" s="4" t="str">
        <f ca="1">IFERROR(__xludf.DUMMYFUNCTION("""COMPUTED_VALUE"""),"| 5 P Python @ | 7 L CPT @ | 8 L NS @ | 9 P NS @ ")</f>
        <v xml:space="preserve">| 5 P Python @ | 7 L CPT @ | 8 L NS @ | 9 P NS @ </v>
      </c>
      <c r="BL125" s="4" t="str">
        <f ca="1">IFERROR(__xludf.DUMMYFUNCTION("""COMPUTED_VALUE"""),"| 5 L PHP-CGM @ | 6 L NS @ | 7 P JAVA @ | 9 P PRO @ ")</f>
        <v xml:space="preserve">| 5 L PHP-CGM @ | 6 L NS @ | 7 P JAVA @ | 9 P PRO @ </v>
      </c>
      <c r="BM125" s="4" t="str">
        <f ca="1">IFERROR(__xludf.DUMMYFUNCTION("""COMPUTED_VALUE"""),"| 5 L JAVA % | 6 L CPT % | 7 P CPT @ | 9 L INE @ ")</f>
        <v xml:space="preserve">| 5 L JAVA % | 6 L CPT % | 7 P CPT @ | 9 L INE @ </v>
      </c>
      <c r="BN125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25" s="4" t="str">
        <f ca="1">IFERROR(__xludf.DUMMYFUNCTION("""COMPUTED_VALUE"""),"| 5 P Python % | 7 L PHP-CGM % ")</f>
        <v xml:space="preserve">| 5 P Python % | 7 L PHP-CGM % </v>
      </c>
      <c r="BP125" s="4" t="str">
        <f ca="1">IFERROR(__xludf.DUMMYFUNCTION("""COMPUTED_VALUE"""),"| 5 P Python @ | 7 L CPT @ | 8 L NS @ | 9 P NS @ ")</f>
        <v xml:space="preserve">| 5 P Python @ | 7 L CPT @ | 8 L NS @ | 9 P NS @ </v>
      </c>
      <c r="BQ125" s="4" t="str">
        <f ca="1">IFERROR(__xludf.DUMMYFUNCTION("""COMPUTED_VALUE"""),"| 5 L JAVA % | 6 L CPT % ")</f>
        <v xml:space="preserve">| 5 L JAVA % | 6 L CPT % </v>
      </c>
      <c r="BR125" s="4" t="str">
        <f ca="1">IFERROR(__xludf.DUMMYFUNCTION("""COMPUTED_VALUE"""),"| 7 L JAVA % ")</f>
        <v xml:space="preserve">| 7 L JAVA % </v>
      </c>
      <c r="BS125" s="4"/>
      <c r="BT125" s="4" t="str">
        <f ca="1">IFERROR(__xludf.DUMMYFUNCTION("""COMPUTED_VALUE"""),"| 7 L CPT @ | 9 P NS @ ")</f>
        <v xml:space="preserve">| 7 L CPT @ | 9 P NS @ </v>
      </c>
      <c r="BU125" s="4" t="str">
        <f ca="1">IFERROR(__xludf.DUMMYFUNCTION("""COMPUTED_VALUE"""),"| 9 P PRO @ ")</f>
        <v xml:space="preserve">| 9 P PRO @ </v>
      </c>
      <c r="BV125" s="4" t="str">
        <f ca="1">IFERROR(__xludf.DUMMYFUNCTION("""COMPUTED_VALUE"""),"| 5 P Python % | 7 L CPT % | 8 L NS % | 9 P NS % ")</f>
        <v xml:space="preserve">| 5 P Python % | 7 L CPT % | 8 L NS % | 9 P NS % </v>
      </c>
      <c r="BW125" s="4"/>
      <c r="BX125" s="4" t="str">
        <f ca="1">IFERROR(__xludf.DUMMYFUNCTION("""COMPUTED_VALUE"""),"| 5 L JAVA % | 6 L CPT % | 7 P CPT % ")</f>
        <v xml:space="preserve">| 5 L JAVA % | 6 L CPT % | 7 P CPT % </v>
      </c>
      <c r="BY125" s="4" t="str">
        <f ca="1">IFERROR(__xludf.DUMMYFUNCTION("""COMPUTED_VALUE"""),"| 5 L PHP-CGM % | 6 L NS % | 7 L JAVA % | 8 L CPT % ")</f>
        <v xml:space="preserve">| 5 L PHP-CGM % | 6 L NS % | 7 L JAVA % | 8 L CPT % </v>
      </c>
      <c r="BZ125" s="4" t="str">
        <f ca="1">IFERROR(__xludf.DUMMYFUNCTION("""COMPUTED_VALUE"""),"| 5 P Python % | 8 L JAVA @ | 7 L PHP-CGM @ | 9 P JAVA % ")</f>
        <v xml:space="preserve">| 5 P Python % | 8 L JAVA @ | 7 L PHP-CGM @ | 9 P JAVA % </v>
      </c>
      <c r="CA125" s="4" t="str">
        <f ca="1">IFERROR(__xludf.DUMMYFUNCTION("""COMPUTED_VALUE"""),"| 5 P Python @ | 7 L CPT % | 8 L NS % | 9 P NS % ")</f>
        <v xml:space="preserve">| 5 P Python @ | 7 L CPT % | 8 L NS % | 9 P NS % </v>
      </c>
      <c r="CB125" s="4" t="str">
        <f ca="1">IFERROR(__xludf.DUMMYFUNCTION("""COMPUTED_VALUE"""),"| 5 L PHP-CGM @ | 6 L NS @ | 7 P JAVA % ")</f>
        <v xml:space="preserve">| 5 L PHP-CGM @ | 6 L NS @ | 7 P JAVA % </v>
      </c>
      <c r="CC125" s="4" t="str">
        <f ca="1">IFERROR(__xludf.DUMMYFUNCTION("""COMPUTED_VALUE"""),"| 5 L JAVA % | 7 P CPT % | 9 L INE % ")</f>
        <v xml:space="preserve">| 5 L JAVA % | 7 P CPT % | 9 L INE % </v>
      </c>
      <c r="CD125" s="4" t="str">
        <f ca="1">IFERROR(__xludf.DUMMYFUNCTION("""COMPUTED_VALUE"""),"| 5 L PHP-CGM % | 6 L NS % | 7 L JAVA @ | 8 L CPT @ ")</f>
        <v xml:space="preserve">| 5 L PHP-CGM % | 6 L NS % | 7 L JAVA @ | 8 L CPT @ </v>
      </c>
      <c r="CE125" s="4" t="str">
        <f ca="1">IFERROR(__xludf.DUMMYFUNCTION("""COMPUTED_VALUE"""),"| 5 P Python % | 8 L JAVA % | 7 L PHP-CGM % ")</f>
        <v xml:space="preserve">| 5 P Python % | 8 L JAVA % | 7 L PHP-CGM % </v>
      </c>
      <c r="CF125" s="4" t="str">
        <f ca="1">IFERROR(__xludf.DUMMYFUNCTION("""COMPUTED_VALUE"""),"| 5 P Python % | 7 L CPT % | 8 L NS % | 9 P NS % ")</f>
        <v xml:space="preserve">| 5 P Python % | 7 L CPT % | 8 L NS % | 9 P NS % </v>
      </c>
      <c r="CG125" s="4" t="str">
        <f ca="1">IFERROR(__xludf.DUMMYFUNCTION("""COMPUTED_VALUE"""),"| 5 L PHP-CGM @ | 6 L NS @ | 7 P JAVA % ")</f>
        <v xml:space="preserve">| 5 L PHP-CGM @ | 6 L NS @ | 7 P JAVA % </v>
      </c>
      <c r="CH125" s="4" t="str">
        <f ca="1">IFERROR(__xludf.DUMMYFUNCTION("""COMPUTED_VALUE"""),"| 5 L JAVA % | 6 L CPT % | 7 P CPT % | 9 L INE @ ")</f>
        <v xml:space="preserve">| 5 L JAVA % | 6 L CPT % | 7 P CPT % | 9 L INE @ </v>
      </c>
      <c r="CI125" s="4" t="str">
        <f ca="1">IFERROR(__xludf.DUMMYFUNCTION("""COMPUTED_VALUE"""),"| 5 L PHP-CGM % | 7 L JAVA % | 8 L CPT @ ")</f>
        <v xml:space="preserve">| 5 L PHP-CGM % | 7 L JAVA % | 8 L CPT @ </v>
      </c>
      <c r="CJ125" s="4" t="str">
        <f ca="1">IFERROR(__xludf.DUMMYFUNCTION("""COMPUTED_VALUE"""),"| 5 P Python % ")</f>
        <v xml:space="preserve">| 5 P Python % </v>
      </c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</row>
    <row r="126" spans="1:102" ht="12.5" x14ac:dyDescent="0.25">
      <c r="A126" s="3">
        <f ca="1">IFERROR(__xludf.DUMMYFUNCTION("""COMPUTED_VALUE"""),3)</f>
        <v>3</v>
      </c>
      <c r="B126" s="3" t="str">
        <f ca="1">IFERROR(__xludf.DUMMYFUNCTION("""COMPUTED_VALUE"""),"B")</f>
        <v>B</v>
      </c>
      <c r="C126" s="32" t="str">
        <f ca="1">IFERROR(__xludf.DUMMYFUNCTION("""COMPUTED_VALUE"""),"23291341089")</f>
        <v>23291341089</v>
      </c>
      <c r="D126" s="4" t="str">
        <f ca="1">IFERROR(__xludf.DUMMYFUNCTION("""COMPUTED_VALUE"""),"PATEL HET AMITKUMAR")</f>
        <v>PATEL HET AMITKUMAR</v>
      </c>
      <c r="E126" s="3" t="str">
        <f ca="1">IFERROR(__xludf.DUMMYFUNCTION("""COMPUTED_VALUE"""),"HAM/HDP-EVE")</f>
        <v>HAM/HDP-EVE</v>
      </c>
      <c r="F126" s="3">
        <f ca="1">IFERROR(__xludf.DUMMYFUNCTION("""COMPUTED_VALUE"""),6355235358)</f>
        <v>6355235358</v>
      </c>
      <c r="G126" s="3">
        <f ca="1">IFERROR(__xludf.DUMMYFUNCTION("""COMPUTED_VALUE"""),8320586451)</f>
        <v>8320586451</v>
      </c>
      <c r="H126" s="33">
        <f ca="1">IFERROR(__xludf.DUMMYFUNCTION("""COMPUTED_VALUE"""),0.714285714285714)</f>
        <v>0.71428571428571397</v>
      </c>
      <c r="I126" s="25">
        <f ca="1">IFERROR(__xludf.DUMMYFUNCTION("""COMPUTED_VALUE"""),0.729729729729729)</f>
        <v>0.72972972972972905</v>
      </c>
      <c r="J126" s="25">
        <f ca="1">IFERROR(__xludf.DUMMYFUNCTION("""COMPUTED_VALUE"""),1)</f>
        <v>1</v>
      </c>
      <c r="K126" s="25">
        <f ca="1">IFERROR(__xludf.DUMMYFUNCTION("""COMPUTED_VALUE"""),0.705882352941176)</f>
        <v>0.70588235294117596</v>
      </c>
      <c r="L126" s="25">
        <f ca="1">IFERROR(__xludf.DUMMYFUNCTION("""COMPUTED_VALUE"""),0.666666666666666)</f>
        <v>0.66666666666666596</v>
      </c>
      <c r="M126" s="25">
        <f ca="1">IFERROR(__xludf.DUMMYFUNCTION("""COMPUTED_VALUE"""),0.685714285714285)</f>
        <v>0.68571428571428505</v>
      </c>
      <c r="N126" s="25">
        <f ca="1">IFERROR(__xludf.DUMMYFUNCTION("""COMPUTED_VALUE"""),0.75)</f>
        <v>0.75</v>
      </c>
      <c r="O126" s="25">
        <f ca="1">IFERROR(__xludf.DUMMYFUNCTION("""COMPUTED_VALUE"""),0.742857142857142)</f>
        <v>0.74285714285714199</v>
      </c>
      <c r="P126" s="25">
        <f ca="1">IFERROR(__xludf.DUMMYFUNCTION("""COMPUTED_VALUE"""),0.666666666666666)</f>
        <v>0.66666666666666596</v>
      </c>
      <c r="Q126" s="25">
        <f ca="1">IFERROR(__xludf.DUMMYFUNCTION("""COMPUTED_VALUE"""),0)</f>
        <v>0</v>
      </c>
      <c r="R126" s="25">
        <f ca="1">IFERROR(__xludf.DUMMYFUNCTION("""COMPUTED_VALUE"""),0.583333333333333)</f>
        <v>0.58333333333333304</v>
      </c>
      <c r="S126" s="25">
        <f ca="1">IFERROR(__xludf.DUMMYFUNCTION("""COMPUTED_VALUE"""),0)</f>
        <v>0</v>
      </c>
      <c r="T126" s="25">
        <f ca="1">IFERROR(__xludf.DUMMYFUNCTION("""COMPUTED_VALUE"""),0.777777777777777)</f>
        <v>0.77777777777777701</v>
      </c>
      <c r="U126" s="25">
        <f ca="1">IFERROR(__xludf.DUMMYFUNCTION("""COMPUTED_VALUE"""),0.75)</f>
        <v>0.75</v>
      </c>
      <c r="V126" s="25">
        <f ca="1">IFERROR(__xludf.DUMMYFUNCTION("""COMPUTED_VALUE"""),0)</f>
        <v>0</v>
      </c>
      <c r="W126" s="4"/>
      <c r="X126" s="4" t="str">
        <f ca="1">IFERROR(__xludf.DUMMYFUNCTION("""COMPUTED_VALUE"""),"| 5 P Python % | 7 L CPT % | 8 L NS % | 9 P NS % ")</f>
        <v xml:space="preserve">| 5 P Python % | 7 L CPT % | 8 L NS % | 9 P NS % </v>
      </c>
      <c r="Y126" s="4" t="str">
        <f ca="1">IFERROR(__xludf.DUMMYFUNCTION("""COMPUTED_VALUE"""),"| 5 L PHP-CGM % | 6 L NS % | 7 P JAVA % | 9 P PRO % ")</f>
        <v xml:space="preserve">| 5 L PHP-CGM % | 6 L NS % | 7 P JAVA % | 9 P PRO % </v>
      </c>
      <c r="Z126" s="4" t="str">
        <f ca="1">IFERROR(__xludf.DUMMYFUNCTION("""COMPUTED_VALUE"""),"| 5 L JAVA % | 6 L CPT % | 7 P CPT % ")</f>
        <v xml:space="preserve">| 5 L JAVA % | 6 L CPT % | 7 P CPT % </v>
      </c>
      <c r="AA126" s="4" t="str">
        <f ca="1">IFERROR(__xludf.DUMMYFUNCTION("""COMPUTED_VALUE"""),"| 5 L PHP-CGM % | 7 L JAVA % | 9 P PHP-CGM % | 8 L CPT % ")</f>
        <v xml:space="preserve">| 5 L PHP-CGM % | 7 L JAVA % | 9 P PHP-CGM % | 8 L CPT % </v>
      </c>
      <c r="AB126" s="4" t="str">
        <f ca="1">IFERROR(__xludf.DUMMYFUNCTION("""COMPUTED_VALUE"""),"| 5 P Python % | 7 L PHP-CGM % | 8 L JAVA % | 9 P JAVA % ")</f>
        <v xml:space="preserve">| 5 P Python % | 7 L PHP-CGM % | 8 L JAVA % | 9 P JAVA % </v>
      </c>
      <c r="AC126" s="4" t="str">
        <f ca="1">IFERROR(__xludf.DUMMYFUNCTION("""COMPUTED_VALUE"""),"| 5 P Python % | 7 L CPT % | 8 L NS % | 9 P NS % ")</f>
        <v xml:space="preserve">| 5 P Python % | 7 L CPT % | 8 L NS % | 9 P NS % </v>
      </c>
      <c r="AD126" s="4" t="str">
        <f ca="1">IFERROR(__xludf.DUMMYFUNCTION("""COMPUTED_VALUE"""),"| 5 L PHP-CGM % | 6 L NS % | 7 P JAVA % | 9 P PRO % ")</f>
        <v xml:space="preserve">| 5 L PHP-CGM % | 6 L NS % | 7 P JAVA % | 9 P PRO % </v>
      </c>
      <c r="AE126" s="4" t="str">
        <f ca="1">IFERROR(__xludf.DUMMYFUNCTION("""COMPUTED_VALUE"""),"| 5 L JAVA % | 6 L CPT % | 7 P CPT % ")</f>
        <v xml:space="preserve">| 5 L JAVA % | 6 L CPT % | 7 P CPT % </v>
      </c>
      <c r="AF126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6" s="4" t="str">
        <f ca="1">IFERROR(__xludf.DUMMYFUNCTION("""COMPUTED_VALUE"""),"| 5 P Python % | 8 L JAVA % | 7 L PHP-CGM % | 9 P JAVA % ")</f>
        <v xml:space="preserve">| 5 P Python % | 8 L JAVA % | 7 L PHP-CGM % | 9 P JAVA % </v>
      </c>
      <c r="AH126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26" s="4" t="str">
        <f ca="1">IFERROR(__xludf.DUMMYFUNCTION("""COMPUTED_VALUE"""),"| 5 P Python @ | 8 L JAVA @ | 7 L PHP-CGM @ | 9 P JAVA @ ")</f>
        <v xml:space="preserve">| 5 P Python @ | 8 L JAVA @ | 7 L PHP-CGM @ | 9 P JAVA @ </v>
      </c>
      <c r="AJ126" s="4" t="str">
        <f ca="1">IFERROR(__xludf.DUMMYFUNCTION("""COMPUTED_VALUE"""),"| 5 P Python % | 7 L CPT % | 8 L NS % | 9 P NS % ")</f>
        <v xml:space="preserve">| 5 P Python % | 7 L CPT % | 8 L NS % | 9 P NS % </v>
      </c>
      <c r="AK126" s="4" t="str">
        <f ca="1">IFERROR(__xludf.DUMMYFUNCTION("""COMPUTED_VALUE"""),"| 5 L PHP-CGM % | 6 L NS % | 7 P JAVA % | 9 P PRO % ")</f>
        <v xml:space="preserve">| 5 L PHP-CGM % | 6 L NS % | 7 P JAVA % | 9 P PRO % </v>
      </c>
      <c r="AL126" s="4" t="str">
        <f ca="1">IFERROR(__xludf.DUMMYFUNCTION("""COMPUTED_VALUE"""),"| 5 L JAVA % | 6 L CPT % | 7 P CPT % | 9 L INE % ")</f>
        <v xml:space="preserve">| 5 L JAVA % | 6 L CPT % | 7 P CPT % | 9 L INE % </v>
      </c>
      <c r="AM126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6" s="4" t="str">
        <f ca="1">IFERROR(__xludf.DUMMYFUNCTION("""COMPUTED_VALUE"""),"| 5 P Python @ | 8 L JAVA @ | 7 L PHP-CGM @ | 9 P JAVA @ ")</f>
        <v xml:space="preserve">| 5 P Python @ | 8 L JAVA @ | 7 L PHP-CGM @ | 9 P JAVA @ </v>
      </c>
      <c r="AO126" s="4" t="str">
        <f ca="1">IFERROR(__xludf.DUMMYFUNCTION("""COMPUTED_VALUE"""),"| 5 P Python @ | 7 L CPT @ | 8 L NS @ ")</f>
        <v xml:space="preserve">| 5 P Python @ | 7 L CPT @ | 8 L NS @ </v>
      </c>
      <c r="AP126" s="4" t="str">
        <f ca="1">IFERROR(__xludf.DUMMYFUNCTION("""COMPUTED_VALUE"""),"| 5 L PHP-CGM @ | 6 L NS @ | 7 P JAVA @ | 9 P PRO @ ")</f>
        <v xml:space="preserve">| 5 L PHP-CGM @ | 6 L NS @ | 7 P JAVA @ | 9 P PRO @ </v>
      </c>
      <c r="AQ126" s="4" t="str">
        <f ca="1">IFERROR(__xludf.DUMMYFUNCTION("""COMPUTED_VALUE"""),"| 5 L CPT % | 7 L JAVA % | 7 P CPT % | 9 L INE % ")</f>
        <v xml:space="preserve">| 5 L CPT % | 7 L JAVA % | 7 P CPT % | 9 L INE % </v>
      </c>
      <c r="AR126" s="4" t="str">
        <f ca="1">IFERROR(__xludf.DUMMYFUNCTION("""COMPUTED_VALUE"""),"| 5 L PHP-CGM @ | 6 L NS @ | 8 L CPT @ ")</f>
        <v xml:space="preserve">| 5 L PHP-CGM @ | 6 L NS @ | 8 L CPT @ </v>
      </c>
      <c r="AS126" s="4" t="str">
        <f ca="1">IFERROR(__xludf.DUMMYFUNCTION("""COMPUTED_VALUE"""),"| 5 P Python % | 7 L CPT % | 8 L NS % | 9 P NS % ")</f>
        <v xml:space="preserve">| 5 P Python % | 7 L CPT % | 8 L NS % | 9 P NS % </v>
      </c>
      <c r="AT126" s="4" t="str">
        <f ca="1">IFERROR(__xludf.DUMMYFUNCTION("""COMPUTED_VALUE"""),"| 5 L PHP-CGM % | 6 L NS % | 7 P JAVA % | 9 P PRO % ")</f>
        <v xml:space="preserve">| 5 L PHP-CGM % | 6 L NS % | 7 P JAVA % | 9 P PRO % </v>
      </c>
      <c r="AU126" s="4" t="str">
        <f ca="1">IFERROR(__xludf.DUMMYFUNCTION("""COMPUTED_VALUE"""),"| 5 L JAVA % | 6 L CPT % | 7 P CPT % | 9 L INE % ")</f>
        <v xml:space="preserve">| 5 L JAVA % | 6 L CPT % | 7 P CPT % | 9 L INE % </v>
      </c>
      <c r="AV126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26" s="4" t="str">
        <f ca="1">IFERROR(__xludf.DUMMYFUNCTION("""COMPUTED_VALUE"""),"| 5 P Python % | 7 L PHP-CGM % | 8 L JAVA % | 9 P JAVA @ ")</f>
        <v xml:space="preserve">| 5 P Python % | 7 L PHP-CGM % | 8 L JAVA % | 9 P JAVA @ </v>
      </c>
      <c r="AX126" s="4" t="str">
        <f ca="1">IFERROR(__xludf.DUMMYFUNCTION("""COMPUTED_VALUE"""),"| 5 P Python % | 7 L CPT % | 8 L NS % | 9 P NS % ")</f>
        <v xml:space="preserve">| 5 P Python % | 7 L CPT % | 8 L NS % | 9 P NS % </v>
      </c>
      <c r="AY126" s="4" t="str">
        <f ca="1">IFERROR(__xludf.DUMMYFUNCTION("""COMPUTED_VALUE"""),"| 5 L PHP-CGM % | 6 L NS % | 7 P JAVA % ")</f>
        <v xml:space="preserve">| 5 L PHP-CGM % | 6 L NS % | 7 P JAVA % </v>
      </c>
      <c r="AZ126" s="4" t="str">
        <f ca="1">IFERROR(__xludf.DUMMYFUNCTION("""COMPUTED_VALUE"""),"| 5 L PHP-CGM % | 6 L NS % | 7 L JAVA % | 8 L CPT % ")</f>
        <v xml:space="preserve">| 5 L PHP-CGM % | 6 L NS % | 7 L JAVA % | 8 L CPT % </v>
      </c>
      <c r="BA126" s="4" t="str">
        <f ca="1">IFERROR(__xludf.DUMMYFUNCTION("""COMPUTED_VALUE"""),"| 5 P Python % | 7 L PHP-CGM % | 8 L JAVA % ")</f>
        <v xml:space="preserve">| 5 P Python % | 7 L PHP-CGM % | 8 L JAVA % </v>
      </c>
      <c r="BB126" s="4" t="str">
        <f ca="1">IFERROR(__xludf.DUMMYFUNCTION("""COMPUTED_VALUE"""),"| 5 P Python % | 7 L CPT % | 8 L NS % | 9 P NS % ")</f>
        <v xml:space="preserve">| 5 P Python % | 7 L CPT % | 8 L NS % | 9 P NS % </v>
      </c>
      <c r="BC126" s="4" t="str">
        <f ca="1">IFERROR(__xludf.DUMMYFUNCTION("""COMPUTED_VALUE"""),"| 5 L PHP-CGM % | 6 L NS % | 7 P JAVA % | 9 P PRO % ")</f>
        <v xml:space="preserve">| 5 L PHP-CGM % | 6 L NS % | 7 P JAVA % | 9 P PRO % </v>
      </c>
      <c r="BD126" s="4" t="str">
        <f ca="1">IFERROR(__xludf.DUMMYFUNCTION("""COMPUTED_VALUE"""),"| 5 L JAVA % | 6 L CPT % | 7 P CPT % | 9 L INE % ")</f>
        <v xml:space="preserve">| 5 L JAVA % | 6 L CPT % | 7 P CPT % | 9 L INE % </v>
      </c>
      <c r="BE126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F126" s="4" t="str">
        <f ca="1">IFERROR(__xludf.DUMMYFUNCTION("""COMPUTED_VALUE"""),"| 5 P Python @ | 7 L PHP-CGM @ | 9 P JAVA @ | 8 L JAVA @ ")</f>
        <v xml:space="preserve">| 5 P Python @ | 7 L PHP-CGM @ | 9 P JAVA @ | 8 L JAVA @ </v>
      </c>
      <c r="BG126" s="4" t="str">
        <f ca="1">IFERROR(__xludf.DUMMYFUNCTION("""COMPUTED_VALUE"""),"| 5 L PHP-CGM % | 6 L NS % | 7 P JAVA % | 9 P PRO % ")</f>
        <v xml:space="preserve">| 5 L PHP-CGM % | 6 L NS % | 7 P JAVA % | 9 P PRO % </v>
      </c>
      <c r="BH126" s="4" t="str">
        <f ca="1">IFERROR(__xludf.DUMMYFUNCTION("""COMPUTED_VALUE"""),"| 5 L JAVA % | 6 L CPT % | 7 P CPT % | 9 L INE @ ")</f>
        <v xml:space="preserve">| 5 L JAVA % | 6 L CPT % | 7 P CPT % | 9 L INE @ </v>
      </c>
      <c r="BI126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J126" s="4" t="str">
        <f ca="1">IFERROR(__xludf.DUMMYFUNCTION("""COMPUTED_VALUE"""),"| 5 P Python @ | 7 L JAVA @ | 8 L PHP-CGM @ ")</f>
        <v xml:space="preserve">| 5 P Python @ | 7 L JAVA @ | 8 L PHP-CGM @ </v>
      </c>
      <c r="BK126" s="4" t="str">
        <f ca="1">IFERROR(__xludf.DUMMYFUNCTION("""COMPUTED_VALUE"""),"| 5 P Python @ | 7 L CPT @ | 8 L NS @ | 9 P NS @ ")</f>
        <v xml:space="preserve">| 5 P Python @ | 7 L CPT @ | 8 L NS @ | 9 P NS @ </v>
      </c>
      <c r="BL126" s="4" t="str">
        <f ca="1">IFERROR(__xludf.DUMMYFUNCTION("""COMPUTED_VALUE"""),"| 5 L PHP-CGM % | 6 L NS % | 7 P JAVA % | 9 P PRO % ")</f>
        <v xml:space="preserve">| 5 L PHP-CGM % | 6 L NS % | 7 P JAVA % | 9 P PRO % </v>
      </c>
      <c r="BM126" s="4" t="str">
        <f ca="1">IFERROR(__xludf.DUMMYFUNCTION("""COMPUTED_VALUE"""),"| 5 L JAVA % | 6 L CPT % | 7 P CPT % | 9 L INE @ ")</f>
        <v xml:space="preserve">| 5 L JAVA % | 6 L CPT % | 7 P CPT % | 9 L INE @ </v>
      </c>
      <c r="BN126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26" s="4" t="str">
        <f ca="1">IFERROR(__xludf.DUMMYFUNCTION("""COMPUTED_VALUE"""),"| 5 P Python @ | 7 L PHP-CGM @ ")</f>
        <v xml:space="preserve">| 5 P Python @ | 7 L PHP-CGM @ </v>
      </c>
      <c r="BP126" s="4" t="str">
        <f ca="1">IFERROR(__xludf.DUMMYFUNCTION("""COMPUTED_VALUE"""),"| 5 P Python @ | 7 L CPT @ | 8 L NS @ | 9 P NS @ ")</f>
        <v xml:space="preserve">| 5 P Python @ | 7 L CPT @ | 8 L NS @ | 9 P NS @ </v>
      </c>
      <c r="BQ126" s="4" t="str">
        <f ca="1">IFERROR(__xludf.DUMMYFUNCTION("""COMPUTED_VALUE"""),"| 5 L JAVA % | 6 L CPT % ")</f>
        <v xml:space="preserve">| 5 L JAVA % | 6 L CPT % </v>
      </c>
      <c r="BR126" s="4" t="str">
        <f ca="1">IFERROR(__xludf.DUMMYFUNCTION("""COMPUTED_VALUE"""),"| 7 L JAVA % ")</f>
        <v xml:space="preserve">| 7 L JAVA % </v>
      </c>
      <c r="BS126" s="4"/>
      <c r="BT126" s="4" t="str">
        <f ca="1">IFERROR(__xludf.DUMMYFUNCTION("""COMPUTED_VALUE"""),"| 7 L CPT @ | 9 P NS @ ")</f>
        <v xml:space="preserve">| 7 L CPT @ | 9 P NS @ </v>
      </c>
      <c r="BU126" s="4" t="str">
        <f ca="1">IFERROR(__xludf.DUMMYFUNCTION("""COMPUTED_VALUE"""),"| 9 P PRO @ ")</f>
        <v xml:space="preserve">| 9 P PRO @ </v>
      </c>
      <c r="BV126" s="4" t="str">
        <f ca="1">IFERROR(__xludf.DUMMYFUNCTION("""COMPUTED_VALUE"""),"| 5 P Python @ | 7 L CPT @ | 8 L NS @ | 9 P NS @ ")</f>
        <v xml:space="preserve">| 5 P Python @ | 7 L CPT @ | 8 L NS @ | 9 P NS @ </v>
      </c>
      <c r="BW126" s="4"/>
      <c r="BX126" s="4" t="str">
        <f ca="1">IFERROR(__xludf.DUMMYFUNCTION("""COMPUTED_VALUE"""),"| 5 L JAVA % | 6 L CPT % | 7 P CPT % ")</f>
        <v xml:space="preserve">| 5 L JAVA % | 6 L CPT % | 7 P CPT % </v>
      </c>
      <c r="BY126" s="4" t="str">
        <f ca="1">IFERROR(__xludf.DUMMYFUNCTION("""COMPUTED_VALUE"""),"| 5 L PHP-CGM % | 6 L NS % | 7 L JAVA @ | 8 L CPT @ ")</f>
        <v xml:space="preserve">| 5 L PHP-CGM % | 6 L NS % | 7 L JAVA @ | 8 L CPT @ </v>
      </c>
      <c r="BZ126" s="4" t="str">
        <f ca="1">IFERROR(__xludf.DUMMYFUNCTION("""COMPUTED_VALUE"""),"| 5 P Python @ | 8 L JAVA @ | 7 L PHP-CGM @ | 9 P JAVA @ ")</f>
        <v xml:space="preserve">| 5 P Python @ | 8 L JAVA @ | 7 L PHP-CGM @ | 9 P JAVA @ </v>
      </c>
      <c r="CA126" s="4" t="str">
        <f ca="1">IFERROR(__xludf.DUMMYFUNCTION("""COMPUTED_VALUE"""),"| 5 P Python % | 7 L CPT % | 8 L NS % | 9 P NS % ")</f>
        <v xml:space="preserve">| 5 P Python % | 7 L CPT % | 8 L NS % | 9 P NS % </v>
      </c>
      <c r="CB126" s="4" t="str">
        <f ca="1">IFERROR(__xludf.DUMMYFUNCTION("""COMPUTED_VALUE"""),"| 5 L PHP-CGM % | 6 L NS % | 7 P JAVA % ")</f>
        <v xml:space="preserve">| 5 L PHP-CGM % | 6 L NS % | 7 P JAVA % </v>
      </c>
      <c r="CC126" s="4" t="str">
        <f ca="1">IFERROR(__xludf.DUMMYFUNCTION("""COMPUTED_VALUE"""),"| 5 L JAVA @ | 7 P CPT % | 9 L INE % ")</f>
        <v xml:space="preserve">| 5 L JAVA @ | 7 P CPT % | 9 L INE % </v>
      </c>
      <c r="CD126" s="4" t="str">
        <f ca="1">IFERROR(__xludf.DUMMYFUNCTION("""COMPUTED_VALUE"""),"| 5 L PHP-CGM @ | 6 L NS @ | 7 L JAVA @ | 8 L CPT @ ")</f>
        <v xml:space="preserve">| 5 L PHP-CGM @ | 6 L NS @ | 7 L JAVA @ | 8 L CPT @ </v>
      </c>
      <c r="CE126" s="4" t="str">
        <f ca="1">IFERROR(__xludf.DUMMYFUNCTION("""COMPUTED_VALUE"""),"| 5 P Python % | 8 L JAVA % | 7 L PHP-CGM % ")</f>
        <v xml:space="preserve">| 5 P Python % | 8 L JAVA % | 7 L PHP-CGM % </v>
      </c>
      <c r="CF126" s="4" t="str">
        <f ca="1">IFERROR(__xludf.DUMMYFUNCTION("""COMPUTED_VALUE"""),"| 5 P Python % | 7 L CPT @ | 8 L NS @ | 9 P NS % ")</f>
        <v xml:space="preserve">| 5 P Python % | 7 L CPT @ | 8 L NS @ | 9 P NS % </v>
      </c>
      <c r="CG126" s="4" t="str">
        <f ca="1">IFERROR(__xludf.DUMMYFUNCTION("""COMPUTED_VALUE"""),"| 5 L PHP-CGM @ | 6 L NS @ | 7 P JAVA % ")</f>
        <v xml:space="preserve">| 5 L PHP-CGM @ | 6 L NS @ | 7 P JAVA % </v>
      </c>
      <c r="CH126" s="4" t="str">
        <f ca="1">IFERROR(__xludf.DUMMYFUNCTION("""COMPUTED_VALUE"""),"| 5 L JAVA % | 6 L CPT % | 7 P CPT % | 9 L INE % ")</f>
        <v xml:space="preserve">| 5 L JAVA % | 6 L CPT % | 7 P CPT % | 9 L INE % </v>
      </c>
      <c r="CI126" s="4" t="str">
        <f ca="1">IFERROR(__xludf.DUMMYFUNCTION("""COMPUTED_VALUE"""),"| 5 L PHP-CGM % | 7 L JAVA % | 8 L CPT % ")</f>
        <v xml:space="preserve">| 5 L PHP-CGM % | 7 L JAVA % | 8 L CPT % </v>
      </c>
      <c r="CJ126" s="4" t="str">
        <f ca="1">IFERROR(__xludf.DUMMYFUNCTION("""COMPUTED_VALUE"""),"| 5 P Python % ")</f>
        <v xml:space="preserve">| 5 P Python % </v>
      </c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</row>
    <row r="127" spans="1:102" ht="12.5" x14ac:dyDescent="0.25">
      <c r="A127" s="3">
        <f ca="1">IFERROR(__xludf.DUMMYFUNCTION("""COMPUTED_VALUE"""),3)</f>
        <v>3</v>
      </c>
      <c r="B127" s="3" t="str">
        <f ca="1">IFERROR(__xludf.DUMMYFUNCTION("""COMPUTED_VALUE"""),"B")</f>
        <v>B</v>
      </c>
      <c r="C127" s="32" t="str">
        <f ca="1">IFERROR(__xludf.DUMMYFUNCTION("""COMPUTED_VALUE"""),"23291341098")</f>
        <v>23291341098</v>
      </c>
      <c r="D127" s="4" t="str">
        <f ca="1">IFERROR(__xludf.DUMMYFUNCTION("""COMPUTED_VALUE"""),"PATEL KRUTIKKUMAR KALPESHBHAI")</f>
        <v>PATEL KRUTIKKUMAR KALPESHBHAI</v>
      </c>
      <c r="E127" s="3" t="str">
        <f ca="1">IFERROR(__xludf.DUMMYFUNCTION("""COMPUTED_VALUE"""),"HAM/HDP-EVE")</f>
        <v>HAM/HDP-EVE</v>
      </c>
      <c r="F127" s="3">
        <f ca="1">IFERROR(__xludf.DUMMYFUNCTION("""COMPUTED_VALUE"""),7862969428)</f>
        <v>7862969428</v>
      </c>
      <c r="G127" s="3">
        <f ca="1">IFERROR(__xludf.DUMMYFUNCTION("""COMPUTED_VALUE"""),9979873078)</f>
        <v>9979873078</v>
      </c>
      <c r="H127" s="33">
        <f ca="1">IFERROR(__xludf.DUMMYFUNCTION("""COMPUTED_VALUE"""),0.311688311688311)</f>
        <v>0.31168831168831101</v>
      </c>
      <c r="I127" s="25">
        <f ca="1">IFERROR(__xludf.DUMMYFUNCTION("""COMPUTED_VALUE"""),0.324324324324324)</f>
        <v>0.32432432432432401</v>
      </c>
      <c r="J127" s="25">
        <f ca="1">IFERROR(__xludf.DUMMYFUNCTION("""COMPUTED_VALUE"""),0.272727272727272)</f>
        <v>0.27272727272727199</v>
      </c>
      <c r="K127" s="25">
        <f ca="1">IFERROR(__xludf.DUMMYFUNCTION("""COMPUTED_VALUE"""),0.352941176470588)</f>
        <v>0.35294117647058798</v>
      </c>
      <c r="L127" s="25">
        <f ca="1">IFERROR(__xludf.DUMMYFUNCTION("""COMPUTED_VALUE"""),0.0833333333333333)</f>
        <v>8.3333333333333301E-2</v>
      </c>
      <c r="M127" s="25">
        <f ca="1">IFERROR(__xludf.DUMMYFUNCTION("""COMPUTED_VALUE"""),0.371428571428571)</f>
        <v>0.371428571428571</v>
      </c>
      <c r="N127" s="25">
        <f ca="1">IFERROR(__xludf.DUMMYFUNCTION("""COMPUTED_VALUE"""),0)</f>
        <v>0</v>
      </c>
      <c r="O127" s="25">
        <f ca="1">IFERROR(__xludf.DUMMYFUNCTION("""COMPUTED_VALUE"""),0.428571428571428)</f>
        <v>0.42857142857142799</v>
      </c>
      <c r="P127" s="25">
        <f ca="1">IFERROR(__xludf.DUMMYFUNCTION("""COMPUTED_VALUE"""),0.222222222222222)</f>
        <v>0.22222222222222199</v>
      </c>
      <c r="Q127" s="25">
        <f ca="1">IFERROR(__xludf.DUMMYFUNCTION("""COMPUTED_VALUE"""),0)</f>
        <v>0</v>
      </c>
      <c r="R127" s="25">
        <f ca="1">IFERROR(__xludf.DUMMYFUNCTION("""COMPUTED_VALUE"""),0.416666666666666)</f>
        <v>0.41666666666666602</v>
      </c>
      <c r="S127" s="25">
        <f ca="1">IFERROR(__xludf.DUMMYFUNCTION("""COMPUTED_VALUE"""),0)</f>
        <v>0</v>
      </c>
      <c r="T127" s="25">
        <f ca="1">IFERROR(__xludf.DUMMYFUNCTION("""COMPUTED_VALUE"""),0.111111111111111)</f>
        <v>0.11111111111111099</v>
      </c>
      <c r="U127" s="25">
        <f ca="1">IFERROR(__xludf.DUMMYFUNCTION("""COMPUTED_VALUE"""),0.125)</f>
        <v>0.125</v>
      </c>
      <c r="V127" s="25">
        <f ca="1">IFERROR(__xludf.DUMMYFUNCTION("""COMPUTED_VALUE"""),0)</f>
        <v>0</v>
      </c>
      <c r="W127" s="4"/>
      <c r="X127" s="4" t="str">
        <f ca="1">IFERROR(__xludf.DUMMYFUNCTION("""COMPUTED_VALUE"""),"| 5 P Python @ | 7 L CPT @ | 8 L NS @ | 9 P NS @ ")</f>
        <v xml:space="preserve">| 5 P Python @ | 7 L CPT @ | 8 L NS @ | 9 P NS @ </v>
      </c>
      <c r="Y127" s="4" t="str">
        <f ca="1">IFERROR(__xludf.DUMMYFUNCTION("""COMPUTED_VALUE"""),"| 5 L PHP-CGM @ | 6 L NS @ | 7 P JAVA @ | 9 P PRO @ ")</f>
        <v xml:space="preserve">| 5 L PHP-CGM @ | 6 L NS @ | 7 P JAVA @ | 9 P PRO @ </v>
      </c>
      <c r="Z127" s="4" t="str">
        <f ca="1">IFERROR(__xludf.DUMMYFUNCTION("""COMPUTED_VALUE"""),"| 5 L JAVA % | 6 L CPT % | 7 P CPT % ")</f>
        <v xml:space="preserve">| 5 L JAVA % | 6 L CPT % | 7 P CPT % </v>
      </c>
      <c r="AA127" s="4" t="str">
        <f ca="1">IFERROR(__xludf.DUMMYFUNCTION("""COMPUTED_VALUE"""),"| 5 L PHP-CGM @ | 7 L JAVA @ | 9 P PHP-CGM @ | 8 L CPT @ ")</f>
        <v xml:space="preserve">| 5 L PHP-CGM @ | 7 L JAVA @ | 9 P PHP-CGM @ | 8 L CPT @ </v>
      </c>
      <c r="AB127" s="4" t="str">
        <f ca="1">IFERROR(__xludf.DUMMYFUNCTION("""COMPUTED_VALUE"""),"| 5 P Python % | 7 L PHP-CGM % | 8 L JAVA % | 9 P JAVA @ ")</f>
        <v xml:space="preserve">| 5 P Python % | 7 L PHP-CGM % | 8 L JAVA % | 9 P JAVA @ </v>
      </c>
      <c r="AC127" s="4" t="str">
        <f ca="1">IFERROR(__xludf.DUMMYFUNCTION("""COMPUTED_VALUE"""),"| 5 P Python % | 7 L CPT % | 8 L NS % | 9 P NS % ")</f>
        <v xml:space="preserve">| 5 P Python % | 7 L CPT % | 8 L NS % | 9 P NS % </v>
      </c>
      <c r="AD127" s="4" t="str">
        <f ca="1">IFERROR(__xludf.DUMMYFUNCTION("""COMPUTED_VALUE"""),"| 5 L PHP-CGM % | 6 L NS % | 7 P JAVA % | 9 P PRO % ")</f>
        <v xml:space="preserve">| 5 L PHP-CGM % | 6 L NS % | 7 P JAVA % | 9 P PRO % </v>
      </c>
      <c r="AE127" s="4" t="str">
        <f ca="1">IFERROR(__xludf.DUMMYFUNCTION("""COMPUTED_VALUE"""),"| 5 L JAVA % | 6 L CPT % | 7 P CPT % ")</f>
        <v xml:space="preserve">| 5 L JAVA % | 6 L CPT % | 7 P CPT % </v>
      </c>
      <c r="AF127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G127" s="4" t="str">
        <f ca="1">IFERROR(__xludf.DUMMYFUNCTION("""COMPUTED_VALUE"""),"| 5 P Python % | 8 L JAVA % | 7 L PHP-CGM % | 9 P JAVA @ ")</f>
        <v xml:space="preserve">| 5 P Python % | 8 L JAVA % | 7 L PHP-CGM % | 9 P JAVA @ </v>
      </c>
      <c r="AH127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I127" s="4" t="str">
        <f ca="1">IFERROR(__xludf.DUMMYFUNCTION("""COMPUTED_VALUE"""),"| 5 P Python @ | 8 L JAVA @ | 7 L PHP-CGM @ | 9 P JAVA @ ")</f>
        <v xml:space="preserve">| 5 P Python @ | 8 L JAVA @ | 7 L PHP-CGM @ | 9 P JAVA @ </v>
      </c>
      <c r="AJ127" s="4" t="str">
        <f ca="1">IFERROR(__xludf.DUMMYFUNCTION("""COMPUTED_VALUE"""),"| 5 P Python @ | 7 L CPT @ | 8 L NS @ | 9 P NS @ ")</f>
        <v xml:space="preserve">| 5 P Python @ | 7 L CPT @ | 8 L NS @ | 9 P NS @ </v>
      </c>
      <c r="AK127" s="4" t="str">
        <f ca="1">IFERROR(__xludf.DUMMYFUNCTION("""COMPUTED_VALUE"""),"| 5 L PHP-CGM @ | 6 L NS @ | 7 P JAVA @ | 9 P PRO @ ")</f>
        <v xml:space="preserve">| 5 L PHP-CGM @ | 6 L NS @ | 7 P JAVA @ | 9 P PRO @ </v>
      </c>
      <c r="AL127" s="4" t="str">
        <f ca="1">IFERROR(__xludf.DUMMYFUNCTION("""COMPUTED_VALUE"""),"| 5 L JAVA @ | 6 L CPT @ | 7 P CPT @ | 9 L INE @ ")</f>
        <v xml:space="preserve">| 5 L JAVA @ | 6 L CPT @ | 7 P CPT @ | 9 L INE @ </v>
      </c>
      <c r="AM127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N127" s="4" t="str">
        <f ca="1">IFERROR(__xludf.DUMMYFUNCTION("""COMPUTED_VALUE"""),"| 5 P Python @ | 8 L JAVA @ | 7 L PHP-CGM @ | 9 P JAVA @ ")</f>
        <v xml:space="preserve">| 5 P Python @ | 8 L JAVA @ | 7 L PHP-CGM @ | 9 P JAVA @ </v>
      </c>
      <c r="AO127" s="4" t="str">
        <f ca="1">IFERROR(__xludf.DUMMYFUNCTION("""COMPUTED_VALUE"""),"| 5 P Python @ | 7 L CPT @ | 8 L NS @ ")</f>
        <v xml:space="preserve">| 5 P Python @ | 7 L CPT @ | 8 L NS @ </v>
      </c>
      <c r="AP127" s="4" t="str">
        <f ca="1">IFERROR(__xludf.DUMMYFUNCTION("""COMPUTED_VALUE"""),"| 5 L PHP-CGM % | 6 L NS % | 7 P JAVA @ | 9 P PRO @ ")</f>
        <v xml:space="preserve">| 5 L PHP-CGM % | 6 L NS % | 7 P JAVA @ | 9 P PRO @ </v>
      </c>
      <c r="AQ127" s="4" t="str">
        <f ca="1">IFERROR(__xludf.DUMMYFUNCTION("""COMPUTED_VALUE"""),"| 5 L CPT @ | 7 L JAVA @ | 7 P CPT @ | 9 L INE @ ")</f>
        <v xml:space="preserve">| 5 L CPT @ | 7 L JAVA @ | 7 P CPT @ | 9 L INE @ </v>
      </c>
      <c r="AR127" s="4" t="str">
        <f ca="1">IFERROR(__xludf.DUMMYFUNCTION("""COMPUTED_VALUE"""),"| 5 L PHP-CGM @ | 6 L NS @ | 8 L CPT @ ")</f>
        <v xml:space="preserve">| 5 L PHP-CGM @ | 6 L NS @ | 8 L CPT @ </v>
      </c>
      <c r="AS127" s="4" t="str">
        <f ca="1">IFERROR(__xludf.DUMMYFUNCTION("""COMPUTED_VALUE"""),"| 5 P Python @ | 7 L CPT @ | 8 L NS @ | 9 P NS @ ")</f>
        <v xml:space="preserve">| 5 P Python @ | 7 L CPT @ | 8 L NS @ | 9 P NS @ </v>
      </c>
      <c r="AT127" s="4" t="str">
        <f ca="1">IFERROR(__xludf.DUMMYFUNCTION("""COMPUTED_VALUE"""),"| 5 L PHP-CGM @ | 6 L NS @ | 7 P JAVA @ | 9 P PRO @ ")</f>
        <v xml:space="preserve">| 5 L PHP-CGM @ | 6 L NS @ | 7 P JAVA @ | 9 P PRO @ </v>
      </c>
      <c r="AU127" s="4" t="str">
        <f ca="1">IFERROR(__xludf.DUMMYFUNCTION("""COMPUTED_VALUE"""),"| 5 L JAVA % | 6 L CPT % | 7 P CPT % | 9 L INE @ ")</f>
        <v xml:space="preserve">| 5 L JAVA % | 6 L CPT % | 7 P CPT % | 9 L INE @ </v>
      </c>
      <c r="AV127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W127" s="4" t="str">
        <f ca="1">IFERROR(__xludf.DUMMYFUNCTION("""COMPUTED_VALUE"""),"| 5 P Python % | 7 L PHP-CGM % | 8 L JAVA % | 9 P JAVA @ ")</f>
        <v xml:space="preserve">| 5 P Python % | 7 L PHP-CGM % | 8 L JAVA % | 9 P JAVA @ </v>
      </c>
      <c r="AX127" s="4" t="str">
        <f ca="1">IFERROR(__xludf.DUMMYFUNCTION("""COMPUTED_VALUE"""),"| 5 P Python % | 7 L CPT % | 8 L NS % | 9 P NS @ ")</f>
        <v xml:space="preserve">| 5 P Python % | 7 L CPT % | 8 L NS % | 9 P NS @ </v>
      </c>
      <c r="AY127" s="4" t="str">
        <f ca="1">IFERROR(__xludf.DUMMYFUNCTION("""COMPUTED_VALUE"""),"| 5 L PHP-CGM % | 6 L NS % | 7 P JAVA @ ")</f>
        <v xml:space="preserve">| 5 L PHP-CGM % | 6 L NS % | 7 P JAVA @ </v>
      </c>
      <c r="AZ127" s="4" t="str">
        <f ca="1">IFERROR(__xludf.DUMMYFUNCTION("""COMPUTED_VALUE"""),"| 5 L PHP-CGM % | 6 L NS % | 7 L JAVA % | 8 L CPT % ")</f>
        <v xml:space="preserve">| 5 L PHP-CGM % | 6 L NS % | 7 L JAVA % | 8 L CPT % </v>
      </c>
      <c r="BA127" s="4" t="str">
        <f ca="1">IFERROR(__xludf.DUMMYFUNCTION("""COMPUTED_VALUE"""),"| 5 P Python @ | 7 L PHP-CGM @ | 8 L JAVA @ ")</f>
        <v xml:space="preserve">| 5 P Python @ | 7 L PHP-CGM @ | 8 L JAVA @ </v>
      </c>
      <c r="BB127" s="4" t="str">
        <f ca="1">IFERROR(__xludf.DUMMYFUNCTION("""COMPUTED_VALUE"""),"| 5 P Python % | 7 L CPT % | 8 L NS % | 9 P NS @ ")</f>
        <v xml:space="preserve">| 5 P Python % | 7 L CPT % | 8 L NS % | 9 P NS @ </v>
      </c>
      <c r="BC127" s="4" t="str">
        <f ca="1">IFERROR(__xludf.DUMMYFUNCTION("""COMPUTED_VALUE"""),"| 5 L PHP-CGM @ | 6 L NS @ | 7 P JAVA @ | 9 P PRO @ ")</f>
        <v xml:space="preserve">| 5 L PHP-CGM @ | 6 L NS @ | 7 P JAVA @ | 9 P PRO @ </v>
      </c>
      <c r="BD127" s="4" t="str">
        <f ca="1">IFERROR(__xludf.DUMMYFUNCTION("""COMPUTED_VALUE"""),"| 5 L JAVA @ | 6 L CPT @ | 7 P CPT @ | 9 L INE @ ")</f>
        <v xml:space="preserve">| 5 L JAVA @ | 6 L CPT @ | 7 P CPT @ | 9 L INE @ </v>
      </c>
      <c r="BE127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F127" s="4" t="str">
        <f ca="1">IFERROR(__xludf.DUMMYFUNCTION("""COMPUTED_VALUE"""),"| 5 P Python @ | 7 L PHP-CGM @ | 9 P JAVA @ | 8 L JAVA @ ")</f>
        <v xml:space="preserve">| 5 P Python @ | 7 L PHP-CGM @ | 9 P JAVA @ | 8 L JAVA @ </v>
      </c>
      <c r="BG127" s="4" t="str">
        <f ca="1">IFERROR(__xludf.DUMMYFUNCTION("""COMPUTED_VALUE"""),"| 5 L PHP-CGM @ | 6 L NS @ | 7 P JAVA @ | 9 P PRO @ ")</f>
        <v xml:space="preserve">| 5 L PHP-CGM @ | 6 L NS @ | 7 P JAVA @ | 9 P PRO @ </v>
      </c>
      <c r="BH127" s="4" t="str">
        <f ca="1">IFERROR(__xludf.DUMMYFUNCTION("""COMPUTED_VALUE"""),"| 5 L JAVA @ | 6 L CPT @ | 7 P CPT @ | 9 L INE @ ")</f>
        <v xml:space="preserve">| 5 L JAVA @ | 6 L CPT @ | 7 P CPT @ | 9 L INE @ </v>
      </c>
      <c r="BI127" s="4" t="str">
        <f ca="1">IFERROR(__xludf.DUMMYFUNCTION("""COMPUTED_VALUE"""),"| 5 L PHP-CGM % | 6 L NS % | 7 L JAVA @ | 8 L CPT @ | 9 P PHP-CGM @ ")</f>
        <v xml:space="preserve">| 5 L PHP-CGM % | 6 L NS % | 7 L JAVA @ | 8 L CPT @ | 9 P PHP-CGM @ </v>
      </c>
      <c r="BJ127" s="4" t="str">
        <f ca="1">IFERROR(__xludf.DUMMYFUNCTION("""COMPUTED_VALUE"""),"| 5 P Python % | 7 L JAVA @ | 8 L PHP-CGM @ ")</f>
        <v xml:space="preserve">| 5 P Python % | 7 L JAVA @ | 8 L PHP-CGM @ </v>
      </c>
      <c r="BK127" s="4" t="str">
        <f ca="1">IFERROR(__xludf.DUMMYFUNCTION("""COMPUTED_VALUE"""),"| 5 P Python @ | 7 L CPT @ | 8 L NS @ | 9 P NS @ ")</f>
        <v xml:space="preserve">| 5 P Python @ | 7 L CPT @ | 8 L NS @ | 9 P NS @ </v>
      </c>
      <c r="BL127" s="4" t="str">
        <f ca="1">IFERROR(__xludf.DUMMYFUNCTION("""COMPUTED_VALUE"""),"| 5 L PHP-CGM @ | 6 L NS @ | 7 P JAVA @ | 9 P PRO @ ")</f>
        <v xml:space="preserve">| 5 L PHP-CGM @ | 6 L NS @ | 7 P JAVA @ | 9 P PRO @ </v>
      </c>
      <c r="BM127" s="4" t="str">
        <f ca="1">IFERROR(__xludf.DUMMYFUNCTION("""COMPUTED_VALUE"""),"| 5 L JAVA @ | 6 L CPT @ | 7 P CPT @ | 9 L INE @ ")</f>
        <v xml:space="preserve">| 5 L JAVA @ | 6 L CPT @ | 7 P CPT @ | 9 L INE @ </v>
      </c>
      <c r="BN127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27" s="4" t="str">
        <f ca="1">IFERROR(__xludf.DUMMYFUNCTION("""COMPUTED_VALUE"""),"| 5 P Python @ | 7 L PHP-CGM @ ")</f>
        <v xml:space="preserve">| 5 P Python @ | 7 L PHP-CGM @ </v>
      </c>
      <c r="BP127" s="4" t="str">
        <f ca="1">IFERROR(__xludf.DUMMYFUNCTION("""COMPUTED_VALUE"""),"| 5 P Python @ | 7 L CPT @ | 8 L NS @ | 9 P NS @ ")</f>
        <v xml:space="preserve">| 5 P Python @ | 7 L CPT @ | 8 L NS @ | 9 P NS @ </v>
      </c>
      <c r="BQ127" s="4" t="str">
        <f ca="1">IFERROR(__xludf.DUMMYFUNCTION("""COMPUTED_VALUE"""),"| 5 L JAVA % | 6 L CPT % ")</f>
        <v xml:space="preserve">| 5 L JAVA % | 6 L CPT % </v>
      </c>
      <c r="BR127" s="4" t="str">
        <f ca="1">IFERROR(__xludf.DUMMYFUNCTION("""COMPUTED_VALUE"""),"| 7 L JAVA % ")</f>
        <v xml:space="preserve">| 7 L JAVA % </v>
      </c>
      <c r="BS127" s="4"/>
      <c r="BT127" s="4" t="str">
        <f ca="1">IFERROR(__xludf.DUMMYFUNCTION("""COMPUTED_VALUE"""),"| 7 L CPT @ | 9 P NS @ ")</f>
        <v xml:space="preserve">| 7 L CPT @ | 9 P NS @ </v>
      </c>
      <c r="BU127" s="4" t="str">
        <f ca="1">IFERROR(__xludf.DUMMYFUNCTION("""COMPUTED_VALUE"""),"| 9 P PRO @ ")</f>
        <v xml:space="preserve">| 9 P PRO @ </v>
      </c>
      <c r="BV127" s="4" t="str">
        <f ca="1">IFERROR(__xludf.DUMMYFUNCTION("""COMPUTED_VALUE"""),"| 5 P Python @ | 7 L CPT @ | 8 L NS @ | 9 P NS @ ")</f>
        <v xml:space="preserve">| 5 P Python @ | 7 L CPT @ | 8 L NS @ | 9 P NS @ </v>
      </c>
      <c r="BW127" s="4"/>
      <c r="BX127" s="4" t="str">
        <f ca="1">IFERROR(__xludf.DUMMYFUNCTION("""COMPUTED_VALUE"""),"| 5 L JAVA % | 6 L CPT % | 7 P CPT @ ")</f>
        <v xml:space="preserve">| 5 L JAVA % | 6 L CPT % | 7 P CPT @ </v>
      </c>
      <c r="BY127" s="4" t="str">
        <f ca="1">IFERROR(__xludf.DUMMYFUNCTION("""COMPUTED_VALUE"""),"| 5 L PHP-CGM @ | 6 L NS @ | 7 L JAVA @ | 8 L CPT @ ")</f>
        <v xml:space="preserve">| 5 L PHP-CGM @ | 6 L NS @ | 7 L JAVA @ | 8 L CPT @ </v>
      </c>
      <c r="BZ127" s="4" t="str">
        <f ca="1">IFERROR(__xludf.DUMMYFUNCTION("""COMPUTED_VALUE"""),"| 5 P Python % | 8 L JAVA % | 7 L PHP-CGM % | 9 P JAVA % ")</f>
        <v xml:space="preserve">| 5 P Python % | 8 L JAVA % | 7 L PHP-CGM % | 9 P JAVA % </v>
      </c>
      <c r="CA127" s="4" t="str">
        <f ca="1">IFERROR(__xludf.DUMMYFUNCTION("""COMPUTED_VALUE"""),"| 5 P Python @ | 7 L CPT @ | 8 L NS @ | 9 P NS @ ")</f>
        <v xml:space="preserve">| 5 P Python @ | 7 L CPT @ | 8 L NS @ | 9 P NS @ </v>
      </c>
      <c r="CB127" s="4" t="str">
        <f ca="1">IFERROR(__xludf.DUMMYFUNCTION("""COMPUTED_VALUE"""),"| 5 L PHP-CGM % | 6 L NS % | 7 P JAVA % ")</f>
        <v xml:space="preserve">| 5 L PHP-CGM % | 6 L NS % | 7 P JAVA % </v>
      </c>
      <c r="CC127" s="4" t="str">
        <f ca="1">IFERROR(__xludf.DUMMYFUNCTION("""COMPUTED_VALUE"""),"| 5 L JAVA % | 7 P CPT @ | 9 L INE % ")</f>
        <v xml:space="preserve">| 5 L JAVA % | 7 P CPT @ | 9 L INE % </v>
      </c>
      <c r="CD127" s="4" t="str">
        <f ca="1">IFERROR(__xludf.DUMMYFUNCTION("""COMPUTED_VALUE"""),"| 5 L PHP-CGM @ | 6 L NS @ | 7 L JAVA @ | 8 L CPT @ ")</f>
        <v xml:space="preserve">| 5 L PHP-CGM @ | 6 L NS @ | 7 L JAVA @ | 8 L CPT @ </v>
      </c>
      <c r="CE127" s="4" t="str">
        <f ca="1">IFERROR(__xludf.DUMMYFUNCTION("""COMPUTED_VALUE"""),"| 5 P Python @ | 8 L JAVA @ | 7 L PHP-CGM @ ")</f>
        <v xml:space="preserve">| 5 P Python @ | 8 L JAVA @ | 7 L PHP-CGM @ </v>
      </c>
      <c r="CF127" s="4" t="str">
        <f ca="1">IFERROR(__xludf.DUMMYFUNCTION("""COMPUTED_VALUE"""),"| 5 P Python % | 7 L CPT @ | 8 L NS @ | 9 P NS @ ")</f>
        <v xml:space="preserve">| 5 P Python % | 7 L CPT @ | 8 L NS @ | 9 P NS @ </v>
      </c>
      <c r="CG127" s="4" t="str">
        <f ca="1">IFERROR(__xludf.DUMMYFUNCTION("""COMPUTED_VALUE"""),"| 5 L PHP-CGM @ | 6 L NS @ | 7 P JAVA % ")</f>
        <v xml:space="preserve">| 5 L PHP-CGM @ | 6 L NS @ | 7 P JAVA % </v>
      </c>
      <c r="CH127" s="4" t="str">
        <f ca="1">IFERROR(__xludf.DUMMYFUNCTION("""COMPUTED_VALUE"""),"| 5 L JAVA @ | 6 L CPT @ | 7 P CPT @ | 9 L INE @ ")</f>
        <v xml:space="preserve">| 5 L JAVA @ | 6 L CPT @ | 7 P CPT @ | 9 L INE @ </v>
      </c>
      <c r="CI127" s="4" t="str">
        <f ca="1">IFERROR(__xludf.DUMMYFUNCTION("""COMPUTED_VALUE"""),"| 5 L PHP-CGM @ | 7 L JAVA @ | 8 L CPT @ ")</f>
        <v xml:space="preserve">| 5 L PHP-CGM @ | 7 L JAVA @ | 8 L CPT @ </v>
      </c>
      <c r="CJ127" s="4" t="str">
        <f ca="1">IFERROR(__xludf.DUMMYFUNCTION("""COMPUTED_VALUE"""),"| 5 P Python % ")</f>
        <v xml:space="preserve">| 5 P Python % </v>
      </c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</row>
    <row r="128" spans="1:102" ht="12.5" x14ac:dyDescent="0.25">
      <c r="A128" s="3">
        <f ca="1">IFERROR(__xludf.DUMMYFUNCTION("""COMPUTED_VALUE"""),3)</f>
        <v>3</v>
      </c>
      <c r="B128" s="3" t="str">
        <f ca="1">IFERROR(__xludf.DUMMYFUNCTION("""COMPUTED_VALUE"""),"B")</f>
        <v>B</v>
      </c>
      <c r="C128" s="32" t="str">
        <f ca="1">IFERROR(__xludf.DUMMYFUNCTION("""COMPUTED_VALUE"""),"23291341103")</f>
        <v>23291341103</v>
      </c>
      <c r="D128" s="4" t="str">
        <f ca="1">IFERROR(__xludf.DUMMYFUNCTION("""COMPUTED_VALUE"""),"PATEL MANAVKUMAR DHIRENBHAI")</f>
        <v>PATEL MANAVKUMAR DHIRENBHAI</v>
      </c>
      <c r="E128" s="3" t="str">
        <f ca="1">IFERROR(__xludf.DUMMYFUNCTION("""COMPUTED_VALUE"""),"HAM/HDP-EVE")</f>
        <v>HAM/HDP-EVE</v>
      </c>
      <c r="F128" s="3">
        <f ca="1">IFERROR(__xludf.DUMMYFUNCTION("""COMPUTED_VALUE"""),8469546262)</f>
        <v>8469546262</v>
      </c>
      <c r="G128" s="3">
        <f ca="1">IFERROR(__xludf.DUMMYFUNCTION("""COMPUTED_VALUE"""),9426612812)</f>
        <v>9426612812</v>
      </c>
      <c r="H128" s="33">
        <f ca="1">IFERROR(__xludf.DUMMYFUNCTION("""COMPUTED_VALUE"""),0.64069264069264)</f>
        <v>0.64069264069263998</v>
      </c>
      <c r="I128" s="25">
        <f ca="1">IFERROR(__xludf.DUMMYFUNCTION("""COMPUTED_VALUE"""),0.621621621621621)</f>
        <v>0.62162162162162105</v>
      </c>
      <c r="J128" s="25">
        <f ca="1">IFERROR(__xludf.DUMMYFUNCTION("""COMPUTED_VALUE"""),0.636363636363636)</f>
        <v>0.63636363636363602</v>
      </c>
      <c r="K128" s="25">
        <f ca="1">IFERROR(__xludf.DUMMYFUNCTION("""COMPUTED_VALUE"""),0.705882352941176)</f>
        <v>0.70588235294117596</v>
      </c>
      <c r="L128" s="25">
        <f ca="1">IFERROR(__xludf.DUMMYFUNCTION("""COMPUTED_VALUE"""),0.583333333333333)</f>
        <v>0.58333333333333304</v>
      </c>
      <c r="M128" s="25">
        <f ca="1">IFERROR(__xludf.DUMMYFUNCTION("""COMPUTED_VALUE"""),0.657142857142857)</f>
        <v>0.65714285714285703</v>
      </c>
      <c r="N128" s="25">
        <f ca="1">IFERROR(__xludf.DUMMYFUNCTION("""COMPUTED_VALUE"""),0.375)</f>
        <v>0.375</v>
      </c>
      <c r="O128" s="25">
        <f ca="1">IFERROR(__xludf.DUMMYFUNCTION("""COMPUTED_VALUE"""),0.657142857142857)</f>
        <v>0.65714285714285703</v>
      </c>
      <c r="P128" s="25">
        <f ca="1">IFERROR(__xludf.DUMMYFUNCTION("""COMPUTED_VALUE"""),0.777777777777777)</f>
        <v>0.77777777777777701</v>
      </c>
      <c r="Q128" s="25">
        <f ca="1">IFERROR(__xludf.DUMMYFUNCTION("""COMPUTED_VALUE"""),0)</f>
        <v>0</v>
      </c>
      <c r="R128" s="25">
        <f ca="1">IFERROR(__xludf.DUMMYFUNCTION("""COMPUTED_VALUE"""),0.708333333333333)</f>
        <v>0.70833333333333304</v>
      </c>
      <c r="S128" s="25">
        <f ca="1">IFERROR(__xludf.DUMMYFUNCTION("""COMPUTED_VALUE"""),0)</f>
        <v>0</v>
      </c>
      <c r="T128" s="25">
        <f ca="1">IFERROR(__xludf.DUMMYFUNCTION("""COMPUTED_VALUE"""),0.333333333333333)</f>
        <v>0.33333333333333298</v>
      </c>
      <c r="U128" s="25">
        <f ca="1">IFERROR(__xludf.DUMMYFUNCTION("""COMPUTED_VALUE"""),0.5)</f>
        <v>0.5</v>
      </c>
      <c r="V128" s="25">
        <f ca="1">IFERROR(__xludf.DUMMYFUNCTION("""COMPUTED_VALUE"""),0)</f>
        <v>0</v>
      </c>
      <c r="W128" s="4"/>
      <c r="X128" s="4" t="str">
        <f ca="1">IFERROR(__xludf.DUMMYFUNCTION("""COMPUTED_VALUE"""),"| 5 P Python % | 7 L CPT % | 8 L NS % | 9 P NS @ ")</f>
        <v xml:space="preserve">| 5 P Python % | 7 L CPT % | 8 L NS % | 9 P NS @ </v>
      </c>
      <c r="Y128" s="4" t="str">
        <f ca="1">IFERROR(__xludf.DUMMYFUNCTION("""COMPUTED_VALUE"""),"| 5 L PHP-CGM % | 6 L NS % | 7 P JAVA % | 9 P PRO % ")</f>
        <v xml:space="preserve">| 5 L PHP-CGM % | 6 L NS % | 7 P JAVA % | 9 P PRO % </v>
      </c>
      <c r="Z128" s="4" t="str">
        <f ca="1">IFERROR(__xludf.DUMMYFUNCTION("""COMPUTED_VALUE"""),"| 5 L JAVA % | 6 L CPT % | 7 P CPT % ")</f>
        <v xml:space="preserve">| 5 L JAVA % | 6 L CPT % | 7 P CPT % </v>
      </c>
      <c r="AA128" s="4" t="str">
        <f ca="1">IFERROR(__xludf.DUMMYFUNCTION("""COMPUTED_VALUE"""),"| 5 L PHP-CGM % | 7 L JAVA % | 9 P PHP-CGM @ | 8 L CPT % ")</f>
        <v xml:space="preserve">| 5 L PHP-CGM % | 7 L JAVA % | 9 P PHP-CGM @ | 8 L CPT % </v>
      </c>
      <c r="AB128" s="4" t="str">
        <f ca="1">IFERROR(__xludf.DUMMYFUNCTION("""COMPUTED_VALUE"""),"| 5 P Python % | 7 L PHP-CGM @ | 8 L JAVA @ | 9 P JAVA % ")</f>
        <v xml:space="preserve">| 5 P Python % | 7 L PHP-CGM @ | 8 L JAVA @ | 9 P JAVA % </v>
      </c>
      <c r="AC128" s="4" t="str">
        <f ca="1">IFERROR(__xludf.DUMMYFUNCTION("""COMPUTED_VALUE"""),"| 5 P Python % | 7 L CPT % | 8 L NS % | 9 P NS % ")</f>
        <v xml:space="preserve">| 5 P Python % | 7 L CPT % | 8 L NS % | 9 P NS % </v>
      </c>
      <c r="AD128" s="4" t="str">
        <f ca="1">IFERROR(__xludf.DUMMYFUNCTION("""COMPUTED_VALUE"""),"| 5 L PHP-CGM % | 6 L NS % | 7 P JAVA % | 9 P PRO @ ")</f>
        <v xml:space="preserve">| 5 L PHP-CGM % | 6 L NS % | 7 P JAVA % | 9 P PRO @ </v>
      </c>
      <c r="AE128" s="4" t="str">
        <f ca="1">IFERROR(__xludf.DUMMYFUNCTION("""COMPUTED_VALUE"""),"| 5 L JAVA @ | 6 L CPT @ | 7 P CPT @ ")</f>
        <v xml:space="preserve">| 5 L JAVA @ | 6 L CPT @ | 7 P CPT @ </v>
      </c>
      <c r="AF128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28" s="4" t="str">
        <f ca="1">IFERROR(__xludf.DUMMYFUNCTION("""COMPUTED_VALUE"""),"| 5 P Python % | 8 L JAVA % | 7 L PHP-CGM % | 9 P JAVA % ")</f>
        <v xml:space="preserve">| 5 P Python % | 8 L JAVA % | 7 L PHP-CGM % | 9 P JAVA % </v>
      </c>
      <c r="AH128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28" s="4" t="str">
        <f ca="1">IFERROR(__xludf.DUMMYFUNCTION("""COMPUTED_VALUE"""),"| 5 P Python % | 8 L JAVA % | 7 L PHP-CGM % | 9 P JAVA % ")</f>
        <v xml:space="preserve">| 5 P Python % | 8 L JAVA % | 7 L PHP-CGM % | 9 P JAVA % </v>
      </c>
      <c r="AJ128" s="4" t="str">
        <f ca="1">IFERROR(__xludf.DUMMYFUNCTION("""COMPUTED_VALUE"""),"| 5 P Python % | 7 L CPT % | 8 L NS % | 9 P NS % ")</f>
        <v xml:space="preserve">| 5 P Python % | 7 L CPT % | 8 L NS % | 9 P NS % </v>
      </c>
      <c r="AK128" s="4" t="str">
        <f ca="1">IFERROR(__xludf.DUMMYFUNCTION("""COMPUTED_VALUE"""),"| 5 L PHP-CGM % | 6 L NS % | 7 P JAVA % | 9 P PRO % ")</f>
        <v xml:space="preserve">| 5 L PHP-CGM % | 6 L NS % | 7 P JAVA % | 9 P PRO % </v>
      </c>
      <c r="AL128" s="4" t="str">
        <f ca="1">IFERROR(__xludf.DUMMYFUNCTION("""COMPUTED_VALUE"""),"| 5 L JAVA % | 6 L CPT % | 7 P CPT % | 9 L INE % ")</f>
        <v xml:space="preserve">| 5 L JAVA % | 6 L CPT % | 7 P CPT % | 9 L INE % </v>
      </c>
      <c r="AM128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28" s="4" t="str">
        <f ca="1">IFERROR(__xludf.DUMMYFUNCTION("""COMPUTED_VALUE"""),"| 5 P Python @ | 8 L JAVA % | 7 L PHP-CGM % | 9 P JAVA % ")</f>
        <v xml:space="preserve">| 5 P Python @ | 8 L JAVA % | 7 L PHP-CGM % | 9 P JAVA % </v>
      </c>
      <c r="AO128" s="4" t="str">
        <f ca="1">IFERROR(__xludf.DUMMYFUNCTION("""COMPUTED_VALUE"""),"| 5 P Python % | 7 L CPT % | 8 L NS % ")</f>
        <v xml:space="preserve">| 5 P Python % | 7 L CPT % | 8 L NS % </v>
      </c>
      <c r="AP128" s="4" t="str">
        <f ca="1">IFERROR(__xludf.DUMMYFUNCTION("""COMPUTED_VALUE"""),"| 5 L PHP-CGM % | 6 L NS % | 7 P JAVA % | 9 P PRO @ ")</f>
        <v xml:space="preserve">| 5 L PHP-CGM % | 6 L NS % | 7 P JAVA % | 9 P PRO @ </v>
      </c>
      <c r="AQ128" s="4" t="str">
        <f ca="1">IFERROR(__xludf.DUMMYFUNCTION("""COMPUTED_VALUE"""),"| 5 L CPT % | 7 L JAVA % | 7 P CPT % | 9 L INE % ")</f>
        <v xml:space="preserve">| 5 L CPT % | 7 L JAVA % | 7 P CPT % | 9 L INE % </v>
      </c>
      <c r="AR128" s="4" t="str">
        <f ca="1">IFERROR(__xludf.DUMMYFUNCTION("""COMPUTED_VALUE"""),"| 5 L PHP-CGM % | 6 L NS % | 8 L CPT @ ")</f>
        <v xml:space="preserve">| 5 L PHP-CGM % | 6 L NS % | 8 L CPT @ </v>
      </c>
      <c r="AS128" s="4" t="str">
        <f ca="1">IFERROR(__xludf.DUMMYFUNCTION("""COMPUTED_VALUE"""),"| 5 P Python % | 7 L CPT % | 8 L NS % | 9 P NS % ")</f>
        <v xml:space="preserve">| 5 P Python % | 7 L CPT % | 8 L NS % | 9 P NS % </v>
      </c>
      <c r="AT128" s="4" t="str">
        <f ca="1">IFERROR(__xludf.DUMMYFUNCTION("""COMPUTED_VALUE"""),"| 5 L PHP-CGM % | 6 L NS % | 7 P JAVA % | 9 P PRO @ ")</f>
        <v xml:space="preserve">| 5 L PHP-CGM % | 6 L NS % | 7 P JAVA % | 9 P PRO @ </v>
      </c>
      <c r="AU128" s="4" t="str">
        <f ca="1">IFERROR(__xludf.DUMMYFUNCTION("""COMPUTED_VALUE"""),"| 5 L JAVA % | 6 L CPT % | 7 P CPT % | 9 L INE @ ")</f>
        <v xml:space="preserve">| 5 L JAVA % | 6 L CPT % | 7 P CPT % | 9 L INE @ </v>
      </c>
      <c r="AV128" s="4" t="str">
        <f ca="1">IFERROR(__xludf.DUMMYFUNCTION("""COMPUTED_VALUE"""),"| 5 L PHP-CGM % | 6 L NS % | 7 L JAVA @ | 8 L CPT @ | 9 P PHP-CGM @ ")</f>
        <v xml:space="preserve">| 5 L PHP-CGM % | 6 L NS % | 7 L JAVA @ | 8 L CPT @ | 9 P PHP-CGM @ </v>
      </c>
      <c r="AW128" s="4" t="str">
        <f ca="1">IFERROR(__xludf.DUMMYFUNCTION("""COMPUTED_VALUE"""),"| 5 P Python % | 7 L PHP-CGM % | 8 L JAVA % | 9 P JAVA % ")</f>
        <v xml:space="preserve">| 5 P Python % | 7 L PHP-CGM % | 8 L JAVA % | 9 P JAVA % </v>
      </c>
      <c r="AX128" s="4" t="str">
        <f ca="1">IFERROR(__xludf.DUMMYFUNCTION("""COMPUTED_VALUE"""),"| 5 P Python % | 7 L CPT % | 8 L NS % | 9 P NS % ")</f>
        <v xml:space="preserve">| 5 P Python % | 7 L CPT % | 8 L NS % | 9 P NS % </v>
      </c>
      <c r="AY128" s="4" t="str">
        <f ca="1">IFERROR(__xludf.DUMMYFUNCTION("""COMPUTED_VALUE"""),"| 5 L PHP-CGM % | 6 L NS % | 7 P JAVA % ")</f>
        <v xml:space="preserve">| 5 L PHP-CGM % | 6 L NS % | 7 P JAVA % </v>
      </c>
      <c r="AZ128" s="4" t="str">
        <f ca="1">IFERROR(__xludf.DUMMYFUNCTION("""COMPUTED_VALUE"""),"| 5 L PHP-CGM % | 6 L NS % | 7 L JAVA % | 8 L CPT % ")</f>
        <v xml:space="preserve">| 5 L PHP-CGM % | 6 L NS % | 7 L JAVA % | 8 L CPT % </v>
      </c>
      <c r="BA128" s="4" t="str">
        <f ca="1">IFERROR(__xludf.DUMMYFUNCTION("""COMPUTED_VALUE"""),"| 5 P Python % | 7 L PHP-CGM % | 8 L JAVA % ")</f>
        <v xml:space="preserve">| 5 P Python % | 7 L PHP-CGM % | 8 L JAVA % </v>
      </c>
      <c r="BB128" s="4" t="str">
        <f ca="1">IFERROR(__xludf.DUMMYFUNCTION("""COMPUTED_VALUE"""),"| 5 P Python % | 7 L CPT % | 8 L NS % | 9 P NS % ")</f>
        <v xml:space="preserve">| 5 P Python % | 7 L CPT % | 8 L NS % | 9 P NS % </v>
      </c>
      <c r="BC128" s="4" t="str">
        <f ca="1">IFERROR(__xludf.DUMMYFUNCTION("""COMPUTED_VALUE"""),"| 5 L PHP-CGM % | 6 L NS % | 7 P JAVA % | 9 P PRO % ")</f>
        <v xml:space="preserve">| 5 L PHP-CGM % | 6 L NS % | 7 P JAVA % | 9 P PRO % </v>
      </c>
      <c r="BD128" s="4" t="str">
        <f ca="1">IFERROR(__xludf.DUMMYFUNCTION("""COMPUTED_VALUE"""),"| 5 L JAVA % | 6 L CPT % | 7 P CPT % | 9 L INE % ")</f>
        <v xml:space="preserve">| 5 L JAVA % | 6 L CPT % | 7 P CPT % | 9 L INE % </v>
      </c>
      <c r="BE128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F128" s="4" t="str">
        <f ca="1">IFERROR(__xludf.DUMMYFUNCTION("""COMPUTED_VALUE"""),"| 5 P Python @ | 7 L PHP-CGM @ | 9 P JAVA @ | 8 L JAVA @ ")</f>
        <v xml:space="preserve">| 5 P Python @ | 7 L PHP-CGM @ | 9 P JAVA @ | 8 L JAVA @ </v>
      </c>
      <c r="BG128" s="4" t="str">
        <f ca="1">IFERROR(__xludf.DUMMYFUNCTION("""COMPUTED_VALUE"""),"| 5 L PHP-CGM @ | 6 L NS @ | 7 P JAVA @ | 9 P PRO @ ")</f>
        <v xml:space="preserve">| 5 L PHP-CGM @ | 6 L NS @ | 7 P JAVA @ | 9 P PRO @ </v>
      </c>
      <c r="BH128" s="4" t="str">
        <f ca="1">IFERROR(__xludf.DUMMYFUNCTION("""COMPUTED_VALUE"""),"| 5 L JAVA @ | 6 L CPT @ | 7 P CPT @ | 9 L INE @ ")</f>
        <v xml:space="preserve">| 5 L JAVA @ | 6 L CPT @ | 7 P CPT @ | 9 L INE @ </v>
      </c>
      <c r="BI128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J128" s="4" t="str">
        <f ca="1">IFERROR(__xludf.DUMMYFUNCTION("""COMPUTED_VALUE"""),"| 5 P Python @ | 7 L JAVA @ | 8 L PHP-CGM @ ")</f>
        <v xml:space="preserve">| 5 P Python @ | 7 L JAVA @ | 8 L PHP-CGM @ </v>
      </c>
      <c r="BK128" s="4" t="str">
        <f ca="1">IFERROR(__xludf.DUMMYFUNCTION("""COMPUTED_VALUE"""),"| 5 P Python @ | 7 L CPT @ | 8 L NS @ | 9 P NS @ ")</f>
        <v xml:space="preserve">| 5 P Python @ | 7 L CPT @ | 8 L NS @ | 9 P NS @ </v>
      </c>
      <c r="BL128" s="4" t="str">
        <f ca="1">IFERROR(__xludf.DUMMYFUNCTION("""COMPUTED_VALUE"""),"| 5 L PHP-CGM @ | 6 L NS @ | 7 P JAVA @ | 9 P PRO @ ")</f>
        <v xml:space="preserve">| 5 L PHP-CGM @ | 6 L NS @ | 7 P JAVA @ | 9 P PRO @ </v>
      </c>
      <c r="BM128" s="4" t="str">
        <f ca="1">IFERROR(__xludf.DUMMYFUNCTION("""COMPUTED_VALUE"""),"| 5 L JAVA @ | 6 L CPT @ | 7 P CPT @ | 9 L INE @ ")</f>
        <v xml:space="preserve">| 5 L JAVA @ | 6 L CPT @ | 7 P CPT @ | 9 L INE @ </v>
      </c>
      <c r="BN128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28" s="4" t="str">
        <f ca="1">IFERROR(__xludf.DUMMYFUNCTION("""COMPUTED_VALUE"""),"| 5 P Python @ | 7 L PHP-CGM @ ")</f>
        <v xml:space="preserve">| 5 P Python @ | 7 L PHP-CGM @ </v>
      </c>
      <c r="BP128" s="4" t="str">
        <f ca="1">IFERROR(__xludf.DUMMYFUNCTION("""COMPUTED_VALUE"""),"| 5 P Python % | 7 L CPT @ | 8 L NS @ | 9 P NS @ ")</f>
        <v xml:space="preserve">| 5 P Python % | 7 L CPT @ | 8 L NS @ | 9 P NS @ </v>
      </c>
      <c r="BQ128" s="4" t="str">
        <f ca="1">IFERROR(__xludf.DUMMYFUNCTION("""COMPUTED_VALUE"""),"| 5 L JAVA % | 6 L CPT % ")</f>
        <v xml:space="preserve">| 5 L JAVA % | 6 L CPT % </v>
      </c>
      <c r="BR128" s="4" t="str">
        <f ca="1">IFERROR(__xludf.DUMMYFUNCTION("""COMPUTED_VALUE"""),"| 7 L JAVA % ")</f>
        <v xml:space="preserve">| 7 L JAVA % </v>
      </c>
      <c r="BS128" s="4"/>
      <c r="BT128" s="4" t="str">
        <f ca="1">IFERROR(__xludf.DUMMYFUNCTION("""COMPUTED_VALUE"""),"| 7 L CPT @ | 9 P NS @ ")</f>
        <v xml:space="preserve">| 7 L CPT @ | 9 P NS @ </v>
      </c>
      <c r="BU128" s="4" t="str">
        <f ca="1">IFERROR(__xludf.DUMMYFUNCTION("""COMPUTED_VALUE"""),"| 9 P PRO @ ")</f>
        <v xml:space="preserve">| 9 P PRO @ </v>
      </c>
      <c r="BV128" s="4" t="str">
        <f ca="1">IFERROR(__xludf.DUMMYFUNCTION("""COMPUTED_VALUE"""),"| 5 P Python @ | 7 L CPT @ | 8 L NS @ | 9 P NS @ ")</f>
        <v xml:space="preserve">| 5 P Python @ | 7 L CPT @ | 8 L NS @ | 9 P NS @ </v>
      </c>
      <c r="BW128" s="4"/>
      <c r="BX128" s="4" t="str">
        <f ca="1">IFERROR(__xludf.DUMMYFUNCTION("""COMPUTED_VALUE"""),"| 5 L JAVA % | 6 L CPT % | 7 P CPT @ ")</f>
        <v xml:space="preserve">| 5 L JAVA % | 6 L CPT % | 7 P CPT @ </v>
      </c>
      <c r="BY128" s="4" t="str">
        <f ca="1">IFERROR(__xludf.DUMMYFUNCTION("""COMPUTED_VALUE"""),"| 5 L PHP-CGM @ | 6 L NS @ | 7 L JAVA @ | 8 L CPT @ ")</f>
        <v xml:space="preserve">| 5 L PHP-CGM @ | 6 L NS @ | 7 L JAVA @ | 8 L CPT @ </v>
      </c>
      <c r="BZ128" s="4" t="str">
        <f ca="1">IFERROR(__xludf.DUMMYFUNCTION("""COMPUTED_VALUE"""),"| 5 P Python @ | 8 L JAVA @ | 7 L PHP-CGM @ | 9 P JAVA @ ")</f>
        <v xml:space="preserve">| 5 P Python @ | 8 L JAVA @ | 7 L PHP-CGM @ | 9 P JAVA @ </v>
      </c>
      <c r="CA128" s="4" t="str">
        <f ca="1">IFERROR(__xludf.DUMMYFUNCTION("""COMPUTED_VALUE"""),"| 5 P Python % | 7 L CPT % | 8 L NS % | 9 P NS % ")</f>
        <v xml:space="preserve">| 5 P Python % | 7 L CPT % | 8 L NS % | 9 P NS % </v>
      </c>
      <c r="CB128" s="4" t="str">
        <f ca="1">IFERROR(__xludf.DUMMYFUNCTION("""COMPUTED_VALUE"""),"| 5 L PHP-CGM % | 6 L NS % | 7 P JAVA % ")</f>
        <v xml:space="preserve">| 5 L PHP-CGM % | 6 L NS % | 7 P JAVA % </v>
      </c>
      <c r="CC128" s="4" t="str">
        <f ca="1">IFERROR(__xludf.DUMMYFUNCTION("""COMPUTED_VALUE"""),"| 5 L JAVA % | 7 P CPT % | 9 L INE % ")</f>
        <v xml:space="preserve">| 5 L JAVA % | 7 P CPT % | 9 L INE % </v>
      </c>
      <c r="CD128" s="4" t="str">
        <f ca="1">IFERROR(__xludf.DUMMYFUNCTION("""COMPUTED_VALUE"""),"| 5 L PHP-CGM % | 6 L NS % | 7 L JAVA % | 8 L CPT % ")</f>
        <v xml:space="preserve">| 5 L PHP-CGM % | 6 L NS % | 7 L JAVA % | 8 L CPT % </v>
      </c>
      <c r="CE128" s="4" t="str">
        <f ca="1">IFERROR(__xludf.DUMMYFUNCTION("""COMPUTED_VALUE"""),"| 5 P Python % | 8 L JAVA % | 7 L PHP-CGM % ")</f>
        <v xml:space="preserve">| 5 P Python % | 8 L JAVA % | 7 L PHP-CGM % </v>
      </c>
      <c r="CF128" s="4" t="str">
        <f ca="1">IFERROR(__xludf.DUMMYFUNCTION("""COMPUTED_VALUE"""),"| 5 P Python % | 7 L CPT @ | 8 L NS @ | 9 P NS % ")</f>
        <v xml:space="preserve">| 5 P Python % | 7 L CPT @ | 8 L NS @ | 9 P NS % </v>
      </c>
      <c r="CG128" s="4" t="str">
        <f ca="1">IFERROR(__xludf.DUMMYFUNCTION("""COMPUTED_VALUE"""),"| 5 L PHP-CGM % | 6 L NS % | 7 P JAVA % ")</f>
        <v xml:space="preserve">| 5 L PHP-CGM % | 6 L NS % | 7 P JAVA % </v>
      </c>
      <c r="CH128" s="4" t="str">
        <f ca="1">IFERROR(__xludf.DUMMYFUNCTION("""COMPUTED_VALUE"""),"| 5 L JAVA % | 6 L CPT % | 7 P CPT % | 9 L INE @ ")</f>
        <v xml:space="preserve">| 5 L JAVA % | 6 L CPT % | 7 P CPT % | 9 L INE @ </v>
      </c>
      <c r="CI128" s="4" t="str">
        <f ca="1">IFERROR(__xludf.DUMMYFUNCTION("""COMPUTED_VALUE"""),"| 5 L PHP-CGM @ | 7 L JAVA % | 8 L CPT % ")</f>
        <v xml:space="preserve">| 5 L PHP-CGM @ | 7 L JAVA % | 8 L CPT % </v>
      </c>
      <c r="CJ128" s="4" t="str">
        <f ca="1">IFERROR(__xludf.DUMMYFUNCTION("""COMPUTED_VALUE"""),"| 5 P Python % ")</f>
        <v xml:space="preserve">| 5 P Python % </v>
      </c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</row>
    <row r="129" spans="1:102" ht="12.5" x14ac:dyDescent="0.25">
      <c r="A129" s="3">
        <f ca="1">IFERROR(__xludf.DUMMYFUNCTION("""COMPUTED_VALUE"""),3)</f>
        <v>3</v>
      </c>
      <c r="B129" s="3" t="str">
        <f ca="1">IFERROR(__xludf.DUMMYFUNCTION("""COMPUTED_VALUE"""),"B")</f>
        <v>B</v>
      </c>
      <c r="C129" s="32" t="str">
        <f ca="1">IFERROR(__xludf.DUMMYFUNCTION("""COMPUTED_VALUE"""),"23291341107")</f>
        <v>23291341107</v>
      </c>
      <c r="D129" s="4" t="str">
        <f ca="1">IFERROR(__xludf.DUMMYFUNCTION("""COMPUTED_VALUE"""),"PATEL MIHIRKUMAR JIGNESHKUMAR")</f>
        <v>PATEL MIHIRKUMAR JIGNESHKUMAR</v>
      </c>
      <c r="E129" s="3" t="str">
        <f ca="1">IFERROR(__xludf.DUMMYFUNCTION("""COMPUTED_VALUE"""),"HAM/HDP-EVE")</f>
        <v>HAM/HDP-EVE</v>
      </c>
      <c r="F129" s="3">
        <f ca="1">IFERROR(__xludf.DUMMYFUNCTION("""COMPUTED_VALUE"""),9898135174)</f>
        <v>9898135174</v>
      </c>
      <c r="G129" s="3">
        <f ca="1">IFERROR(__xludf.DUMMYFUNCTION("""COMPUTED_VALUE"""),9825889506)</f>
        <v>9825889506</v>
      </c>
      <c r="H129" s="33">
        <f ca="1">IFERROR(__xludf.DUMMYFUNCTION("""COMPUTED_VALUE"""),0.575757575757575)</f>
        <v>0.57575757575757502</v>
      </c>
      <c r="I129" s="25">
        <f ca="1">IFERROR(__xludf.DUMMYFUNCTION("""COMPUTED_VALUE"""),0.54054054054054)</f>
        <v>0.54054054054054002</v>
      </c>
      <c r="J129" s="25">
        <f ca="1">IFERROR(__xludf.DUMMYFUNCTION("""COMPUTED_VALUE"""),0.454545454545454)</f>
        <v>0.45454545454545398</v>
      </c>
      <c r="K129" s="25">
        <f ca="1">IFERROR(__xludf.DUMMYFUNCTION("""COMPUTED_VALUE"""),0.647058823529411)</f>
        <v>0.64705882352941102</v>
      </c>
      <c r="L129" s="25">
        <f ca="1">IFERROR(__xludf.DUMMYFUNCTION("""COMPUTED_VALUE"""),0.333333333333333)</f>
        <v>0.33333333333333298</v>
      </c>
      <c r="M129" s="25">
        <f ca="1">IFERROR(__xludf.DUMMYFUNCTION("""COMPUTED_VALUE"""),0.628571428571428)</f>
        <v>0.628571428571428</v>
      </c>
      <c r="N129" s="25">
        <f ca="1">IFERROR(__xludf.DUMMYFUNCTION("""COMPUTED_VALUE"""),0.25)</f>
        <v>0.25</v>
      </c>
      <c r="O129" s="25">
        <f ca="1">IFERROR(__xludf.DUMMYFUNCTION("""COMPUTED_VALUE"""),0.628571428571428)</f>
        <v>0.628571428571428</v>
      </c>
      <c r="P129" s="25">
        <f ca="1">IFERROR(__xludf.DUMMYFUNCTION("""COMPUTED_VALUE"""),0.666666666666666)</f>
        <v>0.66666666666666596</v>
      </c>
      <c r="Q129" s="25">
        <f ca="1">IFERROR(__xludf.DUMMYFUNCTION("""COMPUTED_VALUE"""),0)</f>
        <v>0</v>
      </c>
      <c r="R129" s="25">
        <f ca="1">IFERROR(__xludf.DUMMYFUNCTION("""COMPUTED_VALUE"""),0.75)</f>
        <v>0.75</v>
      </c>
      <c r="S129" s="25">
        <f ca="1">IFERROR(__xludf.DUMMYFUNCTION("""COMPUTED_VALUE"""),0)</f>
        <v>0</v>
      </c>
      <c r="T129" s="25">
        <f ca="1">IFERROR(__xludf.DUMMYFUNCTION("""COMPUTED_VALUE"""),0.333333333333333)</f>
        <v>0.33333333333333298</v>
      </c>
      <c r="U129" s="25">
        <f ca="1">IFERROR(__xludf.DUMMYFUNCTION("""COMPUTED_VALUE"""),0.375)</f>
        <v>0.375</v>
      </c>
      <c r="V129" s="25">
        <f ca="1">IFERROR(__xludf.DUMMYFUNCTION("""COMPUTED_VALUE"""),0)</f>
        <v>0</v>
      </c>
      <c r="W129" s="4"/>
      <c r="X129" s="4" t="str">
        <f ca="1">IFERROR(__xludf.DUMMYFUNCTION("""COMPUTED_VALUE"""),"| 5 P Python % | 7 L CPT % | 8 L NS % | 9 P NS @ ")</f>
        <v xml:space="preserve">| 5 P Python % | 7 L CPT % | 8 L NS % | 9 P NS @ </v>
      </c>
      <c r="Y129" s="4" t="str">
        <f ca="1">IFERROR(__xludf.DUMMYFUNCTION("""COMPUTED_VALUE"""),"| 5 L PHP-CGM % | 6 L NS % | 7 P JAVA % | 9 P PRO % ")</f>
        <v xml:space="preserve">| 5 L PHP-CGM % | 6 L NS % | 7 P JAVA % | 9 P PRO % </v>
      </c>
      <c r="Z129" s="4" t="str">
        <f ca="1">IFERROR(__xludf.DUMMYFUNCTION("""COMPUTED_VALUE"""),"| 5 L JAVA % | 6 L CPT % | 7 P CPT % ")</f>
        <v xml:space="preserve">| 5 L JAVA % | 6 L CPT % | 7 P CPT % </v>
      </c>
      <c r="AA129" s="4" t="str">
        <f ca="1">IFERROR(__xludf.DUMMYFUNCTION("""COMPUTED_VALUE"""),"| 5 L PHP-CGM % | 7 L JAVA % | 9 P PHP-CGM @ | 8 L CPT % ")</f>
        <v xml:space="preserve">| 5 L PHP-CGM % | 7 L JAVA % | 9 P PHP-CGM @ | 8 L CPT % </v>
      </c>
      <c r="AB129" s="4" t="str">
        <f ca="1">IFERROR(__xludf.DUMMYFUNCTION("""COMPUTED_VALUE"""),"| 5 P Python % | 7 L PHP-CGM @ | 8 L JAVA @ | 9 P JAVA % ")</f>
        <v xml:space="preserve">| 5 P Python % | 7 L PHP-CGM @ | 8 L JAVA @ | 9 P JAVA % </v>
      </c>
      <c r="AC129" s="4" t="str">
        <f ca="1">IFERROR(__xludf.DUMMYFUNCTION("""COMPUTED_VALUE"""),"| 5 P Python % | 7 L CPT % | 8 L NS % | 9 P NS @ ")</f>
        <v xml:space="preserve">| 5 P Python % | 7 L CPT % | 8 L NS % | 9 P NS @ </v>
      </c>
      <c r="AD129" s="4" t="str">
        <f ca="1">IFERROR(__xludf.DUMMYFUNCTION("""COMPUTED_VALUE"""),"| 5 L PHP-CGM % | 6 L NS % | 7 P JAVA % | 9 P PRO @ ")</f>
        <v xml:space="preserve">| 5 L PHP-CGM % | 6 L NS % | 7 P JAVA % | 9 P PRO @ </v>
      </c>
      <c r="AE129" s="4" t="str">
        <f ca="1">IFERROR(__xludf.DUMMYFUNCTION("""COMPUTED_VALUE"""),"| 5 L JAVA @ | 6 L CPT @ | 7 P CPT @ ")</f>
        <v xml:space="preserve">| 5 L JAVA @ | 6 L CPT @ | 7 P CPT @ </v>
      </c>
      <c r="AF129" s="4" t="str">
        <f ca="1">IFERROR(__xludf.DUMMYFUNCTION("""COMPUTED_VALUE"""),"| 5 L PHP-CGM @ | 6 L NS @ | 7 L JAVA % | 8 L CPT @ | 9 P PHP-CGM % ")</f>
        <v xml:space="preserve">| 5 L PHP-CGM @ | 6 L NS @ | 7 L JAVA % | 8 L CPT @ | 9 P PHP-CGM % </v>
      </c>
      <c r="AG129" s="4" t="str">
        <f ca="1">IFERROR(__xludf.DUMMYFUNCTION("""COMPUTED_VALUE"""),"| 5 P Python % | 8 L JAVA % | 7 L PHP-CGM % | 9 P JAVA @ ")</f>
        <v xml:space="preserve">| 5 P Python % | 8 L JAVA % | 7 L PHP-CGM % | 9 P JAVA @ </v>
      </c>
      <c r="AH129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I129" s="4" t="str">
        <f ca="1">IFERROR(__xludf.DUMMYFUNCTION("""COMPUTED_VALUE"""),"| 5 P Python % | 8 L JAVA % | 7 L PHP-CGM % | 9 P JAVA % ")</f>
        <v xml:space="preserve">| 5 P Python % | 8 L JAVA % | 7 L PHP-CGM % | 9 P JAVA % </v>
      </c>
      <c r="AJ129" s="4" t="str">
        <f ca="1">IFERROR(__xludf.DUMMYFUNCTION("""COMPUTED_VALUE"""),"| 5 P Python % | 7 L CPT % | 8 L NS % | 9 P NS % ")</f>
        <v xml:space="preserve">| 5 P Python % | 7 L CPT % | 8 L NS % | 9 P NS % </v>
      </c>
      <c r="AK129" s="4" t="str">
        <f ca="1">IFERROR(__xludf.DUMMYFUNCTION("""COMPUTED_VALUE"""),"| 5 L PHP-CGM % | 6 L NS % | 7 P JAVA % | 9 P PRO % ")</f>
        <v xml:space="preserve">| 5 L PHP-CGM % | 6 L NS % | 7 P JAVA % | 9 P PRO % </v>
      </c>
      <c r="AL129" s="4" t="str">
        <f ca="1">IFERROR(__xludf.DUMMYFUNCTION("""COMPUTED_VALUE"""),"| 5 L JAVA % | 6 L CPT % | 7 P CPT % | 9 L INE @ ")</f>
        <v xml:space="preserve">| 5 L JAVA % | 6 L CPT % | 7 P CPT % | 9 L INE @ </v>
      </c>
      <c r="AM129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N129" s="4" t="str">
        <f ca="1">IFERROR(__xludf.DUMMYFUNCTION("""COMPUTED_VALUE"""),"| 5 P Python @ | 8 L JAVA @ | 7 L PHP-CGM @ | 9 P JAVA % ")</f>
        <v xml:space="preserve">| 5 P Python @ | 8 L JAVA @ | 7 L PHP-CGM @ | 9 P JAVA % </v>
      </c>
      <c r="AO129" s="4" t="str">
        <f ca="1">IFERROR(__xludf.DUMMYFUNCTION("""COMPUTED_VALUE"""),"| 5 P Python % | 7 L CPT @ | 8 L NS @ ")</f>
        <v xml:space="preserve">| 5 P Python % | 7 L CPT @ | 8 L NS @ </v>
      </c>
      <c r="AP129" s="4" t="str">
        <f ca="1">IFERROR(__xludf.DUMMYFUNCTION("""COMPUTED_VALUE"""),"| 5 L PHP-CGM @ | 6 L NS % | 7 P JAVA % | 9 P PRO @ ")</f>
        <v xml:space="preserve">| 5 L PHP-CGM @ | 6 L NS % | 7 P JAVA % | 9 P PRO @ </v>
      </c>
      <c r="AQ129" s="4" t="str">
        <f ca="1">IFERROR(__xludf.DUMMYFUNCTION("""COMPUTED_VALUE"""),"| 5 L CPT @ | 7 L JAVA @ | 7 P CPT @ | 9 L INE @ ")</f>
        <v xml:space="preserve">| 5 L CPT @ | 7 L JAVA @ | 7 P CPT @ | 9 L INE @ </v>
      </c>
      <c r="AR129" s="4" t="str">
        <f ca="1">IFERROR(__xludf.DUMMYFUNCTION("""COMPUTED_VALUE"""),"| 5 L PHP-CGM @ | 6 L NS @ | 8 L CPT @ ")</f>
        <v xml:space="preserve">| 5 L PHP-CGM @ | 6 L NS @ | 8 L CPT @ </v>
      </c>
      <c r="AS129" s="4" t="str">
        <f ca="1">IFERROR(__xludf.DUMMYFUNCTION("""COMPUTED_VALUE"""),"| 5 P Python % | 7 L CPT % | 8 L NS % | 9 P NS % ")</f>
        <v xml:space="preserve">| 5 P Python % | 7 L CPT % | 8 L NS % | 9 P NS % </v>
      </c>
      <c r="AT129" s="4" t="str">
        <f ca="1">IFERROR(__xludf.DUMMYFUNCTION("""COMPUTED_VALUE"""),"| 5 L PHP-CGM % | 6 L NS % | 7 P JAVA % | 9 P PRO @ ")</f>
        <v xml:space="preserve">| 5 L PHP-CGM % | 6 L NS % | 7 P JAVA % | 9 P PRO @ </v>
      </c>
      <c r="AU129" s="4" t="str">
        <f ca="1">IFERROR(__xludf.DUMMYFUNCTION("""COMPUTED_VALUE"""),"| 5 L JAVA % | 6 L CPT % | 7 P CPT % | 9 L INE @ ")</f>
        <v xml:space="preserve">| 5 L JAVA % | 6 L CPT % | 7 P CPT % | 9 L INE @ </v>
      </c>
      <c r="AV129" s="4" t="str">
        <f ca="1">IFERROR(__xludf.DUMMYFUNCTION("""COMPUTED_VALUE"""),"| 5 L PHP-CGM % | 6 L NS % | 7 L JAVA @ | 8 L CPT @ | 9 P PHP-CGM @ ")</f>
        <v xml:space="preserve">| 5 L PHP-CGM % | 6 L NS % | 7 L JAVA @ | 8 L CPT @ | 9 P PHP-CGM @ </v>
      </c>
      <c r="AW129" s="4" t="str">
        <f ca="1">IFERROR(__xludf.DUMMYFUNCTION("""COMPUTED_VALUE"""),"| 5 P Python % | 7 L PHP-CGM % | 8 L JAVA % | 9 P JAVA % ")</f>
        <v xml:space="preserve">| 5 P Python % | 7 L PHP-CGM % | 8 L JAVA % | 9 P JAVA % </v>
      </c>
      <c r="AX129" s="4" t="str">
        <f ca="1">IFERROR(__xludf.DUMMYFUNCTION("""COMPUTED_VALUE"""),"| 5 P Python % | 7 L CPT % | 8 L NS @ | 9 P NS @ ")</f>
        <v xml:space="preserve">| 5 P Python % | 7 L CPT % | 8 L NS @ | 9 P NS @ </v>
      </c>
      <c r="AY129" s="4" t="str">
        <f ca="1">IFERROR(__xludf.DUMMYFUNCTION("""COMPUTED_VALUE"""),"| 5 L PHP-CGM % | 6 L NS % | 7 P JAVA % ")</f>
        <v xml:space="preserve">| 5 L PHP-CGM % | 6 L NS % | 7 P JAVA % </v>
      </c>
      <c r="AZ129" s="4" t="str">
        <f ca="1">IFERROR(__xludf.DUMMYFUNCTION("""COMPUTED_VALUE"""),"| 5 L PHP-CGM % | 6 L NS % | 7 L JAVA % | 8 L CPT % ")</f>
        <v xml:space="preserve">| 5 L PHP-CGM % | 6 L NS % | 7 L JAVA % | 8 L CPT % </v>
      </c>
      <c r="BA129" s="4" t="str">
        <f ca="1">IFERROR(__xludf.DUMMYFUNCTION("""COMPUTED_VALUE"""),"| 5 P Python % | 7 L PHP-CGM % | 8 L JAVA % ")</f>
        <v xml:space="preserve">| 5 P Python % | 7 L PHP-CGM % | 8 L JAVA % </v>
      </c>
      <c r="BB129" s="4" t="str">
        <f ca="1">IFERROR(__xludf.DUMMYFUNCTION("""COMPUTED_VALUE"""),"| 5 P Python % | 7 L CPT % | 8 L NS % | 9 P NS % ")</f>
        <v xml:space="preserve">| 5 P Python % | 7 L CPT % | 8 L NS % | 9 P NS % </v>
      </c>
      <c r="BC129" s="4" t="str">
        <f ca="1">IFERROR(__xludf.DUMMYFUNCTION("""COMPUTED_VALUE"""),"| 5 L PHP-CGM % | 6 L NS % | 7 P JAVA @ | 9 P PRO @ ")</f>
        <v xml:space="preserve">| 5 L PHP-CGM % | 6 L NS % | 7 P JAVA @ | 9 P PRO @ </v>
      </c>
      <c r="BD129" s="4" t="str">
        <f ca="1">IFERROR(__xludf.DUMMYFUNCTION("""COMPUTED_VALUE"""),"| 5 L JAVA % | 6 L CPT % | 7 P CPT % | 9 L INE % ")</f>
        <v xml:space="preserve">| 5 L JAVA % | 6 L CPT % | 7 P CPT % | 9 L INE % </v>
      </c>
      <c r="BE12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29" s="4" t="str">
        <f ca="1">IFERROR(__xludf.DUMMYFUNCTION("""COMPUTED_VALUE"""),"| 5 P Python % | 7 L PHP-CGM % | 9 P JAVA @ | 8 L JAVA % ")</f>
        <v xml:space="preserve">| 5 P Python % | 7 L PHP-CGM % | 9 P JAVA @ | 8 L JAVA % </v>
      </c>
      <c r="BG129" s="4" t="str">
        <f ca="1">IFERROR(__xludf.DUMMYFUNCTION("""COMPUTED_VALUE"""),"| 5 L PHP-CGM % | 6 L NS % | 7 P JAVA % | 9 P PRO % ")</f>
        <v xml:space="preserve">| 5 L PHP-CGM % | 6 L NS % | 7 P JAVA % | 9 P PRO % </v>
      </c>
      <c r="BH129" s="4" t="str">
        <f ca="1">IFERROR(__xludf.DUMMYFUNCTION("""COMPUTED_VALUE"""),"| 5 L JAVA % | 6 L CPT % | 7 P CPT @ | 9 L INE % ")</f>
        <v xml:space="preserve">| 5 L JAVA % | 6 L CPT % | 7 P CPT @ | 9 L INE % </v>
      </c>
      <c r="BI129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29" s="4" t="str">
        <f ca="1">IFERROR(__xludf.DUMMYFUNCTION("""COMPUTED_VALUE"""),"| 5 P Python % | 7 L JAVA @ | 8 L PHP-CGM @ ")</f>
        <v xml:space="preserve">| 5 P Python % | 7 L JAVA @ | 8 L PHP-CGM @ </v>
      </c>
      <c r="BK129" s="4" t="str">
        <f ca="1">IFERROR(__xludf.DUMMYFUNCTION("""COMPUTED_VALUE"""),"| 5 P Python @ | 7 L CPT @ | 8 L NS @ | 9 P NS @ ")</f>
        <v xml:space="preserve">| 5 P Python @ | 7 L CPT @ | 8 L NS @ | 9 P NS @ </v>
      </c>
      <c r="BL129" s="4" t="str">
        <f ca="1">IFERROR(__xludf.DUMMYFUNCTION("""COMPUTED_VALUE"""),"| 5 L PHP-CGM @ | 6 L NS @ | 7 P JAVA @ | 9 P PRO @ ")</f>
        <v xml:space="preserve">| 5 L PHP-CGM @ | 6 L NS @ | 7 P JAVA @ | 9 P PRO @ </v>
      </c>
      <c r="BM129" s="4" t="str">
        <f ca="1">IFERROR(__xludf.DUMMYFUNCTION("""COMPUTED_VALUE"""),"| 5 L JAVA @ | 6 L CPT @ | 7 P CPT @ | 9 L INE @ ")</f>
        <v xml:space="preserve">| 5 L JAVA @ | 6 L CPT @ | 7 P CPT @ | 9 L INE @ </v>
      </c>
      <c r="BN129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29" s="4" t="str">
        <f ca="1">IFERROR(__xludf.DUMMYFUNCTION("""COMPUTED_VALUE"""),"| 5 P Python % | 7 L PHP-CGM @ ")</f>
        <v xml:space="preserve">| 5 P Python % | 7 L PHP-CGM @ </v>
      </c>
      <c r="BP129" s="4" t="str">
        <f ca="1">IFERROR(__xludf.DUMMYFUNCTION("""COMPUTED_VALUE"""),"| 5 P Python % | 7 L CPT @ | 8 L NS @ | 9 P NS @ ")</f>
        <v xml:space="preserve">| 5 P Python % | 7 L CPT @ | 8 L NS @ | 9 P NS @ </v>
      </c>
      <c r="BQ129" s="4" t="str">
        <f ca="1">IFERROR(__xludf.DUMMYFUNCTION("""COMPUTED_VALUE"""),"| 5 L JAVA % | 6 L CPT % ")</f>
        <v xml:space="preserve">| 5 L JAVA % | 6 L CPT % </v>
      </c>
      <c r="BR129" s="4" t="str">
        <f ca="1">IFERROR(__xludf.DUMMYFUNCTION("""COMPUTED_VALUE"""),"| 7 L JAVA % ")</f>
        <v xml:space="preserve">| 7 L JAVA % </v>
      </c>
      <c r="BS129" s="4"/>
      <c r="BT129" s="4" t="str">
        <f ca="1">IFERROR(__xludf.DUMMYFUNCTION("""COMPUTED_VALUE"""),"| 7 L CPT @ | 9 P NS @ ")</f>
        <v xml:space="preserve">| 7 L CPT @ | 9 P NS @ </v>
      </c>
      <c r="BU129" s="4" t="str">
        <f ca="1">IFERROR(__xludf.DUMMYFUNCTION("""COMPUTED_VALUE"""),"| 9 P PRO @ ")</f>
        <v xml:space="preserve">| 9 P PRO @ </v>
      </c>
      <c r="BV129" s="4" t="str">
        <f ca="1">IFERROR(__xludf.DUMMYFUNCTION("""COMPUTED_VALUE"""),"| 5 P Python @ | 7 L CPT @ | 8 L NS @ | 9 P NS @ ")</f>
        <v xml:space="preserve">| 5 P Python @ | 7 L CPT @ | 8 L NS @ | 9 P NS @ </v>
      </c>
      <c r="BW129" s="4"/>
      <c r="BX129" s="4" t="str">
        <f ca="1">IFERROR(__xludf.DUMMYFUNCTION("""COMPUTED_VALUE"""),"| 5 L JAVA @ | 6 L CPT @ | 7 P CPT @ ")</f>
        <v xml:space="preserve">| 5 L JAVA @ | 6 L CPT @ | 7 P CPT @ </v>
      </c>
      <c r="BY129" s="4" t="str">
        <f ca="1">IFERROR(__xludf.DUMMYFUNCTION("""COMPUTED_VALUE"""),"| 5 L PHP-CGM @ | 6 L NS @ | 7 L JAVA @ | 8 L CPT @ ")</f>
        <v xml:space="preserve">| 5 L PHP-CGM @ | 6 L NS @ | 7 L JAVA @ | 8 L CPT @ </v>
      </c>
      <c r="BZ129" s="4" t="str">
        <f ca="1">IFERROR(__xludf.DUMMYFUNCTION("""COMPUTED_VALUE"""),"| 5 P Python @ | 8 L JAVA @ | 7 L PHP-CGM @ | 9 P JAVA @ ")</f>
        <v xml:space="preserve">| 5 P Python @ | 8 L JAVA @ | 7 L PHP-CGM @ | 9 P JAVA @ </v>
      </c>
      <c r="CA129" s="4" t="str">
        <f ca="1">IFERROR(__xludf.DUMMYFUNCTION("""COMPUTED_VALUE"""),"| 5 P Python @ | 7 L CPT @ | 8 L NS @ | 9 P NS @ ")</f>
        <v xml:space="preserve">| 5 P Python @ | 7 L CPT @ | 8 L NS @ | 9 P NS @ </v>
      </c>
      <c r="CB129" s="4" t="str">
        <f ca="1">IFERROR(__xludf.DUMMYFUNCTION("""COMPUTED_VALUE"""),"| 5 L PHP-CGM % | 6 L NS % | 7 P JAVA @ ")</f>
        <v xml:space="preserve">| 5 L PHP-CGM % | 6 L NS % | 7 P JAVA @ </v>
      </c>
      <c r="CC129" s="4" t="str">
        <f ca="1">IFERROR(__xludf.DUMMYFUNCTION("""COMPUTED_VALUE"""),"| 5 L JAVA % | 7 P CPT @ | 9 L INE % ")</f>
        <v xml:space="preserve">| 5 L JAVA % | 7 P CPT @ | 9 L INE % </v>
      </c>
      <c r="CD129" s="4" t="str">
        <f ca="1">IFERROR(__xludf.DUMMYFUNCTION("""COMPUTED_VALUE"""),"| 5 L PHP-CGM % | 6 L NS % | 7 L JAVA @ | 8 L CPT @ ")</f>
        <v xml:space="preserve">| 5 L PHP-CGM % | 6 L NS % | 7 L JAVA @ | 8 L CPT @ </v>
      </c>
      <c r="CE129" s="4" t="str">
        <f ca="1">IFERROR(__xludf.DUMMYFUNCTION("""COMPUTED_VALUE"""),"| 5 P Python % | 8 L JAVA @ | 7 L PHP-CGM @ ")</f>
        <v xml:space="preserve">| 5 P Python % | 8 L JAVA @ | 7 L PHP-CGM @ </v>
      </c>
      <c r="CF129" s="4" t="str">
        <f ca="1">IFERROR(__xludf.DUMMYFUNCTION("""COMPUTED_VALUE"""),"| 5 P Python @ | 7 L CPT @ | 8 L NS @ | 9 P NS % ")</f>
        <v xml:space="preserve">| 5 P Python @ | 7 L CPT @ | 8 L NS @ | 9 P NS % </v>
      </c>
      <c r="CG129" s="4" t="str">
        <f ca="1">IFERROR(__xludf.DUMMYFUNCTION("""COMPUTED_VALUE"""),"| 5 L PHP-CGM % | 6 L NS % | 7 P JAVA % ")</f>
        <v xml:space="preserve">| 5 L PHP-CGM % | 6 L NS % | 7 P JAVA % </v>
      </c>
      <c r="CH129" s="4" t="str">
        <f ca="1">IFERROR(__xludf.DUMMYFUNCTION("""COMPUTED_VALUE"""),"| 5 L JAVA % | 6 L CPT % | 7 P CPT % | 9 L INE @ ")</f>
        <v xml:space="preserve">| 5 L JAVA % | 6 L CPT % | 7 P CPT % | 9 L INE @ </v>
      </c>
      <c r="CI129" s="4" t="str">
        <f ca="1">IFERROR(__xludf.DUMMYFUNCTION("""COMPUTED_VALUE"""),"| 5 L PHP-CGM @ | 7 L JAVA % | 8 L CPT % ")</f>
        <v xml:space="preserve">| 5 L PHP-CGM @ | 7 L JAVA % | 8 L CPT % </v>
      </c>
      <c r="CJ129" s="4" t="str">
        <f ca="1">IFERROR(__xludf.DUMMYFUNCTION("""COMPUTED_VALUE"""),"| 5 P Python % ")</f>
        <v xml:space="preserve">| 5 P Python % </v>
      </c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</row>
    <row r="130" spans="1:102" ht="12.5" x14ac:dyDescent="0.25">
      <c r="A130" s="3">
        <f ca="1">IFERROR(__xludf.DUMMYFUNCTION("""COMPUTED_VALUE"""),3)</f>
        <v>3</v>
      </c>
      <c r="B130" s="3" t="str">
        <f ca="1">IFERROR(__xludf.DUMMYFUNCTION("""COMPUTED_VALUE"""),"B")</f>
        <v>B</v>
      </c>
      <c r="C130" s="32" t="str">
        <f ca="1">IFERROR(__xludf.DUMMYFUNCTION("""COMPUTED_VALUE"""),"23291341112")</f>
        <v>23291341112</v>
      </c>
      <c r="D130" s="4" t="str">
        <f ca="1">IFERROR(__xludf.DUMMYFUNCTION("""COMPUTED_VALUE"""),"PATEL PAL KIRITBHAI")</f>
        <v>PATEL PAL KIRITBHAI</v>
      </c>
      <c r="E130" s="3" t="str">
        <f ca="1">IFERROR(__xludf.DUMMYFUNCTION("""COMPUTED_VALUE"""),"HAM/HDP-EVE")</f>
        <v>HAM/HDP-EVE</v>
      </c>
      <c r="F130" s="3">
        <f ca="1">IFERROR(__xludf.DUMMYFUNCTION("""COMPUTED_VALUE"""),7990104022)</f>
        <v>7990104022</v>
      </c>
      <c r="G130" s="3">
        <f ca="1">IFERROR(__xludf.DUMMYFUNCTION("""COMPUTED_VALUE"""),9925065123)</f>
        <v>9925065123</v>
      </c>
      <c r="H130" s="33">
        <f ca="1">IFERROR(__xludf.DUMMYFUNCTION("""COMPUTED_VALUE"""),0.683982683982684)</f>
        <v>0.68398268398268403</v>
      </c>
      <c r="I130" s="25">
        <f ca="1">IFERROR(__xludf.DUMMYFUNCTION("""COMPUTED_VALUE"""),0.648648648648648)</f>
        <v>0.64864864864864802</v>
      </c>
      <c r="J130" s="25">
        <f ca="1">IFERROR(__xludf.DUMMYFUNCTION("""COMPUTED_VALUE"""),0.727272727272727)</f>
        <v>0.72727272727272696</v>
      </c>
      <c r="K130" s="25">
        <f ca="1">IFERROR(__xludf.DUMMYFUNCTION("""COMPUTED_VALUE"""),0.647058823529411)</f>
        <v>0.64705882352941102</v>
      </c>
      <c r="L130" s="25">
        <f ca="1">IFERROR(__xludf.DUMMYFUNCTION("""COMPUTED_VALUE"""),0.583333333333333)</f>
        <v>0.58333333333333304</v>
      </c>
      <c r="M130" s="25">
        <f ca="1">IFERROR(__xludf.DUMMYFUNCTION("""COMPUTED_VALUE"""),0.8)</f>
        <v>0.8</v>
      </c>
      <c r="N130" s="25">
        <f ca="1">IFERROR(__xludf.DUMMYFUNCTION("""COMPUTED_VALUE"""),0.625)</f>
        <v>0.625</v>
      </c>
      <c r="O130" s="25">
        <f ca="1">IFERROR(__xludf.DUMMYFUNCTION("""COMPUTED_VALUE"""),0.857142857142857)</f>
        <v>0.85714285714285698</v>
      </c>
      <c r="P130" s="25">
        <f ca="1">IFERROR(__xludf.DUMMYFUNCTION("""COMPUTED_VALUE"""),0.611111111111111)</f>
        <v>0.61111111111111105</v>
      </c>
      <c r="Q130" s="25">
        <f ca="1">IFERROR(__xludf.DUMMYFUNCTION("""COMPUTED_VALUE"""),0)</f>
        <v>0</v>
      </c>
      <c r="R130" s="25">
        <f ca="1">IFERROR(__xludf.DUMMYFUNCTION("""COMPUTED_VALUE"""),0.625)</f>
        <v>0.625</v>
      </c>
      <c r="S130" s="25">
        <f ca="1">IFERROR(__xludf.DUMMYFUNCTION("""COMPUTED_VALUE"""),0)</f>
        <v>0</v>
      </c>
      <c r="T130" s="25">
        <f ca="1">IFERROR(__xludf.DUMMYFUNCTION("""COMPUTED_VALUE"""),0.555555555555555)</f>
        <v>0.55555555555555503</v>
      </c>
      <c r="U130" s="25">
        <f ca="1">IFERROR(__xludf.DUMMYFUNCTION("""COMPUTED_VALUE"""),0.375)</f>
        <v>0.375</v>
      </c>
      <c r="V130" s="25">
        <f ca="1">IFERROR(__xludf.DUMMYFUNCTION("""COMPUTED_VALUE"""),0)</f>
        <v>0</v>
      </c>
      <c r="W130" s="4"/>
      <c r="X130" s="4" t="str">
        <f ca="1">IFERROR(__xludf.DUMMYFUNCTION("""COMPUTED_VALUE"""),"| 5 P Python @ | 7 L CPT @ | 8 L NS @ | 9 P NS @ ")</f>
        <v xml:space="preserve">| 5 P Python @ | 7 L CPT @ | 8 L NS @ | 9 P NS @ </v>
      </c>
      <c r="Y130" s="4" t="str">
        <f ca="1">IFERROR(__xludf.DUMMYFUNCTION("""COMPUTED_VALUE"""),"| 5 L PHP-CGM @ | 6 L NS @ | 7 P JAVA @ | 9 P PRO @ ")</f>
        <v xml:space="preserve">| 5 L PHP-CGM @ | 6 L NS @ | 7 P JAVA @ | 9 P PRO @ </v>
      </c>
      <c r="Z130" s="4" t="str">
        <f ca="1">IFERROR(__xludf.DUMMYFUNCTION("""COMPUTED_VALUE"""),"| 5 L JAVA % | 6 L CPT % | 7 P CPT % ")</f>
        <v xml:space="preserve">| 5 L JAVA % | 6 L CPT % | 7 P CPT % </v>
      </c>
      <c r="AA130" s="4" t="str">
        <f ca="1">IFERROR(__xludf.DUMMYFUNCTION("""COMPUTED_VALUE"""),"| 5 L PHP-CGM % | 7 L JAVA % | 9 P PHP-CGM @ | 8 L CPT % ")</f>
        <v xml:space="preserve">| 5 L PHP-CGM % | 7 L JAVA % | 9 P PHP-CGM @ | 8 L CPT % </v>
      </c>
      <c r="AB130" s="4" t="str">
        <f ca="1">IFERROR(__xludf.DUMMYFUNCTION("""COMPUTED_VALUE"""),"| 5 P Python % | 7 L PHP-CGM % | 8 L JAVA % | 9 P JAVA % ")</f>
        <v xml:space="preserve">| 5 P Python % | 7 L PHP-CGM % | 8 L JAVA % | 9 P JAVA % </v>
      </c>
      <c r="AC130" s="4" t="str">
        <f ca="1">IFERROR(__xludf.DUMMYFUNCTION("""COMPUTED_VALUE"""),"| 5 P Python % | 7 L CPT % | 8 L NS % | 9 P NS % ")</f>
        <v xml:space="preserve">| 5 P Python % | 7 L CPT % | 8 L NS % | 9 P NS % </v>
      </c>
      <c r="AD130" s="4" t="str">
        <f ca="1">IFERROR(__xludf.DUMMYFUNCTION("""COMPUTED_VALUE"""),"| 5 L PHP-CGM % | 6 L NS % | 7 P JAVA % | 9 P PRO % ")</f>
        <v xml:space="preserve">| 5 L PHP-CGM % | 6 L NS % | 7 P JAVA % | 9 P PRO % </v>
      </c>
      <c r="AE130" s="4" t="str">
        <f ca="1">IFERROR(__xludf.DUMMYFUNCTION("""COMPUTED_VALUE"""),"| 5 L JAVA % | 6 L CPT % | 7 P CPT % ")</f>
        <v xml:space="preserve">| 5 L JAVA % | 6 L CPT % | 7 P CPT % </v>
      </c>
      <c r="AF13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0" s="4" t="str">
        <f ca="1">IFERROR(__xludf.DUMMYFUNCTION("""COMPUTED_VALUE"""),"| 5 P Python % | 8 L JAVA % | 7 L PHP-CGM % | 9 P JAVA % ")</f>
        <v xml:space="preserve">| 5 P Python % | 8 L JAVA % | 7 L PHP-CGM % | 9 P JAVA % </v>
      </c>
      <c r="AH13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30" s="4" t="str">
        <f ca="1">IFERROR(__xludf.DUMMYFUNCTION("""COMPUTED_VALUE"""),"| 5 P Python % | 8 L JAVA % | 7 L PHP-CGM % | 9 P JAVA % ")</f>
        <v xml:space="preserve">| 5 P Python % | 8 L JAVA % | 7 L PHP-CGM % | 9 P JAVA % </v>
      </c>
      <c r="AJ130" s="4" t="str">
        <f ca="1">IFERROR(__xludf.DUMMYFUNCTION("""COMPUTED_VALUE"""),"| 5 P Python % | 7 L CPT % | 8 L NS % | 9 P NS % ")</f>
        <v xml:space="preserve">| 5 P Python % | 7 L CPT % | 8 L NS % | 9 P NS % </v>
      </c>
      <c r="AK130" s="4" t="str">
        <f ca="1">IFERROR(__xludf.DUMMYFUNCTION("""COMPUTED_VALUE"""),"| 5 L PHP-CGM % | 6 L NS % | 7 P JAVA % | 9 P PRO % ")</f>
        <v xml:space="preserve">| 5 L PHP-CGM % | 6 L NS % | 7 P JAVA % | 9 P PRO % </v>
      </c>
      <c r="AL130" s="4" t="str">
        <f ca="1">IFERROR(__xludf.DUMMYFUNCTION("""COMPUTED_VALUE"""),"| 5 L JAVA % | 6 L CPT % | 7 P CPT % | 9 L INE @ ")</f>
        <v xml:space="preserve">| 5 L JAVA % | 6 L CPT % | 7 P CPT % | 9 L INE @ </v>
      </c>
      <c r="AM13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30" s="4" t="str">
        <f ca="1">IFERROR(__xludf.DUMMYFUNCTION("""COMPUTED_VALUE"""),"| 5 P Python @ | 8 L JAVA @ | 7 L PHP-CGM @ | 9 P JAVA @ ")</f>
        <v xml:space="preserve">| 5 P Python @ | 8 L JAVA @ | 7 L PHP-CGM @ | 9 P JAVA @ </v>
      </c>
      <c r="AO130" s="4" t="str">
        <f ca="1">IFERROR(__xludf.DUMMYFUNCTION("""COMPUTED_VALUE"""),"| 5 P Python @ | 7 L CPT @ | 8 L NS @ ")</f>
        <v xml:space="preserve">| 5 P Python @ | 7 L CPT @ | 8 L NS @ </v>
      </c>
      <c r="AP130" s="4" t="str">
        <f ca="1">IFERROR(__xludf.DUMMYFUNCTION("""COMPUTED_VALUE"""),"| 5 L PHP-CGM @ | 6 L NS @ | 7 P JAVA @ | 9 P PRO @ ")</f>
        <v xml:space="preserve">| 5 L PHP-CGM @ | 6 L NS @ | 7 P JAVA @ | 9 P PRO @ </v>
      </c>
      <c r="AQ130" s="4" t="str">
        <f ca="1">IFERROR(__xludf.DUMMYFUNCTION("""COMPUTED_VALUE"""),"| 5 L CPT @ | 7 L JAVA @ | 7 P CPT @ | 9 L INE @ ")</f>
        <v xml:space="preserve">| 5 L CPT @ | 7 L JAVA @ | 7 P CPT @ | 9 L INE @ </v>
      </c>
      <c r="AR130" s="4" t="str">
        <f ca="1">IFERROR(__xludf.DUMMYFUNCTION("""COMPUTED_VALUE"""),"| 5 L PHP-CGM @ | 6 L NS @ | 8 L CPT @ ")</f>
        <v xml:space="preserve">| 5 L PHP-CGM @ | 6 L NS @ | 8 L CPT @ </v>
      </c>
      <c r="AS130" s="4" t="str">
        <f ca="1">IFERROR(__xludf.DUMMYFUNCTION("""COMPUTED_VALUE"""),"| 5 P Python % | 7 L CPT % | 8 L NS % | 9 P NS % ")</f>
        <v xml:space="preserve">| 5 P Python % | 7 L CPT % | 8 L NS % | 9 P NS % </v>
      </c>
      <c r="AT130" s="4" t="str">
        <f ca="1">IFERROR(__xludf.DUMMYFUNCTION("""COMPUTED_VALUE"""),"| 5 L PHP-CGM % | 6 L NS % | 7 P JAVA % | 9 P PRO % ")</f>
        <v xml:space="preserve">| 5 L PHP-CGM % | 6 L NS % | 7 P JAVA % | 9 P PRO % </v>
      </c>
      <c r="AU130" s="4" t="str">
        <f ca="1">IFERROR(__xludf.DUMMYFUNCTION("""COMPUTED_VALUE"""),"| 5 L JAVA % | 6 L CPT % | 7 P CPT % | 9 L INE % ")</f>
        <v xml:space="preserve">| 5 L JAVA % | 6 L CPT % | 7 P CPT % | 9 L INE % </v>
      </c>
      <c r="AV13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0" s="4" t="str">
        <f ca="1">IFERROR(__xludf.DUMMYFUNCTION("""COMPUTED_VALUE"""),"| 5 P Python % | 7 L PHP-CGM % | 8 L JAVA % | 9 P JAVA @ ")</f>
        <v xml:space="preserve">| 5 P Python % | 7 L PHP-CGM % | 8 L JAVA % | 9 P JAVA @ </v>
      </c>
      <c r="AX130" s="4" t="str">
        <f ca="1">IFERROR(__xludf.DUMMYFUNCTION("""COMPUTED_VALUE"""),"| 5 P Python % | 7 L CPT % | 8 L NS % | 9 P NS % ")</f>
        <v xml:space="preserve">| 5 P Python % | 7 L CPT % | 8 L NS % | 9 P NS % </v>
      </c>
      <c r="AY130" s="4" t="str">
        <f ca="1">IFERROR(__xludf.DUMMYFUNCTION("""COMPUTED_VALUE"""),"| 5 L PHP-CGM % | 6 L NS % | 7 P JAVA % ")</f>
        <v xml:space="preserve">| 5 L PHP-CGM % | 6 L NS % | 7 P JAVA % </v>
      </c>
      <c r="AZ130" s="4" t="str">
        <f ca="1">IFERROR(__xludf.DUMMYFUNCTION("""COMPUTED_VALUE"""),"| 5 L PHP-CGM % | 6 L NS % | 7 L JAVA % | 8 L CPT % ")</f>
        <v xml:space="preserve">| 5 L PHP-CGM % | 6 L NS % | 7 L JAVA % | 8 L CPT % </v>
      </c>
      <c r="BA130" s="4" t="str">
        <f ca="1">IFERROR(__xludf.DUMMYFUNCTION("""COMPUTED_VALUE"""),"| 5 P Python % | 7 L PHP-CGM % | 8 L JAVA % ")</f>
        <v xml:space="preserve">| 5 P Python % | 7 L PHP-CGM % | 8 L JAVA % </v>
      </c>
      <c r="BB130" s="4" t="str">
        <f ca="1">IFERROR(__xludf.DUMMYFUNCTION("""COMPUTED_VALUE"""),"| 5 P Python % | 7 L CPT % | 8 L NS % | 9 P NS % ")</f>
        <v xml:space="preserve">| 5 P Python % | 7 L CPT % | 8 L NS % | 9 P NS % </v>
      </c>
      <c r="BC130" s="4" t="str">
        <f ca="1">IFERROR(__xludf.DUMMYFUNCTION("""COMPUTED_VALUE"""),"| 5 L PHP-CGM % | 6 L NS % | 7 P JAVA @ | 9 P PRO % ")</f>
        <v xml:space="preserve">| 5 L PHP-CGM % | 6 L NS % | 7 P JAVA @ | 9 P PRO % </v>
      </c>
      <c r="BD130" s="4" t="str">
        <f ca="1">IFERROR(__xludf.DUMMYFUNCTION("""COMPUTED_VALUE"""),"| 5 L JAVA % | 6 L CPT % | 7 P CPT % | 9 L INE % ")</f>
        <v xml:space="preserve">| 5 L JAVA % | 6 L CPT % | 7 P CPT % | 9 L INE % </v>
      </c>
      <c r="BE13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30" s="4" t="str">
        <f ca="1">IFERROR(__xludf.DUMMYFUNCTION("""COMPUTED_VALUE"""),"| 5 P Python % | 7 L PHP-CGM % | 9 P JAVA % | 8 L JAVA % ")</f>
        <v xml:space="preserve">| 5 P Python % | 7 L PHP-CGM % | 9 P JAVA % | 8 L JAVA % </v>
      </c>
      <c r="BG130" s="4" t="str">
        <f ca="1">IFERROR(__xludf.DUMMYFUNCTION("""COMPUTED_VALUE"""),"| 5 L PHP-CGM % | 6 L NS % | 7 P JAVA % | 9 P PRO % ")</f>
        <v xml:space="preserve">| 5 L PHP-CGM % | 6 L NS % | 7 P JAVA % | 9 P PRO % </v>
      </c>
      <c r="BH130" s="4" t="str">
        <f ca="1">IFERROR(__xludf.DUMMYFUNCTION("""COMPUTED_VALUE"""),"| 5 L JAVA % | 6 L CPT % | 7 P CPT @ | 9 L INE @ ")</f>
        <v xml:space="preserve">| 5 L JAVA % | 6 L CPT % | 7 P CPT @ | 9 L INE @ </v>
      </c>
      <c r="BI130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0" s="4" t="str">
        <f ca="1">IFERROR(__xludf.DUMMYFUNCTION("""COMPUTED_VALUE"""),"| 5 P Python @ | 7 L JAVA % | 8 L PHP-CGM % ")</f>
        <v xml:space="preserve">| 5 P Python @ | 7 L JAVA % | 8 L PHP-CGM % </v>
      </c>
      <c r="BK130" s="4" t="str">
        <f ca="1">IFERROR(__xludf.DUMMYFUNCTION("""COMPUTED_VALUE"""),"| 5 P Python @ | 7 L CPT @ | 8 L NS @ | 9 P NS @ ")</f>
        <v xml:space="preserve">| 5 P Python @ | 7 L CPT @ | 8 L NS @ | 9 P NS @ </v>
      </c>
      <c r="BL130" s="4" t="str">
        <f ca="1">IFERROR(__xludf.DUMMYFUNCTION("""COMPUTED_VALUE"""),"| 5 L PHP-CGM @ | 6 L NS @ | 7 P JAVA @ | 9 P PRO @ ")</f>
        <v xml:space="preserve">| 5 L PHP-CGM @ | 6 L NS @ | 7 P JAVA @ | 9 P PRO @ </v>
      </c>
      <c r="BM130" s="4" t="str">
        <f ca="1">IFERROR(__xludf.DUMMYFUNCTION("""COMPUTED_VALUE"""),"| 5 L JAVA % | 6 L CPT % | 7 P CPT @ | 9 L INE @ ")</f>
        <v xml:space="preserve">| 5 L JAVA % | 6 L CPT % | 7 P CPT @ | 9 L INE @ </v>
      </c>
      <c r="BN130" s="4" t="str">
        <f ca="1">IFERROR(__xludf.DUMMYFUNCTION("""COMPUTED_VALUE"""),"| 5 L PHP-CGM % | 6 L NS % | 9 L JAVA @ | 8 L CPT @ | 9 P PHP-CGM @ ")</f>
        <v xml:space="preserve">| 5 L PHP-CGM % | 6 L NS % | 9 L JAVA @ | 8 L CPT @ | 9 P PHP-CGM @ </v>
      </c>
      <c r="BO130" s="4" t="str">
        <f ca="1">IFERROR(__xludf.DUMMYFUNCTION("""COMPUTED_VALUE"""),"| 5 P Python @ | 7 L PHP-CGM @ ")</f>
        <v xml:space="preserve">| 5 P Python @ | 7 L PHP-CGM @ </v>
      </c>
      <c r="BP130" s="4" t="str">
        <f ca="1">IFERROR(__xludf.DUMMYFUNCTION("""COMPUTED_VALUE"""),"| 5 P Python @ | 7 L CPT @ | 8 L NS @ | 9 P NS @ ")</f>
        <v xml:space="preserve">| 5 P Python @ | 7 L CPT @ | 8 L NS @ | 9 P NS @ </v>
      </c>
      <c r="BQ130" s="4" t="str">
        <f ca="1">IFERROR(__xludf.DUMMYFUNCTION("""COMPUTED_VALUE"""),"| 5 L JAVA % | 6 L CPT % ")</f>
        <v xml:space="preserve">| 5 L JAVA % | 6 L CPT % </v>
      </c>
      <c r="BR130" s="4" t="str">
        <f ca="1">IFERROR(__xludf.DUMMYFUNCTION("""COMPUTED_VALUE"""),"| 7 L JAVA @ ")</f>
        <v xml:space="preserve">| 7 L JAVA @ </v>
      </c>
      <c r="BS130" s="4"/>
      <c r="BT130" s="4" t="str">
        <f ca="1">IFERROR(__xludf.DUMMYFUNCTION("""COMPUTED_VALUE"""),"| 7 L CPT @ | 9 P NS @ ")</f>
        <v xml:space="preserve">| 7 L CPT @ | 9 P NS @ </v>
      </c>
      <c r="BU130" s="4" t="str">
        <f ca="1">IFERROR(__xludf.DUMMYFUNCTION("""COMPUTED_VALUE"""),"| 9 P PRO @ ")</f>
        <v xml:space="preserve">| 9 P PRO @ </v>
      </c>
      <c r="BV130" s="4" t="str">
        <f ca="1">IFERROR(__xludf.DUMMYFUNCTION("""COMPUTED_VALUE"""),"| 5 P Python @ | 7 L CPT @ | 8 L NS @ | 9 P NS @ ")</f>
        <v xml:space="preserve">| 5 P Python @ | 7 L CPT @ | 8 L NS @ | 9 P NS @ </v>
      </c>
      <c r="BW130" s="4"/>
      <c r="BX130" s="4" t="str">
        <f ca="1">IFERROR(__xludf.DUMMYFUNCTION("""COMPUTED_VALUE"""),"| 5 L JAVA % | 6 L CPT % | 7 P CPT % ")</f>
        <v xml:space="preserve">| 5 L JAVA % | 6 L CPT % | 7 P CPT % </v>
      </c>
      <c r="BY130" s="4" t="str">
        <f ca="1">IFERROR(__xludf.DUMMYFUNCTION("""COMPUTED_VALUE"""),"| 5 L PHP-CGM % | 6 L NS % | 7 L JAVA % | 8 L CPT % ")</f>
        <v xml:space="preserve">| 5 L PHP-CGM % | 6 L NS % | 7 L JAVA % | 8 L CPT % </v>
      </c>
      <c r="BZ130" s="4" t="str">
        <f ca="1">IFERROR(__xludf.DUMMYFUNCTION("""COMPUTED_VALUE"""),"| 5 P Python % | 8 L JAVA % | 7 L PHP-CGM % | 9 P JAVA % ")</f>
        <v xml:space="preserve">| 5 P Python % | 8 L JAVA % | 7 L PHP-CGM % | 9 P JAVA % </v>
      </c>
      <c r="CA130" s="4" t="str">
        <f ca="1">IFERROR(__xludf.DUMMYFUNCTION("""COMPUTED_VALUE"""),"| 5 P Python @ | 7 L CPT @ | 8 L NS @ | 9 P NS % ")</f>
        <v xml:space="preserve">| 5 P Python @ | 7 L CPT @ | 8 L NS @ | 9 P NS % </v>
      </c>
      <c r="CB130" s="4" t="str">
        <f ca="1">IFERROR(__xludf.DUMMYFUNCTION("""COMPUTED_VALUE"""),"| 5 L PHP-CGM @ | 6 L NS @ | 7 P JAVA @ ")</f>
        <v xml:space="preserve">| 5 L PHP-CGM @ | 6 L NS @ | 7 P JAVA @ </v>
      </c>
      <c r="CC130" s="4" t="str">
        <f ca="1">IFERROR(__xludf.DUMMYFUNCTION("""COMPUTED_VALUE"""),"| 5 L JAVA % | 7 P CPT % | 9 L INE % ")</f>
        <v xml:space="preserve">| 5 L JAVA % | 7 P CPT % | 9 L INE % </v>
      </c>
      <c r="CD130" s="4" t="str">
        <f ca="1">IFERROR(__xludf.DUMMYFUNCTION("""COMPUTED_VALUE"""),"| 5 L PHP-CGM % | 6 L NS @ | 7 L JAVA @ | 8 L CPT @ ")</f>
        <v xml:space="preserve">| 5 L PHP-CGM % | 6 L NS @ | 7 L JAVA @ | 8 L CPT @ </v>
      </c>
      <c r="CE130" s="4" t="str">
        <f ca="1">IFERROR(__xludf.DUMMYFUNCTION("""COMPUTED_VALUE"""),"| 5 P Python % | 8 L JAVA % | 7 L PHP-CGM % ")</f>
        <v xml:space="preserve">| 5 P Python % | 8 L JAVA % | 7 L PHP-CGM % </v>
      </c>
      <c r="CF130" s="4" t="str">
        <f ca="1">IFERROR(__xludf.DUMMYFUNCTION("""COMPUTED_VALUE"""),"| 5 P Python % | 7 L CPT @ | 8 L NS % | 9 P NS % ")</f>
        <v xml:space="preserve">| 5 P Python % | 7 L CPT @ | 8 L NS % | 9 P NS % </v>
      </c>
      <c r="CG130" s="4" t="str">
        <f ca="1">IFERROR(__xludf.DUMMYFUNCTION("""COMPUTED_VALUE"""),"| 5 L PHP-CGM % | 6 L NS % | 7 P JAVA % ")</f>
        <v xml:space="preserve">| 5 L PHP-CGM % | 6 L NS % | 7 P JAVA % </v>
      </c>
      <c r="CH130" s="4" t="str">
        <f ca="1">IFERROR(__xludf.DUMMYFUNCTION("""COMPUTED_VALUE"""),"| 5 L JAVA % | 6 L CPT % | 7 P CPT % | 9 L INE @ ")</f>
        <v xml:space="preserve">| 5 L JAVA % | 6 L CPT % | 7 P CPT % | 9 L INE @ </v>
      </c>
      <c r="CI130" s="4" t="str">
        <f ca="1">IFERROR(__xludf.DUMMYFUNCTION("""COMPUTED_VALUE"""),"| 5 L PHP-CGM % | 7 L JAVA % | 8 L CPT @ ")</f>
        <v xml:space="preserve">| 5 L PHP-CGM % | 7 L JAVA % | 8 L CPT @ </v>
      </c>
      <c r="CJ130" s="4" t="str">
        <f ca="1">IFERROR(__xludf.DUMMYFUNCTION("""COMPUTED_VALUE"""),"| 5 P Python % ")</f>
        <v xml:space="preserve">| 5 P Python % </v>
      </c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</row>
    <row r="131" spans="1:102" ht="12.5" x14ac:dyDescent="0.25">
      <c r="A131" s="3">
        <f ca="1">IFERROR(__xludf.DUMMYFUNCTION("""COMPUTED_VALUE"""),3)</f>
        <v>3</v>
      </c>
      <c r="B131" s="3" t="str">
        <f ca="1">IFERROR(__xludf.DUMMYFUNCTION("""COMPUTED_VALUE"""),"B")</f>
        <v>B</v>
      </c>
      <c r="C131" s="32" t="str">
        <f ca="1">IFERROR(__xludf.DUMMYFUNCTION("""COMPUTED_VALUE"""),"23291341113")</f>
        <v>23291341113</v>
      </c>
      <c r="D131" s="4" t="str">
        <f ca="1">IFERROR(__xludf.DUMMYFUNCTION("""COMPUTED_VALUE"""),"PATEL PINALBEN HARISHBHAI")</f>
        <v>PATEL PINALBEN HARISHBHAI</v>
      </c>
      <c r="E131" s="3" t="str">
        <f ca="1">IFERROR(__xludf.DUMMYFUNCTION("""COMPUTED_VALUE"""),"HAM/HDP-EVE")</f>
        <v>HAM/HDP-EVE</v>
      </c>
      <c r="F131" s="3">
        <f ca="1">IFERROR(__xludf.DUMMYFUNCTION("""COMPUTED_VALUE"""),9978141207)</f>
        <v>9978141207</v>
      </c>
      <c r="G131" s="3"/>
      <c r="H131" s="33">
        <f ca="1">IFERROR(__xludf.DUMMYFUNCTION("""COMPUTED_VALUE"""),0.826839826839826)</f>
        <v>0.82683982683982604</v>
      </c>
      <c r="I131" s="25">
        <f ca="1">IFERROR(__xludf.DUMMYFUNCTION("""COMPUTED_VALUE"""),0.81081081081081)</f>
        <v>0.81081081081080997</v>
      </c>
      <c r="J131" s="25">
        <f ca="1">IFERROR(__xludf.DUMMYFUNCTION("""COMPUTED_VALUE"""),1)</f>
        <v>1</v>
      </c>
      <c r="K131" s="25">
        <f ca="1">IFERROR(__xludf.DUMMYFUNCTION("""COMPUTED_VALUE"""),0.823529411764705)</f>
        <v>0.82352941176470495</v>
      </c>
      <c r="L131" s="25">
        <f ca="1">IFERROR(__xludf.DUMMYFUNCTION("""COMPUTED_VALUE"""),0.583333333333333)</f>
        <v>0.58333333333333304</v>
      </c>
      <c r="M131" s="25">
        <f ca="1">IFERROR(__xludf.DUMMYFUNCTION("""COMPUTED_VALUE"""),0.885714285714285)</f>
        <v>0.88571428571428501</v>
      </c>
      <c r="N131" s="25">
        <f ca="1">IFERROR(__xludf.DUMMYFUNCTION("""COMPUTED_VALUE"""),0.75)</f>
        <v>0.75</v>
      </c>
      <c r="O131" s="25">
        <f ca="1">IFERROR(__xludf.DUMMYFUNCTION("""COMPUTED_VALUE"""),0.942857142857142)</f>
        <v>0.94285714285714195</v>
      </c>
      <c r="P131" s="25">
        <f ca="1">IFERROR(__xludf.DUMMYFUNCTION("""COMPUTED_VALUE"""),0.944444444444444)</f>
        <v>0.94444444444444398</v>
      </c>
      <c r="Q131" s="25">
        <f ca="1">IFERROR(__xludf.DUMMYFUNCTION("""COMPUTED_VALUE"""),0)</f>
        <v>0</v>
      </c>
      <c r="R131" s="25">
        <f ca="1">IFERROR(__xludf.DUMMYFUNCTION("""COMPUTED_VALUE"""),0.833333333333333)</f>
        <v>0.83333333333333304</v>
      </c>
      <c r="S131" s="25">
        <f ca="1">IFERROR(__xludf.DUMMYFUNCTION("""COMPUTED_VALUE"""),0)</f>
        <v>0</v>
      </c>
      <c r="T131" s="25">
        <f ca="1">IFERROR(__xludf.DUMMYFUNCTION("""COMPUTED_VALUE"""),0.555555555555555)</f>
        <v>0.55555555555555503</v>
      </c>
      <c r="U131" s="25">
        <f ca="1">IFERROR(__xludf.DUMMYFUNCTION("""COMPUTED_VALUE"""),0.375)</f>
        <v>0.375</v>
      </c>
      <c r="V131" s="25">
        <f ca="1">IFERROR(__xludf.DUMMYFUNCTION("""COMPUTED_VALUE"""),0)</f>
        <v>0</v>
      </c>
      <c r="W131" s="4"/>
      <c r="X131" s="4" t="str">
        <f ca="1">IFERROR(__xludf.DUMMYFUNCTION("""COMPUTED_VALUE"""),"| 5 P Python @ | 7 L CPT @ | 8 L NS @ | 9 P NS @ ")</f>
        <v xml:space="preserve">| 5 P Python @ | 7 L CPT @ | 8 L NS @ | 9 P NS @ </v>
      </c>
      <c r="Y131" s="4" t="str">
        <f ca="1">IFERROR(__xludf.DUMMYFUNCTION("""COMPUTED_VALUE"""),"| 5 L PHP-CGM % | 6 L NS % | 7 P JAVA % | 9 P PRO % ")</f>
        <v xml:space="preserve">| 5 L PHP-CGM % | 6 L NS % | 7 P JAVA % | 9 P PRO % </v>
      </c>
      <c r="Z131" s="4" t="str">
        <f ca="1">IFERROR(__xludf.DUMMYFUNCTION("""COMPUTED_VALUE"""),"| 5 L JAVA % | 6 L CPT % | 7 P CPT % ")</f>
        <v xml:space="preserve">| 5 L JAVA % | 6 L CPT % | 7 P CPT % </v>
      </c>
      <c r="AA131" s="4" t="str">
        <f ca="1">IFERROR(__xludf.DUMMYFUNCTION("""COMPUTED_VALUE"""),"| 5 L PHP-CGM % | 7 L JAVA % | 9 P PHP-CGM % | 8 L CPT % ")</f>
        <v xml:space="preserve">| 5 L PHP-CGM % | 7 L JAVA % | 9 P PHP-CGM % | 8 L CPT % </v>
      </c>
      <c r="AB131" s="4" t="str">
        <f ca="1">IFERROR(__xludf.DUMMYFUNCTION("""COMPUTED_VALUE"""),"| 5 P Python % | 7 L PHP-CGM % | 8 L JAVA % | 9 P JAVA % ")</f>
        <v xml:space="preserve">| 5 P Python % | 7 L PHP-CGM % | 8 L JAVA % | 9 P JAVA % </v>
      </c>
      <c r="AC131" s="4" t="str">
        <f ca="1">IFERROR(__xludf.DUMMYFUNCTION("""COMPUTED_VALUE"""),"| 5 P Python % | 7 L CPT % | 8 L NS % | 9 P NS % ")</f>
        <v xml:space="preserve">| 5 P Python % | 7 L CPT % | 8 L NS % | 9 P NS % </v>
      </c>
      <c r="AD131" s="4" t="str">
        <f ca="1">IFERROR(__xludf.DUMMYFUNCTION("""COMPUTED_VALUE"""),"| 5 L PHP-CGM % | 6 L NS % | 7 P JAVA % | 9 P PRO % ")</f>
        <v xml:space="preserve">| 5 L PHP-CGM % | 6 L NS % | 7 P JAVA % | 9 P PRO % </v>
      </c>
      <c r="AE131" s="4" t="str">
        <f ca="1">IFERROR(__xludf.DUMMYFUNCTION("""COMPUTED_VALUE"""),"| 5 L JAVA % | 6 L CPT % | 7 P CPT % ")</f>
        <v xml:space="preserve">| 5 L JAVA % | 6 L CPT % | 7 P CPT % </v>
      </c>
      <c r="AF13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1" s="4" t="str">
        <f ca="1">IFERROR(__xludf.DUMMYFUNCTION("""COMPUTED_VALUE"""),"| 5 P Python % | 8 L JAVA % | 7 L PHP-CGM % | 9 P JAVA @ ")</f>
        <v xml:space="preserve">| 5 P Python % | 8 L JAVA % | 7 L PHP-CGM % | 9 P JAVA @ </v>
      </c>
      <c r="AH131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I131" s="4" t="str">
        <f ca="1">IFERROR(__xludf.DUMMYFUNCTION("""COMPUTED_VALUE"""),"| 5 P Python % | 8 L JAVA % | 7 L PHP-CGM % | 9 P JAVA % ")</f>
        <v xml:space="preserve">| 5 P Python % | 8 L JAVA % | 7 L PHP-CGM % | 9 P JAVA % </v>
      </c>
      <c r="AJ131" s="4" t="str">
        <f ca="1">IFERROR(__xludf.DUMMYFUNCTION("""COMPUTED_VALUE"""),"| 5 P Python % | 7 L CPT % | 8 L NS % | 9 P NS % ")</f>
        <v xml:space="preserve">| 5 P Python % | 7 L CPT % | 8 L NS % | 9 P NS % </v>
      </c>
      <c r="AK131" s="4" t="str">
        <f ca="1">IFERROR(__xludf.DUMMYFUNCTION("""COMPUTED_VALUE"""),"| 5 L PHP-CGM % | 6 L NS % | 7 P JAVA % | 9 P PRO @ ")</f>
        <v xml:space="preserve">| 5 L PHP-CGM % | 6 L NS % | 7 P JAVA % | 9 P PRO @ </v>
      </c>
      <c r="AL131" s="4" t="str">
        <f ca="1">IFERROR(__xludf.DUMMYFUNCTION("""COMPUTED_VALUE"""),"| 5 L JAVA % | 6 L CPT % | 7 P CPT % | 9 L INE @ ")</f>
        <v xml:space="preserve">| 5 L JAVA % | 6 L CPT % | 7 P CPT % | 9 L INE @ </v>
      </c>
      <c r="AM13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31" s="4" t="str">
        <f ca="1">IFERROR(__xludf.DUMMYFUNCTION("""COMPUTED_VALUE"""),"| 5 P Python @ | 8 L JAVA % | 7 L PHP-CGM % | 9 P JAVA % ")</f>
        <v xml:space="preserve">| 5 P Python @ | 8 L JAVA % | 7 L PHP-CGM % | 9 P JAVA % </v>
      </c>
      <c r="AO131" s="4" t="str">
        <f ca="1">IFERROR(__xludf.DUMMYFUNCTION("""COMPUTED_VALUE"""),"| 5 P Python % | 7 L CPT % | 8 L NS % ")</f>
        <v xml:space="preserve">| 5 P Python % | 7 L CPT % | 8 L NS % </v>
      </c>
      <c r="AP131" s="4" t="str">
        <f ca="1">IFERROR(__xludf.DUMMYFUNCTION("""COMPUTED_VALUE"""),"| 5 L PHP-CGM % | 6 L NS % | 7 P JAVA % | 9 P PRO % ")</f>
        <v xml:space="preserve">| 5 L PHP-CGM % | 6 L NS % | 7 P JAVA % | 9 P PRO % </v>
      </c>
      <c r="AQ131" s="4" t="str">
        <f ca="1">IFERROR(__xludf.DUMMYFUNCTION("""COMPUTED_VALUE"""),"| 5 L CPT % | 7 L JAVA % | 7 P CPT % | 9 L INE % ")</f>
        <v xml:space="preserve">| 5 L CPT % | 7 L JAVA % | 7 P CPT % | 9 L INE % </v>
      </c>
      <c r="AR131" s="4" t="str">
        <f ca="1">IFERROR(__xludf.DUMMYFUNCTION("""COMPUTED_VALUE"""),"| 5 L PHP-CGM % | 6 L NS % | 8 L CPT @ ")</f>
        <v xml:space="preserve">| 5 L PHP-CGM % | 6 L NS % | 8 L CPT @ </v>
      </c>
      <c r="AS131" s="4" t="str">
        <f ca="1">IFERROR(__xludf.DUMMYFUNCTION("""COMPUTED_VALUE"""),"| 5 P Python % | 7 L CPT % | 8 L NS % | 9 P NS % ")</f>
        <v xml:space="preserve">| 5 P Python % | 7 L CPT % | 8 L NS % | 9 P NS % </v>
      </c>
      <c r="AT131" s="4" t="str">
        <f ca="1">IFERROR(__xludf.DUMMYFUNCTION("""COMPUTED_VALUE"""),"| 5 L PHP-CGM % | 6 L NS % | 7 P JAVA % | 9 P PRO % ")</f>
        <v xml:space="preserve">| 5 L PHP-CGM % | 6 L NS % | 7 P JAVA % | 9 P PRO % </v>
      </c>
      <c r="AU131" s="4" t="str">
        <f ca="1">IFERROR(__xludf.DUMMYFUNCTION("""COMPUTED_VALUE"""),"| 5 L JAVA % | 6 L CPT % | 7 P CPT % | 9 L INE @ ")</f>
        <v xml:space="preserve">| 5 L JAVA % | 6 L CPT % | 7 P CPT % | 9 L INE @ </v>
      </c>
      <c r="AV13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1" s="4" t="str">
        <f ca="1">IFERROR(__xludf.DUMMYFUNCTION("""COMPUTED_VALUE"""),"| 5 P Python % | 7 L PHP-CGM % | 8 L JAVA % | 9 P JAVA % ")</f>
        <v xml:space="preserve">| 5 P Python % | 7 L PHP-CGM % | 8 L JAVA % | 9 P JAVA % </v>
      </c>
      <c r="AX131" s="4" t="str">
        <f ca="1">IFERROR(__xludf.DUMMYFUNCTION("""COMPUTED_VALUE"""),"| 5 P Python % | 7 L CPT % | 8 L NS % | 9 P NS % ")</f>
        <v xml:space="preserve">| 5 P Python % | 7 L CPT % | 8 L NS % | 9 P NS % </v>
      </c>
      <c r="AY131" s="4" t="str">
        <f ca="1">IFERROR(__xludf.DUMMYFUNCTION("""COMPUTED_VALUE"""),"| 5 L PHP-CGM % | 6 L NS % | 7 P JAVA % ")</f>
        <v xml:space="preserve">| 5 L PHP-CGM % | 6 L NS % | 7 P JAVA % </v>
      </c>
      <c r="AZ131" s="4" t="str">
        <f ca="1">IFERROR(__xludf.DUMMYFUNCTION("""COMPUTED_VALUE"""),"| 5 L PHP-CGM % | 6 L NS % | 7 L JAVA % | 8 L CPT % ")</f>
        <v xml:space="preserve">| 5 L PHP-CGM % | 6 L NS % | 7 L JAVA % | 8 L CPT % </v>
      </c>
      <c r="BA131" s="4" t="str">
        <f ca="1">IFERROR(__xludf.DUMMYFUNCTION("""COMPUTED_VALUE"""),"| 5 P Python % | 7 L PHP-CGM % | 8 L JAVA % ")</f>
        <v xml:space="preserve">| 5 P Python % | 7 L PHP-CGM % | 8 L JAVA % </v>
      </c>
      <c r="BB131" s="4" t="str">
        <f ca="1">IFERROR(__xludf.DUMMYFUNCTION("""COMPUTED_VALUE"""),"| 5 P Python % | 7 L CPT % | 8 L NS % | 9 P NS % ")</f>
        <v xml:space="preserve">| 5 P Python % | 7 L CPT % | 8 L NS % | 9 P NS % </v>
      </c>
      <c r="BC131" s="4" t="str">
        <f ca="1">IFERROR(__xludf.DUMMYFUNCTION("""COMPUTED_VALUE"""),"| 5 L PHP-CGM % | 6 L NS % | 7 P JAVA % | 9 P PRO @ ")</f>
        <v xml:space="preserve">| 5 L PHP-CGM % | 6 L NS % | 7 P JAVA % | 9 P PRO @ </v>
      </c>
      <c r="BD131" s="4" t="str">
        <f ca="1">IFERROR(__xludf.DUMMYFUNCTION("""COMPUTED_VALUE"""),"| 5 L JAVA % | 6 L CPT % | 7 P CPT % | 9 L INE % ")</f>
        <v xml:space="preserve">| 5 L JAVA % | 6 L CPT % | 7 P CPT % | 9 L INE % </v>
      </c>
      <c r="BE13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31" s="4" t="str">
        <f ca="1">IFERROR(__xludf.DUMMYFUNCTION("""COMPUTED_VALUE"""),"| 5 P Python % | 7 L PHP-CGM % | 9 P JAVA % | 8 L JAVA % ")</f>
        <v xml:space="preserve">| 5 P Python % | 7 L PHP-CGM % | 9 P JAVA % | 8 L JAVA % </v>
      </c>
      <c r="BG131" s="4" t="str">
        <f ca="1">IFERROR(__xludf.DUMMYFUNCTION("""COMPUTED_VALUE"""),"| 5 L PHP-CGM % | 6 L NS % | 7 P JAVA % | 9 P PRO % ")</f>
        <v xml:space="preserve">| 5 L PHP-CGM % | 6 L NS % | 7 P JAVA % | 9 P PRO % </v>
      </c>
      <c r="BH131" s="4" t="str">
        <f ca="1">IFERROR(__xludf.DUMMYFUNCTION("""COMPUTED_VALUE"""),"| 5 L JAVA % | 6 L CPT % | 7 P CPT % | 9 L INE @ ")</f>
        <v xml:space="preserve">| 5 L JAVA % | 6 L CPT % | 7 P CPT % | 9 L INE @ </v>
      </c>
      <c r="BI131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1" s="4" t="str">
        <f ca="1">IFERROR(__xludf.DUMMYFUNCTION("""COMPUTED_VALUE"""),"| 5 P Python % | 7 L JAVA @ | 8 L PHP-CGM @ ")</f>
        <v xml:space="preserve">| 5 P Python % | 7 L JAVA @ | 8 L PHP-CGM @ </v>
      </c>
      <c r="BK131" s="4" t="str">
        <f ca="1">IFERROR(__xludf.DUMMYFUNCTION("""COMPUTED_VALUE"""),"| 5 P Python % | 7 L CPT % | 8 L NS @ | 9 P NS @ ")</f>
        <v xml:space="preserve">| 5 P Python % | 7 L CPT % | 8 L NS @ | 9 P NS @ </v>
      </c>
      <c r="BL131" s="4" t="str">
        <f ca="1">IFERROR(__xludf.DUMMYFUNCTION("""COMPUTED_VALUE"""),"| 5 L PHP-CGM % | 6 L NS % | 7 P JAVA % | 9 P PRO @ ")</f>
        <v xml:space="preserve">| 5 L PHP-CGM % | 6 L NS % | 7 P JAVA % | 9 P PRO @ </v>
      </c>
      <c r="BM131" s="4" t="str">
        <f ca="1">IFERROR(__xludf.DUMMYFUNCTION("""COMPUTED_VALUE"""),"| 5 L JAVA % | 6 L CPT % | 7 P CPT % | 9 L INE @ ")</f>
        <v xml:space="preserve">| 5 L JAVA % | 6 L CPT % | 7 P CPT % | 9 L INE @ </v>
      </c>
      <c r="BN131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31" s="4" t="str">
        <f ca="1">IFERROR(__xludf.DUMMYFUNCTION("""COMPUTED_VALUE"""),"| 5 P Python % | 7 L PHP-CGM % ")</f>
        <v xml:space="preserve">| 5 P Python % | 7 L PHP-CGM % </v>
      </c>
      <c r="BP131" s="4" t="str">
        <f ca="1">IFERROR(__xludf.DUMMYFUNCTION("""COMPUTED_VALUE"""),"| 5 P Python @ | 7 L CPT @ | 8 L NS @ | 9 P NS @ ")</f>
        <v xml:space="preserve">| 5 P Python @ | 7 L CPT @ | 8 L NS @ | 9 P NS @ </v>
      </c>
      <c r="BQ131" s="4" t="str">
        <f ca="1">IFERROR(__xludf.DUMMYFUNCTION("""COMPUTED_VALUE"""),"| 5 L JAVA @ | 6 L CPT @ ")</f>
        <v xml:space="preserve">| 5 L JAVA @ | 6 L CPT @ </v>
      </c>
      <c r="BR131" s="4" t="str">
        <f ca="1">IFERROR(__xludf.DUMMYFUNCTION("""COMPUTED_VALUE"""),"| 7 L JAVA % ")</f>
        <v xml:space="preserve">| 7 L JAVA % </v>
      </c>
      <c r="BS131" s="4"/>
      <c r="BT131" s="4" t="str">
        <f ca="1">IFERROR(__xludf.DUMMYFUNCTION("""COMPUTED_VALUE"""),"| 7 L CPT @ | 9 P NS @ ")</f>
        <v xml:space="preserve">| 7 L CPT @ | 9 P NS @ </v>
      </c>
      <c r="BU131" s="4" t="str">
        <f ca="1">IFERROR(__xludf.DUMMYFUNCTION("""COMPUTED_VALUE"""),"| 9 P PRO @ ")</f>
        <v xml:space="preserve">| 9 P PRO @ </v>
      </c>
      <c r="BV131" s="4" t="str">
        <f ca="1">IFERROR(__xludf.DUMMYFUNCTION("""COMPUTED_VALUE"""),"| 5 P Python @ | 7 L CPT @ | 8 L NS @ | 9 P NS @ ")</f>
        <v xml:space="preserve">| 5 P Python @ | 7 L CPT @ | 8 L NS @ | 9 P NS @ </v>
      </c>
      <c r="BW131" s="4"/>
      <c r="BX131" s="4" t="str">
        <f ca="1">IFERROR(__xludf.DUMMYFUNCTION("""COMPUTED_VALUE"""),"| 5 L JAVA % | 6 L CPT % | 7 P CPT % ")</f>
        <v xml:space="preserve">| 5 L JAVA % | 6 L CPT % | 7 P CPT % </v>
      </c>
      <c r="BY131" s="4" t="str">
        <f ca="1">IFERROR(__xludf.DUMMYFUNCTION("""COMPUTED_VALUE"""),"| 5 L PHP-CGM % | 6 L NS % | 7 L JAVA % | 8 L CPT % ")</f>
        <v xml:space="preserve">| 5 L PHP-CGM % | 6 L NS % | 7 L JAVA % | 8 L CPT % </v>
      </c>
      <c r="BZ131" s="4" t="str">
        <f ca="1">IFERROR(__xludf.DUMMYFUNCTION("""COMPUTED_VALUE"""),"| 5 P Python % | 8 L JAVA % | 7 L PHP-CGM % | 9 P JAVA % ")</f>
        <v xml:space="preserve">| 5 P Python % | 8 L JAVA % | 7 L PHP-CGM % | 9 P JAVA % </v>
      </c>
      <c r="CA131" s="4" t="str">
        <f ca="1">IFERROR(__xludf.DUMMYFUNCTION("""COMPUTED_VALUE"""),"| 5 P Python % | 7 L CPT % | 8 L NS % | 9 P NS % ")</f>
        <v xml:space="preserve">| 5 P Python % | 7 L CPT % | 8 L NS % | 9 P NS % </v>
      </c>
      <c r="CB131" s="4" t="str">
        <f ca="1">IFERROR(__xludf.DUMMYFUNCTION("""COMPUTED_VALUE"""),"| 5 L PHP-CGM @ | 6 L NS @ | 7 P JAVA % ")</f>
        <v xml:space="preserve">| 5 L PHP-CGM @ | 6 L NS @ | 7 P JAVA % </v>
      </c>
      <c r="CC131" s="4" t="str">
        <f ca="1">IFERROR(__xludf.DUMMYFUNCTION("""COMPUTED_VALUE"""),"| 5 L JAVA % | 7 P CPT % | 9 L INE % ")</f>
        <v xml:space="preserve">| 5 L JAVA % | 7 P CPT % | 9 L INE % </v>
      </c>
      <c r="CD131" s="4" t="str">
        <f ca="1">IFERROR(__xludf.DUMMYFUNCTION("""COMPUTED_VALUE"""),"| 5 L PHP-CGM % | 6 L NS % | 7 L JAVA % | 8 L CPT % ")</f>
        <v xml:space="preserve">| 5 L PHP-CGM % | 6 L NS % | 7 L JAVA % | 8 L CPT % </v>
      </c>
      <c r="CE131" s="4" t="str">
        <f ca="1">IFERROR(__xludf.DUMMYFUNCTION("""COMPUTED_VALUE"""),"| 5 P Python % | 8 L JAVA % | 7 L PHP-CGM % ")</f>
        <v xml:space="preserve">| 5 P Python % | 8 L JAVA % | 7 L PHP-CGM % </v>
      </c>
      <c r="CF131" s="4" t="str">
        <f ca="1">IFERROR(__xludf.DUMMYFUNCTION("""COMPUTED_VALUE"""),"| 5 P Python % | 7 L CPT % | 8 L NS % | 9 P NS % ")</f>
        <v xml:space="preserve">| 5 P Python % | 7 L CPT % | 8 L NS % | 9 P NS % </v>
      </c>
      <c r="CG131" s="4" t="str">
        <f ca="1">IFERROR(__xludf.DUMMYFUNCTION("""COMPUTED_VALUE"""),"| 5 L PHP-CGM @ | 6 L NS @ | 7 P JAVA % ")</f>
        <v xml:space="preserve">| 5 L PHP-CGM @ | 6 L NS @ | 7 P JAVA % </v>
      </c>
      <c r="CH131" s="4" t="str">
        <f ca="1">IFERROR(__xludf.DUMMYFUNCTION("""COMPUTED_VALUE"""),"| 5 L JAVA % | 6 L CPT % | 7 P CPT % | 9 L INE @ ")</f>
        <v xml:space="preserve">| 5 L JAVA % | 6 L CPT % | 7 P CPT % | 9 L INE @ </v>
      </c>
      <c r="CI131" s="4" t="str">
        <f ca="1">IFERROR(__xludf.DUMMYFUNCTION("""COMPUTED_VALUE"""),"| 5 L PHP-CGM @ | 7 L JAVA % | 8 L CPT @ ")</f>
        <v xml:space="preserve">| 5 L PHP-CGM @ | 7 L JAVA % | 8 L CPT @ </v>
      </c>
      <c r="CJ131" s="4" t="str">
        <f ca="1">IFERROR(__xludf.DUMMYFUNCTION("""COMPUTED_VALUE"""),"| 5 P Python % ")</f>
        <v xml:space="preserve">| 5 P Python % </v>
      </c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</row>
    <row r="132" spans="1:102" ht="12.5" x14ac:dyDescent="0.25">
      <c r="A132" s="3">
        <f ca="1">IFERROR(__xludf.DUMMYFUNCTION("""COMPUTED_VALUE"""),3)</f>
        <v>3</v>
      </c>
      <c r="B132" s="3" t="str">
        <f ca="1">IFERROR(__xludf.DUMMYFUNCTION("""COMPUTED_VALUE"""),"B")</f>
        <v>B</v>
      </c>
      <c r="C132" s="32" t="str">
        <f ca="1">IFERROR(__xludf.DUMMYFUNCTION("""COMPUTED_VALUE"""),"23291341116")</f>
        <v>23291341116</v>
      </c>
      <c r="D132" s="4" t="str">
        <f ca="1">IFERROR(__xludf.DUMMYFUNCTION("""COMPUTED_VALUE"""),"PATEL PRINS ASHOKKUMAR")</f>
        <v>PATEL PRINS ASHOKKUMAR</v>
      </c>
      <c r="E132" s="3" t="str">
        <f ca="1">IFERROR(__xludf.DUMMYFUNCTION("""COMPUTED_VALUE"""),"HAM/HDP-EVE")</f>
        <v>HAM/HDP-EVE</v>
      </c>
      <c r="F132" s="3">
        <f ca="1">IFERROR(__xludf.DUMMYFUNCTION("""COMPUTED_VALUE"""),6354023431)</f>
        <v>6354023431</v>
      </c>
      <c r="G132" s="3">
        <f ca="1">IFERROR(__xludf.DUMMYFUNCTION("""COMPUTED_VALUE"""),9726341303)</f>
        <v>9726341303</v>
      </c>
      <c r="H132" s="33">
        <f ca="1">IFERROR(__xludf.DUMMYFUNCTION("""COMPUTED_VALUE"""),0.64069264069264)</f>
        <v>0.64069264069263998</v>
      </c>
      <c r="I132" s="25">
        <f ca="1">IFERROR(__xludf.DUMMYFUNCTION("""COMPUTED_VALUE"""),0.675675675675675)</f>
        <v>0.67567567567567499</v>
      </c>
      <c r="J132" s="25">
        <f ca="1">IFERROR(__xludf.DUMMYFUNCTION("""COMPUTED_VALUE"""),0.818181818181818)</f>
        <v>0.81818181818181801</v>
      </c>
      <c r="K132" s="25">
        <f ca="1">IFERROR(__xludf.DUMMYFUNCTION("""COMPUTED_VALUE"""),0.617647058823529)</f>
        <v>0.61764705882352899</v>
      </c>
      <c r="L132" s="25">
        <f ca="1">IFERROR(__xludf.DUMMYFUNCTION("""COMPUTED_VALUE"""),0.5)</f>
        <v>0.5</v>
      </c>
      <c r="M132" s="25">
        <f ca="1">IFERROR(__xludf.DUMMYFUNCTION("""COMPUTED_VALUE"""),0.628571428571428)</f>
        <v>0.628571428571428</v>
      </c>
      <c r="N132" s="25">
        <f ca="1">IFERROR(__xludf.DUMMYFUNCTION("""COMPUTED_VALUE"""),0.5)</f>
        <v>0.5</v>
      </c>
      <c r="O132" s="25">
        <f ca="1">IFERROR(__xludf.DUMMYFUNCTION("""COMPUTED_VALUE"""),0.714285714285714)</f>
        <v>0.71428571428571397</v>
      </c>
      <c r="P132" s="25">
        <f ca="1">IFERROR(__xludf.DUMMYFUNCTION("""COMPUTED_VALUE"""),0.666666666666666)</f>
        <v>0.66666666666666596</v>
      </c>
      <c r="Q132" s="25">
        <f ca="1">IFERROR(__xludf.DUMMYFUNCTION("""COMPUTED_VALUE"""),0)</f>
        <v>0</v>
      </c>
      <c r="R132" s="25">
        <f ca="1">IFERROR(__xludf.DUMMYFUNCTION("""COMPUTED_VALUE"""),0.666666666666666)</f>
        <v>0.66666666666666596</v>
      </c>
      <c r="S132" s="25">
        <f ca="1">IFERROR(__xludf.DUMMYFUNCTION("""COMPUTED_VALUE"""),0)</f>
        <v>0</v>
      </c>
      <c r="T132" s="25">
        <f ca="1">IFERROR(__xludf.DUMMYFUNCTION("""COMPUTED_VALUE"""),0.444444444444444)</f>
        <v>0.44444444444444398</v>
      </c>
      <c r="U132" s="25">
        <f ca="1">IFERROR(__xludf.DUMMYFUNCTION("""COMPUTED_VALUE"""),0.5)</f>
        <v>0.5</v>
      </c>
      <c r="V132" s="25">
        <f ca="1">IFERROR(__xludf.DUMMYFUNCTION("""COMPUTED_VALUE"""),0)</f>
        <v>0</v>
      </c>
      <c r="W132" s="4"/>
      <c r="X132" s="4" t="str">
        <f ca="1">IFERROR(__xludf.DUMMYFUNCTION("""COMPUTED_VALUE"""),"| 5 P Python @ | 7 L CPT @ | 8 L NS @ | 9 P NS @ ")</f>
        <v xml:space="preserve">| 5 P Python @ | 7 L CPT @ | 8 L NS @ | 9 P NS @ </v>
      </c>
      <c r="Y132" s="4" t="str">
        <f ca="1">IFERROR(__xludf.DUMMYFUNCTION("""COMPUTED_VALUE"""),"| 5 L PHP-CGM % | 6 L NS % | 7 P JAVA @ | 9 P PRO @ ")</f>
        <v xml:space="preserve">| 5 L PHP-CGM % | 6 L NS % | 7 P JAVA @ | 9 P PRO @ </v>
      </c>
      <c r="Z132" s="4" t="str">
        <f ca="1">IFERROR(__xludf.DUMMYFUNCTION("""COMPUTED_VALUE"""),"| 5 L JAVA % | 6 L CPT % | 7 P CPT % ")</f>
        <v xml:space="preserve">| 5 L JAVA % | 6 L CPT % | 7 P CPT % </v>
      </c>
      <c r="AA132" s="4" t="str">
        <f ca="1">IFERROR(__xludf.DUMMYFUNCTION("""COMPUTED_VALUE"""),"| 5 L PHP-CGM % | 7 L JAVA % | 9 P PHP-CGM % | 8 L CPT % ")</f>
        <v xml:space="preserve">| 5 L PHP-CGM % | 7 L JAVA % | 9 P PHP-CGM % | 8 L CPT % </v>
      </c>
      <c r="AB132" s="4" t="str">
        <f ca="1">IFERROR(__xludf.DUMMYFUNCTION("""COMPUTED_VALUE"""),"| 5 P Python % | 7 L PHP-CGM % | 8 L JAVA % | 9 P JAVA % ")</f>
        <v xml:space="preserve">| 5 P Python % | 7 L PHP-CGM % | 8 L JAVA % | 9 P JAVA % </v>
      </c>
      <c r="AC132" s="4" t="str">
        <f ca="1">IFERROR(__xludf.DUMMYFUNCTION("""COMPUTED_VALUE"""),"| 5 P Python % | 7 L CPT % | 8 L NS % | 9 P NS % ")</f>
        <v xml:space="preserve">| 5 P Python % | 7 L CPT % | 8 L NS % | 9 P NS % </v>
      </c>
      <c r="AD132" s="4" t="str">
        <f ca="1">IFERROR(__xludf.DUMMYFUNCTION("""COMPUTED_VALUE"""),"| 5 L PHP-CGM % | 6 L NS % | 7 P JAVA % | 9 P PRO % ")</f>
        <v xml:space="preserve">| 5 L PHP-CGM % | 6 L NS % | 7 P JAVA % | 9 P PRO % </v>
      </c>
      <c r="AE132" s="4" t="str">
        <f ca="1">IFERROR(__xludf.DUMMYFUNCTION("""COMPUTED_VALUE"""),"| 5 L JAVA % | 6 L CPT % | 7 P CPT % ")</f>
        <v xml:space="preserve">| 5 L JAVA % | 6 L CPT % | 7 P CPT % </v>
      </c>
      <c r="AF13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2" s="4" t="str">
        <f ca="1">IFERROR(__xludf.DUMMYFUNCTION("""COMPUTED_VALUE"""),"| 5 P Python % | 8 L JAVA % | 7 L PHP-CGM % | 9 P JAVA % ")</f>
        <v xml:space="preserve">| 5 P Python % | 8 L JAVA % | 7 L PHP-CGM % | 9 P JAVA % </v>
      </c>
      <c r="AH13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32" s="4" t="str">
        <f ca="1">IFERROR(__xludf.DUMMYFUNCTION("""COMPUTED_VALUE"""),"| 5 P Python % | 8 L JAVA % | 7 L PHP-CGM % | 9 P JAVA % ")</f>
        <v xml:space="preserve">| 5 P Python % | 8 L JAVA % | 7 L PHP-CGM % | 9 P JAVA % </v>
      </c>
      <c r="AJ132" s="4" t="str">
        <f ca="1">IFERROR(__xludf.DUMMYFUNCTION("""COMPUTED_VALUE"""),"| 5 P Python % | 7 L CPT % | 8 L NS % | 9 P NS % ")</f>
        <v xml:space="preserve">| 5 P Python % | 7 L CPT % | 8 L NS % | 9 P NS % </v>
      </c>
      <c r="AK132" s="4" t="str">
        <f ca="1">IFERROR(__xludf.DUMMYFUNCTION("""COMPUTED_VALUE"""),"| 5 L PHP-CGM % | 6 L NS % | 7 P JAVA % | 9 P PRO % ")</f>
        <v xml:space="preserve">| 5 L PHP-CGM % | 6 L NS % | 7 P JAVA % | 9 P PRO % </v>
      </c>
      <c r="AL132" s="4" t="str">
        <f ca="1">IFERROR(__xludf.DUMMYFUNCTION("""COMPUTED_VALUE"""),"| 5 L JAVA % | 6 L CPT % | 7 P CPT % | 9 L INE @ ")</f>
        <v xml:space="preserve">| 5 L JAVA % | 6 L CPT % | 7 P CPT % | 9 L INE @ </v>
      </c>
      <c r="AM132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N132" s="4" t="str">
        <f ca="1">IFERROR(__xludf.DUMMYFUNCTION("""COMPUTED_VALUE"""),"| 5 P Python @ | 8 L JAVA @ | 7 L PHP-CGM @ | 9 P JAVA @ ")</f>
        <v xml:space="preserve">| 5 P Python @ | 8 L JAVA @ | 7 L PHP-CGM @ | 9 P JAVA @ </v>
      </c>
      <c r="AO132" s="4" t="str">
        <f ca="1">IFERROR(__xludf.DUMMYFUNCTION("""COMPUTED_VALUE"""),"| 5 P Python % | 7 L CPT % | 8 L NS % ")</f>
        <v xml:space="preserve">| 5 P Python % | 7 L CPT % | 8 L NS % </v>
      </c>
      <c r="AP132" s="4" t="str">
        <f ca="1">IFERROR(__xludf.DUMMYFUNCTION("""COMPUTED_VALUE"""),"| 5 L PHP-CGM % | 6 L NS % | 7 P JAVA % | 9 P PRO % ")</f>
        <v xml:space="preserve">| 5 L PHP-CGM % | 6 L NS % | 7 P JAVA % | 9 P PRO % </v>
      </c>
      <c r="AQ132" s="4" t="str">
        <f ca="1">IFERROR(__xludf.DUMMYFUNCTION("""COMPUTED_VALUE"""),"| 5 L CPT % | 7 L JAVA % | 7 P CPT % | 9 L INE % ")</f>
        <v xml:space="preserve">| 5 L CPT % | 7 L JAVA % | 7 P CPT % | 9 L INE % </v>
      </c>
      <c r="AR132" s="4" t="str">
        <f ca="1">IFERROR(__xludf.DUMMYFUNCTION("""COMPUTED_VALUE"""),"| 5 L PHP-CGM @ | 6 L NS @ | 8 L CPT @ ")</f>
        <v xml:space="preserve">| 5 L PHP-CGM @ | 6 L NS @ | 8 L CPT @ </v>
      </c>
      <c r="AS132" s="4" t="str">
        <f ca="1">IFERROR(__xludf.DUMMYFUNCTION("""COMPUTED_VALUE"""),"| 5 P Python % | 7 L CPT % | 8 L NS % | 9 P NS % ")</f>
        <v xml:space="preserve">| 5 P Python % | 7 L CPT % | 8 L NS % | 9 P NS % </v>
      </c>
      <c r="AT132" s="4" t="str">
        <f ca="1">IFERROR(__xludf.DUMMYFUNCTION("""COMPUTED_VALUE"""),"| 5 L PHP-CGM % | 6 L NS % | 7 P JAVA % | 9 P PRO % ")</f>
        <v xml:space="preserve">| 5 L PHP-CGM % | 6 L NS % | 7 P JAVA % | 9 P PRO % </v>
      </c>
      <c r="AU132" s="4" t="str">
        <f ca="1">IFERROR(__xludf.DUMMYFUNCTION("""COMPUTED_VALUE"""),"| 5 L JAVA % | 6 L CPT % | 7 P CPT % | 9 L INE % ")</f>
        <v xml:space="preserve">| 5 L JAVA % | 6 L CPT % | 7 P CPT % | 9 L INE % </v>
      </c>
      <c r="AV132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2" s="4" t="str">
        <f ca="1">IFERROR(__xludf.DUMMYFUNCTION("""COMPUTED_VALUE"""),"| 5 P Python % | 7 L PHP-CGM % | 8 L JAVA % | 9 P JAVA % ")</f>
        <v xml:space="preserve">| 5 P Python % | 7 L PHP-CGM % | 8 L JAVA % | 9 P JAVA % </v>
      </c>
      <c r="AX132" s="4" t="str">
        <f ca="1">IFERROR(__xludf.DUMMYFUNCTION("""COMPUTED_VALUE"""),"| 5 P Python % | 7 L CPT % | 8 L NS % | 9 P NS % ")</f>
        <v xml:space="preserve">| 5 P Python % | 7 L CPT % | 8 L NS % | 9 P NS % </v>
      </c>
      <c r="AY132" s="4" t="str">
        <f ca="1">IFERROR(__xludf.DUMMYFUNCTION("""COMPUTED_VALUE"""),"| 5 L PHP-CGM % | 6 L NS % | 7 P JAVA % ")</f>
        <v xml:space="preserve">| 5 L PHP-CGM % | 6 L NS % | 7 P JAVA % </v>
      </c>
      <c r="AZ132" s="4" t="str">
        <f ca="1">IFERROR(__xludf.DUMMYFUNCTION("""COMPUTED_VALUE"""),"| 5 L PHP-CGM % | 6 L NS % | 7 L JAVA % | 8 L CPT % ")</f>
        <v xml:space="preserve">| 5 L PHP-CGM % | 6 L NS % | 7 L JAVA % | 8 L CPT % </v>
      </c>
      <c r="BA132" s="4" t="str">
        <f ca="1">IFERROR(__xludf.DUMMYFUNCTION("""COMPUTED_VALUE"""),"| 5 P Python @ | 7 L PHP-CGM @ | 8 L JAVA @ ")</f>
        <v xml:space="preserve">| 5 P Python @ | 7 L PHP-CGM @ | 8 L JAVA @ </v>
      </c>
      <c r="BB132" s="4" t="str">
        <f ca="1">IFERROR(__xludf.DUMMYFUNCTION("""COMPUTED_VALUE"""),"| 5 P Python @ | 7 L CPT @ | 8 L NS @ | 9 P NS @ ")</f>
        <v xml:space="preserve">| 5 P Python @ | 7 L CPT @ | 8 L NS @ | 9 P NS @ </v>
      </c>
      <c r="BC132" s="4" t="str">
        <f ca="1">IFERROR(__xludf.DUMMYFUNCTION("""COMPUTED_VALUE"""),"| 5 L PHP-CGM @ | 6 L NS @ | 7 P JAVA @ | 9 P PRO @ ")</f>
        <v xml:space="preserve">| 5 L PHP-CGM @ | 6 L NS @ | 7 P JAVA @ | 9 P PRO @ </v>
      </c>
      <c r="BD132" s="4" t="str">
        <f ca="1">IFERROR(__xludf.DUMMYFUNCTION("""COMPUTED_VALUE"""),"| 5 L JAVA % | 6 L CPT % | 7 P CPT % | 9 L INE @ ")</f>
        <v xml:space="preserve">| 5 L JAVA % | 6 L CPT % | 7 P CPT % | 9 L INE @ </v>
      </c>
      <c r="BE132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F132" s="4" t="str">
        <f ca="1">IFERROR(__xludf.DUMMYFUNCTION("""COMPUTED_VALUE"""),"| 5 P Python % | 7 L PHP-CGM % | 9 P JAVA % | 8 L JAVA % ")</f>
        <v xml:space="preserve">| 5 P Python % | 7 L PHP-CGM % | 9 P JAVA % | 8 L JAVA % </v>
      </c>
      <c r="BG132" s="4" t="str">
        <f ca="1">IFERROR(__xludf.DUMMYFUNCTION("""COMPUTED_VALUE"""),"| 5 L PHP-CGM % | 6 L NS % | 7 P JAVA % | 9 P PRO @ ")</f>
        <v xml:space="preserve">| 5 L PHP-CGM % | 6 L NS % | 7 P JAVA % | 9 P PRO @ </v>
      </c>
      <c r="BH132" s="4" t="str">
        <f ca="1">IFERROR(__xludf.DUMMYFUNCTION("""COMPUTED_VALUE"""),"| 5 L JAVA % | 6 L CPT % | 7 P CPT % | 9 L INE % ")</f>
        <v xml:space="preserve">| 5 L JAVA % | 6 L CPT % | 7 P CPT % | 9 L INE % </v>
      </c>
      <c r="BI132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2" s="4" t="str">
        <f ca="1">IFERROR(__xludf.DUMMYFUNCTION("""COMPUTED_VALUE"""),"| 5 P Python % | 7 L JAVA @ | 8 L PHP-CGM @ ")</f>
        <v xml:space="preserve">| 5 P Python % | 7 L JAVA @ | 8 L PHP-CGM @ </v>
      </c>
      <c r="BK132" s="4" t="str">
        <f ca="1">IFERROR(__xludf.DUMMYFUNCTION("""COMPUTED_VALUE"""),"| 5 P Python @ | 7 L CPT @ | 8 L NS @ | 9 P NS @ ")</f>
        <v xml:space="preserve">| 5 P Python @ | 7 L CPT @ | 8 L NS @ | 9 P NS @ </v>
      </c>
      <c r="BL132" s="4" t="str">
        <f ca="1">IFERROR(__xludf.DUMMYFUNCTION("""COMPUTED_VALUE"""),"| 5 L PHP-CGM @ | 6 L NS @ | 7 P JAVA @ | 9 P PRO @ ")</f>
        <v xml:space="preserve">| 5 L PHP-CGM @ | 6 L NS @ | 7 P JAVA @ | 9 P PRO @ </v>
      </c>
      <c r="BM132" s="4" t="str">
        <f ca="1">IFERROR(__xludf.DUMMYFUNCTION("""COMPUTED_VALUE"""),"| 5 L JAVA @ | 6 L CPT @ | 7 P CPT @ | 9 L INE @ ")</f>
        <v xml:space="preserve">| 5 L JAVA @ | 6 L CPT @ | 7 P CPT @ | 9 L INE @ </v>
      </c>
      <c r="BN132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32" s="4" t="str">
        <f ca="1">IFERROR(__xludf.DUMMYFUNCTION("""COMPUTED_VALUE"""),"| 5 P Python @ | 7 L PHP-CGM @ ")</f>
        <v xml:space="preserve">| 5 P Python @ | 7 L PHP-CGM @ </v>
      </c>
      <c r="BP132" s="4" t="str">
        <f ca="1">IFERROR(__xludf.DUMMYFUNCTION("""COMPUTED_VALUE"""),"| 5 P Python @ | 7 L CPT @ | 8 L NS @ | 9 P NS @ ")</f>
        <v xml:space="preserve">| 5 P Python @ | 7 L CPT @ | 8 L NS @ | 9 P NS @ </v>
      </c>
      <c r="BQ132" s="4" t="str">
        <f ca="1">IFERROR(__xludf.DUMMYFUNCTION("""COMPUTED_VALUE"""),"| 5 L JAVA % | 6 L CPT % ")</f>
        <v xml:space="preserve">| 5 L JAVA % | 6 L CPT % </v>
      </c>
      <c r="BR132" s="4" t="str">
        <f ca="1">IFERROR(__xludf.DUMMYFUNCTION("""COMPUTED_VALUE"""),"| 7 L JAVA % ")</f>
        <v xml:space="preserve">| 7 L JAVA % </v>
      </c>
      <c r="BS132" s="4"/>
      <c r="BT132" s="4" t="str">
        <f ca="1">IFERROR(__xludf.DUMMYFUNCTION("""COMPUTED_VALUE"""),"| 7 L CPT @ | 9 P NS @ ")</f>
        <v xml:space="preserve">| 7 L CPT @ | 9 P NS @ </v>
      </c>
      <c r="BU132" s="4" t="str">
        <f ca="1">IFERROR(__xludf.DUMMYFUNCTION("""COMPUTED_VALUE"""),"| 9 P PRO @ ")</f>
        <v xml:space="preserve">| 9 P PRO @ </v>
      </c>
      <c r="BV132" s="4" t="str">
        <f ca="1">IFERROR(__xludf.DUMMYFUNCTION("""COMPUTED_VALUE"""),"| 5 P Python @ | 7 L CPT @ | 8 L NS @ | 9 P NS @ ")</f>
        <v xml:space="preserve">| 5 P Python @ | 7 L CPT @ | 8 L NS @ | 9 P NS @ </v>
      </c>
      <c r="BW132" s="4"/>
      <c r="BX132" s="4" t="str">
        <f ca="1">IFERROR(__xludf.DUMMYFUNCTION("""COMPUTED_VALUE"""),"| 5 L JAVA % | 6 L CPT % | 7 P CPT @ ")</f>
        <v xml:space="preserve">| 5 L JAVA % | 6 L CPT % | 7 P CPT @ </v>
      </c>
      <c r="BY132" s="4" t="str">
        <f ca="1">IFERROR(__xludf.DUMMYFUNCTION("""COMPUTED_VALUE"""),"| 5 L PHP-CGM % | 6 L NS % | 7 L JAVA @ | 8 L CPT @ ")</f>
        <v xml:space="preserve">| 5 L PHP-CGM % | 6 L NS % | 7 L JAVA @ | 8 L CPT @ </v>
      </c>
      <c r="BZ132" s="4" t="str">
        <f ca="1">IFERROR(__xludf.DUMMYFUNCTION("""COMPUTED_VALUE"""),"| 5 P Python % | 8 L JAVA @ | 7 L PHP-CGM @ | 9 P JAVA @ ")</f>
        <v xml:space="preserve">| 5 P Python % | 8 L JAVA @ | 7 L PHP-CGM @ | 9 P JAVA @ </v>
      </c>
      <c r="CA132" s="4" t="str">
        <f ca="1">IFERROR(__xludf.DUMMYFUNCTION("""COMPUTED_VALUE"""),"| 5 P Python % | 7 L CPT % | 8 L NS % | 9 P NS % ")</f>
        <v xml:space="preserve">| 5 P Python % | 7 L CPT % | 8 L NS % | 9 P NS % </v>
      </c>
      <c r="CB132" s="4" t="str">
        <f ca="1">IFERROR(__xludf.DUMMYFUNCTION("""COMPUTED_VALUE"""),"| 5 L PHP-CGM @ | 6 L NS @ | 7 P JAVA @ ")</f>
        <v xml:space="preserve">| 5 L PHP-CGM @ | 6 L NS @ | 7 P JAVA @ </v>
      </c>
      <c r="CC132" s="4" t="str">
        <f ca="1">IFERROR(__xludf.DUMMYFUNCTION("""COMPUTED_VALUE"""),"| 5 L JAVA % | 7 P CPT % | 9 L INE % ")</f>
        <v xml:space="preserve">| 5 L JAVA % | 7 P CPT % | 9 L INE % </v>
      </c>
      <c r="CD132" s="4" t="str">
        <f ca="1">IFERROR(__xludf.DUMMYFUNCTION("""COMPUTED_VALUE"""),"| 5 L PHP-CGM @ | 6 L NS @ | 7 L JAVA @ | 8 L CPT @ ")</f>
        <v xml:space="preserve">| 5 L PHP-CGM @ | 6 L NS @ | 7 L JAVA @ | 8 L CPT @ </v>
      </c>
      <c r="CE132" s="4" t="str">
        <f ca="1">IFERROR(__xludf.DUMMYFUNCTION("""COMPUTED_VALUE"""),"| 5 P Python % | 8 L JAVA % | 7 L PHP-CGM % ")</f>
        <v xml:space="preserve">| 5 P Python % | 8 L JAVA % | 7 L PHP-CGM % </v>
      </c>
      <c r="CF132" s="4" t="str">
        <f ca="1">IFERROR(__xludf.DUMMYFUNCTION("""COMPUTED_VALUE"""),"| 5 P Python % | 7 L CPT % | 8 L NS % | 9 P NS % ")</f>
        <v xml:space="preserve">| 5 P Python % | 7 L CPT % | 8 L NS % | 9 P NS % </v>
      </c>
      <c r="CG132" s="4" t="str">
        <f ca="1">IFERROR(__xludf.DUMMYFUNCTION("""COMPUTED_VALUE"""),"| 5 L PHP-CGM @ | 6 L NS @ | 7 P JAVA % ")</f>
        <v xml:space="preserve">| 5 L PHP-CGM @ | 6 L NS @ | 7 P JAVA % </v>
      </c>
      <c r="CH132" s="4" t="str">
        <f ca="1">IFERROR(__xludf.DUMMYFUNCTION("""COMPUTED_VALUE"""),"| 5 L JAVA @ | 6 L CPT % | 7 P CPT % | 9 L INE @ ")</f>
        <v xml:space="preserve">| 5 L JAVA @ | 6 L CPT % | 7 P CPT % | 9 L INE @ </v>
      </c>
      <c r="CI132" s="4" t="str">
        <f ca="1">IFERROR(__xludf.DUMMYFUNCTION("""COMPUTED_VALUE"""),"| 5 L PHP-CGM % | 7 L JAVA % | 8 L CPT % ")</f>
        <v xml:space="preserve">| 5 L PHP-CGM % | 7 L JAVA % | 8 L CPT % </v>
      </c>
      <c r="CJ132" s="4" t="str">
        <f ca="1">IFERROR(__xludf.DUMMYFUNCTION("""COMPUTED_VALUE"""),"| 5 P Python % ")</f>
        <v xml:space="preserve">| 5 P Python % </v>
      </c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</row>
    <row r="133" spans="1:102" ht="12.5" x14ac:dyDescent="0.25">
      <c r="A133" s="3">
        <f ca="1">IFERROR(__xludf.DUMMYFUNCTION("""COMPUTED_VALUE"""),3)</f>
        <v>3</v>
      </c>
      <c r="B133" s="3" t="str">
        <f ca="1">IFERROR(__xludf.DUMMYFUNCTION("""COMPUTED_VALUE"""),"B")</f>
        <v>B</v>
      </c>
      <c r="C133" s="32" t="str">
        <f ca="1">IFERROR(__xludf.DUMMYFUNCTION("""COMPUTED_VALUE"""),"23291341119")</f>
        <v>23291341119</v>
      </c>
      <c r="D133" s="4" t="str">
        <f ca="1">IFERROR(__xludf.DUMMYFUNCTION("""COMPUTED_VALUE"""),"PATEL RUSHABH RAKESHBHAI")</f>
        <v>PATEL RUSHABH RAKESHBHAI</v>
      </c>
      <c r="E133" s="3" t="str">
        <f ca="1">IFERROR(__xludf.DUMMYFUNCTION("""COMPUTED_VALUE"""),"HAM/HDP-EVE")</f>
        <v>HAM/HDP-EVE</v>
      </c>
      <c r="F133" s="3">
        <f ca="1">IFERROR(__xludf.DUMMYFUNCTION("""COMPUTED_VALUE"""),9313331617)</f>
        <v>9313331617</v>
      </c>
      <c r="G133" s="3">
        <f ca="1">IFERROR(__xludf.DUMMYFUNCTION("""COMPUTED_VALUE"""),9925858073)</f>
        <v>9925858073</v>
      </c>
      <c r="H133" s="33">
        <f ca="1">IFERROR(__xludf.DUMMYFUNCTION("""COMPUTED_VALUE"""),0.341991341991342)</f>
        <v>0.34199134199134201</v>
      </c>
      <c r="I133" s="25">
        <f ca="1">IFERROR(__xludf.DUMMYFUNCTION("""COMPUTED_VALUE"""),0.324324324324324)</f>
        <v>0.32432432432432401</v>
      </c>
      <c r="J133" s="25">
        <f ca="1">IFERROR(__xludf.DUMMYFUNCTION("""COMPUTED_VALUE"""),0.272727272727272)</f>
        <v>0.27272727272727199</v>
      </c>
      <c r="K133" s="25">
        <f ca="1">IFERROR(__xludf.DUMMYFUNCTION("""COMPUTED_VALUE"""),0.470588235294117)</f>
        <v>0.47058823529411697</v>
      </c>
      <c r="L133" s="25">
        <f ca="1">IFERROR(__xludf.DUMMYFUNCTION("""COMPUTED_VALUE"""),0.166666666666666)</f>
        <v>0.16666666666666599</v>
      </c>
      <c r="M133" s="25">
        <f ca="1">IFERROR(__xludf.DUMMYFUNCTION("""COMPUTED_VALUE"""),0.457142857142857)</f>
        <v>0.45714285714285702</v>
      </c>
      <c r="N133" s="25">
        <f ca="1">IFERROR(__xludf.DUMMYFUNCTION("""COMPUTED_VALUE"""),0.375)</f>
        <v>0.375</v>
      </c>
      <c r="O133" s="25">
        <f ca="1">IFERROR(__xludf.DUMMYFUNCTION("""COMPUTED_VALUE"""),0.342857142857142)</f>
        <v>0.34285714285714203</v>
      </c>
      <c r="P133" s="25">
        <f ca="1">IFERROR(__xludf.DUMMYFUNCTION("""COMPUTED_VALUE"""),0.388888888888888)</f>
        <v>0.38888888888888801</v>
      </c>
      <c r="Q133" s="25">
        <f ca="1">IFERROR(__xludf.DUMMYFUNCTION("""COMPUTED_VALUE"""),0)</f>
        <v>0</v>
      </c>
      <c r="R133" s="25">
        <f ca="1">IFERROR(__xludf.DUMMYFUNCTION("""COMPUTED_VALUE"""),0.25)</f>
        <v>0.25</v>
      </c>
      <c r="S133" s="25">
        <f ca="1">IFERROR(__xludf.DUMMYFUNCTION("""COMPUTED_VALUE"""),0)</f>
        <v>0</v>
      </c>
      <c r="T133" s="25">
        <f ca="1">IFERROR(__xludf.DUMMYFUNCTION("""COMPUTED_VALUE"""),0.222222222222222)</f>
        <v>0.22222222222222199</v>
      </c>
      <c r="U133" s="25">
        <f ca="1">IFERROR(__xludf.DUMMYFUNCTION("""COMPUTED_VALUE"""),0)</f>
        <v>0</v>
      </c>
      <c r="V133" s="25">
        <f ca="1">IFERROR(__xludf.DUMMYFUNCTION("""COMPUTED_VALUE"""),0)</f>
        <v>0</v>
      </c>
      <c r="W133" s="4"/>
      <c r="X133" s="4" t="str">
        <f ca="1">IFERROR(__xludf.DUMMYFUNCTION("""COMPUTED_VALUE"""),"| 5 P Python @ | 7 L CPT @ | 8 L NS @ | 9 P NS @ ")</f>
        <v xml:space="preserve">| 5 P Python @ | 7 L CPT @ | 8 L NS @ | 9 P NS @ </v>
      </c>
      <c r="Y133" s="4" t="str">
        <f ca="1">IFERROR(__xludf.DUMMYFUNCTION("""COMPUTED_VALUE"""),"| 5 L PHP-CGM % | 6 L NS % | 7 P JAVA @ | 9 P PRO @ ")</f>
        <v xml:space="preserve">| 5 L PHP-CGM % | 6 L NS % | 7 P JAVA @ | 9 P PRO @ </v>
      </c>
      <c r="Z133" s="4" t="str">
        <f ca="1">IFERROR(__xludf.DUMMYFUNCTION("""COMPUTED_VALUE"""),"| 5 L JAVA % | 6 L CPT % | 7 P CPT % ")</f>
        <v xml:space="preserve">| 5 L JAVA % | 6 L CPT % | 7 P CPT % </v>
      </c>
      <c r="AA133" s="4" t="str">
        <f ca="1">IFERROR(__xludf.DUMMYFUNCTION("""COMPUTED_VALUE"""),"| 5 L PHP-CGM % | 7 L JAVA @ | 9 P PHP-CGM @ | 8 L CPT @ ")</f>
        <v xml:space="preserve">| 5 L PHP-CGM % | 7 L JAVA @ | 9 P PHP-CGM @ | 8 L CPT @ </v>
      </c>
      <c r="AB133" s="4" t="str">
        <f ca="1">IFERROR(__xludf.DUMMYFUNCTION("""COMPUTED_VALUE"""),"| 5 P Python @ | 7 L PHP-CGM @ | 8 L JAVA @ | 9 P JAVA @ ")</f>
        <v xml:space="preserve">| 5 P Python @ | 7 L PHP-CGM @ | 8 L JAVA @ | 9 P JAVA @ </v>
      </c>
      <c r="AC133" s="4" t="str">
        <f ca="1">IFERROR(__xludf.DUMMYFUNCTION("""COMPUTED_VALUE"""),"| 5 P Python % | 7 L CPT % | 8 L NS % | 9 P NS @ ")</f>
        <v xml:space="preserve">| 5 P Python % | 7 L CPT % | 8 L NS % | 9 P NS @ </v>
      </c>
      <c r="AD133" s="4" t="str">
        <f ca="1">IFERROR(__xludf.DUMMYFUNCTION("""COMPUTED_VALUE"""),"| 5 L PHP-CGM % | 6 L NS % | 7 P JAVA % | 9 P PRO @ ")</f>
        <v xml:space="preserve">| 5 L PHP-CGM % | 6 L NS % | 7 P JAVA % | 9 P PRO @ </v>
      </c>
      <c r="AE133" s="4" t="str">
        <f ca="1">IFERROR(__xludf.DUMMYFUNCTION("""COMPUTED_VALUE"""),"| 5 L JAVA % | 6 L CPT % | 7 P CPT @ ")</f>
        <v xml:space="preserve">| 5 L JAVA % | 6 L CPT % | 7 P CPT @ </v>
      </c>
      <c r="AF133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3" s="4" t="str">
        <f ca="1">IFERROR(__xludf.DUMMYFUNCTION("""COMPUTED_VALUE"""),"| 5 P Python % | 8 L JAVA % | 7 L PHP-CGM % | 9 P JAVA % ")</f>
        <v xml:space="preserve">| 5 P Python % | 8 L JAVA % | 7 L PHP-CGM % | 9 P JAVA % </v>
      </c>
      <c r="AH133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I133" s="4" t="str">
        <f ca="1">IFERROR(__xludf.DUMMYFUNCTION("""COMPUTED_VALUE"""),"| 5 P Python % | 8 L JAVA % | 7 L PHP-CGM % | 9 P JAVA % ")</f>
        <v xml:space="preserve">| 5 P Python % | 8 L JAVA % | 7 L PHP-CGM % | 9 P JAVA % </v>
      </c>
      <c r="AJ133" s="4" t="str">
        <f ca="1">IFERROR(__xludf.DUMMYFUNCTION("""COMPUTED_VALUE"""),"| 5 P Python @ | 7 L CPT @ | 8 L NS @ | 9 P NS @ ")</f>
        <v xml:space="preserve">| 5 P Python @ | 7 L CPT @ | 8 L NS @ | 9 P NS @ </v>
      </c>
      <c r="AK133" s="4" t="str">
        <f ca="1">IFERROR(__xludf.DUMMYFUNCTION("""COMPUTED_VALUE"""),"| 5 L PHP-CGM % | 6 L NS % | 7 P JAVA % | 9 P PRO % ")</f>
        <v xml:space="preserve">| 5 L PHP-CGM % | 6 L NS % | 7 P JAVA % | 9 P PRO % </v>
      </c>
      <c r="AL133" s="4" t="str">
        <f ca="1">IFERROR(__xludf.DUMMYFUNCTION("""COMPUTED_VALUE"""),"| 5 L JAVA % | 6 L CPT % | 7 P CPT % | 9 L INE @ ")</f>
        <v xml:space="preserve">| 5 L JAVA % | 6 L CPT % | 7 P CPT % | 9 L INE @ </v>
      </c>
      <c r="AM133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33" s="4" t="str">
        <f ca="1">IFERROR(__xludf.DUMMYFUNCTION("""COMPUTED_VALUE"""),"| 5 P Python @ | 8 L JAVA @ | 7 L PHP-CGM @ | 9 P JAVA @ ")</f>
        <v xml:space="preserve">| 5 P Python @ | 8 L JAVA @ | 7 L PHP-CGM @ | 9 P JAVA @ </v>
      </c>
      <c r="AO133" s="4" t="str">
        <f ca="1">IFERROR(__xludf.DUMMYFUNCTION("""COMPUTED_VALUE"""),"| 5 P Python @ | 7 L CPT @ | 8 L NS @ ")</f>
        <v xml:space="preserve">| 5 P Python @ | 7 L CPT @ | 8 L NS @ </v>
      </c>
      <c r="AP133" s="4" t="str">
        <f ca="1">IFERROR(__xludf.DUMMYFUNCTION("""COMPUTED_VALUE"""),"| 5 L PHP-CGM % | 6 L NS % | 7 P JAVA % | 9 P PRO @ ")</f>
        <v xml:space="preserve">| 5 L PHP-CGM % | 6 L NS % | 7 P JAVA % | 9 P PRO @ </v>
      </c>
      <c r="AQ133" s="4" t="str">
        <f ca="1">IFERROR(__xludf.DUMMYFUNCTION("""COMPUTED_VALUE"""),"| 5 L CPT @ | 7 L JAVA @ | 7 P CPT @ | 9 L INE @ ")</f>
        <v xml:space="preserve">| 5 L CPT @ | 7 L JAVA @ | 7 P CPT @ | 9 L INE @ </v>
      </c>
      <c r="AR133" s="4" t="str">
        <f ca="1">IFERROR(__xludf.DUMMYFUNCTION("""COMPUTED_VALUE"""),"| 5 L PHP-CGM % | 6 L NS % | 8 L CPT @ ")</f>
        <v xml:space="preserve">| 5 L PHP-CGM % | 6 L NS % | 8 L CPT @ </v>
      </c>
      <c r="AS133" s="4" t="str">
        <f ca="1">IFERROR(__xludf.DUMMYFUNCTION("""COMPUTED_VALUE"""),"| 5 P Python % | 7 L CPT % | 8 L NS % | 9 P NS % ")</f>
        <v xml:space="preserve">| 5 P Python % | 7 L CPT % | 8 L NS % | 9 P NS % </v>
      </c>
      <c r="AT133" s="4" t="str">
        <f ca="1">IFERROR(__xludf.DUMMYFUNCTION("""COMPUTED_VALUE"""),"| 5 L PHP-CGM % | 6 L NS % | 7 P JAVA @ | 9 P PRO @ ")</f>
        <v xml:space="preserve">| 5 L PHP-CGM % | 6 L NS % | 7 P JAVA @ | 9 P PRO @ </v>
      </c>
      <c r="AU133" s="4" t="str">
        <f ca="1">IFERROR(__xludf.DUMMYFUNCTION("""COMPUTED_VALUE"""),"| 5 L JAVA % | 6 L CPT % | 7 P CPT % | 9 L INE @ ")</f>
        <v xml:space="preserve">| 5 L JAVA % | 6 L CPT % | 7 P CPT % | 9 L INE @ </v>
      </c>
      <c r="AV133" s="4" t="str">
        <f ca="1">IFERROR(__xludf.DUMMYFUNCTION("""COMPUTED_VALUE"""),"| 5 L PHP-CGM @ | 6 L NS @ | 7 L JAVA @ | 8 L CPT @ | 9 P PHP-CGM % ")</f>
        <v xml:space="preserve">| 5 L PHP-CGM @ | 6 L NS @ | 7 L JAVA @ | 8 L CPT @ | 9 P PHP-CGM % </v>
      </c>
      <c r="AW133" s="4" t="str">
        <f ca="1">IFERROR(__xludf.DUMMYFUNCTION("""COMPUTED_VALUE"""),"| 5 P Python @ | 7 L PHP-CGM @ | 8 L JAVA @ | 9 P JAVA @ ")</f>
        <v xml:space="preserve">| 5 P Python @ | 7 L PHP-CGM @ | 8 L JAVA @ | 9 P JAVA @ </v>
      </c>
      <c r="AX133" s="4" t="str">
        <f ca="1">IFERROR(__xludf.DUMMYFUNCTION("""COMPUTED_VALUE"""),"| 5 P Python % | 7 L CPT % | 8 L NS % | 9 P NS @ ")</f>
        <v xml:space="preserve">| 5 P Python % | 7 L CPT % | 8 L NS % | 9 P NS @ </v>
      </c>
      <c r="AY133" s="4" t="str">
        <f ca="1">IFERROR(__xludf.DUMMYFUNCTION("""COMPUTED_VALUE"""),"| 5 L PHP-CGM % | 6 L NS % | 7 P JAVA % ")</f>
        <v xml:space="preserve">| 5 L PHP-CGM % | 6 L NS % | 7 P JAVA % </v>
      </c>
      <c r="AZ133" s="4" t="str">
        <f ca="1">IFERROR(__xludf.DUMMYFUNCTION("""COMPUTED_VALUE"""),"| 5 L PHP-CGM % | 6 L NS % | 7 L JAVA % | 8 L CPT % ")</f>
        <v xml:space="preserve">| 5 L PHP-CGM % | 6 L NS % | 7 L JAVA % | 8 L CPT % </v>
      </c>
      <c r="BA133" s="4" t="str">
        <f ca="1">IFERROR(__xludf.DUMMYFUNCTION("""COMPUTED_VALUE"""),"| 5 P Python % | 7 L PHP-CGM % | 8 L JAVA % ")</f>
        <v xml:space="preserve">| 5 P Python % | 7 L PHP-CGM % | 8 L JAVA % </v>
      </c>
      <c r="BB133" s="4" t="str">
        <f ca="1">IFERROR(__xludf.DUMMYFUNCTION("""COMPUTED_VALUE"""),"| 5 P Python @ | 7 L CPT % | 8 L NS % | 9 P NS % ")</f>
        <v xml:space="preserve">| 5 P Python @ | 7 L CPT % | 8 L NS % | 9 P NS % </v>
      </c>
      <c r="BC133" s="4" t="str">
        <f ca="1">IFERROR(__xludf.DUMMYFUNCTION("""COMPUTED_VALUE"""),"| 5 L PHP-CGM % | 6 L NS % | 7 P JAVA % | 9 P PRO % ")</f>
        <v xml:space="preserve">| 5 L PHP-CGM % | 6 L NS % | 7 P JAVA % | 9 P PRO % </v>
      </c>
      <c r="BD133" s="4" t="str">
        <f ca="1">IFERROR(__xludf.DUMMYFUNCTION("""COMPUTED_VALUE"""),"| 5 L JAVA % | 6 L CPT % | 7 P CPT @ | 9 L INE @ ")</f>
        <v xml:space="preserve">| 5 L JAVA % | 6 L CPT % | 7 P CPT @ | 9 L INE @ </v>
      </c>
      <c r="BE133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F133" s="4" t="str">
        <f ca="1">IFERROR(__xludf.DUMMYFUNCTION("""COMPUTED_VALUE"""),"| 5 P Python @ | 7 L PHP-CGM @ | 9 P JAVA @ | 8 L JAVA @ ")</f>
        <v xml:space="preserve">| 5 P Python @ | 7 L PHP-CGM @ | 9 P JAVA @ | 8 L JAVA @ </v>
      </c>
      <c r="BG133" s="4" t="str">
        <f ca="1">IFERROR(__xludf.DUMMYFUNCTION("""COMPUTED_VALUE"""),"| 5 L PHP-CGM % | 6 L NS % | 7 P JAVA @ | 9 P PRO @ ")</f>
        <v xml:space="preserve">| 5 L PHP-CGM % | 6 L NS % | 7 P JAVA @ | 9 P PRO @ </v>
      </c>
      <c r="BH133" s="4" t="str">
        <f ca="1">IFERROR(__xludf.DUMMYFUNCTION("""COMPUTED_VALUE"""),"| 5 L JAVA @ | 6 L CPT @ | 7 P CPT @ | 9 L INE @ ")</f>
        <v xml:space="preserve">| 5 L JAVA @ | 6 L CPT @ | 7 P CPT @ | 9 L INE @ </v>
      </c>
      <c r="BI133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J133" s="4" t="str">
        <f ca="1">IFERROR(__xludf.DUMMYFUNCTION("""COMPUTED_VALUE"""),"| 5 P Python @ | 7 L JAVA @ | 8 L PHP-CGM @ ")</f>
        <v xml:space="preserve">| 5 P Python @ | 7 L JAVA @ | 8 L PHP-CGM @ </v>
      </c>
      <c r="BK133" s="4" t="str">
        <f ca="1">IFERROR(__xludf.DUMMYFUNCTION("""COMPUTED_VALUE"""),"| 5 P Python @ | 7 L CPT @ | 8 L NS @ | 9 P NS @ ")</f>
        <v xml:space="preserve">| 5 P Python @ | 7 L CPT @ | 8 L NS @ | 9 P NS @ </v>
      </c>
      <c r="BL133" s="4" t="str">
        <f ca="1">IFERROR(__xludf.DUMMYFUNCTION("""COMPUTED_VALUE"""),"| 5 L PHP-CGM @ | 6 L NS @ | 7 P JAVA @ | 9 P PRO @ ")</f>
        <v xml:space="preserve">| 5 L PHP-CGM @ | 6 L NS @ | 7 P JAVA @ | 9 P PRO @ </v>
      </c>
      <c r="BM133" s="4" t="str">
        <f ca="1">IFERROR(__xludf.DUMMYFUNCTION("""COMPUTED_VALUE"""),"| 5 L JAVA @ | 6 L CPT @ | 7 P CPT @ | 9 L INE @ ")</f>
        <v xml:space="preserve">| 5 L JAVA @ | 6 L CPT @ | 7 P CPT @ | 9 L INE @ </v>
      </c>
      <c r="BN133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33" s="4" t="str">
        <f ca="1">IFERROR(__xludf.DUMMYFUNCTION("""COMPUTED_VALUE"""),"| 5 P Python @ | 7 L PHP-CGM @ ")</f>
        <v xml:space="preserve">| 5 P Python @ | 7 L PHP-CGM @ </v>
      </c>
      <c r="BP133" s="4" t="str">
        <f ca="1">IFERROR(__xludf.DUMMYFUNCTION("""COMPUTED_VALUE"""),"| 5 P Python @ | 7 L CPT @ | 8 L NS @ | 9 P NS @ ")</f>
        <v xml:space="preserve">| 5 P Python @ | 7 L CPT @ | 8 L NS @ | 9 P NS @ </v>
      </c>
      <c r="BQ133" s="4" t="str">
        <f ca="1">IFERROR(__xludf.DUMMYFUNCTION("""COMPUTED_VALUE"""),"| 5 L JAVA @ | 6 L CPT @ ")</f>
        <v xml:space="preserve">| 5 L JAVA @ | 6 L CPT @ </v>
      </c>
      <c r="BR133" s="4" t="str">
        <f ca="1">IFERROR(__xludf.DUMMYFUNCTION("""COMPUTED_VALUE"""),"| 7 L JAVA % ")</f>
        <v xml:space="preserve">| 7 L JAVA % </v>
      </c>
      <c r="BS133" s="4"/>
      <c r="BT133" s="4" t="str">
        <f ca="1">IFERROR(__xludf.DUMMYFUNCTION("""COMPUTED_VALUE"""),"| 7 L CPT @ | 9 P NS @ ")</f>
        <v xml:space="preserve">| 7 L CPT @ | 9 P NS @ </v>
      </c>
      <c r="BU133" s="4" t="str">
        <f ca="1">IFERROR(__xludf.DUMMYFUNCTION("""COMPUTED_VALUE"""),"| 9 P PRO @ ")</f>
        <v xml:space="preserve">| 9 P PRO @ </v>
      </c>
      <c r="BV133" s="4" t="str">
        <f ca="1">IFERROR(__xludf.DUMMYFUNCTION("""COMPUTED_VALUE"""),"| 5 P Python @ | 7 L CPT @ | 8 L NS @ | 9 P NS @ ")</f>
        <v xml:space="preserve">| 5 P Python @ | 7 L CPT @ | 8 L NS @ | 9 P NS @ </v>
      </c>
      <c r="BW133" s="4"/>
      <c r="BX133" s="4" t="str">
        <f ca="1">IFERROR(__xludf.DUMMYFUNCTION("""COMPUTED_VALUE"""),"| 5 L JAVA @ | 6 L CPT @ | 7 P CPT @ ")</f>
        <v xml:space="preserve">| 5 L JAVA @ | 6 L CPT @ | 7 P CPT @ </v>
      </c>
      <c r="BY133" s="4" t="str">
        <f ca="1">IFERROR(__xludf.DUMMYFUNCTION("""COMPUTED_VALUE"""),"| 5 L PHP-CGM @ | 6 L NS @ | 7 L JAVA @ | 8 L CPT @ ")</f>
        <v xml:space="preserve">| 5 L PHP-CGM @ | 6 L NS @ | 7 L JAVA @ | 8 L CPT @ </v>
      </c>
      <c r="BZ133" s="4" t="str">
        <f ca="1">IFERROR(__xludf.DUMMYFUNCTION("""COMPUTED_VALUE"""),"| 5 P Python @ | 8 L JAVA @ | 7 L PHP-CGM @ | 9 P JAVA @ ")</f>
        <v xml:space="preserve">| 5 P Python @ | 8 L JAVA @ | 7 L PHP-CGM @ | 9 P JAVA @ </v>
      </c>
      <c r="CA133" s="4" t="str">
        <f ca="1">IFERROR(__xludf.DUMMYFUNCTION("""COMPUTED_VALUE"""),"| 5 P Python @ | 7 L CPT @ | 8 L NS @ | 9 P NS @ ")</f>
        <v xml:space="preserve">| 5 P Python @ | 7 L CPT @ | 8 L NS @ | 9 P NS @ </v>
      </c>
      <c r="CB133" s="4" t="str">
        <f ca="1">IFERROR(__xludf.DUMMYFUNCTION("""COMPUTED_VALUE"""),"| 5 L PHP-CGM @ | 6 L NS @ | 7 P JAVA @ ")</f>
        <v xml:space="preserve">| 5 L PHP-CGM @ | 6 L NS @ | 7 P JAVA @ </v>
      </c>
      <c r="CC133" s="4" t="str">
        <f ca="1">IFERROR(__xludf.DUMMYFUNCTION("""COMPUTED_VALUE"""),"| 5 L JAVA @ | 7 P CPT @ | 9 L INE @ ")</f>
        <v xml:space="preserve">| 5 L JAVA @ | 7 P CPT @ | 9 L INE @ </v>
      </c>
      <c r="CD133" s="4" t="str">
        <f ca="1">IFERROR(__xludf.DUMMYFUNCTION("""COMPUTED_VALUE"""),"| 5 L PHP-CGM @ | 6 L NS @ | 7 L JAVA @ | 8 L CPT @ ")</f>
        <v xml:space="preserve">| 5 L PHP-CGM @ | 6 L NS @ | 7 L JAVA @ | 8 L CPT @ </v>
      </c>
      <c r="CE133" s="4" t="str">
        <f ca="1">IFERROR(__xludf.DUMMYFUNCTION("""COMPUTED_VALUE"""),"| 5 P Python @ | 8 L JAVA @ | 7 L PHP-CGM @ ")</f>
        <v xml:space="preserve">| 5 P Python @ | 8 L JAVA @ | 7 L PHP-CGM @ </v>
      </c>
      <c r="CF133" s="4" t="str">
        <f ca="1">IFERROR(__xludf.DUMMYFUNCTION("""COMPUTED_VALUE"""),"| 5 P Python @ | 7 L CPT @ | 8 L NS @ | 9 P NS @ ")</f>
        <v xml:space="preserve">| 5 P Python @ | 7 L CPT @ | 8 L NS @ | 9 P NS @ </v>
      </c>
      <c r="CG133" s="4" t="str">
        <f ca="1">IFERROR(__xludf.DUMMYFUNCTION("""COMPUTED_VALUE"""),"| 5 L PHP-CGM @ | 6 L NS @ | 7 P JAVA @ ")</f>
        <v xml:space="preserve">| 5 L PHP-CGM @ | 6 L NS @ | 7 P JAVA @ </v>
      </c>
      <c r="CH133" s="4" t="str">
        <f ca="1">IFERROR(__xludf.DUMMYFUNCTION("""COMPUTED_VALUE"""),"| 5 L JAVA @ | 6 L CPT @ | 7 P CPT @ | 9 L INE @ ")</f>
        <v xml:space="preserve">| 5 L JAVA @ | 6 L CPT @ | 7 P CPT @ | 9 L INE @ </v>
      </c>
      <c r="CI133" s="4" t="str">
        <f ca="1">IFERROR(__xludf.DUMMYFUNCTION("""COMPUTED_VALUE"""),"| 5 L PHP-CGM @ | 7 L JAVA @ | 8 L CPT @ ")</f>
        <v xml:space="preserve">| 5 L PHP-CGM @ | 7 L JAVA @ | 8 L CPT @ </v>
      </c>
      <c r="CJ133" s="4" t="str">
        <f ca="1">IFERROR(__xludf.DUMMYFUNCTION("""COMPUTED_VALUE"""),"| 5 P Python @ ")</f>
        <v xml:space="preserve">| 5 P Python @ </v>
      </c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</row>
    <row r="134" spans="1:102" ht="12.5" x14ac:dyDescent="0.25">
      <c r="A134" s="3">
        <f ca="1">IFERROR(__xludf.DUMMYFUNCTION("""COMPUTED_VALUE"""),3)</f>
        <v>3</v>
      </c>
      <c r="B134" s="3" t="str">
        <f ca="1">IFERROR(__xludf.DUMMYFUNCTION("""COMPUTED_VALUE"""),"B")</f>
        <v>B</v>
      </c>
      <c r="C134" s="32" t="str">
        <f ca="1">IFERROR(__xludf.DUMMYFUNCTION("""COMPUTED_VALUE"""),"23291341120")</f>
        <v>23291341120</v>
      </c>
      <c r="D134" s="4" t="str">
        <f ca="1">IFERROR(__xludf.DUMMYFUNCTION("""COMPUTED_VALUE"""),"PATEL RUTVI VASUDEVBHAI")</f>
        <v>PATEL RUTVI VASUDEVBHAI</v>
      </c>
      <c r="E134" s="3" t="str">
        <f ca="1">IFERROR(__xludf.DUMMYFUNCTION("""COMPUTED_VALUE"""),"HAM/HDP-EVE")</f>
        <v>HAM/HDP-EVE</v>
      </c>
      <c r="F134" s="3">
        <f ca="1">IFERROR(__xludf.DUMMYFUNCTION("""COMPUTED_VALUE"""),8511542063)</f>
        <v>8511542063</v>
      </c>
      <c r="G134" s="3">
        <f ca="1">IFERROR(__xludf.DUMMYFUNCTION("""COMPUTED_VALUE"""),8160539880)</f>
        <v>8160539880</v>
      </c>
      <c r="H134" s="33">
        <f ca="1">IFERROR(__xludf.DUMMYFUNCTION("""COMPUTED_VALUE"""),0.688311688311688)</f>
        <v>0.68831168831168799</v>
      </c>
      <c r="I134" s="25">
        <f ca="1">IFERROR(__xludf.DUMMYFUNCTION("""COMPUTED_VALUE"""),0.621621621621621)</f>
        <v>0.62162162162162105</v>
      </c>
      <c r="J134" s="25">
        <f ca="1">IFERROR(__xludf.DUMMYFUNCTION("""COMPUTED_VALUE"""),0.909090909090909)</f>
        <v>0.90909090909090895</v>
      </c>
      <c r="K134" s="25">
        <f ca="1">IFERROR(__xludf.DUMMYFUNCTION("""COMPUTED_VALUE"""),0.705882352941176)</f>
        <v>0.70588235294117596</v>
      </c>
      <c r="L134" s="25">
        <f ca="1">IFERROR(__xludf.DUMMYFUNCTION("""COMPUTED_VALUE"""),0.416666666666666)</f>
        <v>0.41666666666666602</v>
      </c>
      <c r="M134" s="25">
        <f ca="1">IFERROR(__xludf.DUMMYFUNCTION("""COMPUTED_VALUE"""),0.8)</f>
        <v>0.8</v>
      </c>
      <c r="N134" s="25">
        <f ca="1">IFERROR(__xludf.DUMMYFUNCTION("""COMPUTED_VALUE"""),0.5)</f>
        <v>0.5</v>
      </c>
      <c r="O134" s="25">
        <f ca="1">IFERROR(__xludf.DUMMYFUNCTION("""COMPUTED_VALUE"""),0.771428571428571)</f>
        <v>0.77142857142857102</v>
      </c>
      <c r="P134" s="25">
        <f ca="1">IFERROR(__xludf.DUMMYFUNCTION("""COMPUTED_VALUE"""),0.777777777777777)</f>
        <v>0.77777777777777701</v>
      </c>
      <c r="Q134" s="25">
        <f ca="1">IFERROR(__xludf.DUMMYFUNCTION("""COMPUTED_VALUE"""),0)</f>
        <v>0</v>
      </c>
      <c r="R134" s="25">
        <f ca="1">IFERROR(__xludf.DUMMYFUNCTION("""COMPUTED_VALUE"""),0.625)</f>
        <v>0.625</v>
      </c>
      <c r="S134" s="25">
        <f ca="1">IFERROR(__xludf.DUMMYFUNCTION("""COMPUTED_VALUE"""),0)</f>
        <v>0</v>
      </c>
      <c r="T134" s="25">
        <f ca="1">IFERROR(__xludf.DUMMYFUNCTION("""COMPUTED_VALUE"""),0.555555555555555)</f>
        <v>0.55555555555555503</v>
      </c>
      <c r="U134" s="25">
        <f ca="1">IFERROR(__xludf.DUMMYFUNCTION("""COMPUTED_VALUE"""),0.5)</f>
        <v>0.5</v>
      </c>
      <c r="V134" s="25">
        <f ca="1">IFERROR(__xludf.DUMMYFUNCTION("""COMPUTED_VALUE"""),0)</f>
        <v>0</v>
      </c>
      <c r="W134" s="4"/>
      <c r="X134" s="4" t="str">
        <f ca="1">IFERROR(__xludf.DUMMYFUNCTION("""COMPUTED_VALUE"""),"| 5 P Python % | 7 L CPT % | 8 L NS % | 9 P NS @ ")</f>
        <v xml:space="preserve">| 5 P Python % | 7 L CPT % | 8 L NS % | 9 P NS @ </v>
      </c>
      <c r="Y134" s="4" t="str">
        <f ca="1">IFERROR(__xludf.DUMMYFUNCTION("""COMPUTED_VALUE"""),"| 5 L PHP-CGM % | 6 L NS % | 7 P JAVA % | 9 P PRO % ")</f>
        <v xml:space="preserve">| 5 L PHP-CGM % | 6 L NS % | 7 P JAVA % | 9 P PRO % </v>
      </c>
      <c r="Z134" s="4" t="str">
        <f ca="1">IFERROR(__xludf.DUMMYFUNCTION("""COMPUTED_VALUE"""),"| 5 L JAVA % | 6 L CPT % | 7 P CPT % ")</f>
        <v xml:space="preserve">| 5 L JAVA % | 6 L CPT % | 7 P CPT % </v>
      </c>
      <c r="AA134" s="4" t="str">
        <f ca="1">IFERROR(__xludf.DUMMYFUNCTION("""COMPUTED_VALUE"""),"| 5 L PHP-CGM % | 7 L JAVA % | 9 P PHP-CGM @ | 8 L CPT % ")</f>
        <v xml:space="preserve">| 5 L PHP-CGM % | 7 L JAVA % | 9 P PHP-CGM @ | 8 L CPT % </v>
      </c>
      <c r="AB134" s="4" t="str">
        <f ca="1">IFERROR(__xludf.DUMMYFUNCTION("""COMPUTED_VALUE"""),"| 5 P Python @ | 7 L PHP-CGM @ | 8 L JAVA @ | 9 P JAVA @ ")</f>
        <v xml:space="preserve">| 5 P Python @ | 7 L PHP-CGM @ | 8 L JAVA @ | 9 P JAVA @ </v>
      </c>
      <c r="AC134" s="4" t="str">
        <f ca="1">IFERROR(__xludf.DUMMYFUNCTION("""COMPUTED_VALUE"""),"| 5 P Python @ | 7 L CPT @ | 8 L NS @ | 9 P NS @ ")</f>
        <v xml:space="preserve">| 5 P Python @ | 7 L CPT @ | 8 L NS @ | 9 P NS @ </v>
      </c>
      <c r="AD134" s="4" t="str">
        <f ca="1">IFERROR(__xludf.DUMMYFUNCTION("""COMPUTED_VALUE"""),"| 5 L PHP-CGM % | 6 L NS % | 7 P JAVA % | 9 P PRO % ")</f>
        <v xml:space="preserve">| 5 L PHP-CGM % | 6 L NS % | 7 P JAVA % | 9 P PRO % </v>
      </c>
      <c r="AE134" s="4" t="str">
        <f ca="1">IFERROR(__xludf.DUMMYFUNCTION("""COMPUTED_VALUE"""),"| 5 L JAVA % | 6 L CPT % | 7 P CPT % ")</f>
        <v xml:space="preserve">| 5 L JAVA % | 6 L CPT % | 7 P CPT % </v>
      </c>
      <c r="AF13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4" s="4" t="str">
        <f ca="1">IFERROR(__xludf.DUMMYFUNCTION("""COMPUTED_VALUE"""),"| 5 P Python % | 8 L JAVA % | 7 L PHP-CGM % | 9 P JAVA % ")</f>
        <v xml:space="preserve">| 5 P Python % | 8 L JAVA % | 7 L PHP-CGM % | 9 P JAVA % </v>
      </c>
      <c r="AH13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34" s="4" t="str">
        <f ca="1">IFERROR(__xludf.DUMMYFUNCTION("""COMPUTED_VALUE"""),"| 5 P Python % | 8 L JAVA % | 7 L PHP-CGM % | 9 P JAVA % ")</f>
        <v xml:space="preserve">| 5 P Python % | 8 L JAVA % | 7 L PHP-CGM % | 9 P JAVA % </v>
      </c>
      <c r="AJ134" s="4" t="str">
        <f ca="1">IFERROR(__xludf.DUMMYFUNCTION("""COMPUTED_VALUE"""),"| 5 P Python % | 7 L CPT % | 8 L NS % | 9 P NS % ")</f>
        <v xml:space="preserve">| 5 P Python % | 7 L CPT % | 8 L NS % | 9 P NS % </v>
      </c>
      <c r="AK134" s="4" t="str">
        <f ca="1">IFERROR(__xludf.DUMMYFUNCTION("""COMPUTED_VALUE"""),"| 5 L PHP-CGM % | 6 L NS % | 7 P JAVA % | 9 P PRO @ ")</f>
        <v xml:space="preserve">| 5 L PHP-CGM % | 6 L NS % | 7 P JAVA % | 9 P PRO @ </v>
      </c>
      <c r="AL134" s="4" t="str">
        <f ca="1">IFERROR(__xludf.DUMMYFUNCTION("""COMPUTED_VALUE"""),"| 5 L JAVA % | 6 L CPT % | 7 P CPT % | 9 L INE % ")</f>
        <v xml:space="preserve">| 5 L JAVA % | 6 L CPT % | 7 P CPT % | 9 L INE % </v>
      </c>
      <c r="AM134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N134" s="4" t="str">
        <f ca="1">IFERROR(__xludf.DUMMYFUNCTION("""COMPUTED_VALUE"""),"| 5 P Python @ | 8 L JAVA % | 7 L PHP-CGM % | 9 P JAVA % ")</f>
        <v xml:space="preserve">| 5 P Python @ | 8 L JAVA % | 7 L PHP-CGM % | 9 P JAVA % </v>
      </c>
      <c r="AO134" s="4" t="str">
        <f ca="1">IFERROR(__xludf.DUMMYFUNCTION("""COMPUTED_VALUE"""),"| 5 P Python % | 7 L CPT % | 8 L NS % ")</f>
        <v xml:space="preserve">| 5 P Python % | 7 L CPT % | 8 L NS % </v>
      </c>
      <c r="AP134" s="4" t="str">
        <f ca="1">IFERROR(__xludf.DUMMYFUNCTION("""COMPUTED_VALUE"""),"| 5 L PHP-CGM % | 6 L NS % | 7 P JAVA % | 9 P PRO @ ")</f>
        <v xml:space="preserve">| 5 L PHP-CGM % | 6 L NS % | 7 P JAVA % | 9 P PRO @ </v>
      </c>
      <c r="AQ134" s="4" t="str">
        <f ca="1">IFERROR(__xludf.DUMMYFUNCTION("""COMPUTED_VALUE"""),"| 5 L CPT % | 7 L JAVA % | 7 P CPT % | 9 L INE @ ")</f>
        <v xml:space="preserve">| 5 L CPT % | 7 L JAVA % | 7 P CPT % | 9 L INE @ </v>
      </c>
      <c r="AR134" s="4" t="str">
        <f ca="1">IFERROR(__xludf.DUMMYFUNCTION("""COMPUTED_VALUE"""),"| 5 L PHP-CGM @ | 6 L NS @ | 8 L CPT @ ")</f>
        <v xml:space="preserve">| 5 L PHP-CGM @ | 6 L NS @ | 8 L CPT @ </v>
      </c>
      <c r="AS134" s="4" t="str">
        <f ca="1">IFERROR(__xludf.DUMMYFUNCTION("""COMPUTED_VALUE"""),"| 5 P Python % | 7 L CPT % | 8 L NS % | 9 P NS % ")</f>
        <v xml:space="preserve">| 5 P Python % | 7 L CPT % | 8 L NS % | 9 P NS % </v>
      </c>
      <c r="AT134" s="4" t="str">
        <f ca="1">IFERROR(__xludf.DUMMYFUNCTION("""COMPUTED_VALUE"""),"| 5 L PHP-CGM % | 6 L NS % | 7 P JAVA % | 9 P PRO % ")</f>
        <v xml:space="preserve">| 5 L PHP-CGM % | 6 L NS % | 7 P JAVA % | 9 P PRO % </v>
      </c>
      <c r="AU134" s="4" t="str">
        <f ca="1">IFERROR(__xludf.DUMMYFUNCTION("""COMPUTED_VALUE"""),"| 5 L JAVA % | 6 L CPT % | 7 P CPT % | 9 L INE % ")</f>
        <v xml:space="preserve">| 5 L JAVA % | 6 L CPT % | 7 P CPT % | 9 L INE % </v>
      </c>
      <c r="AV13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4" s="4" t="str">
        <f ca="1">IFERROR(__xludf.DUMMYFUNCTION("""COMPUTED_VALUE"""),"| 5 P Python % | 7 L PHP-CGM % | 8 L JAVA % | 9 P JAVA @ ")</f>
        <v xml:space="preserve">| 5 P Python % | 7 L PHP-CGM % | 8 L JAVA % | 9 P JAVA @ </v>
      </c>
      <c r="AX134" s="4" t="str">
        <f ca="1">IFERROR(__xludf.DUMMYFUNCTION("""COMPUTED_VALUE"""),"| 5 P Python % | 7 L CPT % | 8 L NS % | 9 P NS @ ")</f>
        <v xml:space="preserve">| 5 P Python % | 7 L CPT % | 8 L NS % | 9 P NS @ </v>
      </c>
      <c r="AY134" s="4" t="str">
        <f ca="1">IFERROR(__xludf.DUMMYFUNCTION("""COMPUTED_VALUE"""),"| 5 L PHP-CGM % | 6 L NS % | 7 P JAVA % ")</f>
        <v xml:space="preserve">| 5 L PHP-CGM % | 6 L NS % | 7 P JAVA % </v>
      </c>
      <c r="AZ134" s="4" t="str">
        <f ca="1">IFERROR(__xludf.DUMMYFUNCTION("""COMPUTED_VALUE"""),"| 5 L PHP-CGM % | 6 L NS % | 7 L JAVA % | 8 L CPT % ")</f>
        <v xml:space="preserve">| 5 L PHP-CGM % | 6 L NS % | 7 L JAVA % | 8 L CPT % </v>
      </c>
      <c r="BA134" s="4" t="str">
        <f ca="1">IFERROR(__xludf.DUMMYFUNCTION("""COMPUTED_VALUE"""),"| 5 P Python @ | 7 L PHP-CGM @ | 8 L JAVA @ ")</f>
        <v xml:space="preserve">| 5 P Python @ | 7 L PHP-CGM @ | 8 L JAVA @ </v>
      </c>
      <c r="BB134" s="4" t="str">
        <f ca="1">IFERROR(__xludf.DUMMYFUNCTION("""COMPUTED_VALUE"""),"| 5 P Python % | 7 L CPT % | 8 L NS % | 9 P NS % ")</f>
        <v xml:space="preserve">| 5 P Python % | 7 L CPT % | 8 L NS % | 9 P NS % </v>
      </c>
      <c r="BC134" s="4" t="str">
        <f ca="1">IFERROR(__xludf.DUMMYFUNCTION("""COMPUTED_VALUE"""),"| 5 L PHP-CGM % | 6 L NS % | 7 P JAVA @ | 9 P PRO % ")</f>
        <v xml:space="preserve">| 5 L PHP-CGM % | 6 L NS % | 7 P JAVA @ | 9 P PRO % </v>
      </c>
      <c r="BD134" s="4" t="str">
        <f ca="1">IFERROR(__xludf.DUMMYFUNCTION("""COMPUTED_VALUE"""),"| 5 L JAVA % | 6 L CPT % | 7 P CPT % | 9 L INE % ")</f>
        <v xml:space="preserve">| 5 L JAVA % | 6 L CPT % | 7 P CPT % | 9 L INE % </v>
      </c>
      <c r="BE134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34" s="4" t="str">
        <f ca="1">IFERROR(__xludf.DUMMYFUNCTION("""COMPUTED_VALUE"""),"| 5 P Python % | 7 L PHP-CGM % | 9 P JAVA % | 8 L JAVA % ")</f>
        <v xml:space="preserve">| 5 P Python % | 7 L PHP-CGM % | 9 P JAVA % | 8 L JAVA % </v>
      </c>
      <c r="BG134" s="4" t="str">
        <f ca="1">IFERROR(__xludf.DUMMYFUNCTION("""COMPUTED_VALUE"""),"| 5 L PHP-CGM % | 6 L NS % | 7 P JAVA % | 9 P PRO % ")</f>
        <v xml:space="preserve">| 5 L PHP-CGM % | 6 L NS % | 7 P JAVA % | 9 P PRO % </v>
      </c>
      <c r="BH134" s="4" t="str">
        <f ca="1">IFERROR(__xludf.DUMMYFUNCTION("""COMPUTED_VALUE"""),"| 5 L JAVA % | 6 L CPT % | 7 P CPT % | 9 L INE @ ")</f>
        <v xml:space="preserve">| 5 L JAVA % | 6 L CPT % | 7 P CPT % | 9 L INE @ </v>
      </c>
      <c r="BI134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4" s="4" t="str">
        <f ca="1">IFERROR(__xludf.DUMMYFUNCTION("""COMPUTED_VALUE"""),"| 5 P Python @ | 7 L JAVA % | 8 L PHP-CGM % ")</f>
        <v xml:space="preserve">| 5 P Python @ | 7 L JAVA % | 8 L PHP-CGM % </v>
      </c>
      <c r="BK134" s="4" t="str">
        <f ca="1">IFERROR(__xludf.DUMMYFUNCTION("""COMPUTED_VALUE"""),"| 5 P Python @ | 7 L CPT @ | 8 L NS @ | 9 P NS @ ")</f>
        <v xml:space="preserve">| 5 P Python @ | 7 L CPT @ | 8 L NS @ | 9 P NS @ </v>
      </c>
      <c r="BL134" s="4" t="str">
        <f ca="1">IFERROR(__xludf.DUMMYFUNCTION("""COMPUTED_VALUE"""),"| 5 L PHP-CGM @ | 6 L NS @ | 7 P JAVA @ | 9 P PRO @ ")</f>
        <v xml:space="preserve">| 5 L PHP-CGM @ | 6 L NS @ | 7 P JAVA @ | 9 P PRO @ </v>
      </c>
      <c r="BM134" s="4" t="str">
        <f ca="1">IFERROR(__xludf.DUMMYFUNCTION("""COMPUTED_VALUE"""),"| 5 L JAVA @ | 6 L CPT @ | 7 P CPT @ | 9 L INE @ ")</f>
        <v xml:space="preserve">| 5 L JAVA @ | 6 L CPT @ | 7 P CPT @ | 9 L INE @ </v>
      </c>
      <c r="BN134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34" s="4" t="str">
        <f ca="1">IFERROR(__xludf.DUMMYFUNCTION("""COMPUTED_VALUE"""),"| 5 P Python @ | 7 L PHP-CGM @ ")</f>
        <v xml:space="preserve">| 5 P Python @ | 7 L PHP-CGM @ </v>
      </c>
      <c r="BP134" s="4" t="str">
        <f ca="1">IFERROR(__xludf.DUMMYFUNCTION("""COMPUTED_VALUE"""),"| 5 P Python @ | 7 L CPT @ | 8 L NS @ | 9 P NS @ ")</f>
        <v xml:space="preserve">| 5 P Python @ | 7 L CPT @ | 8 L NS @ | 9 P NS @ </v>
      </c>
      <c r="BQ134" s="4" t="str">
        <f ca="1">IFERROR(__xludf.DUMMYFUNCTION("""COMPUTED_VALUE"""),"| 5 L JAVA @ | 6 L CPT @ ")</f>
        <v xml:space="preserve">| 5 L JAVA @ | 6 L CPT @ </v>
      </c>
      <c r="BR134" s="4" t="str">
        <f ca="1">IFERROR(__xludf.DUMMYFUNCTION("""COMPUTED_VALUE"""),"| 7 L JAVA @ ")</f>
        <v xml:space="preserve">| 7 L JAVA @ </v>
      </c>
      <c r="BS134" s="4"/>
      <c r="BT134" s="4" t="str">
        <f ca="1">IFERROR(__xludf.DUMMYFUNCTION("""COMPUTED_VALUE"""),"| 7 L CPT @ | 9 P NS @ ")</f>
        <v xml:space="preserve">| 7 L CPT @ | 9 P NS @ </v>
      </c>
      <c r="BU134" s="4" t="str">
        <f ca="1">IFERROR(__xludf.DUMMYFUNCTION("""COMPUTED_VALUE"""),"| 9 P PRO @ ")</f>
        <v xml:space="preserve">| 9 P PRO @ </v>
      </c>
      <c r="BV134" s="4" t="str">
        <f ca="1">IFERROR(__xludf.DUMMYFUNCTION("""COMPUTED_VALUE"""),"| 5 P Python % | 7 L CPT @ | 8 L NS @ | 9 P NS @ ")</f>
        <v xml:space="preserve">| 5 P Python % | 7 L CPT @ | 8 L NS @ | 9 P NS @ </v>
      </c>
      <c r="BW134" s="4"/>
      <c r="BX134" s="4" t="str">
        <f ca="1">IFERROR(__xludf.DUMMYFUNCTION("""COMPUTED_VALUE"""),"| 5 L JAVA % | 6 L CPT % | 7 P CPT % ")</f>
        <v xml:space="preserve">| 5 L JAVA % | 6 L CPT % | 7 P CPT % </v>
      </c>
      <c r="BY134" s="4" t="str">
        <f ca="1">IFERROR(__xludf.DUMMYFUNCTION("""COMPUTED_VALUE"""),"| 5 L PHP-CGM % | 6 L NS % | 7 L JAVA % | 8 L CPT % ")</f>
        <v xml:space="preserve">| 5 L PHP-CGM % | 6 L NS % | 7 L JAVA % | 8 L CPT % </v>
      </c>
      <c r="BZ134" s="4" t="str">
        <f ca="1">IFERROR(__xludf.DUMMYFUNCTION("""COMPUTED_VALUE"""),"| 5 P Python % | 8 L JAVA % | 7 L PHP-CGM % | 9 P JAVA % ")</f>
        <v xml:space="preserve">| 5 P Python % | 8 L JAVA % | 7 L PHP-CGM % | 9 P JAVA % </v>
      </c>
      <c r="CA134" s="4" t="str">
        <f ca="1">IFERROR(__xludf.DUMMYFUNCTION("""COMPUTED_VALUE"""),"| 5 P Python @ | 7 L CPT @ | 8 L NS @ | 9 P NS % ")</f>
        <v xml:space="preserve">| 5 P Python @ | 7 L CPT @ | 8 L NS @ | 9 P NS % </v>
      </c>
      <c r="CB134" s="4" t="str">
        <f ca="1">IFERROR(__xludf.DUMMYFUNCTION("""COMPUTED_VALUE"""),"| 5 L PHP-CGM % | 6 L NS % | 7 P JAVA % ")</f>
        <v xml:space="preserve">| 5 L PHP-CGM % | 6 L NS % | 7 P JAVA % </v>
      </c>
      <c r="CC134" s="4" t="str">
        <f ca="1">IFERROR(__xludf.DUMMYFUNCTION("""COMPUTED_VALUE"""),"| 5 L JAVA % | 7 P CPT % | 9 L INE % ")</f>
        <v xml:space="preserve">| 5 L JAVA % | 7 P CPT % | 9 L INE % </v>
      </c>
      <c r="CD134" s="4" t="str">
        <f ca="1">IFERROR(__xludf.DUMMYFUNCTION("""COMPUTED_VALUE"""),"| 5 L PHP-CGM % | 6 L NS @ | 7 L JAVA @ | 8 L CPT @ ")</f>
        <v xml:space="preserve">| 5 L PHP-CGM % | 6 L NS @ | 7 L JAVA @ | 8 L CPT @ </v>
      </c>
      <c r="CE134" s="4" t="str">
        <f ca="1">IFERROR(__xludf.DUMMYFUNCTION("""COMPUTED_VALUE"""),"| 5 P Python % | 8 L JAVA % | 7 L PHP-CGM % ")</f>
        <v xml:space="preserve">| 5 P Python % | 8 L JAVA % | 7 L PHP-CGM % </v>
      </c>
      <c r="CF134" s="4" t="str">
        <f ca="1">IFERROR(__xludf.DUMMYFUNCTION("""COMPUTED_VALUE"""),"| 5 P Python % | 7 L CPT @ | 8 L NS % | 9 P NS % ")</f>
        <v xml:space="preserve">| 5 P Python % | 7 L CPT @ | 8 L NS % | 9 P NS % </v>
      </c>
      <c r="CG134" s="4" t="str">
        <f ca="1">IFERROR(__xludf.DUMMYFUNCTION("""COMPUTED_VALUE"""),"| 5 L PHP-CGM % | 6 L NS % | 7 P JAVA % ")</f>
        <v xml:space="preserve">| 5 L PHP-CGM % | 6 L NS % | 7 P JAVA % </v>
      </c>
      <c r="CH134" s="4" t="str">
        <f ca="1">IFERROR(__xludf.DUMMYFUNCTION("""COMPUTED_VALUE"""),"| 5 L JAVA % | 6 L CPT % | 7 P CPT % | 9 L INE @ ")</f>
        <v xml:space="preserve">| 5 L JAVA % | 6 L CPT % | 7 P CPT % | 9 L INE @ </v>
      </c>
      <c r="CI134" s="4" t="str">
        <f ca="1">IFERROR(__xludf.DUMMYFUNCTION("""COMPUTED_VALUE"""),"| 5 L PHP-CGM % | 7 L JAVA % | 8 L CPT @ ")</f>
        <v xml:space="preserve">| 5 L PHP-CGM % | 7 L JAVA % | 8 L CPT @ </v>
      </c>
      <c r="CJ134" s="4" t="str">
        <f ca="1">IFERROR(__xludf.DUMMYFUNCTION("""COMPUTED_VALUE"""),"| 5 P Python % ")</f>
        <v xml:space="preserve">| 5 P Python % </v>
      </c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</row>
    <row r="135" spans="1:102" ht="12.5" x14ac:dyDescent="0.25">
      <c r="A135" s="3">
        <f ca="1">IFERROR(__xludf.DUMMYFUNCTION("""COMPUTED_VALUE"""),3)</f>
        <v>3</v>
      </c>
      <c r="B135" s="3" t="str">
        <f ca="1">IFERROR(__xludf.DUMMYFUNCTION("""COMPUTED_VALUE"""),"B")</f>
        <v>B</v>
      </c>
      <c r="C135" s="32" t="str">
        <f ca="1">IFERROR(__xludf.DUMMYFUNCTION("""COMPUTED_VALUE"""),"23291341121")</f>
        <v>23291341121</v>
      </c>
      <c r="D135" s="4" t="str">
        <f ca="1">IFERROR(__xludf.DUMMYFUNCTION("""COMPUTED_VALUE"""),"PATEL SHWET ALPESHKUMAR")</f>
        <v>PATEL SHWET ALPESHKUMAR</v>
      </c>
      <c r="E135" s="3" t="str">
        <f ca="1">IFERROR(__xludf.DUMMYFUNCTION("""COMPUTED_VALUE"""),"HAM/HDP-EVE")</f>
        <v>HAM/HDP-EVE</v>
      </c>
      <c r="F135" s="3">
        <f ca="1">IFERROR(__xludf.DUMMYFUNCTION("""COMPUTED_VALUE"""),9426420784)</f>
        <v>9426420784</v>
      </c>
      <c r="G135" s="3">
        <f ca="1">IFERROR(__xludf.DUMMYFUNCTION("""COMPUTED_VALUE"""),9429958010)</f>
        <v>9429958010</v>
      </c>
      <c r="H135" s="33">
        <f ca="1">IFERROR(__xludf.DUMMYFUNCTION("""COMPUTED_VALUE"""),0.809523809523809)</f>
        <v>0.80952380952380898</v>
      </c>
      <c r="I135" s="25">
        <f ca="1">IFERROR(__xludf.DUMMYFUNCTION("""COMPUTED_VALUE"""),0.702702702702702)</f>
        <v>0.70270270270270196</v>
      </c>
      <c r="J135" s="25">
        <f ca="1">IFERROR(__xludf.DUMMYFUNCTION("""COMPUTED_VALUE"""),0.909090909090909)</f>
        <v>0.90909090909090895</v>
      </c>
      <c r="K135" s="25">
        <f ca="1">IFERROR(__xludf.DUMMYFUNCTION("""COMPUTED_VALUE"""),0.823529411764705)</f>
        <v>0.82352941176470495</v>
      </c>
      <c r="L135" s="25">
        <f ca="1">IFERROR(__xludf.DUMMYFUNCTION("""COMPUTED_VALUE"""),0.833333333333333)</f>
        <v>0.83333333333333304</v>
      </c>
      <c r="M135" s="25">
        <f ca="1">IFERROR(__xludf.DUMMYFUNCTION("""COMPUTED_VALUE"""),0.857142857142857)</f>
        <v>0.85714285714285698</v>
      </c>
      <c r="N135" s="25">
        <f ca="1">IFERROR(__xludf.DUMMYFUNCTION("""COMPUTED_VALUE"""),0.75)</f>
        <v>0.75</v>
      </c>
      <c r="O135" s="25">
        <f ca="1">IFERROR(__xludf.DUMMYFUNCTION("""COMPUTED_VALUE"""),0.742857142857142)</f>
        <v>0.74285714285714199</v>
      </c>
      <c r="P135" s="25">
        <f ca="1">IFERROR(__xludf.DUMMYFUNCTION("""COMPUTED_VALUE"""),0.888888888888888)</f>
        <v>0.88888888888888795</v>
      </c>
      <c r="Q135" s="25">
        <f ca="1">IFERROR(__xludf.DUMMYFUNCTION("""COMPUTED_VALUE"""),0)</f>
        <v>0</v>
      </c>
      <c r="R135" s="25">
        <f ca="1">IFERROR(__xludf.DUMMYFUNCTION("""COMPUTED_VALUE"""),0.875)</f>
        <v>0.875</v>
      </c>
      <c r="S135" s="25">
        <f ca="1">IFERROR(__xludf.DUMMYFUNCTION("""COMPUTED_VALUE"""),0)</f>
        <v>0</v>
      </c>
      <c r="T135" s="25">
        <f ca="1">IFERROR(__xludf.DUMMYFUNCTION("""COMPUTED_VALUE"""),0.888888888888888)</f>
        <v>0.88888888888888795</v>
      </c>
      <c r="U135" s="25">
        <f ca="1">IFERROR(__xludf.DUMMYFUNCTION("""COMPUTED_VALUE"""),0.75)</f>
        <v>0.75</v>
      </c>
      <c r="V135" s="25">
        <f ca="1">IFERROR(__xludf.DUMMYFUNCTION("""COMPUTED_VALUE"""),0)</f>
        <v>0</v>
      </c>
      <c r="W135" s="4"/>
      <c r="X135" s="4" t="str">
        <f ca="1">IFERROR(__xludf.DUMMYFUNCTION("""COMPUTED_VALUE"""),"| 5 P Python % | 7 L CPT % | 8 L NS % | 9 P NS % ")</f>
        <v xml:space="preserve">| 5 P Python % | 7 L CPT % | 8 L NS % | 9 P NS % </v>
      </c>
      <c r="Y135" s="4" t="str">
        <f ca="1">IFERROR(__xludf.DUMMYFUNCTION("""COMPUTED_VALUE"""),"| 5 L PHP-CGM % | 6 L NS % | 7 P JAVA % | 9 P PRO % ")</f>
        <v xml:space="preserve">| 5 L PHP-CGM % | 6 L NS % | 7 P JAVA % | 9 P PRO % </v>
      </c>
      <c r="Z135" s="4" t="str">
        <f ca="1">IFERROR(__xludf.DUMMYFUNCTION("""COMPUTED_VALUE"""),"| 5 L JAVA % | 6 L CPT % | 7 P CPT % ")</f>
        <v xml:space="preserve">| 5 L JAVA % | 6 L CPT % | 7 P CPT % </v>
      </c>
      <c r="AA135" s="4" t="str">
        <f ca="1">IFERROR(__xludf.DUMMYFUNCTION("""COMPUTED_VALUE"""),"| 5 L PHP-CGM % | 7 L JAVA % | 9 P PHP-CGM % | 8 L CPT % ")</f>
        <v xml:space="preserve">| 5 L PHP-CGM % | 7 L JAVA % | 9 P PHP-CGM % | 8 L CPT % </v>
      </c>
      <c r="AB135" s="4" t="str">
        <f ca="1">IFERROR(__xludf.DUMMYFUNCTION("""COMPUTED_VALUE"""),"| 5 P Python % | 7 L PHP-CGM % | 8 L JAVA % | 9 P JAVA % ")</f>
        <v xml:space="preserve">| 5 P Python % | 7 L PHP-CGM % | 8 L JAVA % | 9 P JAVA % </v>
      </c>
      <c r="AC135" s="4" t="str">
        <f ca="1">IFERROR(__xludf.DUMMYFUNCTION("""COMPUTED_VALUE"""),"| 5 P Python % | 7 L CPT % | 8 L NS % | 9 P NS % ")</f>
        <v xml:space="preserve">| 5 P Python % | 7 L CPT % | 8 L NS % | 9 P NS % </v>
      </c>
      <c r="AD135" s="4" t="str">
        <f ca="1">IFERROR(__xludf.DUMMYFUNCTION("""COMPUTED_VALUE"""),"| 5 L PHP-CGM % | 6 L NS % | 7 P JAVA % | 9 P PRO % ")</f>
        <v xml:space="preserve">| 5 L PHP-CGM % | 6 L NS % | 7 P JAVA % | 9 P PRO % </v>
      </c>
      <c r="AE135" s="4" t="str">
        <f ca="1">IFERROR(__xludf.DUMMYFUNCTION("""COMPUTED_VALUE"""),"| 5 L JAVA % | 6 L CPT % | 7 P CPT % ")</f>
        <v xml:space="preserve">| 5 L JAVA % | 6 L CPT % | 7 P CPT % </v>
      </c>
      <c r="AF13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5" s="4" t="str">
        <f ca="1">IFERROR(__xludf.DUMMYFUNCTION("""COMPUTED_VALUE"""),"| 5 P Python % | 8 L JAVA % | 7 L PHP-CGM % | 9 P JAVA % ")</f>
        <v xml:space="preserve">| 5 P Python % | 8 L JAVA % | 7 L PHP-CGM % | 9 P JAVA % </v>
      </c>
      <c r="AH13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35" s="4" t="str">
        <f ca="1">IFERROR(__xludf.DUMMYFUNCTION("""COMPUTED_VALUE"""),"| 5 P Python % | 8 L JAVA % | 7 L PHP-CGM % | 9 P JAVA % ")</f>
        <v xml:space="preserve">| 5 P Python % | 8 L JAVA % | 7 L PHP-CGM % | 9 P JAVA % </v>
      </c>
      <c r="AJ135" s="4" t="str">
        <f ca="1">IFERROR(__xludf.DUMMYFUNCTION("""COMPUTED_VALUE"""),"| 5 P Python % | 7 L CPT % | 8 L NS % | 9 P NS % ")</f>
        <v xml:space="preserve">| 5 P Python % | 7 L CPT % | 8 L NS % | 9 P NS % </v>
      </c>
      <c r="AK135" s="4" t="str">
        <f ca="1">IFERROR(__xludf.DUMMYFUNCTION("""COMPUTED_VALUE"""),"| 5 L PHP-CGM % | 6 L NS % | 7 P JAVA % | 9 P PRO % ")</f>
        <v xml:space="preserve">| 5 L PHP-CGM % | 6 L NS % | 7 P JAVA % | 9 P PRO % </v>
      </c>
      <c r="AL135" s="4" t="str">
        <f ca="1">IFERROR(__xludf.DUMMYFUNCTION("""COMPUTED_VALUE"""),"| 5 L JAVA % | 6 L CPT % | 7 P CPT % | 9 L INE % ")</f>
        <v xml:space="preserve">| 5 L JAVA % | 6 L CPT % | 7 P CPT % | 9 L INE % </v>
      </c>
      <c r="AM13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35" s="4" t="str">
        <f ca="1">IFERROR(__xludf.DUMMYFUNCTION("""COMPUTED_VALUE"""),"| 5 P Python @ | 8 L JAVA % | 7 L PHP-CGM % | 9 P JAVA % ")</f>
        <v xml:space="preserve">| 5 P Python @ | 8 L JAVA % | 7 L PHP-CGM % | 9 P JAVA % </v>
      </c>
      <c r="AO135" s="4" t="str">
        <f ca="1">IFERROR(__xludf.DUMMYFUNCTION("""COMPUTED_VALUE"""),"| 5 P Python @ | 7 L CPT @ | 8 L NS @ ")</f>
        <v xml:space="preserve">| 5 P Python @ | 7 L CPT @ | 8 L NS @ </v>
      </c>
      <c r="AP135" s="4" t="str">
        <f ca="1">IFERROR(__xludf.DUMMYFUNCTION("""COMPUTED_VALUE"""),"| 5 L PHP-CGM % | 6 L NS % | 7 P JAVA % | 9 P PRO @ ")</f>
        <v xml:space="preserve">| 5 L PHP-CGM % | 6 L NS % | 7 P JAVA % | 9 P PRO @ </v>
      </c>
      <c r="AQ135" s="4" t="str">
        <f ca="1">IFERROR(__xludf.DUMMYFUNCTION("""COMPUTED_VALUE"""),"| 5 L CPT % | 7 L JAVA % | 7 P CPT % | 9 L INE % ")</f>
        <v xml:space="preserve">| 5 L CPT % | 7 L JAVA % | 7 P CPT % | 9 L INE % </v>
      </c>
      <c r="AR135" s="4" t="str">
        <f ca="1">IFERROR(__xludf.DUMMYFUNCTION("""COMPUTED_VALUE"""),"| 5 L PHP-CGM % | 6 L NS % | 8 L CPT @ ")</f>
        <v xml:space="preserve">| 5 L PHP-CGM % | 6 L NS % | 8 L CPT @ </v>
      </c>
      <c r="AS135" s="4" t="str">
        <f ca="1">IFERROR(__xludf.DUMMYFUNCTION("""COMPUTED_VALUE"""),"| 5 P Python % | 7 L CPT % | 8 L NS % | 9 P NS % ")</f>
        <v xml:space="preserve">| 5 P Python % | 7 L CPT % | 8 L NS % | 9 P NS % </v>
      </c>
      <c r="AT135" s="4" t="str">
        <f ca="1">IFERROR(__xludf.DUMMYFUNCTION("""COMPUTED_VALUE"""),"| 5 L PHP-CGM % | 6 L NS % | 7 P JAVA % | 9 P PRO % ")</f>
        <v xml:space="preserve">| 5 L PHP-CGM % | 6 L NS % | 7 P JAVA % | 9 P PRO % </v>
      </c>
      <c r="AU135" s="4" t="str">
        <f ca="1">IFERROR(__xludf.DUMMYFUNCTION("""COMPUTED_VALUE"""),"| 5 L JAVA % | 6 L CPT % | 7 P CPT % | 9 L INE % ")</f>
        <v xml:space="preserve">| 5 L JAVA % | 6 L CPT % | 7 P CPT % | 9 L INE % </v>
      </c>
      <c r="AV13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5" s="4" t="str">
        <f ca="1">IFERROR(__xludf.DUMMYFUNCTION("""COMPUTED_VALUE"""),"| 5 P Python % | 7 L PHP-CGM % | 8 L JAVA % | 9 P JAVA @ ")</f>
        <v xml:space="preserve">| 5 P Python % | 7 L PHP-CGM % | 8 L JAVA % | 9 P JAVA @ </v>
      </c>
      <c r="AX135" s="4" t="str">
        <f ca="1">IFERROR(__xludf.DUMMYFUNCTION("""COMPUTED_VALUE"""),"| 5 P Python % | 7 L CPT % | 8 L NS % | 9 P NS % ")</f>
        <v xml:space="preserve">| 5 P Python % | 7 L CPT % | 8 L NS % | 9 P NS % </v>
      </c>
      <c r="AY135" s="4" t="str">
        <f ca="1">IFERROR(__xludf.DUMMYFUNCTION("""COMPUTED_VALUE"""),"| 5 L PHP-CGM % | 6 L NS % | 7 P JAVA % ")</f>
        <v xml:space="preserve">| 5 L PHP-CGM % | 6 L NS % | 7 P JAVA % </v>
      </c>
      <c r="AZ135" s="4" t="str">
        <f ca="1">IFERROR(__xludf.DUMMYFUNCTION("""COMPUTED_VALUE"""),"| 5 L PHP-CGM % | 6 L NS % | 7 L JAVA % | 8 L CPT % ")</f>
        <v xml:space="preserve">| 5 L PHP-CGM % | 6 L NS % | 7 L JAVA % | 8 L CPT % </v>
      </c>
      <c r="BA135" s="4" t="str">
        <f ca="1">IFERROR(__xludf.DUMMYFUNCTION("""COMPUTED_VALUE"""),"| 5 P Python % | 7 L PHP-CGM % | 8 L JAVA % ")</f>
        <v xml:space="preserve">| 5 P Python % | 7 L PHP-CGM % | 8 L JAVA % </v>
      </c>
      <c r="BB135" s="4" t="str">
        <f ca="1">IFERROR(__xludf.DUMMYFUNCTION("""COMPUTED_VALUE"""),"| 5 P Python % | 7 L CPT % | 8 L NS % | 9 P NS % ")</f>
        <v xml:space="preserve">| 5 P Python % | 7 L CPT % | 8 L NS % | 9 P NS % </v>
      </c>
      <c r="BC135" s="4" t="str">
        <f ca="1">IFERROR(__xludf.DUMMYFUNCTION("""COMPUTED_VALUE"""),"| 5 L PHP-CGM % | 6 L NS % | 7 P JAVA % | 9 P PRO % ")</f>
        <v xml:space="preserve">| 5 L PHP-CGM % | 6 L NS % | 7 P JAVA % | 9 P PRO % </v>
      </c>
      <c r="BD135" s="4" t="str">
        <f ca="1">IFERROR(__xludf.DUMMYFUNCTION("""COMPUTED_VALUE"""),"| 5 L JAVA % | 6 L CPT % | 7 P CPT % | 9 L INE % ")</f>
        <v xml:space="preserve">| 5 L JAVA % | 6 L CPT % | 7 P CPT % | 9 L INE % </v>
      </c>
      <c r="BE135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35" s="4" t="str">
        <f ca="1">IFERROR(__xludf.DUMMYFUNCTION("""COMPUTED_VALUE"""),"| 5 P Python % | 7 L PHP-CGM % | 9 P JAVA @ | 8 L JAVA % ")</f>
        <v xml:space="preserve">| 5 P Python % | 7 L PHP-CGM % | 9 P JAVA @ | 8 L JAVA % </v>
      </c>
      <c r="BG135" s="4" t="str">
        <f ca="1">IFERROR(__xludf.DUMMYFUNCTION("""COMPUTED_VALUE"""),"| 5 L PHP-CGM % | 6 L NS % | 7 P JAVA % | 9 P PRO % ")</f>
        <v xml:space="preserve">| 5 L PHP-CGM % | 6 L NS % | 7 P JAVA % | 9 P PRO % </v>
      </c>
      <c r="BH135" s="4" t="str">
        <f ca="1">IFERROR(__xludf.DUMMYFUNCTION("""COMPUTED_VALUE"""),"| 5 L JAVA % | 6 L CPT % | 7 P CPT % | 9 L INE @ ")</f>
        <v xml:space="preserve">| 5 L JAVA % | 6 L CPT % | 7 P CPT % | 9 L INE @ </v>
      </c>
      <c r="BI135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J135" s="4" t="str">
        <f ca="1">IFERROR(__xludf.DUMMYFUNCTION("""COMPUTED_VALUE"""),"| 5 P Python @ | 7 L JAVA @ | 8 L PHP-CGM @ ")</f>
        <v xml:space="preserve">| 5 P Python @ | 7 L JAVA @ | 8 L PHP-CGM @ </v>
      </c>
      <c r="BK135" s="4" t="str">
        <f ca="1">IFERROR(__xludf.DUMMYFUNCTION("""COMPUTED_VALUE"""),"| 5 P Python % | 7 L CPT @ | 8 L NS @ | 9 P NS @ ")</f>
        <v xml:space="preserve">| 5 P Python % | 7 L CPT @ | 8 L NS @ | 9 P NS @ </v>
      </c>
      <c r="BL135" s="4" t="str">
        <f ca="1">IFERROR(__xludf.DUMMYFUNCTION("""COMPUTED_VALUE"""),"| 5 L PHP-CGM % | 6 L NS % | 7 P JAVA % | 9 P PRO % ")</f>
        <v xml:space="preserve">| 5 L PHP-CGM % | 6 L NS % | 7 P JAVA % | 9 P PRO % </v>
      </c>
      <c r="BM135" s="4" t="str">
        <f ca="1">IFERROR(__xludf.DUMMYFUNCTION("""COMPUTED_VALUE"""),"| 5 L JAVA @ | 6 L CPT @ | 7 P CPT @ | 9 L INE @ ")</f>
        <v xml:space="preserve">| 5 L JAVA @ | 6 L CPT @ | 7 P CPT @ | 9 L INE @ </v>
      </c>
      <c r="BN135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35" s="4" t="str">
        <f ca="1">IFERROR(__xludf.DUMMYFUNCTION("""COMPUTED_VALUE"""),"| 5 P Python % | 7 L PHP-CGM % ")</f>
        <v xml:space="preserve">| 5 P Python % | 7 L PHP-CGM % </v>
      </c>
      <c r="BP135" s="4" t="str">
        <f ca="1">IFERROR(__xludf.DUMMYFUNCTION("""COMPUTED_VALUE"""),"| 5 P Python % | 7 L CPT % | 8 L NS % | 9 P NS @ ")</f>
        <v xml:space="preserve">| 5 P Python % | 7 L CPT % | 8 L NS % | 9 P NS @ </v>
      </c>
      <c r="BQ135" s="4" t="str">
        <f ca="1">IFERROR(__xludf.DUMMYFUNCTION("""COMPUTED_VALUE"""),"| 5 L JAVA @ | 6 L CPT @ ")</f>
        <v xml:space="preserve">| 5 L JAVA @ | 6 L CPT @ </v>
      </c>
      <c r="BR135" s="4" t="str">
        <f ca="1">IFERROR(__xludf.DUMMYFUNCTION("""COMPUTED_VALUE"""),"| 7 L JAVA % ")</f>
        <v xml:space="preserve">| 7 L JAVA % </v>
      </c>
      <c r="BS135" s="4"/>
      <c r="BT135" s="4" t="str">
        <f ca="1">IFERROR(__xludf.DUMMYFUNCTION("""COMPUTED_VALUE"""),"| 7 L CPT @ | 9 P NS % ")</f>
        <v xml:space="preserve">| 7 L CPT @ | 9 P NS % </v>
      </c>
      <c r="BU135" s="4" t="str">
        <f ca="1">IFERROR(__xludf.DUMMYFUNCTION("""COMPUTED_VALUE"""),"| 9 P PRO % ")</f>
        <v xml:space="preserve">| 9 P PRO % </v>
      </c>
      <c r="BV135" s="4" t="str">
        <f ca="1">IFERROR(__xludf.DUMMYFUNCTION("""COMPUTED_VALUE"""),"| 5 P Python % | 7 L CPT % | 8 L NS % | 9 P NS % ")</f>
        <v xml:space="preserve">| 5 P Python % | 7 L CPT % | 8 L NS % | 9 P NS % </v>
      </c>
      <c r="BW135" s="4"/>
      <c r="BX135" s="4" t="str">
        <f ca="1">IFERROR(__xludf.DUMMYFUNCTION("""COMPUTED_VALUE"""),"| 5 L JAVA % | 6 L CPT % | 7 P CPT % ")</f>
        <v xml:space="preserve">| 5 L JAVA % | 6 L CPT % | 7 P CPT % </v>
      </c>
      <c r="BY135" s="4" t="str">
        <f ca="1">IFERROR(__xludf.DUMMYFUNCTION("""COMPUTED_VALUE"""),"| 5 L PHP-CGM % | 6 L NS % | 7 L JAVA @ | 8 L CPT @ ")</f>
        <v xml:space="preserve">| 5 L PHP-CGM % | 6 L NS % | 7 L JAVA @ | 8 L CPT @ </v>
      </c>
      <c r="BZ135" s="4" t="str">
        <f ca="1">IFERROR(__xludf.DUMMYFUNCTION("""COMPUTED_VALUE"""),"| 5 P Python % | 8 L JAVA @ | 7 L PHP-CGM @ | 9 P JAVA % ")</f>
        <v xml:space="preserve">| 5 P Python % | 8 L JAVA @ | 7 L PHP-CGM @ | 9 P JAVA % </v>
      </c>
      <c r="CA135" s="4" t="str">
        <f ca="1">IFERROR(__xludf.DUMMYFUNCTION("""COMPUTED_VALUE"""),"| 5 P Python % | 7 L CPT % | 8 L NS % | 9 P NS % ")</f>
        <v xml:space="preserve">| 5 P Python % | 7 L CPT % | 8 L NS % | 9 P NS % </v>
      </c>
      <c r="CB135" s="4" t="str">
        <f ca="1">IFERROR(__xludf.DUMMYFUNCTION("""COMPUTED_VALUE"""),"| 5 L PHP-CGM % | 6 L NS % | 7 P JAVA % ")</f>
        <v xml:space="preserve">| 5 L PHP-CGM % | 6 L NS % | 7 P JAVA % </v>
      </c>
      <c r="CC135" s="4" t="str">
        <f ca="1">IFERROR(__xludf.DUMMYFUNCTION("""COMPUTED_VALUE"""),"| 5 L JAVA @ | 7 P CPT % | 9 L INE % ")</f>
        <v xml:space="preserve">| 5 L JAVA @ | 7 P CPT % | 9 L INE % </v>
      </c>
      <c r="CD135" s="4" t="str">
        <f ca="1">IFERROR(__xludf.DUMMYFUNCTION("""COMPUTED_VALUE"""),"| 5 L PHP-CGM % | 6 L NS % | 7 L JAVA @ | 8 L CPT @ ")</f>
        <v xml:space="preserve">| 5 L PHP-CGM % | 6 L NS % | 7 L JAVA @ | 8 L CPT @ </v>
      </c>
      <c r="CE135" s="4" t="str">
        <f ca="1">IFERROR(__xludf.DUMMYFUNCTION("""COMPUTED_VALUE"""),"| 5 P Python % | 8 L JAVA % | 7 L PHP-CGM % ")</f>
        <v xml:space="preserve">| 5 P Python % | 8 L JAVA % | 7 L PHP-CGM % </v>
      </c>
      <c r="CF135" s="4" t="str">
        <f ca="1">IFERROR(__xludf.DUMMYFUNCTION("""COMPUTED_VALUE"""),"| 5 P Python % | 7 L CPT @ | 8 L NS @ | 9 P NS % ")</f>
        <v xml:space="preserve">| 5 P Python % | 7 L CPT @ | 8 L NS @ | 9 P NS % </v>
      </c>
      <c r="CG135" s="4" t="str">
        <f ca="1">IFERROR(__xludf.DUMMYFUNCTION("""COMPUTED_VALUE"""),"| 5 L PHP-CGM @ | 6 L NS @ | 7 P JAVA % ")</f>
        <v xml:space="preserve">| 5 L PHP-CGM @ | 6 L NS @ | 7 P JAVA % </v>
      </c>
      <c r="CH135" s="4" t="str">
        <f ca="1">IFERROR(__xludf.DUMMYFUNCTION("""COMPUTED_VALUE"""),"| 5 L JAVA % | 6 L CPT % | 7 P CPT % | 9 L INE % ")</f>
        <v xml:space="preserve">| 5 L JAVA % | 6 L CPT % | 7 P CPT % | 9 L INE % </v>
      </c>
      <c r="CI135" s="4" t="str">
        <f ca="1">IFERROR(__xludf.DUMMYFUNCTION("""COMPUTED_VALUE"""),"| 5 L PHP-CGM % | 7 L JAVA % | 8 L CPT % ")</f>
        <v xml:space="preserve">| 5 L PHP-CGM % | 7 L JAVA % | 8 L CPT % </v>
      </c>
      <c r="CJ135" s="4" t="str">
        <f ca="1">IFERROR(__xludf.DUMMYFUNCTION("""COMPUTED_VALUE"""),"| 5 P Python % ")</f>
        <v xml:space="preserve">| 5 P Python % </v>
      </c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</row>
    <row r="136" spans="1:102" ht="12.5" x14ac:dyDescent="0.25">
      <c r="A136" s="3">
        <f ca="1">IFERROR(__xludf.DUMMYFUNCTION("""COMPUTED_VALUE"""),3)</f>
        <v>3</v>
      </c>
      <c r="B136" s="3" t="str">
        <f ca="1">IFERROR(__xludf.DUMMYFUNCTION("""COMPUTED_VALUE"""),"B")</f>
        <v>B</v>
      </c>
      <c r="C136" s="32" t="str">
        <f ca="1">IFERROR(__xludf.DUMMYFUNCTION("""COMPUTED_VALUE"""),"23291341122")</f>
        <v>23291341122</v>
      </c>
      <c r="D136" s="4" t="str">
        <f ca="1">IFERROR(__xludf.DUMMYFUNCTION("""COMPUTED_VALUE"""),"PATEL SMITKUMAR NILESHBHAI")</f>
        <v>PATEL SMITKUMAR NILESHBHAI</v>
      </c>
      <c r="E136" s="3" t="str">
        <f ca="1">IFERROR(__xludf.DUMMYFUNCTION("""COMPUTED_VALUE"""),"HAM/HDP-EVE")</f>
        <v>HAM/HDP-EVE</v>
      </c>
      <c r="F136" s="3">
        <f ca="1">IFERROR(__xludf.DUMMYFUNCTION("""COMPUTED_VALUE"""),9909546155)</f>
        <v>9909546155</v>
      </c>
      <c r="G136" s="3">
        <f ca="1">IFERROR(__xludf.DUMMYFUNCTION("""COMPUTED_VALUE"""),9408960336)</f>
        <v>9408960336</v>
      </c>
      <c r="H136" s="33">
        <f ca="1">IFERROR(__xludf.DUMMYFUNCTION("""COMPUTED_VALUE"""),0.619047619047619)</f>
        <v>0.61904761904761896</v>
      </c>
      <c r="I136" s="25">
        <f ca="1">IFERROR(__xludf.DUMMYFUNCTION("""COMPUTED_VALUE"""),0.621621621621621)</f>
        <v>0.62162162162162105</v>
      </c>
      <c r="J136" s="25">
        <f ca="1">IFERROR(__xludf.DUMMYFUNCTION("""COMPUTED_VALUE"""),0.727272727272727)</f>
        <v>0.72727272727272696</v>
      </c>
      <c r="K136" s="25">
        <f ca="1">IFERROR(__xludf.DUMMYFUNCTION("""COMPUTED_VALUE"""),0.617647058823529)</f>
        <v>0.61764705882352899</v>
      </c>
      <c r="L136" s="25">
        <f ca="1">IFERROR(__xludf.DUMMYFUNCTION("""COMPUTED_VALUE"""),0.583333333333333)</f>
        <v>0.58333333333333304</v>
      </c>
      <c r="M136" s="25">
        <f ca="1">IFERROR(__xludf.DUMMYFUNCTION("""COMPUTED_VALUE"""),0.6)</f>
        <v>0.6</v>
      </c>
      <c r="N136" s="25">
        <f ca="1">IFERROR(__xludf.DUMMYFUNCTION("""COMPUTED_VALUE"""),0.5)</f>
        <v>0.5</v>
      </c>
      <c r="O136" s="25">
        <f ca="1">IFERROR(__xludf.DUMMYFUNCTION("""COMPUTED_VALUE"""),0.628571428571428)</f>
        <v>0.628571428571428</v>
      </c>
      <c r="P136" s="25">
        <f ca="1">IFERROR(__xludf.DUMMYFUNCTION("""COMPUTED_VALUE"""),0.666666666666666)</f>
        <v>0.66666666666666596</v>
      </c>
      <c r="Q136" s="25">
        <f ca="1">IFERROR(__xludf.DUMMYFUNCTION("""COMPUTED_VALUE"""),0)</f>
        <v>0</v>
      </c>
      <c r="R136" s="25">
        <f ca="1">IFERROR(__xludf.DUMMYFUNCTION("""COMPUTED_VALUE"""),0.666666666666666)</f>
        <v>0.66666666666666596</v>
      </c>
      <c r="S136" s="25">
        <f ca="1">IFERROR(__xludf.DUMMYFUNCTION("""COMPUTED_VALUE"""),0)</f>
        <v>0</v>
      </c>
      <c r="T136" s="25">
        <f ca="1">IFERROR(__xludf.DUMMYFUNCTION("""COMPUTED_VALUE"""),0.555555555555555)</f>
        <v>0.55555555555555503</v>
      </c>
      <c r="U136" s="25">
        <f ca="1">IFERROR(__xludf.DUMMYFUNCTION("""COMPUTED_VALUE"""),0.5)</f>
        <v>0.5</v>
      </c>
      <c r="V136" s="25">
        <f ca="1">IFERROR(__xludf.DUMMYFUNCTION("""COMPUTED_VALUE"""),0)</f>
        <v>0</v>
      </c>
      <c r="W136" s="4"/>
      <c r="X136" s="4" t="str">
        <f ca="1">IFERROR(__xludf.DUMMYFUNCTION("""COMPUTED_VALUE"""),"| 5 P Python @ | 7 L CPT @ | 8 L NS @ | 9 P NS @ ")</f>
        <v xml:space="preserve">| 5 P Python @ | 7 L CPT @ | 8 L NS @ | 9 P NS @ </v>
      </c>
      <c r="Y136" s="4" t="str">
        <f ca="1">IFERROR(__xludf.DUMMYFUNCTION("""COMPUTED_VALUE"""),"| 5 L PHP-CGM @ | 6 L NS @ | 7 P JAVA @ | 9 P PRO @ ")</f>
        <v xml:space="preserve">| 5 L PHP-CGM @ | 6 L NS @ | 7 P JAVA @ | 9 P PRO @ </v>
      </c>
      <c r="Z136" s="4" t="str">
        <f ca="1">IFERROR(__xludf.DUMMYFUNCTION("""COMPUTED_VALUE"""),"| 5 L JAVA @ | 6 L CPT @ | 7 P CPT @ ")</f>
        <v xml:space="preserve">| 5 L JAVA @ | 6 L CPT @ | 7 P CPT @ </v>
      </c>
      <c r="AA136" s="4" t="str">
        <f ca="1">IFERROR(__xludf.DUMMYFUNCTION("""COMPUTED_VALUE"""),"| 5 L PHP-CGM % | 7 L JAVA % | 9 P PHP-CGM % | 8 L CPT % ")</f>
        <v xml:space="preserve">| 5 L PHP-CGM % | 7 L JAVA % | 9 P PHP-CGM % | 8 L CPT % </v>
      </c>
      <c r="AB136" s="4" t="str">
        <f ca="1">IFERROR(__xludf.DUMMYFUNCTION("""COMPUTED_VALUE"""),"| 5 P Python % | 7 L PHP-CGM % | 8 L JAVA % | 9 P JAVA % ")</f>
        <v xml:space="preserve">| 5 P Python % | 7 L PHP-CGM % | 8 L JAVA % | 9 P JAVA % </v>
      </c>
      <c r="AC136" s="4" t="str">
        <f ca="1">IFERROR(__xludf.DUMMYFUNCTION("""COMPUTED_VALUE"""),"| 5 P Python % | 7 L CPT % | 8 L NS % | 9 P NS % ")</f>
        <v xml:space="preserve">| 5 P Python % | 7 L CPT % | 8 L NS % | 9 P NS % </v>
      </c>
      <c r="AD136" s="4" t="str">
        <f ca="1">IFERROR(__xludf.DUMMYFUNCTION("""COMPUTED_VALUE"""),"| 5 L PHP-CGM % | 6 L NS % | 7 P JAVA % | 9 P PRO % ")</f>
        <v xml:space="preserve">| 5 L PHP-CGM % | 6 L NS % | 7 P JAVA % | 9 P PRO % </v>
      </c>
      <c r="AE136" s="4" t="str">
        <f ca="1">IFERROR(__xludf.DUMMYFUNCTION("""COMPUTED_VALUE"""),"| 5 L JAVA % | 6 L CPT % | 7 P CPT % ")</f>
        <v xml:space="preserve">| 5 L JAVA % | 6 L CPT % | 7 P CPT % </v>
      </c>
      <c r="AF136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6" s="4" t="str">
        <f ca="1">IFERROR(__xludf.DUMMYFUNCTION("""COMPUTED_VALUE"""),"| 5 P Python % | 8 L JAVA % | 7 L PHP-CGM % | 9 P JAVA % ")</f>
        <v xml:space="preserve">| 5 P Python % | 8 L JAVA % | 7 L PHP-CGM % | 9 P JAVA % </v>
      </c>
      <c r="AH136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36" s="4" t="str">
        <f ca="1">IFERROR(__xludf.DUMMYFUNCTION("""COMPUTED_VALUE"""),"| 5 P Python % | 8 L JAVA % | 7 L PHP-CGM % | 9 P JAVA % ")</f>
        <v xml:space="preserve">| 5 P Python % | 8 L JAVA % | 7 L PHP-CGM % | 9 P JAVA % </v>
      </c>
      <c r="AJ136" s="4" t="str">
        <f ca="1">IFERROR(__xludf.DUMMYFUNCTION("""COMPUTED_VALUE"""),"| 5 P Python % | 7 L CPT % | 8 L NS % | 9 P NS % ")</f>
        <v xml:space="preserve">| 5 P Python % | 7 L CPT % | 8 L NS % | 9 P NS % </v>
      </c>
      <c r="AK136" s="4" t="str">
        <f ca="1">IFERROR(__xludf.DUMMYFUNCTION("""COMPUTED_VALUE"""),"| 5 L PHP-CGM % | 6 L NS % | 7 P JAVA % | 9 P PRO % ")</f>
        <v xml:space="preserve">| 5 L PHP-CGM % | 6 L NS % | 7 P JAVA % | 9 P PRO % </v>
      </c>
      <c r="AL136" s="4" t="str">
        <f ca="1">IFERROR(__xludf.DUMMYFUNCTION("""COMPUTED_VALUE"""),"| 5 L JAVA % | 6 L CPT % | 7 P CPT % | 9 L INE @ ")</f>
        <v xml:space="preserve">| 5 L JAVA % | 6 L CPT % | 7 P CPT % | 9 L INE @ </v>
      </c>
      <c r="AM136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N136" s="4" t="str">
        <f ca="1">IFERROR(__xludf.DUMMYFUNCTION("""COMPUTED_VALUE"""),"| 5 P Python @ | 8 L JAVA @ | 7 L PHP-CGM @ | 9 P JAVA @ ")</f>
        <v xml:space="preserve">| 5 P Python @ | 8 L JAVA @ | 7 L PHP-CGM @ | 9 P JAVA @ </v>
      </c>
      <c r="AO136" s="4" t="str">
        <f ca="1">IFERROR(__xludf.DUMMYFUNCTION("""COMPUTED_VALUE"""),"| 5 P Python @ | 7 L CPT @ | 8 L NS @ ")</f>
        <v xml:space="preserve">| 5 P Python @ | 7 L CPT @ | 8 L NS @ </v>
      </c>
      <c r="AP136" s="4" t="str">
        <f ca="1">IFERROR(__xludf.DUMMYFUNCTION("""COMPUTED_VALUE"""),"| 5 L PHP-CGM % | 6 L NS % | 7 P JAVA % | 9 P PRO % ")</f>
        <v xml:space="preserve">| 5 L PHP-CGM % | 6 L NS % | 7 P JAVA % | 9 P PRO % </v>
      </c>
      <c r="AQ136" s="4" t="str">
        <f ca="1">IFERROR(__xludf.DUMMYFUNCTION("""COMPUTED_VALUE"""),"| 5 L CPT % | 7 L JAVA % | 7 P CPT % | 9 L INE % ")</f>
        <v xml:space="preserve">| 5 L CPT % | 7 L JAVA % | 7 P CPT % | 9 L INE % </v>
      </c>
      <c r="AR136" s="4" t="str">
        <f ca="1">IFERROR(__xludf.DUMMYFUNCTION("""COMPUTED_VALUE"""),"| 5 L PHP-CGM @ | 6 L NS @ | 8 L CPT @ ")</f>
        <v xml:space="preserve">| 5 L PHP-CGM @ | 6 L NS @ | 8 L CPT @ </v>
      </c>
      <c r="AS136" s="4" t="str">
        <f ca="1">IFERROR(__xludf.DUMMYFUNCTION("""COMPUTED_VALUE"""),"| 5 P Python % | 7 L CPT % | 8 L NS % | 9 P NS % ")</f>
        <v xml:space="preserve">| 5 P Python % | 7 L CPT % | 8 L NS % | 9 P NS % </v>
      </c>
      <c r="AT136" s="4" t="str">
        <f ca="1">IFERROR(__xludf.DUMMYFUNCTION("""COMPUTED_VALUE"""),"| 5 L PHP-CGM % | 6 L NS % | 7 P JAVA % | 9 P PRO % ")</f>
        <v xml:space="preserve">| 5 L PHP-CGM % | 6 L NS % | 7 P JAVA % | 9 P PRO % </v>
      </c>
      <c r="AU136" s="4" t="str">
        <f ca="1">IFERROR(__xludf.DUMMYFUNCTION("""COMPUTED_VALUE"""),"| 5 L JAVA % | 6 L CPT % | 7 P CPT % | 9 L INE % ")</f>
        <v xml:space="preserve">| 5 L JAVA % | 6 L CPT % | 7 P CPT % | 9 L INE % </v>
      </c>
      <c r="AV136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6" s="4" t="str">
        <f ca="1">IFERROR(__xludf.DUMMYFUNCTION("""COMPUTED_VALUE"""),"| 5 P Python % | 7 L PHP-CGM % | 8 L JAVA % | 9 P JAVA % ")</f>
        <v xml:space="preserve">| 5 P Python % | 7 L PHP-CGM % | 8 L JAVA % | 9 P JAVA % </v>
      </c>
      <c r="AX136" s="4" t="str">
        <f ca="1">IFERROR(__xludf.DUMMYFUNCTION("""COMPUTED_VALUE"""),"| 5 P Python % | 7 L CPT % | 8 L NS % | 9 P NS % ")</f>
        <v xml:space="preserve">| 5 P Python % | 7 L CPT % | 8 L NS % | 9 P NS % </v>
      </c>
      <c r="AY136" s="4" t="str">
        <f ca="1">IFERROR(__xludf.DUMMYFUNCTION("""COMPUTED_VALUE"""),"| 5 L PHP-CGM % | 6 L NS % | 7 P JAVA % ")</f>
        <v xml:space="preserve">| 5 L PHP-CGM % | 6 L NS % | 7 P JAVA % </v>
      </c>
      <c r="AZ136" s="4" t="str">
        <f ca="1">IFERROR(__xludf.DUMMYFUNCTION("""COMPUTED_VALUE"""),"| 5 L PHP-CGM % | 6 L NS % | 7 L JAVA % | 8 L CPT % ")</f>
        <v xml:space="preserve">| 5 L PHP-CGM % | 6 L NS % | 7 L JAVA % | 8 L CPT % </v>
      </c>
      <c r="BA136" s="4" t="str">
        <f ca="1">IFERROR(__xludf.DUMMYFUNCTION("""COMPUTED_VALUE"""),"| 5 P Python % | 7 L PHP-CGM @ | 8 L JAVA @ ")</f>
        <v xml:space="preserve">| 5 P Python % | 7 L PHP-CGM @ | 8 L JAVA @ </v>
      </c>
      <c r="BB136" s="4" t="str">
        <f ca="1">IFERROR(__xludf.DUMMYFUNCTION("""COMPUTED_VALUE"""),"| 5 P Python % | 7 L CPT % | 8 L NS % | 9 P NS % ")</f>
        <v xml:space="preserve">| 5 P Python % | 7 L CPT % | 8 L NS % | 9 P NS % </v>
      </c>
      <c r="BC136" s="4" t="str">
        <f ca="1">IFERROR(__xludf.DUMMYFUNCTION("""COMPUTED_VALUE"""),"| 5 L PHP-CGM % | 6 L NS % | 7 P JAVA % | 9 P PRO % ")</f>
        <v xml:space="preserve">| 5 L PHP-CGM % | 6 L NS % | 7 P JAVA % | 9 P PRO % </v>
      </c>
      <c r="BD136" s="4" t="str">
        <f ca="1">IFERROR(__xludf.DUMMYFUNCTION("""COMPUTED_VALUE"""),"| 5 L JAVA % | 6 L CPT % | 7 P CPT % | 9 L INE @ ")</f>
        <v xml:space="preserve">| 5 L JAVA % | 6 L CPT % | 7 P CPT % | 9 L INE @ </v>
      </c>
      <c r="BE136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F136" s="4" t="str">
        <f ca="1">IFERROR(__xludf.DUMMYFUNCTION("""COMPUTED_VALUE"""),"| 5 P Python @ | 7 L PHP-CGM @ | 9 P JAVA @ | 8 L JAVA @ ")</f>
        <v xml:space="preserve">| 5 P Python @ | 7 L PHP-CGM @ | 9 P JAVA @ | 8 L JAVA @ </v>
      </c>
      <c r="BG136" s="4" t="str">
        <f ca="1">IFERROR(__xludf.DUMMYFUNCTION("""COMPUTED_VALUE"""),"| 5 L PHP-CGM % | 6 L NS % | 7 P JAVA % | 9 P PRO @ ")</f>
        <v xml:space="preserve">| 5 L PHP-CGM % | 6 L NS % | 7 P JAVA % | 9 P PRO @ </v>
      </c>
      <c r="BH136" s="4" t="str">
        <f ca="1">IFERROR(__xludf.DUMMYFUNCTION("""COMPUTED_VALUE"""),"| 5 L JAVA % | 6 L CPT % | 7 P CPT % | 9 L INE % ")</f>
        <v xml:space="preserve">| 5 L JAVA % | 6 L CPT % | 7 P CPT % | 9 L INE % </v>
      </c>
      <c r="BI136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6" s="4" t="str">
        <f ca="1">IFERROR(__xludf.DUMMYFUNCTION("""COMPUTED_VALUE"""),"| 5 P Python % | 7 L JAVA @ | 8 L PHP-CGM @ ")</f>
        <v xml:space="preserve">| 5 P Python % | 7 L JAVA @ | 8 L PHP-CGM @ </v>
      </c>
      <c r="BK136" s="4" t="str">
        <f ca="1">IFERROR(__xludf.DUMMYFUNCTION("""COMPUTED_VALUE"""),"| 5 P Python @ | 7 L CPT @ | 8 L NS @ | 9 P NS @ ")</f>
        <v xml:space="preserve">| 5 P Python @ | 7 L CPT @ | 8 L NS @ | 9 P NS @ </v>
      </c>
      <c r="BL136" s="4" t="str">
        <f ca="1">IFERROR(__xludf.DUMMYFUNCTION("""COMPUTED_VALUE"""),"| 5 L PHP-CGM @ | 6 L NS @ | 7 P JAVA @ | 9 P PRO @ ")</f>
        <v xml:space="preserve">| 5 L PHP-CGM @ | 6 L NS @ | 7 P JAVA @ | 9 P PRO @ </v>
      </c>
      <c r="BM136" s="4" t="str">
        <f ca="1">IFERROR(__xludf.DUMMYFUNCTION("""COMPUTED_VALUE"""),"| 5 L JAVA @ | 6 L CPT @ | 7 P CPT @ | 9 L INE @ ")</f>
        <v xml:space="preserve">| 5 L JAVA @ | 6 L CPT @ | 7 P CPT @ | 9 L INE @ </v>
      </c>
      <c r="BN136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36" s="4" t="str">
        <f ca="1">IFERROR(__xludf.DUMMYFUNCTION("""COMPUTED_VALUE"""),"| 5 P Python @ | 7 L PHP-CGM @ ")</f>
        <v xml:space="preserve">| 5 P Python @ | 7 L PHP-CGM @ </v>
      </c>
      <c r="BP136" s="4" t="str">
        <f ca="1">IFERROR(__xludf.DUMMYFUNCTION("""COMPUTED_VALUE"""),"| 5 P Python @ | 7 L CPT @ | 8 L NS @ | 9 P NS @ ")</f>
        <v xml:space="preserve">| 5 P Python @ | 7 L CPT @ | 8 L NS @ | 9 P NS @ </v>
      </c>
      <c r="BQ136" s="4" t="str">
        <f ca="1">IFERROR(__xludf.DUMMYFUNCTION("""COMPUTED_VALUE"""),"| 5 L JAVA @ | 6 L CPT @ ")</f>
        <v xml:space="preserve">| 5 L JAVA @ | 6 L CPT @ </v>
      </c>
      <c r="BR136" s="4" t="str">
        <f ca="1">IFERROR(__xludf.DUMMYFUNCTION("""COMPUTED_VALUE"""),"| 7 L JAVA % ")</f>
        <v xml:space="preserve">| 7 L JAVA % </v>
      </c>
      <c r="BS136" s="4"/>
      <c r="BT136" s="4" t="str">
        <f ca="1">IFERROR(__xludf.DUMMYFUNCTION("""COMPUTED_VALUE"""),"| 7 L CPT @ | 9 P NS @ ")</f>
        <v xml:space="preserve">| 7 L CPT @ | 9 P NS @ </v>
      </c>
      <c r="BU136" s="4" t="str">
        <f ca="1">IFERROR(__xludf.DUMMYFUNCTION("""COMPUTED_VALUE"""),"| 9 P PRO @ ")</f>
        <v xml:space="preserve">| 9 P PRO @ </v>
      </c>
      <c r="BV136" s="4" t="str">
        <f ca="1">IFERROR(__xludf.DUMMYFUNCTION("""COMPUTED_VALUE"""),"| 5 P Python @ | 7 L CPT @ | 8 L NS @ | 9 P NS @ ")</f>
        <v xml:space="preserve">| 5 P Python @ | 7 L CPT @ | 8 L NS @ | 9 P NS @ </v>
      </c>
      <c r="BW136" s="4"/>
      <c r="BX136" s="4" t="str">
        <f ca="1">IFERROR(__xludf.DUMMYFUNCTION("""COMPUTED_VALUE"""),"| 5 L JAVA % | 6 L CPT % | 7 P CPT @ ")</f>
        <v xml:space="preserve">| 5 L JAVA % | 6 L CPT % | 7 P CPT @ </v>
      </c>
      <c r="BY136" s="4" t="str">
        <f ca="1">IFERROR(__xludf.DUMMYFUNCTION("""COMPUTED_VALUE"""),"| 5 L PHP-CGM % | 6 L NS % | 7 L JAVA @ | 8 L CPT @ ")</f>
        <v xml:space="preserve">| 5 L PHP-CGM % | 6 L NS % | 7 L JAVA @ | 8 L CPT @ </v>
      </c>
      <c r="BZ136" s="4" t="str">
        <f ca="1">IFERROR(__xludf.DUMMYFUNCTION("""COMPUTED_VALUE"""),"| 5 P Python % | 8 L JAVA @ | 7 L PHP-CGM @ | 9 P JAVA @ ")</f>
        <v xml:space="preserve">| 5 P Python % | 8 L JAVA @ | 7 L PHP-CGM @ | 9 P JAVA @ </v>
      </c>
      <c r="CA136" s="4" t="str">
        <f ca="1">IFERROR(__xludf.DUMMYFUNCTION("""COMPUTED_VALUE"""),"| 5 P Python % | 7 L CPT % | 8 L NS % | 9 P NS % ")</f>
        <v xml:space="preserve">| 5 P Python % | 7 L CPT % | 8 L NS % | 9 P NS % </v>
      </c>
      <c r="CB136" s="4" t="str">
        <f ca="1">IFERROR(__xludf.DUMMYFUNCTION("""COMPUTED_VALUE"""),"| 5 L PHP-CGM @ | 6 L NS @ | 7 P JAVA @ ")</f>
        <v xml:space="preserve">| 5 L PHP-CGM @ | 6 L NS @ | 7 P JAVA @ </v>
      </c>
      <c r="CC136" s="4" t="str">
        <f ca="1">IFERROR(__xludf.DUMMYFUNCTION("""COMPUTED_VALUE"""),"| 5 L JAVA % | 7 P CPT % | 9 L INE % ")</f>
        <v xml:space="preserve">| 5 L JAVA % | 7 P CPT % | 9 L INE % </v>
      </c>
      <c r="CD136" s="4" t="str">
        <f ca="1">IFERROR(__xludf.DUMMYFUNCTION("""COMPUTED_VALUE"""),"| 5 L PHP-CGM @ | 6 L NS @ | 7 L JAVA @ | 8 L CPT @ ")</f>
        <v xml:space="preserve">| 5 L PHP-CGM @ | 6 L NS @ | 7 L JAVA @ | 8 L CPT @ </v>
      </c>
      <c r="CE136" s="4" t="str">
        <f ca="1">IFERROR(__xludf.DUMMYFUNCTION("""COMPUTED_VALUE"""),"| 5 P Python % | 8 L JAVA % | 7 L PHP-CGM % ")</f>
        <v xml:space="preserve">| 5 P Python % | 8 L JAVA % | 7 L PHP-CGM % </v>
      </c>
      <c r="CF136" s="4" t="str">
        <f ca="1">IFERROR(__xludf.DUMMYFUNCTION("""COMPUTED_VALUE"""),"| 5 P Python % | 7 L CPT % | 8 L NS % | 9 P NS % ")</f>
        <v xml:space="preserve">| 5 P Python % | 7 L CPT % | 8 L NS % | 9 P NS % </v>
      </c>
      <c r="CG136" s="4" t="str">
        <f ca="1">IFERROR(__xludf.DUMMYFUNCTION("""COMPUTED_VALUE"""),"| 5 L PHP-CGM @ | 6 L NS @ | 7 P JAVA % ")</f>
        <v xml:space="preserve">| 5 L PHP-CGM @ | 6 L NS @ | 7 P JAVA % </v>
      </c>
      <c r="CH136" s="4" t="str">
        <f ca="1">IFERROR(__xludf.DUMMYFUNCTION("""COMPUTED_VALUE"""),"| 5 L JAVA @ | 6 L CPT % | 7 P CPT % | 9 L INE @ ")</f>
        <v xml:space="preserve">| 5 L JAVA @ | 6 L CPT % | 7 P CPT % | 9 L INE @ </v>
      </c>
      <c r="CI136" s="4" t="str">
        <f ca="1">IFERROR(__xludf.DUMMYFUNCTION("""COMPUTED_VALUE"""),"| 5 L PHP-CGM % | 7 L JAVA % | 8 L CPT % ")</f>
        <v xml:space="preserve">| 5 L PHP-CGM % | 7 L JAVA % | 8 L CPT % </v>
      </c>
      <c r="CJ136" s="4" t="str">
        <f ca="1">IFERROR(__xludf.DUMMYFUNCTION("""COMPUTED_VALUE"""),"| 5 P Python % ")</f>
        <v xml:space="preserve">| 5 P Python % </v>
      </c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</row>
    <row r="137" spans="1:102" ht="12.5" x14ac:dyDescent="0.25">
      <c r="A137" s="3">
        <f ca="1">IFERROR(__xludf.DUMMYFUNCTION("""COMPUTED_VALUE"""),3)</f>
        <v>3</v>
      </c>
      <c r="B137" s="3" t="str">
        <f ca="1">IFERROR(__xludf.DUMMYFUNCTION("""COMPUTED_VALUE"""),"B")</f>
        <v>B</v>
      </c>
      <c r="C137" s="32" t="str">
        <f ca="1">IFERROR(__xludf.DUMMYFUNCTION("""COMPUTED_VALUE"""),"23291341126")</f>
        <v>23291341126</v>
      </c>
      <c r="D137" s="4" t="str">
        <f ca="1">IFERROR(__xludf.DUMMYFUNCTION("""COMPUTED_VALUE"""),"PATEL TWINKALBEN TAPESHBHAI")</f>
        <v>PATEL TWINKALBEN TAPESHBHAI</v>
      </c>
      <c r="E137" s="3" t="str">
        <f ca="1">IFERROR(__xludf.DUMMYFUNCTION("""COMPUTED_VALUE"""),"HAM/HDP-EVE")</f>
        <v>HAM/HDP-EVE</v>
      </c>
      <c r="F137" s="3">
        <f ca="1">IFERROR(__xludf.DUMMYFUNCTION("""COMPUTED_VALUE"""),9016039482)</f>
        <v>9016039482</v>
      </c>
      <c r="G137" s="3">
        <f ca="1">IFERROR(__xludf.DUMMYFUNCTION("""COMPUTED_VALUE"""),9016039482)</f>
        <v>9016039482</v>
      </c>
      <c r="H137" s="33">
        <f ca="1">IFERROR(__xludf.DUMMYFUNCTION("""COMPUTED_VALUE"""),0.783549783549783)</f>
        <v>0.783549783549783</v>
      </c>
      <c r="I137" s="25">
        <f ca="1">IFERROR(__xludf.DUMMYFUNCTION("""COMPUTED_VALUE"""),0.81081081081081)</f>
        <v>0.81081081081080997</v>
      </c>
      <c r="J137" s="25">
        <f ca="1">IFERROR(__xludf.DUMMYFUNCTION("""COMPUTED_VALUE"""),1)</f>
        <v>1</v>
      </c>
      <c r="K137" s="25">
        <f ca="1">IFERROR(__xludf.DUMMYFUNCTION("""COMPUTED_VALUE"""),0.794117647058823)</f>
        <v>0.79411764705882304</v>
      </c>
      <c r="L137" s="25">
        <f ca="1">IFERROR(__xludf.DUMMYFUNCTION("""COMPUTED_VALUE"""),0.583333333333333)</f>
        <v>0.58333333333333304</v>
      </c>
      <c r="M137" s="25">
        <f ca="1">IFERROR(__xludf.DUMMYFUNCTION("""COMPUTED_VALUE"""),0.8)</f>
        <v>0.8</v>
      </c>
      <c r="N137" s="25">
        <f ca="1">IFERROR(__xludf.DUMMYFUNCTION("""COMPUTED_VALUE"""),0.625)</f>
        <v>0.625</v>
      </c>
      <c r="O137" s="25">
        <f ca="1">IFERROR(__xludf.DUMMYFUNCTION("""COMPUTED_VALUE"""),0.857142857142857)</f>
        <v>0.85714285714285698</v>
      </c>
      <c r="P137" s="25">
        <f ca="1">IFERROR(__xludf.DUMMYFUNCTION("""COMPUTED_VALUE"""),0.888888888888888)</f>
        <v>0.88888888888888795</v>
      </c>
      <c r="Q137" s="25">
        <f ca="1">IFERROR(__xludf.DUMMYFUNCTION("""COMPUTED_VALUE"""),0)</f>
        <v>0</v>
      </c>
      <c r="R137" s="25">
        <f ca="1">IFERROR(__xludf.DUMMYFUNCTION("""COMPUTED_VALUE"""),0.791666666666666)</f>
        <v>0.79166666666666596</v>
      </c>
      <c r="S137" s="25">
        <f ca="1">IFERROR(__xludf.DUMMYFUNCTION("""COMPUTED_VALUE"""),0)</f>
        <v>0</v>
      </c>
      <c r="T137" s="25">
        <f ca="1">IFERROR(__xludf.DUMMYFUNCTION("""COMPUTED_VALUE"""),0.555555555555555)</f>
        <v>0.55555555555555503</v>
      </c>
      <c r="U137" s="25">
        <f ca="1">IFERROR(__xludf.DUMMYFUNCTION("""COMPUTED_VALUE"""),0.375)</f>
        <v>0.375</v>
      </c>
      <c r="V137" s="25">
        <f ca="1">IFERROR(__xludf.DUMMYFUNCTION("""COMPUTED_VALUE"""),0)</f>
        <v>0</v>
      </c>
      <c r="W137" s="4"/>
      <c r="X137" s="4" t="str">
        <f ca="1">IFERROR(__xludf.DUMMYFUNCTION("""COMPUTED_VALUE"""),"| 5 P Python @ | 7 L CPT @ | 8 L NS @ | 9 P NS @ ")</f>
        <v xml:space="preserve">| 5 P Python @ | 7 L CPT @ | 8 L NS @ | 9 P NS @ </v>
      </c>
      <c r="Y137" s="4" t="str">
        <f ca="1">IFERROR(__xludf.DUMMYFUNCTION("""COMPUTED_VALUE"""),"| 5 L PHP-CGM % | 6 L NS % | 7 P JAVA % | 9 P PRO % ")</f>
        <v xml:space="preserve">| 5 L PHP-CGM % | 6 L NS % | 7 P JAVA % | 9 P PRO % </v>
      </c>
      <c r="Z137" s="4" t="str">
        <f ca="1">IFERROR(__xludf.DUMMYFUNCTION("""COMPUTED_VALUE"""),"| 5 L JAVA % | 6 L CPT % | 7 P CPT % ")</f>
        <v xml:space="preserve">| 5 L JAVA % | 6 L CPT % | 7 P CPT % </v>
      </c>
      <c r="AA137" s="4" t="str">
        <f ca="1">IFERROR(__xludf.DUMMYFUNCTION("""COMPUTED_VALUE"""),"| 5 L PHP-CGM % | 7 L JAVA % | 9 P PHP-CGM % | 8 L CPT % ")</f>
        <v xml:space="preserve">| 5 L PHP-CGM % | 7 L JAVA % | 9 P PHP-CGM % | 8 L CPT % </v>
      </c>
      <c r="AB137" s="4" t="str">
        <f ca="1">IFERROR(__xludf.DUMMYFUNCTION("""COMPUTED_VALUE"""),"| 5 P Python % | 7 L PHP-CGM % | 8 L JAVA % | 9 P JAVA % ")</f>
        <v xml:space="preserve">| 5 P Python % | 7 L PHP-CGM % | 8 L JAVA % | 9 P JAVA % </v>
      </c>
      <c r="AC137" s="4" t="str">
        <f ca="1">IFERROR(__xludf.DUMMYFUNCTION("""COMPUTED_VALUE"""),"| 5 P Python % | 7 L CPT % | 8 L NS % | 9 P NS % ")</f>
        <v xml:space="preserve">| 5 P Python % | 7 L CPT % | 8 L NS % | 9 P NS % </v>
      </c>
      <c r="AD137" s="4" t="str">
        <f ca="1">IFERROR(__xludf.DUMMYFUNCTION("""COMPUTED_VALUE"""),"| 5 L PHP-CGM % | 6 L NS % | 7 P JAVA % | 9 P PRO % ")</f>
        <v xml:space="preserve">| 5 L PHP-CGM % | 6 L NS % | 7 P JAVA % | 9 P PRO % </v>
      </c>
      <c r="AE137" s="4" t="str">
        <f ca="1">IFERROR(__xludf.DUMMYFUNCTION("""COMPUTED_VALUE"""),"| 5 L JAVA % | 6 L CPT % | 7 P CPT % ")</f>
        <v xml:space="preserve">| 5 L JAVA % | 6 L CPT % | 7 P CPT % </v>
      </c>
      <c r="AF137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7" s="4" t="str">
        <f ca="1">IFERROR(__xludf.DUMMYFUNCTION("""COMPUTED_VALUE"""),"| 5 P Python % | 8 L JAVA % | 7 L PHP-CGM % | 9 P JAVA @ ")</f>
        <v xml:space="preserve">| 5 P Python % | 8 L JAVA % | 7 L PHP-CGM % | 9 P JAVA @ </v>
      </c>
      <c r="AH137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I137" s="4" t="str">
        <f ca="1">IFERROR(__xludf.DUMMYFUNCTION("""COMPUTED_VALUE"""),"| 5 P Python % | 8 L JAVA % | 7 L PHP-CGM % | 9 P JAVA % ")</f>
        <v xml:space="preserve">| 5 P Python % | 8 L JAVA % | 7 L PHP-CGM % | 9 P JAVA % </v>
      </c>
      <c r="AJ137" s="4" t="str">
        <f ca="1">IFERROR(__xludf.DUMMYFUNCTION("""COMPUTED_VALUE"""),"| 5 P Python % | 7 L CPT % | 8 L NS % | 9 P NS % ")</f>
        <v xml:space="preserve">| 5 P Python % | 7 L CPT % | 8 L NS % | 9 P NS % </v>
      </c>
      <c r="AK137" s="4" t="str">
        <f ca="1">IFERROR(__xludf.DUMMYFUNCTION("""COMPUTED_VALUE"""),"| 5 L PHP-CGM % | 6 L NS % | 7 P JAVA % | 9 P PRO @ ")</f>
        <v xml:space="preserve">| 5 L PHP-CGM % | 6 L NS % | 7 P JAVA % | 9 P PRO @ </v>
      </c>
      <c r="AL137" s="4" t="str">
        <f ca="1">IFERROR(__xludf.DUMMYFUNCTION("""COMPUTED_VALUE"""),"| 5 L JAVA % | 6 L CPT % | 7 P CPT % | 9 L INE @ ")</f>
        <v xml:space="preserve">| 5 L JAVA % | 6 L CPT % | 7 P CPT % | 9 L INE @ </v>
      </c>
      <c r="AM137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37" s="4" t="str">
        <f ca="1">IFERROR(__xludf.DUMMYFUNCTION("""COMPUTED_VALUE"""),"| 5 P Python @ | 8 L JAVA % | 7 L PHP-CGM % | 9 P JAVA % ")</f>
        <v xml:space="preserve">| 5 P Python @ | 8 L JAVA % | 7 L PHP-CGM % | 9 P JAVA % </v>
      </c>
      <c r="AO137" s="4" t="str">
        <f ca="1">IFERROR(__xludf.DUMMYFUNCTION("""COMPUTED_VALUE"""),"| 5 P Python % | 7 L CPT % | 8 L NS % ")</f>
        <v xml:space="preserve">| 5 P Python % | 7 L CPT % | 8 L NS % </v>
      </c>
      <c r="AP137" s="4" t="str">
        <f ca="1">IFERROR(__xludf.DUMMYFUNCTION("""COMPUTED_VALUE"""),"| 5 L PHP-CGM % | 6 L NS % | 7 P JAVA % | 9 P PRO % ")</f>
        <v xml:space="preserve">| 5 L PHP-CGM % | 6 L NS % | 7 P JAVA % | 9 P PRO % </v>
      </c>
      <c r="AQ137" s="4" t="str">
        <f ca="1">IFERROR(__xludf.DUMMYFUNCTION("""COMPUTED_VALUE"""),"| 5 L CPT % | 7 L JAVA % | 7 P CPT % | 9 L INE % ")</f>
        <v xml:space="preserve">| 5 L CPT % | 7 L JAVA % | 7 P CPT % | 9 L INE % </v>
      </c>
      <c r="AR137" s="4" t="str">
        <f ca="1">IFERROR(__xludf.DUMMYFUNCTION("""COMPUTED_VALUE"""),"| 5 L PHP-CGM % | 6 L NS % | 8 L CPT @ ")</f>
        <v xml:space="preserve">| 5 L PHP-CGM % | 6 L NS % | 8 L CPT @ </v>
      </c>
      <c r="AS137" s="4" t="str">
        <f ca="1">IFERROR(__xludf.DUMMYFUNCTION("""COMPUTED_VALUE"""),"| 5 P Python % | 7 L CPT % | 8 L NS % | 9 P NS % ")</f>
        <v xml:space="preserve">| 5 P Python % | 7 L CPT % | 8 L NS % | 9 P NS % </v>
      </c>
      <c r="AT137" s="4" t="str">
        <f ca="1">IFERROR(__xludf.DUMMYFUNCTION("""COMPUTED_VALUE"""),"| 5 L PHP-CGM % | 6 L NS % | 7 P JAVA % | 9 P PRO % ")</f>
        <v xml:space="preserve">| 5 L PHP-CGM % | 6 L NS % | 7 P JAVA % | 9 P PRO % </v>
      </c>
      <c r="AU137" s="4" t="str">
        <f ca="1">IFERROR(__xludf.DUMMYFUNCTION("""COMPUTED_VALUE"""),"| 5 L JAVA % | 6 L CPT % | 7 P CPT % | 9 L INE @ ")</f>
        <v xml:space="preserve">| 5 L JAVA % | 6 L CPT % | 7 P CPT % | 9 L INE @ </v>
      </c>
      <c r="AV137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W137" s="4" t="str">
        <f ca="1">IFERROR(__xludf.DUMMYFUNCTION("""COMPUTED_VALUE"""),"| 5 P Python @ | 7 L PHP-CGM @ | 8 L JAVA @ | 9 P JAVA @ ")</f>
        <v xml:space="preserve">| 5 P Python @ | 7 L PHP-CGM @ | 8 L JAVA @ | 9 P JAVA @ </v>
      </c>
      <c r="AX137" s="4" t="str">
        <f ca="1">IFERROR(__xludf.DUMMYFUNCTION("""COMPUTED_VALUE"""),"| 5 P Python % | 7 L CPT % | 8 L NS % | 9 P NS % ")</f>
        <v xml:space="preserve">| 5 P Python % | 7 L CPT % | 8 L NS % | 9 P NS % </v>
      </c>
      <c r="AY137" s="4" t="str">
        <f ca="1">IFERROR(__xludf.DUMMYFUNCTION("""COMPUTED_VALUE"""),"| 5 L PHP-CGM % | 6 L NS % | 7 P JAVA % ")</f>
        <v xml:space="preserve">| 5 L PHP-CGM % | 6 L NS % | 7 P JAVA % </v>
      </c>
      <c r="AZ137" s="4" t="str">
        <f ca="1">IFERROR(__xludf.DUMMYFUNCTION("""COMPUTED_VALUE"""),"| 5 L PHP-CGM % | 6 L NS % | 7 L JAVA % | 8 L CPT % ")</f>
        <v xml:space="preserve">| 5 L PHP-CGM % | 6 L NS % | 7 L JAVA % | 8 L CPT % </v>
      </c>
      <c r="BA137" s="4" t="str">
        <f ca="1">IFERROR(__xludf.DUMMYFUNCTION("""COMPUTED_VALUE"""),"| 5 P Python % | 7 L PHP-CGM % | 8 L JAVA % ")</f>
        <v xml:space="preserve">| 5 P Python % | 7 L PHP-CGM % | 8 L JAVA % </v>
      </c>
      <c r="BB137" s="4" t="str">
        <f ca="1">IFERROR(__xludf.DUMMYFUNCTION("""COMPUTED_VALUE"""),"| 5 P Python % | 7 L CPT % | 8 L NS % | 9 P NS % ")</f>
        <v xml:space="preserve">| 5 P Python % | 7 L CPT % | 8 L NS % | 9 P NS % </v>
      </c>
      <c r="BC137" s="4" t="str">
        <f ca="1">IFERROR(__xludf.DUMMYFUNCTION("""COMPUTED_VALUE"""),"| 5 L PHP-CGM % | 6 L NS % | 7 P JAVA % | 9 P PRO @ ")</f>
        <v xml:space="preserve">| 5 L PHP-CGM % | 6 L NS % | 7 P JAVA % | 9 P PRO @ </v>
      </c>
      <c r="BD137" s="4" t="str">
        <f ca="1">IFERROR(__xludf.DUMMYFUNCTION("""COMPUTED_VALUE"""),"| 5 L JAVA % | 6 L CPT % | 7 P CPT % | 9 L INE % ")</f>
        <v xml:space="preserve">| 5 L JAVA % | 6 L CPT % | 7 P CPT % | 9 L INE % </v>
      </c>
      <c r="BE137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37" s="4" t="str">
        <f ca="1">IFERROR(__xludf.DUMMYFUNCTION("""COMPUTED_VALUE"""),"| 5 P Python % | 7 L PHP-CGM % | 9 P JAVA % | 8 L JAVA % ")</f>
        <v xml:space="preserve">| 5 P Python % | 7 L PHP-CGM % | 9 P JAVA % | 8 L JAVA % </v>
      </c>
      <c r="BG137" s="4" t="str">
        <f ca="1">IFERROR(__xludf.DUMMYFUNCTION("""COMPUTED_VALUE"""),"| 5 L PHP-CGM % | 6 L NS % | 7 P JAVA % | 9 P PRO % ")</f>
        <v xml:space="preserve">| 5 L PHP-CGM % | 6 L NS % | 7 P JAVA % | 9 P PRO % </v>
      </c>
      <c r="BH137" s="4" t="str">
        <f ca="1">IFERROR(__xludf.DUMMYFUNCTION("""COMPUTED_VALUE"""),"| 5 L JAVA % | 6 L CPT % | 7 P CPT % | 9 L INE @ ")</f>
        <v xml:space="preserve">| 5 L JAVA % | 6 L CPT % | 7 P CPT % | 9 L INE @ </v>
      </c>
      <c r="BI137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7" s="4" t="str">
        <f ca="1">IFERROR(__xludf.DUMMYFUNCTION("""COMPUTED_VALUE"""),"| 5 P Python % | 7 L JAVA @ | 8 L PHP-CGM @ ")</f>
        <v xml:space="preserve">| 5 P Python % | 7 L JAVA @ | 8 L PHP-CGM @ </v>
      </c>
      <c r="BK137" s="4" t="str">
        <f ca="1">IFERROR(__xludf.DUMMYFUNCTION("""COMPUTED_VALUE"""),"| 5 P Python % | 7 L CPT % | 8 L NS @ | 9 P NS @ ")</f>
        <v xml:space="preserve">| 5 P Python % | 7 L CPT % | 8 L NS @ | 9 P NS @ </v>
      </c>
      <c r="BL137" s="4" t="str">
        <f ca="1">IFERROR(__xludf.DUMMYFUNCTION("""COMPUTED_VALUE"""),"| 5 L PHP-CGM % | 6 L NS % | 7 P JAVA % | 9 P PRO @ ")</f>
        <v xml:space="preserve">| 5 L PHP-CGM % | 6 L NS % | 7 P JAVA % | 9 P PRO @ </v>
      </c>
      <c r="BM137" s="4" t="str">
        <f ca="1">IFERROR(__xludf.DUMMYFUNCTION("""COMPUTED_VALUE"""),"| 5 L JAVA % | 6 L CPT % | 7 P CPT % | 9 L INE @ ")</f>
        <v xml:space="preserve">| 5 L JAVA % | 6 L CPT % | 7 P CPT % | 9 L INE @ </v>
      </c>
      <c r="BN137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37" s="4" t="str">
        <f ca="1">IFERROR(__xludf.DUMMYFUNCTION("""COMPUTED_VALUE"""),"| 5 P Python % | 7 L PHP-CGM @ ")</f>
        <v xml:space="preserve">| 5 P Python % | 7 L PHP-CGM @ </v>
      </c>
      <c r="BP137" s="4" t="str">
        <f ca="1">IFERROR(__xludf.DUMMYFUNCTION("""COMPUTED_VALUE"""),"| 5 P Python @ | 7 L CPT @ | 8 L NS @ | 9 P NS @ ")</f>
        <v xml:space="preserve">| 5 P Python @ | 7 L CPT @ | 8 L NS @ | 9 P NS @ </v>
      </c>
      <c r="BQ137" s="4" t="str">
        <f ca="1">IFERROR(__xludf.DUMMYFUNCTION("""COMPUTED_VALUE"""),"| 5 L JAVA @ | 6 L CPT @ ")</f>
        <v xml:space="preserve">| 5 L JAVA @ | 6 L CPT @ </v>
      </c>
      <c r="BR137" s="4" t="str">
        <f ca="1">IFERROR(__xludf.DUMMYFUNCTION("""COMPUTED_VALUE"""),"| 7 L JAVA @ ")</f>
        <v xml:space="preserve">| 7 L JAVA @ </v>
      </c>
      <c r="BS137" s="4"/>
      <c r="BT137" s="4" t="str">
        <f ca="1">IFERROR(__xludf.DUMMYFUNCTION("""COMPUTED_VALUE"""),"| 7 L CPT @ | 9 P NS @ ")</f>
        <v xml:space="preserve">| 7 L CPT @ | 9 P NS @ </v>
      </c>
      <c r="BU137" s="4" t="str">
        <f ca="1">IFERROR(__xludf.DUMMYFUNCTION("""COMPUTED_VALUE"""),"| 9 P PRO @ ")</f>
        <v xml:space="preserve">| 9 P PRO @ </v>
      </c>
      <c r="BV137" s="4" t="str">
        <f ca="1">IFERROR(__xludf.DUMMYFUNCTION("""COMPUTED_VALUE"""),"| 5 P Python @ | 7 L CPT @ | 8 L NS @ | 9 P NS @ ")</f>
        <v xml:space="preserve">| 5 P Python @ | 7 L CPT @ | 8 L NS @ | 9 P NS @ </v>
      </c>
      <c r="BW137" s="4"/>
      <c r="BX137" s="4" t="str">
        <f ca="1">IFERROR(__xludf.DUMMYFUNCTION("""COMPUTED_VALUE"""),"| 5 L JAVA % | 6 L CPT % | 7 P CPT % ")</f>
        <v xml:space="preserve">| 5 L JAVA % | 6 L CPT % | 7 P CPT % </v>
      </c>
      <c r="BY137" s="4" t="str">
        <f ca="1">IFERROR(__xludf.DUMMYFUNCTION("""COMPUTED_VALUE"""),"| 5 L PHP-CGM % | 6 L NS % | 7 L JAVA % | 8 L CPT % ")</f>
        <v xml:space="preserve">| 5 L PHP-CGM % | 6 L NS % | 7 L JAVA % | 8 L CPT % </v>
      </c>
      <c r="BZ137" s="4" t="str">
        <f ca="1">IFERROR(__xludf.DUMMYFUNCTION("""COMPUTED_VALUE"""),"| 5 P Python % | 8 L JAVA % | 7 L PHP-CGM % | 9 P JAVA % ")</f>
        <v xml:space="preserve">| 5 P Python % | 8 L JAVA % | 7 L PHP-CGM % | 9 P JAVA % </v>
      </c>
      <c r="CA137" s="4" t="str">
        <f ca="1">IFERROR(__xludf.DUMMYFUNCTION("""COMPUTED_VALUE"""),"| 5 P Python % | 7 L CPT % | 8 L NS % | 9 P NS % ")</f>
        <v xml:space="preserve">| 5 P Python % | 7 L CPT % | 8 L NS % | 9 P NS % </v>
      </c>
      <c r="CB137" s="4" t="str">
        <f ca="1">IFERROR(__xludf.DUMMYFUNCTION("""COMPUTED_VALUE"""),"| 5 L PHP-CGM @ | 6 L NS @ | 7 P JAVA % ")</f>
        <v xml:space="preserve">| 5 L PHP-CGM @ | 6 L NS @ | 7 P JAVA % </v>
      </c>
      <c r="CC137" s="4" t="str">
        <f ca="1">IFERROR(__xludf.DUMMYFUNCTION("""COMPUTED_VALUE"""),"| 5 L JAVA % | 7 P CPT % | 9 L INE % ")</f>
        <v xml:space="preserve">| 5 L JAVA % | 7 P CPT % | 9 L INE % </v>
      </c>
      <c r="CD137" s="4" t="str">
        <f ca="1">IFERROR(__xludf.DUMMYFUNCTION("""COMPUTED_VALUE"""),"| 5 L PHP-CGM % | 6 L NS % | 7 L JAVA % | 8 L CPT % ")</f>
        <v xml:space="preserve">| 5 L PHP-CGM % | 6 L NS % | 7 L JAVA % | 8 L CPT % </v>
      </c>
      <c r="CE137" s="4" t="str">
        <f ca="1">IFERROR(__xludf.DUMMYFUNCTION("""COMPUTED_VALUE"""),"| 5 P Python % | 8 L JAVA % | 7 L PHP-CGM % ")</f>
        <v xml:space="preserve">| 5 P Python % | 8 L JAVA % | 7 L PHP-CGM % </v>
      </c>
      <c r="CF137" s="4" t="str">
        <f ca="1">IFERROR(__xludf.DUMMYFUNCTION("""COMPUTED_VALUE"""),"| 5 P Python % | 7 L CPT % | 8 L NS % | 9 P NS % ")</f>
        <v xml:space="preserve">| 5 P Python % | 7 L CPT % | 8 L NS % | 9 P NS % </v>
      </c>
      <c r="CG137" s="4" t="str">
        <f ca="1">IFERROR(__xludf.DUMMYFUNCTION("""COMPUTED_VALUE"""),"| 5 L PHP-CGM @ | 6 L NS @ | 7 P JAVA % ")</f>
        <v xml:space="preserve">| 5 L PHP-CGM @ | 6 L NS @ | 7 P JAVA % </v>
      </c>
      <c r="CH137" s="4" t="str">
        <f ca="1">IFERROR(__xludf.DUMMYFUNCTION("""COMPUTED_VALUE"""),"| 5 L JAVA % | 6 L CPT % | 7 P CPT % | 9 L INE @ ")</f>
        <v xml:space="preserve">| 5 L JAVA % | 6 L CPT % | 7 P CPT % | 9 L INE @ </v>
      </c>
      <c r="CI137" s="4" t="str">
        <f ca="1">IFERROR(__xludf.DUMMYFUNCTION("""COMPUTED_VALUE"""),"| 5 L PHP-CGM @ | 7 L JAVA % | 8 L CPT % ")</f>
        <v xml:space="preserve">| 5 L PHP-CGM @ | 7 L JAVA % | 8 L CPT % </v>
      </c>
      <c r="CJ137" s="4" t="str">
        <f ca="1">IFERROR(__xludf.DUMMYFUNCTION("""COMPUTED_VALUE"""),"| 5 P Python % ")</f>
        <v xml:space="preserve">| 5 P Python % </v>
      </c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</row>
    <row r="138" spans="1:102" ht="12.5" x14ac:dyDescent="0.25">
      <c r="A138" s="3">
        <f ca="1">IFERROR(__xludf.DUMMYFUNCTION("""COMPUTED_VALUE"""),3)</f>
        <v>3</v>
      </c>
      <c r="B138" s="3" t="str">
        <f ca="1">IFERROR(__xludf.DUMMYFUNCTION("""COMPUTED_VALUE"""),"B")</f>
        <v>B</v>
      </c>
      <c r="C138" s="32" t="str">
        <f ca="1">IFERROR(__xludf.DUMMYFUNCTION("""COMPUTED_VALUE"""),"23291341128")</f>
        <v>23291341128</v>
      </c>
      <c r="D138" s="4" t="str">
        <f ca="1">IFERROR(__xludf.DUMMYFUNCTION("""COMPUTED_VALUE"""),"PATEL VISHVA NAVINCHANDRA")</f>
        <v>PATEL VISHVA NAVINCHANDRA</v>
      </c>
      <c r="E138" s="3" t="str">
        <f ca="1">IFERROR(__xludf.DUMMYFUNCTION("""COMPUTED_VALUE"""),"HAM/HDP-EVE")</f>
        <v>HAM/HDP-EVE</v>
      </c>
      <c r="F138" s="3">
        <f ca="1">IFERROR(__xludf.DUMMYFUNCTION("""COMPUTED_VALUE"""),9427704363)</f>
        <v>9427704363</v>
      </c>
      <c r="G138" s="3">
        <f ca="1">IFERROR(__xludf.DUMMYFUNCTION("""COMPUTED_VALUE"""),9427031970)</f>
        <v>9427031970</v>
      </c>
      <c r="H138" s="33">
        <f ca="1">IFERROR(__xludf.DUMMYFUNCTION("""COMPUTED_VALUE"""),0.831168831168831)</f>
        <v>0.831168831168831</v>
      </c>
      <c r="I138" s="25">
        <f ca="1">IFERROR(__xludf.DUMMYFUNCTION("""COMPUTED_VALUE"""),0.756756756756756)</f>
        <v>0.75675675675675602</v>
      </c>
      <c r="J138" s="25">
        <f ca="1">IFERROR(__xludf.DUMMYFUNCTION("""COMPUTED_VALUE"""),1)</f>
        <v>1</v>
      </c>
      <c r="K138" s="25">
        <f ca="1">IFERROR(__xludf.DUMMYFUNCTION("""COMPUTED_VALUE"""),0.852941176470588)</f>
        <v>0.85294117647058798</v>
      </c>
      <c r="L138" s="25">
        <f ca="1">IFERROR(__xludf.DUMMYFUNCTION("""COMPUTED_VALUE"""),0.583333333333333)</f>
        <v>0.58333333333333304</v>
      </c>
      <c r="M138" s="25">
        <f ca="1">IFERROR(__xludf.DUMMYFUNCTION("""COMPUTED_VALUE"""),0.914285714285714)</f>
        <v>0.91428571428571404</v>
      </c>
      <c r="N138" s="25">
        <f ca="1">IFERROR(__xludf.DUMMYFUNCTION("""COMPUTED_VALUE"""),0.625)</f>
        <v>0.625</v>
      </c>
      <c r="O138" s="25">
        <f ca="1">IFERROR(__xludf.DUMMYFUNCTION("""COMPUTED_VALUE"""),0.914285714285714)</f>
        <v>0.91428571428571404</v>
      </c>
      <c r="P138" s="25">
        <f ca="1">IFERROR(__xludf.DUMMYFUNCTION("""COMPUTED_VALUE"""),1)</f>
        <v>1</v>
      </c>
      <c r="Q138" s="25">
        <f ca="1">IFERROR(__xludf.DUMMYFUNCTION("""COMPUTED_VALUE"""),0)</f>
        <v>0</v>
      </c>
      <c r="R138" s="25">
        <f ca="1">IFERROR(__xludf.DUMMYFUNCTION("""COMPUTED_VALUE"""),0.75)</f>
        <v>0.75</v>
      </c>
      <c r="S138" s="25">
        <f ca="1">IFERROR(__xludf.DUMMYFUNCTION("""COMPUTED_VALUE"""),0)</f>
        <v>0</v>
      </c>
      <c r="T138" s="25">
        <f ca="1">IFERROR(__xludf.DUMMYFUNCTION("""COMPUTED_VALUE"""),0.777777777777777)</f>
        <v>0.77777777777777701</v>
      </c>
      <c r="U138" s="25">
        <f ca="1">IFERROR(__xludf.DUMMYFUNCTION("""COMPUTED_VALUE"""),0.625)</f>
        <v>0.625</v>
      </c>
      <c r="V138" s="25">
        <f ca="1">IFERROR(__xludf.DUMMYFUNCTION("""COMPUTED_VALUE"""),0)</f>
        <v>0</v>
      </c>
      <c r="W138" s="4"/>
      <c r="X138" s="4" t="str">
        <f ca="1">IFERROR(__xludf.DUMMYFUNCTION("""COMPUTED_VALUE"""),"| 5 P Python @ | 7 L CPT @ | 8 L NS % | 9 P NS % ")</f>
        <v xml:space="preserve">| 5 P Python @ | 7 L CPT @ | 8 L NS % | 9 P NS % </v>
      </c>
      <c r="Y138" s="4" t="str">
        <f ca="1">IFERROR(__xludf.DUMMYFUNCTION("""COMPUTED_VALUE"""),"| 5 L PHP-CGM % | 6 L NS % | 7 P JAVA % | 9 P PRO % ")</f>
        <v xml:space="preserve">| 5 L PHP-CGM % | 6 L NS % | 7 P JAVA % | 9 P PRO % </v>
      </c>
      <c r="Z138" s="4" t="str">
        <f ca="1">IFERROR(__xludf.DUMMYFUNCTION("""COMPUTED_VALUE"""),"| 5 L JAVA % | 6 L CPT % | 7 P CPT % ")</f>
        <v xml:space="preserve">| 5 L JAVA % | 6 L CPT % | 7 P CPT % </v>
      </c>
      <c r="AA138" s="4" t="str">
        <f ca="1">IFERROR(__xludf.DUMMYFUNCTION("""COMPUTED_VALUE"""),"| 5 L PHP-CGM % | 7 L JAVA % | 9 P PHP-CGM @ | 8 L CPT % ")</f>
        <v xml:space="preserve">| 5 L PHP-CGM % | 7 L JAVA % | 9 P PHP-CGM @ | 8 L CPT % </v>
      </c>
      <c r="AB138" s="4" t="str">
        <f ca="1">IFERROR(__xludf.DUMMYFUNCTION("""COMPUTED_VALUE"""),"| 5 P Python % | 7 L PHP-CGM % | 8 L JAVA % | 9 P JAVA % ")</f>
        <v xml:space="preserve">| 5 P Python % | 7 L PHP-CGM % | 8 L JAVA % | 9 P JAVA % </v>
      </c>
      <c r="AC138" s="4" t="str">
        <f ca="1">IFERROR(__xludf.DUMMYFUNCTION("""COMPUTED_VALUE"""),"| 5 P Python % | 7 L CPT % | 8 L NS % | 9 P NS % ")</f>
        <v xml:space="preserve">| 5 P Python % | 7 L CPT % | 8 L NS % | 9 P NS % </v>
      </c>
      <c r="AD138" s="4" t="str">
        <f ca="1">IFERROR(__xludf.DUMMYFUNCTION("""COMPUTED_VALUE"""),"| 5 L PHP-CGM % | 6 L NS % | 7 P JAVA % | 9 P PRO % ")</f>
        <v xml:space="preserve">| 5 L PHP-CGM % | 6 L NS % | 7 P JAVA % | 9 P PRO % </v>
      </c>
      <c r="AE138" s="4" t="str">
        <f ca="1">IFERROR(__xludf.DUMMYFUNCTION("""COMPUTED_VALUE"""),"| 5 L JAVA % | 6 L CPT % | 7 P CPT % ")</f>
        <v xml:space="preserve">| 5 L JAVA % | 6 L CPT % | 7 P CPT % </v>
      </c>
      <c r="AF138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G138" s="4" t="str">
        <f ca="1">IFERROR(__xludf.DUMMYFUNCTION("""COMPUTED_VALUE"""),"| 5 P Python % | 8 L JAVA % | 7 L PHP-CGM % | 9 P JAVA % ")</f>
        <v xml:space="preserve">| 5 P Python % | 8 L JAVA % | 7 L PHP-CGM % | 9 P JAVA % </v>
      </c>
      <c r="AH138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38" s="4" t="str">
        <f ca="1">IFERROR(__xludf.DUMMYFUNCTION("""COMPUTED_VALUE"""),"| 5 P Python % | 8 L JAVA % | 7 L PHP-CGM % | 9 P JAVA % ")</f>
        <v xml:space="preserve">| 5 P Python % | 8 L JAVA % | 7 L PHP-CGM % | 9 P JAVA % </v>
      </c>
      <c r="AJ138" s="4" t="str">
        <f ca="1">IFERROR(__xludf.DUMMYFUNCTION("""COMPUTED_VALUE"""),"| 5 P Python % | 7 L CPT % | 8 L NS % | 9 P NS @ ")</f>
        <v xml:space="preserve">| 5 P Python % | 7 L CPT % | 8 L NS % | 9 P NS @ </v>
      </c>
      <c r="AK138" s="4" t="str">
        <f ca="1">IFERROR(__xludf.DUMMYFUNCTION("""COMPUTED_VALUE"""),"| 5 L PHP-CGM % | 6 L NS % | 7 P JAVA % | 9 P PRO % ")</f>
        <v xml:space="preserve">| 5 L PHP-CGM % | 6 L NS % | 7 P JAVA % | 9 P PRO % </v>
      </c>
      <c r="AL138" s="4" t="str">
        <f ca="1">IFERROR(__xludf.DUMMYFUNCTION("""COMPUTED_VALUE"""),"| 5 L JAVA % | 6 L CPT % | 7 P CPT % | 9 L INE % ")</f>
        <v xml:space="preserve">| 5 L JAVA % | 6 L CPT % | 7 P CPT % | 9 L INE % </v>
      </c>
      <c r="AM138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38" s="4" t="str">
        <f ca="1">IFERROR(__xludf.DUMMYFUNCTION("""COMPUTED_VALUE"""),"| 5 P Python @ | 8 L JAVA % | 7 L PHP-CGM % | 9 P JAVA % ")</f>
        <v xml:space="preserve">| 5 P Python @ | 8 L JAVA % | 7 L PHP-CGM % | 9 P JAVA % </v>
      </c>
      <c r="AO138" s="4" t="str">
        <f ca="1">IFERROR(__xludf.DUMMYFUNCTION("""COMPUTED_VALUE"""),"| 5 P Python % | 7 L CPT % | 8 L NS % ")</f>
        <v xml:space="preserve">| 5 P Python % | 7 L CPT % | 8 L NS % </v>
      </c>
      <c r="AP138" s="4" t="str">
        <f ca="1">IFERROR(__xludf.DUMMYFUNCTION("""COMPUTED_VALUE"""),"| 5 L PHP-CGM % | 6 L NS % | 7 P JAVA % | 9 P PRO % ")</f>
        <v xml:space="preserve">| 5 L PHP-CGM % | 6 L NS % | 7 P JAVA % | 9 P PRO % </v>
      </c>
      <c r="AQ138" s="4" t="str">
        <f ca="1">IFERROR(__xludf.DUMMYFUNCTION("""COMPUTED_VALUE"""),"| 5 L CPT % | 7 L JAVA % | 7 P CPT % | 9 L INE % ")</f>
        <v xml:space="preserve">| 5 L CPT % | 7 L JAVA % | 7 P CPT % | 9 L INE % </v>
      </c>
      <c r="AR138" s="4" t="str">
        <f ca="1">IFERROR(__xludf.DUMMYFUNCTION("""COMPUTED_VALUE"""),"| 5 L PHP-CGM % | 6 L NS % | 8 L CPT @ ")</f>
        <v xml:space="preserve">| 5 L PHP-CGM % | 6 L NS % | 8 L CPT @ </v>
      </c>
      <c r="AS138" s="4" t="str">
        <f ca="1">IFERROR(__xludf.DUMMYFUNCTION("""COMPUTED_VALUE"""),"| 5 P Python % | 7 L CPT % | 8 L NS % | 9 P NS % ")</f>
        <v xml:space="preserve">| 5 P Python % | 7 L CPT % | 8 L NS % | 9 P NS % </v>
      </c>
      <c r="AT138" s="4" t="str">
        <f ca="1">IFERROR(__xludf.DUMMYFUNCTION("""COMPUTED_VALUE"""),"| 5 L PHP-CGM % | 6 L NS % | 7 P JAVA % | 9 P PRO % ")</f>
        <v xml:space="preserve">| 5 L PHP-CGM % | 6 L NS % | 7 P JAVA % | 9 P PRO % </v>
      </c>
      <c r="AU138" s="4" t="str">
        <f ca="1">IFERROR(__xludf.DUMMYFUNCTION("""COMPUTED_VALUE"""),"| 5 L JAVA % | 6 L CPT % | 7 P CPT % | 9 L INE % ")</f>
        <v xml:space="preserve">| 5 L JAVA % | 6 L CPT % | 7 P CPT % | 9 L INE % </v>
      </c>
      <c r="AV138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8" s="4" t="str">
        <f ca="1">IFERROR(__xludf.DUMMYFUNCTION("""COMPUTED_VALUE"""),"| 5 P Python % | 7 L PHP-CGM % | 8 L JAVA % | 9 P JAVA % ")</f>
        <v xml:space="preserve">| 5 P Python % | 7 L PHP-CGM % | 8 L JAVA % | 9 P JAVA % </v>
      </c>
      <c r="AX138" s="4" t="str">
        <f ca="1">IFERROR(__xludf.DUMMYFUNCTION("""COMPUTED_VALUE"""),"| 5 P Python % | 7 L CPT % | 8 L NS % | 9 P NS % ")</f>
        <v xml:space="preserve">| 5 P Python % | 7 L CPT % | 8 L NS % | 9 P NS % </v>
      </c>
      <c r="AY138" s="4" t="str">
        <f ca="1">IFERROR(__xludf.DUMMYFUNCTION("""COMPUTED_VALUE"""),"| 5 L PHP-CGM % | 6 L NS % | 7 P JAVA % ")</f>
        <v xml:space="preserve">| 5 L PHP-CGM % | 6 L NS % | 7 P JAVA % </v>
      </c>
      <c r="AZ138" s="4" t="str">
        <f ca="1">IFERROR(__xludf.DUMMYFUNCTION("""COMPUTED_VALUE"""),"| 5 L PHP-CGM % | 6 L NS % | 7 L JAVA % | 8 L CPT % ")</f>
        <v xml:space="preserve">| 5 L PHP-CGM % | 6 L NS % | 7 L JAVA % | 8 L CPT % </v>
      </c>
      <c r="BA138" s="4" t="str">
        <f ca="1">IFERROR(__xludf.DUMMYFUNCTION("""COMPUTED_VALUE"""),"| 5 P Python % | 7 L PHP-CGM @ | 8 L JAVA @ ")</f>
        <v xml:space="preserve">| 5 P Python % | 7 L PHP-CGM @ | 8 L JAVA @ </v>
      </c>
      <c r="BB138" s="4" t="str">
        <f ca="1">IFERROR(__xludf.DUMMYFUNCTION("""COMPUTED_VALUE"""),"| 5 P Python % | 7 L CPT % | 8 L NS % | 9 P NS % ")</f>
        <v xml:space="preserve">| 5 P Python % | 7 L CPT % | 8 L NS % | 9 P NS % </v>
      </c>
      <c r="BC138" s="4" t="str">
        <f ca="1">IFERROR(__xludf.DUMMYFUNCTION("""COMPUTED_VALUE"""),"| 5 L PHP-CGM % | 6 L NS % | 7 P JAVA % | 9 P PRO % ")</f>
        <v xml:space="preserve">| 5 L PHP-CGM % | 6 L NS % | 7 P JAVA % | 9 P PRO % </v>
      </c>
      <c r="BD138" s="4" t="str">
        <f ca="1">IFERROR(__xludf.DUMMYFUNCTION("""COMPUTED_VALUE"""),"| 5 L JAVA % | 6 L CPT % | 7 P CPT % | 9 L INE % ")</f>
        <v xml:space="preserve">| 5 L JAVA % | 6 L CPT % | 7 P CPT % | 9 L INE % </v>
      </c>
      <c r="BE138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38" s="4" t="str">
        <f ca="1">IFERROR(__xludf.DUMMYFUNCTION("""COMPUTED_VALUE"""),"| 5 P Python % | 7 L PHP-CGM % | 9 P JAVA % | 8 L JAVA % ")</f>
        <v xml:space="preserve">| 5 P Python % | 7 L PHP-CGM % | 9 P JAVA % | 8 L JAVA % </v>
      </c>
      <c r="BG138" s="4" t="str">
        <f ca="1">IFERROR(__xludf.DUMMYFUNCTION("""COMPUTED_VALUE"""),"| 5 L PHP-CGM % | 6 L NS % | 7 P JAVA % | 9 P PRO % ")</f>
        <v xml:space="preserve">| 5 L PHP-CGM % | 6 L NS % | 7 P JAVA % | 9 P PRO % </v>
      </c>
      <c r="BH138" s="4" t="str">
        <f ca="1">IFERROR(__xludf.DUMMYFUNCTION("""COMPUTED_VALUE"""),"| 5 L JAVA % | 6 L CPT % | 7 P CPT % | 9 L INE @ ")</f>
        <v xml:space="preserve">| 5 L JAVA % | 6 L CPT % | 7 P CPT % | 9 L INE @ </v>
      </c>
      <c r="BI138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8" s="4" t="str">
        <f ca="1">IFERROR(__xludf.DUMMYFUNCTION("""COMPUTED_VALUE"""),"| 5 P Python @ | 7 L JAVA % | 8 L PHP-CGM % ")</f>
        <v xml:space="preserve">| 5 P Python @ | 7 L JAVA % | 8 L PHP-CGM % </v>
      </c>
      <c r="BK138" s="4" t="str">
        <f ca="1">IFERROR(__xludf.DUMMYFUNCTION("""COMPUTED_VALUE"""),"| 5 P Python @ | 7 L CPT @ | 8 L NS @ | 9 P NS @ ")</f>
        <v xml:space="preserve">| 5 P Python @ | 7 L CPT @ | 8 L NS @ | 9 P NS @ </v>
      </c>
      <c r="BL138" s="4" t="str">
        <f ca="1">IFERROR(__xludf.DUMMYFUNCTION("""COMPUTED_VALUE"""),"| 5 L PHP-CGM % | 6 L NS % | 7 P JAVA % | 9 P PRO @ ")</f>
        <v xml:space="preserve">| 5 L PHP-CGM % | 6 L NS % | 7 P JAVA % | 9 P PRO @ </v>
      </c>
      <c r="BM138" s="4" t="str">
        <f ca="1">IFERROR(__xludf.DUMMYFUNCTION("""COMPUTED_VALUE"""),"| 5 L JAVA % | 6 L CPT % | 7 P CPT % | 9 L INE @ ")</f>
        <v xml:space="preserve">| 5 L JAVA % | 6 L CPT % | 7 P CPT % | 9 L INE @ </v>
      </c>
      <c r="BN138" s="4" t="str">
        <f ca="1">IFERROR(__xludf.DUMMYFUNCTION("""COMPUTED_VALUE"""),"| 5 L PHP-CGM % | 6 L NS % | 9 L JAVA % | 8 L CPT % | 9 P PHP-CGM % ")</f>
        <v xml:space="preserve">| 5 L PHP-CGM % | 6 L NS % | 9 L JAVA % | 8 L CPT % | 9 P PHP-CGM % </v>
      </c>
      <c r="BO138" s="4" t="str">
        <f ca="1">IFERROR(__xludf.DUMMYFUNCTION("""COMPUTED_VALUE"""),"| 5 P Python % | 7 L PHP-CGM % ")</f>
        <v xml:space="preserve">| 5 P Python % | 7 L PHP-CGM % </v>
      </c>
      <c r="BP138" s="4" t="str">
        <f ca="1">IFERROR(__xludf.DUMMYFUNCTION("""COMPUTED_VALUE"""),"| 5 P Python % | 7 L CPT % | 8 L NS % | 9 P NS @ ")</f>
        <v xml:space="preserve">| 5 P Python % | 7 L CPT % | 8 L NS % | 9 P NS @ </v>
      </c>
      <c r="BQ138" s="4" t="str">
        <f ca="1">IFERROR(__xludf.DUMMYFUNCTION("""COMPUTED_VALUE"""),"| 5 L JAVA % | 6 L CPT % ")</f>
        <v xml:space="preserve">| 5 L JAVA % | 6 L CPT % </v>
      </c>
      <c r="BR138" s="4" t="str">
        <f ca="1">IFERROR(__xludf.DUMMYFUNCTION("""COMPUTED_VALUE"""),"| 7 L JAVA % ")</f>
        <v xml:space="preserve">| 7 L JAVA % </v>
      </c>
      <c r="BS138" s="4"/>
      <c r="BT138" s="4" t="str">
        <f ca="1">IFERROR(__xludf.DUMMYFUNCTION("""COMPUTED_VALUE"""),"| 7 L CPT @ | 9 P NS @ ")</f>
        <v xml:space="preserve">| 7 L CPT @ | 9 P NS @ </v>
      </c>
      <c r="BU138" s="4" t="str">
        <f ca="1">IFERROR(__xludf.DUMMYFUNCTION("""COMPUTED_VALUE"""),"| 9 P PRO @ ")</f>
        <v xml:space="preserve">| 9 P PRO @ </v>
      </c>
      <c r="BV138" s="4" t="str">
        <f ca="1">IFERROR(__xludf.DUMMYFUNCTION("""COMPUTED_VALUE"""),"| 5 P Python % | 7 L CPT @ | 8 L NS @ | 9 P NS @ ")</f>
        <v xml:space="preserve">| 5 P Python % | 7 L CPT @ | 8 L NS @ | 9 P NS @ </v>
      </c>
      <c r="BW138" s="4"/>
      <c r="BX138" s="4" t="str">
        <f ca="1">IFERROR(__xludf.DUMMYFUNCTION("""COMPUTED_VALUE"""),"| 5 L JAVA % | 6 L CPT % | 7 P CPT % ")</f>
        <v xml:space="preserve">| 5 L JAVA % | 6 L CPT % | 7 P CPT % </v>
      </c>
      <c r="BY138" s="4" t="str">
        <f ca="1">IFERROR(__xludf.DUMMYFUNCTION("""COMPUTED_VALUE"""),"| 5 L PHP-CGM % | 6 L NS % | 7 L JAVA % | 8 L CPT % ")</f>
        <v xml:space="preserve">| 5 L PHP-CGM % | 6 L NS % | 7 L JAVA % | 8 L CPT % </v>
      </c>
      <c r="BZ138" s="4" t="str">
        <f ca="1">IFERROR(__xludf.DUMMYFUNCTION("""COMPUTED_VALUE"""),"| 5 P Python % | 8 L JAVA % | 7 L PHP-CGM % | 9 P JAVA % ")</f>
        <v xml:space="preserve">| 5 P Python % | 8 L JAVA % | 7 L PHP-CGM % | 9 P JAVA % </v>
      </c>
      <c r="CA138" s="4" t="str">
        <f ca="1">IFERROR(__xludf.DUMMYFUNCTION("""COMPUTED_VALUE"""),"| 5 P Python @ | 7 L CPT @ | 8 L NS @ | 9 P NS % ")</f>
        <v xml:space="preserve">| 5 P Python @ | 7 L CPT @ | 8 L NS @ | 9 P NS % </v>
      </c>
      <c r="CB138" s="4" t="str">
        <f ca="1">IFERROR(__xludf.DUMMYFUNCTION("""COMPUTED_VALUE"""),"| 5 L PHP-CGM % | 6 L NS % | 7 P JAVA % ")</f>
        <v xml:space="preserve">| 5 L PHP-CGM % | 6 L NS % | 7 P JAVA % </v>
      </c>
      <c r="CC138" s="4" t="str">
        <f ca="1">IFERROR(__xludf.DUMMYFUNCTION("""COMPUTED_VALUE"""),"| 5 L JAVA % | 7 P CPT % | 9 L INE % ")</f>
        <v xml:space="preserve">| 5 L JAVA % | 7 P CPT % | 9 L INE % </v>
      </c>
      <c r="CD138" s="4" t="str">
        <f ca="1">IFERROR(__xludf.DUMMYFUNCTION("""COMPUTED_VALUE"""),"| 5 L PHP-CGM @ | 6 L NS @ | 7 L JAVA @ | 8 L CPT @ ")</f>
        <v xml:space="preserve">| 5 L PHP-CGM @ | 6 L NS @ | 7 L JAVA @ | 8 L CPT @ </v>
      </c>
      <c r="CE138" s="4" t="str">
        <f ca="1">IFERROR(__xludf.DUMMYFUNCTION("""COMPUTED_VALUE"""),"| 5 P Python @ | 8 L JAVA % | 7 L PHP-CGM % ")</f>
        <v xml:space="preserve">| 5 P Python @ | 8 L JAVA % | 7 L PHP-CGM % </v>
      </c>
      <c r="CF138" s="4" t="str">
        <f ca="1">IFERROR(__xludf.DUMMYFUNCTION("""COMPUTED_VALUE"""),"| 5 P Python % | 7 L CPT % | 8 L NS % | 9 P NS % ")</f>
        <v xml:space="preserve">| 5 P Python % | 7 L CPT % | 8 L NS % | 9 P NS % </v>
      </c>
      <c r="CG138" s="4" t="str">
        <f ca="1">IFERROR(__xludf.DUMMYFUNCTION("""COMPUTED_VALUE"""),"| 5 L PHP-CGM % | 6 L NS % | 7 P JAVA % ")</f>
        <v xml:space="preserve">| 5 L PHP-CGM % | 6 L NS % | 7 P JAVA % </v>
      </c>
      <c r="CH138" s="4" t="str">
        <f ca="1">IFERROR(__xludf.DUMMYFUNCTION("""COMPUTED_VALUE"""),"| 5 L JAVA % | 6 L CPT % | 7 P CPT % | 9 L INE @ ")</f>
        <v xml:space="preserve">| 5 L JAVA % | 6 L CPT % | 7 P CPT % | 9 L INE @ </v>
      </c>
      <c r="CI138" s="4" t="str">
        <f ca="1">IFERROR(__xludf.DUMMYFUNCTION("""COMPUTED_VALUE"""),"| 5 L PHP-CGM % | 7 L JAVA % | 8 L CPT @ ")</f>
        <v xml:space="preserve">| 5 L PHP-CGM % | 7 L JAVA % | 8 L CPT @ </v>
      </c>
      <c r="CJ138" s="4" t="str">
        <f ca="1">IFERROR(__xludf.DUMMYFUNCTION("""COMPUTED_VALUE"""),"| 5 P Python % ")</f>
        <v xml:space="preserve">| 5 P Python % </v>
      </c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</row>
    <row r="139" spans="1:102" ht="12.5" x14ac:dyDescent="0.25">
      <c r="A139" s="3">
        <f ca="1">IFERROR(__xludf.DUMMYFUNCTION("""COMPUTED_VALUE"""),3)</f>
        <v>3</v>
      </c>
      <c r="B139" s="3" t="str">
        <f ca="1">IFERROR(__xludf.DUMMYFUNCTION("""COMPUTED_VALUE"""),"B")</f>
        <v>B</v>
      </c>
      <c r="C139" s="32" t="str">
        <f ca="1">IFERROR(__xludf.DUMMYFUNCTION("""COMPUTED_VALUE"""),"23291341131")</f>
        <v>23291341131</v>
      </c>
      <c r="D139" s="4" t="str">
        <f ca="1">IFERROR(__xludf.DUMMYFUNCTION("""COMPUTED_VALUE"""),"PATEL YUG RAKESHKUMAR")</f>
        <v>PATEL YUG RAKESHKUMAR</v>
      </c>
      <c r="E139" s="3" t="str">
        <f ca="1">IFERROR(__xludf.DUMMYFUNCTION("""COMPUTED_VALUE"""),"HAM/HDP-EVE")</f>
        <v>HAM/HDP-EVE</v>
      </c>
      <c r="F139" s="3">
        <f ca="1">IFERROR(__xludf.DUMMYFUNCTION("""COMPUTED_VALUE"""),9512882545)</f>
        <v>9512882545</v>
      </c>
      <c r="G139" s="3">
        <f ca="1">IFERROR(__xludf.DUMMYFUNCTION("""COMPUTED_VALUE"""),9909675010)</f>
        <v>9909675010</v>
      </c>
      <c r="H139" s="33">
        <f ca="1">IFERROR(__xludf.DUMMYFUNCTION("""COMPUTED_VALUE"""),0.558441558441558)</f>
        <v>0.55844155844155796</v>
      </c>
      <c r="I139" s="25">
        <f ca="1">IFERROR(__xludf.DUMMYFUNCTION("""COMPUTED_VALUE"""),0.54054054054054)</f>
        <v>0.54054054054054002</v>
      </c>
      <c r="J139" s="25">
        <f ca="1">IFERROR(__xludf.DUMMYFUNCTION("""COMPUTED_VALUE"""),0.636363636363636)</f>
        <v>0.63636363636363602</v>
      </c>
      <c r="K139" s="25">
        <f ca="1">IFERROR(__xludf.DUMMYFUNCTION("""COMPUTED_VALUE"""),0.558823529411764)</f>
        <v>0.55882352941176405</v>
      </c>
      <c r="L139" s="25">
        <f ca="1">IFERROR(__xludf.DUMMYFUNCTION("""COMPUTED_VALUE"""),0.25)</f>
        <v>0.25</v>
      </c>
      <c r="M139" s="25">
        <f ca="1">IFERROR(__xludf.DUMMYFUNCTION("""COMPUTED_VALUE"""),0.628571428571428)</f>
        <v>0.628571428571428</v>
      </c>
      <c r="N139" s="25">
        <f ca="1">IFERROR(__xludf.DUMMYFUNCTION("""COMPUTED_VALUE"""),0.75)</f>
        <v>0.75</v>
      </c>
      <c r="O139" s="25">
        <f ca="1">IFERROR(__xludf.DUMMYFUNCTION("""COMPUTED_VALUE"""),0.628571428571428)</f>
        <v>0.628571428571428</v>
      </c>
      <c r="P139" s="25">
        <f ca="1">IFERROR(__xludf.DUMMYFUNCTION("""COMPUTED_VALUE"""),0.5)</f>
        <v>0.5</v>
      </c>
      <c r="Q139" s="25">
        <f ca="1">IFERROR(__xludf.DUMMYFUNCTION("""COMPUTED_VALUE"""),0)</f>
        <v>0</v>
      </c>
      <c r="R139" s="25">
        <f ca="1">IFERROR(__xludf.DUMMYFUNCTION("""COMPUTED_VALUE"""),0.5)</f>
        <v>0.5</v>
      </c>
      <c r="S139" s="25">
        <f ca="1">IFERROR(__xludf.DUMMYFUNCTION("""COMPUTED_VALUE"""),0)</f>
        <v>0</v>
      </c>
      <c r="T139" s="25">
        <f ca="1">IFERROR(__xludf.DUMMYFUNCTION("""COMPUTED_VALUE"""),0.555555555555555)</f>
        <v>0.55555555555555503</v>
      </c>
      <c r="U139" s="25">
        <f ca="1">IFERROR(__xludf.DUMMYFUNCTION("""COMPUTED_VALUE"""),0.5)</f>
        <v>0.5</v>
      </c>
      <c r="V139" s="25">
        <f ca="1">IFERROR(__xludf.DUMMYFUNCTION("""COMPUTED_VALUE"""),0)</f>
        <v>0</v>
      </c>
      <c r="W139" s="4"/>
      <c r="X139" s="4" t="str">
        <f ca="1">IFERROR(__xludf.DUMMYFUNCTION("""COMPUTED_VALUE"""),"| 5 P Python @ | 7 L CPT @ | 8 L NS @ | 9 P NS @ ")</f>
        <v xml:space="preserve">| 5 P Python @ | 7 L CPT @ | 8 L NS @ | 9 P NS @ </v>
      </c>
      <c r="Y139" s="4" t="str">
        <f ca="1">IFERROR(__xludf.DUMMYFUNCTION("""COMPUTED_VALUE"""),"| 5 L PHP-CGM % | 6 L NS % | 7 P JAVA % | 9 P PRO % ")</f>
        <v xml:space="preserve">| 5 L PHP-CGM % | 6 L NS % | 7 P JAVA % | 9 P PRO % </v>
      </c>
      <c r="Z139" s="4" t="str">
        <f ca="1">IFERROR(__xludf.DUMMYFUNCTION("""COMPUTED_VALUE"""),"| 5 L JAVA % | 6 L CPT % | 7 P CPT % ")</f>
        <v xml:space="preserve">| 5 L JAVA % | 6 L CPT % | 7 P CPT % </v>
      </c>
      <c r="AA139" s="4" t="str">
        <f ca="1">IFERROR(__xludf.DUMMYFUNCTION("""COMPUTED_VALUE"""),"| 5 L PHP-CGM % | 7 L JAVA % | 9 P PHP-CGM % | 8 L CPT % ")</f>
        <v xml:space="preserve">| 5 L PHP-CGM % | 7 L JAVA % | 9 P PHP-CGM % | 8 L CPT % </v>
      </c>
      <c r="AB139" s="4" t="str">
        <f ca="1">IFERROR(__xludf.DUMMYFUNCTION("""COMPUTED_VALUE"""),"| 5 P Python % | 7 L PHP-CGM % | 8 L JAVA % | 9 P JAVA @ ")</f>
        <v xml:space="preserve">| 5 P Python % | 7 L PHP-CGM % | 8 L JAVA % | 9 P JAVA @ </v>
      </c>
      <c r="AC139" s="4" t="str">
        <f ca="1">IFERROR(__xludf.DUMMYFUNCTION("""COMPUTED_VALUE"""),"| 5 P Python % | 7 L CPT % | 8 L NS % | 9 P NS @ ")</f>
        <v xml:space="preserve">| 5 P Python % | 7 L CPT % | 8 L NS % | 9 P NS @ </v>
      </c>
      <c r="AD139" s="4" t="str">
        <f ca="1">IFERROR(__xludf.DUMMYFUNCTION("""COMPUTED_VALUE"""),"| 5 L PHP-CGM % | 6 L NS % | 7 P JAVA % | 9 P PRO % ")</f>
        <v xml:space="preserve">| 5 L PHP-CGM % | 6 L NS % | 7 P JAVA % | 9 P PRO % </v>
      </c>
      <c r="AE139" s="4" t="str">
        <f ca="1">IFERROR(__xludf.DUMMYFUNCTION("""COMPUTED_VALUE"""),"| 5 L JAVA % | 6 L CPT % | 7 P CPT % ")</f>
        <v xml:space="preserve">| 5 L JAVA % | 6 L CPT % | 7 P CPT % </v>
      </c>
      <c r="AF13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39" s="4" t="str">
        <f ca="1">IFERROR(__xludf.DUMMYFUNCTION("""COMPUTED_VALUE"""),"| 5 P Python % | 8 L JAVA @ | 7 L PHP-CGM @ | 9 P JAVA @ ")</f>
        <v xml:space="preserve">| 5 P Python % | 8 L JAVA @ | 7 L PHP-CGM @ | 9 P JAVA @ </v>
      </c>
      <c r="AH13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39" s="4" t="str">
        <f ca="1">IFERROR(__xludf.DUMMYFUNCTION("""COMPUTED_VALUE"""),"| 5 P Python % | 8 L JAVA % | 7 L PHP-CGM % | 9 P JAVA % ")</f>
        <v xml:space="preserve">| 5 P Python % | 8 L JAVA % | 7 L PHP-CGM % | 9 P JAVA % </v>
      </c>
      <c r="AJ139" s="4" t="str">
        <f ca="1">IFERROR(__xludf.DUMMYFUNCTION("""COMPUTED_VALUE"""),"| 5 P Python % | 7 L CPT % | 8 L NS % | 9 P NS % ")</f>
        <v xml:space="preserve">| 5 P Python % | 7 L CPT % | 8 L NS % | 9 P NS % </v>
      </c>
      <c r="AK139" s="4" t="str">
        <f ca="1">IFERROR(__xludf.DUMMYFUNCTION("""COMPUTED_VALUE"""),"| 5 L PHP-CGM % | 6 L NS % | 7 P JAVA % | 9 P PRO % ")</f>
        <v xml:space="preserve">| 5 L PHP-CGM % | 6 L NS % | 7 P JAVA % | 9 P PRO % </v>
      </c>
      <c r="AL139" s="4" t="str">
        <f ca="1">IFERROR(__xludf.DUMMYFUNCTION("""COMPUTED_VALUE"""),"| 5 L JAVA % | 6 L CPT % | 7 P CPT % | 9 L INE % ")</f>
        <v xml:space="preserve">| 5 L JAVA % | 6 L CPT % | 7 P CPT % | 9 L INE % </v>
      </c>
      <c r="AM13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39" s="4" t="str">
        <f ca="1">IFERROR(__xludf.DUMMYFUNCTION("""COMPUTED_VALUE"""),"| 5 P Python @ | 8 L JAVA @ | 7 L PHP-CGM @ | 9 P JAVA @ ")</f>
        <v xml:space="preserve">| 5 P Python @ | 8 L JAVA @ | 7 L PHP-CGM @ | 9 P JAVA @ </v>
      </c>
      <c r="AO139" s="4" t="str">
        <f ca="1">IFERROR(__xludf.DUMMYFUNCTION("""COMPUTED_VALUE"""),"| 5 P Python @ | 7 L CPT @ | 8 L NS @ ")</f>
        <v xml:space="preserve">| 5 P Python @ | 7 L CPT @ | 8 L NS @ </v>
      </c>
      <c r="AP139" s="4" t="str">
        <f ca="1">IFERROR(__xludf.DUMMYFUNCTION("""COMPUTED_VALUE"""),"| 5 L PHP-CGM @ | 6 L NS @ | 7 P JAVA @ | 9 P PRO @ ")</f>
        <v xml:space="preserve">| 5 L PHP-CGM @ | 6 L NS @ | 7 P JAVA @ | 9 P PRO @ </v>
      </c>
      <c r="AQ139" s="4" t="str">
        <f ca="1">IFERROR(__xludf.DUMMYFUNCTION("""COMPUTED_VALUE"""),"| 5 L CPT % | 7 L JAVA % | 7 P CPT % | 9 L INE @ ")</f>
        <v xml:space="preserve">| 5 L CPT % | 7 L JAVA % | 7 P CPT % | 9 L INE @ </v>
      </c>
      <c r="AR139" s="4" t="str">
        <f ca="1">IFERROR(__xludf.DUMMYFUNCTION("""COMPUTED_VALUE"""),"| 5 L PHP-CGM @ | 6 L NS @ | 8 L CPT @ ")</f>
        <v xml:space="preserve">| 5 L PHP-CGM @ | 6 L NS @ | 8 L CPT @ </v>
      </c>
      <c r="AS139" s="4" t="str">
        <f ca="1">IFERROR(__xludf.DUMMYFUNCTION("""COMPUTED_VALUE"""),"| 5 P Python % | 7 L CPT % | 8 L NS % | 9 P NS % ")</f>
        <v xml:space="preserve">| 5 P Python % | 7 L CPT % | 8 L NS % | 9 P NS % </v>
      </c>
      <c r="AT139" s="4" t="str">
        <f ca="1">IFERROR(__xludf.DUMMYFUNCTION("""COMPUTED_VALUE"""),"| 5 L PHP-CGM % | 6 L NS % | 7 P JAVA % | 9 P PRO % ")</f>
        <v xml:space="preserve">| 5 L PHP-CGM % | 6 L NS % | 7 P JAVA % | 9 P PRO % </v>
      </c>
      <c r="AU139" s="4" t="str">
        <f ca="1">IFERROR(__xludf.DUMMYFUNCTION("""COMPUTED_VALUE"""),"| 5 L JAVA % | 6 L CPT % | 7 P CPT % | 9 L INE % ")</f>
        <v xml:space="preserve">| 5 L JAVA % | 6 L CPT % | 7 P CPT % | 9 L INE % </v>
      </c>
      <c r="AV13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39" s="4" t="str">
        <f ca="1">IFERROR(__xludf.DUMMYFUNCTION("""COMPUTED_VALUE"""),"| 5 P Python % | 7 L PHP-CGM % | 8 L JAVA % | 9 P JAVA % ")</f>
        <v xml:space="preserve">| 5 P Python % | 7 L PHP-CGM % | 8 L JAVA % | 9 P JAVA % </v>
      </c>
      <c r="AX139" s="4" t="str">
        <f ca="1">IFERROR(__xludf.DUMMYFUNCTION("""COMPUTED_VALUE"""),"| 5 P Python @ | 7 L CPT @ | 8 L NS @ | 9 P NS @ ")</f>
        <v xml:space="preserve">| 5 P Python @ | 7 L CPT @ | 8 L NS @ | 9 P NS @ </v>
      </c>
      <c r="AY139" s="4" t="str">
        <f ca="1">IFERROR(__xludf.DUMMYFUNCTION("""COMPUTED_VALUE"""),"| 5 L PHP-CGM % | 6 L NS % | 7 P JAVA % ")</f>
        <v xml:space="preserve">| 5 L PHP-CGM % | 6 L NS % | 7 P JAVA % </v>
      </c>
      <c r="AZ139" s="4" t="str">
        <f ca="1">IFERROR(__xludf.DUMMYFUNCTION("""COMPUTED_VALUE"""),"| 5 L PHP-CGM % | 6 L NS % | 7 L JAVA % | 8 L CPT % ")</f>
        <v xml:space="preserve">| 5 L PHP-CGM % | 6 L NS % | 7 L JAVA % | 8 L CPT % </v>
      </c>
      <c r="BA139" s="4" t="str">
        <f ca="1">IFERROR(__xludf.DUMMYFUNCTION("""COMPUTED_VALUE"""),"| 5 P Python % | 7 L PHP-CGM % | 8 L JAVA % ")</f>
        <v xml:space="preserve">| 5 P Python % | 7 L PHP-CGM % | 8 L JAVA % </v>
      </c>
      <c r="BB139" s="4" t="str">
        <f ca="1">IFERROR(__xludf.DUMMYFUNCTION("""COMPUTED_VALUE"""),"| 5 P Python % | 7 L CPT % | 8 L NS % | 9 P NS % ")</f>
        <v xml:space="preserve">| 5 P Python % | 7 L CPT % | 8 L NS % | 9 P NS % </v>
      </c>
      <c r="BC139" s="4" t="str">
        <f ca="1">IFERROR(__xludf.DUMMYFUNCTION("""COMPUTED_VALUE"""),"| 5 L PHP-CGM % | 6 L NS % | 7 P JAVA % | 9 P PRO % ")</f>
        <v xml:space="preserve">| 5 L PHP-CGM % | 6 L NS % | 7 P JAVA % | 9 P PRO % </v>
      </c>
      <c r="BD139" s="4" t="str">
        <f ca="1">IFERROR(__xludf.DUMMYFUNCTION("""COMPUTED_VALUE"""),"| 5 L JAVA % | 6 L CPT % | 7 P CPT % | 9 L INE % ")</f>
        <v xml:space="preserve">| 5 L JAVA % | 6 L CPT % | 7 P CPT % | 9 L INE % </v>
      </c>
      <c r="BE139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39" s="4" t="str">
        <f ca="1">IFERROR(__xludf.DUMMYFUNCTION("""COMPUTED_VALUE"""),"| 5 P Python % | 7 L PHP-CGM % | 9 P JAVA @ | 8 L JAVA % ")</f>
        <v xml:space="preserve">| 5 P Python % | 7 L PHP-CGM % | 9 P JAVA @ | 8 L JAVA % </v>
      </c>
      <c r="BG139" s="4" t="str">
        <f ca="1">IFERROR(__xludf.DUMMYFUNCTION("""COMPUTED_VALUE"""),"| 5 L PHP-CGM % | 6 L NS % | 7 P JAVA % | 9 P PRO @ ")</f>
        <v xml:space="preserve">| 5 L PHP-CGM % | 6 L NS % | 7 P JAVA % | 9 P PRO @ </v>
      </c>
      <c r="BH139" s="4" t="str">
        <f ca="1">IFERROR(__xludf.DUMMYFUNCTION("""COMPUTED_VALUE"""),"| 5 L JAVA % | 6 L CPT % | 7 P CPT % | 9 L INE @ ")</f>
        <v xml:space="preserve">| 5 L JAVA % | 6 L CPT % | 7 P CPT % | 9 L INE @ </v>
      </c>
      <c r="BI139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39" s="4" t="str">
        <f ca="1">IFERROR(__xludf.DUMMYFUNCTION("""COMPUTED_VALUE"""),"| 5 P Python @ | 7 L JAVA @ | 8 L PHP-CGM @ ")</f>
        <v xml:space="preserve">| 5 P Python @ | 7 L JAVA @ | 8 L PHP-CGM @ </v>
      </c>
      <c r="BK139" s="4" t="str">
        <f ca="1">IFERROR(__xludf.DUMMYFUNCTION("""COMPUTED_VALUE"""),"| 5 P Python % | 7 L CPT % | 8 L NS @ | 9 P NS @ ")</f>
        <v xml:space="preserve">| 5 P Python % | 7 L CPT % | 8 L NS @ | 9 P NS @ </v>
      </c>
      <c r="BL139" s="4" t="str">
        <f ca="1">IFERROR(__xludf.DUMMYFUNCTION("""COMPUTED_VALUE"""),"| 5 L PHP-CGM @ | 6 L NS @ | 7 P JAVA @ | 9 P PRO @ ")</f>
        <v xml:space="preserve">| 5 L PHP-CGM @ | 6 L NS @ | 7 P JAVA @ | 9 P PRO @ </v>
      </c>
      <c r="BM139" s="4" t="str">
        <f ca="1">IFERROR(__xludf.DUMMYFUNCTION("""COMPUTED_VALUE"""),"| 5 L JAVA @ | 6 L CPT @ | 7 P CPT @ | 9 L INE @ ")</f>
        <v xml:space="preserve">| 5 L JAVA @ | 6 L CPT @ | 7 P CPT @ | 9 L INE @ </v>
      </c>
      <c r="BN139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39" s="4" t="str">
        <f ca="1">IFERROR(__xludf.DUMMYFUNCTION("""COMPUTED_VALUE"""),"| 5 P Python @ | 7 L PHP-CGM @ ")</f>
        <v xml:space="preserve">| 5 P Python @ | 7 L PHP-CGM @ </v>
      </c>
      <c r="BP139" s="4" t="str">
        <f ca="1">IFERROR(__xludf.DUMMYFUNCTION("""COMPUTED_VALUE"""),"| 5 P Python @ | 7 L CPT @ | 8 L NS @ | 9 P NS @ ")</f>
        <v xml:space="preserve">| 5 P Python @ | 7 L CPT @ | 8 L NS @ | 9 P NS @ </v>
      </c>
      <c r="BQ139" s="4" t="str">
        <f ca="1">IFERROR(__xludf.DUMMYFUNCTION("""COMPUTED_VALUE"""),"| 5 L JAVA @ | 6 L CPT @ ")</f>
        <v xml:space="preserve">| 5 L JAVA @ | 6 L CPT @ </v>
      </c>
      <c r="BR139" s="4" t="str">
        <f ca="1">IFERROR(__xludf.DUMMYFUNCTION("""COMPUTED_VALUE"""),"| 7 L JAVA % ")</f>
        <v xml:space="preserve">| 7 L JAVA % </v>
      </c>
      <c r="BS139" s="4"/>
      <c r="BT139" s="4" t="str">
        <f ca="1">IFERROR(__xludf.DUMMYFUNCTION("""COMPUTED_VALUE"""),"| 7 L CPT @ | 9 P NS @ ")</f>
        <v xml:space="preserve">| 7 L CPT @ | 9 P NS @ </v>
      </c>
      <c r="BU139" s="4" t="str">
        <f ca="1">IFERROR(__xludf.DUMMYFUNCTION("""COMPUTED_VALUE"""),"| 9 P PRO @ ")</f>
        <v xml:space="preserve">| 9 P PRO @ </v>
      </c>
      <c r="BV139" s="4" t="str">
        <f ca="1">IFERROR(__xludf.DUMMYFUNCTION("""COMPUTED_VALUE"""),"| 5 P Python @ | 7 L CPT @ | 8 L NS @ | 9 P NS @ ")</f>
        <v xml:space="preserve">| 5 P Python @ | 7 L CPT @ | 8 L NS @ | 9 P NS @ </v>
      </c>
      <c r="BW139" s="4"/>
      <c r="BX139" s="4" t="str">
        <f ca="1">IFERROR(__xludf.DUMMYFUNCTION("""COMPUTED_VALUE"""),"| 5 L JAVA @ | 6 L CPT @ | 7 P CPT @ ")</f>
        <v xml:space="preserve">| 5 L JAVA @ | 6 L CPT @ | 7 P CPT @ </v>
      </c>
      <c r="BY139" s="4" t="str">
        <f ca="1">IFERROR(__xludf.DUMMYFUNCTION("""COMPUTED_VALUE"""),"| 5 L PHP-CGM @ | 6 L NS @ | 7 L JAVA @ | 8 L CPT @ ")</f>
        <v xml:space="preserve">| 5 L PHP-CGM @ | 6 L NS @ | 7 L JAVA @ | 8 L CPT @ </v>
      </c>
      <c r="BZ139" s="4" t="str">
        <f ca="1">IFERROR(__xludf.DUMMYFUNCTION("""COMPUTED_VALUE"""),"| 5 P Python @ | 8 L JAVA @ | 7 L PHP-CGM @ | 9 P JAVA @ ")</f>
        <v xml:space="preserve">| 5 P Python @ | 8 L JAVA @ | 7 L PHP-CGM @ | 9 P JAVA @ </v>
      </c>
      <c r="CA139" s="4" t="str">
        <f ca="1">IFERROR(__xludf.DUMMYFUNCTION("""COMPUTED_VALUE"""),"| 5 P Python @ | 7 L CPT @ | 8 L NS @ | 9 P NS @ ")</f>
        <v xml:space="preserve">| 5 P Python @ | 7 L CPT @ | 8 L NS @ | 9 P NS @ </v>
      </c>
      <c r="CB139" s="4" t="str">
        <f ca="1">IFERROR(__xludf.DUMMYFUNCTION("""COMPUTED_VALUE"""),"| 5 L PHP-CGM % | 6 L NS % | 7 P JAVA @ ")</f>
        <v xml:space="preserve">| 5 L PHP-CGM % | 6 L NS % | 7 P JAVA @ </v>
      </c>
      <c r="CC139" s="4" t="str">
        <f ca="1">IFERROR(__xludf.DUMMYFUNCTION("""COMPUTED_VALUE"""),"| 5 L JAVA @ | 7 P CPT @ | 9 L INE % ")</f>
        <v xml:space="preserve">| 5 L JAVA @ | 7 P CPT @ | 9 L INE % </v>
      </c>
      <c r="CD139" s="4" t="str">
        <f ca="1">IFERROR(__xludf.DUMMYFUNCTION("""COMPUTED_VALUE"""),"| 5 L PHP-CGM % | 6 L NS @ | 7 L JAVA @ | 8 L CPT @ ")</f>
        <v xml:space="preserve">| 5 L PHP-CGM % | 6 L NS @ | 7 L JAVA @ | 8 L CPT @ </v>
      </c>
      <c r="CE139" s="4" t="str">
        <f ca="1">IFERROR(__xludf.DUMMYFUNCTION("""COMPUTED_VALUE"""),"| 5 P Python @ | 8 L JAVA @ | 7 L PHP-CGM @ ")</f>
        <v xml:space="preserve">| 5 P Python @ | 8 L JAVA @ | 7 L PHP-CGM @ </v>
      </c>
      <c r="CF139" s="4" t="str">
        <f ca="1">IFERROR(__xludf.DUMMYFUNCTION("""COMPUTED_VALUE"""),"| 5 P Python @ | 7 L CPT @ | 8 L NS @ | 9 P NS @ ")</f>
        <v xml:space="preserve">| 5 P Python @ | 7 L CPT @ | 8 L NS @ | 9 P NS @ </v>
      </c>
      <c r="CG139" s="4" t="str">
        <f ca="1">IFERROR(__xludf.DUMMYFUNCTION("""COMPUTED_VALUE"""),"| 5 L PHP-CGM @ | 6 L NS @ | 7 P JAVA @ ")</f>
        <v xml:space="preserve">| 5 L PHP-CGM @ | 6 L NS @ | 7 P JAVA @ </v>
      </c>
      <c r="CH139" s="4" t="str">
        <f ca="1">IFERROR(__xludf.DUMMYFUNCTION("""COMPUTED_VALUE"""),"| 5 L JAVA @ | 6 L CPT @ | 7 P CPT @ | 9 L INE @ ")</f>
        <v xml:space="preserve">| 5 L JAVA @ | 6 L CPT @ | 7 P CPT @ | 9 L INE @ </v>
      </c>
      <c r="CI139" s="4" t="str">
        <f ca="1">IFERROR(__xludf.DUMMYFUNCTION("""COMPUTED_VALUE"""),"| 5 L PHP-CGM @ | 7 L JAVA % | 8 L CPT @ ")</f>
        <v xml:space="preserve">| 5 L PHP-CGM @ | 7 L JAVA % | 8 L CPT @ </v>
      </c>
      <c r="CJ139" s="4" t="str">
        <f ca="1">IFERROR(__xludf.DUMMYFUNCTION("""COMPUTED_VALUE"""),"| 5 P Python % ")</f>
        <v xml:space="preserve">| 5 P Python % </v>
      </c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</row>
    <row r="140" spans="1:102" ht="12.5" x14ac:dyDescent="0.25">
      <c r="A140" s="3">
        <f ca="1">IFERROR(__xludf.DUMMYFUNCTION("""COMPUTED_VALUE"""),3)</f>
        <v>3</v>
      </c>
      <c r="B140" s="3" t="str">
        <f ca="1">IFERROR(__xludf.DUMMYFUNCTION("""COMPUTED_VALUE"""),"B")</f>
        <v>B</v>
      </c>
      <c r="C140" s="32" t="str">
        <f ca="1">IFERROR(__xludf.DUMMYFUNCTION("""COMPUTED_VALUE"""),"23291341133")</f>
        <v>23291341133</v>
      </c>
      <c r="D140" s="4" t="str">
        <f ca="1">IFERROR(__xludf.DUMMYFUNCTION("""COMPUTED_VALUE"""),"PRAJAPATI KRISH KALPESHKUMAR")</f>
        <v>PRAJAPATI KRISH KALPESHKUMAR</v>
      </c>
      <c r="E140" s="3" t="str">
        <f ca="1">IFERROR(__xludf.DUMMYFUNCTION("""COMPUTED_VALUE"""),"HAM/HDP-EVE")</f>
        <v>HAM/HDP-EVE</v>
      </c>
      <c r="F140" s="3">
        <f ca="1">IFERROR(__xludf.DUMMYFUNCTION("""COMPUTED_VALUE"""),9925072272)</f>
        <v>9925072272</v>
      </c>
      <c r="G140" s="3">
        <f ca="1">IFERROR(__xludf.DUMMYFUNCTION("""COMPUTED_VALUE"""),8511119000)</f>
        <v>8511119000</v>
      </c>
      <c r="H140" s="33">
        <f ca="1">IFERROR(__xludf.DUMMYFUNCTION("""COMPUTED_VALUE"""),0.696969696969697)</f>
        <v>0.69696969696969702</v>
      </c>
      <c r="I140" s="25">
        <f ca="1">IFERROR(__xludf.DUMMYFUNCTION("""COMPUTED_VALUE"""),0.675675675675675)</f>
        <v>0.67567567567567499</v>
      </c>
      <c r="J140" s="25">
        <f ca="1">IFERROR(__xludf.DUMMYFUNCTION("""COMPUTED_VALUE"""),0.818181818181818)</f>
        <v>0.81818181818181801</v>
      </c>
      <c r="K140" s="25">
        <f ca="1">IFERROR(__xludf.DUMMYFUNCTION("""COMPUTED_VALUE"""),0.705882352941176)</f>
        <v>0.70588235294117596</v>
      </c>
      <c r="L140" s="25">
        <f ca="1">IFERROR(__xludf.DUMMYFUNCTION("""COMPUTED_VALUE"""),0.666666666666666)</f>
        <v>0.66666666666666596</v>
      </c>
      <c r="M140" s="25">
        <f ca="1">IFERROR(__xludf.DUMMYFUNCTION("""COMPUTED_VALUE"""),0.714285714285714)</f>
        <v>0.71428571428571397</v>
      </c>
      <c r="N140" s="25">
        <f ca="1">IFERROR(__xludf.DUMMYFUNCTION("""COMPUTED_VALUE"""),0.5)</f>
        <v>0.5</v>
      </c>
      <c r="O140" s="25">
        <f ca="1">IFERROR(__xludf.DUMMYFUNCTION("""COMPUTED_VALUE"""),0.685714285714285)</f>
        <v>0.68571428571428505</v>
      </c>
      <c r="P140" s="25">
        <f ca="1">IFERROR(__xludf.DUMMYFUNCTION("""COMPUTED_VALUE"""),0.777777777777777)</f>
        <v>0.77777777777777701</v>
      </c>
      <c r="Q140" s="25">
        <f ca="1">IFERROR(__xludf.DUMMYFUNCTION("""COMPUTED_VALUE"""),0)</f>
        <v>0</v>
      </c>
      <c r="R140" s="25">
        <f ca="1">IFERROR(__xludf.DUMMYFUNCTION("""COMPUTED_VALUE"""),0.75)</f>
        <v>0.75</v>
      </c>
      <c r="S140" s="25">
        <f ca="1">IFERROR(__xludf.DUMMYFUNCTION("""COMPUTED_VALUE"""),0)</f>
        <v>0</v>
      </c>
      <c r="T140" s="25">
        <f ca="1">IFERROR(__xludf.DUMMYFUNCTION("""COMPUTED_VALUE"""),0.666666666666666)</f>
        <v>0.66666666666666596</v>
      </c>
      <c r="U140" s="25">
        <f ca="1">IFERROR(__xludf.DUMMYFUNCTION("""COMPUTED_VALUE"""),0.5)</f>
        <v>0.5</v>
      </c>
      <c r="V140" s="25">
        <f ca="1">IFERROR(__xludf.DUMMYFUNCTION("""COMPUTED_VALUE"""),0)</f>
        <v>0</v>
      </c>
      <c r="W140" s="4"/>
      <c r="X140" s="4" t="str">
        <f ca="1">IFERROR(__xludf.DUMMYFUNCTION("""COMPUTED_VALUE"""),"| 5 P Python % | 7 L CPT % | 8 L NS % | 9 P NS % ")</f>
        <v xml:space="preserve">| 5 P Python % | 7 L CPT % | 8 L NS % | 9 P NS % </v>
      </c>
      <c r="Y140" s="4" t="str">
        <f ca="1">IFERROR(__xludf.DUMMYFUNCTION("""COMPUTED_VALUE"""),"| 5 L PHP-CGM % | 6 L NS % | 7 P JAVA % | 9 P PRO % ")</f>
        <v xml:space="preserve">| 5 L PHP-CGM % | 6 L NS % | 7 P JAVA % | 9 P PRO % </v>
      </c>
      <c r="Z140" s="4" t="str">
        <f ca="1">IFERROR(__xludf.DUMMYFUNCTION("""COMPUTED_VALUE"""),"| 5 L JAVA % | 6 L CPT % | 7 P CPT % ")</f>
        <v xml:space="preserve">| 5 L JAVA % | 6 L CPT % | 7 P CPT % </v>
      </c>
      <c r="AA140" s="4" t="str">
        <f ca="1">IFERROR(__xludf.DUMMYFUNCTION("""COMPUTED_VALUE"""),"| 5 L PHP-CGM % | 7 L JAVA % | 9 P PHP-CGM % | 8 L CPT % ")</f>
        <v xml:space="preserve">| 5 L PHP-CGM % | 7 L JAVA % | 9 P PHP-CGM % | 8 L CPT % </v>
      </c>
      <c r="AB140" s="4" t="str">
        <f ca="1">IFERROR(__xludf.DUMMYFUNCTION("""COMPUTED_VALUE"""),"| 5 P Python % | 7 L PHP-CGM % | 8 L JAVA % | 9 P JAVA % ")</f>
        <v xml:space="preserve">| 5 P Python % | 7 L PHP-CGM % | 8 L JAVA % | 9 P JAVA % </v>
      </c>
      <c r="AC140" s="4" t="str">
        <f ca="1">IFERROR(__xludf.DUMMYFUNCTION("""COMPUTED_VALUE"""),"| 5 P Python % | 7 L CPT % | 8 L NS % | 9 P NS % ")</f>
        <v xml:space="preserve">| 5 P Python % | 7 L CPT % | 8 L NS % | 9 P NS % </v>
      </c>
      <c r="AD140" s="4" t="str">
        <f ca="1">IFERROR(__xludf.DUMMYFUNCTION("""COMPUTED_VALUE"""),"| 5 L PHP-CGM % | 6 L NS % | 7 P JAVA % | 9 P PRO % ")</f>
        <v xml:space="preserve">| 5 L PHP-CGM % | 6 L NS % | 7 P JAVA % | 9 P PRO % </v>
      </c>
      <c r="AE140" s="4" t="str">
        <f ca="1">IFERROR(__xludf.DUMMYFUNCTION("""COMPUTED_VALUE"""),"| 5 L JAVA % | 6 L CPT % | 7 P CPT % ")</f>
        <v xml:space="preserve">| 5 L JAVA % | 6 L CPT % | 7 P CPT % </v>
      </c>
      <c r="AF14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G140" s="4" t="str">
        <f ca="1">IFERROR(__xludf.DUMMYFUNCTION("""COMPUTED_VALUE"""),"| 5 P Python % | 8 L JAVA @ | 7 L PHP-CGM @ | 9 P JAVA @ ")</f>
        <v xml:space="preserve">| 5 P Python % | 8 L JAVA @ | 7 L PHP-CGM @ | 9 P JAVA @ </v>
      </c>
      <c r="AH14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I140" s="4" t="str">
        <f ca="1">IFERROR(__xludf.DUMMYFUNCTION("""COMPUTED_VALUE"""),"| 5 P Python % | 8 L JAVA % | 7 L PHP-CGM % | 9 P JAVA % ")</f>
        <v xml:space="preserve">| 5 P Python % | 8 L JAVA % | 7 L PHP-CGM % | 9 P JAVA % </v>
      </c>
      <c r="AJ140" s="4" t="str">
        <f ca="1">IFERROR(__xludf.DUMMYFUNCTION("""COMPUTED_VALUE"""),"| 5 P Python @ | 7 L CPT @ | 8 L NS @ | 9 P NS @ ")</f>
        <v xml:space="preserve">| 5 P Python @ | 7 L CPT @ | 8 L NS @ | 9 P NS @ </v>
      </c>
      <c r="AK140" s="4" t="str">
        <f ca="1">IFERROR(__xludf.DUMMYFUNCTION("""COMPUTED_VALUE"""),"| 5 L PHP-CGM % | 6 L NS % | 7 P JAVA % | 9 P PRO % ")</f>
        <v xml:space="preserve">| 5 L PHP-CGM % | 6 L NS % | 7 P JAVA % | 9 P PRO % </v>
      </c>
      <c r="AL140" s="4" t="str">
        <f ca="1">IFERROR(__xludf.DUMMYFUNCTION("""COMPUTED_VALUE"""),"| 5 L JAVA % | 6 L CPT % | 7 P CPT % | 9 L INE % ")</f>
        <v xml:space="preserve">| 5 L JAVA % | 6 L CPT % | 7 P CPT % | 9 L INE % </v>
      </c>
      <c r="AM140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N140" s="4" t="str">
        <f ca="1">IFERROR(__xludf.DUMMYFUNCTION("""COMPUTED_VALUE"""),"| 5 P Python @ | 8 L JAVA % | 7 L PHP-CGM % | 9 P JAVA % ")</f>
        <v xml:space="preserve">| 5 P Python @ | 8 L JAVA % | 7 L PHP-CGM % | 9 P JAVA % </v>
      </c>
      <c r="AO140" s="4" t="str">
        <f ca="1">IFERROR(__xludf.DUMMYFUNCTION("""COMPUTED_VALUE"""),"| 5 P Python % | 7 L CPT % | 8 L NS % ")</f>
        <v xml:space="preserve">| 5 P Python % | 7 L CPT % | 8 L NS % </v>
      </c>
      <c r="AP140" s="4" t="str">
        <f ca="1">IFERROR(__xludf.DUMMYFUNCTION("""COMPUTED_VALUE"""),"| 5 L PHP-CGM % | 6 L NS % | 7 P JAVA % | 9 P PRO % ")</f>
        <v xml:space="preserve">| 5 L PHP-CGM % | 6 L NS % | 7 P JAVA % | 9 P PRO % </v>
      </c>
      <c r="AQ140" s="4" t="str">
        <f ca="1">IFERROR(__xludf.DUMMYFUNCTION("""COMPUTED_VALUE"""),"| 5 L CPT % | 7 L JAVA % | 7 P CPT % | 9 L INE @ ")</f>
        <v xml:space="preserve">| 5 L CPT % | 7 L JAVA % | 7 P CPT % | 9 L INE @ </v>
      </c>
      <c r="AR140" s="4" t="str">
        <f ca="1">IFERROR(__xludf.DUMMYFUNCTION("""COMPUTED_VALUE"""),"| 5 L PHP-CGM @ | 6 L NS @ | 8 L CPT @ ")</f>
        <v xml:space="preserve">| 5 L PHP-CGM @ | 6 L NS @ | 8 L CPT @ </v>
      </c>
      <c r="AS140" s="4" t="str">
        <f ca="1">IFERROR(__xludf.DUMMYFUNCTION("""COMPUTED_VALUE"""),"| 5 P Python % | 7 L CPT % | 8 L NS % | 9 P NS % ")</f>
        <v xml:space="preserve">| 5 P Python % | 7 L CPT % | 8 L NS % | 9 P NS % </v>
      </c>
      <c r="AT140" s="4" t="str">
        <f ca="1">IFERROR(__xludf.DUMMYFUNCTION("""COMPUTED_VALUE"""),"| 5 L PHP-CGM % | 6 L NS % | 7 P JAVA % | 9 P PRO % ")</f>
        <v xml:space="preserve">| 5 L PHP-CGM % | 6 L NS % | 7 P JAVA % | 9 P PRO % </v>
      </c>
      <c r="AU140" s="4" t="str">
        <f ca="1">IFERROR(__xludf.DUMMYFUNCTION("""COMPUTED_VALUE"""),"| 5 L JAVA % | 6 L CPT % | 7 P CPT % | 9 L INE % ")</f>
        <v xml:space="preserve">| 5 L JAVA % | 6 L CPT % | 7 P CPT % | 9 L INE % </v>
      </c>
      <c r="AV140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W140" s="4" t="str">
        <f ca="1">IFERROR(__xludf.DUMMYFUNCTION("""COMPUTED_VALUE"""),"| 5 P Python % | 7 L PHP-CGM % | 8 L JAVA % | 9 P JAVA % ")</f>
        <v xml:space="preserve">| 5 P Python % | 7 L PHP-CGM % | 8 L JAVA % | 9 P JAVA % </v>
      </c>
      <c r="AX140" s="4" t="str">
        <f ca="1">IFERROR(__xludf.DUMMYFUNCTION("""COMPUTED_VALUE"""),"| 5 P Python % | 7 L CPT % | 8 L NS % | 9 P NS % ")</f>
        <v xml:space="preserve">| 5 P Python % | 7 L CPT % | 8 L NS % | 9 P NS % </v>
      </c>
      <c r="AY140" s="4" t="str">
        <f ca="1">IFERROR(__xludf.DUMMYFUNCTION("""COMPUTED_VALUE"""),"| 5 L PHP-CGM % | 6 L NS % | 7 P JAVA % ")</f>
        <v xml:space="preserve">| 5 L PHP-CGM % | 6 L NS % | 7 P JAVA % </v>
      </c>
      <c r="AZ140" s="4" t="str">
        <f ca="1">IFERROR(__xludf.DUMMYFUNCTION("""COMPUTED_VALUE"""),"| 5 L PHP-CGM % | 6 L NS % | 7 L JAVA % | 8 L CPT % ")</f>
        <v xml:space="preserve">| 5 L PHP-CGM % | 6 L NS % | 7 L JAVA % | 8 L CPT % </v>
      </c>
      <c r="BA140" s="4" t="str">
        <f ca="1">IFERROR(__xludf.DUMMYFUNCTION("""COMPUTED_VALUE"""),"| 5 P Python % | 7 L PHP-CGM % | 8 L JAVA % ")</f>
        <v xml:space="preserve">| 5 P Python % | 7 L PHP-CGM % | 8 L JAVA % </v>
      </c>
      <c r="BB140" s="4" t="str">
        <f ca="1">IFERROR(__xludf.DUMMYFUNCTION("""COMPUTED_VALUE"""),"| 5 P Python % | 7 L CPT % | 8 L NS % | 9 P NS % ")</f>
        <v xml:space="preserve">| 5 P Python % | 7 L CPT % | 8 L NS % | 9 P NS % </v>
      </c>
      <c r="BC140" s="4" t="str">
        <f ca="1">IFERROR(__xludf.DUMMYFUNCTION("""COMPUTED_VALUE"""),"| 5 L PHP-CGM % | 6 L NS % | 7 P JAVA % | 9 P PRO % ")</f>
        <v xml:space="preserve">| 5 L PHP-CGM % | 6 L NS % | 7 P JAVA % | 9 P PRO % </v>
      </c>
      <c r="BD140" s="4" t="str">
        <f ca="1">IFERROR(__xludf.DUMMYFUNCTION("""COMPUTED_VALUE"""),"| 5 L JAVA % | 6 L CPT % | 7 P CPT % | 9 L INE % ")</f>
        <v xml:space="preserve">| 5 L JAVA % | 6 L CPT % | 7 P CPT % | 9 L INE % </v>
      </c>
      <c r="BE140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BF140" s="4" t="str">
        <f ca="1">IFERROR(__xludf.DUMMYFUNCTION("""COMPUTED_VALUE"""),"| 5 P Python % | 7 L PHP-CGM % | 9 P JAVA % | 8 L JAVA % ")</f>
        <v xml:space="preserve">| 5 P Python % | 7 L PHP-CGM % | 9 P JAVA % | 8 L JAVA % </v>
      </c>
      <c r="BG140" s="4" t="str">
        <f ca="1">IFERROR(__xludf.DUMMYFUNCTION("""COMPUTED_VALUE"""),"| 5 L PHP-CGM @ | 6 L NS @ | 7 P JAVA @ | 9 P PRO @ ")</f>
        <v xml:space="preserve">| 5 L PHP-CGM @ | 6 L NS @ | 7 P JAVA @ | 9 P PRO @ </v>
      </c>
      <c r="BH140" s="4" t="str">
        <f ca="1">IFERROR(__xludf.DUMMYFUNCTION("""COMPUTED_VALUE"""),"| 5 L JAVA @ | 6 L CPT @ | 7 P CPT @ | 9 L INE @ ")</f>
        <v xml:space="preserve">| 5 L JAVA @ | 6 L CPT @ | 7 P CPT @ | 9 L INE @ </v>
      </c>
      <c r="BI140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40" s="4" t="str">
        <f ca="1">IFERROR(__xludf.DUMMYFUNCTION("""COMPUTED_VALUE"""),"| 5 P Python @ | 7 L JAVA @ | 8 L PHP-CGM @ ")</f>
        <v xml:space="preserve">| 5 P Python @ | 7 L JAVA @ | 8 L PHP-CGM @ </v>
      </c>
      <c r="BK140" s="4" t="str">
        <f ca="1">IFERROR(__xludf.DUMMYFUNCTION("""COMPUTED_VALUE"""),"| 5 P Python @ | 7 L CPT @ | 8 L NS @ | 9 P NS @ ")</f>
        <v xml:space="preserve">| 5 P Python @ | 7 L CPT @ | 8 L NS @ | 9 P NS @ </v>
      </c>
      <c r="BL140" s="4" t="str">
        <f ca="1">IFERROR(__xludf.DUMMYFUNCTION("""COMPUTED_VALUE"""),"| 5 L PHP-CGM @ | 6 L NS @ | 7 P JAVA @ | 9 P PRO @ ")</f>
        <v xml:space="preserve">| 5 L PHP-CGM @ | 6 L NS @ | 7 P JAVA @ | 9 P PRO @ </v>
      </c>
      <c r="BM140" s="4" t="str">
        <f ca="1">IFERROR(__xludf.DUMMYFUNCTION("""COMPUTED_VALUE"""),"| 5 L JAVA @ | 6 L CPT @ | 7 P CPT @ | 9 L INE @ ")</f>
        <v xml:space="preserve">| 5 L JAVA @ | 6 L CPT @ | 7 P CPT @ | 9 L INE @ </v>
      </c>
      <c r="BN140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40" s="4" t="str">
        <f ca="1">IFERROR(__xludf.DUMMYFUNCTION("""COMPUTED_VALUE"""),"| 5 P Python @ | 7 L PHP-CGM @ ")</f>
        <v xml:space="preserve">| 5 P Python @ | 7 L PHP-CGM @ </v>
      </c>
      <c r="BP140" s="4" t="str">
        <f ca="1">IFERROR(__xludf.DUMMYFUNCTION("""COMPUTED_VALUE"""),"| 5 P Python @ | 7 L CPT @ | 8 L NS @ | 9 P NS @ ")</f>
        <v xml:space="preserve">| 5 P Python @ | 7 L CPT @ | 8 L NS @ | 9 P NS @ </v>
      </c>
      <c r="BQ140" s="4" t="str">
        <f ca="1">IFERROR(__xludf.DUMMYFUNCTION("""COMPUTED_VALUE"""),"| 5 L JAVA @ | 6 L CPT @ ")</f>
        <v xml:space="preserve">| 5 L JAVA @ | 6 L CPT @ </v>
      </c>
      <c r="BR140" s="4" t="str">
        <f ca="1">IFERROR(__xludf.DUMMYFUNCTION("""COMPUTED_VALUE"""),"| 7 L JAVA @ ")</f>
        <v xml:space="preserve">| 7 L JAVA @ </v>
      </c>
      <c r="BS140" s="4"/>
      <c r="BT140" s="4" t="str">
        <f ca="1">IFERROR(__xludf.DUMMYFUNCTION("""COMPUTED_VALUE"""),"| 7 L CPT @ | 9 P NS @ ")</f>
        <v xml:space="preserve">| 7 L CPT @ | 9 P NS @ </v>
      </c>
      <c r="BU140" s="4" t="str">
        <f ca="1">IFERROR(__xludf.DUMMYFUNCTION("""COMPUTED_VALUE"""),"| 9 P PRO @ ")</f>
        <v xml:space="preserve">| 9 P PRO @ </v>
      </c>
      <c r="BV140" s="4" t="str">
        <f ca="1">IFERROR(__xludf.DUMMYFUNCTION("""COMPUTED_VALUE"""),"| 5 P Python % | 7 L CPT % | 8 L NS % | 9 P NS % ")</f>
        <v xml:space="preserve">| 5 P Python % | 7 L CPT % | 8 L NS % | 9 P NS % </v>
      </c>
      <c r="BW140" s="4"/>
      <c r="BX140" s="4" t="str">
        <f ca="1">IFERROR(__xludf.DUMMYFUNCTION("""COMPUTED_VALUE"""),"| 5 L JAVA % | 6 L CPT % | 7 P CPT % ")</f>
        <v xml:space="preserve">| 5 L JAVA % | 6 L CPT % | 7 P CPT % </v>
      </c>
      <c r="BY140" s="4" t="str">
        <f ca="1">IFERROR(__xludf.DUMMYFUNCTION("""COMPUTED_VALUE"""),"| 5 L PHP-CGM % | 6 L NS % | 7 L JAVA % | 8 L CPT % ")</f>
        <v xml:space="preserve">| 5 L PHP-CGM % | 6 L NS % | 7 L JAVA % | 8 L CPT % </v>
      </c>
      <c r="BZ140" s="4" t="str">
        <f ca="1">IFERROR(__xludf.DUMMYFUNCTION("""COMPUTED_VALUE"""),"| 5 P Python % | 8 L JAVA % | 7 L PHP-CGM % | 9 P JAVA % ")</f>
        <v xml:space="preserve">| 5 P Python % | 8 L JAVA % | 7 L PHP-CGM % | 9 P JAVA % </v>
      </c>
      <c r="CA140" s="4" t="str">
        <f ca="1">IFERROR(__xludf.DUMMYFUNCTION("""COMPUTED_VALUE"""),"| 5 P Python % | 7 L CPT % | 8 L NS % | 9 P NS % ")</f>
        <v xml:space="preserve">| 5 P Python % | 7 L CPT % | 8 L NS % | 9 P NS % </v>
      </c>
      <c r="CB140" s="4" t="str">
        <f ca="1">IFERROR(__xludf.DUMMYFUNCTION("""COMPUTED_VALUE"""),"| 5 L PHP-CGM % | 6 L NS % | 7 P JAVA @ ")</f>
        <v xml:space="preserve">| 5 L PHP-CGM % | 6 L NS % | 7 P JAVA @ </v>
      </c>
      <c r="CC140" s="4" t="str">
        <f ca="1">IFERROR(__xludf.DUMMYFUNCTION("""COMPUTED_VALUE"""),"| 5 L JAVA % | 7 P CPT % | 9 L INE % ")</f>
        <v xml:space="preserve">| 5 L JAVA % | 7 P CPT % | 9 L INE % </v>
      </c>
      <c r="CD140" s="4" t="str">
        <f ca="1">IFERROR(__xludf.DUMMYFUNCTION("""COMPUTED_VALUE"""),"| 5 L PHP-CGM @ | 6 L NS @ | 7 L JAVA @ | 8 L CPT @ ")</f>
        <v xml:space="preserve">| 5 L PHP-CGM @ | 6 L NS @ | 7 L JAVA @ | 8 L CPT @ </v>
      </c>
      <c r="CE140" s="4" t="str">
        <f ca="1">IFERROR(__xludf.DUMMYFUNCTION("""COMPUTED_VALUE"""),"| 5 P Python % | 8 L JAVA % | 7 L PHP-CGM % ")</f>
        <v xml:space="preserve">| 5 P Python % | 8 L JAVA % | 7 L PHP-CGM % </v>
      </c>
      <c r="CF140" s="4" t="str">
        <f ca="1">IFERROR(__xludf.DUMMYFUNCTION("""COMPUTED_VALUE"""),"| 5 P Python % | 7 L CPT % | 8 L NS % | 9 P NS % ")</f>
        <v xml:space="preserve">| 5 P Python % | 7 L CPT % | 8 L NS % | 9 P NS % </v>
      </c>
      <c r="CG140" s="4" t="str">
        <f ca="1">IFERROR(__xludf.DUMMYFUNCTION("""COMPUTED_VALUE"""),"| 5 L PHP-CGM % | 6 L NS % | 7 P JAVA % ")</f>
        <v xml:space="preserve">| 5 L PHP-CGM % | 6 L NS % | 7 P JAVA % </v>
      </c>
      <c r="CH140" s="4" t="str">
        <f ca="1">IFERROR(__xludf.DUMMYFUNCTION("""COMPUTED_VALUE"""),"| 5 L JAVA @ | 6 L CPT % | 7 P CPT % | 9 L INE @ ")</f>
        <v xml:space="preserve">| 5 L JAVA @ | 6 L CPT % | 7 P CPT % | 9 L INE @ </v>
      </c>
      <c r="CI140" s="4" t="str">
        <f ca="1">IFERROR(__xludf.DUMMYFUNCTION("""COMPUTED_VALUE"""),"| 5 L PHP-CGM % | 7 L JAVA % | 8 L CPT % ")</f>
        <v xml:space="preserve">| 5 L PHP-CGM % | 7 L JAVA % | 8 L CPT % </v>
      </c>
      <c r="CJ140" s="4" t="str">
        <f ca="1">IFERROR(__xludf.DUMMYFUNCTION("""COMPUTED_VALUE"""),"| 5 P Python % ")</f>
        <v xml:space="preserve">| 5 P Python % </v>
      </c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</row>
    <row r="141" spans="1:102" ht="12.5" x14ac:dyDescent="0.25">
      <c r="A141" s="3">
        <f ca="1">IFERROR(__xludf.DUMMYFUNCTION("""COMPUTED_VALUE"""),3)</f>
        <v>3</v>
      </c>
      <c r="B141" s="3" t="str">
        <f ca="1">IFERROR(__xludf.DUMMYFUNCTION("""COMPUTED_VALUE"""),"B")</f>
        <v>B</v>
      </c>
      <c r="C141" s="32" t="str">
        <f ca="1">IFERROR(__xludf.DUMMYFUNCTION("""COMPUTED_VALUE"""),"23291341136")</f>
        <v>23291341136</v>
      </c>
      <c r="D141" s="4" t="str">
        <f ca="1">IFERROR(__xludf.DUMMYFUNCTION("""COMPUTED_VALUE"""),"PRAJAPATI OM PRAKASHBHAI")</f>
        <v>PRAJAPATI OM PRAKASHBHAI</v>
      </c>
      <c r="E141" s="3" t="str">
        <f ca="1">IFERROR(__xludf.DUMMYFUNCTION("""COMPUTED_VALUE"""),"HAM/HDP-EVE")</f>
        <v>HAM/HDP-EVE</v>
      </c>
      <c r="F141" s="3">
        <f ca="1">IFERROR(__xludf.DUMMYFUNCTION("""COMPUTED_VALUE"""),9925631709)</f>
        <v>9925631709</v>
      </c>
      <c r="G141" s="3">
        <f ca="1">IFERROR(__xludf.DUMMYFUNCTION("""COMPUTED_VALUE"""),9925631709)</f>
        <v>9925631709</v>
      </c>
      <c r="H141" s="33">
        <f ca="1">IFERROR(__xludf.DUMMYFUNCTION("""COMPUTED_VALUE"""),0.523809523809523)</f>
        <v>0.52380952380952295</v>
      </c>
      <c r="I141" s="25">
        <f ca="1">IFERROR(__xludf.DUMMYFUNCTION("""COMPUTED_VALUE"""),0.486486486486486)</f>
        <v>0.48648648648648601</v>
      </c>
      <c r="J141" s="25">
        <f ca="1">IFERROR(__xludf.DUMMYFUNCTION("""COMPUTED_VALUE"""),0.454545454545454)</f>
        <v>0.45454545454545398</v>
      </c>
      <c r="K141" s="25">
        <f ca="1">IFERROR(__xludf.DUMMYFUNCTION("""COMPUTED_VALUE"""),0.617647058823529)</f>
        <v>0.61764705882352899</v>
      </c>
      <c r="L141" s="25">
        <f ca="1">IFERROR(__xludf.DUMMYFUNCTION("""COMPUTED_VALUE"""),0.333333333333333)</f>
        <v>0.33333333333333298</v>
      </c>
      <c r="M141" s="25">
        <f ca="1">IFERROR(__xludf.DUMMYFUNCTION("""COMPUTED_VALUE"""),0.685714285714285)</f>
        <v>0.68571428571428505</v>
      </c>
      <c r="N141" s="25">
        <f ca="1">IFERROR(__xludf.DUMMYFUNCTION("""COMPUTED_VALUE"""),0.375)</f>
        <v>0.375</v>
      </c>
      <c r="O141" s="25">
        <f ca="1">IFERROR(__xludf.DUMMYFUNCTION("""COMPUTED_VALUE"""),0.542857142857142)</f>
        <v>0.54285714285714204</v>
      </c>
      <c r="P141" s="25">
        <f ca="1">IFERROR(__xludf.DUMMYFUNCTION("""COMPUTED_VALUE"""),0.5)</f>
        <v>0.5</v>
      </c>
      <c r="Q141" s="25">
        <f ca="1">IFERROR(__xludf.DUMMYFUNCTION("""COMPUTED_VALUE"""),0)</f>
        <v>0</v>
      </c>
      <c r="R141" s="25">
        <f ca="1">IFERROR(__xludf.DUMMYFUNCTION("""COMPUTED_VALUE"""),0.5)</f>
        <v>0.5</v>
      </c>
      <c r="S141" s="25">
        <f ca="1">IFERROR(__xludf.DUMMYFUNCTION("""COMPUTED_VALUE"""),0)</f>
        <v>0</v>
      </c>
      <c r="T141" s="25">
        <f ca="1">IFERROR(__xludf.DUMMYFUNCTION("""COMPUTED_VALUE"""),0.333333333333333)</f>
        <v>0.33333333333333298</v>
      </c>
      <c r="U141" s="25">
        <f ca="1">IFERROR(__xludf.DUMMYFUNCTION("""COMPUTED_VALUE"""),0.375)</f>
        <v>0.375</v>
      </c>
      <c r="V141" s="25">
        <f ca="1">IFERROR(__xludf.DUMMYFUNCTION("""COMPUTED_VALUE"""),0)</f>
        <v>0</v>
      </c>
      <c r="W141" s="4"/>
      <c r="X141" s="4" t="str">
        <f ca="1">IFERROR(__xludf.DUMMYFUNCTION("""COMPUTED_VALUE"""),"| 5 P Python % | 7 L CPT % | 8 L NS % | 9 P NS % ")</f>
        <v xml:space="preserve">| 5 P Python % | 7 L CPT % | 8 L NS % | 9 P NS % </v>
      </c>
      <c r="Y141" s="4" t="str">
        <f ca="1">IFERROR(__xludf.DUMMYFUNCTION("""COMPUTED_VALUE"""),"| 5 L PHP-CGM % | 6 L NS % | 7 P JAVA % | 9 P PRO % ")</f>
        <v xml:space="preserve">| 5 L PHP-CGM % | 6 L NS % | 7 P JAVA % | 9 P PRO % </v>
      </c>
      <c r="Z141" s="4" t="str">
        <f ca="1">IFERROR(__xludf.DUMMYFUNCTION("""COMPUTED_VALUE"""),"| 5 L JAVA @ | 6 L CPT @ | 7 P CPT @ ")</f>
        <v xml:space="preserve">| 5 L JAVA @ | 6 L CPT @ | 7 P CPT @ </v>
      </c>
      <c r="AA141" s="4" t="str">
        <f ca="1">IFERROR(__xludf.DUMMYFUNCTION("""COMPUTED_VALUE"""),"| 5 L PHP-CGM % | 7 L JAVA % | 9 P PHP-CGM @ | 8 L CPT % ")</f>
        <v xml:space="preserve">| 5 L PHP-CGM % | 7 L JAVA % | 9 P PHP-CGM @ | 8 L CPT % </v>
      </c>
      <c r="AB141" s="4" t="str">
        <f ca="1">IFERROR(__xludf.DUMMYFUNCTION("""COMPUTED_VALUE"""),"| 5 P Python % | 7 L PHP-CGM % | 8 L JAVA % | 9 P JAVA @ ")</f>
        <v xml:space="preserve">| 5 P Python % | 7 L PHP-CGM % | 8 L JAVA % | 9 P JAVA @ </v>
      </c>
      <c r="AC141" s="4" t="str">
        <f ca="1">IFERROR(__xludf.DUMMYFUNCTION("""COMPUTED_VALUE"""),"| 5 P Python @ | 7 L CPT @ | 8 L NS @ | 9 P NS @ ")</f>
        <v xml:space="preserve">| 5 P Python @ | 7 L CPT @ | 8 L NS @ | 9 P NS @ </v>
      </c>
      <c r="AD141" s="4" t="str">
        <f ca="1">IFERROR(__xludf.DUMMYFUNCTION("""COMPUTED_VALUE"""),"| 5 L PHP-CGM % | 6 L NS % | 7 P JAVA % | 9 P PRO @ ")</f>
        <v xml:space="preserve">| 5 L PHP-CGM % | 6 L NS % | 7 P JAVA % | 9 P PRO @ </v>
      </c>
      <c r="AE141" s="4" t="str">
        <f ca="1">IFERROR(__xludf.DUMMYFUNCTION("""COMPUTED_VALUE"""),"| 5 L JAVA % | 6 L CPT % | 7 P CPT % ")</f>
        <v xml:space="preserve">| 5 L JAVA % | 6 L CPT % | 7 P CPT % </v>
      </c>
      <c r="AF141" s="4" t="str">
        <f ca="1">IFERROR(__xludf.DUMMYFUNCTION("""COMPUTED_VALUE"""),"| 5 L PHP-CGM @ | 6 L NS @ | 7 L JAVA @ | 8 L CPT @ | 9 P PHP-CGM @ ")</f>
        <v xml:space="preserve">| 5 L PHP-CGM @ | 6 L NS @ | 7 L JAVA @ | 8 L CPT @ | 9 P PHP-CGM @ </v>
      </c>
      <c r="AG141" s="4" t="str">
        <f ca="1">IFERROR(__xludf.DUMMYFUNCTION("""COMPUTED_VALUE"""),"| 5 P Python @ | 8 L JAVA @ | 7 L PHP-CGM @ | 9 P JAVA @ ")</f>
        <v xml:space="preserve">| 5 P Python @ | 8 L JAVA @ | 7 L PHP-CGM @ | 9 P JAVA @ </v>
      </c>
      <c r="AH141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AI141" s="4" t="str">
        <f ca="1">IFERROR(__xludf.DUMMYFUNCTION("""COMPUTED_VALUE"""),"| 5 P Python % | 8 L JAVA % | 7 L PHP-CGM % | 9 P JAVA @ ")</f>
        <v xml:space="preserve">| 5 P Python % | 8 L JAVA % | 7 L PHP-CGM % | 9 P JAVA @ </v>
      </c>
      <c r="AJ141" s="4" t="str">
        <f ca="1">IFERROR(__xludf.DUMMYFUNCTION("""COMPUTED_VALUE"""),"| 5 P Python % | 7 L CPT @ | 8 L NS @ | 9 P NS % ")</f>
        <v xml:space="preserve">| 5 P Python % | 7 L CPT @ | 8 L NS @ | 9 P NS % </v>
      </c>
      <c r="AK141" s="4" t="str">
        <f ca="1">IFERROR(__xludf.DUMMYFUNCTION("""COMPUTED_VALUE"""),"| 5 L PHP-CGM % | 6 L NS % | 7 P JAVA % | 9 P PRO % ")</f>
        <v xml:space="preserve">| 5 L PHP-CGM % | 6 L NS % | 7 P JAVA % | 9 P PRO % </v>
      </c>
      <c r="AL141" s="4" t="str">
        <f ca="1">IFERROR(__xludf.DUMMYFUNCTION("""COMPUTED_VALUE"""),"| 5 L JAVA % | 6 L CPT % | 7 P CPT % | 9 L INE @ ")</f>
        <v xml:space="preserve">| 5 L JAVA % | 6 L CPT % | 7 P CPT % | 9 L INE @ </v>
      </c>
      <c r="AM141" s="4" t="str">
        <f ca="1">IFERROR(__xludf.DUMMYFUNCTION("""COMPUTED_VALUE"""),"| 5 L PHP-CGM % | 6 L NS @ | 7 L JAVA % | 8 L CPT % | 9 P PHP-CGM % ")</f>
        <v xml:space="preserve">| 5 L PHP-CGM % | 6 L NS @ | 7 L JAVA % | 8 L CPT % | 9 P PHP-CGM % </v>
      </c>
      <c r="AN141" s="4" t="str">
        <f ca="1">IFERROR(__xludf.DUMMYFUNCTION("""COMPUTED_VALUE"""),"| 5 P Python @ | 8 L JAVA % | 7 L PHP-CGM % | 9 P JAVA % ")</f>
        <v xml:space="preserve">| 5 P Python @ | 8 L JAVA % | 7 L PHP-CGM % | 9 P JAVA % </v>
      </c>
      <c r="AO141" s="4" t="str">
        <f ca="1">IFERROR(__xludf.DUMMYFUNCTION("""COMPUTED_VALUE"""),"| 5 P Python % | 7 L CPT % | 8 L NS % ")</f>
        <v xml:space="preserve">| 5 P Python % | 7 L CPT % | 8 L NS % </v>
      </c>
      <c r="AP141" s="4" t="str">
        <f ca="1">IFERROR(__xludf.DUMMYFUNCTION("""COMPUTED_VALUE"""),"| 5 L PHP-CGM % | 6 L NS % | 7 P JAVA % | 9 P PRO % ")</f>
        <v xml:space="preserve">| 5 L PHP-CGM % | 6 L NS % | 7 P JAVA % | 9 P PRO % </v>
      </c>
      <c r="AQ141" s="4" t="str">
        <f ca="1">IFERROR(__xludf.DUMMYFUNCTION("""COMPUTED_VALUE"""),"| 5 L CPT % | 7 L JAVA % | 7 P CPT % | 9 L INE @ ")</f>
        <v xml:space="preserve">| 5 L CPT % | 7 L JAVA % | 7 P CPT % | 9 L INE @ </v>
      </c>
      <c r="AR141" s="4" t="str">
        <f ca="1">IFERROR(__xludf.DUMMYFUNCTION("""COMPUTED_VALUE"""),"| 5 L PHP-CGM % | 6 L NS % | 8 L CPT @ ")</f>
        <v xml:space="preserve">| 5 L PHP-CGM % | 6 L NS % | 8 L CPT @ </v>
      </c>
      <c r="AS141" s="4" t="str">
        <f ca="1">IFERROR(__xludf.DUMMYFUNCTION("""COMPUTED_VALUE"""),"| 5 P Python % | 7 L CPT % | 8 L NS % | 9 P NS % ")</f>
        <v xml:space="preserve">| 5 P Python % | 7 L CPT % | 8 L NS % | 9 P NS % </v>
      </c>
      <c r="AT141" s="4" t="str">
        <f ca="1">IFERROR(__xludf.DUMMYFUNCTION("""COMPUTED_VALUE"""),"| 5 L PHP-CGM % | 6 L NS % | 7 P JAVA % | 9 P PRO @ ")</f>
        <v xml:space="preserve">| 5 L PHP-CGM % | 6 L NS % | 7 P JAVA % | 9 P PRO @ </v>
      </c>
      <c r="AU141" s="4" t="str">
        <f ca="1">IFERROR(__xludf.DUMMYFUNCTION("""COMPUTED_VALUE"""),"| 5 L JAVA % | 6 L CPT % | 7 P CPT % | 9 L INE % ")</f>
        <v xml:space="preserve">| 5 L JAVA % | 6 L CPT % | 7 P CPT % | 9 L INE % </v>
      </c>
      <c r="AV14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AW141" s="4" t="str">
        <f ca="1">IFERROR(__xludf.DUMMYFUNCTION("""COMPUTED_VALUE"""),"| 5 P Python % | 7 L PHP-CGM % | 8 L JAVA % | 9 P JAVA @ ")</f>
        <v xml:space="preserve">| 5 P Python % | 7 L PHP-CGM % | 8 L JAVA % | 9 P JAVA @ </v>
      </c>
      <c r="AX141" s="4" t="str">
        <f ca="1">IFERROR(__xludf.DUMMYFUNCTION("""COMPUTED_VALUE"""),"| 5 P Python % | 7 L CPT @ | 8 L NS % | 9 P NS @ ")</f>
        <v xml:space="preserve">| 5 P Python % | 7 L CPT @ | 8 L NS % | 9 P NS @ </v>
      </c>
      <c r="AY141" s="4" t="str">
        <f ca="1">IFERROR(__xludf.DUMMYFUNCTION("""COMPUTED_VALUE"""),"| 5 L PHP-CGM % | 6 L NS % | 7 P JAVA % ")</f>
        <v xml:space="preserve">| 5 L PHP-CGM % | 6 L NS % | 7 P JAVA % </v>
      </c>
      <c r="AZ141" s="4" t="str">
        <f ca="1">IFERROR(__xludf.DUMMYFUNCTION("""COMPUTED_VALUE"""),"| 5 L PHP-CGM % | 6 L NS % | 7 L JAVA % | 8 L CPT % ")</f>
        <v xml:space="preserve">| 5 L PHP-CGM % | 6 L NS % | 7 L JAVA % | 8 L CPT % </v>
      </c>
      <c r="BA141" s="4" t="str">
        <f ca="1">IFERROR(__xludf.DUMMYFUNCTION("""COMPUTED_VALUE"""),"| 5 P Python % | 7 L PHP-CGM % | 8 L JAVA % ")</f>
        <v xml:space="preserve">| 5 P Python % | 7 L PHP-CGM % | 8 L JAVA % </v>
      </c>
      <c r="BB141" s="4" t="str">
        <f ca="1">IFERROR(__xludf.DUMMYFUNCTION("""COMPUTED_VALUE"""),"| 5 P Python % | 7 L CPT % | 8 L NS % | 9 P NS % ")</f>
        <v xml:space="preserve">| 5 P Python % | 7 L CPT % | 8 L NS % | 9 P NS % </v>
      </c>
      <c r="BC141" s="4" t="str">
        <f ca="1">IFERROR(__xludf.DUMMYFUNCTION("""COMPUTED_VALUE"""),"| 5 L PHP-CGM % | 6 L NS % | 7 P JAVA % | 9 P PRO @ ")</f>
        <v xml:space="preserve">| 5 L PHP-CGM % | 6 L NS % | 7 P JAVA % | 9 P PRO @ </v>
      </c>
      <c r="BD141" s="4" t="str">
        <f ca="1">IFERROR(__xludf.DUMMYFUNCTION("""COMPUTED_VALUE"""),"| 5 L JAVA @ | 6 L CPT @ | 7 P CPT @ | 9 L INE @ ")</f>
        <v xml:space="preserve">| 5 L JAVA @ | 6 L CPT @ | 7 P CPT @ | 9 L INE @ </v>
      </c>
      <c r="BE141" s="4" t="str">
        <f ca="1">IFERROR(__xludf.DUMMYFUNCTION("""COMPUTED_VALUE"""),"| 5 L PHP-CGM % | 6 L NS % | 7 L JAVA % | 8 L CPT % | 9 P PHP-CGM % ")</f>
        <v xml:space="preserve">| 5 L PHP-CGM % | 6 L NS % | 7 L JAVA % | 8 L CPT % | 9 P PHP-CGM % </v>
      </c>
      <c r="BF141" s="4" t="str">
        <f ca="1">IFERROR(__xludf.DUMMYFUNCTION("""COMPUTED_VALUE"""),"| 5 P Python @ | 7 L PHP-CGM @ | 9 P JAVA @ | 8 L JAVA @ ")</f>
        <v xml:space="preserve">| 5 P Python @ | 7 L PHP-CGM @ | 9 P JAVA @ | 8 L JAVA @ </v>
      </c>
      <c r="BG141" s="4" t="str">
        <f ca="1">IFERROR(__xludf.DUMMYFUNCTION("""COMPUTED_VALUE"""),"| 5 L PHP-CGM % | 6 L NS % | 7 P JAVA % | 9 P PRO @ ")</f>
        <v xml:space="preserve">| 5 L PHP-CGM % | 6 L NS % | 7 P JAVA % | 9 P PRO @ </v>
      </c>
      <c r="BH141" s="4" t="str">
        <f ca="1">IFERROR(__xludf.DUMMYFUNCTION("""COMPUTED_VALUE"""),"| 5 L JAVA % | 6 L CPT % | 7 P CPT % | 9 L INE % ")</f>
        <v xml:space="preserve">| 5 L JAVA % | 6 L CPT % | 7 P CPT % | 9 L INE % </v>
      </c>
      <c r="BI141" s="4" t="str">
        <f ca="1">IFERROR(__xludf.DUMMYFUNCTION("""COMPUTED_VALUE"""),"| 5 L PHP-CGM % | 6 L NS % | 7 L JAVA % | 8 L CPT % | 9 P PHP-CGM @ ")</f>
        <v xml:space="preserve">| 5 L PHP-CGM % | 6 L NS % | 7 L JAVA % | 8 L CPT % | 9 P PHP-CGM @ </v>
      </c>
      <c r="BJ141" s="4" t="str">
        <f ca="1">IFERROR(__xludf.DUMMYFUNCTION("""COMPUTED_VALUE"""),"| 5 P Python @ | 7 L JAVA @ | 8 L PHP-CGM @ ")</f>
        <v xml:space="preserve">| 5 P Python @ | 7 L JAVA @ | 8 L PHP-CGM @ </v>
      </c>
      <c r="BK141" s="4" t="str">
        <f ca="1">IFERROR(__xludf.DUMMYFUNCTION("""COMPUTED_VALUE"""),"| 5 P Python @ | 7 L CPT @ | 8 L NS @ | 9 P NS @ ")</f>
        <v xml:space="preserve">| 5 P Python @ | 7 L CPT @ | 8 L NS @ | 9 P NS @ </v>
      </c>
      <c r="BL141" s="4" t="str">
        <f ca="1">IFERROR(__xludf.DUMMYFUNCTION("""COMPUTED_VALUE"""),"| 5 L PHP-CGM % | 6 L NS % | 7 P JAVA @ | 9 P PRO @ ")</f>
        <v xml:space="preserve">| 5 L PHP-CGM % | 6 L NS % | 7 P JAVA @ | 9 P PRO @ </v>
      </c>
      <c r="BM141" s="4" t="str">
        <f ca="1">IFERROR(__xludf.DUMMYFUNCTION("""COMPUTED_VALUE"""),"| 5 L JAVA @ | 6 L CPT @ | 7 P CPT @ | 9 L INE @ ")</f>
        <v xml:space="preserve">| 5 L JAVA @ | 6 L CPT @ | 7 P CPT @ | 9 L INE @ </v>
      </c>
      <c r="BN141" s="4" t="str">
        <f ca="1">IFERROR(__xludf.DUMMYFUNCTION("""COMPUTED_VALUE"""),"| 5 L PHP-CGM @ | 6 L NS @ | 9 L JAVA @ | 8 L CPT @ | 9 P PHP-CGM @ ")</f>
        <v xml:space="preserve">| 5 L PHP-CGM @ | 6 L NS @ | 9 L JAVA @ | 8 L CPT @ | 9 P PHP-CGM @ </v>
      </c>
      <c r="BO141" s="4" t="str">
        <f ca="1">IFERROR(__xludf.DUMMYFUNCTION("""COMPUTED_VALUE"""),"| 5 P Python @ | 7 L PHP-CGM @ ")</f>
        <v xml:space="preserve">| 5 P Python @ | 7 L PHP-CGM @ </v>
      </c>
      <c r="BP141" s="4" t="str">
        <f ca="1">IFERROR(__xludf.DUMMYFUNCTION("""COMPUTED_VALUE"""),"| 5 P Python % | 7 L CPT % | 8 L NS @ | 9 P NS @ ")</f>
        <v xml:space="preserve">| 5 P Python % | 7 L CPT % | 8 L NS @ | 9 P NS @ </v>
      </c>
      <c r="BQ141" s="4" t="str">
        <f ca="1">IFERROR(__xludf.DUMMYFUNCTION("""COMPUTED_VALUE"""),"| 5 L JAVA % | 6 L CPT % ")</f>
        <v xml:space="preserve">| 5 L JAVA % | 6 L CPT % </v>
      </c>
      <c r="BR141" s="4" t="str">
        <f ca="1">IFERROR(__xludf.DUMMYFUNCTION("""COMPUTED_VALUE"""),"| 7 L JAVA @ ")</f>
        <v xml:space="preserve">| 7 L JAVA @ </v>
      </c>
      <c r="BS141" s="4"/>
      <c r="BT141" s="4" t="str">
        <f ca="1">IFERROR(__xludf.DUMMYFUNCTION("""COMPUTED_VALUE"""),"| 7 L CPT @ | 9 P NS @ ")</f>
        <v xml:space="preserve">| 7 L CPT @ | 9 P NS @ </v>
      </c>
      <c r="BU141" s="4" t="str">
        <f ca="1">IFERROR(__xludf.DUMMYFUNCTION("""COMPUTED_VALUE"""),"| 9 P PRO @ ")</f>
        <v xml:space="preserve">| 9 P PRO @ </v>
      </c>
      <c r="BV141" s="4" t="str">
        <f ca="1">IFERROR(__xludf.DUMMYFUNCTION("""COMPUTED_VALUE"""),"| 5 P Python @ | 7 L CPT @ | 8 L NS @ | 9 P NS @ ")</f>
        <v xml:space="preserve">| 5 P Python @ | 7 L CPT @ | 8 L NS @ | 9 P NS @ </v>
      </c>
      <c r="BW141" s="4"/>
      <c r="BX141" s="4" t="str">
        <f ca="1">IFERROR(__xludf.DUMMYFUNCTION("""COMPUTED_VALUE"""),"| 5 L JAVA @ | 6 L CPT @ | 7 P CPT @ ")</f>
        <v xml:space="preserve">| 5 L JAVA @ | 6 L CPT @ | 7 P CPT @ </v>
      </c>
      <c r="BY141" s="4" t="str">
        <f ca="1">IFERROR(__xludf.DUMMYFUNCTION("""COMPUTED_VALUE"""),"| 5 L PHP-CGM @ | 6 L NS @ | 7 L JAVA @ | 8 L CPT @ ")</f>
        <v xml:space="preserve">| 5 L PHP-CGM @ | 6 L NS @ | 7 L JAVA @ | 8 L CPT @ </v>
      </c>
      <c r="BZ141" s="4" t="str">
        <f ca="1">IFERROR(__xludf.DUMMYFUNCTION("""COMPUTED_VALUE"""),"| 5 P Python @ | 8 L JAVA @ | 7 L PHP-CGM @ | 9 P JAVA @ ")</f>
        <v xml:space="preserve">| 5 P Python @ | 8 L JAVA @ | 7 L PHP-CGM @ | 9 P JAVA @ </v>
      </c>
      <c r="CA141" s="4" t="str">
        <f ca="1">IFERROR(__xludf.DUMMYFUNCTION("""COMPUTED_VALUE"""),"| 5 P Python @ | 7 L CPT @ | 8 L NS @ | 9 P NS @ ")</f>
        <v xml:space="preserve">| 5 P Python @ | 7 L CPT @ | 8 L NS @ | 9 P NS @ </v>
      </c>
      <c r="CB141" s="4" t="str">
        <f ca="1">IFERROR(__xludf.DUMMYFUNCTION("""COMPUTED_VALUE"""),"| 5 L PHP-CGM % | 6 L NS % | 7 P JAVA @ ")</f>
        <v xml:space="preserve">| 5 L PHP-CGM % | 6 L NS % | 7 P JAVA @ </v>
      </c>
      <c r="CC141" s="4" t="str">
        <f ca="1">IFERROR(__xludf.DUMMYFUNCTION("""COMPUTED_VALUE"""),"| 5 L JAVA @ | 7 P CPT @ | 9 L INE % ")</f>
        <v xml:space="preserve">| 5 L JAVA @ | 7 P CPT @ | 9 L INE % </v>
      </c>
      <c r="CD141" s="4" t="str">
        <f ca="1">IFERROR(__xludf.DUMMYFUNCTION("""COMPUTED_VALUE"""),"| 5 L PHP-CGM % | 6 L NS @ | 7 L JAVA @ | 8 L CPT @ ")</f>
        <v xml:space="preserve">| 5 L PHP-CGM % | 6 L NS @ | 7 L JAVA @ | 8 L CPT @ </v>
      </c>
      <c r="CE141" s="4" t="str">
        <f ca="1">IFERROR(__xludf.DUMMYFUNCTION("""COMPUTED_VALUE"""),"| 5 P Python @ | 8 L JAVA @ | 7 L PHP-CGM @ ")</f>
        <v xml:space="preserve">| 5 P Python @ | 8 L JAVA @ | 7 L PHP-CGM @ </v>
      </c>
      <c r="CF141" s="4" t="str">
        <f ca="1">IFERROR(__xludf.DUMMYFUNCTION("""COMPUTED_VALUE"""),"| 5 P Python @ | 7 L CPT @ | 8 L NS @ | 9 P NS @ ")</f>
        <v xml:space="preserve">| 5 P Python @ | 7 L CPT @ | 8 L NS @ | 9 P NS @ </v>
      </c>
      <c r="CG141" s="4" t="str">
        <f ca="1">IFERROR(__xludf.DUMMYFUNCTION("""COMPUTED_VALUE"""),"| 5 L PHP-CGM @ | 6 L NS @ | 7 P JAVA @ ")</f>
        <v xml:space="preserve">| 5 L PHP-CGM @ | 6 L NS @ | 7 P JAVA @ </v>
      </c>
      <c r="CH141" s="4" t="str">
        <f ca="1">IFERROR(__xludf.DUMMYFUNCTION("""COMPUTED_VALUE"""),"| 5 L JAVA @ | 6 L CPT @ | 7 P CPT @ | 9 L INE @ ")</f>
        <v xml:space="preserve">| 5 L JAVA @ | 6 L CPT @ | 7 P CPT @ | 9 L INE @ </v>
      </c>
      <c r="CI141" s="4" t="str">
        <f ca="1">IFERROR(__xludf.DUMMYFUNCTION("""COMPUTED_VALUE"""),"| 5 L PHP-CGM @ | 7 L JAVA % | 8 L CPT @ ")</f>
        <v xml:space="preserve">| 5 L PHP-CGM @ | 7 L JAVA % | 8 L CPT @ </v>
      </c>
      <c r="CJ141" s="4" t="str">
        <f ca="1">IFERROR(__xludf.DUMMYFUNCTION("""COMPUTED_VALUE"""),"| 5 P Python % ")</f>
        <v xml:space="preserve">| 5 P Python % </v>
      </c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</row>
    <row r="142" spans="1:102" ht="12.5" x14ac:dyDescent="0.25">
      <c r="A142" s="3">
        <f ca="1">IFERROR(__xludf.DUMMYFUNCTION("""COMPUTED_VALUE"""),4)</f>
        <v>4</v>
      </c>
      <c r="B142" s="3" t="str">
        <f ca="1">IFERROR(__xludf.DUMMYFUNCTION("""COMPUTED_VALUE"""),"B")</f>
        <v>B</v>
      </c>
      <c r="C142" s="32" t="str">
        <f ca="1">IFERROR(__xludf.DUMMYFUNCTION("""COMPUTED_VALUE"""),"23291341138")</f>
        <v>23291341138</v>
      </c>
      <c r="D142" s="4" t="str">
        <f ca="1">IFERROR(__xludf.DUMMYFUNCTION("""COMPUTED_VALUE"""),"PRAJAPATI VIPAL KANUBHAI")</f>
        <v>PRAJAPATI VIPAL KANUBHAI</v>
      </c>
      <c r="E142" s="3" t="str">
        <f ca="1">IFERROR(__xludf.DUMMYFUNCTION("""COMPUTED_VALUE"""),"HAM/HDP-EVE")</f>
        <v>HAM/HDP-EVE</v>
      </c>
      <c r="F142" s="3">
        <f ca="1">IFERROR(__xludf.DUMMYFUNCTION("""COMPUTED_VALUE"""),9316353756)</f>
        <v>9316353756</v>
      </c>
      <c r="G142" s="3">
        <f ca="1">IFERROR(__xludf.DUMMYFUNCTION("""COMPUTED_VALUE"""),9558046621)</f>
        <v>9558046621</v>
      </c>
      <c r="H142" s="33">
        <f ca="1">IFERROR(__xludf.DUMMYFUNCTION("""COMPUTED_VALUE"""),0.545454545454545)</f>
        <v>0.54545454545454497</v>
      </c>
      <c r="I142" s="25">
        <f ca="1">IFERROR(__xludf.DUMMYFUNCTION("""COMPUTED_VALUE"""),0.486486486486486)</f>
        <v>0.48648648648648601</v>
      </c>
      <c r="J142" s="25">
        <f ca="1">IFERROR(__xludf.DUMMYFUNCTION("""COMPUTED_VALUE"""),0.5)</f>
        <v>0.5</v>
      </c>
      <c r="K142" s="25">
        <f ca="1">IFERROR(__xludf.DUMMYFUNCTION("""COMPUTED_VALUE"""),0.529411764705882)</f>
        <v>0.52941176470588203</v>
      </c>
      <c r="L142" s="25">
        <f ca="1">IFERROR(__xludf.DUMMYFUNCTION("""COMPUTED_VALUE"""),0.545454545454545)</f>
        <v>0.54545454545454497</v>
      </c>
      <c r="M142" s="25">
        <f ca="1">IFERROR(__xludf.DUMMYFUNCTION("""COMPUTED_VALUE"""),0.542857142857142)</f>
        <v>0.54285714285714204</v>
      </c>
      <c r="N142" s="25">
        <f ca="1">IFERROR(__xludf.DUMMYFUNCTION("""COMPUTED_VALUE"""),0.285714285714285)</f>
        <v>0.28571428571428498</v>
      </c>
      <c r="O142" s="25">
        <f ca="1">IFERROR(__xludf.DUMMYFUNCTION("""COMPUTED_VALUE"""),0.542857142857142)</f>
        <v>0.54285714285714204</v>
      </c>
      <c r="P142" s="25">
        <f ca="1">IFERROR(__xludf.DUMMYFUNCTION("""COMPUTED_VALUE"""),0.714285714285714)</f>
        <v>0.71428571428571397</v>
      </c>
      <c r="Q142" s="25">
        <f ca="1">IFERROR(__xludf.DUMMYFUNCTION("""COMPUTED_VALUE"""),0)</f>
        <v>0</v>
      </c>
      <c r="R142" s="25">
        <f ca="1">IFERROR(__xludf.DUMMYFUNCTION("""COMPUTED_VALUE"""),0.59090909090909)</f>
        <v>0.59090909090909005</v>
      </c>
      <c r="S142" s="25">
        <f ca="1">IFERROR(__xludf.DUMMYFUNCTION("""COMPUTED_VALUE"""),0)</f>
        <v>0</v>
      </c>
      <c r="T142" s="25">
        <f ca="1">IFERROR(__xludf.DUMMYFUNCTION("""COMPUTED_VALUE"""),0.444444444444444)</f>
        <v>0.44444444444444398</v>
      </c>
      <c r="U142" s="25">
        <f ca="1">IFERROR(__xludf.DUMMYFUNCTION("""COMPUTED_VALUE"""),0.75)</f>
        <v>0.75</v>
      </c>
      <c r="V142" s="25">
        <f ca="1">IFERROR(__xludf.DUMMYFUNCTION("""COMPUTED_VALUE"""),0)</f>
        <v>0</v>
      </c>
      <c r="W142" s="4"/>
      <c r="X142" s="4" t="str">
        <f ca="1">IFERROR(__xludf.DUMMYFUNCTION("""COMPUTED_VALUE"""),"| 5 P Python % | 7 L CPT % | 8 L NS % | 9 P NS @ ")</f>
        <v xml:space="preserve">| 5 P Python % | 7 L CPT % | 8 L NS % | 9 P NS @ </v>
      </c>
      <c r="Y142" s="4" t="str">
        <f ca="1">IFERROR(__xludf.DUMMYFUNCTION("""COMPUTED_VALUE"""),"| 5 L PHP-CGM % | 6 L NS % | 7 P JAVA % | 9 P PRO % ")</f>
        <v xml:space="preserve">| 5 L PHP-CGM % | 6 L NS % | 7 P JAVA % | 9 P PRO % </v>
      </c>
      <c r="Z142" s="4" t="str">
        <f ca="1">IFERROR(__xludf.DUMMYFUNCTION("""COMPUTED_VALUE"""),"| 5 L JAVA % | 6 L CPT % | 7 P CPT % ")</f>
        <v xml:space="preserve">| 5 L JAVA % | 6 L CPT % | 7 P CPT % </v>
      </c>
      <c r="AA142" s="4" t="str">
        <f ca="1">IFERROR(__xludf.DUMMYFUNCTION("""COMPUTED_VALUE"""),"| 5 L PHP-CGM % | 7 L JAVA % | 9 P PHP-CGM @ | 8 L CPT % ")</f>
        <v xml:space="preserve">| 5 L PHP-CGM % | 7 L JAVA % | 9 P PHP-CGM @ | 8 L CPT % </v>
      </c>
      <c r="AB142" s="4" t="str">
        <f ca="1">IFERROR(__xludf.DUMMYFUNCTION("""COMPUTED_VALUE"""),"| 5 P Python % | 7 L PHP-CGM @ | 8 L JAVA @ | 9 P JAVA % ")</f>
        <v xml:space="preserve">| 5 P Python % | 7 L PHP-CGM @ | 8 L JAVA @ | 9 P JAVA % </v>
      </c>
      <c r="AC142" s="4" t="str">
        <f ca="1">IFERROR(__xludf.DUMMYFUNCTION("""COMPUTED_VALUE"""),"| 5 P NS % | 7 L CPT % | 8 L NS % | 9 P Python % ")</f>
        <v xml:space="preserve">| 5 P NS % | 7 L CPT % | 8 L NS % | 9 P Python % </v>
      </c>
      <c r="AD142" s="4" t="str">
        <f ca="1">IFERROR(__xludf.DUMMYFUNCTION("""COMPUTED_VALUE"""),"| 5 L PHP-CGM % | 6 L NS % | 7 P JAVA % | 9 P PRO @ ")</f>
        <v xml:space="preserve">| 5 L PHP-CGM % | 6 L NS % | 7 P JAVA % | 9 P PRO @ </v>
      </c>
      <c r="AE142" s="4" t="str">
        <f ca="1">IFERROR(__xludf.DUMMYFUNCTION("""COMPUTED_VALUE"""),"| 5 L JAVA @ | 6 L CPT @ | 7 P JAVA @ ")</f>
        <v xml:space="preserve">| 5 L JAVA @ | 6 L CPT @ | 7 P JAVA @ </v>
      </c>
      <c r="AF142" s="4" t="str">
        <f ca="1">IFERROR(__xludf.DUMMYFUNCTION("""COMPUTED_VALUE"""),"| 5 L PHP-CGM @ | 6 L NS @ | 7 L JAVA @ | 8 L CPT @ | 9 P CPT % ")</f>
        <v xml:space="preserve">| 5 L PHP-CGM @ | 6 L NS @ | 7 L JAVA @ | 8 L CPT @ | 9 P CPT % </v>
      </c>
      <c r="AG142" s="4" t="str">
        <f ca="1">IFERROR(__xludf.DUMMYFUNCTION("""COMPUTED_VALUE"""),"| 5 P Python @ | 8 L JAVA @ | 7 L PHP-CGM @ | 9 P PHP-CGM @ ")</f>
        <v xml:space="preserve">| 5 P Python @ | 8 L JAVA @ | 7 L PHP-CGM @ | 9 P PHP-CGM @ </v>
      </c>
      <c r="AH14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42" s="4" t="str">
        <f ca="1">IFERROR(__xludf.DUMMYFUNCTION("""COMPUTED_VALUE"""),"| 5 P Python % | 8 L JAVA % | 7 L PHP-CGM % | 9 P PHP-CGM @ ")</f>
        <v xml:space="preserve">| 5 P Python % | 8 L JAVA % | 7 L PHP-CGM % | 9 P PHP-CGM @ </v>
      </c>
      <c r="AJ142" s="4" t="str">
        <f ca="1">IFERROR(__xludf.DUMMYFUNCTION("""COMPUTED_VALUE"""),"| 5 P NS % | 7 L CPT % | 8 L NS % | 9 P Python % ")</f>
        <v xml:space="preserve">| 5 P NS % | 7 L CPT % | 8 L NS % | 9 P Python % </v>
      </c>
      <c r="AK142" s="4" t="str">
        <f ca="1">IFERROR(__xludf.DUMMYFUNCTION("""COMPUTED_VALUE"""),"| 5 L PHP-CGM % | 6 L NS % | 7 P JAVA % | 9 P PRO % ")</f>
        <v xml:space="preserve">| 5 L PHP-CGM % | 6 L NS % | 7 P JAVA % | 9 P PRO % </v>
      </c>
      <c r="AL142" s="4" t="str">
        <f ca="1">IFERROR(__xludf.DUMMYFUNCTION("""COMPUTED_VALUE"""),"| 5 L JAVA % | 6 L CPT % | 7 P JAVA % | 9 L INE % ")</f>
        <v xml:space="preserve">| 5 L JAVA % | 6 L CPT % | 7 P JAVA % | 9 L INE % </v>
      </c>
      <c r="AM14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42" s="4" t="str">
        <f ca="1">IFERROR(__xludf.DUMMYFUNCTION("""COMPUTED_VALUE"""),"| 5 P Python % | 8 L JAVA % | 7 L PHP-CGM % | 9 P PHP-CGM % ")</f>
        <v xml:space="preserve">| 5 P Python % | 8 L JAVA % | 7 L PHP-CGM % | 9 P PHP-CGM % </v>
      </c>
      <c r="AO142" s="4" t="str">
        <f ca="1">IFERROR(__xludf.DUMMYFUNCTION("""COMPUTED_VALUE"""),"| 5 P NS @ | 7 L CPT @ | 8 L NS @ | 9 P Python @ ")</f>
        <v xml:space="preserve">| 5 P NS @ | 7 L CPT @ | 8 L NS @ | 9 P Python @ </v>
      </c>
      <c r="AP142" s="4" t="str">
        <f ca="1">IFERROR(__xludf.DUMMYFUNCTION("""COMPUTED_VALUE"""),"| 5 L PHP-CGM % | 6 L NS % | 7 P JAVA @ | 9 P PRO @ ")</f>
        <v xml:space="preserve">| 5 L PHP-CGM % | 6 L NS % | 7 P JAVA @ | 9 P PRO @ </v>
      </c>
      <c r="AQ142" s="4" t="str">
        <f ca="1">IFERROR(__xludf.DUMMYFUNCTION("""COMPUTED_VALUE"""),"| 5 L CPT % | 7 L JAVA % | 7 P JAVA % | 9 L INE % ")</f>
        <v xml:space="preserve">| 5 L CPT % | 7 L JAVA % | 7 P JAVA % | 9 L INE % </v>
      </c>
      <c r="AR142" s="4" t="str">
        <f ca="1">IFERROR(__xludf.DUMMYFUNCTION("""COMPUTED_VALUE"""),"| 5 L PHP-CGM @ | 6 L NS @ | 8 L CPT @ ")</f>
        <v xml:space="preserve">| 5 L PHP-CGM @ | 6 L NS @ | 8 L CPT @ </v>
      </c>
      <c r="AS142" s="4" t="str">
        <f ca="1">IFERROR(__xludf.DUMMYFUNCTION("""COMPUTED_VALUE"""),"| 5 P NS @ | 7 L CPT @ | 8 L NS @ | 9 P Python @ ")</f>
        <v xml:space="preserve">| 5 P NS @ | 7 L CPT @ | 8 L NS @ | 9 P Python @ </v>
      </c>
      <c r="AT142" s="4" t="str">
        <f ca="1">IFERROR(__xludf.DUMMYFUNCTION("""COMPUTED_VALUE"""),"| 5 L PHP-CGM @ | 6 L NS @ | 7 P JAVA @ | 9 P PRO @ ")</f>
        <v xml:space="preserve">| 5 L PHP-CGM @ | 6 L NS @ | 7 P JAVA @ | 9 P PRO @ </v>
      </c>
      <c r="AU142" s="4" t="str">
        <f ca="1">IFERROR(__xludf.DUMMYFUNCTION("""COMPUTED_VALUE"""),"| 5 L JAVA % | 6 L CPT % | 7 P JAVA % | 9 L INE % ")</f>
        <v xml:space="preserve">| 5 L JAVA % | 6 L CPT % | 7 P JAVA % | 9 L INE % </v>
      </c>
      <c r="AV142" s="4" t="str">
        <f ca="1">IFERROR(__xludf.DUMMYFUNCTION("""COMPUTED_VALUE"""),"| 5 L PHP-CGM % | 6 L NS @ | 7 L JAVA @ | 8 L CPT @ | 9 P CPT @ ")</f>
        <v xml:space="preserve">| 5 L PHP-CGM % | 6 L NS @ | 7 L JAVA @ | 8 L CPT @ | 9 P CPT @ </v>
      </c>
      <c r="AW142" s="4" t="str">
        <f ca="1">IFERROR(__xludf.DUMMYFUNCTION("""COMPUTED_VALUE"""),"| 5 P Python % | 7 L PHP-CGM % | 8 L JAVA % | 9 P PHP-CGM % ")</f>
        <v xml:space="preserve">| 5 P Python % | 7 L PHP-CGM % | 8 L JAVA % | 9 P PHP-CGM % </v>
      </c>
      <c r="AX142" s="4" t="str">
        <f ca="1">IFERROR(__xludf.DUMMYFUNCTION("""COMPUTED_VALUE"""),"| 5 P NS % | 7 L CPT % | 8 L NS % | 9 P Python % ")</f>
        <v xml:space="preserve">| 5 P NS % | 7 L CPT % | 8 L NS % | 9 P Python % </v>
      </c>
      <c r="AY142" s="4" t="str">
        <f ca="1">IFERROR(__xludf.DUMMYFUNCTION("""COMPUTED_VALUE"""),"| 5 L PHP-CGM % | 6 L NS % | 7 P JAVA % ")</f>
        <v xml:space="preserve">| 5 L PHP-CGM % | 6 L NS % | 7 P JAVA % </v>
      </c>
      <c r="AZ142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A142" s="4" t="str">
        <f ca="1">IFERROR(__xludf.DUMMYFUNCTION("""COMPUTED_VALUE"""),"| 5 P Python @ | 7 L PHP-CGM @ | 8 L JAVA @ ")</f>
        <v xml:space="preserve">| 5 P Python @ | 7 L PHP-CGM @ | 8 L JAVA @ </v>
      </c>
      <c r="BB142" s="4" t="str">
        <f ca="1">IFERROR(__xludf.DUMMYFUNCTION("""COMPUTED_VALUE"""),"| 5 P NS % | 7 L CPT % | 8 L NS % | 9 P Python % ")</f>
        <v xml:space="preserve">| 5 P NS % | 7 L CPT % | 8 L NS % | 9 P Python % </v>
      </c>
      <c r="BC142" s="4" t="str">
        <f ca="1">IFERROR(__xludf.DUMMYFUNCTION("""COMPUTED_VALUE"""),"| 5 L PHP-CGM % | 6 L NS % | 7 P JAVA % | 9 P PRO % ")</f>
        <v xml:space="preserve">| 5 L PHP-CGM % | 6 L NS % | 7 P JAVA % | 9 P PRO % </v>
      </c>
      <c r="BD142" s="4" t="str">
        <f ca="1">IFERROR(__xludf.DUMMYFUNCTION("""COMPUTED_VALUE"""),"| 5 L JAVA % | 6 L CPT % | 7 P JAVA % | 9 L INE % ")</f>
        <v xml:space="preserve">| 5 L JAVA % | 6 L CPT % | 7 P JAVA % | 9 L INE % </v>
      </c>
      <c r="BE142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42" s="4" t="str">
        <f ca="1">IFERROR(__xludf.DUMMYFUNCTION("""COMPUTED_VALUE"""),"| 5 P Python % | 7 L PHP-CGM % | 8 L JAVA % | 9 P PHP-CGM @ ")</f>
        <v xml:space="preserve">| 5 P Python % | 7 L PHP-CGM % | 8 L JAVA % | 9 P PHP-CGM @ </v>
      </c>
      <c r="BG142" s="4" t="str">
        <f ca="1">IFERROR(__xludf.DUMMYFUNCTION("""COMPUTED_VALUE"""),"| 5 L PHP-CGM % | 6 L NS % | 7 P JAVA % | 9 P PRO % ")</f>
        <v xml:space="preserve">| 5 L PHP-CGM % | 6 L NS % | 7 P JAVA % | 9 P PRO % </v>
      </c>
      <c r="BH142" s="4" t="str">
        <f ca="1">IFERROR(__xludf.DUMMYFUNCTION("""COMPUTED_VALUE"""),"| 5 L JAVA % | 6 L CPT % | 7 P JAVA % | 9 L INE % ")</f>
        <v xml:space="preserve">| 5 L JAVA % | 6 L CPT % | 7 P JAVA % | 9 L INE % </v>
      </c>
      <c r="BI14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42" s="4" t="str">
        <f ca="1">IFERROR(__xludf.DUMMYFUNCTION("""COMPUTED_VALUE"""),"| 5 P Python % | 7 L JAVA @ | 7 L PHP-CGM @ ")</f>
        <v xml:space="preserve">| 5 P Python % | 7 L JAVA @ | 7 L PHP-CGM @ </v>
      </c>
      <c r="BK142" s="4" t="str">
        <f ca="1">IFERROR(__xludf.DUMMYFUNCTION("""COMPUTED_VALUE"""),"| 7 L CPT @ | 8 L NS @ ")</f>
        <v xml:space="preserve">| 7 L CPT @ | 8 L NS @ </v>
      </c>
      <c r="BL142" s="4" t="str">
        <f ca="1">IFERROR(__xludf.DUMMYFUNCTION("""COMPUTED_VALUE"""),"| 5 L PHP-CGM @ | 6 L NS @ | 7 P JAVA @ | 9 P PRO @ ")</f>
        <v xml:space="preserve">| 5 L PHP-CGM @ | 6 L NS @ | 7 P JAVA @ | 9 P PRO @ </v>
      </c>
      <c r="BM142" s="4" t="str">
        <f ca="1">IFERROR(__xludf.DUMMYFUNCTION("""COMPUTED_VALUE"""),"| 5 L JAVA @ | 6 L CPT @ | 9 L INE @ ")</f>
        <v xml:space="preserve">| 5 L JAVA @ | 6 L CPT @ | 9 L INE @ </v>
      </c>
      <c r="BN142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42" s="4" t="str">
        <f ca="1">IFERROR(__xludf.DUMMYFUNCTION("""COMPUTED_VALUE"""),"| 5 P Python @ | 7 L PHP-CGM @ ")</f>
        <v xml:space="preserve">| 5 P Python @ | 7 L PHP-CGM @ </v>
      </c>
      <c r="BP142" s="4" t="str">
        <f ca="1">IFERROR(__xludf.DUMMYFUNCTION("""COMPUTED_VALUE"""),"| 5 P NS % | 7 L CPT @ | 8 L NS @ ")</f>
        <v xml:space="preserve">| 5 P NS % | 7 L CPT @ | 8 L NS @ </v>
      </c>
      <c r="BQ142" s="4" t="str">
        <f ca="1">IFERROR(__xludf.DUMMYFUNCTION("""COMPUTED_VALUE"""),"| 5 L JAVA % | 6 L CPT % ")</f>
        <v xml:space="preserve">| 5 L JAVA % | 6 L CPT % </v>
      </c>
      <c r="BR142" s="4" t="str">
        <f ca="1">IFERROR(__xludf.DUMMYFUNCTION("""COMPUTED_VALUE"""),"| 7 L JAVA % ")</f>
        <v xml:space="preserve">| 7 L JAVA % </v>
      </c>
      <c r="BS142" s="4"/>
      <c r="BT142" s="4" t="str">
        <f ca="1">IFERROR(__xludf.DUMMYFUNCTION("""COMPUTED_VALUE"""),"| 7 L CPT @ ")</f>
        <v xml:space="preserve">| 7 L CPT @ </v>
      </c>
      <c r="BU142" s="4" t="str">
        <f ca="1">IFERROR(__xludf.DUMMYFUNCTION("""COMPUTED_VALUE"""),"| 9 P PRO @ ")</f>
        <v xml:space="preserve">| 9 P PRO @ </v>
      </c>
      <c r="BV142" s="4" t="str">
        <f ca="1">IFERROR(__xludf.DUMMYFUNCTION("""COMPUTED_VALUE"""),"| 5 P NS @ | 7 L CPT @ | 8 L NS @ | 9 P Python @ ")</f>
        <v xml:space="preserve">| 5 P NS @ | 7 L CPT @ | 8 L NS @ | 9 P Python @ </v>
      </c>
      <c r="BW142" s="4"/>
      <c r="BX142" s="4" t="str">
        <f ca="1">IFERROR(__xludf.DUMMYFUNCTION("""COMPUTED_VALUE"""),"| 5 L JAVA @ | 6 L CPT @ | 7 P JAVA @ ")</f>
        <v xml:space="preserve">| 5 L JAVA @ | 6 L CPT @ | 7 P JAVA @ </v>
      </c>
      <c r="BY142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42" s="4" t="str">
        <f ca="1">IFERROR(__xludf.DUMMYFUNCTION("""COMPUTED_VALUE"""),"| 5 P Python @ | 8 L JAVA @ | 7 L PHP-CGM @ | 9 P PHP-CGM @ ")</f>
        <v xml:space="preserve">| 5 P Python @ | 8 L JAVA @ | 7 L PHP-CGM @ | 9 P PHP-CGM @ </v>
      </c>
      <c r="CA142" s="4" t="str">
        <f ca="1">IFERROR(__xludf.DUMMYFUNCTION("""COMPUTED_VALUE"""),"| 5 P NS @ | 7 L CPT @ | 8 L NS @ | 9 P Python @ ")</f>
        <v xml:space="preserve">| 5 P NS @ | 7 L CPT @ | 8 L NS @ | 9 P Python @ </v>
      </c>
      <c r="CB142" s="4" t="str">
        <f ca="1">IFERROR(__xludf.DUMMYFUNCTION("""COMPUTED_VALUE"""),"| 5 L PHP-CGM % | 6 L NS % | 7 P JAVA @ ")</f>
        <v xml:space="preserve">| 5 L PHP-CGM % | 6 L NS % | 7 P JAVA @ </v>
      </c>
      <c r="CC142" s="4" t="str">
        <f ca="1">IFERROR(__xludf.DUMMYFUNCTION("""COMPUTED_VALUE"""),"| 5 L JAVA % | 7 P JAVA % | 9 L INE % ")</f>
        <v xml:space="preserve">| 5 L JAVA % | 7 P JAVA % | 9 L INE % </v>
      </c>
      <c r="CD142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CE142" s="4" t="str">
        <f ca="1">IFERROR(__xludf.DUMMYFUNCTION("""COMPUTED_VALUE"""),"| 5 P Python @ | 8 L JAVA @ | 7 L PHP-CGM @ ")</f>
        <v xml:space="preserve">| 5 P Python @ | 8 L JAVA @ | 7 L PHP-CGM @ </v>
      </c>
      <c r="CF142" s="4" t="str">
        <f ca="1">IFERROR(__xludf.DUMMYFUNCTION("""COMPUTED_VALUE"""),"| 5 P NS % | 7 L CPT @ | 8 L NS @ | 9 P Python % ")</f>
        <v xml:space="preserve">| 5 P NS % | 7 L CPT @ | 8 L NS @ | 9 P Python % </v>
      </c>
      <c r="CG142" s="4" t="str">
        <f ca="1">IFERROR(__xludf.DUMMYFUNCTION("""COMPUTED_VALUE"""),"| 5 L PHP-CGM % | 6 L NS % | 7 P JAVA % ")</f>
        <v xml:space="preserve">| 5 L PHP-CGM % | 6 L NS % | 7 P JAVA % </v>
      </c>
      <c r="CH142" s="4" t="str">
        <f ca="1">IFERROR(__xludf.DUMMYFUNCTION("""COMPUTED_VALUE"""),"| 5 L JAVA % | 6 L CPT % | 7 P JAVA % | 9 L INE @ ")</f>
        <v xml:space="preserve">| 5 L JAVA % | 6 L CPT % | 7 P JAVA % | 9 L INE @ </v>
      </c>
      <c r="CI142" s="4" t="str">
        <f ca="1">IFERROR(__xludf.DUMMYFUNCTION("""COMPUTED_VALUE"""),"| 5 L PHP-CGM @ | 7 L JAVA % | 8 L CPT % | 9 P CPT % ")</f>
        <v xml:space="preserve">| 5 L PHP-CGM @ | 7 L JAVA % | 8 L CPT % | 9 P CPT % </v>
      </c>
      <c r="CJ142" s="4" t="str">
        <f ca="1">IFERROR(__xludf.DUMMYFUNCTION("""COMPUTED_VALUE"""),"| 5 P Python % ")</f>
        <v xml:space="preserve">| 5 P Python % </v>
      </c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</row>
    <row r="143" spans="1:102" ht="12.5" x14ac:dyDescent="0.25">
      <c r="A143" s="3">
        <f ca="1">IFERROR(__xludf.DUMMYFUNCTION("""COMPUTED_VALUE"""),4)</f>
        <v>4</v>
      </c>
      <c r="B143" s="3" t="str">
        <f ca="1">IFERROR(__xludf.DUMMYFUNCTION("""COMPUTED_VALUE"""),"B")</f>
        <v>B</v>
      </c>
      <c r="C143" s="32" t="str">
        <f ca="1">IFERROR(__xludf.DUMMYFUNCTION("""COMPUTED_VALUE"""),"23291341143")</f>
        <v>23291341143</v>
      </c>
      <c r="D143" s="4" t="str">
        <f ca="1">IFERROR(__xludf.DUMMYFUNCTION("""COMPUTED_VALUE"""),"RAJPUT KHODABHAI DILIPBHAI")</f>
        <v>RAJPUT KHODABHAI DILIPBHAI</v>
      </c>
      <c r="E143" s="3" t="str">
        <f ca="1">IFERROR(__xludf.DUMMYFUNCTION("""COMPUTED_VALUE"""),"HAM/HDP-EVE")</f>
        <v>HAM/HDP-EVE</v>
      </c>
      <c r="F143" s="3">
        <f ca="1">IFERROR(__xludf.DUMMYFUNCTION("""COMPUTED_VALUE"""),9924742127)</f>
        <v>9924742127</v>
      </c>
      <c r="G143" s="3">
        <f ca="1">IFERROR(__xludf.DUMMYFUNCTION("""COMPUTED_VALUE"""),9924742127)</f>
        <v>9924742127</v>
      </c>
      <c r="H143" s="33">
        <f ca="1">IFERROR(__xludf.DUMMYFUNCTION("""COMPUTED_VALUE"""),0.817391304347826)</f>
        <v>0.81739130434782603</v>
      </c>
      <c r="I143" s="25">
        <f ca="1">IFERROR(__xludf.DUMMYFUNCTION("""COMPUTED_VALUE"""),0.756756756756756)</f>
        <v>0.75675675675675602</v>
      </c>
      <c r="J143" s="25">
        <f ca="1">IFERROR(__xludf.DUMMYFUNCTION("""COMPUTED_VALUE"""),0.666666666666666)</f>
        <v>0.66666666666666596</v>
      </c>
      <c r="K143" s="25">
        <f ca="1">IFERROR(__xludf.DUMMYFUNCTION("""COMPUTED_VALUE"""),0.852941176470588)</f>
        <v>0.85294117647058798</v>
      </c>
      <c r="L143" s="25">
        <f ca="1">IFERROR(__xludf.DUMMYFUNCTION("""COMPUTED_VALUE"""),1)</f>
        <v>1</v>
      </c>
      <c r="M143" s="25">
        <f ca="1">IFERROR(__xludf.DUMMYFUNCTION("""COMPUTED_VALUE"""),0.828571428571428)</f>
        <v>0.82857142857142796</v>
      </c>
      <c r="N143" s="25">
        <f ca="1">IFERROR(__xludf.DUMMYFUNCTION("""COMPUTED_VALUE"""),0.571428571428571)</f>
        <v>0.57142857142857095</v>
      </c>
      <c r="O143" s="25">
        <f ca="1">IFERROR(__xludf.DUMMYFUNCTION("""COMPUTED_VALUE"""),0.8)</f>
        <v>0.8</v>
      </c>
      <c r="P143" s="25">
        <f ca="1">IFERROR(__xludf.DUMMYFUNCTION("""COMPUTED_VALUE"""),1)</f>
        <v>1</v>
      </c>
      <c r="Q143" s="25">
        <f ca="1">IFERROR(__xludf.DUMMYFUNCTION("""COMPUTED_VALUE"""),0)</f>
        <v>0</v>
      </c>
      <c r="R143" s="25">
        <f ca="1">IFERROR(__xludf.DUMMYFUNCTION("""COMPUTED_VALUE"""),0.818181818181818)</f>
        <v>0.81818181818181801</v>
      </c>
      <c r="S143" s="25">
        <f ca="1">IFERROR(__xludf.DUMMYFUNCTION("""COMPUTED_VALUE"""),0)</f>
        <v>0</v>
      </c>
      <c r="T143" s="25">
        <f ca="1">IFERROR(__xludf.DUMMYFUNCTION("""COMPUTED_VALUE"""),0.777777777777777)</f>
        <v>0.77777777777777701</v>
      </c>
      <c r="U143" s="25">
        <f ca="1">IFERROR(__xludf.DUMMYFUNCTION("""COMPUTED_VALUE"""),0.75)</f>
        <v>0.75</v>
      </c>
      <c r="V143" s="25">
        <f ca="1">IFERROR(__xludf.DUMMYFUNCTION("""COMPUTED_VALUE"""),0)</f>
        <v>0</v>
      </c>
      <c r="W143" s="4"/>
      <c r="X143" s="4" t="str">
        <f ca="1">IFERROR(__xludf.DUMMYFUNCTION("""COMPUTED_VALUE"""),"| 7 L CPT % | 8 L NS % | 9 P Python % ")</f>
        <v xml:space="preserve">| 7 L CPT % | 8 L NS % | 9 P Python % </v>
      </c>
      <c r="Y143" s="4" t="str">
        <f ca="1">IFERROR(__xludf.DUMMYFUNCTION("""COMPUTED_VALUE"""),"| 5 L PHP-CGM % | 6 L NS % | 7 P JAVA % | 9 P PRO % ")</f>
        <v xml:space="preserve">| 5 L PHP-CGM % | 6 L NS % | 7 P JAVA % | 9 P PRO % </v>
      </c>
      <c r="Z143" s="4" t="str">
        <f ca="1">IFERROR(__xludf.DUMMYFUNCTION("""COMPUTED_VALUE"""),"| 5 L JAVA % | 6 L CPT % | 7 P JAVA % ")</f>
        <v xml:space="preserve">| 5 L JAVA % | 6 L CPT % | 7 P JAVA % </v>
      </c>
      <c r="AA143" s="4" t="str">
        <f ca="1">IFERROR(__xludf.DUMMYFUNCTION("""COMPUTED_VALUE"""),"| 5 L PHP-CGM % | 7 L JAVA % | 9 P CPT % | 8 L CPT % ")</f>
        <v xml:space="preserve">| 5 L PHP-CGM % | 7 L JAVA % | 9 P CPT % | 8 L CPT % </v>
      </c>
      <c r="AB143" s="4" t="str">
        <f ca="1">IFERROR(__xludf.DUMMYFUNCTION("""COMPUTED_VALUE"""),"| 5 P Python % | 7 L PHP-CGM % | 8 L JAVA % | 9 P PHP-CGM % ")</f>
        <v xml:space="preserve">| 5 P Python % | 7 L PHP-CGM % | 8 L JAVA % | 9 P PHP-CGM % </v>
      </c>
      <c r="AC143" s="4" t="str">
        <f ca="1">IFERROR(__xludf.DUMMYFUNCTION("""COMPUTED_VALUE"""),"| 5 P NS % | 7 L CPT % | 8 L NS % | 9 P Python % ")</f>
        <v xml:space="preserve">| 5 P NS % | 7 L CPT % | 8 L NS % | 9 P Python % </v>
      </c>
      <c r="AD143" s="4" t="str">
        <f ca="1">IFERROR(__xludf.DUMMYFUNCTION("""COMPUTED_VALUE"""),"| 5 L PHP-CGM % | 6 L NS % | 7 P JAVA % | 9 P PRO % ")</f>
        <v xml:space="preserve">| 5 L PHP-CGM % | 6 L NS % | 7 P JAVA % | 9 P PRO % </v>
      </c>
      <c r="AE143" s="4" t="str">
        <f ca="1">IFERROR(__xludf.DUMMYFUNCTION("""COMPUTED_VALUE"""),"| 5 L JAVA % | 6 L CPT % | 7 P JAVA % ")</f>
        <v xml:space="preserve">| 5 L JAVA % | 6 L CPT % | 7 P JAVA % </v>
      </c>
      <c r="AF14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43" s="4" t="str">
        <f ca="1">IFERROR(__xludf.DUMMYFUNCTION("""COMPUTED_VALUE"""),"| 5 P Python % | 8 L JAVA % | 7 L PHP-CGM % | 9 P PHP-CGM % ")</f>
        <v xml:space="preserve">| 5 P Python % | 8 L JAVA % | 7 L PHP-CGM % | 9 P PHP-CGM % </v>
      </c>
      <c r="AH14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43" s="4" t="str">
        <f ca="1">IFERROR(__xludf.DUMMYFUNCTION("""COMPUTED_VALUE"""),"| 5 P Python % | 8 L JAVA % | 7 L PHP-CGM % | 9 P PHP-CGM % ")</f>
        <v xml:space="preserve">| 5 P Python % | 8 L JAVA % | 7 L PHP-CGM % | 9 P PHP-CGM % </v>
      </c>
      <c r="AJ143" s="4" t="str">
        <f ca="1">IFERROR(__xludf.DUMMYFUNCTION("""COMPUTED_VALUE"""),"| 5 P NS % | 7 L CPT % | 8 L NS % | 9 P Python % ")</f>
        <v xml:space="preserve">| 5 P NS % | 7 L CPT % | 8 L NS % | 9 P Python % </v>
      </c>
      <c r="AK143" s="4" t="str">
        <f ca="1">IFERROR(__xludf.DUMMYFUNCTION("""COMPUTED_VALUE"""),"| 5 L PHP-CGM % | 6 L NS % | 7 P JAVA % | 9 P PRO % ")</f>
        <v xml:space="preserve">| 5 L PHP-CGM % | 6 L NS % | 7 P JAVA % | 9 P PRO % </v>
      </c>
      <c r="AL143" s="4" t="str">
        <f ca="1">IFERROR(__xludf.DUMMYFUNCTION("""COMPUTED_VALUE"""),"| 5 L JAVA % | 6 L CPT % | 7 P JAVA % | 9 L INE % ")</f>
        <v xml:space="preserve">| 5 L JAVA % | 6 L CPT % | 7 P JAVA % | 9 L INE % </v>
      </c>
      <c r="AM14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43" s="4" t="str">
        <f ca="1">IFERROR(__xludf.DUMMYFUNCTION("""COMPUTED_VALUE"""),"| 5 P Python @ | 8 L JAVA @ | 7 L PHP-CGM @ | 9 P PHP-CGM @ ")</f>
        <v xml:space="preserve">| 5 P Python @ | 8 L JAVA @ | 7 L PHP-CGM @ | 9 P PHP-CGM @ </v>
      </c>
      <c r="AO143" s="4" t="str">
        <f ca="1">IFERROR(__xludf.DUMMYFUNCTION("""COMPUTED_VALUE"""),"| 5 P NS % | 7 L CPT @ | 8 L NS % | 9 P Python % ")</f>
        <v xml:space="preserve">| 5 P NS % | 7 L CPT @ | 8 L NS % | 9 P Python % </v>
      </c>
      <c r="AP143" s="4" t="str">
        <f ca="1">IFERROR(__xludf.DUMMYFUNCTION("""COMPUTED_VALUE"""),"| 5 L PHP-CGM % | 6 L NS % | 7 P JAVA % | 9 P PRO @ ")</f>
        <v xml:space="preserve">| 5 L PHP-CGM % | 6 L NS % | 7 P JAVA % | 9 P PRO @ </v>
      </c>
      <c r="AQ143" s="4" t="str">
        <f ca="1">IFERROR(__xludf.DUMMYFUNCTION("""COMPUTED_VALUE"""),"| 5 L CPT % | 7 L JAVA % | 7 P JAVA % | 9 L INE % ")</f>
        <v xml:space="preserve">| 5 L CPT % | 7 L JAVA % | 7 P JAVA % | 9 L INE % </v>
      </c>
      <c r="AR143" s="4" t="str">
        <f ca="1">IFERROR(__xludf.DUMMYFUNCTION("""COMPUTED_VALUE"""),"| 5 L PHP-CGM % | 6 L NS % | 8 L CPT @ ")</f>
        <v xml:space="preserve">| 5 L PHP-CGM % | 6 L NS % | 8 L CPT @ </v>
      </c>
      <c r="AS143" s="4" t="str">
        <f ca="1">IFERROR(__xludf.DUMMYFUNCTION("""COMPUTED_VALUE"""),"| 5 P NS % | 7 L CPT % | 8 L NS % | 9 P Python % ")</f>
        <v xml:space="preserve">| 5 P NS % | 7 L CPT % | 8 L NS % | 9 P Python % </v>
      </c>
      <c r="AT143" s="4" t="str">
        <f ca="1">IFERROR(__xludf.DUMMYFUNCTION("""COMPUTED_VALUE"""),"| 5 L PHP-CGM % | 6 L NS % | 7 P JAVA % | 9 P PRO % ")</f>
        <v xml:space="preserve">| 5 L PHP-CGM % | 6 L NS % | 7 P JAVA % | 9 P PRO % </v>
      </c>
      <c r="AU143" s="4" t="str">
        <f ca="1">IFERROR(__xludf.DUMMYFUNCTION("""COMPUTED_VALUE"""),"| 5 L JAVA % | 6 L CPT % | 7 P JAVA % | 9 L INE % ")</f>
        <v xml:space="preserve">| 5 L JAVA % | 6 L CPT % | 7 P JAVA % | 9 L INE % </v>
      </c>
      <c r="AV143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43" s="4" t="str">
        <f ca="1">IFERROR(__xludf.DUMMYFUNCTION("""COMPUTED_VALUE"""),"| 5 P Python % | 7 L PHP-CGM % | 8 L JAVA % | 9 P PHP-CGM @ ")</f>
        <v xml:space="preserve">| 5 P Python % | 7 L PHP-CGM % | 8 L JAVA % | 9 P PHP-CGM @ </v>
      </c>
      <c r="AX143" s="4" t="str">
        <f ca="1">IFERROR(__xludf.DUMMYFUNCTION("""COMPUTED_VALUE"""),"| 5 P NS % | 7 L CPT % | 8 L NS % | 9 P Python % ")</f>
        <v xml:space="preserve">| 5 P NS % | 7 L CPT % | 8 L NS % | 9 P Python % </v>
      </c>
      <c r="AY143" s="4" t="str">
        <f ca="1">IFERROR(__xludf.DUMMYFUNCTION("""COMPUTED_VALUE"""),"| 5 L PHP-CGM % | 6 L NS % | 7 P JAVA % ")</f>
        <v xml:space="preserve">| 5 L PHP-CGM % | 6 L NS % | 7 P JAVA % </v>
      </c>
      <c r="AZ143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A143" s="4" t="str">
        <f ca="1">IFERROR(__xludf.DUMMYFUNCTION("""COMPUTED_VALUE"""),"| 5 P Python % | 7 L PHP-CGM % | 8 L JAVA % ")</f>
        <v xml:space="preserve">| 5 P Python % | 7 L PHP-CGM % | 8 L JAVA % </v>
      </c>
      <c r="BB143" s="4" t="str">
        <f ca="1">IFERROR(__xludf.DUMMYFUNCTION("""COMPUTED_VALUE"""),"| 5 P NS % | 7 L CPT % | 8 L NS % | 9 P Python % ")</f>
        <v xml:space="preserve">| 5 P NS % | 7 L CPT % | 8 L NS % | 9 P Python % </v>
      </c>
      <c r="BC143" s="4" t="str">
        <f ca="1">IFERROR(__xludf.DUMMYFUNCTION("""COMPUTED_VALUE"""),"| 5 L PHP-CGM % | 6 L NS % | 7 P JAVA % | 9 P PRO % ")</f>
        <v xml:space="preserve">| 5 L PHP-CGM % | 6 L NS % | 7 P JAVA % | 9 P PRO % </v>
      </c>
      <c r="BD143" s="4" t="str">
        <f ca="1">IFERROR(__xludf.DUMMYFUNCTION("""COMPUTED_VALUE"""),"| 5 L JAVA % | 6 L CPT % | 7 P JAVA % | 9 L INE % ")</f>
        <v xml:space="preserve">| 5 L JAVA % | 6 L CPT % | 7 P JAVA % | 9 L INE % </v>
      </c>
      <c r="BE14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43" s="4" t="str">
        <f ca="1">IFERROR(__xludf.DUMMYFUNCTION("""COMPUTED_VALUE"""),"| 5 P Python % | 7 L PHP-CGM % | 8 L JAVA % | 9 P PHP-CGM @ ")</f>
        <v xml:space="preserve">| 5 P Python % | 7 L PHP-CGM % | 8 L JAVA % | 9 P PHP-CGM @ </v>
      </c>
      <c r="BG143" s="4" t="str">
        <f ca="1">IFERROR(__xludf.DUMMYFUNCTION("""COMPUTED_VALUE"""),"| 5 L PHP-CGM % | 6 L NS % | 7 P JAVA % | 9 P PRO @ ")</f>
        <v xml:space="preserve">| 5 L PHP-CGM % | 6 L NS % | 7 P JAVA % | 9 P PRO @ </v>
      </c>
      <c r="BH143" s="4" t="str">
        <f ca="1">IFERROR(__xludf.DUMMYFUNCTION("""COMPUTED_VALUE"""),"| 5 L JAVA % | 6 L CPT % | 7 P JAVA % | 9 L INE @ ")</f>
        <v xml:space="preserve">| 5 L JAVA % | 6 L CPT % | 7 P JAVA % | 9 L INE @ </v>
      </c>
      <c r="BI143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J143" s="4" t="str">
        <f ca="1">IFERROR(__xludf.DUMMYFUNCTION("""COMPUTED_VALUE"""),"| 5 P Python @ | 7 L JAVA @ | 7 L PHP-CGM @ ")</f>
        <v xml:space="preserve">| 5 P Python @ | 7 L JAVA @ | 7 L PHP-CGM @ </v>
      </c>
      <c r="BK143" s="4" t="str">
        <f ca="1">IFERROR(__xludf.DUMMYFUNCTION("""COMPUTED_VALUE"""),"| 7 L CPT @ | 8 L NS @ ")</f>
        <v xml:space="preserve">| 7 L CPT @ | 8 L NS @ </v>
      </c>
      <c r="BL143" s="4" t="str">
        <f ca="1">IFERROR(__xludf.DUMMYFUNCTION("""COMPUTED_VALUE"""),"| 5 L PHP-CGM % | 6 L NS % | 7 P JAVA % | 9 P PRO % ")</f>
        <v xml:space="preserve">| 5 L PHP-CGM % | 6 L NS % | 7 P JAVA % | 9 P PRO % </v>
      </c>
      <c r="BM143" s="4" t="str">
        <f ca="1">IFERROR(__xludf.DUMMYFUNCTION("""COMPUTED_VALUE"""),"| 5 L JAVA % | 6 L CPT % | 9 L INE @ ")</f>
        <v xml:space="preserve">| 5 L JAVA % | 6 L CPT % | 9 L INE @ </v>
      </c>
      <c r="BN143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43" s="4" t="str">
        <f ca="1">IFERROR(__xludf.DUMMYFUNCTION("""COMPUTED_VALUE"""),"| 5 P Python % | 7 L PHP-CGM % ")</f>
        <v xml:space="preserve">| 5 P Python % | 7 L PHP-CGM % </v>
      </c>
      <c r="BP143" s="4" t="str">
        <f ca="1">IFERROR(__xludf.DUMMYFUNCTION("""COMPUTED_VALUE"""),"| 5 P NS % | 7 L CPT % | 8 L NS % ")</f>
        <v xml:space="preserve">| 5 P NS % | 7 L CPT % | 8 L NS % </v>
      </c>
      <c r="BQ143" s="4" t="str">
        <f ca="1">IFERROR(__xludf.DUMMYFUNCTION("""COMPUTED_VALUE"""),"| 5 L JAVA % | 6 L CPT % ")</f>
        <v xml:space="preserve">| 5 L JAVA % | 6 L CPT % </v>
      </c>
      <c r="BR143" s="4" t="str">
        <f ca="1">IFERROR(__xludf.DUMMYFUNCTION("""COMPUTED_VALUE"""),"| 7 L JAVA % ")</f>
        <v xml:space="preserve">| 7 L JAVA % </v>
      </c>
      <c r="BS143" s="4"/>
      <c r="BT143" s="4" t="str">
        <f ca="1">IFERROR(__xludf.DUMMYFUNCTION("""COMPUTED_VALUE"""),"| 7 L CPT @ ")</f>
        <v xml:space="preserve">| 7 L CPT @ </v>
      </c>
      <c r="BU143" s="4" t="str">
        <f ca="1">IFERROR(__xludf.DUMMYFUNCTION("""COMPUTED_VALUE"""),"| 9 P PRO % ")</f>
        <v xml:space="preserve">| 9 P PRO % </v>
      </c>
      <c r="BV143" s="4" t="str">
        <f ca="1">IFERROR(__xludf.DUMMYFUNCTION("""COMPUTED_VALUE"""),"| 5 P NS % | 7 L CPT @ | 8 L NS @ | 9 P Python @ ")</f>
        <v xml:space="preserve">| 5 P NS % | 7 L CPT @ | 8 L NS @ | 9 P Python @ </v>
      </c>
      <c r="BW143" s="4"/>
      <c r="BX143" s="4" t="str">
        <f ca="1">IFERROR(__xludf.DUMMYFUNCTION("""COMPUTED_VALUE"""),"| 5 L JAVA % | 6 L CPT % | 7 P JAVA % ")</f>
        <v xml:space="preserve">| 5 L JAVA % | 6 L CPT % | 7 P JAVA % </v>
      </c>
      <c r="BY143" s="4" t="str">
        <f ca="1">IFERROR(__xludf.DUMMYFUNCTION("""COMPUTED_VALUE"""),"| 5 L PHP-CGM % | 6 L NS % | 7 L JAVA @ | 8 L CPT @ | 9 P CPT % ")</f>
        <v xml:space="preserve">| 5 L PHP-CGM % | 6 L NS % | 7 L JAVA @ | 8 L CPT @ | 9 P CPT % </v>
      </c>
      <c r="BZ143" s="4" t="str">
        <f ca="1">IFERROR(__xludf.DUMMYFUNCTION("""COMPUTED_VALUE"""),"| 5 P Python % | 8 L JAVA @ | 7 L PHP-CGM @ | 9 P PHP-CGM % ")</f>
        <v xml:space="preserve">| 5 P Python % | 8 L JAVA @ | 7 L PHP-CGM @ | 9 P PHP-CGM % </v>
      </c>
      <c r="CA143" s="4" t="str">
        <f ca="1">IFERROR(__xludf.DUMMYFUNCTION("""COMPUTED_VALUE"""),"| 5 P NS % | 7 L CPT % | 8 L NS % | 9 P Python @ ")</f>
        <v xml:space="preserve">| 5 P NS % | 7 L CPT % | 8 L NS % | 9 P Python @ </v>
      </c>
      <c r="CB143" s="4" t="str">
        <f ca="1">IFERROR(__xludf.DUMMYFUNCTION("""COMPUTED_VALUE"""),"| 5 L PHP-CGM % | 6 L NS % | 7 P JAVA % ")</f>
        <v xml:space="preserve">| 5 L PHP-CGM % | 6 L NS % | 7 P JAVA % </v>
      </c>
      <c r="CC143" s="4" t="str">
        <f ca="1">IFERROR(__xludf.DUMMYFUNCTION("""COMPUTED_VALUE"""),"| 5 L JAVA @ | 7 P JAVA % | 9 L INE % ")</f>
        <v xml:space="preserve">| 5 L JAVA @ | 7 P JAVA % | 9 L INE % </v>
      </c>
      <c r="CD143" s="4" t="str">
        <f ca="1">IFERROR(__xludf.DUMMYFUNCTION("""COMPUTED_VALUE"""),"| 5 L PHP-CGM % | 6 L NS % | 7 L JAVA @ | 8 L CPT @ | 9 P CPT % ")</f>
        <v xml:space="preserve">| 5 L PHP-CGM % | 6 L NS % | 7 L JAVA @ | 8 L CPT @ | 9 P CPT % </v>
      </c>
      <c r="CE143" s="4" t="str">
        <f ca="1">IFERROR(__xludf.DUMMYFUNCTION("""COMPUTED_VALUE"""),"| 5 P Python % | 8 L JAVA % | 7 L PHP-CGM % ")</f>
        <v xml:space="preserve">| 5 P Python % | 8 L JAVA % | 7 L PHP-CGM % </v>
      </c>
      <c r="CF143" s="4" t="str">
        <f ca="1">IFERROR(__xludf.DUMMYFUNCTION("""COMPUTED_VALUE"""),"| 5 P NS % | 7 L CPT @ | 8 L NS @ | 9 P Python % ")</f>
        <v xml:space="preserve">| 5 P NS % | 7 L CPT @ | 8 L NS @ | 9 P Python % </v>
      </c>
      <c r="CG143" s="4" t="str">
        <f ca="1">IFERROR(__xludf.DUMMYFUNCTION("""COMPUTED_VALUE"""),"| 5 L PHP-CGM @ | 6 L NS @ | 7 P JAVA % ")</f>
        <v xml:space="preserve">| 5 L PHP-CGM @ | 6 L NS @ | 7 P JAVA % </v>
      </c>
      <c r="CH143" s="4" t="str">
        <f ca="1">IFERROR(__xludf.DUMMYFUNCTION("""COMPUTED_VALUE"""),"| 5 L JAVA % | 6 L CPT % | 7 P JAVA % | 9 L INE % ")</f>
        <v xml:space="preserve">| 5 L JAVA % | 6 L CPT % | 7 P JAVA % | 9 L INE % </v>
      </c>
      <c r="CI143" s="4" t="str">
        <f ca="1">IFERROR(__xludf.DUMMYFUNCTION("""COMPUTED_VALUE"""),"| 5 L PHP-CGM @ | 7 L JAVA % | 8 L CPT % | 9 P CPT % ")</f>
        <v xml:space="preserve">| 5 L PHP-CGM @ | 7 L JAVA % | 8 L CPT % | 9 P CPT % </v>
      </c>
      <c r="CJ143" s="4" t="str">
        <f ca="1">IFERROR(__xludf.DUMMYFUNCTION("""COMPUTED_VALUE"""),"| 5 P Python % ")</f>
        <v xml:space="preserve">| 5 P Python % </v>
      </c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</row>
    <row r="144" spans="1:102" ht="12.5" x14ac:dyDescent="0.25">
      <c r="A144" s="3">
        <f ca="1">IFERROR(__xludf.DUMMYFUNCTION("""COMPUTED_VALUE"""),4)</f>
        <v>4</v>
      </c>
      <c r="B144" s="3" t="str">
        <f ca="1">IFERROR(__xludf.DUMMYFUNCTION("""COMPUTED_VALUE"""),"B")</f>
        <v>B</v>
      </c>
      <c r="C144" s="32" t="str">
        <f ca="1">IFERROR(__xludf.DUMMYFUNCTION("""COMPUTED_VALUE"""),"23291341144")</f>
        <v>23291341144</v>
      </c>
      <c r="D144" s="4" t="str">
        <f ca="1">IFERROR(__xludf.DUMMYFUNCTION("""COMPUTED_VALUE"""),"RAMI DHAVAL KIRANBHAI")</f>
        <v>RAMI DHAVAL KIRANBHAI</v>
      </c>
      <c r="E144" s="3" t="str">
        <f ca="1">IFERROR(__xludf.DUMMYFUNCTION("""COMPUTED_VALUE"""),"HAM/HDP-EVE")</f>
        <v>HAM/HDP-EVE</v>
      </c>
      <c r="F144" s="3">
        <f ca="1">IFERROR(__xludf.DUMMYFUNCTION("""COMPUTED_VALUE"""),9825452299)</f>
        <v>9825452299</v>
      </c>
      <c r="G144" s="3">
        <f ca="1">IFERROR(__xludf.DUMMYFUNCTION("""COMPUTED_VALUE"""),9879881581)</f>
        <v>9879881581</v>
      </c>
      <c r="H144" s="33">
        <f ca="1">IFERROR(__xludf.DUMMYFUNCTION("""COMPUTED_VALUE"""),0.717391304347826)</f>
        <v>0.71739130434782605</v>
      </c>
      <c r="I144" s="25">
        <f ca="1">IFERROR(__xludf.DUMMYFUNCTION("""COMPUTED_VALUE"""),0.648648648648648)</f>
        <v>0.64864864864864802</v>
      </c>
      <c r="J144" s="25">
        <f ca="1">IFERROR(__xludf.DUMMYFUNCTION("""COMPUTED_VALUE"""),0.5)</f>
        <v>0.5</v>
      </c>
      <c r="K144" s="25">
        <f ca="1">IFERROR(__xludf.DUMMYFUNCTION("""COMPUTED_VALUE"""),0.764705882352941)</f>
        <v>0.76470588235294101</v>
      </c>
      <c r="L144" s="25">
        <f ca="1">IFERROR(__xludf.DUMMYFUNCTION("""COMPUTED_VALUE"""),1)</f>
        <v>1</v>
      </c>
      <c r="M144" s="25">
        <f ca="1">IFERROR(__xludf.DUMMYFUNCTION("""COMPUTED_VALUE"""),0.714285714285714)</f>
        <v>0.71428571428571397</v>
      </c>
      <c r="N144" s="25">
        <f ca="1">IFERROR(__xludf.DUMMYFUNCTION("""COMPUTED_VALUE"""),0.571428571428571)</f>
        <v>0.57142857142857095</v>
      </c>
      <c r="O144" s="25">
        <f ca="1">IFERROR(__xludf.DUMMYFUNCTION("""COMPUTED_VALUE"""),0.685714285714285)</f>
        <v>0.68571428571428505</v>
      </c>
      <c r="P144" s="25">
        <f ca="1">IFERROR(__xludf.DUMMYFUNCTION("""COMPUTED_VALUE"""),0.857142857142857)</f>
        <v>0.85714285714285698</v>
      </c>
      <c r="Q144" s="25">
        <f ca="1">IFERROR(__xludf.DUMMYFUNCTION("""COMPUTED_VALUE"""),0)</f>
        <v>0</v>
      </c>
      <c r="R144" s="25">
        <f ca="1">IFERROR(__xludf.DUMMYFUNCTION("""COMPUTED_VALUE"""),0.863636363636363)</f>
        <v>0.86363636363636298</v>
      </c>
      <c r="S144" s="25">
        <f ca="1">IFERROR(__xludf.DUMMYFUNCTION("""COMPUTED_VALUE"""),0)</f>
        <v>0</v>
      </c>
      <c r="T144" s="25">
        <f ca="1">IFERROR(__xludf.DUMMYFUNCTION("""COMPUTED_VALUE"""),0.555555555555555)</f>
        <v>0.55555555555555503</v>
      </c>
      <c r="U144" s="25">
        <f ca="1">IFERROR(__xludf.DUMMYFUNCTION("""COMPUTED_VALUE"""),0.5)</f>
        <v>0.5</v>
      </c>
      <c r="V144" s="25">
        <f ca="1">IFERROR(__xludf.DUMMYFUNCTION("""COMPUTED_VALUE"""),0)</f>
        <v>0</v>
      </c>
      <c r="W144" s="4"/>
      <c r="X144" s="4" t="str">
        <f ca="1">IFERROR(__xludf.DUMMYFUNCTION("""COMPUTED_VALUE"""),"| 7 L CPT % | 8 L NS % | 9 P Python % ")</f>
        <v xml:space="preserve">| 7 L CPT % | 8 L NS % | 9 P Python % </v>
      </c>
      <c r="Y144" s="4" t="str">
        <f ca="1">IFERROR(__xludf.DUMMYFUNCTION("""COMPUTED_VALUE"""),"| 5 L PHP-CGM % | 6 L NS % | 7 P JAVA % | 9 P PRO % ")</f>
        <v xml:space="preserve">| 5 L PHP-CGM % | 6 L NS % | 7 P JAVA % | 9 P PRO % </v>
      </c>
      <c r="Z144" s="4" t="str">
        <f ca="1">IFERROR(__xludf.DUMMYFUNCTION("""COMPUTED_VALUE"""),"| 5 L JAVA % | 6 L CPT % | 7 P JAVA % ")</f>
        <v xml:space="preserve">| 5 L JAVA % | 6 L CPT % | 7 P JAVA % </v>
      </c>
      <c r="AA144" s="4" t="str">
        <f ca="1">IFERROR(__xludf.DUMMYFUNCTION("""COMPUTED_VALUE"""),"| 5 L PHP-CGM @ | 7 L JAVA @ | 9 P CPT @ | 8 L CPT @ ")</f>
        <v xml:space="preserve">| 5 L PHP-CGM @ | 7 L JAVA @ | 9 P CPT @ | 8 L CPT @ </v>
      </c>
      <c r="AB144" s="4" t="str">
        <f ca="1">IFERROR(__xludf.DUMMYFUNCTION("""COMPUTED_VALUE"""),"| 5 P Python % | 7 L PHP-CGM % | 8 L JAVA % | 9 P PHP-CGM % ")</f>
        <v xml:space="preserve">| 5 P Python % | 7 L PHP-CGM % | 8 L JAVA % | 9 P PHP-CGM % </v>
      </c>
      <c r="AC144" s="4" t="str">
        <f ca="1">IFERROR(__xludf.DUMMYFUNCTION("""COMPUTED_VALUE"""),"| 5 P NS % | 7 L CPT % | 8 L NS % | 9 P Python % ")</f>
        <v xml:space="preserve">| 5 P NS % | 7 L CPT % | 8 L NS % | 9 P Python % </v>
      </c>
      <c r="AD144" s="4" t="str">
        <f ca="1">IFERROR(__xludf.DUMMYFUNCTION("""COMPUTED_VALUE"""),"| 5 L PHP-CGM % | 6 L NS % | 7 P JAVA % | 9 P PRO % ")</f>
        <v xml:space="preserve">| 5 L PHP-CGM % | 6 L NS % | 7 P JAVA % | 9 P PRO % </v>
      </c>
      <c r="AE144" s="4" t="str">
        <f ca="1">IFERROR(__xludf.DUMMYFUNCTION("""COMPUTED_VALUE"""),"| 5 L JAVA % | 6 L CPT % | 7 P JAVA % ")</f>
        <v xml:space="preserve">| 5 L JAVA % | 6 L CPT % | 7 P JAVA % </v>
      </c>
      <c r="AF14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44" s="4" t="str">
        <f ca="1">IFERROR(__xludf.DUMMYFUNCTION("""COMPUTED_VALUE"""),"| 5 P Python % | 8 L JAVA % | 7 L PHP-CGM % | 9 P PHP-CGM % ")</f>
        <v xml:space="preserve">| 5 P Python % | 8 L JAVA % | 7 L PHP-CGM % | 9 P PHP-CGM % </v>
      </c>
      <c r="AH14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I144" s="4" t="str">
        <f ca="1">IFERROR(__xludf.DUMMYFUNCTION("""COMPUTED_VALUE"""),"| 5 P Python % | 8 L JAVA % | 7 L PHP-CGM % | 9 P PHP-CGM % ")</f>
        <v xml:space="preserve">| 5 P Python % | 8 L JAVA % | 7 L PHP-CGM % | 9 P PHP-CGM % </v>
      </c>
      <c r="AJ144" s="4" t="str">
        <f ca="1">IFERROR(__xludf.DUMMYFUNCTION("""COMPUTED_VALUE"""),"| 5 P NS % | 7 L CPT % | 8 L NS % | 9 P Python % ")</f>
        <v xml:space="preserve">| 5 P NS % | 7 L CPT % | 8 L NS % | 9 P Python % </v>
      </c>
      <c r="AK144" s="4" t="str">
        <f ca="1">IFERROR(__xludf.DUMMYFUNCTION("""COMPUTED_VALUE"""),"| 5 L PHP-CGM % | 6 L NS % | 7 P JAVA % | 9 P PRO @ ")</f>
        <v xml:space="preserve">| 5 L PHP-CGM % | 6 L NS % | 7 P JAVA % | 9 P PRO @ </v>
      </c>
      <c r="AL144" s="4" t="str">
        <f ca="1">IFERROR(__xludf.DUMMYFUNCTION("""COMPUTED_VALUE"""),"| 5 L JAVA % | 6 L CPT % | 7 P JAVA % | 9 L INE @ ")</f>
        <v xml:space="preserve">| 5 L JAVA % | 6 L CPT % | 7 P JAVA % | 9 L INE @ </v>
      </c>
      <c r="AM14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44" s="4" t="str">
        <f ca="1">IFERROR(__xludf.DUMMYFUNCTION("""COMPUTED_VALUE"""),"| 5 P Python @ | 8 L JAVA @ | 7 L PHP-CGM @ | 9 P PHP-CGM @ ")</f>
        <v xml:space="preserve">| 5 P Python @ | 8 L JAVA @ | 7 L PHP-CGM @ | 9 P PHP-CGM @ </v>
      </c>
      <c r="AO144" s="4" t="str">
        <f ca="1">IFERROR(__xludf.DUMMYFUNCTION("""COMPUTED_VALUE"""),"| 5 P NS % | 7 L CPT @ | 8 L NS % | 9 P Python % ")</f>
        <v xml:space="preserve">| 5 P NS % | 7 L CPT @ | 8 L NS % | 9 P Python % </v>
      </c>
      <c r="AP144" s="4" t="str">
        <f ca="1">IFERROR(__xludf.DUMMYFUNCTION("""COMPUTED_VALUE"""),"| 5 L PHP-CGM % | 6 L NS % | 7 P JAVA % | 9 P PRO @ ")</f>
        <v xml:space="preserve">| 5 L PHP-CGM % | 6 L NS % | 7 P JAVA % | 9 P PRO @ </v>
      </c>
      <c r="AQ144" s="4" t="str">
        <f ca="1">IFERROR(__xludf.DUMMYFUNCTION("""COMPUTED_VALUE"""),"| 5 L CPT % | 7 L JAVA % | 7 P JAVA % | 9 L INE % ")</f>
        <v xml:space="preserve">| 5 L CPT % | 7 L JAVA % | 7 P JAVA % | 9 L INE % </v>
      </c>
      <c r="AR144" s="4" t="str">
        <f ca="1">IFERROR(__xludf.DUMMYFUNCTION("""COMPUTED_VALUE"""),"| 5 L PHP-CGM % | 6 L NS % | 8 L CPT @ ")</f>
        <v xml:space="preserve">| 5 L PHP-CGM % | 6 L NS % | 8 L CPT @ </v>
      </c>
      <c r="AS144" s="4" t="str">
        <f ca="1">IFERROR(__xludf.DUMMYFUNCTION("""COMPUTED_VALUE"""),"| 5 P NS % | 7 L CPT % | 8 L NS % | 9 P Python % ")</f>
        <v xml:space="preserve">| 5 P NS % | 7 L CPT % | 8 L NS % | 9 P Python % </v>
      </c>
      <c r="AT144" s="4" t="str">
        <f ca="1">IFERROR(__xludf.DUMMYFUNCTION("""COMPUTED_VALUE"""),"| 5 L PHP-CGM % | 6 L NS % | 7 P JAVA % | 9 P PRO % ")</f>
        <v xml:space="preserve">| 5 L PHP-CGM % | 6 L NS % | 7 P JAVA % | 9 P PRO % </v>
      </c>
      <c r="AU144" s="4" t="str">
        <f ca="1">IFERROR(__xludf.DUMMYFUNCTION("""COMPUTED_VALUE"""),"| 5 L JAVA % | 6 L CPT % | 7 P JAVA % | 9 L INE % ")</f>
        <v xml:space="preserve">| 5 L JAVA % | 6 L CPT % | 7 P JAVA % | 9 L INE % </v>
      </c>
      <c r="AV14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W144" s="4" t="str">
        <f ca="1">IFERROR(__xludf.DUMMYFUNCTION("""COMPUTED_VALUE"""),"| 5 P Python % | 7 L PHP-CGM % | 8 L JAVA % | 9 P PHP-CGM @ ")</f>
        <v xml:space="preserve">| 5 P Python % | 7 L PHP-CGM % | 8 L JAVA % | 9 P PHP-CGM @ </v>
      </c>
      <c r="AX144" s="4" t="str">
        <f ca="1">IFERROR(__xludf.DUMMYFUNCTION("""COMPUTED_VALUE"""),"| 5 P NS % | 7 L CPT % | 8 L NS % | 9 P Python % ")</f>
        <v xml:space="preserve">| 5 P NS % | 7 L CPT % | 8 L NS % | 9 P Python % </v>
      </c>
      <c r="AY144" s="4" t="str">
        <f ca="1">IFERROR(__xludf.DUMMYFUNCTION("""COMPUTED_VALUE"""),"| 5 L PHP-CGM % | 6 L NS % | 7 P JAVA % ")</f>
        <v xml:space="preserve">| 5 L PHP-CGM % | 6 L NS % | 7 P JAVA % </v>
      </c>
      <c r="AZ144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A144" s="4" t="str">
        <f ca="1">IFERROR(__xludf.DUMMYFUNCTION("""COMPUTED_VALUE"""),"| 5 P Python % | 7 L PHP-CGM % | 8 L JAVA % ")</f>
        <v xml:space="preserve">| 5 P Python % | 7 L PHP-CGM % | 8 L JAVA % </v>
      </c>
      <c r="BB144" s="4" t="str">
        <f ca="1">IFERROR(__xludf.DUMMYFUNCTION("""COMPUTED_VALUE"""),"| 5 P NS % | 7 L CPT % | 8 L NS % | 9 P Python % ")</f>
        <v xml:space="preserve">| 5 P NS % | 7 L CPT % | 8 L NS % | 9 P Python % </v>
      </c>
      <c r="BC144" s="4" t="str">
        <f ca="1">IFERROR(__xludf.DUMMYFUNCTION("""COMPUTED_VALUE"""),"| 5 L PHP-CGM % | 6 L NS % | 7 P JAVA % | 9 P PRO % ")</f>
        <v xml:space="preserve">| 5 L PHP-CGM % | 6 L NS % | 7 P JAVA % | 9 P PRO % </v>
      </c>
      <c r="BD144" s="4" t="str">
        <f ca="1">IFERROR(__xludf.DUMMYFUNCTION("""COMPUTED_VALUE"""),"| 5 L JAVA @ | 6 L CPT @ | 7 P JAVA @ | 9 L INE @ ")</f>
        <v xml:space="preserve">| 5 L JAVA @ | 6 L CPT @ | 7 P JAVA @ | 9 L INE @ </v>
      </c>
      <c r="BE14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44" s="4" t="str">
        <f ca="1">IFERROR(__xludf.DUMMYFUNCTION("""COMPUTED_VALUE"""),"| 5 P Python % | 7 L PHP-CGM % | 8 L JAVA % | 9 P PHP-CGM @ ")</f>
        <v xml:space="preserve">| 5 P Python % | 7 L PHP-CGM % | 8 L JAVA % | 9 P PHP-CGM @ </v>
      </c>
      <c r="BG144" s="4" t="str">
        <f ca="1">IFERROR(__xludf.DUMMYFUNCTION("""COMPUTED_VALUE"""),"| 5 L PHP-CGM @ | 6 L NS @ | 7 P JAVA @ | 9 P PRO @ ")</f>
        <v xml:space="preserve">| 5 L PHP-CGM @ | 6 L NS @ | 7 P JAVA @ | 9 P PRO @ </v>
      </c>
      <c r="BH144" s="4" t="str">
        <f ca="1">IFERROR(__xludf.DUMMYFUNCTION("""COMPUTED_VALUE"""),"| 5 L JAVA % | 6 L CPT % | 7 P JAVA % | 9 L INE @ ")</f>
        <v xml:space="preserve">| 5 L JAVA % | 6 L CPT % | 7 P JAVA % | 9 L INE @ </v>
      </c>
      <c r="BI144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J144" s="4" t="str">
        <f ca="1">IFERROR(__xludf.DUMMYFUNCTION("""COMPUTED_VALUE"""),"| 5 P Python % | 7 L JAVA % | 7 L PHP-CGM % ")</f>
        <v xml:space="preserve">| 5 P Python % | 7 L JAVA % | 7 L PHP-CGM % </v>
      </c>
      <c r="BK144" s="4" t="str">
        <f ca="1">IFERROR(__xludf.DUMMYFUNCTION("""COMPUTED_VALUE"""),"| 7 L CPT @ | 8 L NS @ ")</f>
        <v xml:space="preserve">| 7 L CPT @ | 8 L NS @ </v>
      </c>
      <c r="BL144" s="4" t="str">
        <f ca="1">IFERROR(__xludf.DUMMYFUNCTION("""COMPUTED_VALUE"""),"| 5 L PHP-CGM @ | 6 L NS @ | 7 P JAVA @ | 9 P PRO @ ")</f>
        <v xml:space="preserve">| 5 L PHP-CGM @ | 6 L NS @ | 7 P JAVA @ | 9 P PRO @ </v>
      </c>
      <c r="BM144" s="4" t="str">
        <f ca="1">IFERROR(__xludf.DUMMYFUNCTION("""COMPUTED_VALUE"""),"| 5 L JAVA % | 6 L CPT % | 9 L INE @ ")</f>
        <v xml:space="preserve">| 5 L JAVA % | 6 L CPT % | 9 L INE @ </v>
      </c>
      <c r="BN144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44" s="4" t="str">
        <f ca="1">IFERROR(__xludf.DUMMYFUNCTION("""COMPUTED_VALUE"""),"| 5 P Python % | 7 L PHP-CGM % ")</f>
        <v xml:space="preserve">| 5 P Python % | 7 L PHP-CGM % </v>
      </c>
      <c r="BP144" s="4" t="str">
        <f ca="1">IFERROR(__xludf.DUMMYFUNCTION("""COMPUTED_VALUE"""),"| 5 P NS % | 7 L CPT % | 8 L NS % ")</f>
        <v xml:space="preserve">| 5 P NS % | 7 L CPT % | 8 L NS % </v>
      </c>
      <c r="BQ144" s="4" t="str">
        <f ca="1">IFERROR(__xludf.DUMMYFUNCTION("""COMPUTED_VALUE"""),"| 5 L JAVA @ | 6 L CPT @ ")</f>
        <v xml:space="preserve">| 5 L JAVA @ | 6 L CPT @ </v>
      </c>
      <c r="BR144" s="4" t="str">
        <f ca="1">IFERROR(__xludf.DUMMYFUNCTION("""COMPUTED_VALUE"""),"| 7 L JAVA % ")</f>
        <v xml:space="preserve">| 7 L JAVA % </v>
      </c>
      <c r="BS144" s="4"/>
      <c r="BT144" s="4" t="str">
        <f ca="1">IFERROR(__xludf.DUMMYFUNCTION("""COMPUTED_VALUE"""),"| 7 L CPT @ ")</f>
        <v xml:space="preserve">| 7 L CPT @ </v>
      </c>
      <c r="BU144" s="4" t="str">
        <f ca="1">IFERROR(__xludf.DUMMYFUNCTION("""COMPUTED_VALUE"""),"| 9 P PRO % ")</f>
        <v xml:space="preserve">| 9 P PRO % </v>
      </c>
      <c r="BV144" s="4" t="str">
        <f ca="1">IFERROR(__xludf.DUMMYFUNCTION("""COMPUTED_VALUE"""),"| 5 P NS % | 7 L CPT % | 8 L NS % | 9 P Python @ ")</f>
        <v xml:space="preserve">| 5 P NS % | 7 L CPT % | 8 L NS % | 9 P Python @ </v>
      </c>
      <c r="BW144" s="4"/>
      <c r="BX144" s="4" t="str">
        <f ca="1">IFERROR(__xludf.DUMMYFUNCTION("""COMPUTED_VALUE"""),"| 5 L JAVA % | 6 L CPT % | 7 P JAVA % ")</f>
        <v xml:space="preserve">| 5 L JAVA % | 6 L CPT % | 7 P JAVA % </v>
      </c>
      <c r="BY144" s="4" t="str">
        <f ca="1">IFERROR(__xludf.DUMMYFUNCTION("""COMPUTED_VALUE"""),"| 5 L PHP-CGM % | 6 L NS % | 7 L JAVA @ | 8 L CPT @ | 9 P CPT % ")</f>
        <v xml:space="preserve">| 5 L PHP-CGM % | 6 L NS % | 7 L JAVA @ | 8 L CPT @ | 9 P CPT % </v>
      </c>
      <c r="BZ144" s="4" t="str">
        <f ca="1">IFERROR(__xludf.DUMMYFUNCTION("""COMPUTED_VALUE"""),"| 5 P Python % | 8 L JAVA @ | 7 L PHP-CGM @ | 9 P PHP-CGM % ")</f>
        <v xml:space="preserve">| 5 P Python % | 8 L JAVA @ | 7 L PHP-CGM @ | 9 P PHP-CGM % </v>
      </c>
      <c r="CA144" s="4" t="str">
        <f ca="1">IFERROR(__xludf.DUMMYFUNCTION("""COMPUTED_VALUE"""),"| 5 P NS % | 7 L CPT % | 8 L NS % | 9 P Python @ ")</f>
        <v xml:space="preserve">| 5 P NS % | 7 L CPT % | 8 L NS % | 9 P Python @ </v>
      </c>
      <c r="CB144" s="4" t="str">
        <f ca="1">IFERROR(__xludf.DUMMYFUNCTION("""COMPUTED_VALUE"""),"| 5 L PHP-CGM % | 6 L NS % | 7 P JAVA % ")</f>
        <v xml:space="preserve">| 5 L PHP-CGM % | 6 L NS % | 7 P JAVA % </v>
      </c>
      <c r="CC144" s="4" t="str">
        <f ca="1">IFERROR(__xludf.DUMMYFUNCTION("""COMPUTED_VALUE"""),"| 5 L JAVA @ | 7 P JAVA % | 9 L INE % ")</f>
        <v xml:space="preserve">| 5 L JAVA @ | 7 P JAVA % | 9 L INE % </v>
      </c>
      <c r="CD144" s="4" t="str">
        <f ca="1">IFERROR(__xludf.DUMMYFUNCTION("""COMPUTED_VALUE"""),"| 5 L PHP-CGM % | 6 L NS % | 7 L JAVA @ | 8 L CPT @ | 9 P CPT % ")</f>
        <v xml:space="preserve">| 5 L PHP-CGM % | 6 L NS % | 7 L JAVA @ | 8 L CPT @ | 9 P CPT % </v>
      </c>
      <c r="CE144" s="4" t="str">
        <f ca="1">IFERROR(__xludf.DUMMYFUNCTION("""COMPUTED_VALUE"""),"| 5 P Python % | 8 L JAVA % | 7 L PHP-CGM % ")</f>
        <v xml:space="preserve">| 5 P Python % | 8 L JAVA % | 7 L PHP-CGM % </v>
      </c>
      <c r="CF144" s="4" t="str">
        <f ca="1">IFERROR(__xludf.DUMMYFUNCTION("""COMPUTED_VALUE"""),"| 5 P NS % | 7 L CPT @ | 8 L NS @ | 9 P Python % ")</f>
        <v xml:space="preserve">| 5 P NS % | 7 L CPT @ | 8 L NS @ | 9 P Python % </v>
      </c>
      <c r="CG144" s="4" t="str">
        <f ca="1">IFERROR(__xludf.DUMMYFUNCTION("""COMPUTED_VALUE"""),"| 5 L PHP-CGM @ | 6 L NS @ | 7 P JAVA % ")</f>
        <v xml:space="preserve">| 5 L PHP-CGM @ | 6 L NS @ | 7 P JAVA % </v>
      </c>
      <c r="CH144" s="4" t="str">
        <f ca="1">IFERROR(__xludf.DUMMYFUNCTION("""COMPUTED_VALUE"""),"| 5 L JAVA % | 6 L CPT % | 7 P JAVA % | 9 L INE % ")</f>
        <v xml:space="preserve">| 5 L JAVA % | 6 L CPT % | 7 P JAVA % | 9 L INE % </v>
      </c>
      <c r="CI144" s="4" t="str">
        <f ca="1">IFERROR(__xludf.DUMMYFUNCTION("""COMPUTED_VALUE"""),"| 5 L PHP-CGM @ | 7 L JAVA % | 8 L CPT % | 9 P CPT % ")</f>
        <v xml:space="preserve">| 5 L PHP-CGM @ | 7 L JAVA % | 8 L CPT % | 9 P CPT % </v>
      </c>
      <c r="CJ144" s="4" t="str">
        <f ca="1">IFERROR(__xludf.DUMMYFUNCTION("""COMPUTED_VALUE"""),"| 5 P Python % ")</f>
        <v xml:space="preserve">| 5 P Python % </v>
      </c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</row>
    <row r="145" spans="1:102" ht="12.5" x14ac:dyDescent="0.25">
      <c r="A145" s="3">
        <f ca="1">IFERROR(__xludf.DUMMYFUNCTION("""COMPUTED_VALUE"""),4)</f>
        <v>4</v>
      </c>
      <c r="B145" s="3" t="str">
        <f ca="1">IFERROR(__xludf.DUMMYFUNCTION("""COMPUTED_VALUE"""),"B")</f>
        <v>B</v>
      </c>
      <c r="C145" s="32" t="str">
        <f ca="1">IFERROR(__xludf.DUMMYFUNCTION("""COMPUTED_VALUE"""),"23291341152")</f>
        <v>23291341152</v>
      </c>
      <c r="D145" s="21" t="str">
        <f ca="1">IFERROR(__xludf.DUMMYFUNCTION("""COMPUTED_VALUE"""),"Roshan pandit")</f>
        <v>Roshan pandit</v>
      </c>
      <c r="E145" s="3" t="str">
        <f ca="1">IFERROR(__xludf.DUMMYFUNCTION("""COMPUTED_VALUE"""),"HAM/HDP-EVE")</f>
        <v>HAM/HDP-EVE</v>
      </c>
      <c r="F145" s="3"/>
      <c r="G145" s="3"/>
      <c r="H145" s="33">
        <f ca="1">IFERROR(__xludf.DUMMYFUNCTION("""COMPUTED_VALUE"""),0.617391304347826)</f>
        <v>0.61739130434782596</v>
      </c>
      <c r="I145" s="25">
        <f ca="1">IFERROR(__xludf.DUMMYFUNCTION("""COMPUTED_VALUE"""),0.567567567567567)</f>
        <v>0.56756756756756699</v>
      </c>
      <c r="J145" s="25">
        <f ca="1">IFERROR(__xludf.DUMMYFUNCTION("""COMPUTED_VALUE"""),0.5)</f>
        <v>0.5</v>
      </c>
      <c r="K145" s="25">
        <f ca="1">IFERROR(__xludf.DUMMYFUNCTION("""COMPUTED_VALUE"""),0.676470588235294)</f>
        <v>0.67647058823529405</v>
      </c>
      <c r="L145" s="25">
        <f ca="1">IFERROR(__xludf.DUMMYFUNCTION("""COMPUTED_VALUE"""),0.7)</f>
        <v>0.7</v>
      </c>
      <c r="M145" s="25">
        <f ca="1">IFERROR(__xludf.DUMMYFUNCTION("""COMPUTED_VALUE"""),0.714285714285714)</f>
        <v>0.71428571428571397</v>
      </c>
      <c r="N145" s="25">
        <f ca="1">IFERROR(__xludf.DUMMYFUNCTION("""COMPUTED_VALUE"""),0.142857142857142)</f>
        <v>0.14285714285714199</v>
      </c>
      <c r="O145" s="25">
        <f ca="1">IFERROR(__xludf.DUMMYFUNCTION("""COMPUTED_VALUE"""),0.657142857142857)</f>
        <v>0.65714285714285703</v>
      </c>
      <c r="P145" s="25">
        <f ca="1">IFERROR(__xludf.DUMMYFUNCTION("""COMPUTED_VALUE"""),0.714285714285714)</f>
        <v>0.71428571428571397</v>
      </c>
      <c r="Q145" s="25">
        <f ca="1">IFERROR(__xludf.DUMMYFUNCTION("""COMPUTED_VALUE"""),0)</f>
        <v>0</v>
      </c>
      <c r="R145" s="25">
        <f ca="1">IFERROR(__xludf.DUMMYFUNCTION("""COMPUTED_VALUE"""),0.636363636363636)</f>
        <v>0.63636363636363602</v>
      </c>
      <c r="S145" s="25">
        <f ca="1">IFERROR(__xludf.DUMMYFUNCTION("""COMPUTED_VALUE"""),0)</f>
        <v>0</v>
      </c>
      <c r="T145" s="25">
        <f ca="1">IFERROR(__xludf.DUMMYFUNCTION("""COMPUTED_VALUE"""),0.333333333333333)</f>
        <v>0.33333333333333298</v>
      </c>
      <c r="U145" s="25">
        <f ca="1">IFERROR(__xludf.DUMMYFUNCTION("""COMPUTED_VALUE"""),0.5)</f>
        <v>0.5</v>
      </c>
      <c r="V145" s="25">
        <f ca="1">IFERROR(__xludf.DUMMYFUNCTION("""COMPUTED_VALUE"""),0)</f>
        <v>0</v>
      </c>
      <c r="W145" s="4"/>
      <c r="X145" s="4" t="str">
        <f ca="1">IFERROR(__xludf.DUMMYFUNCTION("""COMPUTED_VALUE"""),"| 7 L CPT @ | 8 L NS @ | 9 P Python @ ")</f>
        <v xml:space="preserve">| 7 L CPT @ | 8 L NS @ | 9 P Python @ </v>
      </c>
      <c r="Y145" s="4" t="str">
        <f ca="1">IFERROR(__xludf.DUMMYFUNCTION("""COMPUTED_VALUE"""),"| 5 L PHP-CGM @ | 6 L NS @ | 7 P JAVA @ | 9 P PRO @ ")</f>
        <v xml:space="preserve">| 5 L PHP-CGM @ | 6 L NS @ | 7 P JAVA @ | 9 P PRO @ </v>
      </c>
      <c r="Z145" s="4" t="str">
        <f ca="1">IFERROR(__xludf.DUMMYFUNCTION("""COMPUTED_VALUE"""),"| 5 L JAVA @ | 6 L CPT @ | 7 P JAVA @ ")</f>
        <v xml:space="preserve">| 5 L JAVA @ | 6 L CPT @ | 7 P JAVA @ </v>
      </c>
      <c r="AA145" s="4" t="str">
        <f ca="1">IFERROR(__xludf.DUMMYFUNCTION("""COMPUTED_VALUE"""),"| 5 L PHP-CGM @ | 7 L JAVA @ | 9 P CPT @ | 8 L CPT @ ")</f>
        <v xml:space="preserve">| 5 L PHP-CGM @ | 7 L JAVA @ | 9 P CPT @ | 8 L CPT @ </v>
      </c>
      <c r="AB145" s="4" t="str">
        <f ca="1">IFERROR(__xludf.DUMMYFUNCTION("""COMPUTED_VALUE"""),"| 5 P Python @ | 7 L PHP-CGM @ | 8 L JAVA @ | 9 P PHP-CGM @ ")</f>
        <v xml:space="preserve">| 5 P Python @ | 7 L PHP-CGM @ | 8 L JAVA @ | 9 P PHP-CGM @ </v>
      </c>
      <c r="AC145" s="4" t="str">
        <f ca="1">IFERROR(__xludf.DUMMYFUNCTION("""COMPUTED_VALUE"""),"| 5 P NS @ | 7 L CPT @ | 8 L NS @ | 9 P Python @ ")</f>
        <v xml:space="preserve">| 5 P NS @ | 7 L CPT @ | 8 L NS @ | 9 P Python @ </v>
      </c>
      <c r="AD145" s="4" t="str">
        <f ca="1">IFERROR(__xludf.DUMMYFUNCTION("""COMPUTED_VALUE"""),"| 5 L PHP-CGM @ | 6 L NS @ | 7 P JAVA @ | 9 P PRO @ ")</f>
        <v xml:space="preserve">| 5 L PHP-CGM @ | 6 L NS @ | 7 P JAVA @ | 9 P PRO @ </v>
      </c>
      <c r="AE145" s="4" t="str">
        <f ca="1">IFERROR(__xludf.DUMMYFUNCTION("""COMPUTED_VALUE"""),"| 5 L JAVA @ | 6 L CPT @ | 7 P JAVA @ ")</f>
        <v xml:space="preserve">| 5 L JAVA @ | 6 L CPT @ | 7 P JAVA @ </v>
      </c>
      <c r="AF145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G145" s="4" t="str">
        <f ca="1">IFERROR(__xludf.DUMMYFUNCTION("""COMPUTED_VALUE"""),"| 5 P Python @ | 8 L JAVA @ | 7 L PHP-CGM @ | 9 P PHP-CGM @ ")</f>
        <v xml:space="preserve">| 5 P Python @ | 8 L JAVA @ | 7 L PHP-CGM @ | 9 P PHP-CGM @ </v>
      </c>
      <c r="AH145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I145" s="4" t="str">
        <f ca="1">IFERROR(__xludf.DUMMYFUNCTION("""COMPUTED_VALUE"""),"| 5 P Python @ | 8 L JAVA @ | 7 L PHP-CGM @ | 9 P PHP-CGM @ ")</f>
        <v xml:space="preserve">| 5 P Python @ | 8 L JAVA @ | 7 L PHP-CGM @ | 9 P PHP-CGM @ </v>
      </c>
      <c r="AJ145" s="4" t="str">
        <f ca="1">IFERROR(__xludf.DUMMYFUNCTION("""COMPUTED_VALUE"""),"| 5 P NS % | 7 L CPT % | 8 L NS % | 9 P Python % ")</f>
        <v xml:space="preserve">| 5 P NS % | 7 L CPT % | 8 L NS % | 9 P Python % </v>
      </c>
      <c r="AK145" s="4" t="str">
        <f ca="1">IFERROR(__xludf.DUMMYFUNCTION("""COMPUTED_VALUE"""),"| 5 L PHP-CGM % | 6 L NS % | 7 P JAVA % | 9 P PRO % ")</f>
        <v xml:space="preserve">| 5 L PHP-CGM % | 6 L NS % | 7 P JAVA % | 9 P PRO % </v>
      </c>
      <c r="AL145" s="4" t="str">
        <f ca="1">IFERROR(__xludf.DUMMYFUNCTION("""COMPUTED_VALUE"""),"| 5 L JAVA % | 6 L CPT % | 7 P JAVA @ | 9 L INE @ ")</f>
        <v xml:space="preserve">| 5 L JAVA % | 6 L CPT % | 7 P JAVA @ | 9 L INE @ </v>
      </c>
      <c r="AM145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45" s="4" t="str">
        <f ca="1">IFERROR(__xludf.DUMMYFUNCTION("""COMPUTED_VALUE"""),"| 5 P Python % | 8 L JAVA % | 7 L PHP-CGM % | 9 P PHP-CGM % ")</f>
        <v xml:space="preserve">| 5 P Python % | 8 L JAVA % | 7 L PHP-CGM % | 9 P PHP-CGM % </v>
      </c>
      <c r="AO145" s="4" t="str">
        <f ca="1">IFERROR(__xludf.DUMMYFUNCTION("""COMPUTED_VALUE"""),"| 5 P NS % | 7 L CPT % | 8 L NS % | 9 P Python % ")</f>
        <v xml:space="preserve">| 5 P NS % | 7 L CPT % | 8 L NS % | 9 P Python % </v>
      </c>
      <c r="AP145" s="4" t="str">
        <f ca="1">IFERROR(__xludf.DUMMYFUNCTION("""COMPUTED_VALUE"""),"| 5 L PHP-CGM % | 6 L NS % | 7 P JAVA % | 9 P PRO % ")</f>
        <v xml:space="preserve">| 5 L PHP-CGM % | 6 L NS % | 7 P JAVA % | 9 P PRO % </v>
      </c>
      <c r="AQ145" s="4" t="str">
        <f ca="1">IFERROR(__xludf.DUMMYFUNCTION("""COMPUTED_VALUE"""),"| 5 L CPT % | 7 L JAVA % | 7 P JAVA % | 9 L INE % ")</f>
        <v xml:space="preserve">| 5 L CPT % | 7 L JAVA % | 7 P JAVA % | 9 L INE % </v>
      </c>
      <c r="AR145" s="4" t="str">
        <f ca="1">IFERROR(__xludf.DUMMYFUNCTION("""COMPUTED_VALUE"""),"| 5 L PHP-CGM % | 6 L NS % | 8 L CPT @ ")</f>
        <v xml:space="preserve">| 5 L PHP-CGM % | 6 L NS % | 8 L CPT @ </v>
      </c>
      <c r="AS145" s="4" t="str">
        <f ca="1">IFERROR(__xludf.DUMMYFUNCTION("""COMPUTED_VALUE"""),"| 5 P NS % | 7 L CPT % | 8 L NS % | 9 P Python % ")</f>
        <v xml:space="preserve">| 5 P NS % | 7 L CPT % | 8 L NS % | 9 P Python % </v>
      </c>
      <c r="AT145" s="4" t="str">
        <f ca="1">IFERROR(__xludf.DUMMYFUNCTION("""COMPUTED_VALUE"""),"| 5 L PHP-CGM @ | 6 L NS @ | 7 P JAVA % | 9 P PRO % ")</f>
        <v xml:space="preserve">| 5 L PHP-CGM @ | 6 L NS @ | 7 P JAVA % | 9 P PRO % </v>
      </c>
      <c r="AU145" s="4" t="str">
        <f ca="1">IFERROR(__xludf.DUMMYFUNCTION("""COMPUTED_VALUE"""),"| 5 L JAVA @ | 6 L CPT @ | 7 P JAVA % | 9 L INE % ")</f>
        <v xml:space="preserve">| 5 L JAVA @ | 6 L CPT @ | 7 P JAVA % | 9 L INE % </v>
      </c>
      <c r="AV145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45" s="4" t="str">
        <f ca="1">IFERROR(__xludf.DUMMYFUNCTION("""COMPUTED_VALUE"""),"| 5 P Python % | 7 L PHP-CGM % | 8 L JAVA % | 9 P PHP-CGM @ ")</f>
        <v xml:space="preserve">| 5 P Python % | 7 L PHP-CGM % | 8 L JAVA % | 9 P PHP-CGM @ </v>
      </c>
      <c r="AX145" s="4" t="str">
        <f ca="1">IFERROR(__xludf.DUMMYFUNCTION("""COMPUTED_VALUE"""),"| 5 P NS % | 7 L CPT % | 8 L NS % | 9 P Python % ")</f>
        <v xml:space="preserve">| 5 P NS % | 7 L CPT % | 8 L NS % | 9 P Python % </v>
      </c>
      <c r="AY145" s="4" t="str">
        <f ca="1">IFERROR(__xludf.DUMMYFUNCTION("""COMPUTED_VALUE"""),"| 5 L PHP-CGM % | 6 L NS % | 7 P JAVA % ")</f>
        <v xml:space="preserve">| 5 L PHP-CGM % | 6 L NS % | 7 P JAVA % </v>
      </c>
      <c r="AZ145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45" s="4" t="str">
        <f ca="1">IFERROR(__xludf.DUMMYFUNCTION("""COMPUTED_VALUE"""),"| 5 P Python % | 7 L PHP-CGM % | 8 L JAVA % ")</f>
        <v xml:space="preserve">| 5 P Python % | 7 L PHP-CGM % | 8 L JAVA % </v>
      </c>
      <c r="BB145" s="4" t="str">
        <f ca="1">IFERROR(__xludf.DUMMYFUNCTION("""COMPUTED_VALUE"""),"| 5 P NS % | 7 L CPT % | 8 L NS % | 9 P Python % ")</f>
        <v xml:space="preserve">| 5 P NS % | 7 L CPT % | 8 L NS % | 9 P Python % </v>
      </c>
      <c r="BC145" s="4" t="str">
        <f ca="1">IFERROR(__xludf.DUMMYFUNCTION("""COMPUTED_VALUE"""),"| 5 L PHP-CGM % | 6 L NS % | 7 P JAVA % | 9 P PRO @ ")</f>
        <v xml:space="preserve">| 5 L PHP-CGM % | 6 L NS % | 7 P JAVA % | 9 P PRO @ </v>
      </c>
      <c r="BD145" s="4" t="str">
        <f ca="1">IFERROR(__xludf.DUMMYFUNCTION("""COMPUTED_VALUE"""),"| 5 L JAVA % | 6 L CPT % | 7 P JAVA % | 9 L INE % ")</f>
        <v xml:space="preserve">| 5 L JAVA % | 6 L CPT % | 7 P JAVA % | 9 L INE % </v>
      </c>
      <c r="BE145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45" s="4" t="str">
        <f ca="1">IFERROR(__xludf.DUMMYFUNCTION("""COMPUTED_VALUE"""),"| 5 P Python % | 7 L PHP-CGM % | 8 L JAVA % | 9 P PHP-CGM @ ")</f>
        <v xml:space="preserve">| 5 P Python % | 7 L PHP-CGM % | 8 L JAVA % | 9 P PHP-CGM @ </v>
      </c>
      <c r="BG145" s="4" t="str">
        <f ca="1">IFERROR(__xludf.DUMMYFUNCTION("""COMPUTED_VALUE"""),"| 5 L PHP-CGM % | 6 L NS % | 7 P JAVA % | 9 P PRO @ ")</f>
        <v xml:space="preserve">| 5 L PHP-CGM % | 6 L NS % | 7 P JAVA % | 9 P PRO @ </v>
      </c>
      <c r="BH145" s="4" t="str">
        <f ca="1">IFERROR(__xludf.DUMMYFUNCTION("""COMPUTED_VALUE"""),"| 5 L JAVA % | 6 L CPT % | 7 P JAVA % | 9 L INE @ ")</f>
        <v xml:space="preserve">| 5 L JAVA % | 6 L CPT % | 7 P JAVA % | 9 L INE @ </v>
      </c>
      <c r="BI145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J145" s="4" t="str">
        <f ca="1">IFERROR(__xludf.DUMMYFUNCTION("""COMPUTED_VALUE"""),"| 5 P Python % | 7 L JAVA % | 7 L PHP-CGM % ")</f>
        <v xml:space="preserve">| 5 P Python % | 7 L JAVA % | 7 L PHP-CGM % </v>
      </c>
      <c r="BK145" s="4" t="str">
        <f ca="1">IFERROR(__xludf.DUMMYFUNCTION("""COMPUTED_VALUE"""),"| 7 L CPT @ | 8 L NS @ ")</f>
        <v xml:space="preserve">| 7 L CPT @ | 8 L NS @ </v>
      </c>
      <c r="BL145" s="4" t="str">
        <f ca="1">IFERROR(__xludf.DUMMYFUNCTION("""COMPUTED_VALUE"""),"| 5 L PHP-CGM % | 6 L NS % | 7 P JAVA % | 9 P PRO @ ")</f>
        <v xml:space="preserve">| 5 L PHP-CGM % | 6 L NS % | 7 P JAVA % | 9 P PRO @ </v>
      </c>
      <c r="BM145" s="4" t="str">
        <f ca="1">IFERROR(__xludf.DUMMYFUNCTION("""COMPUTED_VALUE"""),"| 5 L JAVA % | 6 L CPT % | 9 L INE @ ")</f>
        <v xml:space="preserve">| 5 L JAVA % | 6 L CPT % | 9 L INE @ </v>
      </c>
      <c r="BN145" s="4" t="str">
        <f ca="1">IFERROR(__xludf.DUMMYFUNCTION("""COMPUTED_VALUE"""),"| 5 L PHP-CGM % | 6 L NS % | 9 L JAVA % | 8 L CPT % | 9 P CPT % ")</f>
        <v xml:space="preserve">| 5 L PHP-CGM % | 6 L NS % | 9 L JAVA % | 8 L CPT % | 9 P CPT % </v>
      </c>
      <c r="BO145" s="4" t="str">
        <f ca="1">IFERROR(__xludf.DUMMYFUNCTION("""COMPUTED_VALUE"""),"| 5 P Python % | 7 L PHP-CGM @ ")</f>
        <v xml:space="preserve">| 5 P Python % | 7 L PHP-CGM @ </v>
      </c>
      <c r="BP145" s="4" t="str">
        <f ca="1">IFERROR(__xludf.DUMMYFUNCTION("""COMPUTED_VALUE"""),"| 5 P NS @ | 7 L CPT @ | 8 L NS @ ")</f>
        <v xml:space="preserve">| 5 P NS @ | 7 L CPT @ | 8 L NS @ </v>
      </c>
      <c r="BQ145" s="4" t="str">
        <f ca="1">IFERROR(__xludf.DUMMYFUNCTION("""COMPUTED_VALUE"""),"| 5 L JAVA @ | 6 L CPT @ ")</f>
        <v xml:space="preserve">| 5 L JAVA @ | 6 L CPT @ </v>
      </c>
      <c r="BR145" s="4" t="str">
        <f ca="1">IFERROR(__xludf.DUMMYFUNCTION("""COMPUTED_VALUE"""),"| 7 L JAVA @ ")</f>
        <v xml:space="preserve">| 7 L JAVA @ </v>
      </c>
      <c r="BS145" s="4"/>
      <c r="BT145" s="4" t="str">
        <f ca="1">IFERROR(__xludf.DUMMYFUNCTION("""COMPUTED_VALUE"""),"| 7 L CPT @ ")</f>
        <v xml:space="preserve">| 7 L CPT @ </v>
      </c>
      <c r="BU145" s="4" t="str">
        <f ca="1">IFERROR(__xludf.DUMMYFUNCTION("""COMPUTED_VALUE"""),"| 9 P PRO @ ")</f>
        <v xml:space="preserve">| 9 P PRO @ </v>
      </c>
      <c r="BV145" s="4" t="str">
        <f ca="1">IFERROR(__xludf.DUMMYFUNCTION("""COMPUTED_VALUE"""),"| 5 P NS @ | 7 L CPT @ | 8 L NS @ | 9 P Python @ ")</f>
        <v xml:space="preserve">| 5 P NS @ | 7 L CPT @ | 8 L NS @ | 9 P Python @ </v>
      </c>
      <c r="BW145" s="4"/>
      <c r="BX145" s="4" t="str">
        <f ca="1">IFERROR(__xludf.DUMMYFUNCTION("""COMPUTED_VALUE"""),"| 5 L JAVA @ | 6 L CPT @ | 7 P JAVA @ ")</f>
        <v xml:space="preserve">| 5 L JAVA @ | 6 L CPT @ | 7 P JAVA @ </v>
      </c>
      <c r="BY145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45" s="4" t="str">
        <f ca="1">IFERROR(__xludf.DUMMYFUNCTION("""COMPUTED_VALUE"""),"| 5 P Python % | 8 L JAVA % | 7 L PHP-CGM % | 9 P PHP-CGM @ ")</f>
        <v xml:space="preserve">| 5 P Python % | 8 L JAVA % | 7 L PHP-CGM % | 9 P PHP-CGM @ </v>
      </c>
      <c r="CA145" s="4" t="str">
        <f ca="1">IFERROR(__xludf.DUMMYFUNCTION("""COMPUTED_VALUE"""),"| 5 P NS % | 7 L CPT % | 8 L NS % | 9 P Python @ ")</f>
        <v xml:space="preserve">| 5 P NS % | 7 L CPT % | 8 L NS % | 9 P Python @ </v>
      </c>
      <c r="CB145" s="4" t="str">
        <f ca="1">IFERROR(__xludf.DUMMYFUNCTION("""COMPUTED_VALUE"""),"| 5 L PHP-CGM % | 6 L NS % | 7 P JAVA % ")</f>
        <v xml:space="preserve">| 5 L PHP-CGM % | 6 L NS % | 7 P JAVA % </v>
      </c>
      <c r="CC145" s="4" t="str">
        <f ca="1">IFERROR(__xludf.DUMMYFUNCTION("""COMPUTED_VALUE"""),"| 5 L JAVA % | 7 P JAVA % | 9 L INE % ")</f>
        <v xml:space="preserve">| 5 L JAVA % | 7 P JAVA % | 9 L INE % </v>
      </c>
      <c r="CD145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CE145" s="4" t="str">
        <f ca="1">IFERROR(__xludf.DUMMYFUNCTION("""COMPUTED_VALUE"""),"| 5 P Python % | 8 L JAVA % | 7 L PHP-CGM % ")</f>
        <v xml:space="preserve">| 5 P Python % | 8 L JAVA % | 7 L PHP-CGM % </v>
      </c>
      <c r="CF145" s="4" t="str">
        <f ca="1">IFERROR(__xludf.DUMMYFUNCTION("""COMPUTED_VALUE"""),"| 5 P NS % | 7 L CPT @ | 8 L NS @ | 9 P Python @ ")</f>
        <v xml:space="preserve">| 5 P NS % | 7 L CPT @ | 8 L NS @ | 9 P Python @ </v>
      </c>
      <c r="CG145" s="4" t="str">
        <f ca="1">IFERROR(__xludf.DUMMYFUNCTION("""COMPUTED_VALUE"""),"| 5 L PHP-CGM % | 6 L NS % | 7 P JAVA % ")</f>
        <v xml:space="preserve">| 5 L PHP-CGM % | 6 L NS % | 7 P JAVA % </v>
      </c>
      <c r="CH145" s="4" t="str">
        <f ca="1">IFERROR(__xludf.DUMMYFUNCTION("""COMPUTED_VALUE"""),"| 5 L JAVA % | 6 L CPT % | 7 P JAVA % | 9 L INE @ ")</f>
        <v xml:space="preserve">| 5 L JAVA % | 6 L CPT % | 7 P JAVA % | 9 L INE @ </v>
      </c>
      <c r="CI145" s="4" t="str">
        <f ca="1">IFERROR(__xludf.DUMMYFUNCTION("""COMPUTED_VALUE"""),"| 5 L PHP-CGM % | 7 L JAVA % | 8 L CPT % | 9 P CPT % ")</f>
        <v xml:space="preserve">| 5 L PHP-CGM % | 7 L JAVA % | 8 L CPT % | 9 P CPT % </v>
      </c>
      <c r="CJ145" s="4" t="str">
        <f ca="1">IFERROR(__xludf.DUMMYFUNCTION("""COMPUTED_VALUE"""),"| 5 P Python % ")</f>
        <v xml:space="preserve">| 5 P Python % </v>
      </c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</row>
    <row r="146" spans="1:102" ht="12.5" x14ac:dyDescent="0.25">
      <c r="A146" s="3">
        <f ca="1">IFERROR(__xludf.DUMMYFUNCTION("""COMPUTED_VALUE"""),4)</f>
        <v>4</v>
      </c>
      <c r="B146" s="3" t="str">
        <f ca="1">IFERROR(__xludf.DUMMYFUNCTION("""COMPUTED_VALUE"""),"B")</f>
        <v>B</v>
      </c>
      <c r="C146" s="32" t="str">
        <f ca="1">IFERROR(__xludf.DUMMYFUNCTION("""COMPUTED_VALUE"""),"23291341155")</f>
        <v>23291341155</v>
      </c>
      <c r="D146" s="4" t="str">
        <f ca="1">IFERROR(__xludf.DUMMYFUNCTION("""COMPUTED_VALUE"""),"SHERASIYA NOFIL YUNUSHBHAI")</f>
        <v>SHERASIYA NOFIL YUNUSHBHAI</v>
      </c>
      <c r="E146" s="3" t="str">
        <f ca="1">IFERROR(__xludf.DUMMYFUNCTION("""COMPUTED_VALUE"""),"HAM/HDP-EVE")</f>
        <v>HAM/HDP-EVE</v>
      </c>
      <c r="F146" s="3">
        <f ca="1">IFERROR(__xludf.DUMMYFUNCTION("""COMPUTED_VALUE"""),9104105492)</f>
        <v>9104105492</v>
      </c>
      <c r="G146" s="3">
        <f ca="1">IFERROR(__xludf.DUMMYFUNCTION("""COMPUTED_VALUE"""),9825145492)</f>
        <v>9825145492</v>
      </c>
      <c r="H146" s="33">
        <f ca="1">IFERROR(__xludf.DUMMYFUNCTION("""COMPUTED_VALUE"""),0.760869565217391)</f>
        <v>0.76086956521739102</v>
      </c>
      <c r="I146" s="25">
        <f ca="1">IFERROR(__xludf.DUMMYFUNCTION("""COMPUTED_VALUE"""),0.702702702702702)</f>
        <v>0.70270270270270196</v>
      </c>
      <c r="J146" s="25">
        <f ca="1">IFERROR(__xludf.DUMMYFUNCTION("""COMPUTED_VALUE"""),0.666666666666666)</f>
        <v>0.66666666666666596</v>
      </c>
      <c r="K146" s="25">
        <f ca="1">IFERROR(__xludf.DUMMYFUNCTION("""COMPUTED_VALUE"""),0.676470588235294)</f>
        <v>0.67647058823529405</v>
      </c>
      <c r="L146" s="25">
        <f ca="1">IFERROR(__xludf.DUMMYFUNCTION("""COMPUTED_VALUE"""),0.7)</f>
        <v>0.7</v>
      </c>
      <c r="M146" s="25">
        <f ca="1">IFERROR(__xludf.DUMMYFUNCTION("""COMPUTED_VALUE"""),0.771428571428571)</f>
        <v>0.77142857142857102</v>
      </c>
      <c r="N146" s="25">
        <f ca="1">IFERROR(__xludf.DUMMYFUNCTION("""COMPUTED_VALUE"""),0.571428571428571)</f>
        <v>0.57142857142857095</v>
      </c>
      <c r="O146" s="25">
        <f ca="1">IFERROR(__xludf.DUMMYFUNCTION("""COMPUTED_VALUE"""),0.857142857142857)</f>
        <v>0.85714285714285698</v>
      </c>
      <c r="P146" s="25">
        <f ca="1">IFERROR(__xludf.DUMMYFUNCTION("""COMPUTED_VALUE"""),0.952380952380952)</f>
        <v>0.952380952380952</v>
      </c>
      <c r="Q146" s="25">
        <f ca="1">IFERROR(__xludf.DUMMYFUNCTION("""COMPUTED_VALUE"""),0)</f>
        <v>0</v>
      </c>
      <c r="R146" s="25">
        <f ca="1">IFERROR(__xludf.DUMMYFUNCTION("""COMPUTED_VALUE"""),0.772727272727272)</f>
        <v>0.77272727272727204</v>
      </c>
      <c r="S146" s="25">
        <f ca="1">IFERROR(__xludf.DUMMYFUNCTION("""COMPUTED_VALUE"""),0)</f>
        <v>0</v>
      </c>
      <c r="T146" s="25">
        <f ca="1">IFERROR(__xludf.DUMMYFUNCTION("""COMPUTED_VALUE"""),0.777777777777777)</f>
        <v>0.77777777777777701</v>
      </c>
      <c r="U146" s="25">
        <f ca="1">IFERROR(__xludf.DUMMYFUNCTION("""COMPUTED_VALUE"""),0.75)</f>
        <v>0.75</v>
      </c>
      <c r="V146" s="25">
        <f ca="1">IFERROR(__xludf.DUMMYFUNCTION("""COMPUTED_VALUE"""),0)</f>
        <v>0</v>
      </c>
      <c r="W146" s="4"/>
      <c r="X146" s="4" t="str">
        <f ca="1">IFERROR(__xludf.DUMMYFUNCTION("""COMPUTED_VALUE"""),"| 7 L CPT % | 8 L NS % | 9 P Python % ")</f>
        <v xml:space="preserve">| 7 L CPT % | 8 L NS % | 9 P Python % </v>
      </c>
      <c r="Y146" s="4" t="str">
        <f ca="1">IFERROR(__xludf.DUMMYFUNCTION("""COMPUTED_VALUE"""),"| 5 L PHP-CGM % | 6 L NS % | 7 P JAVA % | 9 P PRO % ")</f>
        <v xml:space="preserve">| 5 L PHP-CGM % | 6 L NS % | 7 P JAVA % | 9 P PRO % </v>
      </c>
      <c r="Z146" s="4" t="str">
        <f ca="1">IFERROR(__xludf.DUMMYFUNCTION("""COMPUTED_VALUE"""),"| 5 L JAVA % | 6 L CPT % | 7 P JAVA % ")</f>
        <v xml:space="preserve">| 5 L JAVA % | 6 L CPT % | 7 P JAVA % </v>
      </c>
      <c r="AA146" s="4" t="str">
        <f ca="1">IFERROR(__xludf.DUMMYFUNCTION("""COMPUTED_VALUE"""),"| 5 L PHP-CGM % | 7 L JAVA % | 9 P CPT % | 8 L CPT % ")</f>
        <v xml:space="preserve">| 5 L PHP-CGM % | 7 L JAVA % | 9 P CPT % | 8 L CPT % </v>
      </c>
      <c r="AB146" s="4" t="str">
        <f ca="1">IFERROR(__xludf.DUMMYFUNCTION("""COMPUTED_VALUE"""),"| 5 P Python % | 7 L PHP-CGM % | 8 L JAVA % | 9 P PHP-CGM % ")</f>
        <v xml:space="preserve">| 5 P Python % | 7 L PHP-CGM % | 8 L JAVA % | 9 P PHP-CGM % </v>
      </c>
      <c r="AC146" s="4" t="str">
        <f ca="1">IFERROR(__xludf.DUMMYFUNCTION("""COMPUTED_VALUE"""),"| 5 P NS % | 7 L CPT % | 8 L NS % | 9 P Python % ")</f>
        <v xml:space="preserve">| 5 P NS % | 7 L CPT % | 8 L NS % | 9 P Python % </v>
      </c>
      <c r="AD146" s="4" t="str">
        <f ca="1">IFERROR(__xludf.DUMMYFUNCTION("""COMPUTED_VALUE"""),"| 5 L PHP-CGM % | 6 L NS % | 7 P JAVA % | 9 P PRO % ")</f>
        <v xml:space="preserve">| 5 L PHP-CGM % | 6 L NS % | 7 P JAVA % | 9 P PRO % </v>
      </c>
      <c r="AE146" s="4" t="str">
        <f ca="1">IFERROR(__xludf.DUMMYFUNCTION("""COMPUTED_VALUE"""),"| 5 L JAVA % | 6 L CPT % | 7 P JAVA % ")</f>
        <v xml:space="preserve">| 5 L JAVA % | 6 L CPT % | 7 P JAVA % </v>
      </c>
      <c r="AF146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G146" s="4" t="str">
        <f ca="1">IFERROR(__xludf.DUMMYFUNCTION("""COMPUTED_VALUE"""),"| 5 P Python % | 8 L JAVA % | 7 L PHP-CGM % | 9 P PHP-CGM % ")</f>
        <v xml:space="preserve">| 5 P Python % | 8 L JAVA % | 7 L PHP-CGM % | 9 P PHP-CGM % </v>
      </c>
      <c r="AH146" s="4" t="str">
        <f ca="1">IFERROR(__xludf.DUMMYFUNCTION("""COMPUTED_VALUE"""),"| 5 L PHP-CGM @ | 6 L NS @ | 7 L JAVA % | 8 L CPT % | 9 P CPT % ")</f>
        <v xml:space="preserve">| 5 L PHP-CGM @ | 6 L NS @ | 7 L JAVA % | 8 L CPT % | 9 P CPT % </v>
      </c>
      <c r="AI146" s="4" t="str">
        <f ca="1">IFERROR(__xludf.DUMMYFUNCTION("""COMPUTED_VALUE"""),"| 5 P Python % | 8 L JAVA % | 7 L PHP-CGM % | 9 P PHP-CGM % ")</f>
        <v xml:space="preserve">| 5 P Python % | 8 L JAVA % | 7 L PHP-CGM % | 9 P PHP-CGM % </v>
      </c>
      <c r="AJ146" s="4" t="str">
        <f ca="1">IFERROR(__xludf.DUMMYFUNCTION("""COMPUTED_VALUE"""),"| 5 P NS % | 7 L CPT % | 8 L NS % | 9 P Python % ")</f>
        <v xml:space="preserve">| 5 P NS % | 7 L CPT % | 8 L NS % | 9 P Python % </v>
      </c>
      <c r="AK146" s="4" t="str">
        <f ca="1">IFERROR(__xludf.DUMMYFUNCTION("""COMPUTED_VALUE"""),"| 5 L PHP-CGM % | 6 L NS % | 7 P JAVA % | 9 P PRO % ")</f>
        <v xml:space="preserve">| 5 L PHP-CGM % | 6 L NS % | 7 P JAVA % | 9 P PRO % </v>
      </c>
      <c r="AL146" s="4" t="str">
        <f ca="1">IFERROR(__xludf.DUMMYFUNCTION("""COMPUTED_VALUE"""),"| 5 L JAVA % | 6 L CPT % | 7 P JAVA % | 9 L INE % ")</f>
        <v xml:space="preserve">| 5 L JAVA % | 6 L CPT % | 7 P JAVA % | 9 L INE % </v>
      </c>
      <c r="AM14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46" s="4" t="str">
        <f ca="1">IFERROR(__xludf.DUMMYFUNCTION("""COMPUTED_VALUE"""),"| 5 P Python % | 8 L JAVA % | 7 L PHP-CGM % | 9 P PHP-CGM @ ")</f>
        <v xml:space="preserve">| 5 P Python % | 8 L JAVA % | 7 L PHP-CGM % | 9 P PHP-CGM @ </v>
      </c>
      <c r="AO146" s="4" t="str">
        <f ca="1">IFERROR(__xludf.DUMMYFUNCTION("""COMPUTED_VALUE"""),"| 5 P NS % | 7 L CPT % | 8 L NS % | 9 P Python % ")</f>
        <v xml:space="preserve">| 5 P NS % | 7 L CPT % | 8 L NS % | 9 P Python % </v>
      </c>
      <c r="AP146" s="4" t="str">
        <f ca="1">IFERROR(__xludf.DUMMYFUNCTION("""COMPUTED_VALUE"""),"| 5 L PHP-CGM % | 6 L NS % | 7 P JAVA % | 9 P PRO % ")</f>
        <v xml:space="preserve">| 5 L PHP-CGM % | 6 L NS % | 7 P JAVA % | 9 P PRO % </v>
      </c>
      <c r="AQ146" s="4" t="str">
        <f ca="1">IFERROR(__xludf.DUMMYFUNCTION("""COMPUTED_VALUE"""),"| 5 L CPT % | 7 L JAVA % | 7 P JAVA % | 9 L INE % ")</f>
        <v xml:space="preserve">| 5 L CPT % | 7 L JAVA % | 7 P JAVA % | 9 L INE % </v>
      </c>
      <c r="AR146" s="4" t="str">
        <f ca="1">IFERROR(__xludf.DUMMYFUNCTION("""COMPUTED_VALUE"""),"| 5 L PHP-CGM @ | 6 L NS @ | 8 L CPT @ ")</f>
        <v xml:space="preserve">| 5 L PHP-CGM @ | 6 L NS @ | 8 L CPT @ </v>
      </c>
      <c r="AS146" s="4" t="str">
        <f ca="1">IFERROR(__xludf.DUMMYFUNCTION("""COMPUTED_VALUE"""),"| 5 P NS @ | 7 L CPT @ | 8 L NS @ | 9 P Python @ ")</f>
        <v xml:space="preserve">| 5 P NS @ | 7 L CPT @ | 8 L NS @ | 9 P Python @ </v>
      </c>
      <c r="AT146" s="4" t="str">
        <f ca="1">IFERROR(__xludf.DUMMYFUNCTION("""COMPUTED_VALUE"""),"| 5 L PHP-CGM % | 6 L NS % | 7 P JAVA % | 9 P PRO % ")</f>
        <v xml:space="preserve">| 5 L PHP-CGM % | 6 L NS % | 7 P JAVA % | 9 P PRO % </v>
      </c>
      <c r="AU146" s="4" t="str">
        <f ca="1">IFERROR(__xludf.DUMMYFUNCTION("""COMPUTED_VALUE"""),"| 5 L JAVA % | 6 L CPT % | 7 P JAVA % | 9 L INE % ")</f>
        <v xml:space="preserve">| 5 L JAVA % | 6 L CPT % | 7 P JAVA % | 9 L INE % </v>
      </c>
      <c r="AV146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W146" s="4" t="str">
        <f ca="1">IFERROR(__xludf.DUMMYFUNCTION("""COMPUTED_VALUE"""),"| 5 P Python % | 7 L PHP-CGM % | 8 L JAVA % | 9 P PHP-CGM % ")</f>
        <v xml:space="preserve">| 5 P Python % | 7 L PHP-CGM % | 8 L JAVA % | 9 P PHP-CGM % </v>
      </c>
      <c r="AX146" s="4" t="str">
        <f ca="1">IFERROR(__xludf.DUMMYFUNCTION("""COMPUTED_VALUE"""),"| 5 P NS % | 7 L CPT % | 8 L NS % | 9 P Python @ ")</f>
        <v xml:space="preserve">| 5 P NS % | 7 L CPT % | 8 L NS % | 9 P Python @ </v>
      </c>
      <c r="AY146" s="4" t="str">
        <f ca="1">IFERROR(__xludf.DUMMYFUNCTION("""COMPUTED_VALUE"""),"| 5 L PHP-CGM % | 6 L NS % | 7 P JAVA % ")</f>
        <v xml:space="preserve">| 5 L PHP-CGM % | 6 L NS % | 7 P JAVA % </v>
      </c>
      <c r="AZ14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46" s="4" t="str">
        <f ca="1">IFERROR(__xludf.DUMMYFUNCTION("""COMPUTED_VALUE"""),"| 5 P Python % | 7 L PHP-CGM % | 8 L JAVA % ")</f>
        <v xml:space="preserve">| 5 P Python % | 7 L PHP-CGM % | 8 L JAVA % </v>
      </c>
      <c r="BB146" s="4" t="str">
        <f ca="1">IFERROR(__xludf.DUMMYFUNCTION("""COMPUTED_VALUE"""),"| 5 P NS % | 7 L CPT % | 8 L NS % | 9 P Python % ")</f>
        <v xml:space="preserve">| 5 P NS % | 7 L CPT % | 8 L NS % | 9 P Python % </v>
      </c>
      <c r="BC146" s="4" t="str">
        <f ca="1">IFERROR(__xludf.DUMMYFUNCTION("""COMPUTED_VALUE"""),"| 5 L PHP-CGM % | 6 L NS % | 7 P JAVA % | 9 P PRO % ")</f>
        <v xml:space="preserve">| 5 L PHP-CGM % | 6 L NS % | 7 P JAVA % | 9 P PRO % </v>
      </c>
      <c r="BD146" s="4" t="str">
        <f ca="1">IFERROR(__xludf.DUMMYFUNCTION("""COMPUTED_VALUE"""),"| 5 L JAVA % | 6 L CPT % | 7 P JAVA % | 9 L INE % ")</f>
        <v xml:space="preserve">| 5 L JAVA % | 6 L CPT % | 7 P JAVA % | 9 L INE % </v>
      </c>
      <c r="BE146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46" s="4" t="str">
        <f ca="1">IFERROR(__xludf.DUMMYFUNCTION("""COMPUTED_VALUE"""),"| 5 P Python @ | 7 L PHP-CGM @ | 8 L JAVA @ | 9 P PHP-CGM @ ")</f>
        <v xml:space="preserve">| 5 P Python @ | 7 L PHP-CGM @ | 8 L JAVA @ | 9 P PHP-CGM @ </v>
      </c>
      <c r="BG146" s="4" t="str">
        <f ca="1">IFERROR(__xludf.DUMMYFUNCTION("""COMPUTED_VALUE"""),"| 5 L PHP-CGM @ | 6 L NS @ | 7 P JAVA @ | 9 P PRO % ")</f>
        <v xml:space="preserve">| 5 L PHP-CGM @ | 6 L NS @ | 7 P JAVA @ | 9 P PRO % </v>
      </c>
      <c r="BH146" s="4" t="str">
        <f ca="1">IFERROR(__xludf.DUMMYFUNCTION("""COMPUTED_VALUE"""),"| 5 L JAVA % | 6 L CPT % | 7 P JAVA % | 9 L INE % ")</f>
        <v xml:space="preserve">| 5 L JAVA % | 6 L CPT % | 7 P JAVA % | 9 L INE % </v>
      </c>
      <c r="BI14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46" s="4" t="str">
        <f ca="1">IFERROR(__xludf.DUMMYFUNCTION("""COMPUTED_VALUE"""),"| 5 P Python % | 7 L JAVA % | 7 L PHP-CGM % ")</f>
        <v xml:space="preserve">| 5 P Python % | 7 L JAVA % | 7 L PHP-CGM % </v>
      </c>
      <c r="BK146" s="4" t="str">
        <f ca="1">IFERROR(__xludf.DUMMYFUNCTION("""COMPUTED_VALUE"""),"| 7 L CPT @ | 8 L NS @ ")</f>
        <v xml:space="preserve">| 7 L CPT @ | 8 L NS @ </v>
      </c>
      <c r="BL146" s="4" t="str">
        <f ca="1">IFERROR(__xludf.DUMMYFUNCTION("""COMPUTED_VALUE"""),"| 5 L PHP-CGM % | 6 L NS % | 7 P JAVA % | 9 P PRO @ ")</f>
        <v xml:space="preserve">| 5 L PHP-CGM % | 6 L NS % | 7 P JAVA % | 9 P PRO @ </v>
      </c>
      <c r="BM146" s="4" t="str">
        <f ca="1">IFERROR(__xludf.DUMMYFUNCTION("""COMPUTED_VALUE"""),"| 5 L JAVA % | 6 L CPT % | 9 L INE @ ")</f>
        <v xml:space="preserve">| 5 L JAVA % | 6 L CPT % | 9 L INE @ </v>
      </c>
      <c r="BN146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46" s="4" t="str">
        <f ca="1">IFERROR(__xludf.DUMMYFUNCTION("""COMPUTED_VALUE"""),"| 5 P Python @ | 7 L PHP-CGM @ ")</f>
        <v xml:space="preserve">| 5 P Python @ | 7 L PHP-CGM @ </v>
      </c>
      <c r="BP146" s="4" t="str">
        <f ca="1">IFERROR(__xludf.DUMMYFUNCTION("""COMPUTED_VALUE"""),"| 5 P NS @ | 7 L CPT @ | 8 L NS @ ")</f>
        <v xml:space="preserve">| 5 P NS @ | 7 L CPT @ | 8 L NS @ </v>
      </c>
      <c r="BQ146" s="4" t="str">
        <f ca="1">IFERROR(__xludf.DUMMYFUNCTION("""COMPUTED_VALUE"""),"| 5 L JAVA @ | 6 L CPT @ ")</f>
        <v xml:space="preserve">| 5 L JAVA @ | 6 L CPT @ </v>
      </c>
      <c r="BR146" s="4" t="str">
        <f ca="1">IFERROR(__xludf.DUMMYFUNCTION("""COMPUTED_VALUE"""),"| 7 L JAVA % ")</f>
        <v xml:space="preserve">| 7 L JAVA % </v>
      </c>
      <c r="BS146" s="4"/>
      <c r="BT146" s="4" t="str">
        <f ca="1">IFERROR(__xludf.DUMMYFUNCTION("""COMPUTED_VALUE"""),"| 7 L CPT @ ")</f>
        <v xml:space="preserve">| 7 L CPT @ </v>
      </c>
      <c r="BU146" s="4" t="str">
        <f ca="1">IFERROR(__xludf.DUMMYFUNCTION("""COMPUTED_VALUE"""),"| 9 P PRO @ ")</f>
        <v xml:space="preserve">| 9 P PRO @ </v>
      </c>
      <c r="BV146" s="4" t="str">
        <f ca="1">IFERROR(__xludf.DUMMYFUNCTION("""COMPUTED_VALUE"""),"| 5 P NS @ | 7 L CPT @ | 8 L NS @ | 9 P Python @ ")</f>
        <v xml:space="preserve">| 5 P NS @ | 7 L CPT @ | 8 L NS @ | 9 P Python @ </v>
      </c>
      <c r="BW146" s="4"/>
      <c r="BX146" s="4" t="str">
        <f ca="1">IFERROR(__xludf.DUMMYFUNCTION("""COMPUTED_VALUE"""),"| 5 L JAVA % | 6 L CPT % | 7 P JAVA % ")</f>
        <v xml:space="preserve">| 5 L JAVA % | 6 L CPT % | 7 P JAVA % </v>
      </c>
      <c r="BY14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46" s="4" t="str">
        <f ca="1">IFERROR(__xludf.DUMMYFUNCTION("""COMPUTED_VALUE"""),"| 5 P Python % | 8 L JAVA % | 7 L PHP-CGM % | 9 P PHP-CGM @ ")</f>
        <v xml:space="preserve">| 5 P Python % | 8 L JAVA % | 7 L PHP-CGM % | 9 P PHP-CGM @ </v>
      </c>
      <c r="CA146" s="4" t="str">
        <f ca="1">IFERROR(__xludf.DUMMYFUNCTION("""COMPUTED_VALUE"""),"| 5 P NS % | 7 L CPT @ | 8 L NS @ | 9 P Python % ")</f>
        <v xml:space="preserve">| 5 P NS % | 7 L CPT @ | 8 L NS @ | 9 P Python % </v>
      </c>
      <c r="CB146" s="4" t="str">
        <f ca="1">IFERROR(__xludf.DUMMYFUNCTION("""COMPUTED_VALUE"""),"| 5 L PHP-CGM % | 6 L NS % | 7 P JAVA % ")</f>
        <v xml:space="preserve">| 5 L PHP-CGM % | 6 L NS % | 7 P JAVA % </v>
      </c>
      <c r="CC146" s="4" t="str">
        <f ca="1">IFERROR(__xludf.DUMMYFUNCTION("""COMPUTED_VALUE"""),"| 5 L JAVA % | 7 P JAVA % | 9 L INE % ")</f>
        <v xml:space="preserve">| 5 L JAVA % | 7 P JAVA % | 9 L INE % </v>
      </c>
      <c r="CD14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46" s="4" t="str">
        <f ca="1">IFERROR(__xludf.DUMMYFUNCTION("""COMPUTED_VALUE"""),"| 5 P Python % | 8 L JAVA % | 7 L PHP-CGM % ")</f>
        <v xml:space="preserve">| 5 P Python % | 8 L JAVA % | 7 L PHP-CGM % </v>
      </c>
      <c r="CF146" s="4" t="str">
        <f ca="1">IFERROR(__xludf.DUMMYFUNCTION("""COMPUTED_VALUE"""),"| 5 P NS % | 7 L CPT % | 8 L NS % | 9 P Python % ")</f>
        <v xml:space="preserve">| 5 P NS % | 7 L CPT % | 8 L NS % | 9 P Python % </v>
      </c>
      <c r="CG146" s="4" t="str">
        <f ca="1">IFERROR(__xludf.DUMMYFUNCTION("""COMPUTED_VALUE"""),"| 5 L PHP-CGM % | 6 L NS % | 7 P JAVA % ")</f>
        <v xml:space="preserve">| 5 L PHP-CGM % | 6 L NS % | 7 P JAVA % </v>
      </c>
      <c r="CH146" s="4" t="str">
        <f ca="1">IFERROR(__xludf.DUMMYFUNCTION("""COMPUTED_VALUE"""),"| 5 L JAVA % | 6 L CPT % | 7 P JAVA % | 9 L INE @ ")</f>
        <v xml:space="preserve">| 5 L JAVA % | 6 L CPT % | 7 P JAVA % | 9 L INE @ </v>
      </c>
      <c r="CI146" s="4" t="str">
        <f ca="1">IFERROR(__xludf.DUMMYFUNCTION("""COMPUTED_VALUE"""),"| 5 L PHP-CGM % | 7 L JAVA % | 8 L CPT % | 9 P CPT % ")</f>
        <v xml:space="preserve">| 5 L PHP-CGM % | 7 L JAVA % | 8 L CPT % | 9 P CPT % </v>
      </c>
      <c r="CJ146" s="4" t="str">
        <f ca="1">IFERROR(__xludf.DUMMYFUNCTION("""COMPUTED_VALUE"""),"| 5 P Python % ")</f>
        <v xml:space="preserve">| 5 P Python % </v>
      </c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</row>
    <row r="147" spans="1:102" ht="12.5" x14ac:dyDescent="0.25">
      <c r="A147" s="3">
        <f ca="1">IFERROR(__xludf.DUMMYFUNCTION("""COMPUTED_VALUE"""),4)</f>
        <v>4</v>
      </c>
      <c r="B147" s="3" t="str">
        <f ca="1">IFERROR(__xludf.DUMMYFUNCTION("""COMPUTED_VALUE"""),"B")</f>
        <v>B</v>
      </c>
      <c r="C147" s="32" t="str">
        <f ca="1">IFERROR(__xludf.DUMMYFUNCTION("""COMPUTED_VALUE"""),"23291341156")</f>
        <v>23291341156</v>
      </c>
      <c r="D147" s="4" t="str">
        <f ca="1">IFERROR(__xludf.DUMMYFUNCTION("""COMPUTED_VALUE"""),"SHERASIYA SEHJAD")</f>
        <v>SHERASIYA SEHJAD</v>
      </c>
      <c r="E147" s="3" t="str">
        <f ca="1">IFERROR(__xludf.DUMMYFUNCTION("""COMPUTED_VALUE"""),"HAM/HDP-EVE")</f>
        <v>HAM/HDP-EVE</v>
      </c>
      <c r="F147" s="3" t="str">
        <f ca="1">IFERROR(__xludf.DUMMYFUNCTION("""COMPUTED_VALUE"""),"--")</f>
        <v>--</v>
      </c>
      <c r="G147" s="3" t="str">
        <f ca="1">IFERROR(__xludf.DUMMYFUNCTION("""COMPUTED_VALUE"""),"--")</f>
        <v>--</v>
      </c>
      <c r="H147" s="33">
        <f ca="1">IFERROR(__xludf.DUMMYFUNCTION("""COMPUTED_VALUE"""),0.795652173913043)</f>
        <v>0.79565217391304299</v>
      </c>
      <c r="I147" s="25">
        <f ca="1">IFERROR(__xludf.DUMMYFUNCTION("""COMPUTED_VALUE"""),0.783783783783783)</f>
        <v>0.78378378378378299</v>
      </c>
      <c r="J147" s="25">
        <f ca="1">IFERROR(__xludf.DUMMYFUNCTION("""COMPUTED_VALUE"""),0.833333333333333)</f>
        <v>0.83333333333333304</v>
      </c>
      <c r="K147" s="25">
        <f ca="1">IFERROR(__xludf.DUMMYFUNCTION("""COMPUTED_VALUE"""),0.705882352941176)</f>
        <v>0.70588235294117596</v>
      </c>
      <c r="L147" s="25">
        <f ca="1">IFERROR(__xludf.DUMMYFUNCTION("""COMPUTED_VALUE"""),0.6)</f>
        <v>0.6</v>
      </c>
      <c r="M147" s="25">
        <f ca="1">IFERROR(__xludf.DUMMYFUNCTION("""COMPUTED_VALUE"""),0.771428571428571)</f>
        <v>0.77142857142857102</v>
      </c>
      <c r="N147" s="25">
        <f ca="1">IFERROR(__xludf.DUMMYFUNCTION("""COMPUTED_VALUE"""),0.714285714285714)</f>
        <v>0.71428571428571397</v>
      </c>
      <c r="O147" s="25">
        <f ca="1">IFERROR(__xludf.DUMMYFUNCTION("""COMPUTED_VALUE"""),0.885714285714285)</f>
        <v>0.88571428571428501</v>
      </c>
      <c r="P147" s="25">
        <f ca="1">IFERROR(__xludf.DUMMYFUNCTION("""COMPUTED_VALUE"""),0.952380952380952)</f>
        <v>0.952380952380952</v>
      </c>
      <c r="Q147" s="25">
        <f ca="1">IFERROR(__xludf.DUMMYFUNCTION("""COMPUTED_VALUE"""),0)</f>
        <v>0</v>
      </c>
      <c r="R147" s="25">
        <f ca="1">IFERROR(__xludf.DUMMYFUNCTION("""COMPUTED_VALUE"""),0.772727272727272)</f>
        <v>0.77272727272727204</v>
      </c>
      <c r="S147" s="25">
        <f ca="1">IFERROR(__xludf.DUMMYFUNCTION("""COMPUTED_VALUE"""),0)</f>
        <v>0</v>
      </c>
      <c r="T147" s="25">
        <f ca="1">IFERROR(__xludf.DUMMYFUNCTION("""COMPUTED_VALUE"""),0.777777777777777)</f>
        <v>0.77777777777777701</v>
      </c>
      <c r="U147" s="25">
        <f ca="1">IFERROR(__xludf.DUMMYFUNCTION("""COMPUTED_VALUE"""),0.875)</f>
        <v>0.875</v>
      </c>
      <c r="V147" s="25">
        <f ca="1">IFERROR(__xludf.DUMMYFUNCTION("""COMPUTED_VALUE"""),0)</f>
        <v>0</v>
      </c>
      <c r="W147" s="4"/>
      <c r="X147" s="4" t="str">
        <f ca="1">IFERROR(__xludf.DUMMYFUNCTION("""COMPUTED_VALUE"""),"| 7 L CPT % | 8 L NS % | 9 P Python % ")</f>
        <v xml:space="preserve">| 7 L CPT % | 8 L NS % | 9 P Python % </v>
      </c>
      <c r="Y147" s="4" t="str">
        <f ca="1">IFERROR(__xludf.DUMMYFUNCTION("""COMPUTED_VALUE"""),"| 5 L PHP-CGM % | 6 L NS % | 7 P JAVA % | 9 P PRO % ")</f>
        <v xml:space="preserve">| 5 L PHP-CGM % | 6 L NS % | 7 P JAVA % | 9 P PRO % </v>
      </c>
      <c r="Z147" s="4" t="str">
        <f ca="1">IFERROR(__xludf.DUMMYFUNCTION("""COMPUTED_VALUE"""),"| 5 L JAVA % | 6 L CPT % | 7 P JAVA % ")</f>
        <v xml:space="preserve">| 5 L JAVA % | 6 L CPT % | 7 P JAVA % </v>
      </c>
      <c r="AA147" s="4" t="str">
        <f ca="1">IFERROR(__xludf.DUMMYFUNCTION("""COMPUTED_VALUE"""),"| 5 L PHP-CGM % | 7 L JAVA % | 9 P CPT % | 8 L CPT % ")</f>
        <v xml:space="preserve">| 5 L PHP-CGM % | 7 L JAVA % | 9 P CPT % | 8 L CPT % </v>
      </c>
      <c r="AB147" s="4" t="str">
        <f ca="1">IFERROR(__xludf.DUMMYFUNCTION("""COMPUTED_VALUE"""),"| 5 P Python % | 7 L PHP-CGM % | 8 L JAVA % | 9 P PHP-CGM % ")</f>
        <v xml:space="preserve">| 5 P Python % | 7 L PHP-CGM % | 8 L JAVA % | 9 P PHP-CGM % </v>
      </c>
      <c r="AC147" s="4" t="str">
        <f ca="1">IFERROR(__xludf.DUMMYFUNCTION("""COMPUTED_VALUE"""),"| 5 P NS % | 7 L CPT % | 8 L NS % | 9 P Python % ")</f>
        <v xml:space="preserve">| 5 P NS % | 7 L CPT % | 8 L NS % | 9 P Python % </v>
      </c>
      <c r="AD147" s="4" t="str">
        <f ca="1">IFERROR(__xludf.DUMMYFUNCTION("""COMPUTED_VALUE"""),"| 5 L PHP-CGM % | 6 L NS % | 7 P JAVA % | 9 P PRO % ")</f>
        <v xml:space="preserve">| 5 L PHP-CGM % | 6 L NS % | 7 P JAVA % | 9 P PRO % </v>
      </c>
      <c r="AE147" s="4" t="str">
        <f ca="1">IFERROR(__xludf.DUMMYFUNCTION("""COMPUTED_VALUE"""),"| 5 L JAVA % | 6 L CPT % | 7 P JAVA % ")</f>
        <v xml:space="preserve">| 5 L JAVA % | 6 L CPT % | 7 P JAVA % </v>
      </c>
      <c r="AF14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47" s="4" t="str">
        <f ca="1">IFERROR(__xludf.DUMMYFUNCTION("""COMPUTED_VALUE"""),"| 5 P Python % | 8 L JAVA % | 7 L PHP-CGM % | 9 P PHP-CGM % ")</f>
        <v xml:space="preserve">| 5 P Python % | 8 L JAVA % | 7 L PHP-CGM % | 9 P PHP-CGM % </v>
      </c>
      <c r="AH147" s="4" t="str">
        <f ca="1">IFERROR(__xludf.DUMMYFUNCTION("""COMPUTED_VALUE"""),"| 5 L PHP-CGM @ | 6 L NS @ | 7 L JAVA % | 8 L CPT % | 9 P CPT % ")</f>
        <v xml:space="preserve">| 5 L PHP-CGM @ | 6 L NS @ | 7 L JAVA % | 8 L CPT % | 9 P CPT % </v>
      </c>
      <c r="AI147" s="4" t="str">
        <f ca="1">IFERROR(__xludf.DUMMYFUNCTION("""COMPUTED_VALUE"""),"| 5 P Python % | 8 L JAVA % | 7 L PHP-CGM % | 9 P PHP-CGM % ")</f>
        <v xml:space="preserve">| 5 P Python % | 8 L JAVA % | 7 L PHP-CGM % | 9 P PHP-CGM % </v>
      </c>
      <c r="AJ147" s="4" t="str">
        <f ca="1">IFERROR(__xludf.DUMMYFUNCTION("""COMPUTED_VALUE"""),"| 5 P NS % | 7 L CPT % | 8 L NS % | 9 P Python % ")</f>
        <v xml:space="preserve">| 5 P NS % | 7 L CPT % | 8 L NS % | 9 P Python % </v>
      </c>
      <c r="AK147" s="4" t="str">
        <f ca="1">IFERROR(__xludf.DUMMYFUNCTION("""COMPUTED_VALUE"""),"| 5 L PHP-CGM % | 6 L NS % | 7 P JAVA % | 9 P PRO % ")</f>
        <v xml:space="preserve">| 5 L PHP-CGM % | 6 L NS % | 7 P JAVA % | 9 P PRO % </v>
      </c>
      <c r="AL147" s="4" t="str">
        <f ca="1">IFERROR(__xludf.DUMMYFUNCTION("""COMPUTED_VALUE"""),"| 5 L JAVA % | 6 L CPT % | 7 P JAVA % | 9 L INE % ")</f>
        <v xml:space="preserve">| 5 L JAVA % | 6 L CPT % | 7 P JAVA % | 9 L INE % </v>
      </c>
      <c r="AM14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47" s="4" t="str">
        <f ca="1">IFERROR(__xludf.DUMMYFUNCTION("""COMPUTED_VALUE"""),"| 5 P Python % | 8 L JAVA % | 7 L PHP-CGM % | 9 P PHP-CGM % ")</f>
        <v xml:space="preserve">| 5 P Python % | 8 L JAVA % | 7 L PHP-CGM % | 9 P PHP-CGM % </v>
      </c>
      <c r="AO147" s="4" t="str">
        <f ca="1">IFERROR(__xludf.DUMMYFUNCTION("""COMPUTED_VALUE"""),"| 5 P NS % | 7 L CPT % | 8 L NS % | 9 P Python % ")</f>
        <v xml:space="preserve">| 5 P NS % | 7 L CPT % | 8 L NS % | 9 P Python % </v>
      </c>
      <c r="AP147" s="4" t="str">
        <f ca="1">IFERROR(__xludf.DUMMYFUNCTION("""COMPUTED_VALUE"""),"| 5 L PHP-CGM % | 6 L NS % | 7 P JAVA % | 9 P PRO % ")</f>
        <v xml:space="preserve">| 5 L PHP-CGM % | 6 L NS % | 7 P JAVA % | 9 P PRO % </v>
      </c>
      <c r="AQ147" s="4" t="str">
        <f ca="1">IFERROR(__xludf.DUMMYFUNCTION("""COMPUTED_VALUE"""),"| 5 L CPT % | 7 L JAVA % | 7 P JAVA % | 9 L INE % ")</f>
        <v xml:space="preserve">| 5 L CPT % | 7 L JAVA % | 7 P JAVA % | 9 L INE % </v>
      </c>
      <c r="AR147" s="4" t="str">
        <f ca="1">IFERROR(__xludf.DUMMYFUNCTION("""COMPUTED_VALUE"""),"| 5 L PHP-CGM @ | 6 L NS @ | 8 L CPT @ ")</f>
        <v xml:space="preserve">| 5 L PHP-CGM @ | 6 L NS @ | 8 L CPT @ </v>
      </c>
      <c r="AS147" s="4" t="str">
        <f ca="1">IFERROR(__xludf.DUMMYFUNCTION("""COMPUTED_VALUE"""),"| 5 P NS @ | 7 L CPT @ | 8 L NS @ | 9 P Python @ ")</f>
        <v xml:space="preserve">| 5 P NS @ | 7 L CPT @ | 8 L NS @ | 9 P Python @ </v>
      </c>
      <c r="AT147" s="4" t="str">
        <f ca="1">IFERROR(__xludf.DUMMYFUNCTION("""COMPUTED_VALUE"""),"| 5 L PHP-CGM @ | 6 L NS % | 7 P JAVA % | 9 P PRO % ")</f>
        <v xml:space="preserve">| 5 L PHP-CGM @ | 6 L NS % | 7 P JAVA % | 9 P PRO % </v>
      </c>
      <c r="AU147" s="4" t="str">
        <f ca="1">IFERROR(__xludf.DUMMYFUNCTION("""COMPUTED_VALUE"""),"| 5 L JAVA % | 6 L CPT % | 7 P JAVA % | 9 L INE % ")</f>
        <v xml:space="preserve">| 5 L JAVA % | 6 L CPT % | 7 P JAVA % | 9 L INE % </v>
      </c>
      <c r="AV147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47" s="4" t="str">
        <f ca="1">IFERROR(__xludf.DUMMYFUNCTION("""COMPUTED_VALUE"""),"| 5 P Python % | 7 L PHP-CGM % | 8 L JAVA % | 9 P PHP-CGM % ")</f>
        <v xml:space="preserve">| 5 P Python % | 7 L PHP-CGM % | 8 L JAVA % | 9 P PHP-CGM % </v>
      </c>
      <c r="AX147" s="4" t="str">
        <f ca="1">IFERROR(__xludf.DUMMYFUNCTION("""COMPUTED_VALUE"""),"| 5 P NS % | 7 L CPT % | 8 L NS % | 9 P Python % ")</f>
        <v xml:space="preserve">| 5 P NS % | 7 L CPT % | 8 L NS % | 9 P Python % </v>
      </c>
      <c r="AY147" s="4" t="str">
        <f ca="1">IFERROR(__xludf.DUMMYFUNCTION("""COMPUTED_VALUE"""),"| 5 L PHP-CGM % | 6 L NS % | 7 P JAVA % ")</f>
        <v xml:space="preserve">| 5 L PHP-CGM % | 6 L NS % | 7 P JAVA % </v>
      </c>
      <c r="AZ14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47" s="4" t="str">
        <f ca="1">IFERROR(__xludf.DUMMYFUNCTION("""COMPUTED_VALUE"""),"| 5 P Python % | 7 L PHP-CGM % | 8 L JAVA % ")</f>
        <v xml:space="preserve">| 5 P Python % | 7 L PHP-CGM % | 8 L JAVA % </v>
      </c>
      <c r="BB147" s="4" t="str">
        <f ca="1">IFERROR(__xludf.DUMMYFUNCTION("""COMPUTED_VALUE"""),"| 5 P NS % | 7 L CPT % | 8 L NS % | 9 P Python % ")</f>
        <v xml:space="preserve">| 5 P NS % | 7 L CPT % | 8 L NS % | 9 P Python % </v>
      </c>
      <c r="BC147" s="4" t="str">
        <f ca="1">IFERROR(__xludf.DUMMYFUNCTION("""COMPUTED_VALUE"""),"| 5 L PHP-CGM % | 6 L NS % | 7 P JAVA % | 9 P PRO % ")</f>
        <v xml:space="preserve">| 5 L PHP-CGM % | 6 L NS % | 7 P JAVA % | 9 P PRO % </v>
      </c>
      <c r="BD147" s="4" t="str">
        <f ca="1">IFERROR(__xludf.DUMMYFUNCTION("""COMPUTED_VALUE"""),"| 5 L JAVA % | 6 L CPT % | 7 P JAVA % | 9 L INE % ")</f>
        <v xml:space="preserve">| 5 L JAVA % | 6 L CPT % | 7 P JAVA % | 9 L INE % </v>
      </c>
      <c r="BE147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47" s="4" t="str">
        <f ca="1">IFERROR(__xludf.DUMMYFUNCTION("""COMPUTED_VALUE"""),"| 5 P Python @ | 7 L PHP-CGM @ | 8 L JAVA @ | 9 P PHP-CGM @ ")</f>
        <v xml:space="preserve">| 5 P Python @ | 7 L PHP-CGM @ | 8 L JAVA @ | 9 P PHP-CGM @ </v>
      </c>
      <c r="BG147" s="4" t="str">
        <f ca="1">IFERROR(__xludf.DUMMYFUNCTION("""COMPUTED_VALUE"""),"| 5 L PHP-CGM @ | 6 L NS @ | 7 P JAVA % | 9 P PRO % ")</f>
        <v xml:space="preserve">| 5 L PHP-CGM @ | 6 L NS @ | 7 P JAVA % | 9 P PRO % </v>
      </c>
      <c r="BH147" s="4" t="str">
        <f ca="1">IFERROR(__xludf.DUMMYFUNCTION("""COMPUTED_VALUE"""),"| 5 L JAVA % | 6 L CPT % | 7 P JAVA % | 9 L INE % ")</f>
        <v xml:space="preserve">| 5 L JAVA % | 6 L CPT % | 7 P JAVA % | 9 L INE % </v>
      </c>
      <c r="BI14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47" s="4" t="str">
        <f ca="1">IFERROR(__xludf.DUMMYFUNCTION("""COMPUTED_VALUE"""),"| 5 P Python % | 7 L JAVA % | 7 L PHP-CGM % ")</f>
        <v xml:space="preserve">| 5 P Python % | 7 L JAVA % | 7 L PHP-CGM % </v>
      </c>
      <c r="BK147" s="4" t="str">
        <f ca="1">IFERROR(__xludf.DUMMYFUNCTION("""COMPUTED_VALUE"""),"| 7 L CPT @ | 8 L NS @ ")</f>
        <v xml:space="preserve">| 7 L CPT @ | 8 L NS @ </v>
      </c>
      <c r="BL147" s="4" t="str">
        <f ca="1">IFERROR(__xludf.DUMMYFUNCTION("""COMPUTED_VALUE"""),"| 5 L PHP-CGM % | 6 L NS % | 7 P JAVA % | 9 P PRO @ ")</f>
        <v xml:space="preserve">| 5 L PHP-CGM % | 6 L NS % | 7 P JAVA % | 9 P PRO @ </v>
      </c>
      <c r="BM147" s="4" t="str">
        <f ca="1">IFERROR(__xludf.DUMMYFUNCTION("""COMPUTED_VALUE"""),"| 5 L JAVA % | 6 L CPT % | 9 L INE @ ")</f>
        <v xml:space="preserve">| 5 L JAVA % | 6 L CPT % | 9 L INE @ </v>
      </c>
      <c r="BN147" s="4" t="str">
        <f ca="1">IFERROR(__xludf.DUMMYFUNCTION("""COMPUTED_VALUE"""),"| 5 L PHP-CGM % | 6 L NS % | 9 L JAVA % | 8 L CPT % | 9 P CPT % ")</f>
        <v xml:space="preserve">| 5 L PHP-CGM % | 6 L NS % | 9 L JAVA % | 8 L CPT % | 9 P CPT % </v>
      </c>
      <c r="BO147" s="4" t="str">
        <f ca="1">IFERROR(__xludf.DUMMYFUNCTION("""COMPUTED_VALUE"""),"| 5 P Python % | 7 L PHP-CGM % ")</f>
        <v xml:space="preserve">| 5 P Python % | 7 L PHP-CGM % </v>
      </c>
      <c r="BP147" s="4" t="str">
        <f ca="1">IFERROR(__xludf.DUMMYFUNCTION("""COMPUTED_VALUE"""),"| 5 P NS @ | 7 L CPT @ | 8 L NS @ ")</f>
        <v xml:space="preserve">| 5 P NS @ | 7 L CPT @ | 8 L NS @ </v>
      </c>
      <c r="BQ147" s="4" t="str">
        <f ca="1">IFERROR(__xludf.DUMMYFUNCTION("""COMPUTED_VALUE"""),"| 5 L JAVA % | 6 L CPT % ")</f>
        <v xml:space="preserve">| 5 L JAVA % | 6 L CPT % </v>
      </c>
      <c r="BR147" s="4" t="str">
        <f ca="1">IFERROR(__xludf.DUMMYFUNCTION("""COMPUTED_VALUE"""),"| 7 L JAVA % ")</f>
        <v xml:space="preserve">| 7 L JAVA % </v>
      </c>
      <c r="BS147" s="4"/>
      <c r="BT147" s="4" t="str">
        <f ca="1">IFERROR(__xludf.DUMMYFUNCTION("""COMPUTED_VALUE"""),"| 7 L CPT @ ")</f>
        <v xml:space="preserve">| 7 L CPT @ </v>
      </c>
      <c r="BU147" s="4" t="str">
        <f ca="1">IFERROR(__xludf.DUMMYFUNCTION("""COMPUTED_VALUE"""),"| 9 P PRO @ ")</f>
        <v xml:space="preserve">| 9 P PRO @ </v>
      </c>
      <c r="BV147" s="4" t="str">
        <f ca="1">IFERROR(__xludf.DUMMYFUNCTION("""COMPUTED_VALUE"""),"| 5 P NS @ | 7 L CPT @ | 8 L NS @ | 9 P Python @ ")</f>
        <v xml:space="preserve">| 5 P NS @ | 7 L CPT @ | 8 L NS @ | 9 P Python @ </v>
      </c>
      <c r="BW147" s="4"/>
      <c r="BX147" s="4" t="str">
        <f ca="1">IFERROR(__xludf.DUMMYFUNCTION("""COMPUTED_VALUE"""),"| 5 L JAVA % | 6 L CPT % | 7 P JAVA % ")</f>
        <v xml:space="preserve">| 5 L JAVA % | 6 L CPT % | 7 P JAVA % </v>
      </c>
      <c r="BY14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47" s="4" t="str">
        <f ca="1">IFERROR(__xludf.DUMMYFUNCTION("""COMPUTED_VALUE"""),"| 5 P Python @ | 8 L JAVA @ | 7 L PHP-CGM @ | 9 P PHP-CGM @ ")</f>
        <v xml:space="preserve">| 5 P Python @ | 8 L JAVA @ | 7 L PHP-CGM @ | 9 P PHP-CGM @ </v>
      </c>
      <c r="CA147" s="4" t="str">
        <f ca="1">IFERROR(__xludf.DUMMYFUNCTION("""COMPUTED_VALUE"""),"| 5 P NS @ | 7 L CPT @ | 8 L NS @ | 9 P Python @ ")</f>
        <v xml:space="preserve">| 5 P NS @ | 7 L CPT @ | 8 L NS @ | 9 P Python @ </v>
      </c>
      <c r="CB147" s="4" t="str">
        <f ca="1">IFERROR(__xludf.DUMMYFUNCTION("""COMPUTED_VALUE"""),"| 5 L PHP-CGM @ | 6 L NS @ | 7 P JAVA @ ")</f>
        <v xml:space="preserve">| 5 L PHP-CGM @ | 6 L NS @ | 7 P JAVA @ </v>
      </c>
      <c r="CC147" s="4" t="str">
        <f ca="1">IFERROR(__xludf.DUMMYFUNCTION("""COMPUTED_VALUE"""),"| 5 L JAVA @ | 7 P JAVA % | 9 L INE % ")</f>
        <v xml:space="preserve">| 5 L JAVA @ | 7 P JAVA % | 9 L INE % </v>
      </c>
      <c r="CD14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47" s="4" t="str">
        <f ca="1">IFERROR(__xludf.DUMMYFUNCTION("""COMPUTED_VALUE"""),"| 5 P Python % | 8 L JAVA % | 7 L PHP-CGM % ")</f>
        <v xml:space="preserve">| 5 P Python % | 8 L JAVA % | 7 L PHP-CGM % </v>
      </c>
      <c r="CF147" s="4" t="str">
        <f ca="1">IFERROR(__xludf.DUMMYFUNCTION("""COMPUTED_VALUE"""),"| 5 P NS % | 7 L CPT % | 8 L NS % | 9 P Python % ")</f>
        <v xml:space="preserve">| 5 P NS % | 7 L CPT % | 8 L NS % | 9 P Python % </v>
      </c>
      <c r="CG147" s="4" t="str">
        <f ca="1">IFERROR(__xludf.DUMMYFUNCTION("""COMPUTED_VALUE"""),"| 5 L PHP-CGM % | 6 L NS % | 7 P JAVA % ")</f>
        <v xml:space="preserve">| 5 L PHP-CGM % | 6 L NS % | 7 P JAVA % </v>
      </c>
      <c r="CH147" s="4" t="str">
        <f ca="1">IFERROR(__xludf.DUMMYFUNCTION("""COMPUTED_VALUE"""),"| 5 L JAVA % | 6 L CPT % | 7 P JAVA % | 9 L INE % ")</f>
        <v xml:space="preserve">| 5 L JAVA % | 6 L CPT % | 7 P JAVA % | 9 L INE % </v>
      </c>
      <c r="CI147" s="4" t="str">
        <f ca="1">IFERROR(__xludf.DUMMYFUNCTION("""COMPUTED_VALUE"""),"| 5 L PHP-CGM % | 7 L JAVA % | 8 L CPT % | 9 P CPT % ")</f>
        <v xml:space="preserve">| 5 L PHP-CGM % | 7 L JAVA % | 8 L CPT % | 9 P CPT % </v>
      </c>
      <c r="CJ147" s="4" t="str">
        <f ca="1">IFERROR(__xludf.DUMMYFUNCTION("""COMPUTED_VALUE"""),"| 5 P Python % ")</f>
        <v xml:space="preserve">| 5 P Python % </v>
      </c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</row>
    <row r="148" spans="1:102" ht="12.5" x14ac:dyDescent="0.25">
      <c r="A148" s="3">
        <f ca="1">IFERROR(__xludf.DUMMYFUNCTION("""COMPUTED_VALUE"""),4)</f>
        <v>4</v>
      </c>
      <c r="B148" s="3" t="str">
        <f ca="1">IFERROR(__xludf.DUMMYFUNCTION("""COMPUTED_VALUE"""),"B")</f>
        <v>B</v>
      </c>
      <c r="C148" s="32" t="str">
        <f ca="1">IFERROR(__xludf.DUMMYFUNCTION("""COMPUTED_VALUE"""),"23291341159")</f>
        <v>23291341159</v>
      </c>
      <c r="D148" s="4" t="str">
        <f ca="1">IFERROR(__xludf.DUMMYFUNCTION("""COMPUTED_VALUE"""),"SUTHAR VED MANISHKUMAR")</f>
        <v>SUTHAR VED MANISHKUMAR</v>
      </c>
      <c r="E148" s="3" t="str">
        <f ca="1">IFERROR(__xludf.DUMMYFUNCTION("""COMPUTED_VALUE"""),"HAM/HDP-EVE")</f>
        <v>HAM/HDP-EVE</v>
      </c>
      <c r="F148" s="3">
        <f ca="1">IFERROR(__xludf.DUMMYFUNCTION("""COMPUTED_VALUE"""),8200363731)</f>
        <v>8200363731</v>
      </c>
      <c r="G148" s="3">
        <f ca="1">IFERROR(__xludf.DUMMYFUNCTION("""COMPUTED_VALUE"""),9898253670)</f>
        <v>9898253670</v>
      </c>
      <c r="H148" s="33">
        <f ca="1">IFERROR(__xludf.DUMMYFUNCTION("""COMPUTED_VALUE"""),0.191304347826086)</f>
        <v>0.19130434782608599</v>
      </c>
      <c r="I148" s="25">
        <f ca="1">IFERROR(__xludf.DUMMYFUNCTION("""COMPUTED_VALUE"""),0.27027027027027)</f>
        <v>0.27027027027027001</v>
      </c>
      <c r="J148" s="25">
        <f ca="1">IFERROR(__xludf.DUMMYFUNCTION("""COMPUTED_VALUE"""),0.0833333333333333)</f>
        <v>8.3333333333333301E-2</v>
      </c>
      <c r="K148" s="25">
        <f ca="1">IFERROR(__xludf.DUMMYFUNCTION("""COMPUTED_VALUE"""),0.235294117647058)</f>
        <v>0.23529411764705799</v>
      </c>
      <c r="L148" s="25">
        <f ca="1">IFERROR(__xludf.DUMMYFUNCTION("""COMPUTED_VALUE"""),0)</f>
        <v>0</v>
      </c>
      <c r="M148" s="25">
        <f ca="1">IFERROR(__xludf.DUMMYFUNCTION("""COMPUTED_VALUE"""),0.228571428571428)</f>
        <v>0.22857142857142801</v>
      </c>
      <c r="N148" s="25">
        <f ca="1">IFERROR(__xludf.DUMMYFUNCTION("""COMPUTED_VALUE"""),0)</f>
        <v>0</v>
      </c>
      <c r="O148" s="25">
        <f ca="1">IFERROR(__xludf.DUMMYFUNCTION("""COMPUTED_VALUE"""),0.285714285714285)</f>
        <v>0.28571428571428498</v>
      </c>
      <c r="P148" s="25">
        <f ca="1">IFERROR(__xludf.DUMMYFUNCTION("""COMPUTED_VALUE"""),0.19047619047619)</f>
        <v>0.19047619047618999</v>
      </c>
      <c r="Q148" s="25">
        <f ca="1">IFERROR(__xludf.DUMMYFUNCTION("""COMPUTED_VALUE"""),0)</f>
        <v>0</v>
      </c>
      <c r="R148" s="25">
        <f ca="1">IFERROR(__xludf.DUMMYFUNCTION("""COMPUTED_VALUE"""),0.0454545454545454)</f>
        <v>4.54545454545454E-2</v>
      </c>
      <c r="S148" s="25">
        <f ca="1">IFERROR(__xludf.DUMMYFUNCTION("""COMPUTED_VALUE"""),0)</f>
        <v>0</v>
      </c>
      <c r="T148" s="25">
        <f ca="1">IFERROR(__xludf.DUMMYFUNCTION("""COMPUTED_VALUE"""),0.111111111111111)</f>
        <v>0.11111111111111099</v>
      </c>
      <c r="U148" s="25">
        <f ca="1">IFERROR(__xludf.DUMMYFUNCTION("""COMPUTED_VALUE"""),0.125)</f>
        <v>0.125</v>
      </c>
      <c r="V148" s="25">
        <f ca="1">IFERROR(__xludf.DUMMYFUNCTION("""COMPUTED_VALUE"""),0)</f>
        <v>0</v>
      </c>
      <c r="W148" s="4"/>
      <c r="X148" s="4" t="str">
        <f ca="1">IFERROR(__xludf.DUMMYFUNCTION("""COMPUTED_VALUE"""),"| 7 L CPT % | 8 L NS % | 9 P Python @ ")</f>
        <v xml:space="preserve">| 7 L CPT % | 8 L NS % | 9 P Python @ </v>
      </c>
      <c r="Y148" s="4" t="str">
        <f ca="1">IFERROR(__xludf.DUMMYFUNCTION("""COMPUTED_VALUE"""),"| 5 L PHP-CGM % | 6 L NS % | 7 P JAVA % | 9 P PRO % ")</f>
        <v xml:space="preserve">| 5 L PHP-CGM % | 6 L NS % | 7 P JAVA % | 9 P PRO % </v>
      </c>
      <c r="Z148" s="4" t="str">
        <f ca="1">IFERROR(__xludf.DUMMYFUNCTION("""COMPUTED_VALUE"""),"| 5 L JAVA @ | 6 L CPT @ | 7 P JAVA @ ")</f>
        <v xml:space="preserve">| 5 L JAVA @ | 6 L CPT @ | 7 P JAVA @ </v>
      </c>
      <c r="AA148" s="4" t="str">
        <f ca="1">IFERROR(__xludf.DUMMYFUNCTION("""COMPUTED_VALUE"""),"| 5 L PHP-CGM % | 7 L JAVA @ | 9 P CPT % | 8 L CPT % ")</f>
        <v xml:space="preserve">| 5 L PHP-CGM % | 7 L JAVA @ | 9 P CPT % | 8 L CPT % </v>
      </c>
      <c r="AB148" s="4" t="str">
        <f ca="1">IFERROR(__xludf.DUMMYFUNCTION("""COMPUTED_VALUE"""),"| 5 P Python @ | 7 L PHP-CGM @ | 8 L JAVA @ | 9 P PHP-CGM @ ")</f>
        <v xml:space="preserve">| 5 P Python @ | 7 L PHP-CGM @ | 8 L JAVA @ | 9 P PHP-CGM @ </v>
      </c>
      <c r="AC148" s="4" t="str">
        <f ca="1">IFERROR(__xludf.DUMMYFUNCTION("""COMPUTED_VALUE"""),"| 5 P NS @ | 7 L CPT @ | 8 L NS @ | 9 P Python @ ")</f>
        <v xml:space="preserve">| 5 P NS @ | 7 L CPT @ | 8 L NS @ | 9 P Python @ </v>
      </c>
      <c r="AD148" s="4" t="str">
        <f ca="1">IFERROR(__xludf.DUMMYFUNCTION("""COMPUTED_VALUE"""),"| 5 L PHP-CGM @ | 6 L NS @ | 7 P JAVA @ | 9 P PRO @ ")</f>
        <v xml:space="preserve">| 5 L PHP-CGM @ | 6 L NS @ | 7 P JAVA @ | 9 P PRO @ </v>
      </c>
      <c r="AE148" s="4" t="str">
        <f ca="1">IFERROR(__xludf.DUMMYFUNCTION("""COMPUTED_VALUE"""),"| 5 L JAVA % | 6 L CPT % | 7 P JAVA % ")</f>
        <v xml:space="preserve">| 5 L JAVA % | 6 L CPT % | 7 P JAVA % </v>
      </c>
      <c r="AF148" s="4" t="str">
        <f ca="1">IFERROR(__xludf.DUMMYFUNCTION("""COMPUTED_VALUE"""),"| 5 L PHP-CGM % | 6 L NS % | 7 L JAVA % | 8 L CPT @ | 9 P CPT @ ")</f>
        <v xml:space="preserve">| 5 L PHP-CGM % | 6 L NS % | 7 L JAVA % | 8 L CPT @ | 9 P CPT @ </v>
      </c>
      <c r="AG148" s="4" t="str">
        <f ca="1">IFERROR(__xludf.DUMMYFUNCTION("""COMPUTED_VALUE"""),"| 5 P Python @ | 8 L JAVA @ | 7 L PHP-CGM @ | 9 P PHP-CGM @ ")</f>
        <v xml:space="preserve">| 5 P Python @ | 8 L JAVA @ | 7 L PHP-CGM @ | 9 P PHP-CGM @ </v>
      </c>
      <c r="AH14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I148" s="4" t="str">
        <f ca="1">IFERROR(__xludf.DUMMYFUNCTION("""COMPUTED_VALUE"""),"| 5 P Python @ | 8 L JAVA @ | 7 L PHP-CGM @ | 9 P PHP-CGM @ ")</f>
        <v xml:space="preserve">| 5 P Python @ | 8 L JAVA @ | 7 L PHP-CGM @ | 9 P PHP-CGM @ </v>
      </c>
      <c r="AJ148" s="4" t="str">
        <f ca="1">IFERROR(__xludf.DUMMYFUNCTION("""COMPUTED_VALUE"""),"| 5 P NS @ | 7 L CPT @ | 8 L NS @ | 9 P Python @ ")</f>
        <v xml:space="preserve">| 5 P NS @ | 7 L CPT @ | 8 L NS @ | 9 P Python @ </v>
      </c>
      <c r="AK148" s="4" t="str">
        <f ca="1">IFERROR(__xludf.DUMMYFUNCTION("""COMPUTED_VALUE"""),"| 5 L PHP-CGM @ | 6 L NS @ | 7 P JAVA @ | 9 P PRO @ ")</f>
        <v xml:space="preserve">| 5 L PHP-CGM @ | 6 L NS @ | 7 P JAVA @ | 9 P PRO @ </v>
      </c>
      <c r="AL148" s="4" t="str">
        <f ca="1">IFERROR(__xludf.DUMMYFUNCTION("""COMPUTED_VALUE"""),"| 5 L JAVA % | 6 L CPT % | 7 P JAVA % | 9 L INE @ ")</f>
        <v xml:space="preserve">| 5 L JAVA % | 6 L CPT % | 7 P JAVA % | 9 L INE @ </v>
      </c>
      <c r="AM14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N148" s="4" t="str">
        <f ca="1">IFERROR(__xludf.DUMMYFUNCTION("""COMPUTED_VALUE"""),"| 5 P Python @ | 8 L JAVA @ | 7 L PHP-CGM @ | 9 P PHP-CGM @ ")</f>
        <v xml:space="preserve">| 5 P Python @ | 8 L JAVA @ | 7 L PHP-CGM @ | 9 P PHP-CGM @ </v>
      </c>
      <c r="AO148" s="4" t="str">
        <f ca="1">IFERROR(__xludf.DUMMYFUNCTION("""COMPUTED_VALUE"""),"| 5 P NS @ | 7 L CPT @ | 8 L NS @ | 9 P Python @ ")</f>
        <v xml:space="preserve">| 5 P NS @ | 7 L CPT @ | 8 L NS @ | 9 P Python @ </v>
      </c>
      <c r="AP148" s="4" t="str">
        <f ca="1">IFERROR(__xludf.DUMMYFUNCTION("""COMPUTED_VALUE"""),"| 5 L PHP-CGM @ | 6 L NS @ | 7 P JAVA @ | 9 P PRO @ ")</f>
        <v xml:space="preserve">| 5 L PHP-CGM @ | 6 L NS @ | 7 P JAVA @ | 9 P PRO @ </v>
      </c>
      <c r="AQ148" s="4" t="str">
        <f ca="1">IFERROR(__xludf.DUMMYFUNCTION("""COMPUTED_VALUE"""),"| 5 L CPT @ | 7 L JAVA @ | 7 P JAVA @ | 9 L INE @ ")</f>
        <v xml:space="preserve">| 5 L CPT @ | 7 L JAVA @ | 7 P JAVA @ | 9 L INE @ </v>
      </c>
      <c r="AR148" s="4" t="str">
        <f ca="1">IFERROR(__xludf.DUMMYFUNCTION("""COMPUTED_VALUE"""),"| 5 L PHP-CGM @ | 6 L NS @ | 8 L CPT @ ")</f>
        <v xml:space="preserve">| 5 L PHP-CGM @ | 6 L NS @ | 8 L CPT @ </v>
      </c>
      <c r="AS148" s="4" t="str">
        <f ca="1">IFERROR(__xludf.DUMMYFUNCTION("""COMPUTED_VALUE"""),"| 5 P NS @ | 7 L CPT @ | 8 L NS @ | 9 P Python @ ")</f>
        <v xml:space="preserve">| 5 P NS @ | 7 L CPT @ | 8 L NS @ | 9 P Python @ </v>
      </c>
      <c r="AT148" s="4" t="str">
        <f ca="1">IFERROR(__xludf.DUMMYFUNCTION("""COMPUTED_VALUE"""),"| 5 L PHP-CGM @ | 6 L NS @ | 7 P JAVA @ | 9 P PRO @ ")</f>
        <v xml:space="preserve">| 5 L PHP-CGM @ | 6 L NS @ | 7 P JAVA @ | 9 P PRO @ </v>
      </c>
      <c r="AU148" s="4" t="str">
        <f ca="1">IFERROR(__xludf.DUMMYFUNCTION("""COMPUTED_VALUE"""),"| 5 L JAVA @ | 6 L CPT @ | 7 P JAVA @ | 9 L INE @ ")</f>
        <v xml:space="preserve">| 5 L JAVA @ | 6 L CPT @ | 7 P JAVA @ | 9 L INE @ </v>
      </c>
      <c r="AV14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W148" s="4" t="str">
        <f ca="1">IFERROR(__xludf.DUMMYFUNCTION("""COMPUTED_VALUE"""),"| 5 P Python @ | 7 L PHP-CGM @ | 8 L JAVA @ | 9 P PHP-CGM @ ")</f>
        <v xml:space="preserve">| 5 P Python @ | 7 L PHP-CGM @ | 8 L JAVA @ | 9 P PHP-CGM @ </v>
      </c>
      <c r="AX148" s="4" t="str">
        <f ca="1">IFERROR(__xludf.DUMMYFUNCTION("""COMPUTED_VALUE"""),"| 5 P NS @ | 7 L CPT % | 8 L NS % | 9 P Python @ ")</f>
        <v xml:space="preserve">| 5 P NS @ | 7 L CPT % | 8 L NS % | 9 P Python @ </v>
      </c>
      <c r="AY148" s="4" t="str">
        <f ca="1">IFERROR(__xludf.DUMMYFUNCTION("""COMPUTED_VALUE"""),"| 5 L PHP-CGM % | 6 L NS % | 7 P JAVA @ ")</f>
        <v xml:space="preserve">| 5 L PHP-CGM % | 6 L NS % | 7 P JAVA @ </v>
      </c>
      <c r="AZ148" s="4" t="str">
        <f ca="1">IFERROR(__xludf.DUMMYFUNCTION("""COMPUTED_VALUE"""),"| 5 L PHP-CGM % | 6 L NS % | 7 L JAVA @ | 8 L CPT % | 9 P CPT @ ")</f>
        <v xml:space="preserve">| 5 L PHP-CGM % | 6 L NS % | 7 L JAVA @ | 8 L CPT % | 9 P CPT @ </v>
      </c>
      <c r="BA148" s="4" t="str">
        <f ca="1">IFERROR(__xludf.DUMMYFUNCTION("""COMPUTED_VALUE"""),"| 5 P Python % | 7 L PHP-CGM % | 8 L JAVA % ")</f>
        <v xml:space="preserve">| 5 P Python % | 7 L PHP-CGM % | 8 L JAVA % </v>
      </c>
      <c r="BB148" s="4" t="str">
        <f ca="1">IFERROR(__xludf.DUMMYFUNCTION("""COMPUTED_VALUE"""),"| 5 P NS @ | 7 L CPT @ | 8 L NS @ | 9 P Python @ ")</f>
        <v xml:space="preserve">| 5 P NS @ | 7 L CPT @ | 8 L NS @ | 9 P Python @ </v>
      </c>
      <c r="BC148" s="4" t="str">
        <f ca="1">IFERROR(__xludf.DUMMYFUNCTION("""COMPUTED_VALUE"""),"| 5 L PHP-CGM @ | 6 L NS @ | 7 P JAVA @ | 9 P PRO @ ")</f>
        <v xml:space="preserve">| 5 L PHP-CGM @ | 6 L NS @ | 7 P JAVA @ | 9 P PRO @ </v>
      </c>
      <c r="BD148" s="4" t="str">
        <f ca="1">IFERROR(__xludf.DUMMYFUNCTION("""COMPUTED_VALUE"""),"| 5 L JAVA % | 6 L CPT % | 7 P JAVA % | 9 L INE @ ")</f>
        <v xml:space="preserve">| 5 L JAVA % | 6 L CPT % | 7 P JAVA % | 9 L INE @ </v>
      </c>
      <c r="BE14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48" s="4" t="str">
        <f ca="1">IFERROR(__xludf.DUMMYFUNCTION("""COMPUTED_VALUE"""),"| 5 P Python @ | 7 L PHP-CGM % | 8 L JAVA % | 9 P PHP-CGM @ ")</f>
        <v xml:space="preserve">| 5 P Python @ | 7 L PHP-CGM % | 8 L JAVA % | 9 P PHP-CGM @ </v>
      </c>
      <c r="BG148" s="4" t="str">
        <f ca="1">IFERROR(__xludf.DUMMYFUNCTION("""COMPUTED_VALUE"""),"| 5 L PHP-CGM @ | 6 L NS @ | 7 P JAVA @ | 9 P PRO @ ")</f>
        <v xml:space="preserve">| 5 L PHP-CGM @ | 6 L NS @ | 7 P JAVA @ | 9 P PRO @ </v>
      </c>
      <c r="BH148" s="4" t="str">
        <f ca="1">IFERROR(__xludf.DUMMYFUNCTION("""COMPUTED_VALUE"""),"| 5 L JAVA % | 6 L CPT @ | 7 P JAVA @ | 9 L INE @ ")</f>
        <v xml:space="preserve">| 5 L JAVA % | 6 L CPT @ | 7 P JAVA @ | 9 L INE @ </v>
      </c>
      <c r="BI148" s="4" t="str">
        <f ca="1">IFERROR(__xludf.DUMMYFUNCTION("""COMPUTED_VALUE"""),"| 5 L PHP-CGM @ | 6 L NS @ | 7 L JAVA % | 8 L CPT @ | 9 P CPT @ ")</f>
        <v xml:space="preserve">| 5 L PHP-CGM @ | 6 L NS @ | 7 L JAVA % | 8 L CPT @ | 9 P CPT @ </v>
      </c>
      <c r="BJ148" s="4" t="str">
        <f ca="1">IFERROR(__xludf.DUMMYFUNCTION("""COMPUTED_VALUE"""),"| 5 P Python @ | 7 L JAVA @ | 7 L PHP-CGM @ ")</f>
        <v xml:space="preserve">| 5 P Python @ | 7 L JAVA @ | 7 L PHP-CGM @ </v>
      </c>
      <c r="BK148" s="4" t="str">
        <f ca="1">IFERROR(__xludf.DUMMYFUNCTION("""COMPUTED_VALUE"""),"| 7 L CPT @ | 8 L NS @ ")</f>
        <v xml:space="preserve">| 7 L CPT @ | 8 L NS @ </v>
      </c>
      <c r="BL148" s="4" t="str">
        <f ca="1">IFERROR(__xludf.DUMMYFUNCTION("""COMPUTED_VALUE"""),"| 5 L PHP-CGM @ | 6 L NS @ | 7 P JAVA @ | 9 P PRO @ ")</f>
        <v xml:space="preserve">| 5 L PHP-CGM @ | 6 L NS @ | 7 P JAVA @ | 9 P PRO @ </v>
      </c>
      <c r="BM148" s="4" t="str">
        <f ca="1">IFERROR(__xludf.DUMMYFUNCTION("""COMPUTED_VALUE"""),"| 5 L JAVA @ | 6 L CPT @ | 9 L INE @ ")</f>
        <v xml:space="preserve">| 5 L JAVA @ | 6 L CPT @ | 9 L INE @ </v>
      </c>
      <c r="BN148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48" s="4" t="str">
        <f ca="1">IFERROR(__xludf.DUMMYFUNCTION("""COMPUTED_VALUE"""),"| 5 P Python @ | 7 L PHP-CGM @ ")</f>
        <v xml:space="preserve">| 5 P Python @ | 7 L PHP-CGM @ </v>
      </c>
      <c r="BP148" s="4" t="str">
        <f ca="1">IFERROR(__xludf.DUMMYFUNCTION("""COMPUTED_VALUE"""),"| 5 P NS @ | 7 L CPT % | 8 L NS @ ")</f>
        <v xml:space="preserve">| 5 P NS @ | 7 L CPT % | 8 L NS @ </v>
      </c>
      <c r="BQ148" s="4" t="str">
        <f ca="1">IFERROR(__xludf.DUMMYFUNCTION("""COMPUTED_VALUE"""),"| 5 L JAVA @ | 6 L CPT @ ")</f>
        <v xml:space="preserve">| 5 L JAVA @ | 6 L CPT @ </v>
      </c>
      <c r="BR148" s="4" t="str">
        <f ca="1">IFERROR(__xludf.DUMMYFUNCTION("""COMPUTED_VALUE"""),"| 7 L JAVA @ ")</f>
        <v xml:space="preserve">| 7 L JAVA @ </v>
      </c>
      <c r="BS148" s="4"/>
      <c r="BT148" s="4" t="str">
        <f ca="1">IFERROR(__xludf.DUMMYFUNCTION("""COMPUTED_VALUE"""),"| 7 L CPT @ ")</f>
        <v xml:space="preserve">| 7 L CPT @ </v>
      </c>
      <c r="BU148" s="4" t="str">
        <f ca="1">IFERROR(__xludf.DUMMYFUNCTION("""COMPUTED_VALUE"""),"| 9 P PRO @ ")</f>
        <v xml:space="preserve">| 9 P PRO @ </v>
      </c>
      <c r="BV148" s="4" t="str">
        <f ca="1">IFERROR(__xludf.DUMMYFUNCTION("""COMPUTED_VALUE"""),"| 5 P NS @ | 7 L CPT % | 8 L NS % | 9 P Python @ ")</f>
        <v xml:space="preserve">| 5 P NS @ | 7 L CPT % | 8 L NS % | 9 P Python @ </v>
      </c>
      <c r="BW148" s="4"/>
      <c r="BX148" s="4" t="str">
        <f ca="1">IFERROR(__xludf.DUMMYFUNCTION("""COMPUTED_VALUE"""),"| 5 L JAVA % | 6 L CPT % | 7 P JAVA @ ")</f>
        <v xml:space="preserve">| 5 L JAVA % | 6 L CPT % | 7 P JAVA @ </v>
      </c>
      <c r="BY14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48" s="4" t="str">
        <f ca="1">IFERROR(__xludf.DUMMYFUNCTION("""COMPUTED_VALUE"""),"| 5 P Python @ | 8 L JAVA @ | 7 L PHP-CGM @ | 9 P PHP-CGM @ ")</f>
        <v xml:space="preserve">| 5 P Python @ | 8 L JAVA @ | 7 L PHP-CGM @ | 9 P PHP-CGM @ </v>
      </c>
      <c r="CA148" s="4" t="str">
        <f ca="1">IFERROR(__xludf.DUMMYFUNCTION("""COMPUTED_VALUE"""),"| 5 P NS @ | 7 L CPT @ | 8 L NS @ | 9 P Python @ ")</f>
        <v xml:space="preserve">| 5 P NS @ | 7 L CPT @ | 8 L NS @ | 9 P Python @ </v>
      </c>
      <c r="CB148" s="4" t="str">
        <f ca="1">IFERROR(__xludf.DUMMYFUNCTION("""COMPUTED_VALUE"""),"| 5 L PHP-CGM % | 6 L NS % | 7 P JAVA @ ")</f>
        <v xml:space="preserve">| 5 L PHP-CGM % | 6 L NS % | 7 P JAVA @ </v>
      </c>
      <c r="CC148" s="4" t="str">
        <f ca="1">IFERROR(__xludf.DUMMYFUNCTION("""COMPUTED_VALUE"""),"| 5 L JAVA % | 7 P JAVA @ | 9 L INE % ")</f>
        <v xml:space="preserve">| 5 L JAVA % | 7 P JAVA @ | 9 L INE % </v>
      </c>
      <c r="CD14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CE148" s="4" t="str">
        <f ca="1">IFERROR(__xludf.DUMMYFUNCTION("""COMPUTED_VALUE"""),"| 5 P Python @ | 8 L JAVA @ | 7 L PHP-CGM @ ")</f>
        <v xml:space="preserve">| 5 P Python @ | 8 L JAVA @ | 7 L PHP-CGM @ </v>
      </c>
      <c r="CF148" s="4" t="str">
        <f ca="1">IFERROR(__xludf.DUMMYFUNCTION("""COMPUTED_VALUE"""),"| 5 P NS @ | 7 L CPT @ | 8 L NS @ | 9 P Python @ ")</f>
        <v xml:space="preserve">| 5 P NS @ | 7 L CPT @ | 8 L NS @ | 9 P Python @ </v>
      </c>
      <c r="CG148" s="4" t="str">
        <f ca="1">IFERROR(__xludf.DUMMYFUNCTION("""COMPUTED_VALUE"""),"| 5 L PHP-CGM @ | 6 L NS @ | 7 P JAVA @ ")</f>
        <v xml:space="preserve">| 5 L PHP-CGM @ | 6 L NS @ | 7 P JAVA @ </v>
      </c>
      <c r="CH148" s="4" t="str">
        <f ca="1">IFERROR(__xludf.DUMMYFUNCTION("""COMPUTED_VALUE"""),"| 5 L JAVA @ | 6 L CPT @ | 7 P JAVA @ | 9 L INE @ ")</f>
        <v xml:space="preserve">| 5 L JAVA @ | 6 L CPT @ | 7 P JAVA @ | 9 L INE @ </v>
      </c>
      <c r="CI148" s="4" t="str">
        <f ca="1">IFERROR(__xludf.DUMMYFUNCTION("""COMPUTED_VALUE"""),"| 5 L PHP-CGM @ | 7 L JAVA @ | 8 L CPT @ | 9 P CPT @ ")</f>
        <v xml:space="preserve">| 5 L PHP-CGM @ | 7 L JAVA @ | 8 L CPT @ | 9 P CPT @ </v>
      </c>
      <c r="CJ148" s="4" t="str">
        <f ca="1">IFERROR(__xludf.DUMMYFUNCTION("""COMPUTED_VALUE"""),"| 5 P Python @ ")</f>
        <v xml:space="preserve">| 5 P Python @ </v>
      </c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</row>
    <row r="149" spans="1:102" ht="12.5" x14ac:dyDescent="0.25">
      <c r="A149" s="3">
        <f ca="1">IFERROR(__xludf.DUMMYFUNCTION("""COMPUTED_VALUE"""),4)</f>
        <v>4</v>
      </c>
      <c r="B149" s="3" t="str">
        <f ca="1">IFERROR(__xludf.DUMMYFUNCTION("""COMPUTED_VALUE"""),"B")</f>
        <v>B</v>
      </c>
      <c r="C149" s="32" t="str">
        <f ca="1">IFERROR(__xludf.DUMMYFUNCTION("""COMPUTED_VALUE"""),"23291341160")</f>
        <v>23291341160</v>
      </c>
      <c r="D149" s="4" t="str">
        <f ca="1">IFERROR(__xludf.DUMMYFUNCTION("""COMPUTED_VALUE"""),"TADVI EKTABEN MUKESHBHAI")</f>
        <v>TADVI EKTABEN MUKESHBHAI</v>
      </c>
      <c r="E149" s="3" t="str">
        <f ca="1">IFERROR(__xludf.DUMMYFUNCTION("""COMPUTED_VALUE"""),"HAM/HDP-EVE")</f>
        <v>HAM/HDP-EVE</v>
      </c>
      <c r="F149" s="3">
        <f ca="1">IFERROR(__xludf.DUMMYFUNCTION("""COMPUTED_VALUE"""),8469058527)</f>
        <v>8469058527</v>
      </c>
      <c r="G149" s="3"/>
      <c r="H149" s="33">
        <f ca="1">IFERROR(__xludf.DUMMYFUNCTION("""COMPUTED_VALUE"""),0.626086956521739)</f>
        <v>0.62608695652173896</v>
      </c>
      <c r="I149" s="25">
        <f ca="1">IFERROR(__xludf.DUMMYFUNCTION("""COMPUTED_VALUE"""),0.621621621621621)</f>
        <v>0.62162162162162105</v>
      </c>
      <c r="J149" s="25">
        <f ca="1">IFERROR(__xludf.DUMMYFUNCTION("""COMPUTED_VALUE"""),0.416666666666666)</f>
        <v>0.41666666666666602</v>
      </c>
      <c r="K149" s="25">
        <f ca="1">IFERROR(__xludf.DUMMYFUNCTION("""COMPUTED_VALUE"""),0.676470588235294)</f>
        <v>0.67647058823529405</v>
      </c>
      <c r="L149" s="25">
        <f ca="1">IFERROR(__xludf.DUMMYFUNCTION("""COMPUTED_VALUE"""),0.7)</f>
        <v>0.7</v>
      </c>
      <c r="M149" s="25">
        <f ca="1">IFERROR(__xludf.DUMMYFUNCTION("""COMPUTED_VALUE"""),0.714285714285714)</f>
        <v>0.71428571428571397</v>
      </c>
      <c r="N149" s="25">
        <f ca="1">IFERROR(__xludf.DUMMYFUNCTION("""COMPUTED_VALUE"""),0.571428571428571)</f>
        <v>0.57142857142857095</v>
      </c>
      <c r="O149" s="25">
        <f ca="1">IFERROR(__xludf.DUMMYFUNCTION("""COMPUTED_VALUE"""),0.657142857142857)</f>
        <v>0.65714285714285703</v>
      </c>
      <c r="P149" s="25">
        <f ca="1">IFERROR(__xludf.DUMMYFUNCTION("""COMPUTED_VALUE"""),0.714285714285714)</f>
        <v>0.71428571428571397</v>
      </c>
      <c r="Q149" s="25">
        <f ca="1">IFERROR(__xludf.DUMMYFUNCTION("""COMPUTED_VALUE"""),0)</f>
        <v>0</v>
      </c>
      <c r="R149" s="25">
        <f ca="1">IFERROR(__xludf.DUMMYFUNCTION("""COMPUTED_VALUE"""),0.59090909090909)</f>
        <v>0.59090909090909005</v>
      </c>
      <c r="S149" s="25">
        <f ca="1">IFERROR(__xludf.DUMMYFUNCTION("""COMPUTED_VALUE"""),0)</f>
        <v>0</v>
      </c>
      <c r="T149" s="25">
        <f ca="1">IFERROR(__xludf.DUMMYFUNCTION("""COMPUTED_VALUE"""),0.333333333333333)</f>
        <v>0.33333333333333298</v>
      </c>
      <c r="U149" s="25">
        <f ca="1">IFERROR(__xludf.DUMMYFUNCTION("""COMPUTED_VALUE"""),0.375)</f>
        <v>0.375</v>
      </c>
      <c r="V149" s="25">
        <f ca="1">IFERROR(__xludf.DUMMYFUNCTION("""COMPUTED_VALUE"""),0)</f>
        <v>0</v>
      </c>
      <c r="W149" s="4"/>
      <c r="X149" s="4" t="str">
        <f ca="1">IFERROR(__xludf.DUMMYFUNCTION("""COMPUTED_VALUE"""),"| 7 L CPT @ | 8 L NS @ | 9 P Python @ ")</f>
        <v xml:space="preserve">| 7 L CPT @ | 8 L NS @ | 9 P Python @ </v>
      </c>
      <c r="Y149" s="4" t="str">
        <f ca="1">IFERROR(__xludf.DUMMYFUNCTION("""COMPUTED_VALUE"""),"| 5 L PHP-CGM % | 6 L NS % | 7 P JAVA % | 9 P PRO @ ")</f>
        <v xml:space="preserve">| 5 L PHP-CGM % | 6 L NS % | 7 P JAVA % | 9 P PRO @ </v>
      </c>
      <c r="Z149" s="4" t="str">
        <f ca="1">IFERROR(__xludf.DUMMYFUNCTION("""COMPUTED_VALUE"""),"| 5 L JAVA % | 6 L CPT % | 7 P JAVA % ")</f>
        <v xml:space="preserve">| 5 L JAVA % | 6 L CPT % | 7 P JAVA % </v>
      </c>
      <c r="AA149" s="4" t="str">
        <f ca="1">IFERROR(__xludf.DUMMYFUNCTION("""COMPUTED_VALUE"""),"| 5 L PHP-CGM % | 7 L JAVA % | 9 P CPT @ | 8 L CPT % ")</f>
        <v xml:space="preserve">| 5 L PHP-CGM % | 7 L JAVA % | 9 P CPT @ | 8 L CPT % </v>
      </c>
      <c r="AB149" s="4" t="str">
        <f ca="1">IFERROR(__xludf.DUMMYFUNCTION("""COMPUTED_VALUE"""),"| 5 P Python % | 7 L PHP-CGM % | 8 L JAVA % | 9 P PHP-CGM % ")</f>
        <v xml:space="preserve">| 5 P Python % | 7 L PHP-CGM % | 8 L JAVA % | 9 P PHP-CGM % </v>
      </c>
      <c r="AC149" s="4" t="str">
        <f ca="1">IFERROR(__xludf.DUMMYFUNCTION("""COMPUTED_VALUE"""),"| 5 P NS % | 7 L CPT % | 8 L NS % | 9 P Python % ")</f>
        <v xml:space="preserve">| 5 P NS % | 7 L CPT % | 8 L NS % | 9 P Python % </v>
      </c>
      <c r="AD149" s="4" t="str">
        <f ca="1">IFERROR(__xludf.DUMMYFUNCTION("""COMPUTED_VALUE"""),"| 5 L PHP-CGM % | 6 L NS % | 7 P JAVA % | 9 P PRO % ")</f>
        <v xml:space="preserve">| 5 L PHP-CGM % | 6 L NS % | 7 P JAVA % | 9 P PRO % </v>
      </c>
      <c r="AE149" s="4" t="str">
        <f ca="1">IFERROR(__xludf.DUMMYFUNCTION("""COMPUTED_VALUE"""),"| 5 L JAVA % | 6 L CPT % | 7 P JAVA @ ")</f>
        <v xml:space="preserve">| 5 L JAVA % | 6 L CPT % | 7 P JAVA @ </v>
      </c>
      <c r="AF14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49" s="4" t="str">
        <f ca="1">IFERROR(__xludf.DUMMYFUNCTION("""COMPUTED_VALUE"""),"| 5 P Python % | 8 L JAVA % | 7 L PHP-CGM % | 9 P PHP-CGM @ ")</f>
        <v xml:space="preserve">| 5 P Python % | 8 L JAVA % | 7 L PHP-CGM % | 9 P PHP-CGM @ </v>
      </c>
      <c r="AH149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I149" s="4" t="str">
        <f ca="1">IFERROR(__xludf.DUMMYFUNCTION("""COMPUTED_VALUE"""),"| 5 P Python % | 8 L JAVA % | 7 L PHP-CGM % | 9 P PHP-CGM % ")</f>
        <v xml:space="preserve">| 5 P Python % | 8 L JAVA % | 7 L PHP-CGM % | 9 P PHP-CGM % </v>
      </c>
      <c r="AJ149" s="4" t="str">
        <f ca="1">IFERROR(__xludf.DUMMYFUNCTION("""COMPUTED_VALUE"""),"| 5 P NS % | 7 L CPT % | 8 L NS @ | 9 P Python @ ")</f>
        <v xml:space="preserve">| 5 P NS % | 7 L CPT % | 8 L NS @ | 9 P Python @ </v>
      </c>
      <c r="AK149" s="4" t="str">
        <f ca="1">IFERROR(__xludf.DUMMYFUNCTION("""COMPUTED_VALUE"""),"| 5 L PHP-CGM % | 6 L NS % | 7 P JAVA % | 9 P PRO @ ")</f>
        <v xml:space="preserve">| 5 L PHP-CGM % | 6 L NS % | 7 P JAVA % | 9 P PRO @ </v>
      </c>
      <c r="AL149" s="4" t="str">
        <f ca="1">IFERROR(__xludf.DUMMYFUNCTION("""COMPUTED_VALUE"""),"| 5 L JAVA % | 6 L CPT % | 7 P JAVA % | 9 L INE @ ")</f>
        <v xml:space="preserve">| 5 L JAVA % | 6 L CPT % | 7 P JAVA % | 9 L INE @ </v>
      </c>
      <c r="AM14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49" s="4" t="str">
        <f ca="1">IFERROR(__xludf.DUMMYFUNCTION("""COMPUTED_VALUE"""),"| 5 P Python @ | 8 L JAVA @ | 7 L PHP-CGM @ | 9 P PHP-CGM @ ")</f>
        <v xml:space="preserve">| 5 P Python @ | 8 L JAVA @ | 7 L PHP-CGM @ | 9 P PHP-CGM @ </v>
      </c>
      <c r="AO149" s="4" t="str">
        <f ca="1">IFERROR(__xludf.DUMMYFUNCTION("""COMPUTED_VALUE"""),"| 5 P NS @ | 7 L CPT @ | 8 L NS @ | 9 P Python @ ")</f>
        <v xml:space="preserve">| 5 P NS @ | 7 L CPT @ | 8 L NS @ | 9 P Python @ </v>
      </c>
      <c r="AP149" s="4" t="str">
        <f ca="1">IFERROR(__xludf.DUMMYFUNCTION("""COMPUTED_VALUE"""),"| 5 L PHP-CGM @ | 6 L NS @ | 7 P JAVA @ | 9 P PRO @ ")</f>
        <v xml:space="preserve">| 5 L PHP-CGM @ | 6 L NS @ | 7 P JAVA @ | 9 P PRO @ </v>
      </c>
      <c r="AQ149" s="4" t="str">
        <f ca="1">IFERROR(__xludf.DUMMYFUNCTION("""COMPUTED_VALUE"""),"| 5 L CPT @ | 7 L JAVA @ | 7 P JAVA @ | 9 L INE @ ")</f>
        <v xml:space="preserve">| 5 L CPT @ | 7 L JAVA @ | 7 P JAVA @ | 9 L INE @ </v>
      </c>
      <c r="AR149" s="4" t="str">
        <f ca="1">IFERROR(__xludf.DUMMYFUNCTION("""COMPUTED_VALUE"""),"| 5 L PHP-CGM @ | 6 L NS @ | 8 L CPT @ ")</f>
        <v xml:space="preserve">| 5 L PHP-CGM @ | 6 L NS @ | 8 L CPT @ </v>
      </c>
      <c r="AS149" s="4" t="str">
        <f ca="1">IFERROR(__xludf.DUMMYFUNCTION("""COMPUTED_VALUE"""),"| 5 P NS % | 7 L CPT % | 8 L NS % | 9 P Python @ ")</f>
        <v xml:space="preserve">| 5 P NS % | 7 L CPT % | 8 L NS % | 9 P Python @ </v>
      </c>
      <c r="AT149" s="4" t="str">
        <f ca="1">IFERROR(__xludf.DUMMYFUNCTION("""COMPUTED_VALUE"""),"| 5 L PHP-CGM % | 6 L NS % | 7 P JAVA % | 9 P PRO @ ")</f>
        <v xml:space="preserve">| 5 L PHP-CGM % | 6 L NS % | 7 P JAVA % | 9 P PRO @ </v>
      </c>
      <c r="AU149" s="4" t="str">
        <f ca="1">IFERROR(__xludf.DUMMYFUNCTION("""COMPUTED_VALUE"""),"| 5 L JAVA % | 6 L CPT % | 7 P JAVA % | 9 L INE % ")</f>
        <v xml:space="preserve">| 5 L JAVA % | 6 L CPT % | 7 P JAVA % | 9 L INE % </v>
      </c>
      <c r="AV149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49" s="4" t="str">
        <f ca="1">IFERROR(__xludf.DUMMYFUNCTION("""COMPUTED_VALUE"""),"| 5 P Python % | 7 L PHP-CGM % | 8 L JAVA % | 9 P PHP-CGM % ")</f>
        <v xml:space="preserve">| 5 P Python % | 7 L PHP-CGM % | 8 L JAVA % | 9 P PHP-CGM % </v>
      </c>
      <c r="AX149" s="4" t="str">
        <f ca="1">IFERROR(__xludf.DUMMYFUNCTION("""COMPUTED_VALUE"""),"| 5 P NS % | 7 L CPT % | 8 L NS % | 9 P Python % ")</f>
        <v xml:space="preserve">| 5 P NS % | 7 L CPT % | 8 L NS % | 9 P Python % </v>
      </c>
      <c r="AY149" s="4" t="str">
        <f ca="1">IFERROR(__xludf.DUMMYFUNCTION("""COMPUTED_VALUE"""),"| 5 L PHP-CGM % | 6 L NS % | 7 P JAVA % ")</f>
        <v xml:space="preserve">| 5 L PHP-CGM % | 6 L NS % | 7 P JAVA % </v>
      </c>
      <c r="AZ14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49" s="4" t="str">
        <f ca="1">IFERROR(__xludf.DUMMYFUNCTION("""COMPUTED_VALUE"""),"| 5 P Python % | 7 L PHP-CGM @ | 8 L JAVA @ ")</f>
        <v xml:space="preserve">| 5 P Python % | 7 L PHP-CGM @ | 8 L JAVA @ </v>
      </c>
      <c r="BB149" s="4" t="str">
        <f ca="1">IFERROR(__xludf.DUMMYFUNCTION("""COMPUTED_VALUE"""),"| 5 P NS % | 7 L CPT % | 8 L NS % | 9 P Python % ")</f>
        <v xml:space="preserve">| 5 P NS % | 7 L CPT % | 8 L NS % | 9 P Python % </v>
      </c>
      <c r="BC149" s="4" t="str">
        <f ca="1">IFERROR(__xludf.DUMMYFUNCTION("""COMPUTED_VALUE"""),"| 5 L PHP-CGM % | 6 L NS % | 7 P JAVA % | 9 P PRO % ")</f>
        <v xml:space="preserve">| 5 L PHP-CGM % | 6 L NS % | 7 P JAVA % | 9 P PRO % </v>
      </c>
      <c r="BD149" s="4" t="str">
        <f ca="1">IFERROR(__xludf.DUMMYFUNCTION("""COMPUTED_VALUE"""),"| 5 L JAVA % | 6 L CPT % | 7 P JAVA % | 9 L INE @ ")</f>
        <v xml:space="preserve">| 5 L JAVA % | 6 L CPT % | 7 P JAVA % | 9 L INE @ </v>
      </c>
      <c r="BE14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49" s="4" t="str">
        <f ca="1">IFERROR(__xludf.DUMMYFUNCTION("""COMPUTED_VALUE"""),"| 5 P Python % | 7 L PHP-CGM % | 8 L JAVA % | 9 P PHP-CGM % ")</f>
        <v xml:space="preserve">| 5 P Python % | 7 L PHP-CGM % | 8 L JAVA % | 9 P PHP-CGM % </v>
      </c>
      <c r="BG149" s="4" t="str">
        <f ca="1">IFERROR(__xludf.DUMMYFUNCTION("""COMPUTED_VALUE"""),"| 5 L PHP-CGM % | 6 L NS % | 7 P JAVA % | 9 P PRO % ")</f>
        <v xml:space="preserve">| 5 L PHP-CGM % | 6 L NS % | 7 P JAVA % | 9 P PRO % </v>
      </c>
      <c r="BH149" s="4" t="str">
        <f ca="1">IFERROR(__xludf.DUMMYFUNCTION("""COMPUTED_VALUE"""),"| 5 L JAVA % | 6 L CPT % | 7 P JAVA % | 9 L INE % ")</f>
        <v xml:space="preserve">| 5 L JAVA % | 6 L CPT % | 7 P JAVA % | 9 L INE % </v>
      </c>
      <c r="BI149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J149" s="4" t="str">
        <f ca="1">IFERROR(__xludf.DUMMYFUNCTION("""COMPUTED_VALUE"""),"| 5 P Python @ | 7 L JAVA @ | 7 L PHP-CGM @ ")</f>
        <v xml:space="preserve">| 5 P Python @ | 7 L JAVA @ | 7 L PHP-CGM @ </v>
      </c>
      <c r="BK149" s="4" t="str">
        <f ca="1">IFERROR(__xludf.DUMMYFUNCTION("""COMPUTED_VALUE"""),"| 7 L CPT @ | 8 L NS @ ")</f>
        <v xml:space="preserve">| 7 L CPT @ | 8 L NS @ </v>
      </c>
      <c r="BL149" s="4" t="str">
        <f ca="1">IFERROR(__xludf.DUMMYFUNCTION("""COMPUTED_VALUE"""),"| 5 L PHP-CGM @ | 6 L NS @ | 7 P JAVA @ | 9 P PRO @ ")</f>
        <v xml:space="preserve">| 5 L PHP-CGM @ | 6 L NS @ | 7 P JAVA @ | 9 P PRO @ </v>
      </c>
      <c r="BM149" s="4" t="str">
        <f ca="1">IFERROR(__xludf.DUMMYFUNCTION("""COMPUTED_VALUE"""),"| 5 L JAVA @ | 6 L CPT @ | 9 L INE @ ")</f>
        <v xml:space="preserve">| 5 L JAVA @ | 6 L CPT @ | 9 L INE @ </v>
      </c>
      <c r="BN149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49" s="4" t="str">
        <f ca="1">IFERROR(__xludf.DUMMYFUNCTION("""COMPUTED_VALUE"""),"| 5 P Python @ | 7 L PHP-CGM @ ")</f>
        <v xml:space="preserve">| 5 P Python @ | 7 L PHP-CGM @ </v>
      </c>
      <c r="BP149" s="4" t="str">
        <f ca="1">IFERROR(__xludf.DUMMYFUNCTION("""COMPUTED_VALUE"""),"| 5 P NS @ | 7 L CPT @ | 8 L NS @ ")</f>
        <v xml:space="preserve">| 5 P NS @ | 7 L CPT @ | 8 L NS @ </v>
      </c>
      <c r="BQ149" s="4" t="str">
        <f ca="1">IFERROR(__xludf.DUMMYFUNCTION("""COMPUTED_VALUE"""),"| 5 L JAVA @ | 6 L CPT @ ")</f>
        <v xml:space="preserve">| 5 L JAVA @ | 6 L CPT @ </v>
      </c>
      <c r="BR149" s="4" t="str">
        <f ca="1">IFERROR(__xludf.DUMMYFUNCTION("""COMPUTED_VALUE"""),"| 7 L JAVA @ ")</f>
        <v xml:space="preserve">| 7 L JAVA @ </v>
      </c>
      <c r="BS149" s="4"/>
      <c r="BT149" s="4" t="str">
        <f ca="1">IFERROR(__xludf.DUMMYFUNCTION("""COMPUTED_VALUE"""),"| 7 L CPT @ ")</f>
        <v xml:space="preserve">| 7 L CPT @ </v>
      </c>
      <c r="BU149" s="4" t="str">
        <f ca="1">IFERROR(__xludf.DUMMYFUNCTION("""COMPUTED_VALUE"""),"| 9 P PRO @ ")</f>
        <v xml:space="preserve">| 9 P PRO @ </v>
      </c>
      <c r="BV149" s="4" t="str">
        <f ca="1">IFERROR(__xludf.DUMMYFUNCTION("""COMPUTED_VALUE"""),"| 5 P NS @ | 7 L CPT @ | 8 L NS @ | 9 P Python @ ")</f>
        <v xml:space="preserve">| 5 P NS @ | 7 L CPT @ | 8 L NS @ | 9 P Python @ </v>
      </c>
      <c r="BW149" s="4"/>
      <c r="BX149" s="4" t="str">
        <f ca="1">IFERROR(__xludf.DUMMYFUNCTION("""COMPUTED_VALUE"""),"| 5 L JAVA @ | 6 L CPT @ | 7 P JAVA @ ")</f>
        <v xml:space="preserve">| 5 L JAVA @ | 6 L CPT @ | 7 P JAVA @ </v>
      </c>
      <c r="BY149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BZ149" s="4" t="str">
        <f ca="1">IFERROR(__xludf.DUMMYFUNCTION("""COMPUTED_VALUE"""),"| 5 P Python @ | 8 L JAVA @ | 7 L PHP-CGM @ | 9 P PHP-CGM @ ")</f>
        <v xml:space="preserve">| 5 P Python @ | 8 L JAVA @ | 7 L PHP-CGM @ | 9 P PHP-CGM @ </v>
      </c>
      <c r="CA149" s="4" t="str">
        <f ca="1">IFERROR(__xludf.DUMMYFUNCTION("""COMPUTED_VALUE"""),"| 5 P NS % | 7 L CPT % | 8 L NS % | 9 P Python % ")</f>
        <v xml:space="preserve">| 5 P NS % | 7 L CPT % | 8 L NS % | 9 P Python % </v>
      </c>
      <c r="CB149" s="4" t="str">
        <f ca="1">IFERROR(__xludf.DUMMYFUNCTION("""COMPUTED_VALUE"""),"| 5 L PHP-CGM % | 6 L NS % | 7 P JAVA @ ")</f>
        <v xml:space="preserve">| 5 L PHP-CGM % | 6 L NS % | 7 P JAVA @ </v>
      </c>
      <c r="CC149" s="4" t="str">
        <f ca="1">IFERROR(__xludf.DUMMYFUNCTION("""COMPUTED_VALUE"""),"| 5 L JAVA % | 7 P JAVA % | 9 L INE % ")</f>
        <v xml:space="preserve">| 5 L JAVA % | 7 P JAVA % | 9 L INE % </v>
      </c>
      <c r="CD149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CE149" s="4" t="str">
        <f ca="1">IFERROR(__xludf.DUMMYFUNCTION("""COMPUTED_VALUE"""),"| 5 P Python % | 8 L JAVA % | 7 L PHP-CGM % ")</f>
        <v xml:space="preserve">| 5 P Python % | 8 L JAVA % | 7 L PHP-CGM % </v>
      </c>
      <c r="CF149" s="4" t="str">
        <f ca="1">IFERROR(__xludf.DUMMYFUNCTION("""COMPUTED_VALUE"""),"| 5 P NS % | 7 L CPT % | 8 L NS % | 9 P Python % ")</f>
        <v xml:space="preserve">| 5 P NS % | 7 L CPT % | 8 L NS % | 9 P Python % </v>
      </c>
      <c r="CG149" s="4" t="str">
        <f ca="1">IFERROR(__xludf.DUMMYFUNCTION("""COMPUTED_VALUE"""),"| 5 L PHP-CGM @ | 6 L NS @ | 7 P JAVA % ")</f>
        <v xml:space="preserve">| 5 L PHP-CGM @ | 6 L NS @ | 7 P JAVA % </v>
      </c>
      <c r="CH149" s="4" t="str">
        <f ca="1">IFERROR(__xludf.DUMMYFUNCTION("""COMPUTED_VALUE"""),"| 5 L JAVA @ | 6 L CPT @ | 7 P JAVA % | 9 L INE @ ")</f>
        <v xml:space="preserve">| 5 L JAVA @ | 6 L CPT @ | 7 P JAVA % | 9 L INE @ </v>
      </c>
      <c r="CI149" s="4" t="str">
        <f ca="1">IFERROR(__xludf.DUMMYFUNCTION("""COMPUTED_VALUE"""),"| 5 L PHP-CGM % | 7 L JAVA % | 8 L CPT % | 9 P CPT % ")</f>
        <v xml:space="preserve">| 5 L PHP-CGM % | 7 L JAVA % | 8 L CPT % | 9 P CPT % </v>
      </c>
      <c r="CJ149" s="4" t="str">
        <f ca="1">IFERROR(__xludf.DUMMYFUNCTION("""COMPUTED_VALUE"""),"| 5 P Python % ")</f>
        <v xml:space="preserve">| 5 P Python % </v>
      </c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</row>
    <row r="150" spans="1:102" ht="12.5" x14ac:dyDescent="0.25">
      <c r="A150" s="3">
        <f ca="1">IFERROR(__xludf.DUMMYFUNCTION("""COMPUTED_VALUE"""),4)</f>
        <v>4</v>
      </c>
      <c r="B150" s="3" t="str">
        <f ca="1">IFERROR(__xludf.DUMMYFUNCTION("""COMPUTED_VALUE"""),"B")</f>
        <v>B</v>
      </c>
      <c r="C150" s="32" t="str">
        <f ca="1">IFERROR(__xludf.DUMMYFUNCTION("""COMPUTED_VALUE"""),"23291341161")</f>
        <v>23291341161</v>
      </c>
      <c r="D150" s="4" t="str">
        <f ca="1">IFERROR(__xludf.DUMMYFUNCTION("""COMPUTED_VALUE"""),"TADVI MANSIBEN MUKESHBHAI")</f>
        <v>TADVI MANSIBEN MUKESHBHAI</v>
      </c>
      <c r="E150" s="3" t="str">
        <f ca="1">IFERROR(__xludf.DUMMYFUNCTION("""COMPUTED_VALUE"""),"HAM/HDP-EVE")</f>
        <v>HAM/HDP-EVE</v>
      </c>
      <c r="F150" s="3">
        <f ca="1">IFERROR(__xludf.DUMMYFUNCTION("""COMPUTED_VALUE"""),6352265177)</f>
        <v>6352265177</v>
      </c>
      <c r="G150" s="3"/>
      <c r="H150" s="33">
        <f ca="1">IFERROR(__xludf.DUMMYFUNCTION("""COMPUTED_VALUE"""),0.817391304347826)</f>
        <v>0.81739130434782603</v>
      </c>
      <c r="I150" s="25">
        <f ca="1">IFERROR(__xludf.DUMMYFUNCTION("""COMPUTED_VALUE"""),0.837837837837837)</f>
        <v>0.83783783783783705</v>
      </c>
      <c r="J150" s="25">
        <f ca="1">IFERROR(__xludf.DUMMYFUNCTION("""COMPUTED_VALUE"""),0.833333333333333)</f>
        <v>0.83333333333333304</v>
      </c>
      <c r="K150" s="25">
        <f ca="1">IFERROR(__xludf.DUMMYFUNCTION("""COMPUTED_VALUE"""),0.764705882352941)</f>
        <v>0.76470588235294101</v>
      </c>
      <c r="L150" s="25">
        <f ca="1">IFERROR(__xludf.DUMMYFUNCTION("""COMPUTED_VALUE"""),0.8)</f>
        <v>0.8</v>
      </c>
      <c r="M150" s="25">
        <f ca="1">IFERROR(__xludf.DUMMYFUNCTION("""COMPUTED_VALUE"""),0.828571428571428)</f>
        <v>0.82857142857142796</v>
      </c>
      <c r="N150" s="25">
        <f ca="1">IFERROR(__xludf.DUMMYFUNCTION("""COMPUTED_VALUE"""),0.714285714285714)</f>
        <v>0.71428571428571397</v>
      </c>
      <c r="O150" s="25">
        <f ca="1">IFERROR(__xludf.DUMMYFUNCTION("""COMPUTED_VALUE"""),0.914285714285714)</f>
        <v>0.91428571428571404</v>
      </c>
      <c r="P150" s="25">
        <f ca="1">IFERROR(__xludf.DUMMYFUNCTION("""COMPUTED_VALUE"""),0.904761904761904)</f>
        <v>0.90476190476190399</v>
      </c>
      <c r="Q150" s="25">
        <f ca="1">IFERROR(__xludf.DUMMYFUNCTION("""COMPUTED_VALUE"""),0)</f>
        <v>0</v>
      </c>
      <c r="R150" s="25">
        <f ca="1">IFERROR(__xludf.DUMMYFUNCTION("""COMPUTED_VALUE"""),0.818181818181818)</f>
        <v>0.81818181818181801</v>
      </c>
      <c r="S150" s="25">
        <f ca="1">IFERROR(__xludf.DUMMYFUNCTION("""COMPUTED_VALUE"""),0)</f>
        <v>0</v>
      </c>
      <c r="T150" s="25">
        <f ca="1">IFERROR(__xludf.DUMMYFUNCTION("""COMPUTED_VALUE"""),0.555555555555555)</f>
        <v>0.55555555555555503</v>
      </c>
      <c r="U150" s="25">
        <f ca="1">IFERROR(__xludf.DUMMYFUNCTION("""COMPUTED_VALUE"""),0.625)</f>
        <v>0.625</v>
      </c>
      <c r="V150" s="25">
        <f ca="1">IFERROR(__xludf.DUMMYFUNCTION("""COMPUTED_VALUE"""),0)</f>
        <v>0</v>
      </c>
      <c r="W150" s="4"/>
      <c r="X150" s="4" t="str">
        <f ca="1">IFERROR(__xludf.DUMMYFUNCTION("""COMPUTED_VALUE"""),"| 7 L CPT @ | 8 L NS @ | 9 P Python @ ")</f>
        <v xml:space="preserve">| 7 L CPT @ | 8 L NS @ | 9 P Python @ </v>
      </c>
      <c r="Y150" s="4" t="str">
        <f ca="1">IFERROR(__xludf.DUMMYFUNCTION("""COMPUTED_VALUE"""),"| 5 L PHP-CGM @ | 6 L NS @ | 7 P JAVA @ | 9 P PRO @ ")</f>
        <v xml:space="preserve">| 5 L PHP-CGM @ | 6 L NS @ | 7 P JAVA @ | 9 P PRO @ </v>
      </c>
      <c r="Z150" s="4" t="str">
        <f ca="1">IFERROR(__xludf.DUMMYFUNCTION("""COMPUTED_VALUE"""),"| 5 L JAVA % | 6 L CPT % | 7 P JAVA % ")</f>
        <v xml:space="preserve">| 5 L JAVA % | 6 L CPT % | 7 P JAVA % </v>
      </c>
      <c r="AA150" s="4" t="str">
        <f ca="1">IFERROR(__xludf.DUMMYFUNCTION("""COMPUTED_VALUE"""),"| 5 L PHP-CGM % | 7 L JAVA % | 9 P CPT % | 8 L CPT % ")</f>
        <v xml:space="preserve">| 5 L PHP-CGM % | 7 L JAVA % | 9 P CPT % | 8 L CPT % </v>
      </c>
      <c r="AB150" s="4" t="str">
        <f ca="1">IFERROR(__xludf.DUMMYFUNCTION("""COMPUTED_VALUE"""),"| 5 P Python % | 7 L PHP-CGM % | 8 L JAVA % | 9 P PHP-CGM % ")</f>
        <v xml:space="preserve">| 5 P Python % | 7 L PHP-CGM % | 8 L JAVA % | 9 P PHP-CGM % </v>
      </c>
      <c r="AC150" s="4" t="str">
        <f ca="1">IFERROR(__xludf.DUMMYFUNCTION("""COMPUTED_VALUE"""),"| 5 P NS % | 7 L CPT % | 8 L NS % | 9 P Python % ")</f>
        <v xml:space="preserve">| 5 P NS % | 7 L CPT % | 8 L NS % | 9 P Python % </v>
      </c>
      <c r="AD150" s="4" t="str">
        <f ca="1">IFERROR(__xludf.DUMMYFUNCTION("""COMPUTED_VALUE"""),"| 5 L PHP-CGM % | 6 L NS % | 7 P JAVA % | 9 P PRO % ")</f>
        <v xml:space="preserve">| 5 L PHP-CGM % | 6 L NS % | 7 P JAVA % | 9 P PRO % </v>
      </c>
      <c r="AE150" s="4" t="str">
        <f ca="1">IFERROR(__xludf.DUMMYFUNCTION("""COMPUTED_VALUE"""),"| 5 L JAVA % | 6 L CPT % | 7 P JAVA % ")</f>
        <v xml:space="preserve">| 5 L JAVA % | 6 L CPT % | 7 P JAVA % </v>
      </c>
      <c r="AF15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50" s="4" t="str">
        <f ca="1">IFERROR(__xludf.DUMMYFUNCTION("""COMPUTED_VALUE"""),"| 5 P Python % | 8 L JAVA % | 7 L PHP-CGM % | 9 P PHP-CGM @ ")</f>
        <v xml:space="preserve">| 5 P Python % | 8 L JAVA % | 7 L PHP-CGM % | 9 P PHP-CGM @ </v>
      </c>
      <c r="AH15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50" s="4" t="str">
        <f ca="1">IFERROR(__xludf.DUMMYFUNCTION("""COMPUTED_VALUE"""),"| 5 P Python % | 8 L JAVA % | 7 L PHP-CGM % | 9 P PHP-CGM % ")</f>
        <v xml:space="preserve">| 5 P Python % | 8 L JAVA % | 7 L PHP-CGM % | 9 P PHP-CGM % </v>
      </c>
      <c r="AJ150" s="4" t="str">
        <f ca="1">IFERROR(__xludf.DUMMYFUNCTION("""COMPUTED_VALUE"""),"| 5 P NS % | 7 L CPT % | 8 L NS % | 9 P Python % ")</f>
        <v xml:space="preserve">| 5 P NS % | 7 L CPT % | 8 L NS % | 9 P Python % </v>
      </c>
      <c r="AK150" s="4" t="str">
        <f ca="1">IFERROR(__xludf.DUMMYFUNCTION("""COMPUTED_VALUE"""),"| 5 L PHP-CGM % | 6 L NS % | 7 P JAVA % | 9 P PRO @ ")</f>
        <v xml:space="preserve">| 5 L PHP-CGM % | 6 L NS % | 7 P JAVA % | 9 P PRO @ </v>
      </c>
      <c r="AL150" s="4" t="str">
        <f ca="1">IFERROR(__xludf.DUMMYFUNCTION("""COMPUTED_VALUE"""),"| 5 L JAVA % | 6 L CPT % | 7 P JAVA % | 9 L INE % ")</f>
        <v xml:space="preserve">| 5 L JAVA % | 6 L CPT % | 7 P JAVA % | 9 L INE % </v>
      </c>
      <c r="AM150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N150" s="4" t="str">
        <f ca="1">IFERROR(__xludf.DUMMYFUNCTION("""COMPUTED_VALUE"""),"| 5 P Python @ | 8 L JAVA @ | 7 L PHP-CGM @ | 9 P PHP-CGM @ ")</f>
        <v xml:space="preserve">| 5 P Python @ | 8 L JAVA @ | 7 L PHP-CGM @ | 9 P PHP-CGM @ </v>
      </c>
      <c r="AO150" s="4" t="str">
        <f ca="1">IFERROR(__xludf.DUMMYFUNCTION("""COMPUTED_VALUE"""),"| 5 P NS @ | 7 L CPT @ | 8 L NS @ | 9 P Python @ ")</f>
        <v xml:space="preserve">| 5 P NS @ | 7 L CPT @ | 8 L NS @ | 9 P Python @ </v>
      </c>
      <c r="AP150" s="4" t="str">
        <f ca="1">IFERROR(__xludf.DUMMYFUNCTION("""COMPUTED_VALUE"""),"| 5 L PHP-CGM % | 6 L NS % | 7 P JAVA % | 9 P PRO % ")</f>
        <v xml:space="preserve">| 5 L PHP-CGM % | 6 L NS % | 7 P JAVA % | 9 P PRO % </v>
      </c>
      <c r="AQ150" s="4" t="str">
        <f ca="1">IFERROR(__xludf.DUMMYFUNCTION("""COMPUTED_VALUE"""),"| 5 L CPT % | 7 L JAVA % | 7 P JAVA % | 9 L INE % ")</f>
        <v xml:space="preserve">| 5 L CPT % | 7 L JAVA % | 7 P JAVA % | 9 L INE % </v>
      </c>
      <c r="AR150" s="4" t="str">
        <f ca="1">IFERROR(__xludf.DUMMYFUNCTION("""COMPUTED_VALUE"""),"| 5 L PHP-CGM % | 6 L NS % | 8 L CPT @ ")</f>
        <v xml:space="preserve">| 5 L PHP-CGM % | 6 L NS % | 8 L CPT @ </v>
      </c>
      <c r="AS150" s="4" t="str">
        <f ca="1">IFERROR(__xludf.DUMMYFUNCTION("""COMPUTED_VALUE"""),"| 5 P NS % | 7 L CPT % | 8 L NS % | 9 P Python % ")</f>
        <v xml:space="preserve">| 5 P NS % | 7 L CPT % | 8 L NS % | 9 P Python % </v>
      </c>
      <c r="AT150" s="4" t="str">
        <f ca="1">IFERROR(__xludf.DUMMYFUNCTION("""COMPUTED_VALUE"""),"| 5 L PHP-CGM % | 6 L NS % | 7 P JAVA % | 9 P PRO % ")</f>
        <v xml:space="preserve">| 5 L PHP-CGM % | 6 L NS % | 7 P JAVA % | 9 P PRO % </v>
      </c>
      <c r="AU150" s="4" t="str">
        <f ca="1">IFERROR(__xludf.DUMMYFUNCTION("""COMPUTED_VALUE"""),"| 5 L JAVA % | 6 L CPT % | 7 P JAVA % | 9 L INE % ")</f>
        <v xml:space="preserve">| 5 L JAVA % | 6 L CPT % | 7 P JAVA % | 9 L INE % </v>
      </c>
      <c r="AV150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50" s="4" t="str">
        <f ca="1">IFERROR(__xludf.DUMMYFUNCTION("""COMPUTED_VALUE"""),"| 5 P Python % | 7 L PHP-CGM % | 8 L JAVA % | 9 P PHP-CGM % ")</f>
        <v xml:space="preserve">| 5 P Python % | 7 L PHP-CGM % | 8 L JAVA % | 9 P PHP-CGM % </v>
      </c>
      <c r="AX150" s="4" t="str">
        <f ca="1">IFERROR(__xludf.DUMMYFUNCTION("""COMPUTED_VALUE"""),"| 5 P NS % | 7 L CPT % | 8 L NS % | 9 P Python % ")</f>
        <v xml:space="preserve">| 5 P NS % | 7 L CPT % | 8 L NS % | 9 P Python % </v>
      </c>
      <c r="AY150" s="4" t="str">
        <f ca="1">IFERROR(__xludf.DUMMYFUNCTION("""COMPUTED_VALUE"""),"| 5 L PHP-CGM % | 6 L NS % | 7 P JAVA % ")</f>
        <v xml:space="preserve">| 5 L PHP-CGM % | 6 L NS % | 7 P JAVA % </v>
      </c>
      <c r="AZ15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50" s="4" t="str">
        <f ca="1">IFERROR(__xludf.DUMMYFUNCTION("""COMPUTED_VALUE"""),"| 5 P Python % | 7 L PHP-CGM @ | 8 L JAVA @ ")</f>
        <v xml:space="preserve">| 5 P Python % | 7 L PHP-CGM @ | 8 L JAVA @ </v>
      </c>
      <c r="BB150" s="4" t="str">
        <f ca="1">IFERROR(__xludf.DUMMYFUNCTION("""COMPUTED_VALUE"""),"| 5 P NS % | 7 L CPT % | 8 L NS % | 9 P Python % ")</f>
        <v xml:space="preserve">| 5 P NS % | 7 L CPT % | 8 L NS % | 9 P Python % </v>
      </c>
      <c r="BC150" s="4" t="str">
        <f ca="1">IFERROR(__xludf.DUMMYFUNCTION("""COMPUTED_VALUE"""),"| 5 L PHP-CGM % | 6 L NS % | 7 P JAVA % | 9 P PRO % ")</f>
        <v xml:space="preserve">| 5 L PHP-CGM % | 6 L NS % | 7 P JAVA % | 9 P PRO % </v>
      </c>
      <c r="BD150" s="4" t="str">
        <f ca="1">IFERROR(__xludf.DUMMYFUNCTION("""COMPUTED_VALUE"""),"| 5 L JAVA % | 6 L CPT % | 7 P JAVA % | 9 L INE @ ")</f>
        <v xml:space="preserve">| 5 L JAVA % | 6 L CPT % | 7 P JAVA % | 9 L INE @ </v>
      </c>
      <c r="BE15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50" s="4" t="str">
        <f ca="1">IFERROR(__xludf.DUMMYFUNCTION("""COMPUTED_VALUE"""),"| 5 P Python % | 7 L PHP-CGM % | 8 L JAVA % | 9 P PHP-CGM % ")</f>
        <v xml:space="preserve">| 5 P Python % | 7 L PHP-CGM % | 8 L JAVA % | 9 P PHP-CGM % </v>
      </c>
      <c r="BG150" s="4" t="str">
        <f ca="1">IFERROR(__xludf.DUMMYFUNCTION("""COMPUTED_VALUE"""),"| 5 L PHP-CGM % | 6 L NS % | 7 P JAVA % | 9 P PRO % ")</f>
        <v xml:space="preserve">| 5 L PHP-CGM % | 6 L NS % | 7 P JAVA % | 9 P PRO % </v>
      </c>
      <c r="BH150" s="4" t="str">
        <f ca="1">IFERROR(__xludf.DUMMYFUNCTION("""COMPUTED_VALUE"""),"| 5 L JAVA % | 6 L CPT % | 7 P JAVA % | 9 L INE % ")</f>
        <v xml:space="preserve">| 5 L JAVA % | 6 L CPT % | 7 P JAVA % | 9 L INE % </v>
      </c>
      <c r="BI15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50" s="4" t="str">
        <f ca="1">IFERROR(__xludf.DUMMYFUNCTION("""COMPUTED_VALUE"""),"| 5 P Python % | 7 L JAVA % | 7 L PHP-CGM % ")</f>
        <v xml:space="preserve">| 5 P Python % | 7 L JAVA % | 7 L PHP-CGM % </v>
      </c>
      <c r="BK150" s="4" t="str">
        <f ca="1">IFERROR(__xludf.DUMMYFUNCTION("""COMPUTED_VALUE"""),"| 7 L CPT % | 8 L NS @ ")</f>
        <v xml:space="preserve">| 7 L CPT % | 8 L NS @ </v>
      </c>
      <c r="BL150" s="4" t="str">
        <f ca="1">IFERROR(__xludf.DUMMYFUNCTION("""COMPUTED_VALUE"""),"| 5 L PHP-CGM % | 6 L NS % | 7 P JAVA % | 9 P PRO @ ")</f>
        <v xml:space="preserve">| 5 L PHP-CGM % | 6 L NS % | 7 P JAVA % | 9 P PRO @ </v>
      </c>
      <c r="BM150" s="4" t="str">
        <f ca="1">IFERROR(__xludf.DUMMYFUNCTION("""COMPUTED_VALUE"""),"| 5 L JAVA % | 6 L CPT % | 9 L INE @ ")</f>
        <v xml:space="preserve">| 5 L JAVA % | 6 L CPT % | 9 L INE @ </v>
      </c>
      <c r="BN150" s="4" t="str">
        <f ca="1">IFERROR(__xludf.DUMMYFUNCTION("""COMPUTED_VALUE"""),"| 5 L PHP-CGM % | 6 L NS % | 9 L JAVA % | 8 L CPT % | 9 P CPT % ")</f>
        <v xml:space="preserve">| 5 L PHP-CGM % | 6 L NS % | 9 L JAVA % | 8 L CPT % | 9 P CPT % </v>
      </c>
      <c r="BO150" s="4" t="str">
        <f ca="1">IFERROR(__xludf.DUMMYFUNCTION("""COMPUTED_VALUE"""),"| 5 P Python % | 7 L PHP-CGM % ")</f>
        <v xml:space="preserve">| 5 P Python % | 7 L PHP-CGM % </v>
      </c>
      <c r="BP150" s="4" t="str">
        <f ca="1">IFERROR(__xludf.DUMMYFUNCTION("""COMPUTED_VALUE"""),"| 5 P NS % | 7 L CPT % | 8 L NS % ")</f>
        <v xml:space="preserve">| 5 P NS % | 7 L CPT % | 8 L NS % </v>
      </c>
      <c r="BQ150" s="4" t="str">
        <f ca="1">IFERROR(__xludf.DUMMYFUNCTION("""COMPUTED_VALUE"""),"| 5 L JAVA % | 6 L CPT % ")</f>
        <v xml:space="preserve">| 5 L JAVA % | 6 L CPT % </v>
      </c>
      <c r="BR150" s="4" t="str">
        <f ca="1">IFERROR(__xludf.DUMMYFUNCTION("""COMPUTED_VALUE"""),"| 7 L JAVA % ")</f>
        <v xml:space="preserve">| 7 L JAVA % </v>
      </c>
      <c r="BS150" s="4"/>
      <c r="BT150" s="4" t="str">
        <f ca="1">IFERROR(__xludf.DUMMYFUNCTION("""COMPUTED_VALUE"""),"| 7 L CPT @ ")</f>
        <v xml:space="preserve">| 7 L CPT @ </v>
      </c>
      <c r="BU150" s="4" t="str">
        <f ca="1">IFERROR(__xludf.DUMMYFUNCTION("""COMPUTED_VALUE"""),"| 9 P PRO @ ")</f>
        <v xml:space="preserve">| 9 P PRO @ </v>
      </c>
      <c r="BV150" s="4" t="str">
        <f ca="1">IFERROR(__xludf.DUMMYFUNCTION("""COMPUTED_VALUE"""),"| 5 P NS @ | 7 L CPT @ | 8 L NS @ | 9 P Python @ ")</f>
        <v xml:space="preserve">| 5 P NS @ | 7 L CPT @ | 8 L NS @ | 9 P Python @ </v>
      </c>
      <c r="BW150" s="4"/>
      <c r="BX150" s="4" t="str">
        <f ca="1">IFERROR(__xludf.DUMMYFUNCTION("""COMPUTED_VALUE"""),"| 5 L JAVA % | 6 L CPT % | 7 P JAVA % ")</f>
        <v xml:space="preserve">| 5 L JAVA % | 6 L CPT % | 7 P JAVA % </v>
      </c>
      <c r="BY15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50" s="4" t="str">
        <f ca="1">IFERROR(__xludf.DUMMYFUNCTION("""COMPUTED_VALUE"""),"| 5 P Python % | 8 L JAVA % | 7 L PHP-CGM % | 9 P PHP-CGM % ")</f>
        <v xml:space="preserve">| 5 P Python % | 8 L JAVA % | 7 L PHP-CGM % | 9 P PHP-CGM % </v>
      </c>
      <c r="CA150" s="4" t="str">
        <f ca="1">IFERROR(__xludf.DUMMYFUNCTION("""COMPUTED_VALUE"""),"| 5 P NS % | 7 L CPT % | 8 L NS % | 9 P Python % ")</f>
        <v xml:space="preserve">| 5 P NS % | 7 L CPT % | 8 L NS % | 9 P Python % </v>
      </c>
      <c r="CB150" s="4" t="str">
        <f ca="1">IFERROR(__xludf.DUMMYFUNCTION("""COMPUTED_VALUE"""),"| 5 L PHP-CGM @ | 6 L NS @ | 7 P JAVA @ ")</f>
        <v xml:space="preserve">| 5 L PHP-CGM @ | 6 L NS @ | 7 P JAVA @ </v>
      </c>
      <c r="CC150" s="4" t="str">
        <f ca="1">IFERROR(__xludf.DUMMYFUNCTION("""COMPUTED_VALUE"""),"| 5 L JAVA % | 7 P JAVA % | 9 L INE % ")</f>
        <v xml:space="preserve">| 5 L JAVA % | 7 P JAVA % | 9 L INE % </v>
      </c>
      <c r="CD15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50" s="4" t="str">
        <f ca="1">IFERROR(__xludf.DUMMYFUNCTION("""COMPUTED_VALUE"""),"| 5 P Python % | 8 L JAVA % | 7 L PHP-CGM % ")</f>
        <v xml:space="preserve">| 5 P Python % | 8 L JAVA % | 7 L PHP-CGM % </v>
      </c>
      <c r="CF150" s="4" t="str">
        <f ca="1">IFERROR(__xludf.DUMMYFUNCTION("""COMPUTED_VALUE"""),"| 5 P NS % | 7 L CPT % | 8 L NS % | 9 P Python % ")</f>
        <v xml:space="preserve">| 5 P NS % | 7 L CPT % | 8 L NS % | 9 P Python % </v>
      </c>
      <c r="CG150" s="4" t="str">
        <f ca="1">IFERROR(__xludf.DUMMYFUNCTION("""COMPUTED_VALUE"""),"| 5 L PHP-CGM @ | 6 L NS @ | 7 P JAVA % ")</f>
        <v xml:space="preserve">| 5 L PHP-CGM @ | 6 L NS @ | 7 P JAVA % </v>
      </c>
      <c r="CH150" s="4" t="str">
        <f ca="1">IFERROR(__xludf.DUMMYFUNCTION("""COMPUTED_VALUE"""),"| 5 L JAVA % | 6 L CPT % | 7 P JAVA % | 9 L INE @ ")</f>
        <v xml:space="preserve">| 5 L JAVA % | 6 L CPT % | 7 P JAVA % | 9 L INE @ </v>
      </c>
      <c r="CI150" s="4" t="str">
        <f ca="1">IFERROR(__xludf.DUMMYFUNCTION("""COMPUTED_VALUE"""),"| 5 L PHP-CGM % | 7 L JAVA % | 8 L CPT % | 9 P CPT % ")</f>
        <v xml:space="preserve">| 5 L PHP-CGM % | 7 L JAVA % | 8 L CPT % | 9 P CPT % </v>
      </c>
      <c r="CJ150" s="4" t="str">
        <f ca="1">IFERROR(__xludf.DUMMYFUNCTION("""COMPUTED_VALUE"""),"| 5 P Python % ")</f>
        <v xml:space="preserve">| 5 P Python % </v>
      </c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</row>
    <row r="151" spans="1:102" ht="12.5" x14ac:dyDescent="0.25">
      <c r="A151" s="3">
        <f ca="1">IFERROR(__xludf.DUMMYFUNCTION("""COMPUTED_VALUE"""),4)</f>
        <v>4</v>
      </c>
      <c r="B151" s="3" t="str">
        <f ca="1">IFERROR(__xludf.DUMMYFUNCTION("""COMPUTED_VALUE"""),"B")</f>
        <v>B</v>
      </c>
      <c r="C151" s="32" t="str">
        <f ca="1">IFERROR(__xludf.DUMMYFUNCTION("""COMPUTED_VALUE"""),"23291341163")</f>
        <v>23291341163</v>
      </c>
      <c r="D151" s="4" t="str">
        <f ca="1">IFERROR(__xludf.DUMMYFUNCTION("""COMPUTED_VALUE"""),"THAKOR PRAKASH RAJUJI")</f>
        <v>THAKOR PRAKASH RAJUJI</v>
      </c>
      <c r="E151" s="3" t="str">
        <f ca="1">IFERROR(__xludf.DUMMYFUNCTION("""COMPUTED_VALUE"""),"HAM/HDP-EVE")</f>
        <v>HAM/HDP-EVE</v>
      </c>
      <c r="F151" s="3">
        <f ca="1">IFERROR(__xludf.DUMMYFUNCTION("""COMPUTED_VALUE"""),9313821334)</f>
        <v>9313821334</v>
      </c>
      <c r="G151" s="3">
        <f ca="1">IFERROR(__xludf.DUMMYFUNCTION("""COMPUTED_VALUE"""),9924641475)</f>
        <v>9924641475</v>
      </c>
      <c r="H151" s="33">
        <f ca="1">IFERROR(__xludf.DUMMYFUNCTION("""COMPUTED_VALUE"""),0.57391304347826)</f>
        <v>0.57391304347826</v>
      </c>
      <c r="I151" s="25">
        <f ca="1">IFERROR(__xludf.DUMMYFUNCTION("""COMPUTED_VALUE"""),0.567567567567567)</f>
        <v>0.56756756756756699</v>
      </c>
      <c r="J151" s="25">
        <f ca="1">IFERROR(__xludf.DUMMYFUNCTION("""COMPUTED_VALUE"""),0.5)</f>
        <v>0.5</v>
      </c>
      <c r="K151" s="25">
        <f ca="1">IFERROR(__xludf.DUMMYFUNCTION("""COMPUTED_VALUE"""),0.558823529411764)</f>
        <v>0.55882352941176405</v>
      </c>
      <c r="L151" s="25">
        <f ca="1">IFERROR(__xludf.DUMMYFUNCTION("""COMPUTED_VALUE"""),0.6)</f>
        <v>0.6</v>
      </c>
      <c r="M151" s="25">
        <f ca="1">IFERROR(__xludf.DUMMYFUNCTION("""COMPUTED_VALUE"""),0.542857142857142)</f>
        <v>0.54285714285714204</v>
      </c>
      <c r="N151" s="25">
        <f ca="1">IFERROR(__xludf.DUMMYFUNCTION("""COMPUTED_VALUE"""),0.428571428571428)</f>
        <v>0.42857142857142799</v>
      </c>
      <c r="O151" s="25">
        <f ca="1">IFERROR(__xludf.DUMMYFUNCTION("""COMPUTED_VALUE"""),0.571428571428571)</f>
        <v>0.57142857142857095</v>
      </c>
      <c r="P151" s="25">
        <f ca="1">IFERROR(__xludf.DUMMYFUNCTION("""COMPUTED_VALUE"""),0.809523809523809)</f>
        <v>0.80952380952380898</v>
      </c>
      <c r="Q151" s="25">
        <f ca="1">IFERROR(__xludf.DUMMYFUNCTION("""COMPUTED_VALUE"""),0)</f>
        <v>0</v>
      </c>
      <c r="R151" s="25">
        <f ca="1">IFERROR(__xludf.DUMMYFUNCTION("""COMPUTED_VALUE"""),0.545454545454545)</f>
        <v>0.54545454545454497</v>
      </c>
      <c r="S151" s="25">
        <f ca="1">IFERROR(__xludf.DUMMYFUNCTION("""COMPUTED_VALUE"""),0)</f>
        <v>0</v>
      </c>
      <c r="T151" s="25">
        <f ca="1">IFERROR(__xludf.DUMMYFUNCTION("""COMPUTED_VALUE"""),0.333333333333333)</f>
        <v>0.33333333333333298</v>
      </c>
      <c r="U151" s="25">
        <f ca="1">IFERROR(__xludf.DUMMYFUNCTION("""COMPUTED_VALUE"""),0.75)</f>
        <v>0.75</v>
      </c>
      <c r="V151" s="25">
        <f ca="1">IFERROR(__xludf.DUMMYFUNCTION("""COMPUTED_VALUE"""),0)</f>
        <v>0</v>
      </c>
      <c r="W151" s="4"/>
      <c r="X151" s="4" t="str">
        <f ca="1">IFERROR(__xludf.DUMMYFUNCTION("""COMPUTED_VALUE"""),"| 7 L CPT % | 8 L NS % | 9 P Python @ ")</f>
        <v xml:space="preserve">| 7 L CPT % | 8 L NS % | 9 P Python @ </v>
      </c>
      <c r="Y151" s="4" t="str">
        <f ca="1">IFERROR(__xludf.DUMMYFUNCTION("""COMPUTED_VALUE"""),"| 5 L PHP-CGM % | 6 L NS % | 7 P JAVA % | 9 P PRO % ")</f>
        <v xml:space="preserve">| 5 L PHP-CGM % | 6 L NS % | 7 P JAVA % | 9 P PRO % </v>
      </c>
      <c r="Z151" s="4" t="str">
        <f ca="1">IFERROR(__xludf.DUMMYFUNCTION("""COMPUTED_VALUE"""),"| 5 L JAVA % | 6 L CPT % | 7 P JAVA % ")</f>
        <v xml:space="preserve">| 5 L JAVA % | 6 L CPT % | 7 P JAVA % </v>
      </c>
      <c r="AA151" s="4" t="str">
        <f ca="1">IFERROR(__xludf.DUMMYFUNCTION("""COMPUTED_VALUE"""),"| 5 L PHP-CGM % | 7 L JAVA % | 9 P CPT % | 8 L CPT % ")</f>
        <v xml:space="preserve">| 5 L PHP-CGM % | 7 L JAVA % | 9 P CPT % | 8 L CPT % </v>
      </c>
      <c r="AB151" s="4" t="str">
        <f ca="1">IFERROR(__xludf.DUMMYFUNCTION("""COMPUTED_VALUE"""),"| 5 P Python % | 7 L PHP-CGM % | 8 L JAVA % | 9 P PHP-CGM % ")</f>
        <v xml:space="preserve">| 5 P Python % | 7 L PHP-CGM % | 8 L JAVA % | 9 P PHP-CGM % </v>
      </c>
      <c r="AC151" s="4" t="str">
        <f ca="1">IFERROR(__xludf.DUMMYFUNCTION("""COMPUTED_VALUE"""),"| 5 P NS % | 7 L CPT % | 8 L NS % | 9 P Python % ")</f>
        <v xml:space="preserve">| 5 P NS % | 7 L CPT % | 8 L NS % | 9 P Python % </v>
      </c>
      <c r="AD151" s="4" t="str">
        <f ca="1">IFERROR(__xludf.DUMMYFUNCTION("""COMPUTED_VALUE"""),"| 5 L PHP-CGM % | 6 L NS % | 7 P JAVA % | 9 P PRO @ ")</f>
        <v xml:space="preserve">| 5 L PHP-CGM % | 6 L NS % | 7 P JAVA % | 9 P PRO @ </v>
      </c>
      <c r="AE151" s="4" t="str">
        <f ca="1">IFERROR(__xludf.DUMMYFUNCTION("""COMPUTED_VALUE"""),"| 5 L JAVA % | 6 L CPT % | 7 P JAVA % ")</f>
        <v xml:space="preserve">| 5 L JAVA % | 6 L CPT % | 7 P JAVA % </v>
      </c>
      <c r="AF151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G151" s="4" t="str">
        <f ca="1">IFERROR(__xludf.DUMMYFUNCTION("""COMPUTED_VALUE"""),"| 5 P Python % | 8 L JAVA % | 7 L PHP-CGM % | 9 P PHP-CGM % ")</f>
        <v xml:space="preserve">| 5 P Python % | 8 L JAVA % | 7 L PHP-CGM % | 9 P PHP-CGM % </v>
      </c>
      <c r="AH151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I151" s="4" t="str">
        <f ca="1">IFERROR(__xludf.DUMMYFUNCTION("""COMPUTED_VALUE"""),"| 5 P Python % | 8 L JAVA % | 7 L PHP-CGM % | 9 P PHP-CGM % ")</f>
        <v xml:space="preserve">| 5 P Python % | 8 L JAVA % | 7 L PHP-CGM % | 9 P PHP-CGM % </v>
      </c>
      <c r="AJ151" s="4" t="str">
        <f ca="1">IFERROR(__xludf.DUMMYFUNCTION("""COMPUTED_VALUE"""),"| 5 P NS % | 7 L CPT % | 8 L NS % | 9 P Python % ")</f>
        <v xml:space="preserve">| 5 P NS % | 7 L CPT % | 8 L NS % | 9 P Python % </v>
      </c>
      <c r="AK151" s="4" t="str">
        <f ca="1">IFERROR(__xludf.DUMMYFUNCTION("""COMPUTED_VALUE"""),"| 5 L PHP-CGM % | 6 L NS % | 7 P JAVA % | 9 P PRO % ")</f>
        <v xml:space="preserve">| 5 L PHP-CGM % | 6 L NS % | 7 P JAVA % | 9 P PRO % </v>
      </c>
      <c r="AL151" s="4" t="str">
        <f ca="1">IFERROR(__xludf.DUMMYFUNCTION("""COMPUTED_VALUE"""),"| 5 L JAVA % | 6 L CPT % | 7 P JAVA % | 9 L INE % ")</f>
        <v xml:space="preserve">| 5 L JAVA % | 6 L CPT % | 7 P JAVA % | 9 L INE % </v>
      </c>
      <c r="AM15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51" s="4" t="str">
        <f ca="1">IFERROR(__xludf.DUMMYFUNCTION("""COMPUTED_VALUE"""),"| 5 P Python % | 8 L JAVA @ | 7 L PHP-CGM @ | 9 P PHP-CGM @ ")</f>
        <v xml:space="preserve">| 5 P Python % | 8 L JAVA @ | 7 L PHP-CGM @ | 9 P PHP-CGM @ </v>
      </c>
      <c r="AO151" s="4" t="str">
        <f ca="1">IFERROR(__xludf.DUMMYFUNCTION("""COMPUTED_VALUE"""),"| 5 P NS @ | 7 L CPT @ | 8 L NS @ | 9 P Python @ ")</f>
        <v xml:space="preserve">| 5 P NS @ | 7 L CPT @ | 8 L NS @ | 9 P Python @ </v>
      </c>
      <c r="AP151" s="4" t="str">
        <f ca="1">IFERROR(__xludf.DUMMYFUNCTION("""COMPUTED_VALUE"""),"| 5 L PHP-CGM % | 6 L NS % | 7 P JAVA % | 9 P PRO @ ")</f>
        <v xml:space="preserve">| 5 L PHP-CGM % | 6 L NS % | 7 P JAVA % | 9 P PRO @ </v>
      </c>
      <c r="AQ151" s="4" t="str">
        <f ca="1">IFERROR(__xludf.DUMMYFUNCTION("""COMPUTED_VALUE"""),"| 5 L CPT % | 7 L JAVA % | 7 P JAVA % | 9 L INE % ")</f>
        <v xml:space="preserve">| 5 L CPT % | 7 L JAVA % | 7 P JAVA % | 9 L INE % </v>
      </c>
      <c r="AR151" s="4" t="str">
        <f ca="1">IFERROR(__xludf.DUMMYFUNCTION("""COMPUTED_VALUE"""),"| 5 L PHP-CGM @ | 6 L NS @ | 8 L CPT @ ")</f>
        <v xml:space="preserve">| 5 L PHP-CGM @ | 6 L NS @ | 8 L CPT @ </v>
      </c>
      <c r="AS151" s="4" t="str">
        <f ca="1">IFERROR(__xludf.DUMMYFUNCTION("""COMPUTED_VALUE"""),"| 5 P NS % | 7 L CPT @ | 8 L NS @ | 9 P Python @ ")</f>
        <v xml:space="preserve">| 5 P NS % | 7 L CPT @ | 8 L NS @ | 9 P Python @ </v>
      </c>
      <c r="AT151" s="4" t="str">
        <f ca="1">IFERROR(__xludf.DUMMYFUNCTION("""COMPUTED_VALUE"""),"| 5 L PHP-CGM % | 6 L NS % | 7 P JAVA % | 9 P PRO @ ")</f>
        <v xml:space="preserve">| 5 L PHP-CGM % | 6 L NS % | 7 P JAVA % | 9 P PRO @ </v>
      </c>
      <c r="AU151" s="4" t="str">
        <f ca="1">IFERROR(__xludf.DUMMYFUNCTION("""COMPUTED_VALUE"""),"| 5 L JAVA % | 6 L CPT % | 7 P JAVA % | 9 L INE % ")</f>
        <v xml:space="preserve">| 5 L JAVA % | 6 L CPT % | 7 P JAVA % | 9 L INE % </v>
      </c>
      <c r="AV151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51" s="4" t="str">
        <f ca="1">IFERROR(__xludf.DUMMYFUNCTION("""COMPUTED_VALUE"""),"| 5 P Python @ | 7 L PHP-CGM @ | 8 L JAVA @ | 9 P PHP-CGM @ ")</f>
        <v xml:space="preserve">| 5 P Python @ | 7 L PHP-CGM @ | 8 L JAVA @ | 9 P PHP-CGM @ </v>
      </c>
      <c r="AX151" s="4" t="str">
        <f ca="1">IFERROR(__xludf.DUMMYFUNCTION("""COMPUTED_VALUE"""),"| 5 P NS % | 7 L CPT @ | 8 L NS @ | 9 P Python @ ")</f>
        <v xml:space="preserve">| 5 P NS % | 7 L CPT @ | 8 L NS @ | 9 P Python @ </v>
      </c>
      <c r="AY151" s="4" t="str">
        <f ca="1">IFERROR(__xludf.DUMMYFUNCTION("""COMPUTED_VALUE"""),"| 5 L PHP-CGM % | 6 L NS % | 7 P JAVA % ")</f>
        <v xml:space="preserve">| 5 L PHP-CGM % | 6 L NS % | 7 P JAVA % </v>
      </c>
      <c r="AZ15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51" s="4" t="str">
        <f ca="1">IFERROR(__xludf.DUMMYFUNCTION("""COMPUTED_VALUE"""),"| 5 P Python @ | 7 L PHP-CGM @ | 8 L JAVA @ ")</f>
        <v xml:space="preserve">| 5 P Python @ | 7 L PHP-CGM @ | 8 L JAVA @ </v>
      </c>
      <c r="BB151" s="4" t="str">
        <f ca="1">IFERROR(__xludf.DUMMYFUNCTION("""COMPUTED_VALUE"""),"| 5 P NS % | 7 L CPT % | 8 L NS % | 9 P Python % ")</f>
        <v xml:space="preserve">| 5 P NS % | 7 L CPT % | 8 L NS % | 9 P Python % </v>
      </c>
      <c r="BC151" s="4" t="str">
        <f ca="1">IFERROR(__xludf.DUMMYFUNCTION("""COMPUTED_VALUE"""),"| 5 L PHP-CGM % | 6 L NS % | 7 P JAVA % | 9 P PRO % ")</f>
        <v xml:space="preserve">| 5 L PHP-CGM % | 6 L NS % | 7 P JAVA % | 9 P PRO % </v>
      </c>
      <c r="BD151" s="4" t="str">
        <f ca="1">IFERROR(__xludf.DUMMYFUNCTION("""COMPUTED_VALUE"""),"| 5 L JAVA % | 6 L CPT % | 7 P JAVA % | 9 L INE % ")</f>
        <v xml:space="preserve">| 5 L JAVA % | 6 L CPT % | 7 P JAVA % | 9 L INE % </v>
      </c>
      <c r="BE15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51" s="4" t="str">
        <f ca="1">IFERROR(__xludf.DUMMYFUNCTION("""COMPUTED_VALUE"""),"| 5 P Python % | 7 L PHP-CGM @ | 8 L JAVA @ | 9 P PHP-CGM @ ")</f>
        <v xml:space="preserve">| 5 P Python % | 7 L PHP-CGM @ | 8 L JAVA @ | 9 P PHP-CGM @ </v>
      </c>
      <c r="BG151" s="4" t="str">
        <f ca="1">IFERROR(__xludf.DUMMYFUNCTION("""COMPUTED_VALUE"""),"| 5 L PHP-CGM % | 6 L NS % | 7 P JAVA @ | 9 P PRO @ ")</f>
        <v xml:space="preserve">| 5 L PHP-CGM % | 6 L NS % | 7 P JAVA @ | 9 P PRO @ </v>
      </c>
      <c r="BH151" s="4" t="str">
        <f ca="1">IFERROR(__xludf.DUMMYFUNCTION("""COMPUTED_VALUE"""),"| 5 L JAVA % | 6 L CPT % | 7 P JAVA % | 9 L INE % ")</f>
        <v xml:space="preserve">| 5 L JAVA % | 6 L CPT % | 7 P JAVA % | 9 L INE % </v>
      </c>
      <c r="BI151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J151" s="4" t="str">
        <f ca="1">IFERROR(__xludf.DUMMYFUNCTION("""COMPUTED_VALUE"""),"| 5 P Python @ | 7 L JAVA @ | 7 L PHP-CGM @ ")</f>
        <v xml:space="preserve">| 5 P Python @ | 7 L JAVA @ | 7 L PHP-CGM @ </v>
      </c>
      <c r="BK151" s="4" t="str">
        <f ca="1">IFERROR(__xludf.DUMMYFUNCTION("""COMPUTED_VALUE"""),"| 7 L CPT @ | 8 L NS @ ")</f>
        <v xml:space="preserve">| 7 L CPT @ | 8 L NS @ </v>
      </c>
      <c r="BL151" s="4" t="str">
        <f ca="1">IFERROR(__xludf.DUMMYFUNCTION("""COMPUTED_VALUE"""),"| 5 L PHP-CGM @ | 6 L NS @ | 7 P JAVA @ | 9 P PRO @ ")</f>
        <v xml:space="preserve">| 5 L PHP-CGM @ | 6 L NS @ | 7 P JAVA @ | 9 P PRO @ </v>
      </c>
      <c r="BM151" s="4" t="str">
        <f ca="1">IFERROR(__xludf.DUMMYFUNCTION("""COMPUTED_VALUE"""),"| 5 L JAVA % | 6 L CPT % | 9 L INE @ ")</f>
        <v xml:space="preserve">| 5 L JAVA % | 6 L CPT % | 9 L INE @ </v>
      </c>
      <c r="BN151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1" s="4" t="str">
        <f ca="1">IFERROR(__xludf.DUMMYFUNCTION("""COMPUTED_VALUE"""),"| 5 P Python @ | 7 L PHP-CGM @ ")</f>
        <v xml:space="preserve">| 5 P Python @ | 7 L PHP-CGM @ </v>
      </c>
      <c r="BP151" s="4" t="str">
        <f ca="1">IFERROR(__xludf.DUMMYFUNCTION("""COMPUTED_VALUE"""),"| 5 P NS @ | 7 L CPT @ | 8 L NS @ ")</f>
        <v xml:space="preserve">| 5 P NS @ | 7 L CPT @ | 8 L NS @ </v>
      </c>
      <c r="BQ151" s="4" t="str">
        <f ca="1">IFERROR(__xludf.DUMMYFUNCTION("""COMPUTED_VALUE"""),"| 5 L JAVA @ | 6 L CPT @ ")</f>
        <v xml:space="preserve">| 5 L JAVA @ | 6 L CPT @ </v>
      </c>
      <c r="BR151" s="4" t="str">
        <f ca="1">IFERROR(__xludf.DUMMYFUNCTION("""COMPUTED_VALUE"""),"| 7 L JAVA @ ")</f>
        <v xml:space="preserve">| 7 L JAVA @ </v>
      </c>
      <c r="BS151" s="4"/>
      <c r="BT151" s="4" t="str">
        <f ca="1">IFERROR(__xludf.DUMMYFUNCTION("""COMPUTED_VALUE"""),"| 7 L CPT @ ")</f>
        <v xml:space="preserve">| 7 L CPT @ </v>
      </c>
      <c r="BU151" s="4" t="str">
        <f ca="1">IFERROR(__xludf.DUMMYFUNCTION("""COMPUTED_VALUE"""),"| 9 P PRO @ ")</f>
        <v xml:space="preserve">| 9 P PRO @ </v>
      </c>
      <c r="BV151" s="4" t="str">
        <f ca="1">IFERROR(__xludf.DUMMYFUNCTION("""COMPUTED_VALUE"""),"| 5 P NS @ | 7 L CPT @ | 8 L NS @ | 9 P Python @ ")</f>
        <v xml:space="preserve">| 5 P NS @ | 7 L CPT @ | 8 L NS @ | 9 P Python @ </v>
      </c>
      <c r="BW151" s="4"/>
      <c r="BX151" s="4" t="str">
        <f ca="1">IFERROR(__xludf.DUMMYFUNCTION("""COMPUTED_VALUE"""),"| 5 L JAVA @ | 6 L CPT @ | 7 P JAVA @ ")</f>
        <v xml:space="preserve">| 5 L JAVA @ | 6 L CPT @ | 7 P JAVA @ </v>
      </c>
      <c r="BY15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51" s="4" t="str">
        <f ca="1">IFERROR(__xludf.DUMMYFUNCTION("""COMPUTED_VALUE"""),"| 5 P Python % | 8 L JAVA @ | 7 L PHP-CGM @ | 9 P PHP-CGM @ ")</f>
        <v xml:space="preserve">| 5 P Python % | 8 L JAVA @ | 7 L PHP-CGM @ | 9 P PHP-CGM @ </v>
      </c>
      <c r="CA151" s="4" t="str">
        <f ca="1">IFERROR(__xludf.DUMMYFUNCTION("""COMPUTED_VALUE"""),"| 5 P NS @ | 7 L CPT @ | 8 L NS @ | 9 P Python @ ")</f>
        <v xml:space="preserve">| 5 P NS @ | 7 L CPT @ | 8 L NS @ | 9 P Python @ </v>
      </c>
      <c r="CB151" s="4" t="str">
        <f ca="1">IFERROR(__xludf.DUMMYFUNCTION("""COMPUTED_VALUE"""),"| 5 L PHP-CGM @ | 6 L NS @ | 7 P JAVA @ ")</f>
        <v xml:space="preserve">| 5 L PHP-CGM @ | 6 L NS @ | 7 P JAVA @ </v>
      </c>
      <c r="CC151" s="4" t="str">
        <f ca="1">IFERROR(__xludf.DUMMYFUNCTION("""COMPUTED_VALUE"""),"| 5 L JAVA @ | 7 P JAVA % | 9 L INE % ")</f>
        <v xml:space="preserve">| 5 L JAVA @ | 7 P JAVA % | 9 L INE % </v>
      </c>
      <c r="CD151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CE151" s="4" t="str">
        <f ca="1">IFERROR(__xludf.DUMMYFUNCTION("""COMPUTED_VALUE"""),"| 5 P Python % | 8 L JAVA @ | 7 L PHP-CGM @ ")</f>
        <v xml:space="preserve">| 5 P Python % | 8 L JAVA @ | 7 L PHP-CGM @ </v>
      </c>
      <c r="CF151" s="4" t="str">
        <f ca="1">IFERROR(__xludf.DUMMYFUNCTION("""COMPUTED_VALUE"""),"| 5 P NS % | 7 L CPT @ | 8 L NS @ | 9 P Python % ")</f>
        <v xml:space="preserve">| 5 P NS % | 7 L CPT @ | 8 L NS @ | 9 P Python % </v>
      </c>
      <c r="CG151" s="4" t="str">
        <f ca="1">IFERROR(__xludf.DUMMYFUNCTION("""COMPUTED_VALUE"""),"| 5 L PHP-CGM @ | 6 L NS @ | 7 P JAVA % ")</f>
        <v xml:space="preserve">| 5 L PHP-CGM @ | 6 L NS @ | 7 P JAVA % </v>
      </c>
      <c r="CH151" s="4" t="str">
        <f ca="1">IFERROR(__xludf.DUMMYFUNCTION("""COMPUTED_VALUE"""),"| 5 L JAVA @ | 6 L CPT @ | 7 P JAVA % | 9 L INE @ ")</f>
        <v xml:space="preserve">| 5 L JAVA @ | 6 L CPT @ | 7 P JAVA % | 9 L INE @ </v>
      </c>
      <c r="CI151" s="4" t="str">
        <f ca="1">IFERROR(__xludf.DUMMYFUNCTION("""COMPUTED_VALUE"""),"| 5 L PHP-CGM @ | 7 L JAVA % | 8 L CPT % | 9 P CPT % ")</f>
        <v xml:space="preserve">| 5 L PHP-CGM @ | 7 L JAVA % | 8 L CPT % | 9 P CPT % </v>
      </c>
      <c r="CJ151" s="4" t="str">
        <f ca="1">IFERROR(__xludf.DUMMYFUNCTION("""COMPUTED_VALUE"""),"| 5 P Python % ")</f>
        <v xml:space="preserve">| 5 P Python % </v>
      </c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</row>
    <row r="152" spans="1:102" ht="12.5" x14ac:dyDescent="0.25">
      <c r="A152" s="3">
        <f ca="1">IFERROR(__xludf.DUMMYFUNCTION("""COMPUTED_VALUE"""),4)</f>
        <v>4</v>
      </c>
      <c r="B152" s="3" t="str">
        <f ca="1">IFERROR(__xludf.DUMMYFUNCTION("""COMPUTED_VALUE"""),"B")</f>
        <v>B</v>
      </c>
      <c r="C152" s="32" t="str">
        <f ca="1">IFERROR(__xludf.DUMMYFUNCTION("""COMPUTED_VALUE"""),"23291341164")</f>
        <v>23291341164</v>
      </c>
      <c r="D152" s="4" t="str">
        <f ca="1">IFERROR(__xludf.DUMMYFUNCTION("""COMPUTED_VALUE"""),"TOMAR RAJVEERSINGH PANKAJSINGH")</f>
        <v>TOMAR RAJVEERSINGH PANKAJSINGH</v>
      </c>
      <c r="E152" s="3" t="str">
        <f ca="1">IFERROR(__xludf.DUMMYFUNCTION("""COMPUTED_VALUE"""),"HAM/HDP-EVE")</f>
        <v>HAM/HDP-EVE</v>
      </c>
      <c r="F152" s="3">
        <f ca="1">IFERROR(__xludf.DUMMYFUNCTION("""COMPUTED_VALUE"""),7859960894)</f>
        <v>7859960894</v>
      </c>
      <c r="G152" s="3">
        <f ca="1">IFERROR(__xludf.DUMMYFUNCTION("""COMPUTED_VALUE"""),9662034122)</f>
        <v>9662034122</v>
      </c>
      <c r="H152" s="33">
        <f ca="1">IFERROR(__xludf.DUMMYFUNCTION("""COMPUTED_VALUE"""),0.491304347826086)</f>
        <v>0.49130434782608601</v>
      </c>
      <c r="I152" s="25">
        <f ca="1">IFERROR(__xludf.DUMMYFUNCTION("""COMPUTED_VALUE"""),0.432432432432432)</f>
        <v>0.43243243243243201</v>
      </c>
      <c r="J152" s="25">
        <f ca="1">IFERROR(__xludf.DUMMYFUNCTION("""COMPUTED_VALUE"""),0.25)</f>
        <v>0.25</v>
      </c>
      <c r="K152" s="25">
        <f ca="1">IFERROR(__xludf.DUMMYFUNCTION("""COMPUTED_VALUE"""),0.38235294117647)</f>
        <v>0.38235294117647001</v>
      </c>
      <c r="L152" s="25">
        <f ca="1">IFERROR(__xludf.DUMMYFUNCTION("""COMPUTED_VALUE"""),0.3)</f>
        <v>0.3</v>
      </c>
      <c r="M152" s="25">
        <f ca="1">IFERROR(__xludf.DUMMYFUNCTION("""COMPUTED_VALUE"""),0.571428571428571)</f>
        <v>0.57142857142857095</v>
      </c>
      <c r="N152" s="25">
        <f ca="1">IFERROR(__xludf.DUMMYFUNCTION("""COMPUTED_VALUE"""),0.857142857142857)</f>
        <v>0.85714285714285698</v>
      </c>
      <c r="O152" s="25">
        <f ca="1">IFERROR(__xludf.DUMMYFUNCTION("""COMPUTED_VALUE"""),0.6)</f>
        <v>0.6</v>
      </c>
      <c r="P152" s="25">
        <f ca="1">IFERROR(__xludf.DUMMYFUNCTION("""COMPUTED_VALUE"""),0.619047619047619)</f>
        <v>0.61904761904761896</v>
      </c>
      <c r="Q152" s="25">
        <f ca="1">IFERROR(__xludf.DUMMYFUNCTION("""COMPUTED_VALUE"""),0)</f>
        <v>0</v>
      </c>
      <c r="R152" s="25">
        <f ca="1">IFERROR(__xludf.DUMMYFUNCTION("""COMPUTED_VALUE"""),0.545454545454545)</f>
        <v>0.54545454545454497</v>
      </c>
      <c r="S152" s="25">
        <f ca="1">IFERROR(__xludf.DUMMYFUNCTION("""COMPUTED_VALUE"""),0)</f>
        <v>0</v>
      </c>
      <c r="T152" s="25">
        <f ca="1">IFERROR(__xludf.DUMMYFUNCTION("""COMPUTED_VALUE"""),0.222222222222222)</f>
        <v>0.22222222222222199</v>
      </c>
      <c r="U152" s="25">
        <f ca="1">IFERROR(__xludf.DUMMYFUNCTION("""COMPUTED_VALUE"""),0.5)</f>
        <v>0.5</v>
      </c>
      <c r="V152" s="25">
        <f ca="1">IFERROR(__xludf.DUMMYFUNCTION("""COMPUTED_VALUE"""),0)</f>
        <v>0</v>
      </c>
      <c r="W152" s="4"/>
      <c r="X152" s="4" t="str">
        <f ca="1">IFERROR(__xludf.DUMMYFUNCTION("""COMPUTED_VALUE"""),"| 7 L CPT % | 8 L NS % | 9 P Python @ ")</f>
        <v xml:space="preserve">| 7 L CPT % | 8 L NS % | 9 P Python @ </v>
      </c>
      <c r="Y152" s="4" t="str">
        <f ca="1">IFERROR(__xludf.DUMMYFUNCTION("""COMPUTED_VALUE"""),"| 5 L PHP-CGM % | 6 L NS @ | 7 P JAVA % | 9 P PRO % ")</f>
        <v xml:space="preserve">| 5 L PHP-CGM % | 6 L NS @ | 7 P JAVA % | 9 P PRO % </v>
      </c>
      <c r="Z152" s="4" t="str">
        <f ca="1">IFERROR(__xludf.DUMMYFUNCTION("""COMPUTED_VALUE"""),"| 5 L JAVA % | 6 L CPT % | 7 P JAVA % ")</f>
        <v xml:space="preserve">| 5 L JAVA % | 6 L CPT % | 7 P JAVA % </v>
      </c>
      <c r="AA152" s="4" t="str">
        <f ca="1">IFERROR(__xludf.DUMMYFUNCTION("""COMPUTED_VALUE"""),"| 5 L PHP-CGM % | 7 L JAVA % | 9 P CPT % | 8 L CPT % ")</f>
        <v xml:space="preserve">| 5 L PHP-CGM % | 7 L JAVA % | 9 P CPT % | 8 L CPT % </v>
      </c>
      <c r="AB152" s="4" t="str">
        <f ca="1">IFERROR(__xludf.DUMMYFUNCTION("""COMPUTED_VALUE"""),"| 5 P Python % | 7 L PHP-CGM % | 8 L JAVA % | 9 P PHP-CGM % ")</f>
        <v xml:space="preserve">| 5 P Python % | 7 L PHP-CGM % | 8 L JAVA % | 9 P PHP-CGM % </v>
      </c>
      <c r="AC152" s="4" t="str">
        <f ca="1">IFERROR(__xludf.DUMMYFUNCTION("""COMPUTED_VALUE"""),"| 5 P NS % | 7 L CPT % | 8 L NS % | 9 P Python % ")</f>
        <v xml:space="preserve">| 5 P NS % | 7 L CPT % | 8 L NS % | 9 P Python % </v>
      </c>
      <c r="AD152" s="4" t="str">
        <f ca="1">IFERROR(__xludf.DUMMYFUNCTION("""COMPUTED_VALUE"""),"| 5 L PHP-CGM % | 6 L NS % | 7 P JAVA % | 9 P PRO @ ")</f>
        <v xml:space="preserve">| 5 L PHP-CGM % | 6 L NS % | 7 P JAVA % | 9 P PRO @ </v>
      </c>
      <c r="AE152" s="4" t="str">
        <f ca="1">IFERROR(__xludf.DUMMYFUNCTION("""COMPUTED_VALUE"""),"| 5 L JAVA % | 6 L CPT % | 7 P JAVA % ")</f>
        <v xml:space="preserve">| 5 L JAVA % | 6 L CPT % | 7 P JAVA % </v>
      </c>
      <c r="AF152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G152" s="4" t="str">
        <f ca="1">IFERROR(__xludf.DUMMYFUNCTION("""COMPUTED_VALUE"""),"| 5 P Python % | 8 L JAVA % | 7 L PHP-CGM % | 9 P PHP-CGM % ")</f>
        <v xml:space="preserve">| 5 P Python % | 8 L JAVA % | 7 L PHP-CGM % | 9 P PHP-CGM % </v>
      </c>
      <c r="AH152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I152" s="4" t="str">
        <f ca="1">IFERROR(__xludf.DUMMYFUNCTION("""COMPUTED_VALUE"""),"| 5 P Python % | 8 L JAVA % | 7 L PHP-CGM % | 9 P PHP-CGM % ")</f>
        <v xml:space="preserve">| 5 P Python % | 8 L JAVA % | 7 L PHP-CGM % | 9 P PHP-CGM % </v>
      </c>
      <c r="AJ152" s="4" t="str">
        <f ca="1">IFERROR(__xludf.DUMMYFUNCTION("""COMPUTED_VALUE"""),"| 5 P NS @ | 7 L CPT @ | 8 L NS @ | 9 P Python @ ")</f>
        <v xml:space="preserve">| 5 P NS @ | 7 L CPT @ | 8 L NS @ | 9 P Python @ </v>
      </c>
      <c r="AK152" s="4" t="str">
        <f ca="1">IFERROR(__xludf.DUMMYFUNCTION("""COMPUTED_VALUE"""),"| 5 L PHP-CGM % | 6 L NS % | 7 P JAVA % | 9 P PRO % ")</f>
        <v xml:space="preserve">| 5 L PHP-CGM % | 6 L NS % | 7 P JAVA % | 9 P PRO % </v>
      </c>
      <c r="AL152" s="4" t="str">
        <f ca="1">IFERROR(__xludf.DUMMYFUNCTION("""COMPUTED_VALUE"""),"| 5 L JAVA % | 6 L CPT % | 7 P JAVA % | 9 L INE % ")</f>
        <v xml:space="preserve">| 5 L JAVA % | 6 L CPT % | 7 P JAVA % | 9 L INE % </v>
      </c>
      <c r="AM15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52" s="4" t="str">
        <f ca="1">IFERROR(__xludf.DUMMYFUNCTION("""COMPUTED_VALUE"""),"| 5 P Python % | 8 L JAVA % | 7 L PHP-CGM % | 9 P PHP-CGM % ")</f>
        <v xml:space="preserve">| 5 P Python % | 8 L JAVA % | 7 L PHP-CGM % | 9 P PHP-CGM % </v>
      </c>
      <c r="AO152" s="4" t="str">
        <f ca="1">IFERROR(__xludf.DUMMYFUNCTION("""COMPUTED_VALUE"""),"| 5 P NS @ | 7 L CPT @ | 8 L NS @ | 9 P Python @ ")</f>
        <v xml:space="preserve">| 5 P NS @ | 7 L CPT @ | 8 L NS @ | 9 P Python @ </v>
      </c>
      <c r="AP152" s="4" t="str">
        <f ca="1">IFERROR(__xludf.DUMMYFUNCTION("""COMPUTED_VALUE"""),"| 5 L PHP-CGM @ | 6 L NS @ | 7 P JAVA @ | 9 P PRO @ ")</f>
        <v xml:space="preserve">| 5 L PHP-CGM @ | 6 L NS @ | 7 P JAVA @ | 9 P PRO @ </v>
      </c>
      <c r="AQ152" s="4" t="str">
        <f ca="1">IFERROR(__xludf.DUMMYFUNCTION("""COMPUTED_VALUE"""),"| 5 L CPT % | 7 L JAVA % | 7 P JAVA % | 9 L INE % ")</f>
        <v xml:space="preserve">| 5 L CPT % | 7 L JAVA % | 7 P JAVA % | 9 L INE % </v>
      </c>
      <c r="AR152" s="4" t="str">
        <f ca="1">IFERROR(__xludf.DUMMYFUNCTION("""COMPUTED_VALUE"""),"| 5 L PHP-CGM @ | 6 L NS @ | 8 L CPT @ ")</f>
        <v xml:space="preserve">| 5 L PHP-CGM @ | 6 L NS @ | 8 L CPT @ </v>
      </c>
      <c r="AS152" s="4" t="str">
        <f ca="1">IFERROR(__xludf.DUMMYFUNCTION("""COMPUTED_VALUE"""),"| 5 P NS % | 7 L CPT % | 8 L NS % | 9 P Python @ ")</f>
        <v xml:space="preserve">| 5 P NS % | 7 L CPT % | 8 L NS % | 9 P Python @ </v>
      </c>
      <c r="AT152" s="4" t="str">
        <f ca="1">IFERROR(__xludf.DUMMYFUNCTION("""COMPUTED_VALUE"""),"| 5 L PHP-CGM % | 6 L NS % | 7 P JAVA % | 9 P PRO @ ")</f>
        <v xml:space="preserve">| 5 L PHP-CGM % | 6 L NS % | 7 P JAVA % | 9 P PRO @ </v>
      </c>
      <c r="AU152" s="4" t="str">
        <f ca="1">IFERROR(__xludf.DUMMYFUNCTION("""COMPUTED_VALUE"""),"| 5 L JAVA % | 6 L CPT % | 7 P JAVA % | 9 L INE % ")</f>
        <v xml:space="preserve">| 5 L JAVA % | 6 L CPT % | 7 P JAVA % | 9 L INE % </v>
      </c>
      <c r="AV152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AW152" s="4" t="str">
        <f ca="1">IFERROR(__xludf.DUMMYFUNCTION("""COMPUTED_VALUE"""),"| 5 P Python % | 7 L PHP-CGM % | 8 L JAVA % | 9 P PHP-CGM % ")</f>
        <v xml:space="preserve">| 5 P Python % | 7 L PHP-CGM % | 8 L JAVA % | 9 P PHP-CGM % </v>
      </c>
      <c r="AX152" s="4" t="str">
        <f ca="1">IFERROR(__xludf.DUMMYFUNCTION("""COMPUTED_VALUE"""),"| 5 P NS @ | 7 L CPT @ | 8 L NS @ | 9 P Python @ ")</f>
        <v xml:space="preserve">| 5 P NS @ | 7 L CPT @ | 8 L NS @ | 9 P Python @ </v>
      </c>
      <c r="AY152" s="4" t="str">
        <f ca="1">IFERROR(__xludf.DUMMYFUNCTION("""COMPUTED_VALUE"""),"| 5 L PHP-CGM % | 6 L NS % | 7 P JAVA % ")</f>
        <v xml:space="preserve">| 5 L PHP-CGM % | 6 L NS % | 7 P JAVA % </v>
      </c>
      <c r="AZ152" s="4" t="str">
        <f ca="1">IFERROR(__xludf.DUMMYFUNCTION("""COMPUTED_VALUE"""),"| 5 L PHP-CGM % | 6 L NS @ | 7 L JAVA @ | 8 L CPT @ | 9 P CPT @ ")</f>
        <v xml:space="preserve">| 5 L PHP-CGM % | 6 L NS @ | 7 L JAVA @ | 8 L CPT @ | 9 P CPT @ </v>
      </c>
      <c r="BA152" s="4" t="str">
        <f ca="1">IFERROR(__xludf.DUMMYFUNCTION("""COMPUTED_VALUE"""),"| 5 P Python % | 7 L PHP-CGM % | 8 L JAVA % ")</f>
        <v xml:space="preserve">| 5 P Python % | 7 L PHP-CGM % | 8 L JAVA % </v>
      </c>
      <c r="BB152" s="4" t="str">
        <f ca="1">IFERROR(__xludf.DUMMYFUNCTION("""COMPUTED_VALUE"""),"| 5 P NS @ | 7 L CPT @ | 8 L NS @ | 9 P Python @ ")</f>
        <v xml:space="preserve">| 5 P NS @ | 7 L CPT @ | 8 L NS @ | 9 P Python @ </v>
      </c>
      <c r="BC152" s="4" t="str">
        <f ca="1">IFERROR(__xludf.DUMMYFUNCTION("""COMPUTED_VALUE"""),"| 5 L PHP-CGM @ | 6 L NS @ | 7 P JAVA @ | 9 P PRO @ ")</f>
        <v xml:space="preserve">| 5 L PHP-CGM @ | 6 L NS @ | 7 P JAVA @ | 9 P PRO @ </v>
      </c>
      <c r="BD152" s="4" t="str">
        <f ca="1">IFERROR(__xludf.DUMMYFUNCTION("""COMPUTED_VALUE"""),"| 5 L JAVA @ | 6 L CPT @ | 7 P JAVA @ | 9 L INE @ ")</f>
        <v xml:space="preserve">| 5 L JAVA @ | 6 L CPT @ | 7 P JAVA @ | 9 L INE @ </v>
      </c>
      <c r="BE15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52" s="4" t="str">
        <f ca="1">IFERROR(__xludf.DUMMYFUNCTION("""COMPUTED_VALUE"""),"| 5 P Python % | 7 L PHP-CGM % | 8 L JAVA % | 9 P PHP-CGM % ")</f>
        <v xml:space="preserve">| 5 P Python % | 7 L PHP-CGM % | 8 L JAVA % | 9 P PHP-CGM % </v>
      </c>
      <c r="BG152" s="4" t="str">
        <f ca="1">IFERROR(__xludf.DUMMYFUNCTION("""COMPUTED_VALUE"""),"| 5 L PHP-CGM @ | 6 L NS @ | 7 P JAVA @ | 9 P PRO @ ")</f>
        <v xml:space="preserve">| 5 L PHP-CGM @ | 6 L NS @ | 7 P JAVA @ | 9 P PRO @ </v>
      </c>
      <c r="BH152" s="4" t="str">
        <f ca="1">IFERROR(__xludf.DUMMYFUNCTION("""COMPUTED_VALUE"""),"| 5 L JAVA % | 6 L CPT % | 7 P JAVA % | 9 L INE @ ")</f>
        <v xml:space="preserve">| 5 L JAVA % | 6 L CPT % | 7 P JAVA % | 9 L INE @ </v>
      </c>
      <c r="BI152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BJ152" s="4" t="str">
        <f ca="1">IFERROR(__xludf.DUMMYFUNCTION("""COMPUTED_VALUE"""),"| 5 P Python @ | 7 L JAVA @ | 7 L PHP-CGM @ ")</f>
        <v xml:space="preserve">| 5 P Python @ | 7 L JAVA @ | 7 L PHP-CGM @ </v>
      </c>
      <c r="BK152" s="4" t="str">
        <f ca="1">IFERROR(__xludf.DUMMYFUNCTION("""COMPUTED_VALUE"""),"| 7 L CPT @ | 8 L NS @ ")</f>
        <v xml:space="preserve">| 7 L CPT @ | 8 L NS @ </v>
      </c>
      <c r="BL152" s="4" t="str">
        <f ca="1">IFERROR(__xludf.DUMMYFUNCTION("""COMPUTED_VALUE"""),"| 5 L PHP-CGM @ | 6 L NS @ | 7 P JAVA @ | 9 P PRO @ ")</f>
        <v xml:space="preserve">| 5 L PHP-CGM @ | 6 L NS @ | 7 P JAVA @ | 9 P PRO @ </v>
      </c>
      <c r="BM152" s="4" t="str">
        <f ca="1">IFERROR(__xludf.DUMMYFUNCTION("""COMPUTED_VALUE"""),"| 5 L JAVA % | 6 L CPT % | 9 L INE @ ")</f>
        <v xml:space="preserve">| 5 L JAVA % | 6 L CPT % | 9 L INE @ </v>
      </c>
      <c r="BN152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2" s="4" t="str">
        <f ca="1">IFERROR(__xludf.DUMMYFUNCTION("""COMPUTED_VALUE"""),"| 5 P Python @ | 7 L PHP-CGM @ ")</f>
        <v xml:space="preserve">| 5 P Python @ | 7 L PHP-CGM @ </v>
      </c>
      <c r="BP152" s="4" t="str">
        <f ca="1">IFERROR(__xludf.DUMMYFUNCTION("""COMPUTED_VALUE"""),"| 5 P NS @ | 7 L CPT @ | 8 L NS @ ")</f>
        <v xml:space="preserve">| 5 P NS @ | 7 L CPT @ | 8 L NS @ </v>
      </c>
      <c r="BQ152" s="4" t="str">
        <f ca="1">IFERROR(__xludf.DUMMYFUNCTION("""COMPUTED_VALUE"""),"| 5 L JAVA % | 6 L CPT % ")</f>
        <v xml:space="preserve">| 5 L JAVA % | 6 L CPT % </v>
      </c>
      <c r="BR152" s="4" t="str">
        <f ca="1">IFERROR(__xludf.DUMMYFUNCTION("""COMPUTED_VALUE"""),"| 7 L JAVA % ")</f>
        <v xml:space="preserve">| 7 L JAVA % </v>
      </c>
      <c r="BS152" s="4"/>
      <c r="BT152" s="4" t="str">
        <f ca="1">IFERROR(__xludf.DUMMYFUNCTION("""COMPUTED_VALUE"""),"| 7 L CPT @ ")</f>
        <v xml:space="preserve">| 7 L CPT @ </v>
      </c>
      <c r="BU152" s="4" t="str">
        <f ca="1">IFERROR(__xludf.DUMMYFUNCTION("""COMPUTED_VALUE"""),"| 9 P PRO @ ")</f>
        <v xml:space="preserve">| 9 P PRO @ </v>
      </c>
      <c r="BV152" s="4" t="str">
        <f ca="1">IFERROR(__xludf.DUMMYFUNCTION("""COMPUTED_VALUE"""),"| 5 P NS @ | 7 L CPT @ | 8 L NS @ | 9 P Python @ ")</f>
        <v xml:space="preserve">| 5 P NS @ | 7 L CPT @ | 8 L NS @ | 9 P Python @ </v>
      </c>
      <c r="BW152" s="4"/>
      <c r="BX152" s="4" t="str">
        <f ca="1">IFERROR(__xludf.DUMMYFUNCTION("""COMPUTED_VALUE"""),"| 5 L JAVA @ | 6 L CPT @ | 7 P JAVA @ ")</f>
        <v xml:space="preserve">| 5 L JAVA @ | 6 L CPT @ | 7 P JAVA @ </v>
      </c>
      <c r="BY152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52" s="4" t="str">
        <f ca="1">IFERROR(__xludf.DUMMYFUNCTION("""COMPUTED_VALUE"""),"| 5 P Python @ | 8 L JAVA @ | 7 L PHP-CGM @ | 9 P PHP-CGM @ ")</f>
        <v xml:space="preserve">| 5 P Python @ | 8 L JAVA @ | 7 L PHP-CGM @ | 9 P PHP-CGM @ </v>
      </c>
      <c r="CA152" s="4" t="str">
        <f ca="1">IFERROR(__xludf.DUMMYFUNCTION("""COMPUTED_VALUE"""),"| 5 P NS % | 7 L CPT @ | 8 L NS @ | 9 P Python % ")</f>
        <v xml:space="preserve">| 5 P NS % | 7 L CPT @ | 8 L NS @ | 9 P Python % </v>
      </c>
      <c r="CB152" s="4" t="str">
        <f ca="1">IFERROR(__xludf.DUMMYFUNCTION("""COMPUTED_VALUE"""),"| 5 L PHP-CGM @ | 6 L NS @ | 7 P JAVA @ ")</f>
        <v xml:space="preserve">| 5 L PHP-CGM @ | 6 L NS @ | 7 P JAVA @ </v>
      </c>
      <c r="CC152" s="4" t="str">
        <f ca="1">IFERROR(__xludf.DUMMYFUNCTION("""COMPUTED_VALUE"""),"| 5 L JAVA @ | 7 P JAVA @ | 9 L INE % ")</f>
        <v xml:space="preserve">| 5 L JAVA @ | 7 P JAVA @ | 9 L INE % </v>
      </c>
      <c r="CD152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CE152" s="4" t="str">
        <f ca="1">IFERROR(__xludf.DUMMYFUNCTION("""COMPUTED_VALUE"""),"| 5 P Python % | 8 L JAVA @ | 7 L PHP-CGM @ ")</f>
        <v xml:space="preserve">| 5 P Python % | 8 L JAVA @ | 7 L PHP-CGM @ </v>
      </c>
      <c r="CF152" s="4" t="str">
        <f ca="1">IFERROR(__xludf.DUMMYFUNCTION("""COMPUTED_VALUE"""),"| 5 P NS @ | 7 L CPT @ | 8 L NS @ | 9 P Python % ")</f>
        <v xml:space="preserve">| 5 P NS @ | 7 L CPT @ | 8 L NS @ | 9 P Python % </v>
      </c>
      <c r="CG152" s="4" t="str">
        <f ca="1">IFERROR(__xludf.DUMMYFUNCTION("""COMPUTED_VALUE"""),"| 5 L PHP-CGM @ | 6 L NS @ | 7 P JAVA % ")</f>
        <v xml:space="preserve">| 5 L PHP-CGM @ | 6 L NS @ | 7 P JAVA % </v>
      </c>
      <c r="CH152" s="4" t="str">
        <f ca="1">IFERROR(__xludf.DUMMYFUNCTION("""COMPUTED_VALUE"""),"| 5 L JAVA @ | 6 L CPT @ | 7 P JAVA % | 9 L INE @ ")</f>
        <v xml:space="preserve">| 5 L JAVA @ | 6 L CPT @ | 7 P JAVA % | 9 L INE @ </v>
      </c>
      <c r="CI152" s="4" t="str">
        <f ca="1">IFERROR(__xludf.DUMMYFUNCTION("""COMPUTED_VALUE"""),"| 5 L PHP-CGM @ | 7 L JAVA @ | 8 L CPT @ | 9 P CPT @ ")</f>
        <v xml:space="preserve">| 5 L PHP-CGM @ | 7 L JAVA @ | 8 L CPT @ | 9 P CPT @ </v>
      </c>
      <c r="CJ152" s="4" t="str">
        <f ca="1">IFERROR(__xludf.DUMMYFUNCTION("""COMPUTED_VALUE"""),"| 5 P Python % ")</f>
        <v xml:space="preserve">| 5 P Python % </v>
      </c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</row>
    <row r="153" spans="1:102" ht="12.5" x14ac:dyDescent="0.25">
      <c r="A153" s="3">
        <f ca="1">IFERROR(__xludf.DUMMYFUNCTION("""COMPUTED_VALUE"""),4)</f>
        <v>4</v>
      </c>
      <c r="B153" s="3" t="str">
        <f ca="1">IFERROR(__xludf.DUMMYFUNCTION("""COMPUTED_VALUE"""),"B")</f>
        <v>B</v>
      </c>
      <c r="C153" s="32" t="str">
        <f ca="1">IFERROR(__xludf.DUMMYFUNCTION("""COMPUTED_VALUE"""),"23291341166")</f>
        <v>23291341166</v>
      </c>
      <c r="D153" s="4" t="str">
        <f ca="1">IFERROR(__xludf.DUMMYFUNCTION("""COMPUTED_VALUE"""),"VADHEL AKASH BALUBHAI")</f>
        <v>VADHEL AKASH BALUBHAI</v>
      </c>
      <c r="E153" s="3" t="str">
        <f ca="1">IFERROR(__xludf.DUMMYFUNCTION("""COMPUTED_VALUE"""),"HAM/HDP-EVE")</f>
        <v>HAM/HDP-EVE</v>
      </c>
      <c r="F153" s="3">
        <f ca="1">IFERROR(__xludf.DUMMYFUNCTION("""COMPUTED_VALUE"""),9904756172)</f>
        <v>9904756172</v>
      </c>
      <c r="G153" s="4">
        <f ca="1">IFERROR(__xludf.DUMMYFUNCTION("""COMPUTED_VALUE"""),6351933368)</f>
        <v>6351933368</v>
      </c>
      <c r="H153" s="33">
        <f ca="1">IFERROR(__xludf.DUMMYFUNCTION("""COMPUTED_VALUE"""),0.426086956521739)</f>
        <v>0.426086956521739</v>
      </c>
      <c r="I153" s="25">
        <f ca="1">IFERROR(__xludf.DUMMYFUNCTION("""COMPUTED_VALUE"""),0.405405405405405)</f>
        <v>0.40540540540540498</v>
      </c>
      <c r="J153" s="25">
        <f ca="1">IFERROR(__xludf.DUMMYFUNCTION("""COMPUTED_VALUE"""),0.166666666666666)</f>
        <v>0.16666666666666599</v>
      </c>
      <c r="K153" s="25">
        <f ca="1">IFERROR(__xludf.DUMMYFUNCTION("""COMPUTED_VALUE"""),0.352941176470588)</f>
        <v>0.35294117647058798</v>
      </c>
      <c r="L153" s="25">
        <f ca="1">IFERROR(__xludf.DUMMYFUNCTION("""COMPUTED_VALUE"""),0.4)</f>
        <v>0.4</v>
      </c>
      <c r="M153" s="25">
        <f ca="1">IFERROR(__xludf.DUMMYFUNCTION("""COMPUTED_VALUE"""),0.4)</f>
        <v>0.4</v>
      </c>
      <c r="N153" s="25">
        <f ca="1">IFERROR(__xludf.DUMMYFUNCTION("""COMPUTED_VALUE"""),0.428571428571428)</f>
        <v>0.42857142857142799</v>
      </c>
      <c r="O153" s="25">
        <f ca="1">IFERROR(__xludf.DUMMYFUNCTION("""COMPUTED_VALUE"""),0.485714285714285)</f>
        <v>0.48571428571428499</v>
      </c>
      <c r="P153" s="25">
        <f ca="1">IFERROR(__xludf.DUMMYFUNCTION("""COMPUTED_VALUE"""),0.571428571428571)</f>
        <v>0.57142857142857095</v>
      </c>
      <c r="Q153" s="25">
        <f ca="1">IFERROR(__xludf.DUMMYFUNCTION("""COMPUTED_VALUE"""),0)</f>
        <v>0</v>
      </c>
      <c r="R153" s="25">
        <f ca="1">IFERROR(__xludf.DUMMYFUNCTION("""COMPUTED_VALUE"""),0.59090909090909)</f>
        <v>0.59090909090909005</v>
      </c>
      <c r="S153" s="25">
        <f ca="1">IFERROR(__xludf.DUMMYFUNCTION("""COMPUTED_VALUE"""),0)</f>
        <v>0</v>
      </c>
      <c r="T153" s="25">
        <f ca="1">IFERROR(__xludf.DUMMYFUNCTION("""COMPUTED_VALUE"""),0.333333333333333)</f>
        <v>0.33333333333333298</v>
      </c>
      <c r="U153" s="25">
        <f ca="1">IFERROR(__xludf.DUMMYFUNCTION("""COMPUTED_VALUE"""),0.375)</f>
        <v>0.375</v>
      </c>
      <c r="V153" s="25">
        <f ca="1">IFERROR(__xludf.DUMMYFUNCTION("""COMPUTED_VALUE"""),0)</f>
        <v>0</v>
      </c>
      <c r="W153" s="4"/>
      <c r="X153" s="4" t="str">
        <f ca="1">IFERROR(__xludf.DUMMYFUNCTION("""COMPUTED_VALUE"""),"| 7 L CPT @ | 8 L NS @ | 9 P Python @ ")</f>
        <v xml:space="preserve">| 7 L CPT @ | 8 L NS @ | 9 P Python @ </v>
      </c>
      <c r="Y153" s="4" t="str">
        <f ca="1">IFERROR(__xludf.DUMMYFUNCTION("""COMPUTED_VALUE"""),"| 5 L PHP-CGM @ | 6 L NS @ | 7 P JAVA @ | 9 P PRO @ ")</f>
        <v xml:space="preserve">| 5 L PHP-CGM @ | 6 L NS @ | 7 P JAVA @ | 9 P PRO @ </v>
      </c>
      <c r="Z153" s="4" t="str">
        <f ca="1">IFERROR(__xludf.DUMMYFUNCTION("""COMPUTED_VALUE"""),"| 5 L JAVA % | 6 L CPT % | 7 P JAVA % ")</f>
        <v xml:space="preserve">| 5 L JAVA % | 6 L CPT % | 7 P JAVA % </v>
      </c>
      <c r="AA153" s="4" t="str">
        <f ca="1">IFERROR(__xludf.DUMMYFUNCTION("""COMPUTED_VALUE"""),"| 5 L PHP-CGM % | 7 L JAVA % | 9 P CPT @ | 8 L CPT % ")</f>
        <v xml:space="preserve">| 5 L PHP-CGM % | 7 L JAVA % | 9 P CPT @ | 8 L CPT % </v>
      </c>
      <c r="AB153" s="4" t="str">
        <f ca="1">IFERROR(__xludf.DUMMYFUNCTION("""COMPUTED_VALUE"""),"| 5 P Python % | 7 L PHP-CGM % | 8 L JAVA % | 9 P PHP-CGM @ ")</f>
        <v xml:space="preserve">| 5 P Python % | 7 L PHP-CGM % | 8 L JAVA % | 9 P PHP-CGM @ </v>
      </c>
      <c r="AC153" s="4" t="str">
        <f ca="1">IFERROR(__xludf.DUMMYFUNCTION("""COMPUTED_VALUE"""),"| 5 P NS % | 7 L CPT % | 8 L NS % | 9 P Python % ")</f>
        <v xml:space="preserve">| 5 P NS % | 7 L CPT % | 8 L NS % | 9 P Python % </v>
      </c>
      <c r="AD153" s="4" t="str">
        <f ca="1">IFERROR(__xludf.DUMMYFUNCTION("""COMPUTED_VALUE"""),"| 5 L PHP-CGM @ | 6 L NS % | 7 P JAVA % | 9 P PRO % ")</f>
        <v xml:space="preserve">| 5 L PHP-CGM @ | 6 L NS % | 7 P JAVA % | 9 P PRO % </v>
      </c>
      <c r="AE153" s="4" t="str">
        <f ca="1">IFERROR(__xludf.DUMMYFUNCTION("""COMPUTED_VALUE"""),"| 5 L JAVA % | 6 L CPT % | 7 P JAVA % ")</f>
        <v xml:space="preserve">| 5 L JAVA % | 6 L CPT % | 7 P JAVA % </v>
      </c>
      <c r="AF153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G153" s="4" t="str">
        <f ca="1">IFERROR(__xludf.DUMMYFUNCTION("""COMPUTED_VALUE"""),"| 5 P Python % | 8 L JAVA % | 7 L PHP-CGM % | 9 P PHP-CGM @ ")</f>
        <v xml:space="preserve">| 5 P Python % | 8 L JAVA % | 7 L PHP-CGM % | 9 P PHP-CGM @ </v>
      </c>
      <c r="AH153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I153" s="4" t="str">
        <f ca="1">IFERROR(__xludf.DUMMYFUNCTION("""COMPUTED_VALUE"""),"| 5 P Python % | 8 L JAVA % | 7 L PHP-CGM % | 9 P PHP-CGM % ")</f>
        <v xml:space="preserve">| 5 P Python % | 8 L JAVA % | 7 L PHP-CGM % | 9 P PHP-CGM % </v>
      </c>
      <c r="AJ153" s="4" t="str">
        <f ca="1">IFERROR(__xludf.DUMMYFUNCTION("""COMPUTED_VALUE"""),"| 5 P NS @ | 7 L CPT @ | 8 L NS @ | 9 P Python @ ")</f>
        <v xml:space="preserve">| 5 P NS @ | 7 L CPT @ | 8 L NS @ | 9 P Python @ </v>
      </c>
      <c r="AK153" s="4" t="str">
        <f ca="1">IFERROR(__xludf.DUMMYFUNCTION("""COMPUTED_VALUE"""),"| 5 L PHP-CGM @ | 6 L NS @ | 7 P JAVA % | 9 P PRO % ")</f>
        <v xml:space="preserve">| 5 L PHP-CGM @ | 6 L NS @ | 7 P JAVA % | 9 P PRO % </v>
      </c>
      <c r="AL153" s="4" t="str">
        <f ca="1">IFERROR(__xludf.DUMMYFUNCTION("""COMPUTED_VALUE"""),"| 5 L JAVA % | 6 L CPT % | 7 P JAVA % | 9 L INE @ ")</f>
        <v xml:space="preserve">| 5 L JAVA % | 6 L CPT % | 7 P JAVA % | 9 L INE @ </v>
      </c>
      <c r="AM15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53" s="4" t="str">
        <f ca="1">IFERROR(__xludf.DUMMYFUNCTION("""COMPUTED_VALUE"""),"| 5 P Python % | 8 L JAVA @ | 7 L PHP-CGM @ | 9 P PHP-CGM @ ")</f>
        <v xml:space="preserve">| 5 P Python % | 8 L JAVA @ | 7 L PHP-CGM @ | 9 P PHP-CGM @ </v>
      </c>
      <c r="AO153" s="4" t="str">
        <f ca="1">IFERROR(__xludf.DUMMYFUNCTION("""COMPUTED_VALUE"""),"| 5 P NS % | 7 L CPT % | 8 L NS % | 9 P Python @ ")</f>
        <v xml:space="preserve">| 5 P NS % | 7 L CPT % | 8 L NS % | 9 P Python @ </v>
      </c>
      <c r="AP153" s="4" t="str">
        <f ca="1">IFERROR(__xludf.DUMMYFUNCTION("""COMPUTED_VALUE"""),"| 5 L PHP-CGM % | 6 L NS % | 7 P JAVA % | 9 P PRO @ ")</f>
        <v xml:space="preserve">| 5 L PHP-CGM % | 6 L NS % | 7 P JAVA % | 9 P PRO @ </v>
      </c>
      <c r="AQ153" s="4" t="str">
        <f ca="1">IFERROR(__xludf.DUMMYFUNCTION("""COMPUTED_VALUE"""),"| 5 L CPT % | 7 L JAVA % | 7 P JAVA % | 9 L INE @ ")</f>
        <v xml:space="preserve">| 5 L CPT % | 7 L JAVA % | 7 P JAVA % | 9 L INE @ </v>
      </c>
      <c r="AR153" s="4" t="str">
        <f ca="1">IFERROR(__xludf.DUMMYFUNCTION("""COMPUTED_VALUE"""),"| 5 L PHP-CGM @ | 6 L NS @ | 8 L CPT @ ")</f>
        <v xml:space="preserve">| 5 L PHP-CGM @ | 6 L NS @ | 8 L CPT @ </v>
      </c>
      <c r="AS153" s="4" t="str">
        <f ca="1">IFERROR(__xludf.DUMMYFUNCTION("""COMPUTED_VALUE"""),"| 5 P NS @ | 7 L CPT @ | 8 L NS @ | 9 P Python @ ")</f>
        <v xml:space="preserve">| 5 P NS @ | 7 L CPT @ | 8 L NS @ | 9 P Python @ </v>
      </c>
      <c r="AT153" s="4" t="str">
        <f ca="1">IFERROR(__xludf.DUMMYFUNCTION("""COMPUTED_VALUE"""),"| 5 L PHP-CGM @ | 6 L NS @ | 7 P JAVA @ | 9 P PRO @ ")</f>
        <v xml:space="preserve">| 5 L PHP-CGM @ | 6 L NS @ | 7 P JAVA @ | 9 P PRO @ </v>
      </c>
      <c r="AU153" s="4" t="str">
        <f ca="1">IFERROR(__xludf.DUMMYFUNCTION("""COMPUTED_VALUE"""),"| 5 L JAVA % | 6 L CPT % | 7 P JAVA % | 9 L INE % ")</f>
        <v xml:space="preserve">| 5 L JAVA % | 6 L CPT % | 7 P JAVA % | 9 L INE % </v>
      </c>
      <c r="AV153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53" s="4" t="str">
        <f ca="1">IFERROR(__xludf.DUMMYFUNCTION("""COMPUTED_VALUE"""),"| 5 P Python % | 7 L PHP-CGM % | 8 L JAVA % | 9 P PHP-CGM % ")</f>
        <v xml:space="preserve">| 5 P Python % | 7 L PHP-CGM % | 8 L JAVA % | 9 P PHP-CGM % </v>
      </c>
      <c r="AX153" s="4" t="str">
        <f ca="1">IFERROR(__xludf.DUMMYFUNCTION("""COMPUTED_VALUE"""),"| 5 P NS % | 7 L CPT % | 8 L NS % | 9 P Python @ ")</f>
        <v xml:space="preserve">| 5 P NS % | 7 L CPT % | 8 L NS % | 9 P Python @ </v>
      </c>
      <c r="AY153" s="4" t="str">
        <f ca="1">IFERROR(__xludf.DUMMYFUNCTION("""COMPUTED_VALUE"""),"| 5 L PHP-CGM % | 6 L NS % | 7 P JAVA @ ")</f>
        <v xml:space="preserve">| 5 L PHP-CGM % | 6 L NS % | 7 P JAVA @ </v>
      </c>
      <c r="AZ153" s="4" t="str">
        <f ca="1">IFERROR(__xludf.DUMMYFUNCTION("""COMPUTED_VALUE"""),"| 5 L PHP-CGM @ | 6 L NS @ | 7 L JAVA % | 8 L CPT % | 9 P CPT @ ")</f>
        <v xml:space="preserve">| 5 L PHP-CGM @ | 6 L NS @ | 7 L JAVA % | 8 L CPT % | 9 P CPT @ </v>
      </c>
      <c r="BA153" s="4" t="str">
        <f ca="1">IFERROR(__xludf.DUMMYFUNCTION("""COMPUTED_VALUE"""),"| 5 P Python % | 7 L PHP-CGM % | 8 L JAVA % ")</f>
        <v xml:space="preserve">| 5 P Python % | 7 L PHP-CGM % | 8 L JAVA % </v>
      </c>
      <c r="BB153" s="4" t="str">
        <f ca="1">IFERROR(__xludf.DUMMYFUNCTION("""COMPUTED_VALUE"""),"| 5 P NS @ | 7 L CPT @ | 8 L NS @ | 9 P Python @ ")</f>
        <v xml:space="preserve">| 5 P NS @ | 7 L CPT @ | 8 L NS @ | 9 P Python @ </v>
      </c>
      <c r="BC153" s="4" t="str">
        <f ca="1">IFERROR(__xludf.DUMMYFUNCTION("""COMPUTED_VALUE"""),"| 5 L PHP-CGM @ | 6 L NS @ | 7 P JAVA @ | 9 P PRO @ ")</f>
        <v xml:space="preserve">| 5 L PHP-CGM @ | 6 L NS @ | 7 P JAVA @ | 9 P PRO @ </v>
      </c>
      <c r="BD153" s="4" t="str">
        <f ca="1">IFERROR(__xludf.DUMMYFUNCTION("""COMPUTED_VALUE"""),"| 5 L JAVA % | 6 L CPT % | 7 P JAVA % | 9 L INE % ")</f>
        <v xml:space="preserve">| 5 L JAVA % | 6 L CPT % | 7 P JAVA % | 9 L INE % </v>
      </c>
      <c r="BE15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53" s="4" t="str">
        <f ca="1">IFERROR(__xludf.DUMMYFUNCTION("""COMPUTED_VALUE"""),"| 5 P Python % | 7 L PHP-CGM @ | 8 L JAVA @ | 9 P PHP-CGM % ")</f>
        <v xml:space="preserve">| 5 P Python % | 7 L PHP-CGM @ | 8 L JAVA @ | 9 P PHP-CGM % </v>
      </c>
      <c r="BG153" s="4" t="str">
        <f ca="1">IFERROR(__xludf.DUMMYFUNCTION("""COMPUTED_VALUE"""),"| 5 L PHP-CGM % | 6 L NS % | 7 P JAVA @ | 9 P PRO % ")</f>
        <v xml:space="preserve">| 5 L PHP-CGM % | 6 L NS % | 7 P JAVA @ | 9 P PRO % </v>
      </c>
      <c r="BH153" s="4" t="str">
        <f ca="1">IFERROR(__xludf.DUMMYFUNCTION("""COMPUTED_VALUE"""),"| 5 L JAVA @ | 6 L CPT @ | 7 P JAVA % | 9 L INE @ ")</f>
        <v xml:space="preserve">| 5 L JAVA @ | 6 L CPT @ | 7 P JAVA % | 9 L INE @ </v>
      </c>
      <c r="BI153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BJ153" s="4" t="str">
        <f ca="1">IFERROR(__xludf.DUMMYFUNCTION("""COMPUTED_VALUE"""),"| 5 P Python % | 7 L JAVA @ | 7 L PHP-CGM @ ")</f>
        <v xml:space="preserve">| 5 P Python % | 7 L JAVA @ | 7 L PHP-CGM @ </v>
      </c>
      <c r="BK153" s="4" t="str">
        <f ca="1">IFERROR(__xludf.DUMMYFUNCTION("""COMPUTED_VALUE"""),"| 7 L CPT @ | 8 L NS @ ")</f>
        <v xml:space="preserve">| 7 L CPT @ | 8 L NS @ </v>
      </c>
      <c r="BL153" s="4" t="str">
        <f ca="1">IFERROR(__xludf.DUMMYFUNCTION("""COMPUTED_VALUE"""),"| 5 L PHP-CGM @ | 6 L NS @ | 7 P JAVA @ | 9 P PRO @ ")</f>
        <v xml:space="preserve">| 5 L PHP-CGM @ | 6 L NS @ | 7 P JAVA @ | 9 P PRO @ </v>
      </c>
      <c r="BM153" s="4" t="str">
        <f ca="1">IFERROR(__xludf.DUMMYFUNCTION("""COMPUTED_VALUE"""),"| 5 L JAVA @ | 6 L CPT @ | 9 L INE @ ")</f>
        <v xml:space="preserve">| 5 L JAVA @ | 6 L CPT @ | 9 L INE @ </v>
      </c>
      <c r="BN153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3" s="4" t="str">
        <f ca="1">IFERROR(__xludf.DUMMYFUNCTION("""COMPUTED_VALUE"""),"| 5 P Python @ | 7 L PHP-CGM @ ")</f>
        <v xml:space="preserve">| 5 P Python @ | 7 L PHP-CGM @ </v>
      </c>
      <c r="BP153" s="4" t="str">
        <f ca="1">IFERROR(__xludf.DUMMYFUNCTION("""COMPUTED_VALUE"""),"| 5 P NS @ | 7 L CPT @ | 8 L NS @ ")</f>
        <v xml:space="preserve">| 5 P NS @ | 7 L CPT @ | 8 L NS @ </v>
      </c>
      <c r="BQ153" s="4" t="str">
        <f ca="1">IFERROR(__xludf.DUMMYFUNCTION("""COMPUTED_VALUE"""),"| 5 L JAVA @ | 6 L CPT @ ")</f>
        <v xml:space="preserve">| 5 L JAVA @ | 6 L CPT @ </v>
      </c>
      <c r="BR153" s="4" t="str">
        <f ca="1">IFERROR(__xludf.DUMMYFUNCTION("""COMPUTED_VALUE"""),"| 7 L JAVA @ ")</f>
        <v xml:space="preserve">| 7 L JAVA @ </v>
      </c>
      <c r="BS153" s="4"/>
      <c r="BT153" s="4" t="str">
        <f ca="1">IFERROR(__xludf.DUMMYFUNCTION("""COMPUTED_VALUE"""),"| 7 L CPT @ ")</f>
        <v xml:space="preserve">| 7 L CPT @ </v>
      </c>
      <c r="BU153" s="4" t="str">
        <f ca="1">IFERROR(__xludf.DUMMYFUNCTION("""COMPUTED_VALUE"""),"| 9 P PRO @ ")</f>
        <v xml:space="preserve">| 9 P PRO @ </v>
      </c>
      <c r="BV153" s="4" t="str">
        <f ca="1">IFERROR(__xludf.DUMMYFUNCTION("""COMPUTED_VALUE"""),"| 5 P NS @ | 7 L CPT @ | 8 L NS @ | 9 P Python @ ")</f>
        <v xml:space="preserve">| 5 P NS @ | 7 L CPT @ | 8 L NS @ | 9 P Python @ </v>
      </c>
      <c r="BW153" s="4"/>
      <c r="BX153" s="4" t="str">
        <f ca="1">IFERROR(__xludf.DUMMYFUNCTION("""COMPUTED_VALUE"""),"| 5 L JAVA @ | 6 L CPT @ | 7 P JAVA @ ")</f>
        <v xml:space="preserve">| 5 L JAVA @ | 6 L CPT @ | 7 P JAVA @ </v>
      </c>
      <c r="BY153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53" s="4" t="str">
        <f ca="1">IFERROR(__xludf.DUMMYFUNCTION("""COMPUTED_VALUE"""),"| 5 P Python @ | 8 L JAVA @ | 7 L PHP-CGM @ | 9 P PHP-CGM @ ")</f>
        <v xml:space="preserve">| 5 P Python @ | 8 L JAVA @ | 7 L PHP-CGM @ | 9 P PHP-CGM @ </v>
      </c>
      <c r="CA153" s="4" t="str">
        <f ca="1">IFERROR(__xludf.DUMMYFUNCTION("""COMPUTED_VALUE"""),"| 5 P NS % | 7 L CPT @ | 8 L NS @ | 9 P Python % ")</f>
        <v xml:space="preserve">| 5 P NS % | 7 L CPT @ | 8 L NS @ | 9 P Python % </v>
      </c>
      <c r="CB153" s="4" t="str">
        <f ca="1">IFERROR(__xludf.DUMMYFUNCTION("""COMPUTED_VALUE"""),"| 5 L PHP-CGM @ | 6 L NS @ | 7 P JAVA @ ")</f>
        <v xml:space="preserve">| 5 L PHP-CGM @ | 6 L NS @ | 7 P JAVA @ </v>
      </c>
      <c r="CC153" s="4" t="str">
        <f ca="1">IFERROR(__xludf.DUMMYFUNCTION("""COMPUTED_VALUE"""),"| 5 L JAVA @ | 7 P JAVA % | 9 L INE % ")</f>
        <v xml:space="preserve">| 5 L JAVA @ | 7 P JAVA % | 9 L INE % </v>
      </c>
      <c r="CD153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CE153" s="4" t="str">
        <f ca="1">IFERROR(__xludf.DUMMYFUNCTION("""COMPUTED_VALUE"""),"| 5 P Python % | 8 L JAVA @ | 7 L PHP-CGM @ ")</f>
        <v xml:space="preserve">| 5 P Python % | 8 L JAVA @ | 7 L PHP-CGM @ </v>
      </c>
      <c r="CF153" s="4" t="str">
        <f ca="1">IFERROR(__xludf.DUMMYFUNCTION("""COMPUTED_VALUE"""),"| 5 P NS @ | 7 L CPT @ | 8 L NS @ | 9 P Python % ")</f>
        <v xml:space="preserve">| 5 P NS @ | 7 L CPT @ | 8 L NS @ | 9 P Python % </v>
      </c>
      <c r="CG153" s="4" t="str">
        <f ca="1">IFERROR(__xludf.DUMMYFUNCTION("""COMPUTED_VALUE"""),"| 5 L PHP-CGM @ | 6 L NS @ | 7 P JAVA @ ")</f>
        <v xml:space="preserve">| 5 L PHP-CGM @ | 6 L NS @ | 7 P JAVA @ </v>
      </c>
      <c r="CH153" s="4" t="str">
        <f ca="1">IFERROR(__xludf.DUMMYFUNCTION("""COMPUTED_VALUE"""),"| 5 L JAVA @ | 6 L CPT @ | 7 P JAVA % | 9 L INE @ ")</f>
        <v xml:space="preserve">| 5 L JAVA @ | 6 L CPT @ | 7 P JAVA % | 9 L INE @ </v>
      </c>
      <c r="CI153" s="4" t="str">
        <f ca="1">IFERROR(__xludf.DUMMYFUNCTION("""COMPUTED_VALUE"""),"| 5 L PHP-CGM @ | 7 L JAVA @ | 8 L CPT @ | 9 P CPT @ ")</f>
        <v xml:space="preserve">| 5 L PHP-CGM @ | 7 L JAVA @ | 8 L CPT @ | 9 P CPT @ </v>
      </c>
      <c r="CJ153" s="4" t="str">
        <f ca="1">IFERROR(__xludf.DUMMYFUNCTION("""COMPUTED_VALUE"""),"| 5 P Python % ")</f>
        <v xml:space="preserve">| 5 P Python % </v>
      </c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</row>
    <row r="154" spans="1:102" ht="12.5" x14ac:dyDescent="0.25">
      <c r="A154" s="3">
        <f ca="1">IFERROR(__xludf.DUMMYFUNCTION("""COMPUTED_VALUE"""),4)</f>
        <v>4</v>
      </c>
      <c r="B154" s="3" t="str">
        <f ca="1">IFERROR(__xludf.DUMMYFUNCTION("""COMPUTED_VALUE"""),"B")</f>
        <v>B</v>
      </c>
      <c r="C154" s="32" t="str">
        <f ca="1">IFERROR(__xludf.DUMMYFUNCTION("""COMPUTED_VALUE"""),"23291341167")</f>
        <v>23291341167</v>
      </c>
      <c r="D154" s="4" t="str">
        <f ca="1">IFERROR(__xludf.DUMMYFUNCTION("""COMPUTED_VALUE"""),"VADHEL NILESHBHAI RAJUBHAI")</f>
        <v>VADHEL NILESHBHAI RAJUBHAI</v>
      </c>
      <c r="E154" s="3" t="str">
        <f ca="1">IFERROR(__xludf.DUMMYFUNCTION("""COMPUTED_VALUE"""),"HAM/HDP-EVE")</f>
        <v>HAM/HDP-EVE</v>
      </c>
      <c r="F154" s="3">
        <f ca="1">IFERROR(__xludf.DUMMYFUNCTION("""COMPUTED_VALUE"""),9904832354)</f>
        <v>9904832354</v>
      </c>
      <c r="G154" s="3">
        <f ca="1">IFERROR(__xludf.DUMMYFUNCTION("""COMPUTED_VALUE"""),9558317302)</f>
        <v>9558317302</v>
      </c>
      <c r="H154" s="33">
        <f ca="1">IFERROR(__xludf.DUMMYFUNCTION("""COMPUTED_VALUE"""),0.295652173913043)</f>
        <v>0.29565217391304299</v>
      </c>
      <c r="I154" s="25">
        <f ca="1">IFERROR(__xludf.DUMMYFUNCTION("""COMPUTED_VALUE"""),0.216216216216216)</f>
        <v>0.21621621621621601</v>
      </c>
      <c r="J154" s="25">
        <f ca="1">IFERROR(__xludf.DUMMYFUNCTION("""COMPUTED_VALUE"""),0.25)</f>
        <v>0.25</v>
      </c>
      <c r="K154" s="25">
        <f ca="1">IFERROR(__xludf.DUMMYFUNCTION("""COMPUTED_VALUE"""),0.176470588235294)</f>
        <v>0.17647058823529399</v>
      </c>
      <c r="L154" s="25">
        <f ca="1">IFERROR(__xludf.DUMMYFUNCTION("""COMPUTED_VALUE"""),0.3)</f>
        <v>0.3</v>
      </c>
      <c r="M154" s="25">
        <f ca="1">IFERROR(__xludf.DUMMYFUNCTION("""COMPUTED_VALUE"""),0.285714285714285)</f>
        <v>0.28571428571428498</v>
      </c>
      <c r="N154" s="25">
        <f ca="1">IFERROR(__xludf.DUMMYFUNCTION("""COMPUTED_VALUE"""),0.428571428571428)</f>
        <v>0.42857142857142799</v>
      </c>
      <c r="O154" s="25">
        <f ca="1">IFERROR(__xludf.DUMMYFUNCTION("""COMPUTED_VALUE"""),0.285714285714285)</f>
        <v>0.28571428571428498</v>
      </c>
      <c r="P154" s="25">
        <f ca="1">IFERROR(__xludf.DUMMYFUNCTION("""COMPUTED_VALUE"""),0.428571428571428)</f>
        <v>0.42857142857142799</v>
      </c>
      <c r="Q154" s="25">
        <f ca="1">IFERROR(__xludf.DUMMYFUNCTION("""COMPUTED_VALUE"""),0)</f>
        <v>0</v>
      </c>
      <c r="R154" s="25">
        <f ca="1">IFERROR(__xludf.DUMMYFUNCTION("""COMPUTED_VALUE"""),0.5)</f>
        <v>0.5</v>
      </c>
      <c r="S154" s="25">
        <f ca="1">IFERROR(__xludf.DUMMYFUNCTION("""COMPUTED_VALUE"""),0)</f>
        <v>0</v>
      </c>
      <c r="T154" s="25">
        <f ca="1">IFERROR(__xludf.DUMMYFUNCTION("""COMPUTED_VALUE"""),0.222222222222222)</f>
        <v>0.22222222222222199</v>
      </c>
      <c r="U154" s="25">
        <f ca="1">IFERROR(__xludf.DUMMYFUNCTION("""COMPUTED_VALUE"""),0.375)</f>
        <v>0.375</v>
      </c>
      <c r="V154" s="25">
        <f ca="1">IFERROR(__xludf.DUMMYFUNCTION("""COMPUTED_VALUE"""),0)</f>
        <v>0</v>
      </c>
      <c r="W154" s="4"/>
      <c r="X154" s="4" t="str">
        <f ca="1">IFERROR(__xludf.DUMMYFUNCTION("""COMPUTED_VALUE"""),"| 7 L CPT @ | 8 L NS @ | 9 P Python @ ")</f>
        <v xml:space="preserve">| 7 L CPT @ | 8 L NS @ | 9 P Python @ </v>
      </c>
      <c r="Y154" s="4" t="str">
        <f ca="1">IFERROR(__xludf.DUMMYFUNCTION("""COMPUTED_VALUE"""),"| 5 L PHP-CGM @ | 6 L NS @ | 7 P JAVA @ | 9 P PRO @ ")</f>
        <v xml:space="preserve">| 5 L PHP-CGM @ | 6 L NS @ | 7 P JAVA @ | 9 P PRO @ </v>
      </c>
      <c r="Z154" s="4" t="str">
        <f ca="1">IFERROR(__xludf.DUMMYFUNCTION("""COMPUTED_VALUE"""),"| 5 L JAVA % | 6 L CPT % | 7 P JAVA % ")</f>
        <v xml:space="preserve">| 5 L JAVA % | 6 L CPT % | 7 P JAVA % </v>
      </c>
      <c r="AA154" s="4" t="str">
        <f ca="1">IFERROR(__xludf.DUMMYFUNCTION("""COMPUTED_VALUE"""),"| 5 L PHP-CGM % | 7 L JAVA @ | 9 P CPT % | 8 L CPT % ")</f>
        <v xml:space="preserve">| 5 L PHP-CGM % | 7 L JAVA @ | 9 P CPT % | 8 L CPT % </v>
      </c>
      <c r="AB154" s="4" t="str">
        <f ca="1">IFERROR(__xludf.DUMMYFUNCTION("""COMPUTED_VALUE"""),"| 5 P Python % | 7 L PHP-CGM % | 8 L JAVA % | 9 P PHP-CGM @ ")</f>
        <v xml:space="preserve">| 5 P Python % | 7 L PHP-CGM % | 8 L JAVA % | 9 P PHP-CGM @ </v>
      </c>
      <c r="AC154" s="4" t="str">
        <f ca="1">IFERROR(__xludf.DUMMYFUNCTION("""COMPUTED_VALUE"""),"| 5 P NS @ | 7 L CPT @ | 8 L NS @ | 9 P Python @ ")</f>
        <v xml:space="preserve">| 5 P NS @ | 7 L CPT @ | 8 L NS @ | 9 P Python @ </v>
      </c>
      <c r="AD154" s="4" t="str">
        <f ca="1">IFERROR(__xludf.DUMMYFUNCTION("""COMPUTED_VALUE"""),"| 5 L PHP-CGM @ | 6 L NS @ | 7 P JAVA @ | 9 P PRO @ ")</f>
        <v xml:space="preserve">| 5 L PHP-CGM @ | 6 L NS @ | 7 P JAVA @ | 9 P PRO @ </v>
      </c>
      <c r="AE154" s="4" t="str">
        <f ca="1">IFERROR(__xludf.DUMMYFUNCTION("""COMPUTED_VALUE"""),"| 5 L JAVA % | 6 L CPT % | 7 P JAVA % ")</f>
        <v xml:space="preserve">| 5 L JAVA % | 6 L CPT % | 7 P JAVA % </v>
      </c>
      <c r="AF15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54" s="4" t="str">
        <f ca="1">IFERROR(__xludf.DUMMYFUNCTION("""COMPUTED_VALUE"""),"| 5 P Python % | 8 L JAVA @ | 7 L PHP-CGM @ | 9 P PHP-CGM @ ")</f>
        <v xml:space="preserve">| 5 P Python % | 8 L JAVA @ | 7 L PHP-CGM @ | 9 P PHP-CGM @ </v>
      </c>
      <c r="AH154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I154" s="4" t="str">
        <f ca="1">IFERROR(__xludf.DUMMYFUNCTION("""COMPUTED_VALUE"""),"| 5 P Python % | 8 L JAVA % | 7 L PHP-CGM % | 9 P PHP-CGM % ")</f>
        <v xml:space="preserve">| 5 P Python % | 8 L JAVA % | 7 L PHP-CGM % | 9 P PHP-CGM % </v>
      </c>
      <c r="AJ154" s="4" t="str">
        <f ca="1">IFERROR(__xludf.DUMMYFUNCTION("""COMPUTED_VALUE"""),"| 5 P NS % | 7 L CPT @ | 8 L NS @ | 9 P Python % ")</f>
        <v xml:space="preserve">| 5 P NS % | 7 L CPT @ | 8 L NS @ | 9 P Python % </v>
      </c>
      <c r="AK154" s="4" t="str">
        <f ca="1">IFERROR(__xludf.DUMMYFUNCTION("""COMPUTED_VALUE"""),"| 5 L PHP-CGM @ | 6 L NS @ | 7 P JAVA @ | 9 P PRO @ ")</f>
        <v xml:space="preserve">| 5 L PHP-CGM @ | 6 L NS @ | 7 P JAVA @ | 9 P PRO @ </v>
      </c>
      <c r="AL154" s="4" t="str">
        <f ca="1">IFERROR(__xludf.DUMMYFUNCTION("""COMPUTED_VALUE"""),"| 5 L JAVA @ | 6 L CPT @ | 7 P JAVA % | 9 L INE @ ")</f>
        <v xml:space="preserve">| 5 L JAVA @ | 6 L CPT @ | 7 P JAVA % | 9 L INE @ </v>
      </c>
      <c r="AM15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N154" s="4" t="str">
        <f ca="1">IFERROR(__xludf.DUMMYFUNCTION("""COMPUTED_VALUE"""),"| 5 P Python @ | 8 L JAVA @ | 7 L PHP-CGM @ | 9 P PHP-CGM @ ")</f>
        <v xml:space="preserve">| 5 P Python @ | 8 L JAVA @ | 7 L PHP-CGM @ | 9 P PHP-CGM @ </v>
      </c>
      <c r="AO154" s="4" t="str">
        <f ca="1">IFERROR(__xludf.DUMMYFUNCTION("""COMPUTED_VALUE"""),"| 5 P NS % | 7 L CPT @ | 8 L NS @ | 9 P Python % ")</f>
        <v xml:space="preserve">| 5 P NS % | 7 L CPT @ | 8 L NS @ | 9 P Python % </v>
      </c>
      <c r="AP154" s="4" t="str">
        <f ca="1">IFERROR(__xludf.DUMMYFUNCTION("""COMPUTED_VALUE"""),"| 5 L PHP-CGM @ | 6 L NS @ | 7 P JAVA @ | 9 P PRO @ ")</f>
        <v xml:space="preserve">| 5 L PHP-CGM @ | 6 L NS @ | 7 P JAVA @ | 9 P PRO @ </v>
      </c>
      <c r="AQ154" s="4" t="str">
        <f ca="1">IFERROR(__xludf.DUMMYFUNCTION("""COMPUTED_VALUE"""),"| 5 L CPT % | 7 L JAVA % | 7 P JAVA % | 9 L INE % ")</f>
        <v xml:space="preserve">| 5 L CPT % | 7 L JAVA % | 7 P JAVA % | 9 L INE % </v>
      </c>
      <c r="AR154" s="4" t="str">
        <f ca="1">IFERROR(__xludf.DUMMYFUNCTION("""COMPUTED_VALUE"""),"| 5 L PHP-CGM @ | 6 L NS @ | 8 L CPT @ ")</f>
        <v xml:space="preserve">| 5 L PHP-CGM @ | 6 L NS @ | 8 L CPT @ </v>
      </c>
      <c r="AS154" s="4" t="str">
        <f ca="1">IFERROR(__xludf.DUMMYFUNCTION("""COMPUTED_VALUE"""),"| 5 P NS @ | 7 L CPT @ | 8 L NS @ | 9 P Python @ ")</f>
        <v xml:space="preserve">| 5 P NS @ | 7 L CPT @ | 8 L NS @ | 9 P Python @ </v>
      </c>
      <c r="AT154" s="4" t="str">
        <f ca="1">IFERROR(__xludf.DUMMYFUNCTION("""COMPUTED_VALUE"""),"| 5 L PHP-CGM % | 6 L NS % | 7 P JAVA @ | 9 P PRO % ")</f>
        <v xml:space="preserve">| 5 L PHP-CGM % | 6 L NS % | 7 P JAVA @ | 9 P PRO % </v>
      </c>
      <c r="AU154" s="4" t="str">
        <f ca="1">IFERROR(__xludf.DUMMYFUNCTION("""COMPUTED_VALUE"""),"| 5 L JAVA % | 6 L CPT % | 7 P JAVA % | 9 L INE % ")</f>
        <v xml:space="preserve">| 5 L JAVA % | 6 L CPT % | 7 P JAVA % | 9 L INE % </v>
      </c>
      <c r="AV154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54" s="4" t="str">
        <f ca="1">IFERROR(__xludf.DUMMYFUNCTION("""COMPUTED_VALUE"""),"| 5 P Python % | 7 L PHP-CGM % | 8 L JAVA % | 9 P PHP-CGM % ")</f>
        <v xml:space="preserve">| 5 P Python % | 7 L PHP-CGM % | 8 L JAVA % | 9 P PHP-CGM % </v>
      </c>
      <c r="AX154" s="4" t="str">
        <f ca="1">IFERROR(__xludf.DUMMYFUNCTION("""COMPUTED_VALUE"""),"| 5 P NS @ | 7 L CPT @ | 8 L NS @ | 9 P Python @ ")</f>
        <v xml:space="preserve">| 5 P NS @ | 7 L CPT @ | 8 L NS @ | 9 P Python @ </v>
      </c>
      <c r="AY154" s="4" t="str">
        <f ca="1">IFERROR(__xludf.DUMMYFUNCTION("""COMPUTED_VALUE"""),"| 5 L PHP-CGM @ | 6 L NS @ | 7 P JAVA @ ")</f>
        <v xml:space="preserve">| 5 L PHP-CGM @ | 6 L NS @ | 7 P JAVA @ </v>
      </c>
      <c r="AZ15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A154" s="4" t="str">
        <f ca="1">IFERROR(__xludf.DUMMYFUNCTION("""COMPUTED_VALUE"""),"| 5 P Python @ | 7 L PHP-CGM @ | 8 L JAVA @ ")</f>
        <v xml:space="preserve">| 5 P Python @ | 7 L PHP-CGM @ | 8 L JAVA @ </v>
      </c>
      <c r="BB154" s="4" t="str">
        <f ca="1">IFERROR(__xludf.DUMMYFUNCTION("""COMPUTED_VALUE"""),"| 5 P NS @ | 7 L CPT @ | 8 L NS @ | 9 P Python @ ")</f>
        <v xml:space="preserve">| 5 P NS @ | 7 L CPT @ | 8 L NS @ | 9 P Python @ </v>
      </c>
      <c r="BC154" s="4" t="str">
        <f ca="1">IFERROR(__xludf.DUMMYFUNCTION("""COMPUTED_VALUE"""),"| 5 L PHP-CGM @ | 6 L NS @ | 7 P JAVA @ | 9 P PRO @ ")</f>
        <v xml:space="preserve">| 5 L PHP-CGM @ | 6 L NS @ | 7 P JAVA @ | 9 P PRO @ </v>
      </c>
      <c r="BD154" s="4" t="str">
        <f ca="1">IFERROR(__xludf.DUMMYFUNCTION("""COMPUTED_VALUE"""),"| 5 L JAVA @ | 6 L CPT @ | 7 P JAVA @ | 9 L INE @ ")</f>
        <v xml:space="preserve">| 5 L JAVA @ | 6 L CPT @ | 7 P JAVA @ | 9 L INE @ </v>
      </c>
      <c r="BE15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54" s="4" t="str">
        <f ca="1">IFERROR(__xludf.DUMMYFUNCTION("""COMPUTED_VALUE"""),"| 5 P Python % | 7 L PHP-CGM @ | 8 L JAVA @ | 9 P PHP-CGM % ")</f>
        <v xml:space="preserve">| 5 P Python % | 7 L PHP-CGM @ | 8 L JAVA @ | 9 P PHP-CGM % </v>
      </c>
      <c r="BG154" s="4" t="str">
        <f ca="1">IFERROR(__xludf.DUMMYFUNCTION("""COMPUTED_VALUE"""),"| 5 L PHP-CGM % | 6 L NS % | 7 P JAVA @ | 9 P PRO % ")</f>
        <v xml:space="preserve">| 5 L PHP-CGM % | 6 L NS % | 7 P JAVA @ | 9 P PRO % </v>
      </c>
      <c r="BH154" s="4" t="str">
        <f ca="1">IFERROR(__xludf.DUMMYFUNCTION("""COMPUTED_VALUE"""),"| 5 L JAVA @ | 6 L CPT @ | 7 P JAVA % | 9 L INE @ ")</f>
        <v xml:space="preserve">| 5 L JAVA @ | 6 L CPT @ | 7 P JAVA % | 9 L INE @ </v>
      </c>
      <c r="BI154" s="4" t="str">
        <f ca="1">IFERROR(__xludf.DUMMYFUNCTION("""COMPUTED_VALUE"""),"| 5 L PHP-CGM % | 6 L NS % | 7 L JAVA @ | 8 L CPT @ | 9 P CPT % ")</f>
        <v xml:space="preserve">| 5 L PHP-CGM % | 6 L NS % | 7 L JAVA @ | 8 L CPT @ | 9 P CPT % </v>
      </c>
      <c r="BJ154" s="4" t="str">
        <f ca="1">IFERROR(__xludf.DUMMYFUNCTION("""COMPUTED_VALUE"""),"| 5 P Python % | 7 L JAVA @ | 7 L PHP-CGM @ ")</f>
        <v xml:space="preserve">| 5 P Python % | 7 L JAVA @ | 7 L PHP-CGM @ </v>
      </c>
      <c r="BK154" s="4" t="str">
        <f ca="1">IFERROR(__xludf.DUMMYFUNCTION("""COMPUTED_VALUE"""),"| 7 L CPT @ | 8 L NS @ ")</f>
        <v xml:space="preserve">| 7 L CPT @ | 8 L NS @ </v>
      </c>
      <c r="BL154" s="4" t="str">
        <f ca="1">IFERROR(__xludf.DUMMYFUNCTION("""COMPUTED_VALUE"""),"| 5 L PHP-CGM @ | 6 L NS @ | 7 P JAVA @ | 9 P PRO @ ")</f>
        <v xml:space="preserve">| 5 L PHP-CGM @ | 6 L NS @ | 7 P JAVA @ | 9 P PRO @ </v>
      </c>
      <c r="BM154" s="4" t="str">
        <f ca="1">IFERROR(__xludf.DUMMYFUNCTION("""COMPUTED_VALUE"""),"| 5 L JAVA @ | 6 L CPT @ | 9 L INE @ ")</f>
        <v xml:space="preserve">| 5 L JAVA @ | 6 L CPT @ | 9 L INE @ </v>
      </c>
      <c r="BN154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4" s="4" t="str">
        <f ca="1">IFERROR(__xludf.DUMMYFUNCTION("""COMPUTED_VALUE"""),"| 5 P Python @ | 7 L PHP-CGM @ ")</f>
        <v xml:space="preserve">| 5 P Python @ | 7 L PHP-CGM @ </v>
      </c>
      <c r="BP154" s="4" t="str">
        <f ca="1">IFERROR(__xludf.DUMMYFUNCTION("""COMPUTED_VALUE"""),"| 5 P NS @ | 7 L CPT @ | 8 L NS @ ")</f>
        <v xml:space="preserve">| 5 P NS @ | 7 L CPT @ | 8 L NS @ </v>
      </c>
      <c r="BQ154" s="4" t="str">
        <f ca="1">IFERROR(__xludf.DUMMYFUNCTION("""COMPUTED_VALUE"""),"| 5 L JAVA @ | 6 L CPT @ ")</f>
        <v xml:space="preserve">| 5 L JAVA @ | 6 L CPT @ </v>
      </c>
      <c r="BR154" s="4" t="str">
        <f ca="1">IFERROR(__xludf.DUMMYFUNCTION("""COMPUTED_VALUE"""),"| 7 L JAVA @ ")</f>
        <v xml:space="preserve">| 7 L JAVA @ </v>
      </c>
      <c r="BS154" s="4"/>
      <c r="BT154" s="4" t="str">
        <f ca="1">IFERROR(__xludf.DUMMYFUNCTION("""COMPUTED_VALUE"""),"| 7 L CPT @ ")</f>
        <v xml:space="preserve">| 7 L CPT @ </v>
      </c>
      <c r="BU154" s="4" t="str">
        <f ca="1">IFERROR(__xludf.DUMMYFUNCTION("""COMPUTED_VALUE"""),"| 9 P PRO @ ")</f>
        <v xml:space="preserve">| 9 P PRO @ </v>
      </c>
      <c r="BV154" s="4" t="str">
        <f ca="1">IFERROR(__xludf.DUMMYFUNCTION("""COMPUTED_VALUE"""),"| 5 P NS @ | 7 L CPT @ | 8 L NS @ | 9 P Python @ ")</f>
        <v xml:space="preserve">| 5 P NS @ | 7 L CPT @ | 8 L NS @ | 9 P Python @ </v>
      </c>
      <c r="BW154" s="4"/>
      <c r="BX154" s="4" t="str">
        <f ca="1">IFERROR(__xludf.DUMMYFUNCTION("""COMPUTED_VALUE"""),"| 5 L JAVA @ | 6 L CPT @ | 7 P JAVA @ ")</f>
        <v xml:space="preserve">| 5 L JAVA @ | 6 L CPT @ | 7 P JAVA @ </v>
      </c>
      <c r="BY15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54" s="4" t="str">
        <f ca="1">IFERROR(__xludf.DUMMYFUNCTION("""COMPUTED_VALUE"""),"| 5 P Python @ | 8 L JAVA @ | 7 L PHP-CGM @ | 9 P PHP-CGM @ ")</f>
        <v xml:space="preserve">| 5 P Python @ | 8 L JAVA @ | 7 L PHP-CGM @ | 9 P PHP-CGM @ </v>
      </c>
      <c r="CA154" s="4" t="str">
        <f ca="1">IFERROR(__xludf.DUMMYFUNCTION("""COMPUTED_VALUE"""),"| 5 P NS % | 7 L CPT @ | 8 L NS @ | 9 P Python % ")</f>
        <v xml:space="preserve">| 5 P NS % | 7 L CPT @ | 8 L NS @ | 9 P Python % </v>
      </c>
      <c r="CB154" s="4" t="str">
        <f ca="1">IFERROR(__xludf.DUMMYFUNCTION("""COMPUTED_VALUE"""),"| 5 L PHP-CGM @ | 6 L NS @ | 7 P JAVA % ")</f>
        <v xml:space="preserve">| 5 L PHP-CGM @ | 6 L NS @ | 7 P JAVA % </v>
      </c>
      <c r="CC154" s="4" t="str">
        <f ca="1">IFERROR(__xludf.DUMMYFUNCTION("""COMPUTED_VALUE"""),"| 5 L JAVA @ | 7 P JAVA % | 9 L INE % ")</f>
        <v xml:space="preserve">| 5 L JAVA @ | 7 P JAVA % | 9 L INE % </v>
      </c>
      <c r="CD15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CE154" s="4" t="str">
        <f ca="1">IFERROR(__xludf.DUMMYFUNCTION("""COMPUTED_VALUE"""),"| 5 P Python % | 8 L JAVA @ | 7 L PHP-CGM @ ")</f>
        <v xml:space="preserve">| 5 P Python % | 8 L JAVA @ | 7 L PHP-CGM @ </v>
      </c>
      <c r="CF154" s="4" t="str">
        <f ca="1">IFERROR(__xludf.DUMMYFUNCTION("""COMPUTED_VALUE"""),"| 5 P NS @ | 7 L CPT @ | 8 L NS @ | 9 P Python @ ")</f>
        <v xml:space="preserve">| 5 P NS @ | 7 L CPT @ | 8 L NS @ | 9 P Python @ </v>
      </c>
      <c r="CG154" s="4" t="str">
        <f ca="1">IFERROR(__xludf.DUMMYFUNCTION("""COMPUTED_VALUE"""),"| 5 L PHP-CGM @ | 6 L NS @ | 7 P JAVA @ ")</f>
        <v xml:space="preserve">| 5 L PHP-CGM @ | 6 L NS @ | 7 P JAVA @ </v>
      </c>
      <c r="CH154" s="4" t="str">
        <f ca="1">IFERROR(__xludf.DUMMYFUNCTION("""COMPUTED_VALUE"""),"| 5 L JAVA @ | 6 L CPT @ | 7 P JAVA % | 9 L INE @ ")</f>
        <v xml:space="preserve">| 5 L JAVA @ | 6 L CPT @ | 7 P JAVA % | 9 L INE @ </v>
      </c>
      <c r="CI154" s="4" t="str">
        <f ca="1">IFERROR(__xludf.DUMMYFUNCTION("""COMPUTED_VALUE"""),"| 5 L PHP-CGM @ | 7 L JAVA @ | 8 L CPT @ | 9 P CPT @ ")</f>
        <v xml:space="preserve">| 5 L PHP-CGM @ | 7 L JAVA @ | 8 L CPT @ | 9 P CPT @ </v>
      </c>
      <c r="CJ154" s="4" t="str">
        <f ca="1">IFERROR(__xludf.DUMMYFUNCTION("""COMPUTED_VALUE"""),"| 5 P Python % ")</f>
        <v xml:space="preserve">| 5 P Python % </v>
      </c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</row>
    <row r="155" spans="1:102" ht="12.5" x14ac:dyDescent="0.25">
      <c r="A155" s="3">
        <f ca="1">IFERROR(__xludf.DUMMYFUNCTION("""COMPUTED_VALUE"""),4)</f>
        <v>4</v>
      </c>
      <c r="B155" s="3" t="str">
        <f ca="1">IFERROR(__xludf.DUMMYFUNCTION("""COMPUTED_VALUE"""),"B")</f>
        <v>B</v>
      </c>
      <c r="C155" s="32" t="str">
        <f ca="1">IFERROR(__xludf.DUMMYFUNCTION("""COMPUTED_VALUE"""),"23291341173")</f>
        <v>23291341173</v>
      </c>
      <c r="D155" s="21" t="str">
        <f ca="1">IFERROR(__xludf.DUMMYFUNCTION("""COMPUTED_VALUE"""),"VRAJ DINESH PAREKH")</f>
        <v>VRAJ DINESH PAREKH</v>
      </c>
      <c r="E155" s="3" t="str">
        <f ca="1">IFERROR(__xludf.DUMMYFUNCTION("""COMPUTED_VALUE"""),"HAM/HDP-EVE")</f>
        <v>HAM/HDP-EVE</v>
      </c>
      <c r="F155" s="3">
        <f ca="1">IFERROR(__xludf.DUMMYFUNCTION("""COMPUTED_VALUE"""),7984449353)</f>
        <v>7984449353</v>
      </c>
      <c r="G155" s="3">
        <f ca="1">IFERROR(__xludf.DUMMYFUNCTION("""COMPUTED_VALUE"""),9426317007)</f>
        <v>9426317007</v>
      </c>
      <c r="H155" s="33">
        <f ca="1">IFERROR(__xludf.DUMMYFUNCTION("""COMPUTED_VALUE"""),0.230434782608695)</f>
        <v>0.23043478260869499</v>
      </c>
      <c r="I155" s="25">
        <f ca="1">IFERROR(__xludf.DUMMYFUNCTION("""COMPUTED_VALUE"""),0.27027027027027)</f>
        <v>0.27027027027027001</v>
      </c>
      <c r="J155" s="25">
        <f ca="1">IFERROR(__xludf.DUMMYFUNCTION("""COMPUTED_VALUE"""),0)</f>
        <v>0</v>
      </c>
      <c r="K155" s="25">
        <f ca="1">IFERROR(__xludf.DUMMYFUNCTION("""COMPUTED_VALUE"""),0.38235294117647)</f>
        <v>0.38235294117647001</v>
      </c>
      <c r="L155" s="25">
        <f ca="1">IFERROR(__xludf.DUMMYFUNCTION("""COMPUTED_VALUE"""),0.4)</f>
        <v>0.4</v>
      </c>
      <c r="M155" s="25">
        <f ca="1">IFERROR(__xludf.DUMMYFUNCTION("""COMPUTED_VALUE"""),0.342857142857142)</f>
        <v>0.34285714285714203</v>
      </c>
      <c r="N155" s="25">
        <f ca="1">IFERROR(__xludf.DUMMYFUNCTION("""COMPUTED_VALUE"""),0)</f>
        <v>0</v>
      </c>
      <c r="O155" s="25">
        <f ca="1">IFERROR(__xludf.DUMMYFUNCTION("""COMPUTED_VALUE"""),0.228571428571428)</f>
        <v>0.22857142857142801</v>
      </c>
      <c r="P155" s="25">
        <f ca="1">IFERROR(__xludf.DUMMYFUNCTION("""COMPUTED_VALUE"""),0.19047619047619)</f>
        <v>0.19047619047618999</v>
      </c>
      <c r="Q155" s="25">
        <f ca="1">IFERROR(__xludf.DUMMYFUNCTION("""COMPUTED_VALUE"""),0)</f>
        <v>0</v>
      </c>
      <c r="R155" s="25">
        <f ca="1">IFERROR(__xludf.DUMMYFUNCTION("""COMPUTED_VALUE"""),0.0909090909090909)</f>
        <v>9.0909090909090898E-2</v>
      </c>
      <c r="S155" s="25">
        <f ca="1">IFERROR(__xludf.DUMMYFUNCTION("""COMPUTED_VALUE"""),0)</f>
        <v>0</v>
      </c>
      <c r="T155" s="25">
        <f ca="1">IFERROR(__xludf.DUMMYFUNCTION("""COMPUTED_VALUE"""),0)</f>
        <v>0</v>
      </c>
      <c r="U155" s="25">
        <f ca="1">IFERROR(__xludf.DUMMYFUNCTION("""COMPUTED_VALUE"""),0)</f>
        <v>0</v>
      </c>
      <c r="V155" s="25">
        <f ca="1">IFERROR(__xludf.DUMMYFUNCTION("""COMPUTED_VALUE"""),0)</f>
        <v>0</v>
      </c>
      <c r="W155" s="4"/>
      <c r="X155" s="4" t="str">
        <f ca="1">IFERROR(__xludf.DUMMYFUNCTION("""COMPUTED_VALUE"""),"| 7 L CPT @ | 8 L NS @ | 9 P Python @ ")</f>
        <v xml:space="preserve">| 7 L CPT @ | 8 L NS @ | 9 P Python @ </v>
      </c>
      <c r="Y155" s="4" t="str">
        <f ca="1">IFERROR(__xludf.DUMMYFUNCTION("""COMPUTED_VALUE"""),"| 5 L PHP-CGM @ | 6 L NS @ | 7 P JAVA @ | 9 P PRO @ ")</f>
        <v xml:space="preserve">| 5 L PHP-CGM @ | 6 L NS @ | 7 P JAVA @ | 9 P PRO @ </v>
      </c>
      <c r="Z155" s="4" t="str">
        <f ca="1">IFERROR(__xludf.DUMMYFUNCTION("""COMPUTED_VALUE"""),"| 5 L JAVA % | 6 L CPT % | 7 P JAVA @ ")</f>
        <v xml:space="preserve">| 5 L JAVA % | 6 L CPT % | 7 P JAVA @ </v>
      </c>
      <c r="AA155" s="4" t="str">
        <f ca="1">IFERROR(__xludf.DUMMYFUNCTION("""COMPUTED_VALUE"""),"| 5 L PHP-CGM % | 7 L JAVA @ | 9 P CPT @ | 8 L CPT @ ")</f>
        <v xml:space="preserve">| 5 L PHP-CGM % | 7 L JAVA @ | 9 P CPT @ | 8 L CPT @ </v>
      </c>
      <c r="AB155" s="4" t="str">
        <f ca="1">IFERROR(__xludf.DUMMYFUNCTION("""COMPUTED_VALUE"""),"| 5 P Python % | 7 L PHP-CGM @ | 8 L JAVA @ | 9 P PHP-CGM @ ")</f>
        <v xml:space="preserve">| 5 P Python % | 7 L PHP-CGM @ | 8 L JAVA @ | 9 P PHP-CGM @ </v>
      </c>
      <c r="AC155" s="4" t="str">
        <f ca="1">IFERROR(__xludf.DUMMYFUNCTION("""COMPUTED_VALUE"""),"| 5 P NS % | 7 L CPT % | 8 L NS % | 9 P Python @ ")</f>
        <v xml:space="preserve">| 5 P NS % | 7 L CPT % | 8 L NS % | 9 P Python @ </v>
      </c>
      <c r="AD155" s="4" t="str">
        <f ca="1">IFERROR(__xludf.DUMMYFUNCTION("""COMPUTED_VALUE"""),"| 5 L PHP-CGM % | 6 L NS @ | 7 P JAVA @ | 9 P PRO @ ")</f>
        <v xml:space="preserve">| 5 L PHP-CGM % | 6 L NS @ | 7 P JAVA @ | 9 P PRO @ </v>
      </c>
      <c r="AE155" s="4" t="str">
        <f ca="1">IFERROR(__xludf.DUMMYFUNCTION("""COMPUTED_VALUE"""),"| 5 L JAVA % | 6 L CPT % | 7 P JAVA % ")</f>
        <v xml:space="preserve">| 5 L JAVA % | 6 L CPT % | 7 P JAVA % </v>
      </c>
      <c r="AF155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AG155" s="4" t="str">
        <f ca="1">IFERROR(__xludf.DUMMYFUNCTION("""COMPUTED_VALUE"""),"| 5 P Python % | 8 L JAVA % | 7 L PHP-CGM % | 9 P PHP-CGM @ ")</f>
        <v xml:space="preserve">| 5 P Python % | 8 L JAVA % | 7 L PHP-CGM % | 9 P PHP-CGM @ </v>
      </c>
      <c r="AH155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I155" s="4" t="str">
        <f ca="1">IFERROR(__xludf.DUMMYFUNCTION("""COMPUTED_VALUE"""),"| 5 P Python @ | 8 L JAVA @ | 7 L PHP-CGM @ | 9 P PHP-CGM @ ")</f>
        <v xml:space="preserve">| 5 P Python @ | 8 L JAVA @ | 7 L PHP-CGM @ | 9 P PHP-CGM @ </v>
      </c>
      <c r="AJ155" s="4" t="str">
        <f ca="1">IFERROR(__xludf.DUMMYFUNCTION("""COMPUTED_VALUE"""),"| 5 P NS % | 7 L CPT % | 8 L NS % | 9 P Python @ ")</f>
        <v xml:space="preserve">| 5 P NS % | 7 L CPT % | 8 L NS % | 9 P Python @ </v>
      </c>
      <c r="AK155" s="4" t="str">
        <f ca="1">IFERROR(__xludf.DUMMYFUNCTION("""COMPUTED_VALUE"""),"| 5 L PHP-CGM @ | 6 L NS % | 7 P JAVA % | 9 P PRO @ ")</f>
        <v xml:space="preserve">| 5 L PHP-CGM @ | 6 L NS % | 7 P JAVA % | 9 P PRO @ </v>
      </c>
      <c r="AL155" s="4" t="str">
        <f ca="1">IFERROR(__xludf.DUMMYFUNCTION("""COMPUTED_VALUE"""),"| 5 L JAVA % | 6 L CPT % | 7 P JAVA @ | 9 L INE @ ")</f>
        <v xml:space="preserve">| 5 L JAVA % | 6 L CPT % | 7 P JAVA @ | 9 L INE @ </v>
      </c>
      <c r="AM155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N155" s="4" t="str">
        <f ca="1">IFERROR(__xludf.DUMMYFUNCTION("""COMPUTED_VALUE"""),"| 5 P Python @ | 8 L JAVA @ | 7 L PHP-CGM @ | 9 P PHP-CGM @ ")</f>
        <v xml:space="preserve">| 5 P Python @ | 8 L JAVA @ | 7 L PHP-CGM @ | 9 P PHP-CGM @ </v>
      </c>
      <c r="AO155" s="4" t="str">
        <f ca="1">IFERROR(__xludf.DUMMYFUNCTION("""COMPUTED_VALUE"""),"| 5 P NS % | 7 L CPT @ | 8 L NS @ | 9 P Python @ ")</f>
        <v xml:space="preserve">| 5 P NS % | 7 L CPT @ | 8 L NS @ | 9 P Python @ </v>
      </c>
      <c r="AP155" s="4" t="str">
        <f ca="1">IFERROR(__xludf.DUMMYFUNCTION("""COMPUTED_VALUE"""),"| 5 L PHP-CGM % | 6 L NS % | 7 P JAVA % | 9 P PRO @ ")</f>
        <v xml:space="preserve">| 5 L PHP-CGM % | 6 L NS % | 7 P JAVA % | 9 P PRO @ </v>
      </c>
      <c r="AQ155" s="4" t="str">
        <f ca="1">IFERROR(__xludf.DUMMYFUNCTION("""COMPUTED_VALUE"""),"| 5 L CPT % | 7 L JAVA % | 7 P JAVA @ | 9 L INE @ ")</f>
        <v xml:space="preserve">| 5 L CPT % | 7 L JAVA % | 7 P JAVA @ | 9 L INE @ </v>
      </c>
      <c r="AR155" s="4" t="str">
        <f ca="1">IFERROR(__xludf.DUMMYFUNCTION("""COMPUTED_VALUE"""),"| 5 L PHP-CGM % | 6 L NS % | 8 L CPT @ ")</f>
        <v xml:space="preserve">| 5 L PHP-CGM % | 6 L NS % | 8 L CPT @ </v>
      </c>
      <c r="AS155" s="4" t="str">
        <f ca="1">IFERROR(__xludf.DUMMYFUNCTION("""COMPUTED_VALUE"""),"| 5 P NS @ | 7 L CPT @ | 8 L NS @ | 9 P Python @ ")</f>
        <v xml:space="preserve">| 5 P NS @ | 7 L CPT @ | 8 L NS @ | 9 P Python @ </v>
      </c>
      <c r="AT155" s="4" t="str">
        <f ca="1">IFERROR(__xludf.DUMMYFUNCTION("""COMPUTED_VALUE"""),"| 5 L PHP-CGM @ | 6 L NS @ | 7 P JAVA @ | 9 P PRO @ ")</f>
        <v xml:space="preserve">| 5 L PHP-CGM @ | 6 L NS @ | 7 P JAVA @ | 9 P PRO @ </v>
      </c>
      <c r="AU155" s="4" t="str">
        <f ca="1">IFERROR(__xludf.DUMMYFUNCTION("""COMPUTED_VALUE"""),"| 5 L JAVA @ | 6 L CPT @ | 7 P JAVA @ | 9 L INE @ ")</f>
        <v xml:space="preserve">| 5 L JAVA @ | 6 L CPT @ | 7 P JAVA @ | 9 L INE @ </v>
      </c>
      <c r="AV155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AW155" s="4" t="str">
        <f ca="1">IFERROR(__xludf.DUMMYFUNCTION("""COMPUTED_VALUE"""),"| 5 P Python @ | 7 L PHP-CGM @ | 8 L JAVA @ | 9 P PHP-CGM @ ")</f>
        <v xml:space="preserve">| 5 P Python @ | 7 L PHP-CGM @ | 8 L JAVA @ | 9 P PHP-CGM @ </v>
      </c>
      <c r="AX155" s="4" t="str">
        <f ca="1">IFERROR(__xludf.DUMMYFUNCTION("""COMPUTED_VALUE"""),"| 5 P NS @ | 7 L CPT @ | 8 L NS @ | 9 P Python @ ")</f>
        <v xml:space="preserve">| 5 P NS @ | 7 L CPT @ | 8 L NS @ | 9 P Python @ </v>
      </c>
      <c r="AY155" s="4" t="str">
        <f ca="1">IFERROR(__xludf.DUMMYFUNCTION("""COMPUTED_VALUE"""),"| 5 L PHP-CGM % | 6 L NS % | 7 P JAVA @ ")</f>
        <v xml:space="preserve">| 5 L PHP-CGM % | 6 L NS % | 7 P JAVA @ </v>
      </c>
      <c r="AZ155" s="4" t="str">
        <f ca="1">IFERROR(__xludf.DUMMYFUNCTION("""COMPUTED_VALUE"""),"| 5 L PHP-CGM @ | 6 L NS % | 7 L JAVA @ | 8 L CPT @ | 9 P CPT @ ")</f>
        <v xml:space="preserve">| 5 L PHP-CGM @ | 6 L NS % | 7 L JAVA @ | 8 L CPT @ | 9 P CPT @ </v>
      </c>
      <c r="BA155" s="4" t="str">
        <f ca="1">IFERROR(__xludf.DUMMYFUNCTION("""COMPUTED_VALUE"""),"| 5 P Python @ | 7 L PHP-CGM @ | 8 L JAVA @ ")</f>
        <v xml:space="preserve">| 5 P Python @ | 7 L PHP-CGM @ | 8 L JAVA @ </v>
      </c>
      <c r="BB155" s="4" t="str">
        <f ca="1">IFERROR(__xludf.DUMMYFUNCTION("""COMPUTED_VALUE"""),"| 5 P NS @ | 7 L CPT @ | 8 L NS @ | 9 P Python @ ")</f>
        <v xml:space="preserve">| 5 P NS @ | 7 L CPT @ | 8 L NS @ | 9 P Python @ </v>
      </c>
      <c r="BC155" s="4" t="str">
        <f ca="1">IFERROR(__xludf.DUMMYFUNCTION("""COMPUTED_VALUE"""),"| 5 L PHP-CGM % | 6 L NS % | 7 P JAVA @ | 9 P PRO @ ")</f>
        <v xml:space="preserve">| 5 L PHP-CGM % | 6 L NS % | 7 P JAVA @ | 9 P PRO @ </v>
      </c>
      <c r="BD155" s="4" t="str">
        <f ca="1">IFERROR(__xludf.DUMMYFUNCTION("""COMPUTED_VALUE"""),"| 5 L JAVA @ | 6 L CPT @ | 7 P JAVA @ | 9 L INE @ ")</f>
        <v xml:space="preserve">| 5 L JAVA @ | 6 L CPT @ | 7 P JAVA @ | 9 L INE @ </v>
      </c>
      <c r="BE155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55" s="4" t="str">
        <f ca="1">IFERROR(__xludf.DUMMYFUNCTION("""COMPUTED_VALUE"""),"| 5 P Python @ | 7 L PHP-CGM @ | 8 L JAVA @ | 9 P PHP-CGM @ ")</f>
        <v xml:space="preserve">| 5 P Python @ | 7 L PHP-CGM @ | 8 L JAVA @ | 9 P PHP-CGM @ </v>
      </c>
      <c r="BG155" s="4" t="str">
        <f ca="1">IFERROR(__xludf.DUMMYFUNCTION("""COMPUTED_VALUE"""),"| 5 L PHP-CGM @ | 6 L NS @ | 7 P JAVA @ | 9 P PRO @ ")</f>
        <v xml:space="preserve">| 5 L PHP-CGM @ | 6 L NS @ | 7 P JAVA @ | 9 P PRO @ </v>
      </c>
      <c r="BH155" s="4" t="str">
        <f ca="1">IFERROR(__xludf.DUMMYFUNCTION("""COMPUTED_VALUE"""),"| 5 L JAVA @ | 6 L CPT @ | 7 P JAVA @ | 9 L INE @ ")</f>
        <v xml:space="preserve">| 5 L JAVA @ | 6 L CPT @ | 7 P JAVA @ | 9 L INE @ </v>
      </c>
      <c r="BI155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BJ155" s="4" t="str">
        <f ca="1">IFERROR(__xludf.DUMMYFUNCTION("""COMPUTED_VALUE"""),"| 5 P Python @ | 7 L JAVA @ | 7 L PHP-CGM @ ")</f>
        <v xml:space="preserve">| 5 P Python @ | 7 L JAVA @ | 7 L PHP-CGM @ </v>
      </c>
      <c r="BK155" s="4" t="str">
        <f ca="1">IFERROR(__xludf.DUMMYFUNCTION("""COMPUTED_VALUE"""),"| 7 L CPT @ | 8 L NS @ ")</f>
        <v xml:space="preserve">| 7 L CPT @ | 8 L NS @ </v>
      </c>
      <c r="BL155" s="4" t="str">
        <f ca="1">IFERROR(__xludf.DUMMYFUNCTION("""COMPUTED_VALUE"""),"| 5 L PHP-CGM @ | 6 L NS @ | 7 P JAVA @ | 9 P PRO @ ")</f>
        <v xml:space="preserve">| 5 L PHP-CGM @ | 6 L NS @ | 7 P JAVA @ | 9 P PRO @ </v>
      </c>
      <c r="BM155" s="4" t="str">
        <f ca="1">IFERROR(__xludf.DUMMYFUNCTION("""COMPUTED_VALUE"""),"| 5 L JAVA @ | 6 L CPT @ | 9 L INE @ ")</f>
        <v xml:space="preserve">| 5 L JAVA @ | 6 L CPT @ | 9 L INE @ </v>
      </c>
      <c r="BN155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5" s="4" t="str">
        <f ca="1">IFERROR(__xludf.DUMMYFUNCTION("""COMPUTED_VALUE"""),"| 5 P Python @ | 7 L PHP-CGM @ ")</f>
        <v xml:space="preserve">| 5 P Python @ | 7 L PHP-CGM @ </v>
      </c>
      <c r="BP155" s="4" t="str">
        <f ca="1">IFERROR(__xludf.DUMMYFUNCTION("""COMPUTED_VALUE"""),"| 5 P NS @ | 7 L CPT @ | 8 L NS @ ")</f>
        <v xml:space="preserve">| 5 P NS @ | 7 L CPT @ | 8 L NS @ </v>
      </c>
      <c r="BQ155" s="4" t="str">
        <f ca="1">IFERROR(__xludf.DUMMYFUNCTION("""COMPUTED_VALUE"""),"| 5 L JAVA @ | 6 L CPT % ")</f>
        <v xml:space="preserve">| 5 L JAVA @ | 6 L CPT % </v>
      </c>
      <c r="BR155" s="4" t="str">
        <f ca="1">IFERROR(__xludf.DUMMYFUNCTION("""COMPUTED_VALUE"""),"| 7 L JAVA @ ")</f>
        <v xml:space="preserve">| 7 L JAVA @ </v>
      </c>
      <c r="BS155" s="4"/>
      <c r="BT155" s="4" t="str">
        <f ca="1">IFERROR(__xludf.DUMMYFUNCTION("""COMPUTED_VALUE"""),"| 7 L CPT @ ")</f>
        <v xml:space="preserve">| 7 L CPT @ </v>
      </c>
      <c r="BU155" s="4" t="str">
        <f ca="1">IFERROR(__xludf.DUMMYFUNCTION("""COMPUTED_VALUE"""),"| 9 P PRO @ ")</f>
        <v xml:space="preserve">| 9 P PRO @ </v>
      </c>
      <c r="BV155" s="4" t="str">
        <f ca="1">IFERROR(__xludf.DUMMYFUNCTION("""COMPUTED_VALUE"""),"| 5 P NS % | 7 L CPT @ | 8 L NS @ | 9 P Python @ ")</f>
        <v xml:space="preserve">| 5 P NS % | 7 L CPT @ | 8 L NS @ | 9 P Python @ </v>
      </c>
      <c r="BW155" s="4"/>
      <c r="BX155" s="4" t="str">
        <f ca="1">IFERROR(__xludf.DUMMYFUNCTION("""COMPUTED_VALUE"""),"| 5 L JAVA % | 6 L CPT % | 7 P JAVA @ ")</f>
        <v xml:space="preserve">| 5 L JAVA % | 6 L CPT % | 7 P JAVA @ </v>
      </c>
      <c r="BY155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55" s="4" t="str">
        <f ca="1">IFERROR(__xludf.DUMMYFUNCTION("""COMPUTED_VALUE"""),"| 5 P Python @ | 8 L JAVA @ | 7 L PHP-CGM @ | 9 P PHP-CGM @ ")</f>
        <v xml:space="preserve">| 5 P Python @ | 8 L JAVA @ | 7 L PHP-CGM @ | 9 P PHP-CGM @ </v>
      </c>
      <c r="CA155" s="4" t="str">
        <f ca="1">IFERROR(__xludf.DUMMYFUNCTION("""COMPUTED_VALUE"""),"| 5 P NS @ | 7 L CPT @ | 8 L NS @ | 9 P Python @ ")</f>
        <v xml:space="preserve">| 5 P NS @ | 7 L CPT @ | 8 L NS @ | 9 P Python @ </v>
      </c>
      <c r="CB155" s="4" t="str">
        <f ca="1">IFERROR(__xludf.DUMMYFUNCTION("""COMPUTED_VALUE"""),"| 5 L PHP-CGM @ | 6 L NS @ | 7 P JAVA @ ")</f>
        <v xml:space="preserve">| 5 L PHP-CGM @ | 6 L NS @ | 7 P JAVA @ </v>
      </c>
      <c r="CC155" s="4" t="str">
        <f ca="1">IFERROR(__xludf.DUMMYFUNCTION("""COMPUTED_VALUE"""),"| 5 L JAVA @ | 7 P JAVA @ | 9 L INE @ ")</f>
        <v xml:space="preserve">| 5 L JAVA @ | 7 P JAVA @ | 9 L INE @ </v>
      </c>
      <c r="CD155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CE155" s="4" t="str">
        <f ca="1">IFERROR(__xludf.DUMMYFUNCTION("""COMPUTED_VALUE"""),"| 5 P Python @ | 8 L JAVA @ | 7 L PHP-CGM @ ")</f>
        <v xml:space="preserve">| 5 P Python @ | 8 L JAVA @ | 7 L PHP-CGM @ </v>
      </c>
      <c r="CF155" s="4" t="str">
        <f ca="1">IFERROR(__xludf.DUMMYFUNCTION("""COMPUTED_VALUE"""),"| 5 P NS @ | 7 L CPT @ | 8 L NS @ | 9 P Python @ ")</f>
        <v xml:space="preserve">| 5 P NS @ | 7 L CPT @ | 8 L NS @ | 9 P Python @ </v>
      </c>
      <c r="CG155" s="4" t="str">
        <f ca="1">IFERROR(__xludf.DUMMYFUNCTION("""COMPUTED_VALUE"""),"| 5 L PHP-CGM @ | 6 L NS @ | 7 P JAVA @ ")</f>
        <v xml:space="preserve">| 5 L PHP-CGM @ | 6 L NS @ | 7 P JAVA @ </v>
      </c>
      <c r="CH155" s="4" t="str">
        <f ca="1">IFERROR(__xludf.DUMMYFUNCTION("""COMPUTED_VALUE"""),"| 5 L JAVA @ | 6 L CPT @ | 7 P JAVA % | 9 L INE @ ")</f>
        <v xml:space="preserve">| 5 L JAVA @ | 6 L CPT @ | 7 P JAVA % | 9 L INE @ </v>
      </c>
      <c r="CI155" s="4" t="str">
        <f ca="1">IFERROR(__xludf.DUMMYFUNCTION("""COMPUTED_VALUE"""),"| 5 L PHP-CGM @ | 7 L JAVA @ | 8 L CPT @ | 9 P CPT @ ")</f>
        <v xml:space="preserve">| 5 L PHP-CGM @ | 7 L JAVA @ | 8 L CPT @ | 9 P CPT @ </v>
      </c>
      <c r="CJ155" s="4" t="str">
        <f ca="1">IFERROR(__xludf.DUMMYFUNCTION("""COMPUTED_VALUE"""),"| 5 P Python @ ")</f>
        <v xml:space="preserve">| 5 P Python @ </v>
      </c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</row>
    <row r="156" spans="1:102" ht="12.5" x14ac:dyDescent="0.25">
      <c r="A156" s="3">
        <f ca="1">IFERROR(__xludf.DUMMYFUNCTION("""COMPUTED_VALUE"""),4)</f>
        <v>4</v>
      </c>
      <c r="B156" s="3" t="str">
        <f ca="1">IFERROR(__xludf.DUMMYFUNCTION("""COMPUTED_VALUE"""),"B")</f>
        <v>B</v>
      </c>
      <c r="C156" s="32" t="str">
        <f ca="1">IFERROR(__xludf.DUMMYFUNCTION("""COMPUTED_VALUE"""),"23291341176")</f>
        <v>23291341176</v>
      </c>
      <c r="D156" s="4" t="str">
        <f ca="1">IFERROR(__xludf.DUMMYFUNCTION("""COMPUTED_VALUE"""),"HET YOGESH PATEL")</f>
        <v>HET YOGESH PATEL</v>
      </c>
      <c r="E156" s="3" t="str">
        <f ca="1">IFERROR(__xludf.DUMMYFUNCTION("""COMPUTED_VALUE"""),"HAM/HDP-EVE")</f>
        <v>HAM/HDP-EVE</v>
      </c>
      <c r="F156" s="3"/>
      <c r="G156" s="3"/>
      <c r="H156" s="33">
        <f ca="1">IFERROR(__xludf.DUMMYFUNCTION("""COMPUTED_VALUE"""),0.726086956521739)</f>
        <v>0.72608695652173905</v>
      </c>
      <c r="I156" s="25">
        <f ca="1">IFERROR(__xludf.DUMMYFUNCTION("""COMPUTED_VALUE"""),0.702702702702702)</f>
        <v>0.70270270270270196</v>
      </c>
      <c r="J156" s="25">
        <f ca="1">IFERROR(__xludf.DUMMYFUNCTION("""COMPUTED_VALUE"""),0.666666666666666)</f>
        <v>0.66666666666666596</v>
      </c>
      <c r="K156" s="25">
        <f ca="1">IFERROR(__xludf.DUMMYFUNCTION("""COMPUTED_VALUE"""),0.735294117647058)</f>
        <v>0.73529411764705799</v>
      </c>
      <c r="L156" s="25">
        <f ca="1">IFERROR(__xludf.DUMMYFUNCTION("""COMPUTED_VALUE"""),0.9)</f>
        <v>0.9</v>
      </c>
      <c r="M156" s="25">
        <f ca="1">IFERROR(__xludf.DUMMYFUNCTION("""COMPUTED_VALUE"""),0.685714285714285)</f>
        <v>0.68571428571428505</v>
      </c>
      <c r="N156" s="25">
        <f ca="1">IFERROR(__xludf.DUMMYFUNCTION("""COMPUTED_VALUE"""),0.714285714285714)</f>
        <v>0.71428571428571397</v>
      </c>
      <c r="O156" s="25">
        <f ca="1">IFERROR(__xludf.DUMMYFUNCTION("""COMPUTED_VALUE"""),0.714285714285714)</f>
        <v>0.71428571428571397</v>
      </c>
      <c r="P156" s="25">
        <f ca="1">IFERROR(__xludf.DUMMYFUNCTION("""COMPUTED_VALUE"""),0.761904761904761)</f>
        <v>0.76190476190476097</v>
      </c>
      <c r="Q156" s="25">
        <f ca="1">IFERROR(__xludf.DUMMYFUNCTION("""COMPUTED_VALUE"""),0)</f>
        <v>0</v>
      </c>
      <c r="R156" s="25">
        <f ca="1">IFERROR(__xludf.DUMMYFUNCTION("""COMPUTED_VALUE"""),0.863636363636363)</f>
        <v>0.86363636363636298</v>
      </c>
      <c r="S156" s="25">
        <f ca="1">IFERROR(__xludf.DUMMYFUNCTION("""COMPUTED_VALUE"""),0)</f>
        <v>0</v>
      </c>
      <c r="T156" s="25">
        <f ca="1">IFERROR(__xludf.DUMMYFUNCTION("""COMPUTED_VALUE"""),0.666666666666666)</f>
        <v>0.66666666666666596</v>
      </c>
      <c r="U156" s="25">
        <f ca="1">IFERROR(__xludf.DUMMYFUNCTION("""COMPUTED_VALUE"""),0.5)</f>
        <v>0.5</v>
      </c>
      <c r="V156" s="25">
        <f ca="1">IFERROR(__xludf.DUMMYFUNCTION("""COMPUTED_VALUE"""),0)</f>
        <v>0</v>
      </c>
      <c r="W156" s="4"/>
      <c r="X156" s="4" t="str">
        <f ca="1">IFERROR(__xludf.DUMMYFUNCTION("""COMPUTED_VALUE"""),"| 7 L CPT % | 8 L NS % | 9 P Python % ")</f>
        <v xml:space="preserve">| 7 L CPT % | 8 L NS % | 9 P Python % </v>
      </c>
      <c r="Y156" s="4" t="str">
        <f ca="1">IFERROR(__xludf.DUMMYFUNCTION("""COMPUTED_VALUE"""),"| 5 L PHP-CGM % | 6 L NS % | 7 P JAVA % | 9 P PRO % ")</f>
        <v xml:space="preserve">| 5 L PHP-CGM % | 6 L NS % | 7 P JAVA % | 9 P PRO % </v>
      </c>
      <c r="Z156" s="4" t="str">
        <f ca="1">IFERROR(__xludf.DUMMYFUNCTION("""COMPUTED_VALUE"""),"| 5 L JAVA % | 6 L CPT % | 7 P JAVA % ")</f>
        <v xml:space="preserve">| 5 L JAVA % | 6 L CPT % | 7 P JAVA % </v>
      </c>
      <c r="AA156" s="4" t="str">
        <f ca="1">IFERROR(__xludf.DUMMYFUNCTION("""COMPUTED_VALUE"""),"| 5 L PHP-CGM % | 7 L JAVA % | 9 P CPT % | 8 L CPT % ")</f>
        <v xml:space="preserve">| 5 L PHP-CGM % | 7 L JAVA % | 9 P CPT % | 8 L CPT % </v>
      </c>
      <c r="AB156" s="4" t="str">
        <f ca="1">IFERROR(__xludf.DUMMYFUNCTION("""COMPUTED_VALUE"""),"| 5 P Python % | 7 L PHP-CGM % | 8 L JAVA % | 9 P PHP-CGM % ")</f>
        <v xml:space="preserve">| 5 P Python % | 7 L PHP-CGM % | 8 L JAVA % | 9 P PHP-CGM % </v>
      </c>
      <c r="AC156" s="4" t="str">
        <f ca="1">IFERROR(__xludf.DUMMYFUNCTION("""COMPUTED_VALUE"""),"| 5 P NS % | 7 L CPT % | 8 L NS % | 9 P Python % ")</f>
        <v xml:space="preserve">| 5 P NS % | 7 L CPT % | 8 L NS % | 9 P Python % </v>
      </c>
      <c r="AD156" s="4" t="str">
        <f ca="1">IFERROR(__xludf.DUMMYFUNCTION("""COMPUTED_VALUE"""),"| 5 L PHP-CGM @ | 6 L NS @ | 7 P JAVA @ | 9 P PRO @ ")</f>
        <v xml:space="preserve">| 5 L PHP-CGM @ | 6 L NS @ | 7 P JAVA @ | 9 P PRO @ </v>
      </c>
      <c r="AE156" s="4" t="str">
        <f ca="1">IFERROR(__xludf.DUMMYFUNCTION("""COMPUTED_VALUE"""),"| 5 L JAVA % | 6 L CPT % | 7 P JAVA % ")</f>
        <v xml:space="preserve">| 5 L JAVA % | 6 L CPT % | 7 P JAVA % </v>
      </c>
      <c r="AF15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56" s="4" t="str">
        <f ca="1">IFERROR(__xludf.DUMMYFUNCTION("""COMPUTED_VALUE"""),"| 5 P Python @ | 8 L JAVA @ | 7 L PHP-CGM @ | 9 P PHP-CGM @ ")</f>
        <v xml:space="preserve">| 5 P Python @ | 8 L JAVA @ | 7 L PHP-CGM @ | 9 P PHP-CGM @ </v>
      </c>
      <c r="AH15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56" s="4" t="str">
        <f ca="1">IFERROR(__xludf.DUMMYFUNCTION("""COMPUTED_VALUE"""),"| 5 P Python % | 8 L JAVA % | 7 L PHP-CGM % | 9 P PHP-CGM % ")</f>
        <v xml:space="preserve">| 5 P Python % | 8 L JAVA % | 7 L PHP-CGM % | 9 P PHP-CGM % </v>
      </c>
      <c r="AJ156" s="4" t="str">
        <f ca="1">IFERROR(__xludf.DUMMYFUNCTION("""COMPUTED_VALUE"""),"| 5 P NS % | 7 L CPT % | 8 L NS % | 9 P Python % ")</f>
        <v xml:space="preserve">| 5 P NS % | 7 L CPT % | 8 L NS % | 9 P Python % </v>
      </c>
      <c r="AK156" s="4" t="str">
        <f ca="1">IFERROR(__xludf.DUMMYFUNCTION("""COMPUTED_VALUE"""),"| 5 L PHP-CGM % | 6 L NS % | 7 P JAVA % | 9 P PRO % ")</f>
        <v xml:space="preserve">| 5 L PHP-CGM % | 6 L NS % | 7 P JAVA % | 9 P PRO % </v>
      </c>
      <c r="AL156" s="4" t="str">
        <f ca="1">IFERROR(__xludf.DUMMYFUNCTION("""COMPUTED_VALUE"""),"| 5 L JAVA @ | 6 L CPT @ | 7 P JAVA @ | 9 L INE @ ")</f>
        <v xml:space="preserve">| 5 L JAVA @ | 6 L CPT @ | 7 P JAVA @ | 9 L INE @ </v>
      </c>
      <c r="AM15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56" s="4" t="str">
        <f ca="1">IFERROR(__xludf.DUMMYFUNCTION("""COMPUTED_VALUE"""),"| 5 P Python @ | 8 L JAVA @ | 7 L PHP-CGM @ | 9 P PHP-CGM @ ")</f>
        <v xml:space="preserve">| 5 P Python @ | 8 L JAVA @ | 7 L PHP-CGM @ | 9 P PHP-CGM @ </v>
      </c>
      <c r="AO156" s="4" t="str">
        <f ca="1">IFERROR(__xludf.DUMMYFUNCTION("""COMPUTED_VALUE"""),"| 5 P NS @ | 7 L CPT @ | 8 L NS @ | 9 P Python @ ")</f>
        <v xml:space="preserve">| 5 P NS @ | 7 L CPT @ | 8 L NS @ | 9 P Python @ </v>
      </c>
      <c r="AP156" s="4" t="str">
        <f ca="1">IFERROR(__xludf.DUMMYFUNCTION("""COMPUTED_VALUE"""),"| 5 L PHP-CGM % | 6 L NS % | 7 P JAVA % | 9 P PRO % ")</f>
        <v xml:space="preserve">| 5 L PHP-CGM % | 6 L NS % | 7 P JAVA % | 9 P PRO % </v>
      </c>
      <c r="AQ156" s="4" t="str">
        <f ca="1">IFERROR(__xludf.DUMMYFUNCTION("""COMPUTED_VALUE"""),"| 5 L CPT % | 7 L JAVA % | 7 P JAVA % | 9 L INE % ")</f>
        <v xml:space="preserve">| 5 L CPT % | 7 L JAVA % | 7 P JAVA % | 9 L INE % </v>
      </c>
      <c r="AR156" s="4" t="str">
        <f ca="1">IFERROR(__xludf.DUMMYFUNCTION("""COMPUTED_VALUE"""),"| 5 L PHP-CGM % | 6 L NS % | 8 L CPT @ ")</f>
        <v xml:space="preserve">| 5 L PHP-CGM % | 6 L NS % | 8 L CPT @ </v>
      </c>
      <c r="AS156" s="4" t="str">
        <f ca="1">IFERROR(__xludf.DUMMYFUNCTION("""COMPUTED_VALUE"""),"| 5 P NS % | 7 L CPT % | 8 L NS % | 9 P Python % ")</f>
        <v xml:space="preserve">| 5 P NS % | 7 L CPT % | 8 L NS % | 9 P Python % </v>
      </c>
      <c r="AT156" s="4" t="str">
        <f ca="1">IFERROR(__xludf.DUMMYFUNCTION("""COMPUTED_VALUE"""),"| 5 L PHP-CGM % | 6 L NS % | 7 P JAVA % | 9 P PRO % ")</f>
        <v xml:space="preserve">| 5 L PHP-CGM % | 6 L NS % | 7 P JAVA % | 9 P PRO % </v>
      </c>
      <c r="AU156" s="4" t="str">
        <f ca="1">IFERROR(__xludf.DUMMYFUNCTION("""COMPUTED_VALUE"""),"| 5 L JAVA % | 6 L CPT % | 7 P JAVA % | 9 L INE % ")</f>
        <v xml:space="preserve">| 5 L JAVA % | 6 L CPT % | 7 P JAVA % | 9 L INE % </v>
      </c>
      <c r="AV15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W156" s="4" t="str">
        <f ca="1">IFERROR(__xludf.DUMMYFUNCTION("""COMPUTED_VALUE"""),"| 5 P Python % | 7 L PHP-CGM % | 8 L JAVA % | 9 P PHP-CGM % ")</f>
        <v xml:space="preserve">| 5 P Python % | 7 L PHP-CGM % | 8 L JAVA % | 9 P PHP-CGM % </v>
      </c>
      <c r="AX156" s="4" t="str">
        <f ca="1">IFERROR(__xludf.DUMMYFUNCTION("""COMPUTED_VALUE"""),"| 5 P NS % | 7 L CPT % | 8 L NS % | 9 P Python % ")</f>
        <v xml:space="preserve">| 5 P NS % | 7 L CPT % | 8 L NS % | 9 P Python % </v>
      </c>
      <c r="AY156" s="4" t="str">
        <f ca="1">IFERROR(__xludf.DUMMYFUNCTION("""COMPUTED_VALUE"""),"| 5 L PHP-CGM % | 6 L NS % | 7 P JAVA % ")</f>
        <v xml:space="preserve">| 5 L PHP-CGM % | 6 L NS % | 7 P JAVA % </v>
      </c>
      <c r="AZ15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56" s="4" t="str">
        <f ca="1">IFERROR(__xludf.DUMMYFUNCTION("""COMPUTED_VALUE"""),"| 5 P Python % | 7 L PHP-CGM % | 8 L JAVA % ")</f>
        <v xml:space="preserve">| 5 P Python % | 7 L PHP-CGM % | 8 L JAVA % </v>
      </c>
      <c r="BB156" s="4" t="str">
        <f ca="1">IFERROR(__xludf.DUMMYFUNCTION("""COMPUTED_VALUE"""),"| 5 P NS % | 7 L CPT % | 8 L NS % | 9 P Python % ")</f>
        <v xml:space="preserve">| 5 P NS % | 7 L CPT % | 8 L NS % | 9 P Python % </v>
      </c>
      <c r="BC156" s="4" t="str">
        <f ca="1">IFERROR(__xludf.DUMMYFUNCTION("""COMPUTED_VALUE"""),"| 5 L PHP-CGM % | 6 L NS % | 7 P JAVA % | 9 P PRO % ")</f>
        <v xml:space="preserve">| 5 L PHP-CGM % | 6 L NS % | 7 P JAVA % | 9 P PRO % </v>
      </c>
      <c r="BD156" s="4" t="str">
        <f ca="1">IFERROR(__xludf.DUMMYFUNCTION("""COMPUTED_VALUE"""),"| 5 L JAVA % | 6 L CPT % | 7 P JAVA % | 9 L INE % ")</f>
        <v xml:space="preserve">| 5 L JAVA % | 6 L CPT % | 7 P JAVA % | 9 L INE % </v>
      </c>
      <c r="BE156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56" s="4" t="str">
        <f ca="1">IFERROR(__xludf.DUMMYFUNCTION("""COMPUTED_VALUE"""),"| 5 P Python % | 7 L PHP-CGM % | 8 L JAVA % | 9 P PHP-CGM % ")</f>
        <v xml:space="preserve">| 5 P Python % | 7 L PHP-CGM % | 8 L JAVA % | 9 P PHP-CGM % </v>
      </c>
      <c r="BG156" s="4" t="str">
        <f ca="1">IFERROR(__xludf.DUMMYFUNCTION("""COMPUTED_VALUE"""),"| 5 L PHP-CGM % | 6 L NS % | 7 P JAVA % | 9 P PRO % ")</f>
        <v xml:space="preserve">| 5 L PHP-CGM % | 6 L NS % | 7 P JAVA % | 9 P PRO % </v>
      </c>
      <c r="BH156" s="4" t="str">
        <f ca="1">IFERROR(__xludf.DUMMYFUNCTION("""COMPUTED_VALUE"""),"| 5 L JAVA @ | 6 L CPT @ | 7 P JAVA @ | 9 L INE @ ")</f>
        <v xml:space="preserve">| 5 L JAVA @ | 6 L CPT @ | 7 P JAVA @ | 9 L INE @ </v>
      </c>
      <c r="BI156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56" s="4" t="str">
        <f ca="1">IFERROR(__xludf.DUMMYFUNCTION("""COMPUTED_VALUE"""),"| 5 P Python % | 7 L JAVA % | 7 L PHP-CGM % ")</f>
        <v xml:space="preserve">| 5 P Python % | 7 L JAVA % | 7 L PHP-CGM % </v>
      </c>
      <c r="BK156" s="4" t="str">
        <f ca="1">IFERROR(__xludf.DUMMYFUNCTION("""COMPUTED_VALUE"""),"| 7 L CPT @ | 8 L NS @ ")</f>
        <v xml:space="preserve">| 7 L CPT @ | 8 L NS @ </v>
      </c>
      <c r="BL156" s="4" t="str">
        <f ca="1">IFERROR(__xludf.DUMMYFUNCTION("""COMPUTED_VALUE"""),"| 5 L PHP-CGM @ | 6 L NS @ | 7 P JAVA @ | 9 P PRO @ ")</f>
        <v xml:space="preserve">| 5 L PHP-CGM @ | 6 L NS @ | 7 P JAVA @ | 9 P PRO @ </v>
      </c>
      <c r="BM156" s="4" t="str">
        <f ca="1">IFERROR(__xludf.DUMMYFUNCTION("""COMPUTED_VALUE"""),"| 5 L JAVA @ | 6 L CPT @ | 9 L INE @ ")</f>
        <v xml:space="preserve">| 5 L JAVA @ | 6 L CPT @ | 9 L INE @ </v>
      </c>
      <c r="BN156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6" s="4" t="str">
        <f ca="1">IFERROR(__xludf.DUMMYFUNCTION("""COMPUTED_VALUE"""),"| 5 P Python % | 7 L PHP-CGM @ ")</f>
        <v xml:space="preserve">| 5 P Python % | 7 L PHP-CGM @ </v>
      </c>
      <c r="BP156" s="4" t="str">
        <f ca="1">IFERROR(__xludf.DUMMYFUNCTION("""COMPUTED_VALUE"""),"| 5 P NS % | 7 L CPT % | 8 L NS % ")</f>
        <v xml:space="preserve">| 5 P NS % | 7 L CPT % | 8 L NS % </v>
      </c>
      <c r="BQ156" s="4" t="str">
        <f ca="1">IFERROR(__xludf.DUMMYFUNCTION("""COMPUTED_VALUE"""),"| 5 L JAVA % | 6 L CPT % ")</f>
        <v xml:space="preserve">| 5 L JAVA % | 6 L CPT % </v>
      </c>
      <c r="BR156" s="4" t="str">
        <f ca="1">IFERROR(__xludf.DUMMYFUNCTION("""COMPUTED_VALUE"""),"| 7 L JAVA % ")</f>
        <v xml:space="preserve">| 7 L JAVA % </v>
      </c>
      <c r="BS156" s="4"/>
      <c r="BT156" s="4" t="str">
        <f ca="1">IFERROR(__xludf.DUMMYFUNCTION("""COMPUTED_VALUE"""),"| 7 L CPT @ ")</f>
        <v xml:space="preserve">| 7 L CPT @ </v>
      </c>
      <c r="BU156" s="4" t="str">
        <f ca="1">IFERROR(__xludf.DUMMYFUNCTION("""COMPUTED_VALUE"""),"| 9 P PRO @ ")</f>
        <v xml:space="preserve">| 9 P PRO @ </v>
      </c>
      <c r="BV156" s="4" t="str">
        <f ca="1">IFERROR(__xludf.DUMMYFUNCTION("""COMPUTED_VALUE"""),"| 5 P NS % | 7 L CPT % | 8 L NS % | 9 P Python % ")</f>
        <v xml:space="preserve">| 5 P NS % | 7 L CPT % | 8 L NS % | 9 P Python % </v>
      </c>
      <c r="BW156" s="4"/>
      <c r="BX156" s="4" t="str">
        <f ca="1">IFERROR(__xludf.DUMMYFUNCTION("""COMPUTED_VALUE"""),"| 5 L JAVA % | 6 L CPT % | 7 P JAVA % ")</f>
        <v xml:space="preserve">| 5 L JAVA % | 6 L CPT % | 7 P JAVA % </v>
      </c>
      <c r="BY156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56" s="4" t="str">
        <f ca="1">IFERROR(__xludf.DUMMYFUNCTION("""COMPUTED_VALUE"""),"| 5 P Python % | 8 L JAVA % | 7 L PHP-CGM % | 9 P PHP-CGM % ")</f>
        <v xml:space="preserve">| 5 P Python % | 8 L JAVA % | 7 L PHP-CGM % | 9 P PHP-CGM % </v>
      </c>
      <c r="CA156" s="4" t="str">
        <f ca="1">IFERROR(__xludf.DUMMYFUNCTION("""COMPUTED_VALUE"""),"| 5 P NS % | 7 L CPT % | 8 L NS % | 9 P Python % ")</f>
        <v xml:space="preserve">| 5 P NS % | 7 L CPT % | 8 L NS % | 9 P Python % </v>
      </c>
      <c r="CB156" s="4" t="str">
        <f ca="1">IFERROR(__xludf.DUMMYFUNCTION("""COMPUTED_VALUE"""),"| 5 L PHP-CGM @ | 6 L NS @ | 7 P JAVA @ ")</f>
        <v xml:space="preserve">| 5 L PHP-CGM @ | 6 L NS @ | 7 P JAVA @ </v>
      </c>
      <c r="CC156" s="4" t="str">
        <f ca="1">IFERROR(__xludf.DUMMYFUNCTION("""COMPUTED_VALUE"""),"| 5 L JAVA % | 7 P JAVA % | 9 L INE % ")</f>
        <v xml:space="preserve">| 5 L JAVA % | 7 P JAVA % | 9 L INE % </v>
      </c>
      <c r="CD156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CE156" s="4" t="str">
        <f ca="1">IFERROR(__xludf.DUMMYFUNCTION("""COMPUTED_VALUE"""),"| 5 P Python % | 8 L JAVA @ | 7 L PHP-CGM @ ")</f>
        <v xml:space="preserve">| 5 P Python % | 8 L JAVA @ | 7 L PHP-CGM @ </v>
      </c>
      <c r="CF156" s="4" t="str">
        <f ca="1">IFERROR(__xludf.DUMMYFUNCTION("""COMPUTED_VALUE"""),"| 5 P NS % | 7 L CPT % | 8 L NS % | 9 P Python % ")</f>
        <v xml:space="preserve">| 5 P NS % | 7 L CPT % | 8 L NS % | 9 P Python % </v>
      </c>
      <c r="CG156" s="4" t="str">
        <f ca="1">IFERROR(__xludf.DUMMYFUNCTION("""COMPUTED_VALUE"""),"| 5 L PHP-CGM % | 6 L NS % | 7 P JAVA % ")</f>
        <v xml:space="preserve">| 5 L PHP-CGM % | 6 L NS % | 7 P JAVA % </v>
      </c>
      <c r="CH156" s="4" t="str">
        <f ca="1">IFERROR(__xludf.DUMMYFUNCTION("""COMPUTED_VALUE"""),"| 5 L JAVA % | 6 L CPT % | 7 P JAVA % | 9 L INE @ ")</f>
        <v xml:space="preserve">| 5 L JAVA % | 6 L CPT % | 7 P JAVA % | 9 L INE @ </v>
      </c>
      <c r="CI156" s="4" t="str">
        <f ca="1">IFERROR(__xludf.DUMMYFUNCTION("""COMPUTED_VALUE"""),"| 5 L PHP-CGM % | 7 L JAVA % | 8 L CPT % | 9 P CPT % ")</f>
        <v xml:space="preserve">| 5 L PHP-CGM % | 7 L JAVA % | 8 L CPT % | 9 P CPT % </v>
      </c>
      <c r="CJ156" s="4" t="str">
        <f ca="1">IFERROR(__xludf.DUMMYFUNCTION("""COMPUTED_VALUE"""),"| 5 P Python % ")</f>
        <v xml:space="preserve">| 5 P Python % </v>
      </c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</row>
    <row r="157" spans="1:102" ht="12.5" x14ac:dyDescent="0.25">
      <c r="A157" s="3">
        <f ca="1">IFERROR(__xludf.DUMMYFUNCTION("""COMPUTED_VALUE"""),4)</f>
        <v>4</v>
      </c>
      <c r="B157" s="3" t="str">
        <f ca="1">IFERROR(__xludf.DUMMYFUNCTION("""COMPUTED_VALUE"""),"B")</f>
        <v>B</v>
      </c>
      <c r="C157" s="32" t="str">
        <f ca="1">IFERROR(__xludf.DUMMYFUNCTION("""COMPUTED_VALUE"""),"23291341180")</f>
        <v>23291341180</v>
      </c>
      <c r="D157" s="4" t="str">
        <f ca="1">IFERROR(__xludf.DUMMYFUNCTION("""COMPUTED_VALUE"""),"JOSHI YATRI HARSHKUMAR")</f>
        <v>JOSHI YATRI HARSHKUMAR</v>
      </c>
      <c r="E157" s="3" t="str">
        <f ca="1">IFERROR(__xludf.DUMMYFUNCTION("""COMPUTED_VALUE"""),"HAM/HDP-EVE")</f>
        <v>HAM/HDP-EVE</v>
      </c>
      <c r="F157" s="3">
        <f ca="1">IFERROR(__xludf.DUMMYFUNCTION("""COMPUTED_VALUE"""),7943374417)</f>
        <v>7943374417</v>
      </c>
      <c r="G157" s="3">
        <f ca="1">IFERROR(__xludf.DUMMYFUNCTION("""COMPUTED_VALUE"""),9664536234)</f>
        <v>9664536234</v>
      </c>
      <c r="H157" s="33">
        <f ca="1">IFERROR(__xludf.DUMMYFUNCTION("""COMPUTED_VALUE"""),0.882608695652173)</f>
        <v>0.88260869565217304</v>
      </c>
      <c r="I157" s="25">
        <f ca="1">IFERROR(__xludf.DUMMYFUNCTION("""COMPUTED_VALUE"""),0.81081081081081)</f>
        <v>0.81081081081080997</v>
      </c>
      <c r="J157" s="25">
        <f ca="1">IFERROR(__xludf.DUMMYFUNCTION("""COMPUTED_VALUE"""),0.916666666666666)</f>
        <v>0.91666666666666596</v>
      </c>
      <c r="K157" s="25">
        <f ca="1">IFERROR(__xludf.DUMMYFUNCTION("""COMPUTED_VALUE"""),0.852941176470588)</f>
        <v>0.85294117647058798</v>
      </c>
      <c r="L157" s="25">
        <f ca="1">IFERROR(__xludf.DUMMYFUNCTION("""COMPUTED_VALUE"""),0.9)</f>
        <v>0.9</v>
      </c>
      <c r="M157" s="25">
        <f ca="1">IFERROR(__xludf.DUMMYFUNCTION("""COMPUTED_VALUE"""),0.914285714285714)</f>
        <v>0.91428571428571404</v>
      </c>
      <c r="N157" s="25">
        <f ca="1">IFERROR(__xludf.DUMMYFUNCTION("""COMPUTED_VALUE"""),0.857142857142857)</f>
        <v>0.85714285714285698</v>
      </c>
      <c r="O157" s="25">
        <f ca="1">IFERROR(__xludf.DUMMYFUNCTION("""COMPUTED_VALUE"""),0.942857142857142)</f>
        <v>0.94285714285714195</v>
      </c>
      <c r="P157" s="25">
        <f ca="1">IFERROR(__xludf.DUMMYFUNCTION("""COMPUTED_VALUE"""),0.857142857142857)</f>
        <v>0.85714285714285698</v>
      </c>
      <c r="Q157" s="25">
        <f ca="1">IFERROR(__xludf.DUMMYFUNCTION("""COMPUTED_VALUE"""),0)</f>
        <v>0</v>
      </c>
      <c r="R157" s="25">
        <f ca="1">IFERROR(__xludf.DUMMYFUNCTION("""COMPUTED_VALUE"""),0.954545454545454)</f>
        <v>0.95454545454545403</v>
      </c>
      <c r="S157" s="25">
        <f ca="1">IFERROR(__xludf.DUMMYFUNCTION("""COMPUTED_VALUE"""),0)</f>
        <v>0</v>
      </c>
      <c r="T157" s="25">
        <f ca="1">IFERROR(__xludf.DUMMYFUNCTION("""COMPUTED_VALUE"""),0.777777777777777)</f>
        <v>0.77777777777777701</v>
      </c>
      <c r="U157" s="25">
        <f ca="1">IFERROR(__xludf.DUMMYFUNCTION("""COMPUTED_VALUE"""),0.875)</f>
        <v>0.875</v>
      </c>
      <c r="V157" s="25">
        <f ca="1">IFERROR(__xludf.DUMMYFUNCTION("""COMPUTED_VALUE"""),0)</f>
        <v>0</v>
      </c>
      <c r="W157" s="4"/>
      <c r="X157" s="4" t="str">
        <f ca="1">IFERROR(__xludf.DUMMYFUNCTION("""COMPUTED_VALUE"""),"| 7 L CPT % | 8 L NS % | 9 P Python % ")</f>
        <v xml:space="preserve">| 7 L CPT % | 8 L NS % | 9 P Python % </v>
      </c>
      <c r="Y157" s="4" t="str">
        <f ca="1">IFERROR(__xludf.DUMMYFUNCTION("""COMPUTED_VALUE"""),"| 5 L PHP-CGM % | 6 L NS % | 7 P JAVA % | 9 P PRO % ")</f>
        <v xml:space="preserve">| 5 L PHP-CGM % | 6 L NS % | 7 P JAVA % | 9 P PRO % </v>
      </c>
      <c r="Z157" s="4" t="str">
        <f ca="1">IFERROR(__xludf.DUMMYFUNCTION("""COMPUTED_VALUE"""),"| 5 L JAVA % | 6 L CPT % | 7 P JAVA % ")</f>
        <v xml:space="preserve">| 5 L JAVA % | 6 L CPT % | 7 P JAVA % </v>
      </c>
      <c r="AA157" s="4" t="str">
        <f ca="1">IFERROR(__xludf.DUMMYFUNCTION("""COMPUTED_VALUE"""),"| 5 L PHP-CGM % | 7 L JAVA % | 9 P CPT % | 8 L CPT % ")</f>
        <v xml:space="preserve">| 5 L PHP-CGM % | 7 L JAVA % | 9 P CPT % | 8 L CPT % </v>
      </c>
      <c r="AB157" s="4" t="str">
        <f ca="1">IFERROR(__xludf.DUMMYFUNCTION("""COMPUTED_VALUE"""),"| 5 P Python % | 7 L PHP-CGM % | 8 L JAVA % | 9 P PHP-CGM % ")</f>
        <v xml:space="preserve">| 5 P Python % | 7 L PHP-CGM % | 8 L JAVA % | 9 P PHP-CGM % </v>
      </c>
      <c r="AC157" s="4" t="str">
        <f ca="1">IFERROR(__xludf.DUMMYFUNCTION("""COMPUTED_VALUE"""),"| 5 P NS % | 7 L CPT % | 8 L NS % | 9 P Python % ")</f>
        <v xml:space="preserve">| 5 P NS % | 7 L CPT % | 8 L NS % | 9 P Python % </v>
      </c>
      <c r="AD157" s="4" t="str">
        <f ca="1">IFERROR(__xludf.DUMMYFUNCTION("""COMPUTED_VALUE"""),"| 5 L PHP-CGM % | 6 L NS % | 7 P JAVA % | 9 P PRO % ")</f>
        <v xml:space="preserve">| 5 L PHP-CGM % | 6 L NS % | 7 P JAVA % | 9 P PRO % </v>
      </c>
      <c r="AE157" s="4" t="str">
        <f ca="1">IFERROR(__xludf.DUMMYFUNCTION("""COMPUTED_VALUE"""),"| 5 L JAVA % | 6 L CPT % | 7 P JAVA @ ")</f>
        <v xml:space="preserve">| 5 L JAVA % | 6 L CPT % | 7 P JAVA @ </v>
      </c>
      <c r="AF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57" s="4" t="str">
        <f ca="1">IFERROR(__xludf.DUMMYFUNCTION("""COMPUTED_VALUE"""),"| 5 P Python % | 8 L JAVA % | 7 L PHP-CGM % | 9 P PHP-CGM @ ")</f>
        <v xml:space="preserve">| 5 P Python % | 8 L JAVA % | 7 L PHP-CGM % | 9 P PHP-CGM @ </v>
      </c>
      <c r="AH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57" s="4" t="str">
        <f ca="1">IFERROR(__xludf.DUMMYFUNCTION("""COMPUTED_VALUE"""),"| 5 P Python % | 8 L JAVA % | 7 L PHP-CGM % | 9 P PHP-CGM % ")</f>
        <v xml:space="preserve">| 5 P Python % | 8 L JAVA % | 7 L PHP-CGM % | 9 P PHP-CGM % </v>
      </c>
      <c r="AJ157" s="4" t="str">
        <f ca="1">IFERROR(__xludf.DUMMYFUNCTION("""COMPUTED_VALUE"""),"| 5 P NS % | 7 L CPT % | 8 L NS % | 9 P Python % ")</f>
        <v xml:space="preserve">| 5 P NS % | 7 L CPT % | 8 L NS % | 9 P Python % </v>
      </c>
      <c r="AK157" s="4" t="str">
        <f ca="1">IFERROR(__xludf.DUMMYFUNCTION("""COMPUTED_VALUE"""),"| 5 L PHP-CGM % | 6 L NS % | 7 P JAVA % | 9 P PRO % ")</f>
        <v xml:space="preserve">| 5 L PHP-CGM % | 6 L NS % | 7 P JAVA % | 9 P PRO % </v>
      </c>
      <c r="AL157" s="4" t="str">
        <f ca="1">IFERROR(__xludf.DUMMYFUNCTION("""COMPUTED_VALUE"""),"| 5 L JAVA % | 6 L CPT % | 7 P JAVA % | 9 L INE % ")</f>
        <v xml:space="preserve">| 5 L JAVA % | 6 L CPT % | 7 P JAVA % | 9 L INE % </v>
      </c>
      <c r="AM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57" s="4" t="str">
        <f ca="1">IFERROR(__xludf.DUMMYFUNCTION("""COMPUTED_VALUE"""),"| 5 P Python % | 8 L JAVA % | 7 L PHP-CGM % | 9 P PHP-CGM % ")</f>
        <v xml:space="preserve">| 5 P Python % | 8 L JAVA % | 7 L PHP-CGM % | 9 P PHP-CGM % </v>
      </c>
      <c r="AO157" s="4" t="str">
        <f ca="1">IFERROR(__xludf.DUMMYFUNCTION("""COMPUTED_VALUE"""),"| 5 P NS % | 7 L CPT % | 8 L NS % | 9 P Python % ")</f>
        <v xml:space="preserve">| 5 P NS % | 7 L CPT % | 8 L NS % | 9 P Python % </v>
      </c>
      <c r="AP157" s="4" t="str">
        <f ca="1">IFERROR(__xludf.DUMMYFUNCTION("""COMPUTED_VALUE"""),"| 5 L PHP-CGM % | 6 L NS % | 7 P JAVA % | 9 P PRO % ")</f>
        <v xml:space="preserve">| 5 L PHP-CGM % | 6 L NS % | 7 P JAVA % | 9 P PRO % </v>
      </c>
      <c r="AQ157" s="4" t="str">
        <f ca="1">IFERROR(__xludf.DUMMYFUNCTION("""COMPUTED_VALUE"""),"| 5 L CPT % | 7 L JAVA % | 7 P JAVA % | 9 L INE % ")</f>
        <v xml:space="preserve">| 5 L CPT % | 7 L JAVA % | 7 P JAVA % | 9 L INE % </v>
      </c>
      <c r="AR157" s="4" t="str">
        <f ca="1">IFERROR(__xludf.DUMMYFUNCTION("""COMPUTED_VALUE"""),"| 5 L PHP-CGM % | 6 L NS % | 8 L CPT @ ")</f>
        <v xml:space="preserve">| 5 L PHP-CGM % | 6 L NS % | 8 L CPT @ </v>
      </c>
      <c r="AS157" s="4" t="str">
        <f ca="1">IFERROR(__xludf.DUMMYFUNCTION("""COMPUTED_VALUE"""),"| 5 P NS % | 7 L CPT % | 8 L NS % | 9 P Python % ")</f>
        <v xml:space="preserve">| 5 P NS % | 7 L CPT % | 8 L NS % | 9 P Python % </v>
      </c>
      <c r="AT157" s="4" t="str">
        <f ca="1">IFERROR(__xludf.DUMMYFUNCTION("""COMPUTED_VALUE"""),"| 5 L PHP-CGM % | 6 L NS % | 7 P JAVA % | 9 P PRO % ")</f>
        <v xml:space="preserve">| 5 L PHP-CGM % | 6 L NS % | 7 P JAVA % | 9 P PRO % </v>
      </c>
      <c r="AU157" s="4" t="str">
        <f ca="1">IFERROR(__xludf.DUMMYFUNCTION("""COMPUTED_VALUE"""),"| 5 L JAVA % | 6 L CPT % | 7 P JAVA % | 9 L INE % ")</f>
        <v xml:space="preserve">| 5 L JAVA % | 6 L CPT % | 7 P JAVA % | 9 L INE % </v>
      </c>
      <c r="AV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W157" s="4" t="str">
        <f ca="1">IFERROR(__xludf.DUMMYFUNCTION("""COMPUTED_VALUE"""),"| 5 P Python % | 7 L PHP-CGM % | 8 L JAVA % | 9 P PHP-CGM % ")</f>
        <v xml:space="preserve">| 5 P Python % | 7 L PHP-CGM % | 8 L JAVA % | 9 P PHP-CGM % </v>
      </c>
      <c r="AX157" s="4" t="str">
        <f ca="1">IFERROR(__xludf.DUMMYFUNCTION("""COMPUTED_VALUE"""),"| 5 P NS % | 7 L CPT % | 8 L NS % | 9 P Python % ")</f>
        <v xml:space="preserve">| 5 P NS % | 7 L CPT % | 8 L NS % | 9 P Python % </v>
      </c>
      <c r="AY157" s="4" t="str">
        <f ca="1">IFERROR(__xludf.DUMMYFUNCTION("""COMPUTED_VALUE"""),"| 5 L PHP-CGM % | 6 L NS % | 7 P JAVA % ")</f>
        <v xml:space="preserve">| 5 L PHP-CGM % | 6 L NS % | 7 P JAVA % </v>
      </c>
      <c r="AZ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57" s="4" t="str">
        <f ca="1">IFERROR(__xludf.DUMMYFUNCTION("""COMPUTED_VALUE"""),"| 5 P Python % | 7 L PHP-CGM % | 8 L JAVA % ")</f>
        <v xml:space="preserve">| 5 P Python % | 7 L PHP-CGM % | 8 L JAVA % </v>
      </c>
      <c r="BB157" s="4" t="str">
        <f ca="1">IFERROR(__xludf.DUMMYFUNCTION("""COMPUTED_VALUE"""),"| 5 P NS % | 7 L CPT % | 8 L NS % | 9 P Python % ")</f>
        <v xml:space="preserve">| 5 P NS % | 7 L CPT % | 8 L NS % | 9 P Python % </v>
      </c>
      <c r="BC157" s="4" t="str">
        <f ca="1">IFERROR(__xludf.DUMMYFUNCTION("""COMPUTED_VALUE"""),"| 5 L PHP-CGM % | 6 L NS % | 7 P JAVA % | 9 P PRO % ")</f>
        <v xml:space="preserve">| 5 L PHP-CGM % | 6 L NS % | 7 P JAVA % | 9 P PRO % </v>
      </c>
      <c r="BD157" s="4" t="str">
        <f ca="1">IFERROR(__xludf.DUMMYFUNCTION("""COMPUTED_VALUE"""),"| 5 L JAVA % | 6 L CPT % | 7 P JAVA % | 9 L INE % ")</f>
        <v xml:space="preserve">| 5 L JAVA % | 6 L CPT % | 7 P JAVA % | 9 L INE % </v>
      </c>
      <c r="BE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57" s="4" t="str">
        <f ca="1">IFERROR(__xludf.DUMMYFUNCTION("""COMPUTED_VALUE"""),"| 5 P Python % | 7 L PHP-CGM % | 8 L JAVA % | 9 P PHP-CGM % ")</f>
        <v xml:space="preserve">| 5 P Python % | 7 L PHP-CGM % | 8 L JAVA % | 9 P PHP-CGM % </v>
      </c>
      <c r="BG157" s="4" t="str">
        <f ca="1">IFERROR(__xludf.DUMMYFUNCTION("""COMPUTED_VALUE"""),"| 5 L PHP-CGM % | 6 L NS % | 7 P JAVA % | 9 P PRO % ")</f>
        <v xml:space="preserve">| 5 L PHP-CGM % | 6 L NS % | 7 P JAVA % | 9 P PRO % </v>
      </c>
      <c r="BH157" s="4" t="str">
        <f ca="1">IFERROR(__xludf.DUMMYFUNCTION("""COMPUTED_VALUE"""),"| 5 L JAVA % | 6 L CPT % | 7 P JAVA % | 9 L INE % ")</f>
        <v xml:space="preserve">| 5 L JAVA % | 6 L CPT % | 7 P JAVA % | 9 L INE % </v>
      </c>
      <c r="BI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57" s="4" t="str">
        <f ca="1">IFERROR(__xludf.DUMMYFUNCTION("""COMPUTED_VALUE"""),"| 5 P Python % | 7 L JAVA % | 7 L PHP-CGM % ")</f>
        <v xml:space="preserve">| 5 P Python % | 7 L JAVA % | 7 L PHP-CGM % </v>
      </c>
      <c r="BK157" s="4" t="str">
        <f ca="1">IFERROR(__xludf.DUMMYFUNCTION("""COMPUTED_VALUE"""),"| 7 L CPT @ | 8 L NS @ ")</f>
        <v xml:space="preserve">| 7 L CPT @ | 8 L NS @ </v>
      </c>
      <c r="BL157" s="4" t="str">
        <f ca="1">IFERROR(__xludf.DUMMYFUNCTION("""COMPUTED_VALUE"""),"| 5 L PHP-CGM % | 6 L NS % | 7 P JAVA @ | 9 P PRO @ ")</f>
        <v xml:space="preserve">| 5 L PHP-CGM % | 6 L NS % | 7 P JAVA @ | 9 P PRO @ </v>
      </c>
      <c r="BM157" s="4" t="str">
        <f ca="1">IFERROR(__xludf.DUMMYFUNCTION("""COMPUTED_VALUE"""),"| 5 L JAVA @ | 6 L CPT @ | 9 L INE @ ")</f>
        <v xml:space="preserve">| 5 L JAVA @ | 6 L CPT @ | 9 L INE @ </v>
      </c>
      <c r="BN157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7" s="4" t="str">
        <f ca="1">IFERROR(__xludf.DUMMYFUNCTION("""COMPUTED_VALUE"""),"| 5 P Python @ | 7 L PHP-CGM @ ")</f>
        <v xml:space="preserve">| 5 P Python @ | 7 L PHP-CGM @ </v>
      </c>
      <c r="BP157" s="4" t="str">
        <f ca="1">IFERROR(__xludf.DUMMYFUNCTION("""COMPUTED_VALUE"""),"| 5 P NS @ | 7 L CPT @ | 8 L NS @ ")</f>
        <v xml:space="preserve">| 5 P NS @ | 7 L CPT @ | 8 L NS @ </v>
      </c>
      <c r="BQ157" s="4" t="str">
        <f ca="1">IFERROR(__xludf.DUMMYFUNCTION("""COMPUTED_VALUE"""),"| 5 L JAVA % | 6 L CPT @ ")</f>
        <v xml:space="preserve">| 5 L JAVA % | 6 L CPT @ </v>
      </c>
      <c r="BR157" s="4" t="str">
        <f ca="1">IFERROR(__xludf.DUMMYFUNCTION("""COMPUTED_VALUE"""),"| 7 L JAVA % ")</f>
        <v xml:space="preserve">| 7 L JAVA % </v>
      </c>
      <c r="BS157" s="4"/>
      <c r="BT157" s="4" t="str">
        <f ca="1">IFERROR(__xludf.DUMMYFUNCTION("""COMPUTED_VALUE"""),"| 7 L CPT @ ")</f>
        <v xml:space="preserve">| 7 L CPT @ </v>
      </c>
      <c r="BU157" s="4" t="str">
        <f ca="1">IFERROR(__xludf.DUMMYFUNCTION("""COMPUTED_VALUE"""),"| 9 P PRO @ ")</f>
        <v xml:space="preserve">| 9 P PRO @ </v>
      </c>
      <c r="BV157" s="4" t="str">
        <f ca="1">IFERROR(__xludf.DUMMYFUNCTION("""COMPUTED_VALUE"""),"| 5 P NS % | 7 L CPT % | 8 L NS % | 9 P Python % ")</f>
        <v xml:space="preserve">| 5 P NS % | 7 L CPT % | 8 L NS % | 9 P Python % </v>
      </c>
      <c r="BW157" s="4"/>
      <c r="BX157" s="4" t="str">
        <f ca="1">IFERROR(__xludf.DUMMYFUNCTION("""COMPUTED_VALUE"""),"| 5 L JAVA % | 6 L CPT % | 7 P JAVA % ")</f>
        <v xml:space="preserve">| 5 L JAVA % | 6 L CPT % | 7 P JAVA % </v>
      </c>
      <c r="BY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57" s="4" t="str">
        <f ca="1">IFERROR(__xludf.DUMMYFUNCTION("""COMPUTED_VALUE"""),"| 5 P Python % | 8 L JAVA % | 7 L PHP-CGM % | 9 P PHP-CGM % ")</f>
        <v xml:space="preserve">| 5 P Python % | 8 L JAVA % | 7 L PHP-CGM % | 9 P PHP-CGM % </v>
      </c>
      <c r="CA157" s="4" t="str">
        <f ca="1">IFERROR(__xludf.DUMMYFUNCTION("""COMPUTED_VALUE"""),"| 5 P NS % | 7 L CPT % | 8 L NS % | 9 P Python % ")</f>
        <v xml:space="preserve">| 5 P NS % | 7 L CPT % | 8 L NS % | 9 P Python % </v>
      </c>
      <c r="CB157" s="4" t="str">
        <f ca="1">IFERROR(__xludf.DUMMYFUNCTION("""COMPUTED_VALUE"""),"| 5 L PHP-CGM @ | 6 L NS @ | 7 P JAVA @ ")</f>
        <v xml:space="preserve">| 5 L PHP-CGM @ | 6 L NS @ | 7 P JAVA @ </v>
      </c>
      <c r="CC157" s="4" t="str">
        <f ca="1">IFERROR(__xludf.DUMMYFUNCTION("""COMPUTED_VALUE"""),"| 5 L JAVA % | 7 P JAVA % | 9 L INE % ")</f>
        <v xml:space="preserve">| 5 L JAVA % | 7 P JAVA % | 9 L INE % </v>
      </c>
      <c r="CD157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57" s="4" t="str">
        <f ca="1">IFERROR(__xludf.DUMMYFUNCTION("""COMPUTED_VALUE"""),"| 5 P Python % | 8 L JAVA % | 7 L PHP-CGM % ")</f>
        <v xml:space="preserve">| 5 P Python % | 8 L JAVA % | 7 L PHP-CGM % </v>
      </c>
      <c r="CF157" s="4" t="str">
        <f ca="1">IFERROR(__xludf.DUMMYFUNCTION("""COMPUTED_VALUE"""),"| 5 P NS % | 7 L CPT % | 8 L NS @ | 9 P Python % ")</f>
        <v xml:space="preserve">| 5 P NS % | 7 L CPT % | 8 L NS @ | 9 P Python % </v>
      </c>
      <c r="CG157" s="4" t="str">
        <f ca="1">IFERROR(__xludf.DUMMYFUNCTION("""COMPUTED_VALUE"""),"| 5 L PHP-CGM % | 6 L NS % | 7 P JAVA % ")</f>
        <v xml:space="preserve">| 5 L PHP-CGM % | 6 L NS % | 7 P JAVA % </v>
      </c>
      <c r="CH157" s="4" t="str">
        <f ca="1">IFERROR(__xludf.DUMMYFUNCTION("""COMPUTED_VALUE"""),"| 5 L JAVA % | 6 L CPT % | 7 P JAVA % | 9 L INE % ")</f>
        <v xml:space="preserve">| 5 L JAVA % | 6 L CPT % | 7 P JAVA % | 9 L INE % </v>
      </c>
      <c r="CI157" s="4" t="str">
        <f ca="1">IFERROR(__xludf.DUMMYFUNCTION("""COMPUTED_VALUE"""),"| 5 L PHP-CGM % | 7 L JAVA % | 8 L CPT % | 9 P CPT % ")</f>
        <v xml:space="preserve">| 5 L PHP-CGM % | 7 L JAVA % | 8 L CPT % | 9 P CPT % </v>
      </c>
      <c r="CJ157" s="4" t="str">
        <f ca="1">IFERROR(__xludf.DUMMYFUNCTION("""COMPUTED_VALUE"""),"| 5 P Python % ")</f>
        <v xml:space="preserve">| 5 P Python % </v>
      </c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</row>
    <row r="158" spans="1:102" ht="12.5" x14ac:dyDescent="0.25">
      <c r="A158" s="3">
        <f ca="1">IFERROR(__xludf.DUMMYFUNCTION("""COMPUTED_VALUE"""),4)</f>
        <v>4</v>
      </c>
      <c r="B158" s="3" t="str">
        <f ca="1">IFERROR(__xludf.DUMMYFUNCTION("""COMPUTED_VALUE"""),"B")</f>
        <v>B</v>
      </c>
      <c r="C158" s="32" t="str">
        <f ca="1">IFERROR(__xludf.DUMMYFUNCTION("""COMPUTED_VALUE"""),"23291341181")</f>
        <v>23291341181</v>
      </c>
      <c r="D158" s="4" t="str">
        <f ca="1">IFERROR(__xludf.DUMMYFUNCTION("""COMPUTED_VALUE"""),"MODI ARYAN YASHVANTKUMAR")</f>
        <v>MODI ARYAN YASHVANTKUMAR</v>
      </c>
      <c r="E158" s="3" t="str">
        <f ca="1">IFERROR(__xludf.DUMMYFUNCTION("""COMPUTED_VALUE"""),"HAM/HDP-EVE")</f>
        <v>HAM/HDP-EVE</v>
      </c>
      <c r="F158" s="3">
        <f ca="1">IFERROR(__xludf.DUMMYFUNCTION("""COMPUTED_VALUE"""),9773021771)</f>
        <v>9773021771</v>
      </c>
      <c r="G158" s="3">
        <f ca="1">IFERROR(__xludf.DUMMYFUNCTION("""COMPUTED_VALUE"""),9428753141)</f>
        <v>9428753141</v>
      </c>
      <c r="H158" s="33">
        <f ca="1">IFERROR(__xludf.DUMMYFUNCTION("""COMPUTED_VALUE"""),0.839130434782608)</f>
        <v>0.83913043478260796</v>
      </c>
      <c r="I158" s="25">
        <f ca="1">IFERROR(__xludf.DUMMYFUNCTION("""COMPUTED_VALUE"""),0.81081081081081)</f>
        <v>0.81081081081080997</v>
      </c>
      <c r="J158" s="25">
        <f ca="1">IFERROR(__xludf.DUMMYFUNCTION("""COMPUTED_VALUE"""),0.833333333333333)</f>
        <v>0.83333333333333304</v>
      </c>
      <c r="K158" s="25">
        <f ca="1">IFERROR(__xludf.DUMMYFUNCTION("""COMPUTED_VALUE"""),0.852941176470588)</f>
        <v>0.85294117647058798</v>
      </c>
      <c r="L158" s="25">
        <f ca="1">IFERROR(__xludf.DUMMYFUNCTION("""COMPUTED_VALUE"""),0.9)</f>
        <v>0.9</v>
      </c>
      <c r="M158" s="25">
        <f ca="1">IFERROR(__xludf.DUMMYFUNCTION("""COMPUTED_VALUE"""),0.828571428571428)</f>
        <v>0.82857142857142796</v>
      </c>
      <c r="N158" s="25">
        <f ca="1">IFERROR(__xludf.DUMMYFUNCTION("""COMPUTED_VALUE"""),0.714285714285714)</f>
        <v>0.71428571428571397</v>
      </c>
      <c r="O158" s="25">
        <f ca="1">IFERROR(__xludf.DUMMYFUNCTION("""COMPUTED_VALUE"""),0.828571428571428)</f>
        <v>0.82857142857142796</v>
      </c>
      <c r="P158" s="25">
        <f ca="1">IFERROR(__xludf.DUMMYFUNCTION("""COMPUTED_VALUE"""),0.952380952380952)</f>
        <v>0.952380952380952</v>
      </c>
      <c r="Q158" s="25">
        <f ca="1">IFERROR(__xludf.DUMMYFUNCTION("""COMPUTED_VALUE"""),0)</f>
        <v>0</v>
      </c>
      <c r="R158" s="25">
        <f ca="1">IFERROR(__xludf.DUMMYFUNCTION("""COMPUTED_VALUE"""),0.863636363636363)</f>
        <v>0.86363636363636298</v>
      </c>
      <c r="S158" s="25">
        <f ca="1">IFERROR(__xludf.DUMMYFUNCTION("""COMPUTED_VALUE"""),0)</f>
        <v>0</v>
      </c>
      <c r="T158" s="25">
        <f ca="1">IFERROR(__xludf.DUMMYFUNCTION("""COMPUTED_VALUE"""),0.666666666666666)</f>
        <v>0.66666666666666596</v>
      </c>
      <c r="U158" s="25">
        <f ca="1">IFERROR(__xludf.DUMMYFUNCTION("""COMPUTED_VALUE"""),0.875)</f>
        <v>0.875</v>
      </c>
      <c r="V158" s="25">
        <f ca="1">IFERROR(__xludf.DUMMYFUNCTION("""COMPUTED_VALUE"""),0)</f>
        <v>0</v>
      </c>
      <c r="W158" s="4"/>
      <c r="X158" s="4" t="str">
        <f ca="1">IFERROR(__xludf.DUMMYFUNCTION("""COMPUTED_VALUE"""),"| 7 L CPT % | 8 L NS % | 9 P Python % ")</f>
        <v xml:space="preserve">| 7 L CPT % | 8 L NS % | 9 P Python % </v>
      </c>
      <c r="Y158" s="4" t="str">
        <f ca="1">IFERROR(__xludf.DUMMYFUNCTION("""COMPUTED_VALUE"""),"| 5 L PHP-CGM % | 6 L NS % | 7 P JAVA % | 9 P PRO % ")</f>
        <v xml:space="preserve">| 5 L PHP-CGM % | 6 L NS % | 7 P JAVA % | 9 P PRO % </v>
      </c>
      <c r="Z158" s="4" t="str">
        <f ca="1">IFERROR(__xludf.DUMMYFUNCTION("""COMPUTED_VALUE"""),"| 5 L JAVA % | 6 L CPT % | 7 P JAVA % ")</f>
        <v xml:space="preserve">| 5 L JAVA % | 6 L CPT % | 7 P JAVA % </v>
      </c>
      <c r="AA158" s="4" t="str">
        <f ca="1">IFERROR(__xludf.DUMMYFUNCTION("""COMPUTED_VALUE"""),"| 5 L PHP-CGM % | 7 L JAVA % | 9 P CPT % | 8 L CPT % ")</f>
        <v xml:space="preserve">| 5 L PHP-CGM % | 7 L JAVA % | 9 P CPT % | 8 L CPT % </v>
      </c>
      <c r="AB158" s="4" t="str">
        <f ca="1">IFERROR(__xludf.DUMMYFUNCTION("""COMPUTED_VALUE"""),"| 5 P Python % | 7 L PHP-CGM % | 8 L JAVA % | 9 P PHP-CGM % ")</f>
        <v xml:space="preserve">| 5 P Python % | 7 L PHP-CGM % | 8 L JAVA % | 9 P PHP-CGM % </v>
      </c>
      <c r="AC158" s="4" t="str">
        <f ca="1">IFERROR(__xludf.DUMMYFUNCTION("""COMPUTED_VALUE"""),"| 5 P NS % | 7 L CPT % | 8 L NS % | 9 P Python % ")</f>
        <v xml:space="preserve">| 5 P NS % | 7 L CPT % | 8 L NS % | 9 P Python % </v>
      </c>
      <c r="AD158" s="4" t="str">
        <f ca="1">IFERROR(__xludf.DUMMYFUNCTION("""COMPUTED_VALUE"""),"| 5 L PHP-CGM % | 6 L NS % | 7 P JAVA % | 9 P PRO % ")</f>
        <v xml:space="preserve">| 5 L PHP-CGM % | 6 L NS % | 7 P JAVA % | 9 P PRO % </v>
      </c>
      <c r="AE158" s="4" t="str">
        <f ca="1">IFERROR(__xludf.DUMMYFUNCTION("""COMPUTED_VALUE"""),"| 5 L JAVA % | 6 L CPT % | 7 P JAVA % ")</f>
        <v xml:space="preserve">| 5 L JAVA % | 6 L CPT % | 7 P JAVA % </v>
      </c>
      <c r="AF158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58" s="4" t="str">
        <f ca="1">IFERROR(__xludf.DUMMYFUNCTION("""COMPUTED_VALUE"""),"| 5 P Python % | 8 L JAVA % | 7 L PHP-CGM % | 9 P PHP-CGM % ")</f>
        <v xml:space="preserve">| 5 P Python % | 8 L JAVA % | 7 L PHP-CGM % | 9 P PHP-CGM % </v>
      </c>
      <c r="AH158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58" s="4" t="str">
        <f ca="1">IFERROR(__xludf.DUMMYFUNCTION("""COMPUTED_VALUE"""),"| 5 P Python % | 8 L JAVA % | 7 L PHP-CGM % | 9 P PHP-CGM % ")</f>
        <v xml:space="preserve">| 5 P Python % | 8 L JAVA % | 7 L PHP-CGM % | 9 P PHP-CGM % </v>
      </c>
      <c r="AJ158" s="4" t="str">
        <f ca="1">IFERROR(__xludf.DUMMYFUNCTION("""COMPUTED_VALUE"""),"| 5 P NS % | 7 L CPT % | 8 L NS % | 9 P Python % ")</f>
        <v xml:space="preserve">| 5 P NS % | 7 L CPT % | 8 L NS % | 9 P Python % </v>
      </c>
      <c r="AK158" s="4" t="str">
        <f ca="1">IFERROR(__xludf.DUMMYFUNCTION("""COMPUTED_VALUE"""),"| 5 L PHP-CGM % | 6 L NS % | 7 P JAVA % | 9 P PRO @ ")</f>
        <v xml:space="preserve">| 5 L PHP-CGM % | 6 L NS % | 7 P JAVA % | 9 P PRO @ </v>
      </c>
      <c r="AL158" s="4" t="str">
        <f ca="1">IFERROR(__xludf.DUMMYFUNCTION("""COMPUTED_VALUE"""),"| 5 L JAVA % | 6 L CPT % | 7 P JAVA % | 9 L INE % ")</f>
        <v xml:space="preserve">| 5 L JAVA % | 6 L CPT % | 7 P JAVA % | 9 L INE % </v>
      </c>
      <c r="AM158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58" s="4" t="str">
        <f ca="1">IFERROR(__xludf.DUMMYFUNCTION("""COMPUTED_VALUE"""),"| 5 P Python % | 8 L JAVA @ | 7 L PHP-CGM @ | 9 P PHP-CGM @ ")</f>
        <v xml:space="preserve">| 5 P Python % | 8 L JAVA @ | 7 L PHP-CGM @ | 9 P PHP-CGM @ </v>
      </c>
      <c r="AO158" s="4" t="str">
        <f ca="1">IFERROR(__xludf.DUMMYFUNCTION("""COMPUTED_VALUE"""),"| 5 P NS % | 7 L CPT % | 8 L NS % | 9 P Python @ ")</f>
        <v xml:space="preserve">| 5 P NS % | 7 L CPT % | 8 L NS % | 9 P Python @ </v>
      </c>
      <c r="AP158" s="4" t="str">
        <f ca="1">IFERROR(__xludf.DUMMYFUNCTION("""COMPUTED_VALUE"""),"| 5 L PHP-CGM % | 6 L NS % | 7 P JAVA % | 9 P PRO % ")</f>
        <v xml:space="preserve">| 5 L PHP-CGM % | 6 L NS % | 7 P JAVA % | 9 P PRO % </v>
      </c>
      <c r="AQ158" s="4" t="str">
        <f ca="1">IFERROR(__xludf.DUMMYFUNCTION("""COMPUTED_VALUE"""),"| 5 L CPT % | 7 L JAVA % | 7 P JAVA % | 9 L INE % ")</f>
        <v xml:space="preserve">| 5 L CPT % | 7 L JAVA % | 7 P JAVA % | 9 L INE % </v>
      </c>
      <c r="AR158" s="4" t="str">
        <f ca="1">IFERROR(__xludf.DUMMYFUNCTION("""COMPUTED_VALUE"""),"| 5 L PHP-CGM % | 6 L NS % | 8 L CPT @ ")</f>
        <v xml:space="preserve">| 5 L PHP-CGM % | 6 L NS % | 8 L CPT @ </v>
      </c>
      <c r="AS158" s="4" t="str">
        <f ca="1">IFERROR(__xludf.DUMMYFUNCTION("""COMPUTED_VALUE"""),"| 5 P NS % | 7 L CPT % | 8 L NS % | 9 P Python % ")</f>
        <v xml:space="preserve">| 5 P NS % | 7 L CPT % | 8 L NS % | 9 P Python % </v>
      </c>
      <c r="AT158" s="4" t="str">
        <f ca="1">IFERROR(__xludf.DUMMYFUNCTION("""COMPUTED_VALUE"""),"| 5 L PHP-CGM % | 6 L NS % | 7 P JAVA % | 9 P PRO @ ")</f>
        <v xml:space="preserve">| 5 L PHP-CGM % | 6 L NS % | 7 P JAVA % | 9 P PRO @ </v>
      </c>
      <c r="AU158" s="4" t="str">
        <f ca="1">IFERROR(__xludf.DUMMYFUNCTION("""COMPUTED_VALUE"""),"| 5 L JAVA % | 6 L CPT % | 7 P JAVA % | 9 L INE % ")</f>
        <v xml:space="preserve">| 5 L JAVA % | 6 L CPT % | 7 P JAVA % | 9 L INE % </v>
      </c>
      <c r="AV158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W158" s="4" t="str">
        <f ca="1">IFERROR(__xludf.DUMMYFUNCTION("""COMPUTED_VALUE"""),"| 5 P Python % | 7 L PHP-CGM % | 8 L JAVA % | 9 P PHP-CGM % ")</f>
        <v xml:space="preserve">| 5 P Python % | 7 L PHP-CGM % | 8 L JAVA % | 9 P PHP-CGM % </v>
      </c>
      <c r="AX158" s="4" t="str">
        <f ca="1">IFERROR(__xludf.DUMMYFUNCTION("""COMPUTED_VALUE"""),"| 5 P NS % | 7 L CPT % | 8 L NS % | 9 P Python % ")</f>
        <v xml:space="preserve">| 5 P NS % | 7 L CPT % | 8 L NS % | 9 P Python % </v>
      </c>
      <c r="AY158" s="4" t="str">
        <f ca="1">IFERROR(__xludf.DUMMYFUNCTION("""COMPUTED_VALUE"""),"| 5 L PHP-CGM % | 6 L NS % | 7 P JAVA % ")</f>
        <v xml:space="preserve">| 5 L PHP-CGM % | 6 L NS % | 7 P JAVA % </v>
      </c>
      <c r="AZ158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58" s="4" t="str">
        <f ca="1">IFERROR(__xludf.DUMMYFUNCTION("""COMPUTED_VALUE"""),"| 5 P Python % | 7 L PHP-CGM % | 8 L JAVA % ")</f>
        <v xml:space="preserve">| 5 P Python % | 7 L PHP-CGM % | 8 L JAVA % </v>
      </c>
      <c r="BB158" s="4" t="str">
        <f ca="1">IFERROR(__xludf.DUMMYFUNCTION("""COMPUTED_VALUE"""),"| 5 P NS % | 7 L CPT % | 8 L NS % | 9 P Python % ")</f>
        <v xml:space="preserve">| 5 P NS % | 7 L CPT % | 8 L NS % | 9 P Python % </v>
      </c>
      <c r="BC158" s="4" t="str">
        <f ca="1">IFERROR(__xludf.DUMMYFUNCTION("""COMPUTED_VALUE"""),"| 5 L PHP-CGM % | 6 L NS % | 7 P JAVA % | 9 P PRO % ")</f>
        <v xml:space="preserve">| 5 L PHP-CGM % | 6 L NS % | 7 P JAVA % | 9 P PRO % </v>
      </c>
      <c r="BD158" s="4" t="str">
        <f ca="1">IFERROR(__xludf.DUMMYFUNCTION("""COMPUTED_VALUE"""),"| 5 L JAVA % | 6 L CPT % | 7 P JAVA % | 9 L INE % ")</f>
        <v xml:space="preserve">| 5 L JAVA % | 6 L CPT % | 7 P JAVA % | 9 L INE % </v>
      </c>
      <c r="BE15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58" s="4" t="str">
        <f ca="1">IFERROR(__xludf.DUMMYFUNCTION("""COMPUTED_VALUE"""),"| 5 P Python @ | 7 L PHP-CGM @ | 8 L JAVA @ | 9 P PHP-CGM @ ")</f>
        <v xml:space="preserve">| 5 P Python @ | 7 L PHP-CGM @ | 8 L JAVA @ | 9 P PHP-CGM @ </v>
      </c>
      <c r="BG158" s="4" t="str">
        <f ca="1">IFERROR(__xludf.DUMMYFUNCTION("""COMPUTED_VALUE"""),"| 5 L PHP-CGM % | 6 L NS % | 7 P JAVA % | 9 P PRO % ")</f>
        <v xml:space="preserve">| 5 L PHP-CGM % | 6 L NS % | 7 P JAVA % | 9 P PRO % </v>
      </c>
      <c r="BH158" s="4" t="str">
        <f ca="1">IFERROR(__xludf.DUMMYFUNCTION("""COMPUTED_VALUE"""),"| 5 L JAVA % | 6 L CPT % | 7 P JAVA % | 9 L INE % ")</f>
        <v xml:space="preserve">| 5 L JAVA % | 6 L CPT % | 7 P JAVA % | 9 L INE % </v>
      </c>
      <c r="BI158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58" s="4" t="str">
        <f ca="1">IFERROR(__xludf.DUMMYFUNCTION("""COMPUTED_VALUE"""),"| 5 P Python % | 7 L JAVA % | 7 L PHP-CGM % ")</f>
        <v xml:space="preserve">| 5 P Python % | 7 L JAVA % | 7 L PHP-CGM % </v>
      </c>
      <c r="BK158" s="4" t="str">
        <f ca="1">IFERROR(__xludf.DUMMYFUNCTION("""COMPUTED_VALUE"""),"| 7 L CPT @ | 8 L NS @ ")</f>
        <v xml:space="preserve">| 7 L CPT @ | 8 L NS @ </v>
      </c>
      <c r="BL158" s="4" t="str">
        <f ca="1">IFERROR(__xludf.DUMMYFUNCTION("""COMPUTED_VALUE"""),"| 5 L PHP-CGM % | 6 L NS % | 7 P JAVA % | 9 P PRO % ")</f>
        <v xml:space="preserve">| 5 L PHP-CGM % | 6 L NS % | 7 P JAVA % | 9 P PRO % </v>
      </c>
      <c r="BM158" s="4" t="str">
        <f ca="1">IFERROR(__xludf.DUMMYFUNCTION("""COMPUTED_VALUE"""),"| 5 L JAVA % | 6 L CPT % | 9 L INE @ ")</f>
        <v xml:space="preserve">| 5 L JAVA % | 6 L CPT % | 9 L INE @ </v>
      </c>
      <c r="BN158" s="4" t="str">
        <f ca="1">IFERROR(__xludf.DUMMYFUNCTION("""COMPUTED_VALUE"""),"| 5 L PHP-CGM % | 6 L NS % | 9 L JAVA % | 8 L CPT % | 9 P CPT % ")</f>
        <v xml:space="preserve">| 5 L PHP-CGM % | 6 L NS % | 9 L JAVA % | 8 L CPT % | 9 P CPT % </v>
      </c>
      <c r="BO158" s="4" t="str">
        <f ca="1">IFERROR(__xludf.DUMMYFUNCTION("""COMPUTED_VALUE"""),"| 5 P Python % | 7 L PHP-CGM @ ")</f>
        <v xml:space="preserve">| 5 P Python % | 7 L PHP-CGM @ </v>
      </c>
      <c r="BP158" s="4" t="str">
        <f ca="1">IFERROR(__xludf.DUMMYFUNCTION("""COMPUTED_VALUE"""),"| 5 P NS % | 7 L CPT % | 8 L NS % ")</f>
        <v xml:space="preserve">| 5 P NS % | 7 L CPT % | 8 L NS % </v>
      </c>
      <c r="BQ158" s="4" t="str">
        <f ca="1">IFERROR(__xludf.DUMMYFUNCTION("""COMPUTED_VALUE"""),"| 5 L JAVA @ | 6 L CPT @ ")</f>
        <v xml:space="preserve">| 5 L JAVA @ | 6 L CPT @ </v>
      </c>
      <c r="BR158" s="4" t="str">
        <f ca="1">IFERROR(__xludf.DUMMYFUNCTION("""COMPUTED_VALUE"""),"| 7 L JAVA @ ")</f>
        <v xml:space="preserve">| 7 L JAVA @ </v>
      </c>
      <c r="BS158" s="4"/>
      <c r="BT158" s="4" t="str">
        <f ca="1">IFERROR(__xludf.DUMMYFUNCTION("""COMPUTED_VALUE"""),"| 7 L CPT @ ")</f>
        <v xml:space="preserve">| 7 L CPT @ </v>
      </c>
      <c r="BU158" s="4" t="str">
        <f ca="1">IFERROR(__xludf.DUMMYFUNCTION("""COMPUTED_VALUE"""),"| 9 P PRO @ ")</f>
        <v xml:space="preserve">| 9 P PRO @ </v>
      </c>
      <c r="BV158" s="4" t="str">
        <f ca="1">IFERROR(__xludf.DUMMYFUNCTION("""COMPUTED_VALUE"""),"| 5 P NS @ | 7 L CPT @ | 8 L NS @ | 9 P Python @ ")</f>
        <v xml:space="preserve">| 5 P NS @ | 7 L CPT @ | 8 L NS @ | 9 P Python @ </v>
      </c>
      <c r="BW158" s="4"/>
      <c r="BX158" s="4" t="str">
        <f ca="1">IFERROR(__xludf.DUMMYFUNCTION("""COMPUTED_VALUE"""),"| 5 L JAVA % | 6 L CPT % | 7 P JAVA % ")</f>
        <v xml:space="preserve">| 5 L JAVA % | 6 L CPT % | 7 P JAVA % </v>
      </c>
      <c r="BY158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Z158" s="4" t="str">
        <f ca="1">IFERROR(__xludf.DUMMYFUNCTION("""COMPUTED_VALUE"""),"| 5 P Python % | 8 L JAVA % | 7 L PHP-CGM % | 9 P PHP-CGM % ")</f>
        <v xml:space="preserve">| 5 P Python % | 8 L JAVA % | 7 L PHP-CGM % | 9 P PHP-CGM % </v>
      </c>
      <c r="CA158" s="4" t="str">
        <f ca="1">IFERROR(__xludf.DUMMYFUNCTION("""COMPUTED_VALUE"""),"| 5 P NS % | 7 L CPT % | 8 L NS % | 9 P Python % ")</f>
        <v xml:space="preserve">| 5 P NS % | 7 L CPT % | 8 L NS % | 9 P Python % </v>
      </c>
      <c r="CB158" s="4" t="str">
        <f ca="1">IFERROR(__xludf.DUMMYFUNCTION("""COMPUTED_VALUE"""),"| 5 L PHP-CGM @ | 6 L NS @ | 7 P JAVA @ ")</f>
        <v xml:space="preserve">| 5 L PHP-CGM @ | 6 L NS @ | 7 P JAVA @ </v>
      </c>
      <c r="CC158" s="4" t="str">
        <f ca="1">IFERROR(__xludf.DUMMYFUNCTION("""COMPUTED_VALUE"""),"| 5 L JAVA % | 7 P JAVA % | 9 L INE % ")</f>
        <v xml:space="preserve">| 5 L JAVA % | 7 P JAVA % | 9 L INE % </v>
      </c>
      <c r="CD158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58" s="4" t="str">
        <f ca="1">IFERROR(__xludf.DUMMYFUNCTION("""COMPUTED_VALUE"""),"| 5 P Python % | 8 L JAVA % | 7 L PHP-CGM % ")</f>
        <v xml:space="preserve">| 5 P Python % | 8 L JAVA % | 7 L PHP-CGM % </v>
      </c>
      <c r="CF158" s="4" t="str">
        <f ca="1">IFERROR(__xludf.DUMMYFUNCTION("""COMPUTED_VALUE"""),"| 5 P NS % | 7 L CPT % | 8 L NS % | 9 P Python % ")</f>
        <v xml:space="preserve">| 5 P NS % | 7 L CPT % | 8 L NS % | 9 P Python % </v>
      </c>
      <c r="CG158" s="4" t="str">
        <f ca="1">IFERROR(__xludf.DUMMYFUNCTION("""COMPUTED_VALUE"""),"| 5 L PHP-CGM % | 6 L NS % | 7 P JAVA % ")</f>
        <v xml:space="preserve">| 5 L PHP-CGM % | 6 L NS % | 7 P JAVA % </v>
      </c>
      <c r="CH158" s="4" t="str">
        <f ca="1">IFERROR(__xludf.DUMMYFUNCTION("""COMPUTED_VALUE"""),"| 5 L JAVA % | 6 L CPT % | 7 P JAVA % | 9 L INE % ")</f>
        <v xml:space="preserve">| 5 L JAVA % | 6 L CPT % | 7 P JAVA % | 9 L INE % </v>
      </c>
      <c r="CI158" s="4" t="str">
        <f ca="1">IFERROR(__xludf.DUMMYFUNCTION("""COMPUTED_VALUE"""),"| 5 L PHP-CGM % | 7 L JAVA % | 8 L CPT % | 9 P CPT % ")</f>
        <v xml:space="preserve">| 5 L PHP-CGM % | 7 L JAVA % | 8 L CPT % | 9 P CPT % </v>
      </c>
      <c r="CJ158" s="4" t="str">
        <f ca="1">IFERROR(__xludf.DUMMYFUNCTION("""COMPUTED_VALUE"""),"| 5 P Python % ")</f>
        <v xml:space="preserve">| 5 P Python % </v>
      </c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</row>
    <row r="159" spans="1:102" ht="12.5" x14ac:dyDescent="0.25">
      <c r="A159" s="3">
        <f ca="1">IFERROR(__xludf.DUMMYFUNCTION("""COMPUTED_VALUE"""),4)</f>
        <v>4</v>
      </c>
      <c r="B159" s="3" t="str">
        <f ca="1">IFERROR(__xludf.DUMMYFUNCTION("""COMPUTED_VALUE"""),"B")</f>
        <v>B</v>
      </c>
      <c r="C159" s="32" t="str">
        <f ca="1">IFERROR(__xludf.DUMMYFUNCTION("""COMPUTED_VALUE"""),"23291341183")</f>
        <v>23291341183</v>
      </c>
      <c r="D159" s="4" t="str">
        <f ca="1">IFERROR(__xludf.DUMMYFUNCTION("""COMPUTED_VALUE"""),"PATEL ADITI PRAVINBHAI")</f>
        <v>PATEL ADITI PRAVINBHAI</v>
      </c>
      <c r="E159" s="3" t="str">
        <f ca="1">IFERROR(__xludf.DUMMYFUNCTION("""COMPUTED_VALUE"""),"HAM/HDP-EVE")</f>
        <v>HAM/HDP-EVE</v>
      </c>
      <c r="F159" s="3">
        <f ca="1">IFERROR(__xludf.DUMMYFUNCTION("""COMPUTED_VALUE"""),9157426182)</f>
        <v>9157426182</v>
      </c>
      <c r="G159" s="3">
        <f ca="1">IFERROR(__xludf.DUMMYFUNCTION("""COMPUTED_VALUE"""),6352346270)</f>
        <v>6352346270</v>
      </c>
      <c r="H159" s="33">
        <f ca="1">IFERROR(__xludf.DUMMYFUNCTION("""COMPUTED_VALUE"""),0.860869565217391)</f>
        <v>0.860869565217391</v>
      </c>
      <c r="I159" s="25">
        <f ca="1">IFERROR(__xludf.DUMMYFUNCTION("""COMPUTED_VALUE"""),0.81081081081081)</f>
        <v>0.81081081081080997</v>
      </c>
      <c r="J159" s="25">
        <f ca="1">IFERROR(__xludf.DUMMYFUNCTION("""COMPUTED_VALUE"""),0.75)</f>
        <v>0.75</v>
      </c>
      <c r="K159" s="25">
        <f ca="1">IFERROR(__xludf.DUMMYFUNCTION("""COMPUTED_VALUE"""),0.823529411764705)</f>
        <v>0.82352941176470495</v>
      </c>
      <c r="L159" s="25">
        <f ca="1">IFERROR(__xludf.DUMMYFUNCTION("""COMPUTED_VALUE"""),1)</f>
        <v>1</v>
      </c>
      <c r="M159" s="25">
        <f ca="1">IFERROR(__xludf.DUMMYFUNCTION("""COMPUTED_VALUE"""),0.828571428571428)</f>
        <v>0.82857142857142796</v>
      </c>
      <c r="N159" s="25">
        <f ca="1">IFERROR(__xludf.DUMMYFUNCTION("""COMPUTED_VALUE"""),0.857142857142857)</f>
        <v>0.85714285714285698</v>
      </c>
      <c r="O159" s="25">
        <f ca="1">IFERROR(__xludf.DUMMYFUNCTION("""COMPUTED_VALUE"""),0.885714285714285)</f>
        <v>0.88571428571428501</v>
      </c>
      <c r="P159" s="25">
        <f ca="1">IFERROR(__xludf.DUMMYFUNCTION("""COMPUTED_VALUE"""),0.952380952380952)</f>
        <v>0.952380952380952</v>
      </c>
      <c r="Q159" s="25">
        <f ca="1">IFERROR(__xludf.DUMMYFUNCTION("""COMPUTED_VALUE"""),0)</f>
        <v>0</v>
      </c>
      <c r="R159" s="25">
        <f ca="1">IFERROR(__xludf.DUMMYFUNCTION("""COMPUTED_VALUE"""),0.954545454545454)</f>
        <v>0.95454545454545403</v>
      </c>
      <c r="S159" s="25">
        <f ca="1">IFERROR(__xludf.DUMMYFUNCTION("""COMPUTED_VALUE"""),0)</f>
        <v>0</v>
      </c>
      <c r="T159" s="25">
        <f ca="1">IFERROR(__xludf.DUMMYFUNCTION("""COMPUTED_VALUE"""),0.777777777777777)</f>
        <v>0.77777777777777701</v>
      </c>
      <c r="U159" s="25">
        <f ca="1">IFERROR(__xludf.DUMMYFUNCTION("""COMPUTED_VALUE"""),0.875)</f>
        <v>0.875</v>
      </c>
      <c r="V159" s="25">
        <f ca="1">IFERROR(__xludf.DUMMYFUNCTION("""COMPUTED_VALUE"""),0)</f>
        <v>0</v>
      </c>
      <c r="W159" s="4"/>
      <c r="X159" s="4" t="str">
        <f ca="1">IFERROR(__xludf.DUMMYFUNCTION("""COMPUTED_VALUE"""),"| 7 L CPT % | 8 L NS % | 9 P Python % ")</f>
        <v xml:space="preserve">| 7 L CPT % | 8 L NS % | 9 P Python % </v>
      </c>
      <c r="Y159" s="4" t="str">
        <f ca="1">IFERROR(__xludf.DUMMYFUNCTION("""COMPUTED_VALUE"""),"| 5 L PHP-CGM % | 6 L NS % | 7 P JAVA % | 9 P PRO % ")</f>
        <v xml:space="preserve">| 5 L PHP-CGM % | 6 L NS % | 7 P JAVA % | 9 P PRO % </v>
      </c>
      <c r="Z159" s="4" t="str">
        <f ca="1">IFERROR(__xludf.DUMMYFUNCTION("""COMPUTED_VALUE"""),"| 5 L JAVA % | 6 L CPT % | 7 P JAVA % ")</f>
        <v xml:space="preserve">| 5 L JAVA % | 6 L CPT % | 7 P JAVA % </v>
      </c>
      <c r="AA159" s="4" t="str">
        <f ca="1">IFERROR(__xludf.DUMMYFUNCTION("""COMPUTED_VALUE"""),"| 5 L PHP-CGM % | 7 L JAVA % | 9 P CPT % | 8 L CPT % ")</f>
        <v xml:space="preserve">| 5 L PHP-CGM % | 7 L JAVA % | 9 P CPT % | 8 L CPT % </v>
      </c>
      <c r="AB159" s="4" t="str">
        <f ca="1">IFERROR(__xludf.DUMMYFUNCTION("""COMPUTED_VALUE"""),"| 5 P Python @ | 7 L PHP-CGM @ | 8 L JAVA @ | 9 P PHP-CGM @ ")</f>
        <v xml:space="preserve">| 5 P Python @ | 7 L PHP-CGM @ | 8 L JAVA @ | 9 P PHP-CGM @ </v>
      </c>
      <c r="AC159" s="4" t="str">
        <f ca="1">IFERROR(__xludf.DUMMYFUNCTION("""COMPUTED_VALUE"""),"| 5 P NS % | 7 L CPT % | 8 L NS % | 9 P Python % ")</f>
        <v xml:space="preserve">| 5 P NS % | 7 L CPT % | 8 L NS % | 9 P Python % </v>
      </c>
      <c r="AD159" s="4" t="str">
        <f ca="1">IFERROR(__xludf.DUMMYFUNCTION("""COMPUTED_VALUE"""),"| 5 L PHP-CGM % | 6 L NS % | 7 P JAVA % | 9 P PRO % ")</f>
        <v xml:space="preserve">| 5 L PHP-CGM % | 6 L NS % | 7 P JAVA % | 9 P PRO % </v>
      </c>
      <c r="AE159" s="4" t="str">
        <f ca="1">IFERROR(__xludf.DUMMYFUNCTION("""COMPUTED_VALUE"""),"| 5 L JAVA % | 6 L CPT % | 7 P JAVA % ")</f>
        <v xml:space="preserve">| 5 L JAVA % | 6 L CPT % | 7 P JAVA % </v>
      </c>
      <c r="AF15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59" s="4" t="str">
        <f ca="1">IFERROR(__xludf.DUMMYFUNCTION("""COMPUTED_VALUE"""),"| 5 P Python % | 8 L JAVA % | 7 L PHP-CGM % | 9 P PHP-CGM % ")</f>
        <v xml:space="preserve">| 5 P Python % | 8 L JAVA % | 7 L PHP-CGM % | 9 P PHP-CGM % </v>
      </c>
      <c r="AH15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59" s="4" t="str">
        <f ca="1">IFERROR(__xludf.DUMMYFUNCTION("""COMPUTED_VALUE"""),"| 5 P Python % | 8 L JAVA % | 7 L PHP-CGM % | 9 P PHP-CGM % ")</f>
        <v xml:space="preserve">| 5 P Python % | 8 L JAVA % | 7 L PHP-CGM % | 9 P PHP-CGM % </v>
      </c>
      <c r="AJ159" s="4" t="str">
        <f ca="1">IFERROR(__xludf.DUMMYFUNCTION("""COMPUTED_VALUE"""),"| 5 P NS % | 7 L CPT % | 8 L NS % | 9 P Python % ")</f>
        <v xml:space="preserve">| 5 P NS % | 7 L CPT % | 8 L NS % | 9 P Python % </v>
      </c>
      <c r="AK159" s="4" t="str">
        <f ca="1">IFERROR(__xludf.DUMMYFUNCTION("""COMPUTED_VALUE"""),"| 5 L PHP-CGM % | 6 L NS % | 7 P JAVA % | 9 P PRO % ")</f>
        <v xml:space="preserve">| 5 L PHP-CGM % | 6 L NS % | 7 P JAVA % | 9 P PRO % </v>
      </c>
      <c r="AL159" s="4" t="str">
        <f ca="1">IFERROR(__xludf.DUMMYFUNCTION("""COMPUTED_VALUE"""),"| 5 L JAVA % | 6 L CPT % | 7 P JAVA % | 9 L INE % ")</f>
        <v xml:space="preserve">| 5 L JAVA % | 6 L CPT % | 7 P JAVA % | 9 L INE % </v>
      </c>
      <c r="AM15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59" s="4" t="str">
        <f ca="1">IFERROR(__xludf.DUMMYFUNCTION("""COMPUTED_VALUE"""),"| 5 P Python % | 8 L JAVA % | 7 L PHP-CGM % | 9 P PHP-CGM % ")</f>
        <v xml:space="preserve">| 5 P Python % | 8 L JAVA % | 7 L PHP-CGM % | 9 P PHP-CGM % </v>
      </c>
      <c r="AO159" s="4" t="str">
        <f ca="1">IFERROR(__xludf.DUMMYFUNCTION("""COMPUTED_VALUE"""),"| 5 P NS % | 7 L CPT % | 8 L NS % | 9 P Python % ")</f>
        <v xml:space="preserve">| 5 P NS % | 7 L CPT % | 8 L NS % | 9 P Python % </v>
      </c>
      <c r="AP159" s="4" t="str">
        <f ca="1">IFERROR(__xludf.DUMMYFUNCTION("""COMPUTED_VALUE"""),"| 5 L PHP-CGM % | 6 L NS % | 7 P JAVA % | 9 P PRO % ")</f>
        <v xml:space="preserve">| 5 L PHP-CGM % | 6 L NS % | 7 P JAVA % | 9 P PRO % </v>
      </c>
      <c r="AQ159" s="4" t="str">
        <f ca="1">IFERROR(__xludf.DUMMYFUNCTION("""COMPUTED_VALUE"""),"| 5 L CPT % | 7 L JAVA % | 7 P JAVA % | 9 L INE % ")</f>
        <v xml:space="preserve">| 5 L CPT % | 7 L JAVA % | 7 P JAVA % | 9 L INE % </v>
      </c>
      <c r="AR159" s="4" t="str">
        <f ca="1">IFERROR(__xludf.DUMMYFUNCTION("""COMPUTED_VALUE"""),"| 5 L PHP-CGM @ | 6 L NS @ | 8 L CPT @ ")</f>
        <v xml:space="preserve">| 5 L PHP-CGM @ | 6 L NS @ | 8 L CPT @ </v>
      </c>
      <c r="AS159" s="4" t="str">
        <f ca="1">IFERROR(__xludf.DUMMYFUNCTION("""COMPUTED_VALUE"""),"| 5 P NS % | 7 L CPT % | 8 L NS % | 9 P Python % ")</f>
        <v xml:space="preserve">| 5 P NS % | 7 L CPT % | 8 L NS % | 9 P Python % </v>
      </c>
      <c r="AT159" s="4" t="str">
        <f ca="1">IFERROR(__xludf.DUMMYFUNCTION("""COMPUTED_VALUE"""),"| 5 L PHP-CGM % | 6 L NS % | 7 P JAVA % | 9 P PRO % ")</f>
        <v xml:space="preserve">| 5 L PHP-CGM % | 6 L NS % | 7 P JAVA % | 9 P PRO % </v>
      </c>
      <c r="AU159" s="4" t="str">
        <f ca="1">IFERROR(__xludf.DUMMYFUNCTION("""COMPUTED_VALUE"""),"| 5 L JAVA % | 6 L CPT % | 7 P JAVA % | 9 L INE % ")</f>
        <v xml:space="preserve">| 5 L JAVA % | 6 L CPT % | 7 P JAVA % | 9 L INE % </v>
      </c>
      <c r="AV159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AW159" s="4" t="str">
        <f ca="1">IFERROR(__xludf.DUMMYFUNCTION("""COMPUTED_VALUE"""),"| 5 P Python % | 7 L PHP-CGM % | 8 L JAVA % | 9 P PHP-CGM % ")</f>
        <v xml:space="preserve">| 5 P Python % | 7 L PHP-CGM % | 8 L JAVA % | 9 P PHP-CGM % </v>
      </c>
      <c r="AX159" s="4" t="str">
        <f ca="1">IFERROR(__xludf.DUMMYFUNCTION("""COMPUTED_VALUE"""),"| 5 P NS % | 7 L CPT % | 8 L NS % | 9 P Python % ")</f>
        <v xml:space="preserve">| 5 P NS % | 7 L CPT % | 8 L NS % | 9 P Python % </v>
      </c>
      <c r="AY159" s="4" t="str">
        <f ca="1">IFERROR(__xludf.DUMMYFUNCTION("""COMPUTED_VALUE"""),"| 5 L PHP-CGM % | 6 L NS % | 7 P JAVA % ")</f>
        <v xml:space="preserve">| 5 L PHP-CGM % | 6 L NS % | 7 P JAVA % </v>
      </c>
      <c r="AZ15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59" s="4" t="str">
        <f ca="1">IFERROR(__xludf.DUMMYFUNCTION("""COMPUTED_VALUE"""),"| 5 P Python % | 7 L PHP-CGM % | 8 L JAVA % ")</f>
        <v xml:space="preserve">| 5 P Python % | 7 L PHP-CGM % | 8 L JAVA % </v>
      </c>
      <c r="BB159" s="4" t="str">
        <f ca="1">IFERROR(__xludf.DUMMYFUNCTION("""COMPUTED_VALUE"""),"| 5 P NS % | 7 L CPT % | 8 L NS % | 9 P Python % ")</f>
        <v xml:space="preserve">| 5 P NS % | 7 L CPT % | 8 L NS % | 9 P Python % </v>
      </c>
      <c r="BC159" s="4" t="str">
        <f ca="1">IFERROR(__xludf.DUMMYFUNCTION("""COMPUTED_VALUE"""),"| 5 L PHP-CGM % | 6 L NS % | 7 P JAVA % | 9 P PRO % ")</f>
        <v xml:space="preserve">| 5 L PHP-CGM % | 6 L NS % | 7 P JAVA % | 9 P PRO % </v>
      </c>
      <c r="BD159" s="4" t="str">
        <f ca="1">IFERROR(__xludf.DUMMYFUNCTION("""COMPUTED_VALUE"""),"| 5 L JAVA % | 6 L CPT % | 7 P JAVA % | 9 L INE % ")</f>
        <v xml:space="preserve">| 5 L JAVA % | 6 L CPT % | 7 P JAVA % | 9 L INE % </v>
      </c>
      <c r="BE159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59" s="4" t="str">
        <f ca="1">IFERROR(__xludf.DUMMYFUNCTION("""COMPUTED_VALUE"""),"| 5 P Python % | 7 L PHP-CGM % | 8 L JAVA % | 9 P PHP-CGM % ")</f>
        <v xml:space="preserve">| 5 P Python % | 7 L PHP-CGM % | 8 L JAVA % | 9 P PHP-CGM % </v>
      </c>
      <c r="BG159" s="4" t="str">
        <f ca="1">IFERROR(__xludf.DUMMYFUNCTION("""COMPUTED_VALUE"""),"| 5 L PHP-CGM % | 6 L NS % | 7 P JAVA % | 9 P PRO % ")</f>
        <v xml:space="preserve">| 5 L PHP-CGM % | 6 L NS % | 7 P JAVA % | 9 P PRO % </v>
      </c>
      <c r="BH159" s="4" t="str">
        <f ca="1">IFERROR(__xludf.DUMMYFUNCTION("""COMPUTED_VALUE"""),"| 5 L JAVA % | 6 L CPT % | 7 P JAVA % | 9 L INE % ")</f>
        <v xml:space="preserve">| 5 L JAVA % | 6 L CPT % | 7 P JAVA % | 9 L INE % </v>
      </c>
      <c r="BI15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59" s="4" t="str">
        <f ca="1">IFERROR(__xludf.DUMMYFUNCTION("""COMPUTED_VALUE"""),"| 5 P Python % | 7 L JAVA % | 7 L PHP-CGM % ")</f>
        <v xml:space="preserve">| 5 P Python % | 7 L JAVA % | 7 L PHP-CGM % </v>
      </c>
      <c r="BK159" s="4" t="str">
        <f ca="1">IFERROR(__xludf.DUMMYFUNCTION("""COMPUTED_VALUE"""),"| 7 L CPT @ | 8 L NS @ ")</f>
        <v xml:space="preserve">| 7 L CPT @ | 8 L NS @ </v>
      </c>
      <c r="BL159" s="4" t="str">
        <f ca="1">IFERROR(__xludf.DUMMYFUNCTION("""COMPUTED_VALUE"""),"| 5 L PHP-CGM @ | 6 L NS @ | 7 P JAVA @ | 9 P PRO @ ")</f>
        <v xml:space="preserve">| 5 L PHP-CGM @ | 6 L NS @ | 7 P JAVA @ | 9 P PRO @ </v>
      </c>
      <c r="BM159" s="4" t="str">
        <f ca="1">IFERROR(__xludf.DUMMYFUNCTION("""COMPUTED_VALUE"""),"| 5 L JAVA % | 6 L CPT % | 9 L INE @ ")</f>
        <v xml:space="preserve">| 5 L JAVA % | 6 L CPT % | 9 L INE @ </v>
      </c>
      <c r="BN159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59" s="4" t="str">
        <f ca="1">IFERROR(__xludf.DUMMYFUNCTION("""COMPUTED_VALUE"""),"| 5 P Python % | 7 L PHP-CGM @ ")</f>
        <v xml:space="preserve">| 5 P Python % | 7 L PHP-CGM @ </v>
      </c>
      <c r="BP159" s="4" t="str">
        <f ca="1">IFERROR(__xludf.DUMMYFUNCTION("""COMPUTED_VALUE"""),"| 5 P NS % | 7 L CPT % | 8 L NS % ")</f>
        <v xml:space="preserve">| 5 P NS % | 7 L CPT % | 8 L NS % </v>
      </c>
      <c r="BQ159" s="4" t="str">
        <f ca="1">IFERROR(__xludf.DUMMYFUNCTION("""COMPUTED_VALUE"""),"| 5 L JAVA % | 6 L CPT @ ")</f>
        <v xml:space="preserve">| 5 L JAVA % | 6 L CPT @ </v>
      </c>
      <c r="BR159" s="4" t="str">
        <f ca="1">IFERROR(__xludf.DUMMYFUNCTION("""COMPUTED_VALUE"""),"| 7 L JAVA % ")</f>
        <v xml:space="preserve">| 7 L JAVA % </v>
      </c>
      <c r="BS159" s="4"/>
      <c r="BT159" s="4" t="str">
        <f ca="1">IFERROR(__xludf.DUMMYFUNCTION("""COMPUTED_VALUE"""),"| 7 L CPT @ ")</f>
        <v xml:space="preserve">| 7 L CPT @ </v>
      </c>
      <c r="BU159" s="4" t="str">
        <f ca="1">IFERROR(__xludf.DUMMYFUNCTION("""COMPUTED_VALUE"""),"| 9 P PRO @ ")</f>
        <v xml:space="preserve">| 9 P PRO @ </v>
      </c>
      <c r="BV159" s="4" t="str">
        <f ca="1">IFERROR(__xludf.DUMMYFUNCTION("""COMPUTED_VALUE"""),"| 5 P NS % | 7 L CPT % | 8 L NS % | 9 P Python % ")</f>
        <v xml:space="preserve">| 5 P NS % | 7 L CPT % | 8 L NS % | 9 P Python % </v>
      </c>
      <c r="BW159" s="4"/>
      <c r="BX159" s="4" t="str">
        <f ca="1">IFERROR(__xludf.DUMMYFUNCTION("""COMPUTED_VALUE"""),"| 5 L JAVA % | 6 L CPT % | 7 P JAVA % ")</f>
        <v xml:space="preserve">| 5 L JAVA % | 6 L CPT % | 7 P JAVA % </v>
      </c>
      <c r="BY15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59" s="4" t="str">
        <f ca="1">IFERROR(__xludf.DUMMYFUNCTION("""COMPUTED_VALUE"""),"| 5 P Python % | 8 L JAVA % | 7 L PHP-CGM % | 9 P PHP-CGM % ")</f>
        <v xml:space="preserve">| 5 P Python % | 8 L JAVA % | 7 L PHP-CGM % | 9 P PHP-CGM % </v>
      </c>
      <c r="CA159" s="4" t="str">
        <f ca="1">IFERROR(__xludf.DUMMYFUNCTION("""COMPUTED_VALUE"""),"| 5 P NS % | 7 L CPT % | 8 L NS % | 9 P Python % ")</f>
        <v xml:space="preserve">| 5 P NS % | 7 L CPT % | 8 L NS % | 9 P Python % </v>
      </c>
      <c r="CB159" s="4" t="str">
        <f ca="1">IFERROR(__xludf.DUMMYFUNCTION("""COMPUTED_VALUE"""),"| 5 L PHP-CGM % | 6 L NS % | 7 P JAVA % ")</f>
        <v xml:space="preserve">| 5 L PHP-CGM % | 6 L NS % | 7 P JAVA % </v>
      </c>
      <c r="CC159" s="4" t="str">
        <f ca="1">IFERROR(__xludf.DUMMYFUNCTION("""COMPUTED_VALUE"""),"| 5 L JAVA % | 7 P JAVA % | 9 L INE % ")</f>
        <v xml:space="preserve">| 5 L JAVA % | 7 P JAVA % | 9 L INE % </v>
      </c>
      <c r="CD159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59" s="4" t="str">
        <f ca="1">IFERROR(__xludf.DUMMYFUNCTION("""COMPUTED_VALUE"""),"| 5 P Python % | 8 L JAVA % | 7 L PHP-CGM % ")</f>
        <v xml:space="preserve">| 5 P Python % | 8 L JAVA % | 7 L PHP-CGM % </v>
      </c>
      <c r="CF159" s="4" t="str">
        <f ca="1">IFERROR(__xludf.DUMMYFUNCTION("""COMPUTED_VALUE"""),"| 5 P NS % | 7 L CPT % | 8 L NS @ | 9 P Python % ")</f>
        <v xml:space="preserve">| 5 P NS % | 7 L CPT % | 8 L NS @ | 9 P Python % </v>
      </c>
      <c r="CG159" s="4" t="str">
        <f ca="1">IFERROR(__xludf.DUMMYFUNCTION("""COMPUTED_VALUE"""),"| 5 L PHP-CGM % | 6 L NS % | 7 P JAVA % ")</f>
        <v xml:space="preserve">| 5 L PHP-CGM % | 6 L NS % | 7 P JAVA % </v>
      </c>
      <c r="CH159" s="4" t="str">
        <f ca="1">IFERROR(__xludf.DUMMYFUNCTION("""COMPUTED_VALUE"""),"| 5 L JAVA % | 6 L CPT % | 7 P JAVA % | 9 L INE % ")</f>
        <v xml:space="preserve">| 5 L JAVA % | 6 L CPT % | 7 P JAVA % | 9 L INE % </v>
      </c>
      <c r="CI159" s="4" t="str">
        <f ca="1">IFERROR(__xludf.DUMMYFUNCTION("""COMPUTED_VALUE"""),"| 5 L PHP-CGM % | 7 L JAVA % | 8 L CPT % | 9 P CPT % ")</f>
        <v xml:space="preserve">| 5 L PHP-CGM % | 7 L JAVA % | 8 L CPT % | 9 P CPT % </v>
      </c>
      <c r="CJ159" s="4" t="str">
        <f ca="1">IFERROR(__xludf.DUMMYFUNCTION("""COMPUTED_VALUE"""),"| 5 P Python % ")</f>
        <v xml:space="preserve">| 5 P Python % </v>
      </c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</row>
    <row r="160" spans="1:102" ht="12.5" x14ac:dyDescent="0.25">
      <c r="A160" s="3">
        <f ca="1">IFERROR(__xludf.DUMMYFUNCTION("""COMPUTED_VALUE"""),4)</f>
        <v>4</v>
      </c>
      <c r="B160" s="3" t="str">
        <f ca="1">IFERROR(__xludf.DUMMYFUNCTION("""COMPUTED_VALUE"""),"B")</f>
        <v>B</v>
      </c>
      <c r="C160" s="32" t="str">
        <f ca="1">IFERROR(__xludf.DUMMYFUNCTION("""COMPUTED_VALUE"""),"23291341185")</f>
        <v>23291341185</v>
      </c>
      <c r="D160" s="4" t="str">
        <f ca="1">IFERROR(__xludf.DUMMYFUNCTION("""COMPUTED_VALUE"""),"PATEL HERIN PRAKASHKUMAR")</f>
        <v>PATEL HERIN PRAKASHKUMAR</v>
      </c>
      <c r="E160" s="3" t="str">
        <f ca="1">IFERROR(__xludf.DUMMYFUNCTION("""COMPUTED_VALUE"""),"HAM/HDP-EVE")</f>
        <v>HAM/HDP-EVE</v>
      </c>
      <c r="F160" s="3">
        <f ca="1">IFERROR(__xludf.DUMMYFUNCTION("""COMPUTED_VALUE"""),9327063594)</f>
        <v>9327063594</v>
      </c>
      <c r="G160" s="4">
        <f ca="1">IFERROR(__xludf.DUMMYFUNCTION("""COMPUTED_VALUE"""),8733921020)</f>
        <v>8733921020</v>
      </c>
      <c r="H160" s="33">
        <f ca="1">IFERROR(__xludf.DUMMYFUNCTION("""COMPUTED_VALUE"""),0.760869565217391)</f>
        <v>0.76086956521739102</v>
      </c>
      <c r="I160" s="25">
        <f ca="1">IFERROR(__xludf.DUMMYFUNCTION("""COMPUTED_VALUE"""),0.756756756756756)</f>
        <v>0.75675675675675602</v>
      </c>
      <c r="J160" s="25">
        <f ca="1">IFERROR(__xludf.DUMMYFUNCTION("""COMPUTED_VALUE"""),0.75)</f>
        <v>0.75</v>
      </c>
      <c r="K160" s="25">
        <f ca="1">IFERROR(__xludf.DUMMYFUNCTION("""COMPUTED_VALUE"""),0.764705882352941)</f>
        <v>0.76470588235294101</v>
      </c>
      <c r="L160" s="25">
        <f ca="1">IFERROR(__xludf.DUMMYFUNCTION("""COMPUTED_VALUE"""),0.9)</f>
        <v>0.9</v>
      </c>
      <c r="M160" s="25">
        <f ca="1">IFERROR(__xludf.DUMMYFUNCTION("""COMPUTED_VALUE"""),0.771428571428571)</f>
        <v>0.77142857142857102</v>
      </c>
      <c r="N160" s="25">
        <f ca="1">IFERROR(__xludf.DUMMYFUNCTION("""COMPUTED_VALUE"""),0.571428571428571)</f>
        <v>0.57142857142857095</v>
      </c>
      <c r="O160" s="25">
        <f ca="1">IFERROR(__xludf.DUMMYFUNCTION("""COMPUTED_VALUE"""),0.8)</f>
        <v>0.8</v>
      </c>
      <c r="P160" s="25">
        <f ca="1">IFERROR(__xludf.DUMMYFUNCTION("""COMPUTED_VALUE"""),0.809523809523809)</f>
        <v>0.80952380952380898</v>
      </c>
      <c r="Q160" s="25">
        <f ca="1">IFERROR(__xludf.DUMMYFUNCTION("""COMPUTED_VALUE"""),0)</f>
        <v>0</v>
      </c>
      <c r="R160" s="25">
        <f ca="1">IFERROR(__xludf.DUMMYFUNCTION("""COMPUTED_VALUE"""),0.863636363636363)</f>
        <v>0.86363636363636298</v>
      </c>
      <c r="S160" s="25">
        <f ca="1">IFERROR(__xludf.DUMMYFUNCTION("""COMPUTED_VALUE"""),0)</f>
        <v>0</v>
      </c>
      <c r="T160" s="25">
        <f ca="1">IFERROR(__xludf.DUMMYFUNCTION("""COMPUTED_VALUE"""),0.444444444444444)</f>
        <v>0.44444444444444398</v>
      </c>
      <c r="U160" s="25">
        <f ca="1">IFERROR(__xludf.DUMMYFUNCTION("""COMPUTED_VALUE"""),0.5)</f>
        <v>0.5</v>
      </c>
      <c r="V160" s="25">
        <f ca="1">IFERROR(__xludf.DUMMYFUNCTION("""COMPUTED_VALUE"""),0)</f>
        <v>0</v>
      </c>
      <c r="W160" s="4"/>
      <c r="X160" s="4" t="str">
        <f ca="1">IFERROR(__xludf.DUMMYFUNCTION("""COMPUTED_VALUE"""),"| 7 L CPT % | 8 L NS % | 9 P Python % ")</f>
        <v xml:space="preserve">| 7 L CPT % | 8 L NS % | 9 P Python % </v>
      </c>
      <c r="Y160" s="4" t="str">
        <f ca="1">IFERROR(__xludf.DUMMYFUNCTION("""COMPUTED_VALUE"""),"| 5 L PHP-CGM @ | 6 L NS @ | 7 P JAVA @ | 9 P PRO @ ")</f>
        <v xml:space="preserve">| 5 L PHP-CGM @ | 6 L NS @ | 7 P JAVA @ | 9 P PRO @ </v>
      </c>
      <c r="Z160" s="4" t="str">
        <f ca="1">IFERROR(__xludf.DUMMYFUNCTION("""COMPUTED_VALUE"""),"| 5 L JAVA % | 6 L CPT % | 7 P JAVA % ")</f>
        <v xml:space="preserve">| 5 L JAVA % | 6 L CPT % | 7 P JAVA % </v>
      </c>
      <c r="AA160" s="4" t="str">
        <f ca="1">IFERROR(__xludf.DUMMYFUNCTION("""COMPUTED_VALUE"""),"| 5 L PHP-CGM % | 7 L JAVA % | 9 P CPT % | 8 L CPT % ")</f>
        <v xml:space="preserve">| 5 L PHP-CGM % | 7 L JAVA % | 9 P CPT % | 8 L CPT % </v>
      </c>
      <c r="AB160" s="4" t="str">
        <f ca="1">IFERROR(__xludf.DUMMYFUNCTION("""COMPUTED_VALUE"""),"| 5 P Python % | 7 L PHP-CGM % | 8 L JAVA % | 9 P PHP-CGM % ")</f>
        <v xml:space="preserve">| 5 P Python % | 7 L PHP-CGM % | 8 L JAVA % | 9 P PHP-CGM % </v>
      </c>
      <c r="AC160" s="4" t="str">
        <f ca="1">IFERROR(__xludf.DUMMYFUNCTION("""COMPUTED_VALUE"""),"| 5 P NS % | 7 L CPT % | 8 L NS % | 9 P Python % ")</f>
        <v xml:space="preserve">| 5 P NS % | 7 L CPT % | 8 L NS % | 9 P Python % </v>
      </c>
      <c r="AD160" s="4" t="str">
        <f ca="1">IFERROR(__xludf.DUMMYFUNCTION("""COMPUTED_VALUE"""),"| 5 L PHP-CGM % | 6 L NS % | 7 P JAVA % | 9 P PRO % ")</f>
        <v xml:space="preserve">| 5 L PHP-CGM % | 6 L NS % | 7 P JAVA % | 9 P PRO % </v>
      </c>
      <c r="AE160" s="4" t="str">
        <f ca="1">IFERROR(__xludf.DUMMYFUNCTION("""COMPUTED_VALUE"""),"| 5 L JAVA % | 6 L CPT % | 7 P JAVA % ")</f>
        <v xml:space="preserve">| 5 L JAVA % | 6 L CPT % | 7 P JAVA % </v>
      </c>
      <c r="AF16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60" s="4" t="str">
        <f ca="1">IFERROR(__xludf.DUMMYFUNCTION("""COMPUTED_VALUE"""),"| 5 P Python % | 8 L JAVA % | 7 L PHP-CGM % | 9 P PHP-CGM % ")</f>
        <v xml:space="preserve">| 5 P Python % | 8 L JAVA % | 7 L PHP-CGM % | 9 P PHP-CGM % </v>
      </c>
      <c r="AH16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60" s="4" t="str">
        <f ca="1">IFERROR(__xludf.DUMMYFUNCTION("""COMPUTED_VALUE"""),"| 5 P Python % | 8 L JAVA % | 7 L PHP-CGM % | 9 P PHP-CGM % ")</f>
        <v xml:space="preserve">| 5 P Python % | 8 L JAVA % | 7 L PHP-CGM % | 9 P PHP-CGM % </v>
      </c>
      <c r="AJ160" s="4" t="str">
        <f ca="1">IFERROR(__xludf.DUMMYFUNCTION("""COMPUTED_VALUE"""),"| 5 P NS @ | 7 L CPT @ | 8 L NS @ | 9 P Python @ ")</f>
        <v xml:space="preserve">| 5 P NS @ | 7 L CPT @ | 8 L NS @ | 9 P Python @ </v>
      </c>
      <c r="AK160" s="4" t="str">
        <f ca="1">IFERROR(__xludf.DUMMYFUNCTION("""COMPUTED_VALUE"""),"| 5 L PHP-CGM % | 6 L NS % | 7 P JAVA % | 9 P PRO @ ")</f>
        <v xml:space="preserve">| 5 L PHP-CGM % | 6 L NS % | 7 P JAVA % | 9 P PRO @ </v>
      </c>
      <c r="AL160" s="4" t="str">
        <f ca="1">IFERROR(__xludf.DUMMYFUNCTION("""COMPUTED_VALUE"""),"| 5 L JAVA % | 6 L CPT % | 7 P JAVA % | 9 L INE @ ")</f>
        <v xml:space="preserve">| 5 L JAVA % | 6 L CPT % | 7 P JAVA % | 9 L INE @ </v>
      </c>
      <c r="AM16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60" s="4" t="str">
        <f ca="1">IFERROR(__xludf.DUMMYFUNCTION("""COMPUTED_VALUE"""),"| 5 P Python % | 8 L JAVA @ | 7 L PHP-CGM @ | 9 P PHP-CGM @ ")</f>
        <v xml:space="preserve">| 5 P Python % | 8 L JAVA @ | 7 L PHP-CGM @ | 9 P PHP-CGM @ </v>
      </c>
      <c r="AO160" s="4" t="str">
        <f ca="1">IFERROR(__xludf.DUMMYFUNCTION("""COMPUTED_VALUE"""),"| 5 P NS % | 7 L CPT % | 8 L NS % | 9 P Python @ ")</f>
        <v xml:space="preserve">| 5 P NS % | 7 L CPT % | 8 L NS % | 9 P Python @ </v>
      </c>
      <c r="AP160" s="4" t="str">
        <f ca="1">IFERROR(__xludf.DUMMYFUNCTION("""COMPUTED_VALUE"""),"| 5 L PHP-CGM % | 6 L NS % | 7 P JAVA % | 9 P PRO % ")</f>
        <v xml:space="preserve">| 5 L PHP-CGM % | 6 L NS % | 7 P JAVA % | 9 P PRO % </v>
      </c>
      <c r="AQ160" s="4" t="str">
        <f ca="1">IFERROR(__xludf.DUMMYFUNCTION("""COMPUTED_VALUE"""),"| 5 L CPT % | 7 L JAVA % | 7 P JAVA % | 9 L INE @ ")</f>
        <v xml:space="preserve">| 5 L CPT % | 7 L JAVA % | 7 P JAVA % | 9 L INE @ </v>
      </c>
      <c r="AR160" s="4" t="str">
        <f ca="1">IFERROR(__xludf.DUMMYFUNCTION("""COMPUTED_VALUE"""),"| 5 L PHP-CGM % | 6 L NS % | 8 L CPT @ ")</f>
        <v xml:space="preserve">| 5 L PHP-CGM % | 6 L NS % | 8 L CPT @ </v>
      </c>
      <c r="AS160" s="4" t="str">
        <f ca="1">IFERROR(__xludf.DUMMYFUNCTION("""COMPUTED_VALUE"""),"| 5 P NS % | 7 L CPT % | 8 L NS % | 9 P Python % ")</f>
        <v xml:space="preserve">| 5 P NS % | 7 L CPT % | 8 L NS % | 9 P Python % </v>
      </c>
      <c r="AT160" s="4" t="str">
        <f ca="1">IFERROR(__xludf.DUMMYFUNCTION("""COMPUTED_VALUE"""),"| 5 L PHP-CGM % | 6 L NS % | 7 P JAVA % | 9 P PRO @ ")</f>
        <v xml:space="preserve">| 5 L PHP-CGM % | 6 L NS % | 7 P JAVA % | 9 P PRO @ </v>
      </c>
      <c r="AU160" s="4" t="str">
        <f ca="1">IFERROR(__xludf.DUMMYFUNCTION("""COMPUTED_VALUE"""),"| 5 L JAVA % | 6 L CPT % | 7 P JAVA % | 9 L INE % ")</f>
        <v xml:space="preserve">| 5 L JAVA % | 6 L CPT % | 7 P JAVA % | 9 L INE % </v>
      </c>
      <c r="AV16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W160" s="4" t="str">
        <f ca="1">IFERROR(__xludf.DUMMYFUNCTION("""COMPUTED_VALUE"""),"| 5 P Python % | 7 L PHP-CGM % | 8 L JAVA % | 9 P PHP-CGM % ")</f>
        <v xml:space="preserve">| 5 P Python % | 7 L PHP-CGM % | 8 L JAVA % | 9 P PHP-CGM % </v>
      </c>
      <c r="AX160" s="4" t="str">
        <f ca="1">IFERROR(__xludf.DUMMYFUNCTION("""COMPUTED_VALUE"""),"| 5 P NS % | 7 L CPT % | 8 L NS % | 9 P Python % ")</f>
        <v xml:space="preserve">| 5 P NS % | 7 L CPT % | 8 L NS % | 9 P Python % </v>
      </c>
      <c r="AY160" s="4" t="str">
        <f ca="1">IFERROR(__xludf.DUMMYFUNCTION("""COMPUTED_VALUE"""),"| 5 L PHP-CGM % | 6 L NS % | 7 P JAVA % ")</f>
        <v xml:space="preserve">| 5 L PHP-CGM % | 6 L NS % | 7 P JAVA % </v>
      </c>
      <c r="AZ16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60" s="4" t="str">
        <f ca="1">IFERROR(__xludf.DUMMYFUNCTION("""COMPUTED_VALUE"""),"| 5 P Python % | 7 L PHP-CGM % | 8 L JAVA % ")</f>
        <v xml:space="preserve">| 5 P Python % | 7 L PHP-CGM % | 8 L JAVA % </v>
      </c>
      <c r="BB160" s="4" t="str">
        <f ca="1">IFERROR(__xludf.DUMMYFUNCTION("""COMPUTED_VALUE"""),"| 5 P NS % | 7 L CPT % | 8 L NS % | 9 P Python % ")</f>
        <v xml:space="preserve">| 5 P NS % | 7 L CPT % | 8 L NS % | 9 P Python % </v>
      </c>
      <c r="BC160" s="4" t="str">
        <f ca="1">IFERROR(__xludf.DUMMYFUNCTION("""COMPUTED_VALUE"""),"| 5 L PHP-CGM % | 6 L NS % | 7 P JAVA % | 9 P PRO % ")</f>
        <v xml:space="preserve">| 5 L PHP-CGM % | 6 L NS % | 7 P JAVA % | 9 P PRO % </v>
      </c>
      <c r="BD160" s="4" t="str">
        <f ca="1">IFERROR(__xludf.DUMMYFUNCTION("""COMPUTED_VALUE"""),"| 5 L JAVA % | 6 L CPT % | 7 P JAVA % | 9 L INE % ")</f>
        <v xml:space="preserve">| 5 L JAVA % | 6 L CPT % | 7 P JAVA % | 9 L INE % </v>
      </c>
      <c r="BE160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60" s="4" t="str">
        <f ca="1">IFERROR(__xludf.DUMMYFUNCTION("""COMPUTED_VALUE"""),"| 5 P Python % | 7 L PHP-CGM % | 8 L JAVA % | 9 P PHP-CGM @ ")</f>
        <v xml:space="preserve">| 5 P Python % | 7 L PHP-CGM % | 8 L JAVA % | 9 P PHP-CGM @ </v>
      </c>
      <c r="BG160" s="4" t="str">
        <f ca="1">IFERROR(__xludf.DUMMYFUNCTION("""COMPUTED_VALUE"""),"| 5 L PHP-CGM % | 6 L NS % | 7 P JAVA % | 9 P PRO % ")</f>
        <v xml:space="preserve">| 5 L PHP-CGM % | 6 L NS % | 7 P JAVA % | 9 P PRO % </v>
      </c>
      <c r="BH160" s="4" t="str">
        <f ca="1">IFERROR(__xludf.DUMMYFUNCTION("""COMPUTED_VALUE"""),"| 5 L JAVA % | 6 L CPT % | 7 P JAVA % | 9 L INE % ")</f>
        <v xml:space="preserve">| 5 L JAVA % | 6 L CPT % | 7 P JAVA % | 9 L INE % </v>
      </c>
      <c r="BI160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J160" s="4" t="str">
        <f ca="1">IFERROR(__xludf.DUMMYFUNCTION("""COMPUTED_VALUE"""),"| 5 P Python % | 7 L JAVA % | 7 L PHP-CGM % ")</f>
        <v xml:space="preserve">| 5 P Python % | 7 L JAVA % | 7 L PHP-CGM % </v>
      </c>
      <c r="BK160" s="4" t="str">
        <f ca="1">IFERROR(__xludf.DUMMYFUNCTION("""COMPUTED_VALUE"""),"| 7 L CPT @ | 8 L NS @ ")</f>
        <v xml:space="preserve">| 7 L CPT @ | 8 L NS @ </v>
      </c>
      <c r="BL160" s="4" t="str">
        <f ca="1">IFERROR(__xludf.DUMMYFUNCTION("""COMPUTED_VALUE"""),"| 5 L PHP-CGM @ | 6 L NS @ | 7 P JAVA @ | 9 P PRO @ ")</f>
        <v xml:space="preserve">| 5 L PHP-CGM @ | 6 L NS @ | 7 P JAVA @ | 9 P PRO @ </v>
      </c>
      <c r="BM160" s="4" t="str">
        <f ca="1">IFERROR(__xludf.DUMMYFUNCTION("""COMPUTED_VALUE"""),"| 5 L JAVA @ | 6 L CPT @ | 9 L INE @ ")</f>
        <v xml:space="preserve">| 5 L JAVA @ | 6 L CPT @ | 9 L INE @ </v>
      </c>
      <c r="BN160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60" s="4" t="str">
        <f ca="1">IFERROR(__xludf.DUMMYFUNCTION("""COMPUTED_VALUE"""),"| 5 P Python @ | 7 L PHP-CGM @ ")</f>
        <v xml:space="preserve">| 5 P Python @ | 7 L PHP-CGM @ </v>
      </c>
      <c r="BP160" s="4" t="str">
        <f ca="1">IFERROR(__xludf.DUMMYFUNCTION("""COMPUTED_VALUE"""),"| 5 P NS % | 7 L CPT % | 8 L NS % ")</f>
        <v xml:space="preserve">| 5 P NS % | 7 L CPT % | 8 L NS % </v>
      </c>
      <c r="BQ160" s="4" t="str">
        <f ca="1">IFERROR(__xludf.DUMMYFUNCTION("""COMPUTED_VALUE"""),"| 5 L JAVA % | 6 L CPT @ ")</f>
        <v xml:space="preserve">| 5 L JAVA % | 6 L CPT @ </v>
      </c>
      <c r="BR160" s="4" t="str">
        <f ca="1">IFERROR(__xludf.DUMMYFUNCTION("""COMPUTED_VALUE"""),"| 7 L JAVA @ ")</f>
        <v xml:space="preserve">| 7 L JAVA @ </v>
      </c>
      <c r="BS160" s="4"/>
      <c r="BT160" s="4" t="str">
        <f ca="1">IFERROR(__xludf.DUMMYFUNCTION("""COMPUTED_VALUE"""),"| 7 L CPT @ ")</f>
        <v xml:space="preserve">| 7 L CPT @ </v>
      </c>
      <c r="BU160" s="4" t="str">
        <f ca="1">IFERROR(__xludf.DUMMYFUNCTION("""COMPUTED_VALUE"""),"| 9 P PRO @ ")</f>
        <v xml:space="preserve">| 9 P PRO @ </v>
      </c>
      <c r="BV160" s="4" t="str">
        <f ca="1">IFERROR(__xludf.DUMMYFUNCTION("""COMPUTED_VALUE"""),"| 5 P NS % | 7 L CPT @ | 8 L NS @ | 9 P Python % ")</f>
        <v xml:space="preserve">| 5 P NS % | 7 L CPT @ | 8 L NS @ | 9 P Python % </v>
      </c>
      <c r="BW160" s="4"/>
      <c r="BX160" s="4" t="str">
        <f ca="1">IFERROR(__xludf.DUMMYFUNCTION("""COMPUTED_VALUE"""),"| 5 L JAVA % | 6 L CPT % | 7 P JAVA % ")</f>
        <v xml:space="preserve">| 5 L JAVA % | 6 L CPT % | 7 P JAVA % </v>
      </c>
      <c r="BY16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60" s="4" t="str">
        <f ca="1">IFERROR(__xludf.DUMMYFUNCTION("""COMPUTED_VALUE"""),"| 5 P Python % | 8 L JAVA % | 7 L PHP-CGM % | 9 P PHP-CGM @ ")</f>
        <v xml:space="preserve">| 5 P Python % | 8 L JAVA % | 7 L PHP-CGM % | 9 P PHP-CGM @ </v>
      </c>
      <c r="CA160" s="4" t="str">
        <f ca="1">IFERROR(__xludf.DUMMYFUNCTION("""COMPUTED_VALUE"""),"| 5 P NS % | 7 L CPT % | 8 L NS % | 9 P Python % ")</f>
        <v xml:space="preserve">| 5 P NS % | 7 L CPT % | 8 L NS % | 9 P Python % </v>
      </c>
      <c r="CB160" s="4" t="str">
        <f ca="1">IFERROR(__xludf.DUMMYFUNCTION("""COMPUTED_VALUE"""),"| 5 L PHP-CGM @ | 6 L NS @ | 7 P JAVA @ ")</f>
        <v xml:space="preserve">| 5 L PHP-CGM @ | 6 L NS @ | 7 P JAVA @ </v>
      </c>
      <c r="CC160" s="4" t="str">
        <f ca="1">IFERROR(__xludf.DUMMYFUNCTION("""COMPUTED_VALUE"""),"| 5 L JAVA @ | 7 P JAVA @ | 9 L INE @ ")</f>
        <v xml:space="preserve">| 5 L JAVA @ | 7 P JAVA @ | 9 L INE @ </v>
      </c>
      <c r="CD160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60" s="4" t="str">
        <f ca="1">IFERROR(__xludf.DUMMYFUNCTION("""COMPUTED_VALUE"""),"| 5 P Python % | 8 L JAVA @ | 7 L PHP-CGM @ ")</f>
        <v xml:space="preserve">| 5 P Python % | 8 L JAVA @ | 7 L PHP-CGM @ </v>
      </c>
      <c r="CF160" s="4" t="str">
        <f ca="1">IFERROR(__xludf.DUMMYFUNCTION("""COMPUTED_VALUE"""),"| 5 P NS % | 7 L CPT % | 8 L NS % | 9 P Python % ")</f>
        <v xml:space="preserve">| 5 P NS % | 7 L CPT % | 8 L NS % | 9 P Python % </v>
      </c>
      <c r="CG160" s="4" t="str">
        <f ca="1">IFERROR(__xludf.DUMMYFUNCTION("""COMPUTED_VALUE"""),"| 5 L PHP-CGM % | 6 L NS % | 7 P JAVA % ")</f>
        <v xml:space="preserve">| 5 L PHP-CGM % | 6 L NS % | 7 P JAVA % </v>
      </c>
      <c r="CH160" s="4" t="str">
        <f ca="1">IFERROR(__xludf.DUMMYFUNCTION("""COMPUTED_VALUE"""),"| 5 L JAVA % | 6 L CPT % | 7 P JAVA % | 9 L INE % ")</f>
        <v xml:space="preserve">| 5 L JAVA % | 6 L CPT % | 7 P JAVA % | 9 L INE % </v>
      </c>
      <c r="CI160" s="4" t="str">
        <f ca="1">IFERROR(__xludf.DUMMYFUNCTION("""COMPUTED_VALUE"""),"| 5 L PHP-CGM % | 7 L JAVA % | 8 L CPT % | 9 P CPT % ")</f>
        <v xml:space="preserve">| 5 L PHP-CGM % | 7 L JAVA % | 8 L CPT % | 9 P CPT % </v>
      </c>
      <c r="CJ160" s="4" t="str">
        <f ca="1">IFERROR(__xludf.DUMMYFUNCTION("""COMPUTED_VALUE"""),"| 5 P Python % ")</f>
        <v xml:space="preserve">| 5 P Python % </v>
      </c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</row>
    <row r="161" spans="1:102" ht="12.5" x14ac:dyDescent="0.25">
      <c r="A161" s="3">
        <f ca="1">IFERROR(__xludf.DUMMYFUNCTION("""COMPUTED_VALUE"""),4)</f>
        <v>4</v>
      </c>
      <c r="B161" s="3" t="str">
        <f ca="1">IFERROR(__xludf.DUMMYFUNCTION("""COMPUTED_VALUE"""),"B")</f>
        <v>B</v>
      </c>
      <c r="C161" s="32" t="str">
        <f ca="1">IFERROR(__xludf.DUMMYFUNCTION("""COMPUTED_VALUE"""),"23291341186")</f>
        <v>23291341186</v>
      </c>
      <c r="D161" s="4" t="str">
        <f ca="1">IFERROR(__xludf.DUMMYFUNCTION("""COMPUTED_VALUE"""),"PATEL KARMKUMAR DASHRATHBHAI")</f>
        <v>PATEL KARMKUMAR DASHRATHBHAI</v>
      </c>
      <c r="E161" s="3" t="str">
        <f ca="1">IFERROR(__xludf.DUMMYFUNCTION("""COMPUTED_VALUE"""),"HAM/HDP-EVE")</f>
        <v>HAM/HDP-EVE</v>
      </c>
      <c r="F161" s="3">
        <f ca="1">IFERROR(__xludf.DUMMYFUNCTION("""COMPUTED_VALUE"""),9316275418)</f>
        <v>9316275418</v>
      </c>
      <c r="G161" s="3">
        <f ca="1">IFERROR(__xludf.DUMMYFUNCTION("""COMPUTED_VALUE"""),9879586631)</f>
        <v>9879586631</v>
      </c>
      <c r="H161" s="33">
        <f ca="1">IFERROR(__xludf.DUMMYFUNCTION("""COMPUTED_VALUE"""),0.678260869565217)</f>
        <v>0.67826086956521703</v>
      </c>
      <c r="I161" s="25">
        <f ca="1">IFERROR(__xludf.DUMMYFUNCTION("""COMPUTED_VALUE"""),0.702702702702702)</f>
        <v>0.70270270270270196</v>
      </c>
      <c r="J161" s="25">
        <f ca="1">IFERROR(__xludf.DUMMYFUNCTION("""COMPUTED_VALUE"""),0.416666666666666)</f>
        <v>0.41666666666666602</v>
      </c>
      <c r="K161" s="25">
        <f ca="1">IFERROR(__xludf.DUMMYFUNCTION("""COMPUTED_VALUE"""),0.764705882352941)</f>
        <v>0.76470588235294101</v>
      </c>
      <c r="L161" s="25">
        <f ca="1">IFERROR(__xludf.DUMMYFUNCTION("""COMPUTED_VALUE"""),1)</f>
        <v>1</v>
      </c>
      <c r="M161" s="25">
        <f ca="1">IFERROR(__xludf.DUMMYFUNCTION("""COMPUTED_VALUE"""),0.714285714285714)</f>
        <v>0.71428571428571397</v>
      </c>
      <c r="N161" s="25">
        <f ca="1">IFERROR(__xludf.DUMMYFUNCTION("""COMPUTED_VALUE"""),0.285714285714285)</f>
        <v>0.28571428571428498</v>
      </c>
      <c r="O161" s="25">
        <f ca="1">IFERROR(__xludf.DUMMYFUNCTION("""COMPUTED_VALUE"""),0.628571428571428)</f>
        <v>0.628571428571428</v>
      </c>
      <c r="P161" s="25">
        <f ca="1">IFERROR(__xludf.DUMMYFUNCTION("""COMPUTED_VALUE"""),0.857142857142857)</f>
        <v>0.85714285714285698</v>
      </c>
      <c r="Q161" s="25">
        <f ca="1">IFERROR(__xludf.DUMMYFUNCTION("""COMPUTED_VALUE"""),0)</f>
        <v>0</v>
      </c>
      <c r="R161" s="25">
        <f ca="1">IFERROR(__xludf.DUMMYFUNCTION("""COMPUTED_VALUE"""),0.727272727272727)</f>
        <v>0.72727272727272696</v>
      </c>
      <c r="S161" s="25">
        <f ca="1">IFERROR(__xludf.DUMMYFUNCTION("""COMPUTED_VALUE"""),0)</f>
        <v>0</v>
      </c>
      <c r="T161" s="25">
        <f ca="1">IFERROR(__xludf.DUMMYFUNCTION("""COMPUTED_VALUE"""),0.333333333333333)</f>
        <v>0.33333333333333298</v>
      </c>
      <c r="U161" s="25">
        <f ca="1">IFERROR(__xludf.DUMMYFUNCTION("""COMPUTED_VALUE"""),0.375)</f>
        <v>0.375</v>
      </c>
      <c r="V161" s="25">
        <f ca="1">IFERROR(__xludf.DUMMYFUNCTION("""COMPUTED_VALUE"""),0)</f>
        <v>0</v>
      </c>
      <c r="W161" s="4"/>
      <c r="X161" s="4" t="str">
        <f ca="1">IFERROR(__xludf.DUMMYFUNCTION("""COMPUTED_VALUE"""),"| 7 L CPT @ | 8 L NS @ | 9 P Python @ ")</f>
        <v xml:space="preserve">| 7 L CPT @ | 8 L NS @ | 9 P Python @ </v>
      </c>
      <c r="Y161" s="4" t="str">
        <f ca="1">IFERROR(__xludf.DUMMYFUNCTION("""COMPUTED_VALUE"""),"| 5 L PHP-CGM % | 6 L NS % | 7 P JAVA % | 9 P PRO @ ")</f>
        <v xml:space="preserve">| 5 L PHP-CGM % | 6 L NS % | 7 P JAVA % | 9 P PRO @ </v>
      </c>
      <c r="Z161" s="4" t="str">
        <f ca="1">IFERROR(__xludf.DUMMYFUNCTION("""COMPUTED_VALUE"""),"| 5 L JAVA % | 6 L CPT % | 7 P JAVA % ")</f>
        <v xml:space="preserve">| 5 L JAVA % | 6 L CPT % | 7 P JAVA % </v>
      </c>
      <c r="AA161" s="4" t="str">
        <f ca="1">IFERROR(__xludf.DUMMYFUNCTION("""COMPUTED_VALUE"""),"| 5 L PHP-CGM % | 7 L JAVA % | 9 P CPT @ | 8 L CPT % ")</f>
        <v xml:space="preserve">| 5 L PHP-CGM % | 7 L JAVA % | 9 P CPT @ | 8 L CPT % </v>
      </c>
      <c r="AB161" s="4" t="str">
        <f ca="1">IFERROR(__xludf.DUMMYFUNCTION("""COMPUTED_VALUE"""),"| 5 P Python % | 7 L PHP-CGM % | 8 L JAVA % | 9 P PHP-CGM @ ")</f>
        <v xml:space="preserve">| 5 P Python % | 7 L PHP-CGM % | 8 L JAVA % | 9 P PHP-CGM @ </v>
      </c>
      <c r="AC161" s="4" t="str">
        <f ca="1">IFERROR(__xludf.DUMMYFUNCTION("""COMPUTED_VALUE"""),"| 5 P NS % | 7 L CPT % | 8 L NS % | 9 P Python @ ")</f>
        <v xml:space="preserve">| 5 P NS % | 7 L CPT % | 8 L NS % | 9 P Python @ </v>
      </c>
      <c r="AD161" s="4" t="str">
        <f ca="1">IFERROR(__xludf.DUMMYFUNCTION("""COMPUTED_VALUE"""),"| 5 L PHP-CGM % | 6 L NS % | 7 P JAVA % | 9 P PRO @ ")</f>
        <v xml:space="preserve">| 5 L PHP-CGM % | 6 L NS % | 7 P JAVA % | 9 P PRO @ </v>
      </c>
      <c r="AE161" s="4" t="str">
        <f ca="1">IFERROR(__xludf.DUMMYFUNCTION("""COMPUTED_VALUE"""),"| 5 L JAVA % | 6 L CPT % | 7 P JAVA % ")</f>
        <v xml:space="preserve">| 5 L JAVA % | 6 L CPT % | 7 P JAVA % </v>
      </c>
      <c r="AF16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61" s="4" t="str">
        <f ca="1">IFERROR(__xludf.DUMMYFUNCTION("""COMPUTED_VALUE"""),"| 5 P Python % | 8 L JAVA % | 7 L PHP-CGM % | 9 P PHP-CGM % ")</f>
        <v xml:space="preserve">| 5 P Python % | 8 L JAVA % | 7 L PHP-CGM % | 9 P PHP-CGM % </v>
      </c>
      <c r="AH161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I161" s="4" t="str">
        <f ca="1">IFERROR(__xludf.DUMMYFUNCTION("""COMPUTED_VALUE"""),"| 5 P Python % | 8 L JAVA % | 7 L PHP-CGM % | 9 P PHP-CGM @ ")</f>
        <v xml:space="preserve">| 5 P Python % | 8 L JAVA % | 7 L PHP-CGM % | 9 P PHP-CGM @ </v>
      </c>
      <c r="AJ161" s="4" t="str">
        <f ca="1">IFERROR(__xludf.DUMMYFUNCTION("""COMPUTED_VALUE"""),"| 5 P NS % | 7 L CPT % | 8 L NS % | 9 P Python % ")</f>
        <v xml:space="preserve">| 5 P NS % | 7 L CPT % | 8 L NS % | 9 P Python % </v>
      </c>
      <c r="AK161" s="4" t="str">
        <f ca="1">IFERROR(__xludf.DUMMYFUNCTION("""COMPUTED_VALUE"""),"| 5 L PHP-CGM % | 6 L NS % | 7 P JAVA % | 9 P PRO % ")</f>
        <v xml:space="preserve">| 5 L PHP-CGM % | 6 L NS % | 7 P JAVA % | 9 P PRO % </v>
      </c>
      <c r="AL161" s="4" t="str">
        <f ca="1">IFERROR(__xludf.DUMMYFUNCTION("""COMPUTED_VALUE"""),"| 5 L JAVA % | 6 L CPT % | 7 P JAVA % | 9 L INE @ ")</f>
        <v xml:space="preserve">| 5 L JAVA % | 6 L CPT % | 7 P JAVA % | 9 L INE @ </v>
      </c>
      <c r="AM16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61" s="4" t="str">
        <f ca="1">IFERROR(__xludf.DUMMYFUNCTION("""COMPUTED_VALUE"""),"| 5 P Python % | 8 L JAVA @ | 7 L PHP-CGM @ | 9 P PHP-CGM @ ")</f>
        <v xml:space="preserve">| 5 P Python % | 8 L JAVA @ | 7 L PHP-CGM @ | 9 P PHP-CGM @ </v>
      </c>
      <c r="AO161" s="4" t="str">
        <f ca="1">IFERROR(__xludf.DUMMYFUNCTION("""COMPUTED_VALUE"""),"| 5 P NS % | 7 L CPT % | 8 L NS % | 9 P Python % ")</f>
        <v xml:space="preserve">| 5 P NS % | 7 L CPT % | 8 L NS % | 9 P Python % </v>
      </c>
      <c r="AP161" s="4" t="str">
        <f ca="1">IFERROR(__xludf.DUMMYFUNCTION("""COMPUTED_VALUE"""),"| 5 L PHP-CGM % | 6 L NS % | 7 P JAVA % | 9 P PRO @ ")</f>
        <v xml:space="preserve">| 5 L PHP-CGM % | 6 L NS % | 7 P JAVA % | 9 P PRO @ </v>
      </c>
      <c r="AQ161" s="4" t="str">
        <f ca="1">IFERROR(__xludf.DUMMYFUNCTION("""COMPUTED_VALUE"""),"| 5 L CPT % | 7 L JAVA % | 7 P JAVA @ | 9 L INE @ ")</f>
        <v xml:space="preserve">| 5 L CPT % | 7 L JAVA % | 7 P JAVA @ | 9 L INE @ </v>
      </c>
      <c r="AR161" s="4" t="str">
        <f ca="1">IFERROR(__xludf.DUMMYFUNCTION("""COMPUTED_VALUE"""),"| 5 L PHP-CGM @ | 6 L NS @ | 8 L CPT @ ")</f>
        <v xml:space="preserve">| 5 L PHP-CGM @ | 6 L NS @ | 8 L CPT @ </v>
      </c>
      <c r="AS161" s="4" t="str">
        <f ca="1">IFERROR(__xludf.DUMMYFUNCTION("""COMPUTED_VALUE"""),"| 5 P NS % | 7 L CPT % | 8 L NS % | 9 P Python % ")</f>
        <v xml:space="preserve">| 5 P NS % | 7 L CPT % | 8 L NS % | 9 P Python % </v>
      </c>
      <c r="AT161" s="4" t="str">
        <f ca="1">IFERROR(__xludf.DUMMYFUNCTION("""COMPUTED_VALUE"""),"| 5 L PHP-CGM % | 6 L NS % | 7 P JAVA % | 9 P PRO @ ")</f>
        <v xml:space="preserve">| 5 L PHP-CGM % | 6 L NS % | 7 P JAVA % | 9 P PRO @ </v>
      </c>
      <c r="AU161" s="4" t="str">
        <f ca="1">IFERROR(__xludf.DUMMYFUNCTION("""COMPUTED_VALUE"""),"| 5 L JAVA % | 6 L CPT % | 7 P JAVA % | 9 L INE % ")</f>
        <v xml:space="preserve">| 5 L JAVA % | 6 L CPT % | 7 P JAVA % | 9 L INE % </v>
      </c>
      <c r="AV161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61" s="4" t="str">
        <f ca="1">IFERROR(__xludf.DUMMYFUNCTION("""COMPUTED_VALUE"""),"| 5 P Python @ | 7 L PHP-CGM @ | 8 L JAVA @ | 9 P PHP-CGM @ ")</f>
        <v xml:space="preserve">| 5 P Python @ | 7 L PHP-CGM @ | 8 L JAVA @ | 9 P PHP-CGM @ </v>
      </c>
      <c r="AX161" s="4" t="str">
        <f ca="1">IFERROR(__xludf.DUMMYFUNCTION("""COMPUTED_VALUE"""),"| 5 P NS % | 7 L CPT % | 8 L NS % | 9 P Python % ")</f>
        <v xml:space="preserve">| 5 P NS % | 7 L CPT % | 8 L NS % | 9 P Python % </v>
      </c>
      <c r="AY161" s="4" t="str">
        <f ca="1">IFERROR(__xludf.DUMMYFUNCTION("""COMPUTED_VALUE"""),"| 5 L PHP-CGM % | 6 L NS % | 7 P JAVA % ")</f>
        <v xml:space="preserve">| 5 L PHP-CGM % | 6 L NS % | 7 P JAVA % </v>
      </c>
      <c r="AZ16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61" s="4" t="str">
        <f ca="1">IFERROR(__xludf.DUMMYFUNCTION("""COMPUTED_VALUE"""),"| 5 P Python % | 7 L PHP-CGM % | 8 L JAVA % ")</f>
        <v xml:space="preserve">| 5 P Python % | 7 L PHP-CGM % | 8 L JAVA % </v>
      </c>
      <c r="BB161" s="4" t="str">
        <f ca="1">IFERROR(__xludf.DUMMYFUNCTION("""COMPUTED_VALUE"""),"| 5 P NS % | 7 L CPT % | 8 L NS % | 9 P Python % ")</f>
        <v xml:space="preserve">| 5 P NS % | 7 L CPT % | 8 L NS % | 9 P Python % </v>
      </c>
      <c r="BC161" s="4" t="str">
        <f ca="1">IFERROR(__xludf.DUMMYFUNCTION("""COMPUTED_VALUE"""),"| 5 L PHP-CGM % | 6 L NS % | 7 P JAVA % | 9 P PRO % ")</f>
        <v xml:space="preserve">| 5 L PHP-CGM % | 6 L NS % | 7 P JAVA % | 9 P PRO % </v>
      </c>
      <c r="BD161" s="4" t="str">
        <f ca="1">IFERROR(__xludf.DUMMYFUNCTION("""COMPUTED_VALUE"""),"| 5 L JAVA % | 6 L CPT % | 7 P JAVA % | 9 L INE @ ")</f>
        <v xml:space="preserve">| 5 L JAVA % | 6 L CPT % | 7 P JAVA % | 9 L INE @ </v>
      </c>
      <c r="BE161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61" s="4" t="str">
        <f ca="1">IFERROR(__xludf.DUMMYFUNCTION("""COMPUTED_VALUE"""),"| 5 P Python % | 7 L PHP-CGM @ | 8 L JAVA @ | 9 P PHP-CGM @ ")</f>
        <v xml:space="preserve">| 5 P Python % | 7 L PHP-CGM @ | 8 L JAVA @ | 9 P PHP-CGM @ </v>
      </c>
      <c r="BG161" s="4" t="str">
        <f ca="1">IFERROR(__xludf.DUMMYFUNCTION("""COMPUTED_VALUE"""),"| 5 L PHP-CGM % | 6 L NS % | 7 P JAVA % | 9 P PRO % ")</f>
        <v xml:space="preserve">| 5 L PHP-CGM % | 6 L NS % | 7 P JAVA % | 9 P PRO % </v>
      </c>
      <c r="BH161" s="4" t="str">
        <f ca="1">IFERROR(__xludf.DUMMYFUNCTION("""COMPUTED_VALUE"""),"| 5 L JAVA % | 6 L CPT % | 7 P JAVA % | 9 L INE % ")</f>
        <v xml:space="preserve">| 5 L JAVA % | 6 L CPT % | 7 P JAVA % | 9 L INE % </v>
      </c>
      <c r="BI161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BJ161" s="4" t="str">
        <f ca="1">IFERROR(__xludf.DUMMYFUNCTION("""COMPUTED_VALUE"""),"| 5 P Python @ | 7 L JAVA @ | 7 L PHP-CGM @ ")</f>
        <v xml:space="preserve">| 5 P Python @ | 7 L JAVA @ | 7 L PHP-CGM @ </v>
      </c>
      <c r="BK161" s="4" t="str">
        <f ca="1">IFERROR(__xludf.DUMMYFUNCTION("""COMPUTED_VALUE"""),"| 7 L CPT @ | 8 L NS @ ")</f>
        <v xml:space="preserve">| 7 L CPT @ | 8 L NS @ </v>
      </c>
      <c r="BL161" s="4" t="str">
        <f ca="1">IFERROR(__xludf.DUMMYFUNCTION("""COMPUTED_VALUE"""),"| 5 L PHP-CGM @ | 6 L NS @ | 7 P JAVA @ | 9 P PRO @ ")</f>
        <v xml:space="preserve">| 5 L PHP-CGM @ | 6 L NS @ | 7 P JAVA @ | 9 P PRO @ </v>
      </c>
      <c r="BM161" s="4" t="str">
        <f ca="1">IFERROR(__xludf.DUMMYFUNCTION("""COMPUTED_VALUE"""),"| 5 L JAVA @ | 6 L CPT @ | 9 L INE @ ")</f>
        <v xml:space="preserve">| 5 L JAVA @ | 6 L CPT @ | 9 L INE @ </v>
      </c>
      <c r="BN161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61" s="4" t="str">
        <f ca="1">IFERROR(__xludf.DUMMYFUNCTION("""COMPUTED_VALUE"""),"| 5 P Python @ | 7 L PHP-CGM @ ")</f>
        <v xml:space="preserve">| 5 P Python @ | 7 L PHP-CGM @ </v>
      </c>
      <c r="BP161" s="4" t="str">
        <f ca="1">IFERROR(__xludf.DUMMYFUNCTION("""COMPUTED_VALUE"""),"| 5 P NS % | 7 L CPT % | 8 L NS % ")</f>
        <v xml:space="preserve">| 5 P NS % | 7 L CPT % | 8 L NS % </v>
      </c>
      <c r="BQ161" s="4" t="str">
        <f ca="1">IFERROR(__xludf.DUMMYFUNCTION("""COMPUTED_VALUE"""),"| 5 L JAVA @ | 6 L CPT @ ")</f>
        <v xml:space="preserve">| 5 L JAVA @ | 6 L CPT @ </v>
      </c>
      <c r="BR161" s="4" t="str">
        <f ca="1">IFERROR(__xludf.DUMMYFUNCTION("""COMPUTED_VALUE"""),"| 7 L JAVA @ ")</f>
        <v xml:space="preserve">| 7 L JAVA @ </v>
      </c>
      <c r="BS161" s="4"/>
      <c r="BT161" s="4" t="str">
        <f ca="1">IFERROR(__xludf.DUMMYFUNCTION("""COMPUTED_VALUE"""),"| 7 L CPT @ ")</f>
        <v xml:space="preserve">| 7 L CPT @ </v>
      </c>
      <c r="BU161" s="4" t="str">
        <f ca="1">IFERROR(__xludf.DUMMYFUNCTION("""COMPUTED_VALUE"""),"| 9 P PRO @ ")</f>
        <v xml:space="preserve">| 9 P PRO @ </v>
      </c>
      <c r="BV161" s="4" t="str">
        <f ca="1">IFERROR(__xludf.DUMMYFUNCTION("""COMPUTED_VALUE"""),"| 5 P NS % | 7 L CPT % | 8 L NS % | 9 P Python % ")</f>
        <v xml:space="preserve">| 5 P NS % | 7 L CPT % | 8 L NS % | 9 P Python % </v>
      </c>
      <c r="BW161" s="4"/>
      <c r="BX161" s="4" t="str">
        <f ca="1">IFERROR(__xludf.DUMMYFUNCTION("""COMPUTED_VALUE"""),"| 5 L JAVA % | 6 L CPT % | 7 P JAVA % ")</f>
        <v xml:space="preserve">| 5 L JAVA % | 6 L CPT % | 7 P JAVA % </v>
      </c>
      <c r="BY161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BZ161" s="4" t="str">
        <f ca="1">IFERROR(__xludf.DUMMYFUNCTION("""COMPUTED_VALUE"""),"| 5 P Python % | 8 L JAVA % | 7 L PHP-CGM % | 9 P PHP-CGM % ")</f>
        <v xml:space="preserve">| 5 P Python % | 8 L JAVA % | 7 L PHP-CGM % | 9 P PHP-CGM % </v>
      </c>
      <c r="CA161" s="4" t="str">
        <f ca="1">IFERROR(__xludf.DUMMYFUNCTION("""COMPUTED_VALUE"""),"| 5 P NS % | 7 L CPT % | 8 L NS % | 9 P Python @ ")</f>
        <v xml:space="preserve">| 5 P NS % | 7 L CPT % | 8 L NS % | 9 P Python @ </v>
      </c>
      <c r="CB161" s="4" t="str">
        <f ca="1">IFERROR(__xludf.DUMMYFUNCTION("""COMPUTED_VALUE"""),"| 5 L PHP-CGM @ | 6 L NS @ | 7 P JAVA @ ")</f>
        <v xml:space="preserve">| 5 L PHP-CGM @ | 6 L NS @ | 7 P JAVA @ </v>
      </c>
      <c r="CC161" s="4" t="str">
        <f ca="1">IFERROR(__xludf.DUMMYFUNCTION("""COMPUTED_VALUE"""),"| 5 L JAVA @ | 7 P JAVA % | 9 L INE % ")</f>
        <v xml:space="preserve">| 5 L JAVA @ | 7 P JAVA % | 9 L INE % </v>
      </c>
      <c r="CD161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CE161" s="4" t="str">
        <f ca="1">IFERROR(__xludf.DUMMYFUNCTION("""COMPUTED_VALUE"""),"| 5 P Python % | 8 L JAVA @ | 7 L PHP-CGM @ ")</f>
        <v xml:space="preserve">| 5 P Python % | 8 L JAVA @ | 7 L PHP-CGM @ </v>
      </c>
      <c r="CF161" s="4" t="str">
        <f ca="1">IFERROR(__xludf.DUMMYFUNCTION("""COMPUTED_VALUE"""),"| 5 P NS % | 7 L CPT @ | 8 L NS @ | 9 P Python % ")</f>
        <v xml:space="preserve">| 5 P NS % | 7 L CPT @ | 8 L NS @ | 9 P Python % </v>
      </c>
      <c r="CG161" s="4" t="str">
        <f ca="1">IFERROR(__xludf.DUMMYFUNCTION("""COMPUTED_VALUE"""),"| 5 L PHP-CGM % | 6 L NS @ | 7 P JAVA % ")</f>
        <v xml:space="preserve">| 5 L PHP-CGM % | 6 L NS @ | 7 P JAVA % </v>
      </c>
      <c r="CH161" s="4" t="str">
        <f ca="1">IFERROR(__xludf.DUMMYFUNCTION("""COMPUTED_VALUE"""),"| 5 L JAVA @ | 6 L CPT @ | 7 P JAVA % | 9 L INE @ ")</f>
        <v xml:space="preserve">| 5 L JAVA @ | 6 L CPT @ | 7 P JAVA % | 9 L INE @ </v>
      </c>
      <c r="CI161" s="4" t="str">
        <f ca="1">IFERROR(__xludf.DUMMYFUNCTION("""COMPUTED_VALUE"""),"| 5 L PHP-CGM % | 7 L JAVA % | 8 L CPT % | 9 P CPT % ")</f>
        <v xml:space="preserve">| 5 L PHP-CGM % | 7 L JAVA % | 8 L CPT % | 9 P CPT % </v>
      </c>
      <c r="CJ161" s="4" t="str">
        <f ca="1">IFERROR(__xludf.DUMMYFUNCTION("""COMPUTED_VALUE"""),"| 5 P Python % ")</f>
        <v xml:space="preserve">| 5 P Python % </v>
      </c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</row>
    <row r="162" spans="1:102" ht="12.5" x14ac:dyDescent="0.25">
      <c r="A162" s="3">
        <f ca="1">IFERROR(__xludf.DUMMYFUNCTION("""COMPUTED_VALUE"""),4)</f>
        <v>4</v>
      </c>
      <c r="B162" s="3" t="str">
        <f ca="1">IFERROR(__xludf.DUMMYFUNCTION("""COMPUTED_VALUE"""),"B")</f>
        <v>B</v>
      </c>
      <c r="C162" s="32" t="str">
        <f ca="1">IFERROR(__xludf.DUMMYFUNCTION("""COMPUTED_VALUE"""),"23291341188")</f>
        <v>23291341188</v>
      </c>
      <c r="D162" s="4" t="str">
        <f ca="1">IFERROR(__xludf.DUMMYFUNCTION("""COMPUTED_VALUE"""),"PATEL PRIYA KAMLESHKUMAR")</f>
        <v>PATEL PRIYA KAMLESHKUMAR</v>
      </c>
      <c r="E162" s="3" t="str">
        <f ca="1">IFERROR(__xludf.DUMMYFUNCTION("""COMPUTED_VALUE"""),"HAM/HDP-EVE")</f>
        <v>HAM/HDP-EVE</v>
      </c>
      <c r="F162" s="3">
        <f ca="1">IFERROR(__xludf.DUMMYFUNCTION("""COMPUTED_VALUE"""),9979413171)</f>
        <v>9979413171</v>
      </c>
      <c r="G162" s="3" t="str">
        <f ca="1">IFERROR(__xludf.DUMMYFUNCTION("""COMPUTED_VALUE"""),"--")</f>
        <v>--</v>
      </c>
      <c r="H162" s="33">
        <f ca="1">IFERROR(__xludf.DUMMYFUNCTION("""COMPUTED_VALUE"""),0.78695652173913)</f>
        <v>0.78695652173913</v>
      </c>
      <c r="I162" s="25">
        <f ca="1">IFERROR(__xludf.DUMMYFUNCTION("""COMPUTED_VALUE"""),0.729729729729729)</f>
        <v>0.72972972972972905</v>
      </c>
      <c r="J162" s="25">
        <f ca="1">IFERROR(__xludf.DUMMYFUNCTION("""COMPUTED_VALUE"""),0.75)</f>
        <v>0.75</v>
      </c>
      <c r="K162" s="25">
        <f ca="1">IFERROR(__xludf.DUMMYFUNCTION("""COMPUTED_VALUE"""),0.764705882352941)</f>
        <v>0.76470588235294101</v>
      </c>
      <c r="L162" s="25">
        <f ca="1">IFERROR(__xludf.DUMMYFUNCTION("""COMPUTED_VALUE"""),1)</f>
        <v>1</v>
      </c>
      <c r="M162" s="25">
        <f ca="1">IFERROR(__xludf.DUMMYFUNCTION("""COMPUTED_VALUE"""),0.8)</f>
        <v>0.8</v>
      </c>
      <c r="N162" s="25">
        <f ca="1">IFERROR(__xludf.DUMMYFUNCTION("""COMPUTED_VALUE"""),0.857142857142857)</f>
        <v>0.85714285714285698</v>
      </c>
      <c r="O162" s="25">
        <f ca="1">IFERROR(__xludf.DUMMYFUNCTION("""COMPUTED_VALUE"""),0.771428571428571)</f>
        <v>0.77142857142857102</v>
      </c>
      <c r="P162" s="25">
        <f ca="1">IFERROR(__xludf.DUMMYFUNCTION("""COMPUTED_VALUE"""),0.809523809523809)</f>
        <v>0.80952380952380898</v>
      </c>
      <c r="Q162" s="25">
        <f ca="1">IFERROR(__xludf.DUMMYFUNCTION("""COMPUTED_VALUE"""),0)</f>
        <v>0</v>
      </c>
      <c r="R162" s="25">
        <f ca="1">IFERROR(__xludf.DUMMYFUNCTION("""COMPUTED_VALUE"""),0.909090909090909)</f>
        <v>0.90909090909090895</v>
      </c>
      <c r="S162" s="25">
        <f ca="1">IFERROR(__xludf.DUMMYFUNCTION("""COMPUTED_VALUE"""),0)</f>
        <v>0</v>
      </c>
      <c r="T162" s="25">
        <f ca="1">IFERROR(__xludf.DUMMYFUNCTION("""COMPUTED_VALUE"""),0.555555555555555)</f>
        <v>0.55555555555555503</v>
      </c>
      <c r="U162" s="25">
        <f ca="1">IFERROR(__xludf.DUMMYFUNCTION("""COMPUTED_VALUE"""),0.75)</f>
        <v>0.75</v>
      </c>
      <c r="V162" s="25">
        <f ca="1">IFERROR(__xludf.DUMMYFUNCTION("""COMPUTED_VALUE"""),0)</f>
        <v>0</v>
      </c>
      <c r="W162" s="4"/>
      <c r="X162" s="4" t="str">
        <f ca="1">IFERROR(__xludf.DUMMYFUNCTION("""COMPUTED_VALUE"""),"| 7 L CPT @ | 8 L NS @ | 9 P Python @ ")</f>
        <v xml:space="preserve">| 7 L CPT @ | 8 L NS @ | 9 P Python @ </v>
      </c>
      <c r="Y162" s="4" t="str">
        <f ca="1">IFERROR(__xludf.DUMMYFUNCTION("""COMPUTED_VALUE"""),"| 5 L PHP-CGM % | 6 L NS % | 7 P JAVA % | 9 P PRO % ")</f>
        <v xml:space="preserve">| 5 L PHP-CGM % | 6 L NS % | 7 P JAVA % | 9 P PRO % </v>
      </c>
      <c r="Z162" s="4" t="str">
        <f ca="1">IFERROR(__xludf.DUMMYFUNCTION("""COMPUTED_VALUE"""),"| 5 L JAVA % | 6 L CPT % | 7 P JAVA % ")</f>
        <v xml:space="preserve">| 5 L JAVA % | 6 L CPT % | 7 P JAVA % </v>
      </c>
      <c r="AA162" s="4" t="str">
        <f ca="1">IFERROR(__xludf.DUMMYFUNCTION("""COMPUTED_VALUE"""),"| 5 L PHP-CGM % | 7 L JAVA % | 9 P CPT % | 8 L CPT % ")</f>
        <v xml:space="preserve">| 5 L PHP-CGM % | 7 L JAVA % | 9 P CPT % | 8 L CPT % </v>
      </c>
      <c r="AB162" s="4" t="str">
        <f ca="1">IFERROR(__xludf.DUMMYFUNCTION("""COMPUTED_VALUE"""),"| 5 P Python % | 7 L PHP-CGM % | 8 L JAVA % | 9 P PHP-CGM % ")</f>
        <v xml:space="preserve">| 5 P Python % | 7 L PHP-CGM % | 8 L JAVA % | 9 P PHP-CGM % </v>
      </c>
      <c r="AC162" s="4" t="str">
        <f ca="1">IFERROR(__xludf.DUMMYFUNCTION("""COMPUTED_VALUE"""),"| 5 P NS % | 7 L CPT % | 8 L NS % | 9 P Python % ")</f>
        <v xml:space="preserve">| 5 P NS % | 7 L CPT % | 8 L NS % | 9 P Python % </v>
      </c>
      <c r="AD162" s="4" t="str">
        <f ca="1">IFERROR(__xludf.DUMMYFUNCTION("""COMPUTED_VALUE"""),"| 5 L PHP-CGM @ | 6 L NS @ | 7 P JAVA @ | 9 P PRO @ ")</f>
        <v xml:space="preserve">| 5 L PHP-CGM @ | 6 L NS @ | 7 P JAVA @ | 9 P PRO @ </v>
      </c>
      <c r="AE162" s="4" t="str">
        <f ca="1">IFERROR(__xludf.DUMMYFUNCTION("""COMPUTED_VALUE"""),"| 5 L JAVA % | 6 L CPT % | 7 P JAVA % ")</f>
        <v xml:space="preserve">| 5 L JAVA % | 6 L CPT % | 7 P JAVA % </v>
      </c>
      <c r="AF16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62" s="4" t="str">
        <f ca="1">IFERROR(__xludf.DUMMYFUNCTION("""COMPUTED_VALUE"""),"| 5 P Python % | 8 L JAVA @ | 7 L PHP-CGM @ | 9 P PHP-CGM @ ")</f>
        <v xml:space="preserve">| 5 P Python % | 8 L JAVA @ | 7 L PHP-CGM @ | 9 P PHP-CGM @ </v>
      </c>
      <c r="AH16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62" s="4" t="str">
        <f ca="1">IFERROR(__xludf.DUMMYFUNCTION("""COMPUTED_VALUE"""),"| 5 P Python % | 8 L JAVA % | 7 L PHP-CGM % | 9 P PHP-CGM % ")</f>
        <v xml:space="preserve">| 5 P Python % | 8 L JAVA % | 7 L PHP-CGM % | 9 P PHP-CGM % </v>
      </c>
      <c r="AJ162" s="4" t="str">
        <f ca="1">IFERROR(__xludf.DUMMYFUNCTION("""COMPUTED_VALUE"""),"| 5 P NS % | 7 L CPT % | 8 L NS % | 9 P Python % ")</f>
        <v xml:space="preserve">| 5 P NS % | 7 L CPT % | 8 L NS % | 9 P Python % </v>
      </c>
      <c r="AK162" s="4" t="str">
        <f ca="1">IFERROR(__xludf.DUMMYFUNCTION("""COMPUTED_VALUE"""),"| 5 L PHP-CGM % | 6 L NS % | 7 P JAVA % | 9 P PRO % ")</f>
        <v xml:space="preserve">| 5 L PHP-CGM % | 6 L NS % | 7 P JAVA % | 9 P PRO % </v>
      </c>
      <c r="AL162" s="4" t="str">
        <f ca="1">IFERROR(__xludf.DUMMYFUNCTION("""COMPUTED_VALUE"""),"| 5 L JAVA @ | 6 L CPT @ | 7 P JAVA % | 9 L INE % ")</f>
        <v xml:space="preserve">| 5 L JAVA @ | 6 L CPT @ | 7 P JAVA % | 9 L INE % </v>
      </c>
      <c r="AM162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AN162" s="4" t="str">
        <f ca="1">IFERROR(__xludf.DUMMYFUNCTION("""COMPUTED_VALUE"""),"| 5 P Python % | 8 L JAVA % | 7 L PHP-CGM % | 9 P PHP-CGM % ")</f>
        <v xml:space="preserve">| 5 P Python % | 8 L JAVA % | 7 L PHP-CGM % | 9 P PHP-CGM % </v>
      </c>
      <c r="AO162" s="4" t="str">
        <f ca="1">IFERROR(__xludf.DUMMYFUNCTION("""COMPUTED_VALUE"""),"| 5 P NS % | 7 L CPT % | 8 L NS % | 9 P Python % ")</f>
        <v xml:space="preserve">| 5 P NS % | 7 L CPT % | 8 L NS % | 9 P Python % </v>
      </c>
      <c r="AP162" s="4" t="str">
        <f ca="1">IFERROR(__xludf.DUMMYFUNCTION("""COMPUTED_VALUE"""),"| 5 L PHP-CGM @ | 6 L NS @ | 7 P JAVA @ | 9 P PRO @ ")</f>
        <v xml:space="preserve">| 5 L PHP-CGM @ | 6 L NS @ | 7 P JAVA @ | 9 P PRO @ </v>
      </c>
      <c r="AQ162" s="4" t="str">
        <f ca="1">IFERROR(__xludf.DUMMYFUNCTION("""COMPUTED_VALUE"""),"| 5 L CPT % | 7 L JAVA % | 7 P JAVA % | 9 L INE % ")</f>
        <v xml:space="preserve">| 5 L CPT % | 7 L JAVA % | 7 P JAVA % | 9 L INE % </v>
      </c>
      <c r="AR162" s="4" t="str">
        <f ca="1">IFERROR(__xludf.DUMMYFUNCTION("""COMPUTED_VALUE"""),"| 5 L PHP-CGM % | 6 L NS % | 8 L CPT @ ")</f>
        <v xml:space="preserve">| 5 L PHP-CGM % | 6 L NS % | 8 L CPT @ </v>
      </c>
      <c r="AS162" s="4" t="str">
        <f ca="1">IFERROR(__xludf.DUMMYFUNCTION("""COMPUTED_VALUE"""),"| 5 P NS % | 7 L CPT % | 8 L NS % | 9 P Python % ")</f>
        <v xml:space="preserve">| 5 P NS % | 7 L CPT % | 8 L NS % | 9 P Python % </v>
      </c>
      <c r="AT162" s="4" t="str">
        <f ca="1">IFERROR(__xludf.DUMMYFUNCTION("""COMPUTED_VALUE"""),"| 5 L PHP-CGM % | 6 L NS % | 7 P JAVA % | 9 P PRO % ")</f>
        <v xml:space="preserve">| 5 L PHP-CGM % | 6 L NS % | 7 P JAVA % | 9 P PRO % </v>
      </c>
      <c r="AU162" s="4" t="str">
        <f ca="1">IFERROR(__xludf.DUMMYFUNCTION("""COMPUTED_VALUE"""),"| 5 L JAVA % | 6 L CPT % | 7 P JAVA % | 9 L INE % ")</f>
        <v xml:space="preserve">| 5 L JAVA % | 6 L CPT % | 7 P JAVA % | 9 L INE % </v>
      </c>
      <c r="AV162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62" s="4" t="str">
        <f ca="1">IFERROR(__xludf.DUMMYFUNCTION("""COMPUTED_VALUE"""),"| 5 P Python % | 7 L PHP-CGM % | 8 L JAVA % | 9 P PHP-CGM % ")</f>
        <v xml:space="preserve">| 5 P Python % | 7 L PHP-CGM % | 8 L JAVA % | 9 P PHP-CGM % </v>
      </c>
      <c r="AX162" s="4" t="str">
        <f ca="1">IFERROR(__xludf.DUMMYFUNCTION("""COMPUTED_VALUE"""),"| 5 P NS % | 7 L CPT % | 8 L NS % | 9 P Python % ")</f>
        <v xml:space="preserve">| 5 P NS % | 7 L CPT % | 8 L NS % | 9 P Python % </v>
      </c>
      <c r="AY162" s="4" t="str">
        <f ca="1">IFERROR(__xludf.DUMMYFUNCTION("""COMPUTED_VALUE"""),"| 5 L PHP-CGM @ | 6 L NS @ | 7 P JAVA @ ")</f>
        <v xml:space="preserve">| 5 L PHP-CGM @ | 6 L NS @ | 7 P JAVA @ </v>
      </c>
      <c r="AZ16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62" s="4" t="str">
        <f ca="1">IFERROR(__xludf.DUMMYFUNCTION("""COMPUTED_VALUE"""),"| 5 P Python % | 7 L PHP-CGM % | 8 L JAVA % ")</f>
        <v xml:space="preserve">| 5 P Python % | 7 L PHP-CGM % | 8 L JAVA % </v>
      </c>
      <c r="BB162" s="4" t="str">
        <f ca="1">IFERROR(__xludf.DUMMYFUNCTION("""COMPUTED_VALUE"""),"| 5 P NS % | 7 L CPT % | 8 L NS % | 9 P Python % ")</f>
        <v xml:space="preserve">| 5 P NS % | 7 L CPT % | 8 L NS % | 9 P Python % </v>
      </c>
      <c r="BC162" s="4" t="str">
        <f ca="1">IFERROR(__xludf.DUMMYFUNCTION("""COMPUTED_VALUE"""),"| 5 L PHP-CGM % | 6 L NS % | 7 P JAVA % | 9 P PRO % ")</f>
        <v xml:space="preserve">| 5 L PHP-CGM % | 6 L NS % | 7 P JAVA % | 9 P PRO % </v>
      </c>
      <c r="BD162" s="4" t="str">
        <f ca="1">IFERROR(__xludf.DUMMYFUNCTION("""COMPUTED_VALUE"""),"| 5 L JAVA % | 6 L CPT % | 7 P JAVA % | 9 L INE % ")</f>
        <v xml:space="preserve">| 5 L JAVA % | 6 L CPT % | 7 P JAVA % | 9 L INE % </v>
      </c>
      <c r="BE16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62" s="4" t="str">
        <f ca="1">IFERROR(__xludf.DUMMYFUNCTION("""COMPUTED_VALUE"""),"| 5 P Python % | 7 L PHP-CGM % | 8 L JAVA % | 9 P PHP-CGM % ")</f>
        <v xml:space="preserve">| 5 P Python % | 7 L PHP-CGM % | 8 L JAVA % | 9 P PHP-CGM % </v>
      </c>
      <c r="BG162" s="4" t="str">
        <f ca="1">IFERROR(__xludf.DUMMYFUNCTION("""COMPUTED_VALUE"""),"| 5 L PHP-CGM % | 6 L NS % | 7 P JAVA % | 9 P PRO % ")</f>
        <v xml:space="preserve">| 5 L PHP-CGM % | 6 L NS % | 7 P JAVA % | 9 P PRO % </v>
      </c>
      <c r="BH162" s="4" t="str">
        <f ca="1">IFERROR(__xludf.DUMMYFUNCTION("""COMPUTED_VALUE"""),"| 5 L JAVA @ | 6 L CPT @ | 7 P JAVA @ | 9 L INE @ ")</f>
        <v xml:space="preserve">| 5 L JAVA @ | 6 L CPT @ | 7 P JAVA @ | 9 L INE @ </v>
      </c>
      <c r="BI16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62" s="4" t="str">
        <f ca="1">IFERROR(__xludf.DUMMYFUNCTION("""COMPUTED_VALUE"""),"| 5 P Python % | 7 L JAVA % | 7 L PHP-CGM % ")</f>
        <v xml:space="preserve">| 5 P Python % | 7 L JAVA % | 7 L PHP-CGM % </v>
      </c>
      <c r="BK162" s="4" t="str">
        <f ca="1">IFERROR(__xludf.DUMMYFUNCTION("""COMPUTED_VALUE"""),"| 7 L CPT @ | 8 L NS @ ")</f>
        <v xml:space="preserve">| 7 L CPT @ | 8 L NS @ </v>
      </c>
      <c r="BL162" s="4" t="str">
        <f ca="1">IFERROR(__xludf.DUMMYFUNCTION("""COMPUTED_VALUE"""),"| 5 L PHP-CGM % | 6 L NS % | 7 P JAVA % | 9 P PRO @ ")</f>
        <v xml:space="preserve">| 5 L PHP-CGM % | 6 L NS % | 7 P JAVA % | 9 P PRO @ </v>
      </c>
      <c r="BM162" s="4" t="str">
        <f ca="1">IFERROR(__xludf.DUMMYFUNCTION("""COMPUTED_VALUE"""),"| 5 L JAVA @ | 6 L CPT @ | 9 L INE @ ")</f>
        <v xml:space="preserve">| 5 L JAVA @ | 6 L CPT @ | 9 L INE @ </v>
      </c>
      <c r="BN162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62" s="4" t="str">
        <f ca="1">IFERROR(__xludf.DUMMYFUNCTION("""COMPUTED_VALUE"""),"| 5 P Python @ | 7 L PHP-CGM @ ")</f>
        <v xml:space="preserve">| 5 P Python @ | 7 L PHP-CGM @ </v>
      </c>
      <c r="BP162" s="4" t="str">
        <f ca="1">IFERROR(__xludf.DUMMYFUNCTION("""COMPUTED_VALUE"""),"| 5 P NS % | 7 L CPT % | 8 L NS % ")</f>
        <v xml:space="preserve">| 5 P NS % | 7 L CPT % | 8 L NS % </v>
      </c>
      <c r="BQ162" s="4" t="str">
        <f ca="1">IFERROR(__xludf.DUMMYFUNCTION("""COMPUTED_VALUE"""),"| 5 L JAVA @ | 6 L CPT @ ")</f>
        <v xml:space="preserve">| 5 L JAVA @ | 6 L CPT @ </v>
      </c>
      <c r="BR162" s="4" t="str">
        <f ca="1">IFERROR(__xludf.DUMMYFUNCTION("""COMPUTED_VALUE"""),"| 7 L JAVA @ ")</f>
        <v xml:space="preserve">| 7 L JAVA @ </v>
      </c>
      <c r="BS162" s="4"/>
      <c r="BT162" s="4" t="str">
        <f ca="1">IFERROR(__xludf.DUMMYFUNCTION("""COMPUTED_VALUE"""),"| 7 L CPT @ ")</f>
        <v xml:space="preserve">| 7 L CPT @ </v>
      </c>
      <c r="BU162" s="4" t="str">
        <f ca="1">IFERROR(__xludf.DUMMYFUNCTION("""COMPUTED_VALUE"""),"| 9 P PRO @ ")</f>
        <v xml:space="preserve">| 9 P PRO @ </v>
      </c>
      <c r="BV162" s="4" t="str">
        <f ca="1">IFERROR(__xludf.DUMMYFUNCTION("""COMPUTED_VALUE"""),"| 5 P NS % | 7 L CPT % | 8 L NS % | 9 P Python % ")</f>
        <v xml:space="preserve">| 5 P NS % | 7 L CPT % | 8 L NS % | 9 P Python % </v>
      </c>
      <c r="BW162" s="4"/>
      <c r="BX162" s="4" t="str">
        <f ca="1">IFERROR(__xludf.DUMMYFUNCTION("""COMPUTED_VALUE"""),"| 5 L JAVA % | 6 L CPT % | 7 P JAVA % ")</f>
        <v xml:space="preserve">| 5 L JAVA % | 6 L CPT % | 7 P JAVA % </v>
      </c>
      <c r="BY16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62" s="4" t="str">
        <f ca="1">IFERROR(__xludf.DUMMYFUNCTION("""COMPUTED_VALUE"""),"| 5 P Python % | 8 L JAVA % | 7 L PHP-CGM % | 9 P PHP-CGM % ")</f>
        <v xml:space="preserve">| 5 P Python % | 8 L JAVA % | 7 L PHP-CGM % | 9 P PHP-CGM % </v>
      </c>
      <c r="CA162" s="4" t="str">
        <f ca="1">IFERROR(__xludf.DUMMYFUNCTION("""COMPUTED_VALUE"""),"| 5 P NS % | 7 L CPT % | 8 L NS % | 9 P Python % ")</f>
        <v xml:space="preserve">| 5 P NS % | 7 L CPT % | 8 L NS % | 9 P Python % </v>
      </c>
      <c r="CB162" s="4" t="str">
        <f ca="1">IFERROR(__xludf.DUMMYFUNCTION("""COMPUTED_VALUE"""),"| 5 L PHP-CGM % | 6 L NS % | 7 P JAVA % ")</f>
        <v xml:space="preserve">| 5 L PHP-CGM % | 6 L NS % | 7 P JAVA % </v>
      </c>
      <c r="CC162" s="4" t="str">
        <f ca="1">IFERROR(__xludf.DUMMYFUNCTION("""COMPUTED_VALUE"""),"| 5 L JAVA % | 7 P JAVA % | 9 L INE % ")</f>
        <v xml:space="preserve">| 5 L JAVA % | 7 P JAVA % | 9 L INE % </v>
      </c>
      <c r="CD162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62" s="4" t="str">
        <f ca="1">IFERROR(__xludf.DUMMYFUNCTION("""COMPUTED_VALUE"""),"| 5 P Python % | 8 L JAVA % | 7 L PHP-CGM % ")</f>
        <v xml:space="preserve">| 5 P Python % | 8 L JAVA % | 7 L PHP-CGM % </v>
      </c>
      <c r="CF162" s="4" t="str">
        <f ca="1">IFERROR(__xludf.DUMMYFUNCTION("""COMPUTED_VALUE"""),"| 5 P NS % | 7 L CPT % | 8 L NS @ | 9 P Python % ")</f>
        <v xml:space="preserve">| 5 P NS % | 7 L CPT % | 8 L NS @ | 9 P Python % </v>
      </c>
      <c r="CG162" s="4" t="str">
        <f ca="1">IFERROR(__xludf.DUMMYFUNCTION("""COMPUTED_VALUE"""),"| 5 L PHP-CGM % | 6 L NS % | 7 P JAVA % ")</f>
        <v xml:space="preserve">| 5 L PHP-CGM % | 6 L NS % | 7 P JAVA % </v>
      </c>
      <c r="CH162" s="4" t="str">
        <f ca="1">IFERROR(__xludf.DUMMYFUNCTION("""COMPUTED_VALUE"""),"| 5 L JAVA % | 6 L CPT % | 7 P JAVA % | 9 L INE % ")</f>
        <v xml:space="preserve">| 5 L JAVA % | 6 L CPT % | 7 P JAVA % | 9 L INE % </v>
      </c>
      <c r="CI162" s="4" t="str">
        <f ca="1">IFERROR(__xludf.DUMMYFUNCTION("""COMPUTED_VALUE"""),"| 5 L PHP-CGM % | 7 L JAVA % | 8 L CPT % | 9 P CPT % ")</f>
        <v xml:space="preserve">| 5 L PHP-CGM % | 7 L JAVA % | 8 L CPT % | 9 P CPT % </v>
      </c>
      <c r="CJ162" s="4" t="str">
        <f ca="1">IFERROR(__xludf.DUMMYFUNCTION("""COMPUTED_VALUE"""),"| 5 P Python % ")</f>
        <v xml:space="preserve">| 5 P Python % </v>
      </c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</row>
    <row r="163" spans="1:102" ht="12.5" x14ac:dyDescent="0.25">
      <c r="A163" s="3">
        <f ca="1">IFERROR(__xludf.DUMMYFUNCTION("""COMPUTED_VALUE"""),4)</f>
        <v>4</v>
      </c>
      <c r="B163" s="3" t="str">
        <f ca="1">IFERROR(__xludf.DUMMYFUNCTION("""COMPUTED_VALUE"""),"B")</f>
        <v>B</v>
      </c>
      <c r="C163" s="32" t="str">
        <f ca="1">IFERROR(__xludf.DUMMYFUNCTION("""COMPUTED_VALUE"""),"23291341191")</f>
        <v>23291341191</v>
      </c>
      <c r="D163" s="4" t="str">
        <f ca="1">IFERROR(__xludf.DUMMYFUNCTION("""COMPUTED_VALUE"""),"RAVAL KASHISH PARAGKUMAR")</f>
        <v>RAVAL KASHISH PARAGKUMAR</v>
      </c>
      <c r="E163" s="3" t="str">
        <f ca="1">IFERROR(__xludf.DUMMYFUNCTION("""COMPUTED_VALUE"""),"HAM/HDP-EVE")</f>
        <v>HAM/HDP-EVE</v>
      </c>
      <c r="F163" s="3">
        <f ca="1">IFERROR(__xludf.DUMMYFUNCTION("""COMPUTED_VALUE"""),9925971680)</f>
        <v>9925971680</v>
      </c>
      <c r="G163" s="3">
        <f ca="1">IFERROR(__xludf.DUMMYFUNCTION("""COMPUTED_VALUE"""),9376327093)</f>
        <v>9376327093</v>
      </c>
      <c r="H163" s="33">
        <f ca="1">IFERROR(__xludf.DUMMYFUNCTION("""COMPUTED_VALUE"""),0.726086956521739)</f>
        <v>0.72608695652173905</v>
      </c>
      <c r="I163" s="25">
        <f ca="1">IFERROR(__xludf.DUMMYFUNCTION("""COMPUTED_VALUE"""),0.621621621621621)</f>
        <v>0.62162162162162105</v>
      </c>
      <c r="J163" s="25">
        <f ca="1">IFERROR(__xludf.DUMMYFUNCTION("""COMPUTED_VALUE"""),0.75)</f>
        <v>0.75</v>
      </c>
      <c r="K163" s="25">
        <f ca="1">IFERROR(__xludf.DUMMYFUNCTION("""COMPUTED_VALUE"""),0.735294117647058)</f>
        <v>0.73529411764705799</v>
      </c>
      <c r="L163" s="25">
        <f ca="1">IFERROR(__xludf.DUMMYFUNCTION("""COMPUTED_VALUE"""),0.9)</f>
        <v>0.9</v>
      </c>
      <c r="M163" s="25">
        <f ca="1">IFERROR(__xludf.DUMMYFUNCTION("""COMPUTED_VALUE"""),0.714285714285714)</f>
        <v>0.71428571428571397</v>
      </c>
      <c r="N163" s="25">
        <f ca="1">IFERROR(__xludf.DUMMYFUNCTION("""COMPUTED_VALUE"""),1)</f>
        <v>1</v>
      </c>
      <c r="O163" s="25">
        <f ca="1">IFERROR(__xludf.DUMMYFUNCTION("""COMPUTED_VALUE"""),0.657142857142857)</f>
        <v>0.65714285714285703</v>
      </c>
      <c r="P163" s="25">
        <f ca="1">IFERROR(__xludf.DUMMYFUNCTION("""COMPUTED_VALUE"""),0.857142857142857)</f>
        <v>0.85714285714285698</v>
      </c>
      <c r="Q163" s="25">
        <f ca="1">IFERROR(__xludf.DUMMYFUNCTION("""COMPUTED_VALUE"""),0)</f>
        <v>0</v>
      </c>
      <c r="R163" s="25">
        <f ca="1">IFERROR(__xludf.DUMMYFUNCTION("""COMPUTED_VALUE"""),0.727272727272727)</f>
        <v>0.72727272727272696</v>
      </c>
      <c r="S163" s="25">
        <f ca="1">IFERROR(__xludf.DUMMYFUNCTION("""COMPUTED_VALUE"""),0)</f>
        <v>0</v>
      </c>
      <c r="T163" s="25">
        <f ca="1">IFERROR(__xludf.DUMMYFUNCTION("""COMPUTED_VALUE"""),0.666666666666666)</f>
        <v>0.66666666666666596</v>
      </c>
      <c r="U163" s="25">
        <f ca="1">IFERROR(__xludf.DUMMYFUNCTION("""COMPUTED_VALUE"""),0.75)</f>
        <v>0.75</v>
      </c>
      <c r="V163" s="25">
        <f ca="1">IFERROR(__xludf.DUMMYFUNCTION("""COMPUTED_VALUE"""),0)</f>
        <v>0</v>
      </c>
      <c r="W163" s="4"/>
      <c r="X163" s="4" t="str">
        <f ca="1">IFERROR(__xludf.DUMMYFUNCTION("""COMPUTED_VALUE"""),"| 7 L CPT @ | 8 L NS @ | 9 P Python @ ")</f>
        <v xml:space="preserve">| 7 L CPT @ | 8 L NS @ | 9 P Python @ </v>
      </c>
      <c r="Y163" s="4" t="str">
        <f ca="1">IFERROR(__xludf.DUMMYFUNCTION("""COMPUTED_VALUE"""),"| 5 L PHP-CGM % | 6 L NS % | 7 P JAVA % | 9 P PRO % ")</f>
        <v xml:space="preserve">| 5 L PHP-CGM % | 6 L NS % | 7 P JAVA % | 9 P PRO % </v>
      </c>
      <c r="Z163" s="4" t="str">
        <f ca="1">IFERROR(__xludf.DUMMYFUNCTION("""COMPUTED_VALUE"""),"| 5 L JAVA % | 6 L CPT % | 7 P JAVA @ ")</f>
        <v xml:space="preserve">| 5 L JAVA % | 6 L CPT % | 7 P JAVA @ </v>
      </c>
      <c r="AA163" s="4" t="str">
        <f ca="1">IFERROR(__xludf.DUMMYFUNCTION("""COMPUTED_VALUE"""),"| 5 L PHP-CGM % | 7 L JAVA % | 9 P CPT % | 8 L CPT % ")</f>
        <v xml:space="preserve">| 5 L PHP-CGM % | 7 L JAVA % | 9 P CPT % | 8 L CPT % </v>
      </c>
      <c r="AB163" s="4" t="str">
        <f ca="1">IFERROR(__xludf.DUMMYFUNCTION("""COMPUTED_VALUE"""),"| 5 P Python % | 7 L PHP-CGM @ | 8 L JAVA @ | 9 P PHP-CGM % ")</f>
        <v xml:space="preserve">| 5 P Python % | 7 L PHP-CGM @ | 8 L JAVA @ | 9 P PHP-CGM % </v>
      </c>
      <c r="AC163" s="4" t="str">
        <f ca="1">IFERROR(__xludf.DUMMYFUNCTION("""COMPUTED_VALUE"""),"| 5 P NS % | 7 L CPT % | 8 L NS % | 9 P Python % ")</f>
        <v xml:space="preserve">| 5 P NS % | 7 L CPT % | 8 L NS % | 9 P Python % </v>
      </c>
      <c r="AD163" s="4" t="str">
        <f ca="1">IFERROR(__xludf.DUMMYFUNCTION("""COMPUTED_VALUE"""),"| 5 L PHP-CGM % | 6 L NS % | 7 P JAVA % | 9 P PRO % ")</f>
        <v xml:space="preserve">| 5 L PHP-CGM % | 6 L NS % | 7 P JAVA % | 9 P PRO % </v>
      </c>
      <c r="AE163" s="4" t="str">
        <f ca="1">IFERROR(__xludf.DUMMYFUNCTION("""COMPUTED_VALUE"""),"| 5 L JAVA % | 6 L CPT % | 7 P JAVA % ")</f>
        <v xml:space="preserve">| 5 L JAVA % | 6 L CPT % | 7 P JAVA % </v>
      </c>
      <c r="AF16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63" s="4" t="str">
        <f ca="1">IFERROR(__xludf.DUMMYFUNCTION("""COMPUTED_VALUE"""),"| 5 P Python % | 8 L JAVA @ | 7 L PHP-CGM @ | 9 P PHP-CGM % ")</f>
        <v xml:space="preserve">| 5 P Python % | 8 L JAVA @ | 7 L PHP-CGM @ | 9 P PHP-CGM % </v>
      </c>
      <c r="AH16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63" s="4" t="str">
        <f ca="1">IFERROR(__xludf.DUMMYFUNCTION("""COMPUTED_VALUE"""),"| 5 P Python % | 8 L JAVA % | 7 L PHP-CGM % | 9 P PHP-CGM % ")</f>
        <v xml:space="preserve">| 5 P Python % | 8 L JAVA % | 7 L PHP-CGM % | 9 P PHP-CGM % </v>
      </c>
      <c r="AJ163" s="4" t="str">
        <f ca="1">IFERROR(__xludf.DUMMYFUNCTION("""COMPUTED_VALUE"""),"| 5 P NS % | 7 L CPT % | 8 L NS % | 9 P Python % ")</f>
        <v xml:space="preserve">| 5 P NS % | 7 L CPT % | 8 L NS % | 9 P Python % </v>
      </c>
      <c r="AK163" s="4" t="str">
        <f ca="1">IFERROR(__xludf.DUMMYFUNCTION("""COMPUTED_VALUE"""),"| 5 L PHP-CGM % | 6 L NS % | 7 P JAVA % | 9 P PRO % ")</f>
        <v xml:space="preserve">| 5 L PHP-CGM % | 6 L NS % | 7 P JAVA % | 9 P PRO % </v>
      </c>
      <c r="AL163" s="4" t="str">
        <f ca="1">IFERROR(__xludf.DUMMYFUNCTION("""COMPUTED_VALUE"""),"| 5 L JAVA @ | 6 L CPT @ | 7 P JAVA % | 9 L INE % ")</f>
        <v xml:space="preserve">| 5 L JAVA @ | 6 L CPT @ | 7 P JAVA % | 9 L INE % </v>
      </c>
      <c r="AM16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63" s="4" t="str">
        <f ca="1">IFERROR(__xludf.DUMMYFUNCTION("""COMPUTED_VALUE"""),"| 5 P Python % | 8 L JAVA @ | 7 L PHP-CGM @ | 9 P PHP-CGM % ")</f>
        <v xml:space="preserve">| 5 P Python % | 8 L JAVA @ | 7 L PHP-CGM @ | 9 P PHP-CGM % </v>
      </c>
      <c r="AO163" s="4" t="str">
        <f ca="1">IFERROR(__xludf.DUMMYFUNCTION("""COMPUTED_VALUE"""),"| 5 P NS % | 7 L CPT @ | 8 L NS @ | 9 P Python % ")</f>
        <v xml:space="preserve">| 5 P NS % | 7 L CPT @ | 8 L NS @ | 9 P Python % </v>
      </c>
      <c r="AP163" s="4" t="str">
        <f ca="1">IFERROR(__xludf.DUMMYFUNCTION("""COMPUTED_VALUE"""),"| 5 L PHP-CGM % | 6 L NS % | 7 P JAVA % | 9 P PRO % ")</f>
        <v xml:space="preserve">| 5 L PHP-CGM % | 6 L NS % | 7 P JAVA % | 9 P PRO % </v>
      </c>
      <c r="AQ163" s="4" t="str">
        <f ca="1">IFERROR(__xludf.DUMMYFUNCTION("""COMPUTED_VALUE"""),"| 5 L CPT % | 7 L JAVA % | 7 P JAVA % | 9 L INE % ")</f>
        <v xml:space="preserve">| 5 L CPT % | 7 L JAVA % | 7 P JAVA % | 9 L INE % </v>
      </c>
      <c r="AR163" s="4" t="str">
        <f ca="1">IFERROR(__xludf.DUMMYFUNCTION("""COMPUTED_VALUE"""),"| 5 L PHP-CGM @ | 6 L NS @ | 8 L CPT @ ")</f>
        <v xml:space="preserve">| 5 L PHP-CGM @ | 6 L NS @ | 8 L CPT @ </v>
      </c>
      <c r="AS163" s="4" t="str">
        <f ca="1">IFERROR(__xludf.DUMMYFUNCTION("""COMPUTED_VALUE"""),"| 5 P NS % | 7 L CPT % | 8 L NS % | 9 P Python % ")</f>
        <v xml:space="preserve">| 5 P NS % | 7 L CPT % | 8 L NS % | 9 P Python % </v>
      </c>
      <c r="AT163" s="4" t="str">
        <f ca="1">IFERROR(__xludf.DUMMYFUNCTION("""COMPUTED_VALUE"""),"| 5 L PHP-CGM % | 6 L NS % | 7 P JAVA % | 9 P PRO % ")</f>
        <v xml:space="preserve">| 5 L PHP-CGM % | 6 L NS % | 7 P JAVA % | 9 P PRO % </v>
      </c>
      <c r="AU163" s="4" t="str">
        <f ca="1">IFERROR(__xludf.DUMMYFUNCTION("""COMPUTED_VALUE"""),"| 5 L JAVA % | 6 L CPT % | 7 P JAVA % | 9 L INE % ")</f>
        <v xml:space="preserve">| 5 L JAVA % | 6 L CPT % | 7 P JAVA % | 9 L INE % </v>
      </c>
      <c r="AV163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63" s="4" t="str">
        <f ca="1">IFERROR(__xludf.DUMMYFUNCTION("""COMPUTED_VALUE"""),"| 5 P Python % | 7 L PHP-CGM % | 8 L JAVA % | 9 P PHP-CGM % ")</f>
        <v xml:space="preserve">| 5 P Python % | 7 L PHP-CGM % | 8 L JAVA % | 9 P PHP-CGM % </v>
      </c>
      <c r="AX163" s="4" t="str">
        <f ca="1">IFERROR(__xludf.DUMMYFUNCTION("""COMPUTED_VALUE"""),"| 5 P NS % | 7 L CPT % | 8 L NS % | 9 P Python % ")</f>
        <v xml:space="preserve">| 5 P NS % | 7 L CPT % | 8 L NS % | 9 P Python % </v>
      </c>
      <c r="AY163" s="4" t="str">
        <f ca="1">IFERROR(__xludf.DUMMYFUNCTION("""COMPUTED_VALUE"""),"| 5 L PHP-CGM % | 6 L NS % | 7 P JAVA % ")</f>
        <v xml:space="preserve">| 5 L PHP-CGM % | 6 L NS % | 7 P JAVA % </v>
      </c>
      <c r="AZ16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63" s="4" t="str">
        <f ca="1">IFERROR(__xludf.DUMMYFUNCTION("""COMPUTED_VALUE"""),"| 5 P Python @ | 7 L PHP-CGM @ | 8 L JAVA @ ")</f>
        <v xml:space="preserve">| 5 P Python @ | 7 L PHP-CGM @ | 8 L JAVA @ </v>
      </c>
      <c r="BB163" s="4" t="str">
        <f ca="1">IFERROR(__xludf.DUMMYFUNCTION("""COMPUTED_VALUE"""),"| 5 P NS % | 7 L CPT % | 8 L NS % | 9 P Python % ")</f>
        <v xml:space="preserve">| 5 P NS % | 7 L CPT % | 8 L NS % | 9 P Python % </v>
      </c>
      <c r="BC163" s="4" t="str">
        <f ca="1">IFERROR(__xludf.DUMMYFUNCTION("""COMPUTED_VALUE"""),"| 5 L PHP-CGM % | 6 L NS % | 7 P JAVA % | 9 P PRO % ")</f>
        <v xml:space="preserve">| 5 L PHP-CGM % | 6 L NS % | 7 P JAVA % | 9 P PRO % </v>
      </c>
      <c r="BD163" s="4" t="str">
        <f ca="1">IFERROR(__xludf.DUMMYFUNCTION("""COMPUTED_VALUE"""),"| 5 L JAVA % | 6 L CPT % | 7 P JAVA % | 9 L INE % ")</f>
        <v xml:space="preserve">| 5 L JAVA % | 6 L CPT % | 7 P JAVA % | 9 L INE % </v>
      </c>
      <c r="BE16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F163" s="4" t="str">
        <f ca="1">IFERROR(__xludf.DUMMYFUNCTION("""COMPUTED_VALUE"""),"| 5 P Python % | 7 L PHP-CGM % | 8 L JAVA % | 9 P PHP-CGM % ")</f>
        <v xml:space="preserve">| 5 P Python % | 7 L PHP-CGM % | 8 L JAVA % | 9 P PHP-CGM % </v>
      </c>
      <c r="BG163" s="4" t="str">
        <f ca="1">IFERROR(__xludf.DUMMYFUNCTION("""COMPUTED_VALUE"""),"| 5 L PHP-CGM @ | 6 L NS @ | 7 P JAVA @ | 9 P PRO @ ")</f>
        <v xml:space="preserve">| 5 L PHP-CGM @ | 6 L NS @ | 7 P JAVA @ | 9 P PRO @ </v>
      </c>
      <c r="BH163" s="4" t="str">
        <f ca="1">IFERROR(__xludf.DUMMYFUNCTION("""COMPUTED_VALUE"""),"| 5 L JAVA % | 6 L CPT % | 7 P JAVA % | 9 L INE % ")</f>
        <v xml:space="preserve">| 5 L JAVA % | 6 L CPT % | 7 P JAVA % | 9 L INE % </v>
      </c>
      <c r="BI16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J163" s="4" t="str">
        <f ca="1">IFERROR(__xludf.DUMMYFUNCTION("""COMPUTED_VALUE"""),"| 5 P Python % | 7 L JAVA % | 7 L PHP-CGM % ")</f>
        <v xml:space="preserve">| 5 P Python % | 7 L JAVA % | 7 L PHP-CGM % </v>
      </c>
      <c r="BK163" s="4" t="str">
        <f ca="1">IFERROR(__xludf.DUMMYFUNCTION("""COMPUTED_VALUE"""),"| 7 L CPT @ | 8 L NS @ ")</f>
        <v xml:space="preserve">| 7 L CPT @ | 8 L NS @ </v>
      </c>
      <c r="BL163" s="4" t="str">
        <f ca="1">IFERROR(__xludf.DUMMYFUNCTION("""COMPUTED_VALUE"""),"| 5 L PHP-CGM % | 6 L NS % | 7 P JAVA @ | 9 P PRO @ ")</f>
        <v xml:space="preserve">| 5 L PHP-CGM % | 6 L NS % | 7 P JAVA @ | 9 P PRO @ </v>
      </c>
      <c r="BM163" s="4" t="str">
        <f ca="1">IFERROR(__xludf.DUMMYFUNCTION("""COMPUTED_VALUE"""),"| 5 L JAVA % | 6 L CPT % | 9 L INE @ ")</f>
        <v xml:space="preserve">| 5 L JAVA % | 6 L CPT % | 9 L INE @ </v>
      </c>
      <c r="BN163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63" s="4" t="str">
        <f ca="1">IFERROR(__xludf.DUMMYFUNCTION("""COMPUTED_VALUE"""),"| 5 P Python @ | 7 L PHP-CGM @ ")</f>
        <v xml:space="preserve">| 5 P Python @ | 7 L PHP-CGM @ </v>
      </c>
      <c r="BP163" s="4" t="str">
        <f ca="1">IFERROR(__xludf.DUMMYFUNCTION("""COMPUTED_VALUE"""),"| 5 P NS % | 7 L CPT @ | 8 L NS @ ")</f>
        <v xml:space="preserve">| 5 P NS % | 7 L CPT @ | 8 L NS @ </v>
      </c>
      <c r="BQ163" s="4" t="str">
        <f ca="1">IFERROR(__xludf.DUMMYFUNCTION("""COMPUTED_VALUE"""),"| 5 L JAVA @ | 6 L CPT @ ")</f>
        <v xml:space="preserve">| 5 L JAVA @ | 6 L CPT @ </v>
      </c>
      <c r="BR163" s="4" t="str">
        <f ca="1">IFERROR(__xludf.DUMMYFUNCTION("""COMPUTED_VALUE"""),"| 7 L JAVA @ ")</f>
        <v xml:space="preserve">| 7 L JAVA @ </v>
      </c>
      <c r="BS163" s="4"/>
      <c r="BT163" s="4" t="str">
        <f ca="1">IFERROR(__xludf.DUMMYFUNCTION("""COMPUTED_VALUE"""),"| 7 L CPT @ ")</f>
        <v xml:space="preserve">| 7 L CPT @ </v>
      </c>
      <c r="BU163" s="4" t="str">
        <f ca="1">IFERROR(__xludf.DUMMYFUNCTION("""COMPUTED_VALUE"""),"| 9 P PRO @ ")</f>
        <v xml:space="preserve">| 9 P PRO @ </v>
      </c>
      <c r="BV163" s="4" t="str">
        <f ca="1">IFERROR(__xludf.DUMMYFUNCTION("""COMPUTED_VALUE"""),"| 5 P NS % | 7 L CPT @ | 8 L NS @ | 9 P Python @ ")</f>
        <v xml:space="preserve">| 5 P NS % | 7 L CPT @ | 8 L NS @ | 9 P Python @ </v>
      </c>
      <c r="BW163" s="4"/>
      <c r="BX163" s="4" t="str">
        <f ca="1">IFERROR(__xludf.DUMMYFUNCTION("""COMPUTED_VALUE"""),"| 5 L JAVA % | 6 L CPT % | 7 P JAVA % ")</f>
        <v xml:space="preserve">| 5 L JAVA % | 6 L CPT % | 7 P JAVA % </v>
      </c>
      <c r="BY163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BZ163" s="4" t="str">
        <f ca="1">IFERROR(__xludf.DUMMYFUNCTION("""COMPUTED_VALUE"""),"| 5 P Python % | 8 L JAVA % | 7 L PHP-CGM % | 9 P PHP-CGM % ")</f>
        <v xml:space="preserve">| 5 P Python % | 8 L JAVA % | 7 L PHP-CGM % | 9 P PHP-CGM % </v>
      </c>
      <c r="CA163" s="4" t="str">
        <f ca="1">IFERROR(__xludf.DUMMYFUNCTION("""COMPUTED_VALUE"""),"| 5 P NS @ | 7 L CPT @ | 8 L NS @ | 9 P Python @ ")</f>
        <v xml:space="preserve">| 5 P NS @ | 7 L CPT @ | 8 L NS @ | 9 P Python @ </v>
      </c>
      <c r="CB163" s="4" t="str">
        <f ca="1">IFERROR(__xludf.DUMMYFUNCTION("""COMPUTED_VALUE"""),"| 5 L PHP-CGM % | 6 L NS % | 7 P JAVA % ")</f>
        <v xml:space="preserve">| 5 L PHP-CGM % | 6 L NS % | 7 P JAVA % </v>
      </c>
      <c r="CC163" s="4" t="str">
        <f ca="1">IFERROR(__xludf.DUMMYFUNCTION("""COMPUTED_VALUE"""),"| 5 L JAVA % | 7 P JAVA % | 9 L INE % ")</f>
        <v xml:space="preserve">| 5 L JAVA % | 7 P JAVA % | 9 L INE % </v>
      </c>
      <c r="CD163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CE163" s="4" t="str">
        <f ca="1">IFERROR(__xludf.DUMMYFUNCTION("""COMPUTED_VALUE"""),"| 5 P Python @ | 8 L JAVA @ | 7 L PHP-CGM @ ")</f>
        <v xml:space="preserve">| 5 P Python @ | 8 L JAVA @ | 7 L PHP-CGM @ </v>
      </c>
      <c r="CF163" s="4" t="str">
        <f ca="1">IFERROR(__xludf.DUMMYFUNCTION("""COMPUTED_VALUE"""),"| 5 P NS % | 7 L CPT % | 8 L NS % | 9 P Python % ")</f>
        <v xml:space="preserve">| 5 P NS % | 7 L CPT % | 8 L NS % | 9 P Python % </v>
      </c>
      <c r="CG163" s="4" t="str">
        <f ca="1">IFERROR(__xludf.DUMMYFUNCTION("""COMPUTED_VALUE"""),"| 5 L PHP-CGM % | 6 L NS % | 7 P JAVA % ")</f>
        <v xml:space="preserve">| 5 L PHP-CGM % | 6 L NS % | 7 P JAVA % </v>
      </c>
      <c r="CH163" s="4" t="str">
        <f ca="1">IFERROR(__xludf.DUMMYFUNCTION("""COMPUTED_VALUE"""),"| 5 L JAVA @ | 6 L CPT @ | 7 P JAVA % | 9 L INE @ ")</f>
        <v xml:space="preserve">| 5 L JAVA @ | 6 L CPT @ | 7 P JAVA % | 9 L INE @ </v>
      </c>
      <c r="CI163" s="4" t="str">
        <f ca="1">IFERROR(__xludf.DUMMYFUNCTION("""COMPUTED_VALUE"""),"| 5 L PHP-CGM @ | 7 L JAVA @ | 8 L CPT @ | 9 P CPT % ")</f>
        <v xml:space="preserve">| 5 L PHP-CGM @ | 7 L JAVA @ | 8 L CPT @ | 9 P CPT % </v>
      </c>
      <c r="CJ163" s="4" t="str">
        <f ca="1">IFERROR(__xludf.DUMMYFUNCTION("""COMPUTED_VALUE"""),"| 5 P Python % ")</f>
        <v xml:space="preserve">| 5 P Python % </v>
      </c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</row>
    <row r="164" spans="1:102" ht="12.5" x14ac:dyDescent="0.25">
      <c r="A164" s="3">
        <f ca="1">IFERROR(__xludf.DUMMYFUNCTION("""COMPUTED_VALUE"""),4)</f>
        <v>4</v>
      </c>
      <c r="B164" s="3" t="str">
        <f ca="1">IFERROR(__xludf.DUMMYFUNCTION("""COMPUTED_VALUE"""),"B")</f>
        <v>B</v>
      </c>
      <c r="C164" s="32" t="str">
        <f ca="1">IFERROR(__xludf.DUMMYFUNCTION("""COMPUTED_VALUE"""),"24291342001")</f>
        <v>24291342001</v>
      </c>
      <c r="D164" s="4" t="str">
        <f ca="1">IFERROR(__xludf.DUMMYFUNCTION("""COMPUTED_VALUE"""),"PRAJAPATI SARTHAK PARESHBHAI")</f>
        <v>PRAJAPATI SARTHAK PARESHBHAI</v>
      </c>
      <c r="E164" s="3" t="str">
        <f ca="1">IFERROR(__xludf.DUMMYFUNCTION("""COMPUTED_VALUE"""),"HAM/HDP-EVE")</f>
        <v>HAM/HDP-EVE</v>
      </c>
      <c r="F164" s="3">
        <f ca="1">IFERROR(__xludf.DUMMYFUNCTION("""COMPUTED_VALUE"""),7567305968)</f>
        <v>7567305968</v>
      </c>
      <c r="G164" s="3">
        <f ca="1">IFERROR(__xludf.DUMMYFUNCTION("""COMPUTED_VALUE"""),9529529249)</f>
        <v>9529529249</v>
      </c>
      <c r="H164" s="33">
        <f ca="1">IFERROR(__xludf.DUMMYFUNCTION("""COMPUTED_VALUE"""),0.730434782608695)</f>
        <v>0.73043478260869499</v>
      </c>
      <c r="I164" s="25">
        <f ca="1">IFERROR(__xludf.DUMMYFUNCTION("""COMPUTED_VALUE"""),0.675675675675675)</f>
        <v>0.67567567567567499</v>
      </c>
      <c r="J164" s="25">
        <f ca="1">IFERROR(__xludf.DUMMYFUNCTION("""COMPUTED_VALUE"""),0.583333333333333)</f>
        <v>0.58333333333333304</v>
      </c>
      <c r="K164" s="25">
        <f ca="1">IFERROR(__xludf.DUMMYFUNCTION("""COMPUTED_VALUE"""),0.794117647058823)</f>
        <v>0.79411764705882304</v>
      </c>
      <c r="L164" s="25">
        <f ca="1">IFERROR(__xludf.DUMMYFUNCTION("""COMPUTED_VALUE"""),0.9)</f>
        <v>0.9</v>
      </c>
      <c r="M164" s="25">
        <f ca="1">IFERROR(__xludf.DUMMYFUNCTION("""COMPUTED_VALUE"""),0.742857142857142)</f>
        <v>0.74285714285714199</v>
      </c>
      <c r="N164" s="25">
        <f ca="1">IFERROR(__xludf.DUMMYFUNCTION("""COMPUTED_VALUE"""),0.714285714285714)</f>
        <v>0.71428571428571397</v>
      </c>
      <c r="O164" s="25">
        <f ca="1">IFERROR(__xludf.DUMMYFUNCTION("""COMPUTED_VALUE"""),0.685714285714285)</f>
        <v>0.68571428571428505</v>
      </c>
      <c r="P164" s="25">
        <f ca="1">IFERROR(__xludf.DUMMYFUNCTION("""COMPUTED_VALUE"""),0.809523809523809)</f>
        <v>0.80952380952380898</v>
      </c>
      <c r="Q164" s="25">
        <f ca="1">IFERROR(__xludf.DUMMYFUNCTION("""COMPUTED_VALUE"""),0)</f>
        <v>0</v>
      </c>
      <c r="R164" s="25">
        <f ca="1">IFERROR(__xludf.DUMMYFUNCTION("""COMPUTED_VALUE"""),0.772727272727272)</f>
        <v>0.77272727272727204</v>
      </c>
      <c r="S164" s="25">
        <f ca="1">IFERROR(__xludf.DUMMYFUNCTION("""COMPUTED_VALUE"""),0)</f>
        <v>0</v>
      </c>
      <c r="T164" s="25">
        <f ca="1">IFERROR(__xludf.DUMMYFUNCTION("""COMPUTED_VALUE"""),0.666666666666666)</f>
        <v>0.66666666666666596</v>
      </c>
      <c r="U164" s="25">
        <f ca="1">IFERROR(__xludf.DUMMYFUNCTION("""COMPUTED_VALUE"""),0.625)</f>
        <v>0.625</v>
      </c>
      <c r="V164" s="25">
        <f ca="1">IFERROR(__xludf.DUMMYFUNCTION("""COMPUTED_VALUE"""),0)</f>
        <v>0</v>
      </c>
      <c r="W164" s="4"/>
      <c r="X164" s="4" t="str">
        <f ca="1">IFERROR(__xludf.DUMMYFUNCTION("""COMPUTED_VALUE"""),"| 7 L CPT % | 8 L NS % | 9 P Python % ")</f>
        <v xml:space="preserve">| 7 L CPT % | 8 L NS % | 9 P Python % </v>
      </c>
      <c r="Y164" s="4" t="str">
        <f ca="1">IFERROR(__xludf.DUMMYFUNCTION("""COMPUTED_VALUE"""),"| 5 L PHP-CGM % | 6 L NS % | 7 P JAVA % | 9 P PRO % ")</f>
        <v xml:space="preserve">| 5 L PHP-CGM % | 6 L NS % | 7 P JAVA % | 9 P PRO % </v>
      </c>
      <c r="Z164" s="4" t="str">
        <f ca="1">IFERROR(__xludf.DUMMYFUNCTION("""COMPUTED_VALUE"""),"| 5 L JAVA % | 6 L CPT % | 7 P JAVA % ")</f>
        <v xml:space="preserve">| 5 L JAVA % | 6 L CPT % | 7 P JAVA % </v>
      </c>
      <c r="AA164" s="4" t="str">
        <f ca="1">IFERROR(__xludf.DUMMYFUNCTION("""COMPUTED_VALUE"""),"| 5 L PHP-CGM % | 7 L JAVA % | 9 P CPT % | 8 L CPT % ")</f>
        <v xml:space="preserve">| 5 L PHP-CGM % | 7 L JAVA % | 9 P CPT % | 8 L CPT % </v>
      </c>
      <c r="AB164" s="4" t="str">
        <f ca="1">IFERROR(__xludf.DUMMYFUNCTION("""COMPUTED_VALUE"""),"| 5 P Python % | 7 L PHP-CGM % | 8 L JAVA % | 9 P PHP-CGM % ")</f>
        <v xml:space="preserve">| 5 P Python % | 7 L PHP-CGM % | 8 L JAVA % | 9 P PHP-CGM % </v>
      </c>
      <c r="AC164" s="4" t="str">
        <f ca="1">IFERROR(__xludf.DUMMYFUNCTION("""COMPUTED_VALUE"""),"| 5 P NS % | 7 L CPT % | 8 L NS % | 9 P Python % ")</f>
        <v xml:space="preserve">| 5 P NS % | 7 L CPT % | 8 L NS % | 9 P Python % </v>
      </c>
      <c r="AD164" s="4" t="str">
        <f ca="1">IFERROR(__xludf.DUMMYFUNCTION("""COMPUTED_VALUE"""),"| 5 L PHP-CGM % | 6 L NS % | 7 P JAVA % | 9 P PRO @ ")</f>
        <v xml:space="preserve">| 5 L PHP-CGM % | 6 L NS % | 7 P JAVA % | 9 P PRO @ </v>
      </c>
      <c r="AE164" s="4" t="str">
        <f ca="1">IFERROR(__xludf.DUMMYFUNCTION("""COMPUTED_VALUE"""),"| 5 L JAVA % | 6 L CPT % | 7 P JAVA % ")</f>
        <v xml:space="preserve">| 5 L JAVA % | 6 L CPT % | 7 P JAVA % </v>
      </c>
      <c r="AF16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G164" s="4" t="str">
        <f ca="1">IFERROR(__xludf.DUMMYFUNCTION("""COMPUTED_VALUE"""),"| 5 P Python % | 8 L JAVA % | 7 L PHP-CGM % | 9 P PHP-CGM % ")</f>
        <v xml:space="preserve">| 5 P Python % | 8 L JAVA % | 7 L PHP-CGM % | 9 P PHP-CGM % </v>
      </c>
      <c r="AH16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I164" s="4" t="str">
        <f ca="1">IFERROR(__xludf.DUMMYFUNCTION("""COMPUTED_VALUE"""),"| 5 P Python % | 8 L JAVA % | 7 L PHP-CGM % | 9 P PHP-CGM % ")</f>
        <v xml:space="preserve">| 5 P Python % | 8 L JAVA % | 7 L PHP-CGM % | 9 P PHP-CGM % </v>
      </c>
      <c r="AJ164" s="4" t="str">
        <f ca="1">IFERROR(__xludf.DUMMYFUNCTION("""COMPUTED_VALUE"""),"| 5 P NS % | 7 L CPT % | 8 L NS % | 9 P Python % ")</f>
        <v xml:space="preserve">| 5 P NS % | 7 L CPT % | 8 L NS % | 9 P Python % </v>
      </c>
      <c r="AK164" s="4" t="str">
        <f ca="1">IFERROR(__xludf.DUMMYFUNCTION("""COMPUTED_VALUE"""),"| 5 L PHP-CGM % | 6 L NS % | 7 P JAVA % | 9 P PRO % ")</f>
        <v xml:space="preserve">| 5 L PHP-CGM % | 6 L NS % | 7 P JAVA % | 9 P PRO % </v>
      </c>
      <c r="AL164" s="4" t="str">
        <f ca="1">IFERROR(__xludf.DUMMYFUNCTION("""COMPUTED_VALUE"""),"| 5 L JAVA % | 6 L CPT % | 7 P JAVA % | 9 L INE % ")</f>
        <v xml:space="preserve">| 5 L JAVA % | 6 L CPT % | 7 P JAVA % | 9 L INE % </v>
      </c>
      <c r="AM16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AN164" s="4" t="str">
        <f ca="1">IFERROR(__xludf.DUMMYFUNCTION("""COMPUTED_VALUE"""),"| 5 P Python @ | 8 L JAVA @ | 7 L PHP-CGM @ | 9 P PHP-CGM @ ")</f>
        <v xml:space="preserve">| 5 P Python @ | 8 L JAVA @ | 7 L PHP-CGM @ | 9 P PHP-CGM @ </v>
      </c>
      <c r="AO164" s="4" t="str">
        <f ca="1">IFERROR(__xludf.DUMMYFUNCTION("""COMPUTED_VALUE"""),"| 5 P NS % | 7 L CPT % | 8 L NS % | 9 P Python % ")</f>
        <v xml:space="preserve">| 5 P NS % | 7 L CPT % | 8 L NS % | 9 P Python % </v>
      </c>
      <c r="AP164" s="4" t="str">
        <f ca="1">IFERROR(__xludf.DUMMYFUNCTION("""COMPUTED_VALUE"""),"| 5 L PHP-CGM % | 6 L NS % | 7 P JAVA % | 9 P PRO % ")</f>
        <v xml:space="preserve">| 5 L PHP-CGM % | 6 L NS % | 7 P JAVA % | 9 P PRO % </v>
      </c>
      <c r="AQ164" s="4" t="str">
        <f ca="1">IFERROR(__xludf.DUMMYFUNCTION("""COMPUTED_VALUE"""),"| 5 L CPT % | 7 L JAVA % | 7 P JAVA % | 9 L INE % ")</f>
        <v xml:space="preserve">| 5 L CPT % | 7 L JAVA % | 7 P JAVA % | 9 L INE % </v>
      </c>
      <c r="AR164" s="4" t="str">
        <f ca="1">IFERROR(__xludf.DUMMYFUNCTION("""COMPUTED_VALUE"""),"| 5 L PHP-CGM % | 6 L NS % | 8 L CPT @ ")</f>
        <v xml:space="preserve">| 5 L PHP-CGM % | 6 L NS % | 8 L CPT @ </v>
      </c>
      <c r="AS164" s="4" t="str">
        <f ca="1">IFERROR(__xludf.DUMMYFUNCTION("""COMPUTED_VALUE"""),"| 5 P NS % | 7 L CPT % | 8 L NS % | 9 P Python % ")</f>
        <v xml:space="preserve">| 5 P NS % | 7 L CPT % | 8 L NS % | 9 P Python % </v>
      </c>
      <c r="AT164" s="4" t="str">
        <f ca="1">IFERROR(__xludf.DUMMYFUNCTION("""COMPUTED_VALUE"""),"| 5 L PHP-CGM % | 6 L NS % | 7 P JAVA % | 9 P PRO % ")</f>
        <v xml:space="preserve">| 5 L PHP-CGM % | 6 L NS % | 7 P JAVA % | 9 P PRO % </v>
      </c>
      <c r="AU164" s="4" t="str">
        <f ca="1">IFERROR(__xludf.DUMMYFUNCTION("""COMPUTED_VALUE"""),"| 5 L JAVA % | 6 L CPT % | 7 P JAVA % | 9 L INE % ")</f>
        <v xml:space="preserve">| 5 L JAVA % | 6 L CPT % | 7 P JAVA % | 9 L INE % </v>
      </c>
      <c r="AV164" s="4" t="str">
        <f ca="1">IFERROR(__xludf.DUMMYFUNCTION("""COMPUTED_VALUE"""),"| 5 L PHP-CGM % | 6 L NS % | 7 L JAVA % | 8 L CPT % | 9 P CPT @ ")</f>
        <v xml:space="preserve">| 5 L PHP-CGM % | 6 L NS % | 7 L JAVA % | 8 L CPT % | 9 P CPT @ </v>
      </c>
      <c r="AW164" s="4" t="str">
        <f ca="1">IFERROR(__xludf.DUMMYFUNCTION("""COMPUTED_VALUE"""),"| 5 P Python % | 7 L PHP-CGM % | 8 L JAVA % | 9 P PHP-CGM % ")</f>
        <v xml:space="preserve">| 5 P Python % | 7 L PHP-CGM % | 8 L JAVA % | 9 P PHP-CGM % </v>
      </c>
      <c r="AX164" s="4" t="str">
        <f ca="1">IFERROR(__xludf.DUMMYFUNCTION("""COMPUTED_VALUE"""),"| 5 P NS % | 7 L CPT % | 8 L NS % | 9 P Python % ")</f>
        <v xml:space="preserve">| 5 P NS % | 7 L CPT % | 8 L NS % | 9 P Python % </v>
      </c>
      <c r="AY164" s="4" t="str">
        <f ca="1">IFERROR(__xludf.DUMMYFUNCTION("""COMPUTED_VALUE"""),"| 5 L PHP-CGM % | 6 L NS % | 7 P JAVA % ")</f>
        <v xml:space="preserve">| 5 L PHP-CGM % | 6 L NS % | 7 P JAVA % </v>
      </c>
      <c r="AZ16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A164" s="4" t="str">
        <f ca="1">IFERROR(__xludf.DUMMYFUNCTION("""COMPUTED_VALUE"""),"| 5 P Python % | 7 L PHP-CGM % | 8 L JAVA % ")</f>
        <v xml:space="preserve">| 5 P Python % | 7 L PHP-CGM % | 8 L JAVA % </v>
      </c>
      <c r="BB164" s="4" t="str">
        <f ca="1">IFERROR(__xludf.DUMMYFUNCTION("""COMPUTED_VALUE"""),"| 5 P NS % | 7 L CPT % | 8 L NS % | 9 P Python % ")</f>
        <v xml:space="preserve">| 5 P NS % | 7 L CPT % | 8 L NS % | 9 P Python % </v>
      </c>
      <c r="BC164" s="4" t="str">
        <f ca="1">IFERROR(__xludf.DUMMYFUNCTION("""COMPUTED_VALUE"""),"| 5 L PHP-CGM % | 6 L NS % | 7 P JAVA % | 9 P PRO % ")</f>
        <v xml:space="preserve">| 5 L PHP-CGM % | 6 L NS % | 7 P JAVA % | 9 P PRO % </v>
      </c>
      <c r="BD164" s="4" t="str">
        <f ca="1">IFERROR(__xludf.DUMMYFUNCTION("""COMPUTED_VALUE"""),"| 5 L JAVA % | 6 L CPT @ | 7 P JAVA % | 9 L INE % ")</f>
        <v xml:space="preserve">| 5 L JAVA % | 6 L CPT @ | 7 P JAVA % | 9 L INE % </v>
      </c>
      <c r="BE16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F164" s="4" t="str">
        <f ca="1">IFERROR(__xludf.DUMMYFUNCTION("""COMPUTED_VALUE"""),"| 5 P Python @ | 7 L PHP-CGM @ | 8 L JAVA @ | 9 P PHP-CGM @ ")</f>
        <v xml:space="preserve">| 5 P Python @ | 7 L PHP-CGM @ | 8 L JAVA @ | 9 P PHP-CGM @ </v>
      </c>
      <c r="BG164" s="4" t="str">
        <f ca="1">IFERROR(__xludf.DUMMYFUNCTION("""COMPUTED_VALUE"""),"| 5 L PHP-CGM @ | 6 L NS @ | 7 P JAVA @ | 9 P PRO @ ")</f>
        <v xml:space="preserve">| 5 L PHP-CGM @ | 6 L NS @ | 7 P JAVA @ | 9 P PRO @ </v>
      </c>
      <c r="BH164" s="4" t="str">
        <f ca="1">IFERROR(__xludf.DUMMYFUNCTION("""COMPUTED_VALUE"""),"| 5 L JAVA @ | 6 L CPT @ | 7 P JAVA @ | 9 L INE @ ")</f>
        <v xml:space="preserve">| 5 L JAVA @ | 6 L CPT @ | 7 P JAVA @ | 9 L INE @ </v>
      </c>
      <c r="BI164" s="4" t="str">
        <f ca="1">IFERROR(__xludf.DUMMYFUNCTION("""COMPUTED_VALUE"""),"| 5 L PHP-CGM @ | 6 L NS @ | 7 L JAVA @ | 8 L CPT @ | 9 P CPT @ ")</f>
        <v xml:space="preserve">| 5 L PHP-CGM @ | 6 L NS @ | 7 L JAVA @ | 8 L CPT @ | 9 P CPT @ </v>
      </c>
      <c r="BJ164" s="4" t="str">
        <f ca="1">IFERROR(__xludf.DUMMYFUNCTION("""COMPUTED_VALUE"""),"| 5 P Python @ | 7 L JAVA @ | 7 L PHP-CGM @ ")</f>
        <v xml:space="preserve">| 5 P Python @ | 7 L JAVA @ | 7 L PHP-CGM @ </v>
      </c>
      <c r="BK164" s="4" t="str">
        <f ca="1">IFERROR(__xludf.DUMMYFUNCTION("""COMPUTED_VALUE"""),"| 7 L CPT @ | 8 L NS @ ")</f>
        <v xml:space="preserve">| 7 L CPT @ | 8 L NS @ </v>
      </c>
      <c r="BL164" s="4" t="str">
        <f ca="1">IFERROR(__xludf.DUMMYFUNCTION("""COMPUTED_VALUE"""),"| 5 L PHP-CGM % | 6 L NS % | 7 P JAVA % | 9 P PRO % ")</f>
        <v xml:space="preserve">| 5 L PHP-CGM % | 6 L NS % | 7 P JAVA % | 9 P PRO % </v>
      </c>
      <c r="BM164" s="4" t="str">
        <f ca="1">IFERROR(__xludf.DUMMYFUNCTION("""COMPUTED_VALUE"""),"| 5 L JAVA @ | 6 L CPT @ | 9 L INE @ ")</f>
        <v xml:space="preserve">| 5 L JAVA @ | 6 L CPT @ | 9 L INE @ </v>
      </c>
      <c r="BN164" s="4" t="str">
        <f ca="1">IFERROR(__xludf.DUMMYFUNCTION("""COMPUTED_VALUE"""),"| 5 L PHP-CGM @ | 6 L NS @ | 9 L JAVA @ | 8 L CPT @ | 9 P CPT @ ")</f>
        <v xml:space="preserve">| 5 L PHP-CGM @ | 6 L NS @ | 9 L JAVA @ | 8 L CPT @ | 9 P CPT @ </v>
      </c>
      <c r="BO164" s="4" t="str">
        <f ca="1">IFERROR(__xludf.DUMMYFUNCTION("""COMPUTED_VALUE"""),"| 5 P Python @ | 7 L PHP-CGM @ ")</f>
        <v xml:space="preserve">| 5 P Python @ | 7 L PHP-CGM @ </v>
      </c>
      <c r="BP164" s="4" t="str">
        <f ca="1">IFERROR(__xludf.DUMMYFUNCTION("""COMPUTED_VALUE"""),"| 5 P NS % | 7 L CPT % | 8 L NS % ")</f>
        <v xml:space="preserve">| 5 P NS % | 7 L CPT % | 8 L NS % </v>
      </c>
      <c r="BQ164" s="4" t="str">
        <f ca="1">IFERROR(__xludf.DUMMYFUNCTION("""COMPUTED_VALUE"""),"| 5 L JAVA @ | 6 L CPT % ")</f>
        <v xml:space="preserve">| 5 L JAVA @ | 6 L CPT % </v>
      </c>
      <c r="BR164" s="4" t="str">
        <f ca="1">IFERROR(__xludf.DUMMYFUNCTION("""COMPUTED_VALUE"""),"| 7 L JAVA % ")</f>
        <v xml:space="preserve">| 7 L JAVA % </v>
      </c>
      <c r="BS164" s="4"/>
      <c r="BT164" s="4" t="str">
        <f ca="1">IFERROR(__xludf.DUMMYFUNCTION("""COMPUTED_VALUE"""),"| 7 L CPT @ ")</f>
        <v xml:space="preserve">| 7 L CPT @ </v>
      </c>
      <c r="BU164" s="4" t="str">
        <f ca="1">IFERROR(__xludf.DUMMYFUNCTION("""COMPUTED_VALUE"""),"| 9 P PRO @ ")</f>
        <v xml:space="preserve">| 9 P PRO @ </v>
      </c>
      <c r="BV164" s="4" t="str">
        <f ca="1">IFERROR(__xludf.DUMMYFUNCTION("""COMPUTED_VALUE"""),"| 5 P NS @ | 7 L CPT @ | 8 L NS @ | 9 P Python @ ")</f>
        <v xml:space="preserve">| 5 P NS @ | 7 L CPT @ | 8 L NS @ | 9 P Python @ </v>
      </c>
      <c r="BW164" s="4"/>
      <c r="BX164" s="4" t="str">
        <f ca="1">IFERROR(__xludf.DUMMYFUNCTION("""COMPUTED_VALUE"""),"| 5 L JAVA @ | 6 L CPT @ | 7 P JAVA @ ")</f>
        <v xml:space="preserve">| 5 L JAVA @ | 6 L CPT @ | 7 P JAVA @ </v>
      </c>
      <c r="BY164" s="4" t="str">
        <f ca="1">IFERROR(__xludf.DUMMYFUNCTION("""COMPUTED_VALUE"""),"| 5 L PHP-CGM % | 6 L NS % | 7 L JAVA % | 8 L CPT % | 9 P CPT % ")</f>
        <v xml:space="preserve">| 5 L PHP-CGM % | 6 L NS % | 7 L JAVA % | 8 L CPT % | 9 P CPT % </v>
      </c>
      <c r="BZ164" s="4" t="str">
        <f ca="1">IFERROR(__xludf.DUMMYFUNCTION("""COMPUTED_VALUE"""),"| 5 P Python % | 8 L JAVA % | 7 L PHP-CGM % | 9 P PHP-CGM % ")</f>
        <v xml:space="preserve">| 5 P Python % | 8 L JAVA % | 7 L PHP-CGM % | 9 P PHP-CGM % </v>
      </c>
      <c r="CA164" s="4" t="str">
        <f ca="1">IFERROR(__xludf.DUMMYFUNCTION("""COMPUTED_VALUE"""),"| 5 P NS % | 7 L CPT % | 8 L NS % | 9 P Python % ")</f>
        <v xml:space="preserve">| 5 P NS % | 7 L CPT % | 8 L NS % | 9 P Python % </v>
      </c>
      <c r="CB164" s="4" t="str">
        <f ca="1">IFERROR(__xludf.DUMMYFUNCTION("""COMPUTED_VALUE"""),"| 5 L PHP-CGM @ | 6 L NS @ | 7 P JAVA @ ")</f>
        <v xml:space="preserve">| 5 L PHP-CGM @ | 6 L NS @ | 7 P JAVA @ </v>
      </c>
      <c r="CC164" s="4" t="str">
        <f ca="1">IFERROR(__xludf.DUMMYFUNCTION("""COMPUTED_VALUE"""),"| 5 L JAVA % | 7 P JAVA % | 9 L INE % ")</f>
        <v xml:space="preserve">| 5 L JAVA % | 7 P JAVA % | 9 L INE % </v>
      </c>
      <c r="CD164" s="4" t="str">
        <f ca="1">IFERROR(__xludf.DUMMYFUNCTION("""COMPUTED_VALUE"""),"| 5 L PHP-CGM % | 6 L NS % | 7 L JAVA @ | 8 L CPT @ | 9 P CPT @ ")</f>
        <v xml:space="preserve">| 5 L PHP-CGM % | 6 L NS % | 7 L JAVA @ | 8 L CPT @ | 9 P CPT @ </v>
      </c>
      <c r="CE164" s="4" t="str">
        <f ca="1">IFERROR(__xludf.DUMMYFUNCTION("""COMPUTED_VALUE"""),"| 5 P Python % | 8 L JAVA % | 7 L PHP-CGM % ")</f>
        <v xml:space="preserve">| 5 P Python % | 8 L JAVA % | 7 L PHP-CGM % </v>
      </c>
      <c r="CF164" s="4" t="str">
        <f ca="1">IFERROR(__xludf.DUMMYFUNCTION("""COMPUTED_VALUE"""),"| 5 P NS % | 7 L CPT % | 8 L NS % | 9 P Python % ")</f>
        <v xml:space="preserve">| 5 P NS % | 7 L CPT % | 8 L NS % | 9 P Python % </v>
      </c>
      <c r="CG164" s="4" t="str">
        <f ca="1">IFERROR(__xludf.DUMMYFUNCTION("""COMPUTED_VALUE"""),"| 5 L PHP-CGM % | 6 L NS % | 7 P JAVA % ")</f>
        <v xml:space="preserve">| 5 L PHP-CGM % | 6 L NS % | 7 P JAVA % </v>
      </c>
      <c r="CH164" s="4" t="str">
        <f ca="1">IFERROR(__xludf.DUMMYFUNCTION("""COMPUTED_VALUE"""),"| 5 L JAVA % | 6 L CPT % | 7 P JAVA % | 9 L INE @ ")</f>
        <v xml:space="preserve">| 5 L JAVA % | 6 L CPT % | 7 P JAVA % | 9 L INE @ </v>
      </c>
      <c r="CI164" s="4" t="str">
        <f ca="1">IFERROR(__xludf.DUMMYFUNCTION("""COMPUTED_VALUE"""),"| 5 L PHP-CGM % | 7 L JAVA % | 8 L CPT % | 9 P CPT % ")</f>
        <v xml:space="preserve">| 5 L PHP-CGM % | 7 L JAVA % | 8 L CPT % | 9 P CPT % </v>
      </c>
      <c r="CJ164" s="4" t="str">
        <f ca="1">IFERROR(__xludf.DUMMYFUNCTION("""COMPUTED_VALUE"""),"| 5 P Python % ")</f>
        <v xml:space="preserve">| 5 P Python % </v>
      </c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</row>
    <row r="165" spans="1:102" ht="12.5" x14ac:dyDescent="0.25">
      <c r="A165" s="3">
        <f ca="1">IFERROR(__xludf.DUMMYFUNCTION("""COMPUTED_VALUE"""),1)</f>
        <v>1</v>
      </c>
      <c r="B165" s="3" t="str">
        <f ca="1">IFERROR(__xludf.DUMMYFUNCTION("""COMPUTED_VALUE"""),"C")</f>
        <v>C</v>
      </c>
      <c r="C165" s="32" t="str">
        <f ca="1">IFERROR(__xludf.DUMMYFUNCTION("""COMPUTED_VALUE"""),"22171341157")</f>
        <v>22171341157</v>
      </c>
      <c r="D165" s="4" t="str">
        <f ca="1">IFERROR(__xludf.DUMMYFUNCTION("""COMPUTED_VALUE"""),"PERCEPTION VUSUMUZI")</f>
        <v>PERCEPTION VUSUMUZI</v>
      </c>
      <c r="E165" s="3" t="str">
        <f ca="1">IFERROR(__xludf.DUMMYFUNCTION("""COMPUTED_VALUE"""),"PKN/PAP-Mor")</f>
        <v>PKN/PAP-Mor</v>
      </c>
      <c r="F165" s="3">
        <f ca="1">IFERROR(__xludf.DUMMYFUNCTION("""COMPUTED_VALUE"""),7490854779)</f>
        <v>7490854779</v>
      </c>
      <c r="G165" s="3"/>
      <c r="H165" s="33">
        <f ca="1">IFERROR(__xludf.DUMMYFUNCTION("""COMPUTED_VALUE"""),0.497959183673469)</f>
        <v>0.49795918367346897</v>
      </c>
      <c r="I165" s="25">
        <f ca="1">IFERROR(__xludf.DUMMYFUNCTION("""COMPUTED_VALUE"""),0.578947368421052)</f>
        <v>0.57894736842105199</v>
      </c>
      <c r="J165" s="25">
        <f ca="1">IFERROR(__xludf.DUMMYFUNCTION("""COMPUTED_VALUE"""),0.583333333333333)</f>
        <v>0.58333333333333304</v>
      </c>
      <c r="K165" s="25">
        <f ca="1">IFERROR(__xludf.DUMMYFUNCTION("""COMPUTED_VALUE"""),0.472222222222222)</f>
        <v>0.47222222222222199</v>
      </c>
      <c r="L165" s="25">
        <f ca="1">IFERROR(__xludf.DUMMYFUNCTION("""COMPUTED_VALUE"""),0.363636363636363)</f>
        <v>0.36363636363636298</v>
      </c>
      <c r="M165" s="25">
        <f ca="1">IFERROR(__xludf.DUMMYFUNCTION("""COMPUTED_VALUE"""),0.555555555555555)</f>
        <v>0.55555555555555503</v>
      </c>
      <c r="N165" s="25">
        <f ca="1">IFERROR(__xludf.DUMMYFUNCTION("""COMPUTED_VALUE"""),0.461538461538461)</f>
        <v>0.46153846153846101</v>
      </c>
      <c r="O165" s="25">
        <f ca="1">IFERROR(__xludf.DUMMYFUNCTION("""COMPUTED_VALUE"""),0.4)</f>
        <v>0.4</v>
      </c>
      <c r="P165" s="25">
        <f ca="1">IFERROR(__xludf.DUMMYFUNCTION("""COMPUTED_VALUE"""),0.409090909090909)</f>
        <v>0.40909090909090901</v>
      </c>
      <c r="Q165" s="25">
        <f ca="1">IFERROR(__xludf.DUMMYFUNCTION("""COMPUTED_VALUE"""),0)</f>
        <v>0</v>
      </c>
      <c r="R165" s="25">
        <f ca="1">IFERROR(__xludf.DUMMYFUNCTION("""COMPUTED_VALUE"""),0.5)</f>
        <v>0.5</v>
      </c>
      <c r="S165" s="25">
        <f ca="1">IFERROR(__xludf.DUMMYFUNCTION("""COMPUTED_VALUE"""),0)</f>
        <v>0</v>
      </c>
      <c r="T165" s="25">
        <f ca="1">IFERROR(__xludf.DUMMYFUNCTION("""COMPUTED_VALUE"""),0.75)</f>
        <v>0.75</v>
      </c>
      <c r="U165" s="25">
        <f ca="1">IFERROR(__xludf.DUMMYFUNCTION("""COMPUTED_VALUE"""),0.375)</f>
        <v>0.375</v>
      </c>
      <c r="V165" s="25">
        <f ca="1">IFERROR(__xludf.DUMMYFUNCTION("""COMPUTED_VALUE"""),0)</f>
        <v>0</v>
      </c>
      <c r="W165" s="4"/>
      <c r="X165" s="4" t="str">
        <f ca="1">IFERROR(__xludf.DUMMYFUNCTION("""COMPUTED_VALUE"""),"| 1 L NS @ | 2 L PHP-CGM % | 3 P PRO @ | 5 L JAVA @ | 6 L NS @ ")</f>
        <v xml:space="preserve">| 1 L NS @ | 2 L PHP-CGM % | 3 P PRO @ | 5 L JAVA @ | 6 L NS @ </v>
      </c>
      <c r="Y165" s="4" t="str">
        <f ca="1">IFERROR(__xludf.DUMMYFUNCTION("""COMPUTED_VALUE"""),"| 1 L CPT @ | 5 L PHP-CGM @ | 1 P CPT @ | 6 P Python @ ")</f>
        <v xml:space="preserve">| 1 L CPT @ | 5 L PHP-CGM @ | 1 P CPT @ | 6 P Python @ </v>
      </c>
      <c r="Z165" s="4" t="str">
        <f ca="1">IFERROR(__xludf.DUMMYFUNCTION("""COMPUTED_VALUE"""),"| 1 L CPT @ | 2 L PHP-CGM @ | 3 P JAVA @ | 5 P NS @ ")</f>
        <v xml:space="preserve">| 1 L CPT @ | 2 L PHP-CGM @ | 3 P JAVA @ | 5 P NS @ </v>
      </c>
      <c r="AA165" s="4" t="str">
        <f ca="1">IFERROR(__xludf.DUMMYFUNCTION("""COMPUTED_VALUE"""),"| 1 L NS @ | 2 L JAVA @ | 3 P Python @ | 5 P PHP-CGM @ ")</f>
        <v xml:space="preserve">| 1 L NS @ | 2 L JAVA @ | 3 P Python @ | 5 P PHP-CGM @ </v>
      </c>
      <c r="AB165" s="4" t="str">
        <f ca="1">IFERROR(__xludf.DUMMYFUNCTION("""COMPUTED_VALUE"""),"| 1 L CPT @ | 2 L JAVA @ | 3 P JAVA @ ")</f>
        <v xml:space="preserve">| 1 L CPT @ | 2 L JAVA @ | 3 P JAVA @ </v>
      </c>
      <c r="AC16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65" s="4" t="str">
        <f ca="1">IFERROR(__xludf.DUMMYFUNCTION("""COMPUTED_VALUE"""),"| 1 L CPT % | 2 L PHP-CGM % | 3 P CPT % | 6 P Python % ")</f>
        <v xml:space="preserve">| 1 L CPT % | 2 L PHP-CGM % | 3 P CPT % | 6 P Python % </v>
      </c>
      <c r="AE165" s="4" t="str">
        <f ca="1">IFERROR(__xludf.DUMMYFUNCTION("""COMPUTED_VALUE"""),"| 1 L CPT % | 3 P JAVA % | 5 P NS % | 2 L PHP-CGM % ")</f>
        <v xml:space="preserve">| 1 L CPT % | 3 P JAVA % | 5 P NS % | 2 L PHP-CGM % </v>
      </c>
      <c r="AF165" s="4" t="str">
        <f ca="1">IFERROR(__xludf.DUMMYFUNCTION("""COMPUTED_VALUE"""),"| 1 L NS % | 2 L CPT % | 3 P Python % | 5 P PHP-CGM % ")</f>
        <v xml:space="preserve">| 1 L NS % | 2 L CPT % | 3 P Python % | 5 P PHP-CGM % </v>
      </c>
      <c r="AG165" s="4" t="str">
        <f ca="1">IFERROR(__xludf.DUMMYFUNCTION("""COMPUTED_VALUE"""),"| 1 L CPT % | 2 L JAVA % | 3 P JAVA % ")</f>
        <v xml:space="preserve">| 1 L CPT % | 2 L JAVA % | 3 P JAVA % </v>
      </c>
      <c r="AH165" s="4" t="str">
        <f ca="1">IFERROR(__xludf.DUMMYFUNCTION("""COMPUTED_VALUE"""),"| 2 L JAVA % | 1 L NS % | 3 P Python % | 5 P PHP-CGM % ")</f>
        <v xml:space="preserve">| 2 L JAVA % | 1 L NS % | 3 P Python % | 5 P PHP-CGM % </v>
      </c>
      <c r="AI165" s="4" t="str">
        <f ca="1">IFERROR(__xludf.DUMMYFUNCTION("""COMPUTED_VALUE"""),"| 1 L CPT @ | 2 L JAVA @ | 3 P JAVA @ ")</f>
        <v xml:space="preserve">| 1 L CPT @ | 2 L JAVA @ | 3 P JAVA @ </v>
      </c>
      <c r="AJ16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65" s="4" t="str">
        <f ca="1">IFERROR(__xludf.DUMMYFUNCTION("""COMPUTED_VALUE"""),"| 1 L CPT % | 3 P CPT % | 2 L PHP-CGM % | 6 P Python % ")</f>
        <v xml:space="preserve">| 1 L CPT % | 3 P CPT % | 2 L PHP-CGM % | 6 P Python % </v>
      </c>
      <c r="AL165" s="4" t="str">
        <f ca="1">IFERROR(__xludf.DUMMYFUNCTION("""COMPUTED_VALUE"""),"| 1 L CPT % | 2 L PHP-CGM % | 3 P JAVA % | 5 P NS @ ")</f>
        <v xml:space="preserve">| 1 L CPT % | 2 L PHP-CGM % | 3 P JAVA % | 5 P NS @ </v>
      </c>
      <c r="AM165" s="4" t="str">
        <f ca="1">IFERROR(__xludf.DUMMYFUNCTION("""COMPUTED_VALUE"""),"| 2 L JAVA % | 3 P Python % | 5 P PHP-CGM % | 1 L NS % ")</f>
        <v xml:space="preserve">| 2 L JAVA % | 3 P Python % | 5 P PHP-CGM % | 1 L NS % </v>
      </c>
      <c r="AN165" s="4" t="str">
        <f ca="1">IFERROR(__xludf.DUMMYFUNCTION("""COMPUTED_VALUE"""),"| 1 L CPT % | 2 L JAVA % | 3 P JAVA % | 5 L INE % ")</f>
        <v xml:space="preserve">| 1 L CPT % | 2 L JAVA % | 3 P JAVA % | 5 L INE % </v>
      </c>
      <c r="AO165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165" s="4" t="str">
        <f ca="1">IFERROR(__xludf.DUMMYFUNCTION("""COMPUTED_VALUE"""),"| 1 L CPT @ | 2 L PHP-CGM @ | 3 P CPT @ | 6 P Python @ ")</f>
        <v xml:space="preserve">| 1 L CPT @ | 2 L PHP-CGM @ | 3 P CPT @ | 6 P Python @ </v>
      </c>
      <c r="AQ165" s="4" t="str">
        <f ca="1">IFERROR(__xludf.DUMMYFUNCTION("""COMPUTED_VALUE"""),"| 2 L PHP-CGM @ | 3 P JAVA @ | 1 L NS @ | 5 P NS @ ")</f>
        <v xml:space="preserve">| 2 L PHP-CGM @ | 3 P JAVA @ | 1 L NS @ | 5 P NS @ </v>
      </c>
      <c r="AR165" s="4" t="str">
        <f ca="1">IFERROR(__xludf.DUMMYFUNCTION("""COMPUTED_VALUE"""),"| 1 L CPT % | 2 L JAVA @ | 3 P Python @ | 5 P PHP-CGM @ ")</f>
        <v xml:space="preserve">| 1 L CPT % | 2 L JAVA @ | 3 P Python @ | 5 P PHP-CGM @ </v>
      </c>
      <c r="AS165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AT165" s="4" t="str">
        <f ca="1">IFERROR(__xludf.DUMMYFUNCTION("""COMPUTED_VALUE"""),"| 1 L CPT @ | 2 L PHP-CGM @ | 3 P CPT @ | 6 P Python @ ")</f>
        <v xml:space="preserve">| 1 L CPT @ | 2 L PHP-CGM @ | 3 P CPT @ | 6 P Python @ </v>
      </c>
      <c r="AU165" s="4" t="str">
        <f ca="1">IFERROR(__xludf.DUMMYFUNCTION("""COMPUTED_VALUE"""),"| 1 L NS @ | 2 L PHP-CGM @ | 3 P JAVA @ | 5 P NS @ ")</f>
        <v xml:space="preserve">| 1 L NS @ | 2 L PHP-CGM @ | 3 P JAVA @ | 5 P NS @ </v>
      </c>
      <c r="AV165" s="4" t="str">
        <f ca="1">IFERROR(__xludf.DUMMYFUNCTION("""COMPUTED_VALUE"""),"| 1 L CPT @ | 2 L JAVA @ | 3 P Python @ | 5 P PHP-CGM @ ")</f>
        <v xml:space="preserve">| 1 L CPT @ | 2 L JAVA @ | 3 P Python @ | 5 P PHP-CGM @ </v>
      </c>
      <c r="AW165" s="4" t="str">
        <f ca="1">IFERROR(__xludf.DUMMYFUNCTION("""COMPUTED_VALUE"""),"| 1 L CPT @ | 2 L JAVA @ | 3 P JAVA @ | 5 L INE @ | 6 L INE @ ")</f>
        <v xml:space="preserve">| 1 L CPT @ | 2 L JAVA @ | 3 P JAVA @ | 5 L INE @ | 6 L INE @ </v>
      </c>
      <c r="AX165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165" s="4" t="str">
        <f ca="1">IFERROR(__xludf.DUMMYFUNCTION("""COMPUTED_VALUE"""),"| 1 L CPT @ | 2 L PHP-CGM @ | 3 P CPT @ | 6 P Python @ ")</f>
        <v xml:space="preserve">| 1 L CPT @ | 2 L PHP-CGM @ | 3 P CPT @ | 6 P Python @ </v>
      </c>
      <c r="AZ165" s="4" t="str">
        <f ca="1">IFERROR(__xludf.DUMMYFUNCTION("""COMPUTED_VALUE"""),"| 1 L CPT @ | 2 L JAVA @ | 3 P Python @ | 5 P PHP-CGM @ ")</f>
        <v xml:space="preserve">| 1 L CPT @ | 2 L JAVA @ | 3 P Python @ | 5 P PHP-CGM @ </v>
      </c>
      <c r="BA165" s="4" t="str">
        <f ca="1">IFERROR(__xludf.DUMMYFUNCTION("""COMPUTED_VALUE"""),"| 1 L CPT @ | 2 L JAVA @ | 3 P JAVA @ | 5 L INE @ ")</f>
        <v xml:space="preserve">| 1 L CPT @ | 2 L JAVA @ | 3 P JAVA @ | 5 L INE @ </v>
      </c>
      <c r="BB16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65" s="4" t="str">
        <f ca="1">IFERROR(__xludf.DUMMYFUNCTION("""COMPUTED_VALUE"""),"| 1 L CPT % | 2 L PHP-CGM % | 3 P CPT % | 6 P Python % ")</f>
        <v xml:space="preserve">| 1 L CPT % | 2 L PHP-CGM % | 3 P CPT % | 6 P Python % </v>
      </c>
      <c r="BD165" s="4" t="str">
        <f ca="1">IFERROR(__xludf.DUMMYFUNCTION("""COMPUTED_VALUE"""),"| 1 L NS @ | 2 L PHP-CGM @ | 3 P JAVA @ | 5 P NS @ ")</f>
        <v xml:space="preserve">| 1 L NS @ | 2 L PHP-CGM @ | 3 P JAVA @ | 5 P NS @ </v>
      </c>
      <c r="BE165" s="4" t="str">
        <f ca="1">IFERROR(__xludf.DUMMYFUNCTION("""COMPUTED_VALUE"""),"| 1 L CPT % | 2 L JAVA % | 3 P Python % | 5 P PHP-CGM % ")</f>
        <v xml:space="preserve">| 1 L CPT % | 2 L JAVA % | 3 P Python % | 5 P PHP-CGM % </v>
      </c>
      <c r="BF165" s="4" t="str">
        <f ca="1">IFERROR(__xludf.DUMMYFUNCTION("""COMPUTED_VALUE"""),"| 1 L CPT @ | 2 L JAVA @ | 3 P JAVA @ ")</f>
        <v xml:space="preserve">| 1 L CPT @ | 2 L JAVA @ | 3 P JAVA @ </v>
      </c>
      <c r="BG165" s="4" t="str">
        <f ca="1">IFERROR(__xludf.DUMMYFUNCTION("""COMPUTED_VALUE"""),"| 2 L PHP-CGM % | 3 P CPT % | 1 L CPT % | 6 P Python @ ")</f>
        <v xml:space="preserve">| 2 L PHP-CGM % | 3 P CPT % | 1 L CPT % | 6 P Python @ </v>
      </c>
      <c r="BH165" s="4" t="str">
        <f ca="1">IFERROR(__xludf.DUMMYFUNCTION("""COMPUTED_VALUE"""),"| 1 L NS @ | 2 L PHP-CGM @ | 3 P JAVA @ | 5 P NS @ ")</f>
        <v xml:space="preserve">| 1 L NS @ | 2 L PHP-CGM @ | 3 P JAVA @ | 5 P NS @ </v>
      </c>
      <c r="BI165" s="4" t="str">
        <f ca="1">IFERROR(__xludf.DUMMYFUNCTION("""COMPUTED_VALUE"""),"| 1 L CPT @ | 2 L JAVA @ | 3 P Python @ | 5 P PHP-CGM @ ")</f>
        <v xml:space="preserve">| 1 L CPT @ | 2 L JAVA @ | 3 P Python @ | 5 P PHP-CGM @ </v>
      </c>
      <c r="BJ165" s="4" t="str">
        <f ca="1">IFERROR(__xludf.DUMMYFUNCTION("""COMPUTED_VALUE"""),"| 1 L CPT % | 2 L JAVA @ | 3 P JAVA @ | 5 L INE @ ")</f>
        <v xml:space="preserve">| 1 L CPT % | 2 L JAVA @ | 3 P JAVA @ | 5 L INE @ </v>
      </c>
      <c r="BK165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BL165" s="4" t="str">
        <f ca="1">IFERROR(__xludf.DUMMYFUNCTION("""COMPUTED_VALUE"""),"| 1 L CPT % | 2 L PHP-CGM @ | 3 P CPT @ ")</f>
        <v xml:space="preserve">| 1 L CPT % | 2 L PHP-CGM @ | 3 P CPT @ </v>
      </c>
      <c r="BM165" s="4" t="str">
        <f ca="1">IFERROR(__xludf.DUMMYFUNCTION("""COMPUTED_VALUE"""),"| 1 L NS % | 2 L PHP-CGM % | 3 P JAVA @ | 5 P NS @ ")</f>
        <v xml:space="preserve">| 1 L NS % | 2 L PHP-CGM % | 3 P JAVA @ | 5 P NS @ </v>
      </c>
      <c r="BN165" s="4" t="str">
        <f ca="1">IFERROR(__xludf.DUMMYFUNCTION("""COMPUTED_VALUE"""),"| 2 L JAVA @ | 1 L CPT @ | 3 P Python @ | 5 P PHP-CGM @ ")</f>
        <v xml:space="preserve">| 2 L JAVA @ | 1 L CPT @ | 3 P Python @ | 5 P PHP-CGM @ </v>
      </c>
      <c r="BO165" s="4" t="str">
        <f ca="1">IFERROR(__xludf.DUMMYFUNCTION("""COMPUTED_VALUE"""),"| 2 L JAVA @ | 1 L CPT @ | 3 P JAVA @ | 5 L INE @ ")</f>
        <v xml:space="preserve">| 2 L JAVA @ | 1 L CPT @ | 3 P JAVA @ | 5 L INE @ </v>
      </c>
      <c r="BP165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Q165" s="4"/>
      <c r="BR165" s="4"/>
      <c r="BS165" s="4"/>
      <c r="BT165" s="4" t="str">
        <f ca="1">IFERROR(__xludf.DUMMYFUNCTION("""COMPUTED_VALUE"""),"| 1 L NS @ | 2 L PHP-CGM @ | 3 P PRO % ")</f>
        <v xml:space="preserve">| 1 L NS @ | 2 L PHP-CGM @ | 3 P PRO % </v>
      </c>
      <c r="BU165" s="4" t="str">
        <f ca="1">IFERROR(__xludf.DUMMYFUNCTION("""COMPUTED_VALUE"""),"| 1 L CPT % ")</f>
        <v xml:space="preserve">| 1 L CPT % </v>
      </c>
      <c r="BV165" s="4" t="str">
        <f ca="1">IFERROR(__xludf.DUMMYFUNCTION("""COMPUTED_VALUE"""),"| 1 L NS % | 2 L PHP-CGM % | 3 P PRO % | 6 L JAVA % ")</f>
        <v xml:space="preserve">| 1 L NS % | 2 L PHP-CGM % | 3 P PRO % | 6 L JAVA % </v>
      </c>
      <c r="BW165" s="4" t="str">
        <f ca="1">IFERROR(__xludf.DUMMYFUNCTION("""COMPUTED_VALUE"""),"| 1 L CPT % | 2 L PHP-CGM % | 3 P CPT % ")</f>
        <v xml:space="preserve">| 1 L CPT % | 2 L PHP-CGM % | 3 P CPT % </v>
      </c>
      <c r="BX165" s="4" t="str">
        <f ca="1">IFERROR(__xludf.DUMMYFUNCTION("""COMPUTED_VALUE"""),"| 1 L NS % | 2 L PHP-CGM % | 3 P JAVA % | 5 P NS % ")</f>
        <v xml:space="preserve">| 1 L NS % | 2 L PHP-CGM % | 3 P JAVA % | 5 P NS % </v>
      </c>
      <c r="BY165" s="4" t="str">
        <f ca="1">IFERROR(__xludf.DUMMYFUNCTION("""COMPUTED_VALUE"""),"| 1 L CPT % | 2 L JAVA % | 3 P Python % | 5 P PHP-CGM @ ")</f>
        <v xml:space="preserve">| 1 L CPT % | 2 L JAVA % | 3 P Python % | 5 P PHP-CGM @ </v>
      </c>
      <c r="BZ165" s="4" t="str">
        <f ca="1">IFERROR(__xludf.DUMMYFUNCTION("""COMPUTED_VALUE"""),"| 1 L CPT % | 2 L JAVA % | 3 P JAVA % | 5 L INE % ")</f>
        <v xml:space="preserve">| 1 L CPT % | 2 L JAVA % | 3 P JAVA % | 5 L INE % </v>
      </c>
      <c r="CA165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CB165" s="4" t="str">
        <f ca="1">IFERROR(__xludf.DUMMYFUNCTION("""COMPUTED_VALUE"""),"| 2 L PHP-CGM % | 3 P CPT % | 6 P Python % | 1 L CPT % ")</f>
        <v xml:space="preserve">| 2 L PHP-CGM % | 3 P CPT % | 6 P Python % | 1 L CPT % </v>
      </c>
      <c r="CC165" s="4" t="str">
        <f ca="1">IFERROR(__xludf.DUMMYFUNCTION("""COMPUTED_VALUE"""),"| 1 L NS % | 2 L PHP-CGM % | 3 P JAVA % | 5 P NS % ")</f>
        <v xml:space="preserve">| 1 L NS % | 2 L PHP-CGM % | 3 P JAVA % | 5 P NS % </v>
      </c>
      <c r="CD165" s="4" t="str">
        <f ca="1">IFERROR(__xludf.DUMMYFUNCTION("""COMPUTED_VALUE"""),"| 1 L CPT % | 2 L JAVA @ | 3 P Python % | 5 P PHP-CGM % ")</f>
        <v xml:space="preserve">| 1 L CPT % | 2 L JAVA @ | 3 P Python % | 5 P PHP-CGM % </v>
      </c>
      <c r="CE165" s="4" t="str">
        <f ca="1">IFERROR(__xludf.DUMMYFUNCTION("""COMPUTED_VALUE"""),"| 1 L CPT % | 2 L JAVA % | 3 P JAVA % | 5 L INE % ")</f>
        <v xml:space="preserve">| 1 L CPT % | 2 L JAVA % | 3 P JAVA % | 5 L INE % </v>
      </c>
      <c r="CF165" s="4" t="str">
        <f ca="1">IFERROR(__xludf.DUMMYFUNCTION("""COMPUTED_VALUE"""),"| 1 L NS % | 2 L PHP-CGM % | 5 L NS % | 6 L JAVA % ")</f>
        <v xml:space="preserve">| 1 L NS % | 2 L PHP-CGM % | 5 L NS % | 6 L JAVA % </v>
      </c>
      <c r="CG165" s="4" t="str">
        <f ca="1">IFERROR(__xludf.DUMMYFUNCTION("""COMPUTED_VALUE"""),"| 1 L CPT % | 2 L PHP-CGM % | 6 P Python % | 3 P CPT % ")</f>
        <v xml:space="preserve">| 1 L CPT % | 2 L PHP-CGM % | 6 P Python % | 3 P CPT % </v>
      </c>
      <c r="CH165" s="4" t="str">
        <f ca="1">IFERROR(__xludf.DUMMYFUNCTION("""COMPUTED_VALUE"""),"| 1 L NS % | 2 L PHP-CGM % | 3 P JAVA % | 5 P NS % ")</f>
        <v xml:space="preserve">| 1 L NS % | 2 L PHP-CGM % | 3 P JAVA % | 5 P NS % </v>
      </c>
      <c r="CI165" s="4" t="str">
        <f ca="1">IFERROR(__xludf.DUMMYFUNCTION("""COMPUTED_VALUE"""),"| 1 L CPT % | 2 L JAVA % | 5 P PHP-CGM % ")</f>
        <v xml:space="preserve">| 1 L CPT % | 2 L JAVA % | 5 P PHP-CGM % </v>
      </c>
      <c r="CJ165" s="4" t="str">
        <f ca="1">IFERROR(__xludf.DUMMYFUNCTION("""COMPUTED_VALUE"""),"| 1 L CPT @ ")</f>
        <v xml:space="preserve">| 1 L CPT @ </v>
      </c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</row>
    <row r="166" spans="1:102" ht="12.5" x14ac:dyDescent="0.25">
      <c r="A166" s="3">
        <f ca="1">IFERROR(__xludf.DUMMYFUNCTION("""COMPUTED_VALUE"""),1)</f>
        <v>1</v>
      </c>
      <c r="B166" s="3" t="str">
        <f ca="1">IFERROR(__xludf.DUMMYFUNCTION("""COMPUTED_VALUE"""),"C")</f>
        <v>C</v>
      </c>
      <c r="C166" s="32" t="str">
        <f ca="1">IFERROR(__xludf.DUMMYFUNCTION("""COMPUTED_VALUE"""),"22171341186")</f>
        <v>22171341186</v>
      </c>
      <c r="D166" s="4" t="str">
        <f ca="1">IFERROR(__xludf.DUMMYFUNCTION("""COMPUTED_VALUE"""),"SOLANKI DIVYA JITUBHAI")</f>
        <v>SOLANKI DIVYA JITUBHAI</v>
      </c>
      <c r="E166" s="3" t="str">
        <f ca="1">IFERROR(__xludf.DUMMYFUNCTION("""COMPUTED_VALUE"""),"PKN/PAP-Mor")</f>
        <v>PKN/PAP-Mor</v>
      </c>
      <c r="F166" s="3" t="str">
        <f ca="1">IFERROR(__xludf.DUMMYFUNCTION("""COMPUTED_VALUE"""),"6356434281")</f>
        <v>6356434281</v>
      </c>
      <c r="G166" s="3">
        <f ca="1">IFERROR(__xludf.DUMMYFUNCTION("""COMPUTED_VALUE"""),8200618356)</f>
        <v>8200618356</v>
      </c>
      <c r="H166" s="33">
        <f ca="1">IFERROR(__xludf.DUMMYFUNCTION("""COMPUTED_VALUE"""),0.25)</f>
        <v>0.25</v>
      </c>
      <c r="I166" s="25">
        <f ca="1">IFERROR(__xludf.DUMMYFUNCTION("""COMPUTED_VALUE"""),0.31578947368421)</f>
        <v>0.31578947368421001</v>
      </c>
      <c r="J166" s="25">
        <f ca="1">IFERROR(__xludf.DUMMYFUNCTION("""COMPUTED_VALUE"""),0.416666666666666)</f>
        <v>0.41666666666666602</v>
      </c>
      <c r="K166" s="25">
        <f ca="1">IFERROR(__xludf.DUMMYFUNCTION("""COMPUTED_VALUE"""),0.235294117647058)</f>
        <v>0.23529411764705799</v>
      </c>
      <c r="L166" s="25">
        <f ca="1">IFERROR(__xludf.DUMMYFUNCTION("""COMPUTED_VALUE"""),0.181818181818181)</f>
        <v>0.18181818181818099</v>
      </c>
      <c r="M166" s="25">
        <f ca="1">IFERROR(__xludf.DUMMYFUNCTION("""COMPUTED_VALUE"""),0.342857142857142)</f>
        <v>0.34285714285714203</v>
      </c>
      <c r="N166" s="25">
        <f ca="1">IFERROR(__xludf.DUMMYFUNCTION("""COMPUTED_VALUE"""),0.23076923076923)</f>
        <v>0.23076923076923</v>
      </c>
      <c r="O166" s="25">
        <f ca="1">IFERROR(__xludf.DUMMYFUNCTION("""COMPUTED_VALUE"""),0.147058823529411)</f>
        <v>0.14705882352941099</v>
      </c>
      <c r="P166" s="25">
        <f ca="1">IFERROR(__xludf.DUMMYFUNCTION("""COMPUTED_VALUE"""),0.227272727272727)</f>
        <v>0.22727272727272699</v>
      </c>
      <c r="Q166" s="25">
        <f ca="1">IFERROR(__xludf.DUMMYFUNCTION("""COMPUTED_VALUE"""),0)</f>
        <v>0</v>
      </c>
      <c r="R166" s="25">
        <f ca="1">IFERROR(__xludf.DUMMYFUNCTION("""COMPUTED_VALUE"""),0.272727272727272)</f>
        <v>0.27272727272727199</v>
      </c>
      <c r="S166" s="25">
        <f ca="1">IFERROR(__xludf.DUMMYFUNCTION("""COMPUTED_VALUE"""),0)</f>
        <v>0</v>
      </c>
      <c r="T166" s="25">
        <f ca="1">IFERROR(__xludf.DUMMYFUNCTION("""COMPUTED_VALUE"""),0.181818181818181)</f>
        <v>0.18181818181818099</v>
      </c>
      <c r="U166" s="25">
        <f ca="1">IFERROR(__xludf.DUMMYFUNCTION("""COMPUTED_VALUE"""),0)</f>
        <v>0</v>
      </c>
      <c r="V166" s="25">
        <f ca="1">IFERROR(__xludf.DUMMYFUNCTION("""COMPUTED_VALUE"""),0)</f>
        <v>0</v>
      </c>
      <c r="W166" s="4"/>
      <c r="X166" s="4"/>
      <c r="Y166" s="4" t="str">
        <f ca="1">IFERROR(__xludf.DUMMYFUNCTION("""COMPUTED_VALUE"""),"| 1 L CPT @ | 5 L PHP-CGM @ | 1 P CPT @ | 6 P Python @ ")</f>
        <v xml:space="preserve">| 1 L CPT @ | 5 L PHP-CGM @ | 1 P CPT @ | 6 P Python @ </v>
      </c>
      <c r="Z166" s="4" t="str">
        <f ca="1">IFERROR(__xludf.DUMMYFUNCTION("""COMPUTED_VALUE"""),"| 1 L CPT % | 2 L PHP-CGM % | 3 P JAVA % | 5 P NS % ")</f>
        <v xml:space="preserve">| 1 L CPT % | 2 L PHP-CGM % | 3 P JAVA % | 5 P NS % </v>
      </c>
      <c r="AA166" s="4" t="str">
        <f ca="1">IFERROR(__xludf.DUMMYFUNCTION("""COMPUTED_VALUE"""),"| 1 L NS % | 2 L JAVA % | 3 P Python % | 5 P PHP-CGM % ")</f>
        <v xml:space="preserve">| 1 L NS % | 2 L JAVA % | 3 P Python % | 5 P PHP-CGM % </v>
      </c>
      <c r="AB166" s="4" t="str">
        <f ca="1">IFERROR(__xludf.DUMMYFUNCTION("""COMPUTED_VALUE"""),"| 1 L CPT @ | 2 L JAVA @ | 3 P JAVA @ ")</f>
        <v xml:space="preserve">| 1 L CPT @ | 2 L JAVA @ | 3 P JAVA @ </v>
      </c>
      <c r="AC166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66" s="4" t="str">
        <f ca="1">IFERROR(__xludf.DUMMYFUNCTION("""COMPUTED_VALUE"""),"| 1 L CPT % | 2 L PHP-CGM % | 3 P CPT % | 6 P Python % ")</f>
        <v xml:space="preserve">| 1 L CPT % | 2 L PHP-CGM % | 3 P CPT % | 6 P Python % </v>
      </c>
      <c r="AE166" s="4" t="str">
        <f ca="1">IFERROR(__xludf.DUMMYFUNCTION("""COMPUTED_VALUE"""),"| 1 L CPT % | 3 P JAVA % | 5 P NS @ | 2 L PHP-CGM % ")</f>
        <v xml:space="preserve">| 1 L CPT % | 3 P JAVA % | 5 P NS @ | 2 L PHP-CGM % </v>
      </c>
      <c r="AF166" s="4" t="str">
        <f ca="1">IFERROR(__xludf.DUMMYFUNCTION("""COMPUTED_VALUE"""),"| 1 L NS % | 2 L CPT % | 3 P Python % | 5 P PHP-CGM % ")</f>
        <v xml:space="preserve">| 1 L NS % | 2 L CPT % | 3 P Python % | 5 P PHP-CGM % </v>
      </c>
      <c r="AG166" s="4" t="str">
        <f ca="1">IFERROR(__xludf.DUMMYFUNCTION("""COMPUTED_VALUE"""),"| 1 L CPT % | 2 L JAVA % | 3 P JAVA % ")</f>
        <v xml:space="preserve">| 1 L CPT % | 2 L JAVA % | 3 P JAVA % </v>
      </c>
      <c r="AH166" s="4" t="str">
        <f ca="1">IFERROR(__xludf.DUMMYFUNCTION("""COMPUTED_VALUE"""),"| 2 L JAVA % | 1 L NS % | 3 P Python % | 5 P PHP-CGM % ")</f>
        <v xml:space="preserve">| 2 L JAVA % | 1 L NS % | 3 P Python % | 5 P PHP-CGM % </v>
      </c>
      <c r="AI166" s="4" t="str">
        <f ca="1">IFERROR(__xludf.DUMMYFUNCTION("""COMPUTED_VALUE"""),"| 1 L CPT @ | 2 L JAVA @ | 3 P JAVA @ ")</f>
        <v xml:space="preserve">| 1 L CPT @ | 2 L JAVA @ | 3 P JAVA @ </v>
      </c>
      <c r="AJ16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66" s="4" t="str">
        <f ca="1">IFERROR(__xludf.DUMMYFUNCTION("""COMPUTED_VALUE"""),"| 1 L CPT % | 3 P CPT % | 2 L PHP-CGM % | 6 P Python % ")</f>
        <v xml:space="preserve">| 1 L CPT % | 3 P CPT % | 2 L PHP-CGM % | 6 P Python % </v>
      </c>
      <c r="AL166" s="4" t="str">
        <f ca="1">IFERROR(__xludf.DUMMYFUNCTION("""COMPUTED_VALUE"""),"| 1 L CPT % | 2 L PHP-CGM % | 3 P JAVA % | 5 P NS % ")</f>
        <v xml:space="preserve">| 1 L CPT % | 2 L PHP-CGM % | 3 P JAVA % | 5 P NS % </v>
      </c>
      <c r="AM166" s="4" t="str">
        <f ca="1">IFERROR(__xludf.DUMMYFUNCTION("""COMPUTED_VALUE"""),"| 2 L JAVA @ | 3 P Python @ | 5 P PHP-CGM @ | 1 L NS @ ")</f>
        <v xml:space="preserve">| 2 L JAVA @ | 3 P Python @ | 5 P PHP-CGM @ | 1 L NS @ </v>
      </c>
      <c r="AN166" s="4" t="str">
        <f ca="1">IFERROR(__xludf.DUMMYFUNCTION("""COMPUTED_VALUE"""),"| 1 L CPT @ | 2 L JAVA @ | 3 P JAVA @ | 5 L INE @ ")</f>
        <v xml:space="preserve">| 1 L CPT @ | 2 L JAVA @ | 3 P JAVA @ | 5 L INE @ </v>
      </c>
      <c r="AO166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166" s="4" t="str">
        <f ca="1">IFERROR(__xludf.DUMMYFUNCTION("""COMPUTED_VALUE"""),"| 1 L CPT @ | 2 L PHP-CGM @ | 3 P CPT @ | 6 P Python @ ")</f>
        <v xml:space="preserve">| 1 L CPT @ | 2 L PHP-CGM @ | 3 P CPT @ | 6 P Python @ </v>
      </c>
      <c r="AQ166" s="4" t="str">
        <f ca="1">IFERROR(__xludf.DUMMYFUNCTION("""COMPUTED_VALUE"""),"| 2 L PHP-CGM @ | 3 P JAVA @ | 1 L NS @ | 5 P NS @ ")</f>
        <v xml:space="preserve">| 2 L PHP-CGM @ | 3 P JAVA @ | 1 L NS @ | 5 P NS @ </v>
      </c>
      <c r="AR166" s="4" t="str">
        <f ca="1">IFERROR(__xludf.DUMMYFUNCTION("""COMPUTED_VALUE"""),"| 1 L CPT @ | 2 L JAVA @ | 3 P Python @ | 5 P PHP-CGM @ ")</f>
        <v xml:space="preserve">| 1 L CPT @ | 2 L JAVA @ | 3 P Python @ | 5 P PHP-CGM @ </v>
      </c>
      <c r="AS16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AT166" s="4" t="str">
        <f ca="1">IFERROR(__xludf.DUMMYFUNCTION("""COMPUTED_VALUE"""),"| 1 L CPT % | 2 L PHP-CGM % | 3 P CPT % | 6 P Python % ")</f>
        <v xml:space="preserve">| 1 L CPT % | 2 L PHP-CGM % | 3 P CPT % | 6 P Python % </v>
      </c>
      <c r="AU166" s="4" t="str">
        <f ca="1">IFERROR(__xludf.DUMMYFUNCTION("""COMPUTED_VALUE"""),"| 1 L NS @ | 2 L PHP-CGM @ | 3 P JAVA @ | 5 P NS @ ")</f>
        <v xml:space="preserve">| 1 L NS @ | 2 L PHP-CGM @ | 3 P JAVA @ | 5 P NS @ </v>
      </c>
      <c r="AV166" s="4" t="str">
        <f ca="1">IFERROR(__xludf.DUMMYFUNCTION("""COMPUTED_VALUE"""),"| 1 L CPT @ | 2 L JAVA @ | 3 P Python @ | 5 P PHP-CGM @ ")</f>
        <v xml:space="preserve">| 1 L CPT @ | 2 L JAVA @ | 3 P Python @ | 5 P PHP-CGM @ </v>
      </c>
      <c r="AW166" s="4" t="str">
        <f ca="1">IFERROR(__xludf.DUMMYFUNCTION("""COMPUTED_VALUE"""),"| 1 L CPT @ | 2 L JAVA @ | 3 P JAVA @ | 5 L INE @ | 6 L INE @ ")</f>
        <v xml:space="preserve">| 1 L CPT @ | 2 L JAVA @ | 3 P JAVA @ | 5 L INE @ | 6 L INE @ </v>
      </c>
      <c r="AX166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166" s="4" t="str">
        <f ca="1">IFERROR(__xludf.DUMMYFUNCTION("""COMPUTED_VALUE"""),"| 1 L CPT @ | 2 L PHP-CGM @ | 3 P CPT @ | 6 P Python @ ")</f>
        <v xml:space="preserve">| 1 L CPT @ | 2 L PHP-CGM @ | 3 P CPT @ | 6 P Python @ </v>
      </c>
      <c r="AZ166" s="4" t="str">
        <f ca="1">IFERROR(__xludf.DUMMYFUNCTION("""COMPUTED_VALUE"""),"| 1 L CPT @ | 2 L JAVA @ | 3 P Python @ | 5 P PHP-CGM @ ")</f>
        <v xml:space="preserve">| 1 L CPT @ | 2 L JAVA @ | 3 P Python @ | 5 P PHP-CGM @ </v>
      </c>
      <c r="BA166" s="4" t="str">
        <f ca="1">IFERROR(__xludf.DUMMYFUNCTION("""COMPUTED_VALUE"""),"| 1 L CPT @ | 2 L JAVA @ | 3 P JAVA @ | 5 L INE @ ")</f>
        <v xml:space="preserve">| 1 L CPT @ | 2 L JAVA @ | 3 P JAVA @ | 5 L INE @ </v>
      </c>
      <c r="BB16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66" s="4" t="str">
        <f ca="1">IFERROR(__xludf.DUMMYFUNCTION("""COMPUTED_VALUE"""),"| 1 L CPT % | 2 L PHP-CGM % | 3 P CPT % | 6 P Python @ ")</f>
        <v xml:space="preserve">| 1 L CPT % | 2 L PHP-CGM % | 3 P CPT % | 6 P Python @ </v>
      </c>
      <c r="BD166" s="4" t="str">
        <f ca="1">IFERROR(__xludf.DUMMYFUNCTION("""COMPUTED_VALUE"""),"| 1 L NS % | 2 L PHP-CGM % | 3 P JAVA % | 5 P NS @ ")</f>
        <v xml:space="preserve">| 1 L NS % | 2 L PHP-CGM % | 3 P JAVA % | 5 P NS @ </v>
      </c>
      <c r="BE166" s="4" t="str">
        <f ca="1">IFERROR(__xludf.DUMMYFUNCTION("""COMPUTED_VALUE"""),"| 1 L CPT @ | 2 L JAVA @ | 3 P Python @ | 5 P PHP-CGM @ ")</f>
        <v xml:space="preserve">| 1 L CPT @ | 2 L JAVA @ | 3 P Python @ | 5 P PHP-CGM @ </v>
      </c>
      <c r="BF166" s="4" t="str">
        <f ca="1">IFERROR(__xludf.DUMMYFUNCTION("""COMPUTED_VALUE"""),"| 1 L CPT @ | 2 L JAVA @ | 3 P JAVA @ ")</f>
        <v xml:space="preserve">| 1 L CPT @ | 2 L JAVA @ | 3 P JAVA @ </v>
      </c>
      <c r="BG166" s="4" t="str">
        <f ca="1">IFERROR(__xludf.DUMMYFUNCTION("""COMPUTED_VALUE"""),"| 2 L PHP-CGM % | 3 P CPT % | 1 L CPT % | 6 P Python @ ")</f>
        <v xml:space="preserve">| 2 L PHP-CGM % | 3 P CPT % | 1 L CPT % | 6 P Python @ </v>
      </c>
      <c r="BH166" s="4" t="str">
        <f ca="1">IFERROR(__xludf.DUMMYFUNCTION("""COMPUTED_VALUE"""),"| 1 L NS @ | 2 L PHP-CGM @ | 3 P JAVA @ | 5 P NS @ ")</f>
        <v xml:space="preserve">| 1 L NS @ | 2 L PHP-CGM @ | 3 P JAVA @ | 5 P NS @ </v>
      </c>
      <c r="BI166" s="4" t="str">
        <f ca="1">IFERROR(__xludf.DUMMYFUNCTION("""COMPUTED_VALUE"""),"| 1 L CPT @ | 2 L JAVA @ | 3 P Python @ | 5 P PHP-CGM @ ")</f>
        <v xml:space="preserve">| 1 L CPT @ | 2 L JAVA @ | 3 P Python @ | 5 P PHP-CGM @ </v>
      </c>
      <c r="BJ166" s="4" t="str">
        <f ca="1">IFERROR(__xludf.DUMMYFUNCTION("""COMPUTED_VALUE"""),"| 1 L CPT @ | 2 L JAVA @ | 3 P JAVA @ | 5 L INE @ ")</f>
        <v xml:space="preserve">| 1 L CPT @ | 2 L JAVA @ | 3 P JAVA @ | 5 L INE @ </v>
      </c>
      <c r="BK16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66" s="4" t="str">
        <f ca="1">IFERROR(__xludf.DUMMYFUNCTION("""COMPUTED_VALUE"""),"| 1 L CPT @ | 2 L PHP-CGM @ | 3 P CPT @ ")</f>
        <v xml:space="preserve">| 1 L CPT @ | 2 L PHP-CGM @ | 3 P CPT @ </v>
      </c>
      <c r="BM166" s="4" t="str">
        <f ca="1">IFERROR(__xludf.DUMMYFUNCTION("""COMPUTED_VALUE"""),"| 1 L NS @ | 2 L PHP-CGM @ | 3 P JAVA @ | 5 P NS @ ")</f>
        <v xml:space="preserve">| 1 L NS @ | 2 L PHP-CGM @ | 3 P JAVA @ | 5 P NS @ </v>
      </c>
      <c r="BN166" s="4" t="str">
        <f ca="1">IFERROR(__xludf.DUMMYFUNCTION("""COMPUTED_VALUE"""),"| 2 L JAVA @ | 1 L CPT @ | 3 P Python @ | 5 P PHP-CGM @ ")</f>
        <v xml:space="preserve">| 2 L JAVA @ | 1 L CPT @ | 3 P Python @ | 5 P PHP-CGM @ </v>
      </c>
      <c r="BO166" s="4" t="str">
        <f ca="1">IFERROR(__xludf.DUMMYFUNCTION("""COMPUTED_VALUE"""),"| 2 L JAVA @ | 1 L CPT @ | 3 P JAVA @ | 5 L INE @ ")</f>
        <v xml:space="preserve">| 2 L JAVA @ | 1 L CPT @ | 3 P JAVA @ | 5 L INE @ </v>
      </c>
      <c r="BP16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66" s="4"/>
      <c r="BR166" s="4"/>
      <c r="BS166" s="4"/>
      <c r="BT166" s="4" t="str">
        <f ca="1">IFERROR(__xludf.DUMMYFUNCTION("""COMPUTED_VALUE"""),"| 1 L NS @ | 2 L PHP-CGM @ | 3 P PRO @ ")</f>
        <v xml:space="preserve">| 1 L NS @ | 2 L PHP-CGM @ | 3 P PRO @ </v>
      </c>
      <c r="BU166" s="4" t="str">
        <f ca="1">IFERROR(__xludf.DUMMYFUNCTION("""COMPUTED_VALUE"""),"| 1 L CPT @ ")</f>
        <v xml:space="preserve">| 1 L CPT @ </v>
      </c>
      <c r="BV166" s="4" t="str">
        <f ca="1">IFERROR(__xludf.DUMMYFUNCTION("""COMPUTED_VALUE"""),"| 1 L NS @ | 2 L PHP-CGM @ | 3 P PRO @ | 6 L JAVA @ ")</f>
        <v xml:space="preserve">| 1 L NS @ | 2 L PHP-CGM @ | 3 P PRO @ | 6 L JAVA @ </v>
      </c>
      <c r="BW166" s="4" t="str">
        <f ca="1">IFERROR(__xludf.DUMMYFUNCTION("""COMPUTED_VALUE"""),"| 1 L CPT @ | 2 L PHP-CGM @ | 3 P CPT @ ")</f>
        <v xml:space="preserve">| 1 L CPT @ | 2 L PHP-CGM @ | 3 P CPT @ </v>
      </c>
      <c r="BX166" s="4" t="str">
        <f ca="1">IFERROR(__xludf.DUMMYFUNCTION("""COMPUTED_VALUE"""),"| 1 L NS @ | 2 L PHP-CGM @ | 3 P JAVA @ | 5 P NS @ ")</f>
        <v xml:space="preserve">| 1 L NS @ | 2 L PHP-CGM @ | 3 P JAVA @ | 5 P NS @ </v>
      </c>
      <c r="BY166" s="4" t="str">
        <f ca="1">IFERROR(__xludf.DUMMYFUNCTION("""COMPUTED_VALUE"""),"| 1 L CPT @ | 2 L JAVA @ | 3 P Python @ | 5 P PHP-CGM @ ")</f>
        <v xml:space="preserve">| 1 L CPT @ | 2 L JAVA @ | 3 P Python @ | 5 P PHP-CGM @ </v>
      </c>
      <c r="BZ166" s="4" t="str">
        <f ca="1">IFERROR(__xludf.DUMMYFUNCTION("""COMPUTED_VALUE"""),"| 1 L CPT @ | 2 L JAVA @ | 3 P JAVA @ | 5 L INE @ ")</f>
        <v xml:space="preserve">| 1 L CPT @ | 2 L JAVA @ | 3 P JAVA @ | 5 L INE @ </v>
      </c>
      <c r="CA16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66" s="4" t="str">
        <f ca="1">IFERROR(__xludf.DUMMYFUNCTION("""COMPUTED_VALUE"""),"| 2 L PHP-CGM % | 3 P CPT @ | 6 P Python @ | 1 L CPT % ")</f>
        <v xml:space="preserve">| 2 L PHP-CGM % | 3 P CPT @ | 6 P Python @ | 1 L CPT % </v>
      </c>
      <c r="CC166" s="4" t="str">
        <f ca="1">IFERROR(__xludf.DUMMYFUNCTION("""COMPUTED_VALUE"""),"| 1 L NS @ | 2 L PHP-CGM @ | 3 P JAVA @ | 5 P NS @ ")</f>
        <v xml:space="preserve">| 1 L NS @ | 2 L PHP-CGM @ | 3 P JAVA @ | 5 P NS @ </v>
      </c>
      <c r="CD166" s="4" t="str">
        <f ca="1">IFERROR(__xludf.DUMMYFUNCTION("""COMPUTED_VALUE"""),"| 1 L CPT % | 2 L JAVA @ | 3 P Python @ | 5 P PHP-CGM @ ")</f>
        <v xml:space="preserve">| 1 L CPT % | 2 L JAVA @ | 3 P Python @ | 5 P PHP-CGM @ </v>
      </c>
      <c r="CE166" s="4" t="str">
        <f ca="1">IFERROR(__xludf.DUMMYFUNCTION("""COMPUTED_VALUE"""),"| 1 L CPT @ | 2 L JAVA @ | 3 P JAVA @ | 5 L INE @ ")</f>
        <v xml:space="preserve">| 1 L CPT @ | 2 L JAVA @ | 3 P JAVA @ | 5 L INE @ </v>
      </c>
      <c r="CF166" s="4" t="str">
        <f ca="1">IFERROR(__xludf.DUMMYFUNCTION("""COMPUTED_VALUE"""),"| 1 L NS @ | 2 L PHP-CGM @ | 5 L NS @ | 6 L JAVA @ ")</f>
        <v xml:space="preserve">| 1 L NS @ | 2 L PHP-CGM @ | 5 L NS @ | 6 L JAVA @ </v>
      </c>
      <c r="CG166" s="4" t="str">
        <f ca="1">IFERROR(__xludf.DUMMYFUNCTION("""COMPUTED_VALUE"""),"| 1 L CPT @ | 2 L PHP-CGM @ | 6 P Python @ | 3 P CPT @ ")</f>
        <v xml:space="preserve">| 1 L CPT @ | 2 L PHP-CGM @ | 6 P Python @ | 3 P CPT @ </v>
      </c>
      <c r="CH166" s="4" t="str">
        <f ca="1">IFERROR(__xludf.DUMMYFUNCTION("""COMPUTED_VALUE"""),"| 1 L NS @ | 2 L PHP-CGM @ | 3 P JAVA @ | 5 P NS @ ")</f>
        <v xml:space="preserve">| 1 L NS @ | 2 L PHP-CGM @ | 3 P JAVA @ | 5 P NS @ </v>
      </c>
      <c r="CI166" s="4" t="str">
        <f ca="1">IFERROR(__xludf.DUMMYFUNCTION("""COMPUTED_VALUE"""),"| 1 L CPT @ | 2 L JAVA @ | 5 P PHP-CGM @ ")</f>
        <v xml:space="preserve">| 1 L CPT @ | 2 L JAVA @ | 5 P PHP-CGM @ </v>
      </c>
      <c r="CJ166" s="4" t="str">
        <f ca="1">IFERROR(__xludf.DUMMYFUNCTION("""COMPUTED_VALUE"""),"| 1 L CPT @ ")</f>
        <v xml:space="preserve">| 1 L CPT @ </v>
      </c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</row>
    <row r="167" spans="1:102" ht="12.5" x14ac:dyDescent="0.25">
      <c r="A167" s="3">
        <f ca="1">IFERROR(__xludf.DUMMYFUNCTION("""COMPUTED_VALUE"""),1)</f>
        <v>1</v>
      </c>
      <c r="B167" s="3" t="str">
        <f ca="1">IFERROR(__xludf.DUMMYFUNCTION("""COMPUTED_VALUE"""),"C")</f>
        <v>C</v>
      </c>
      <c r="C167" s="32" t="str">
        <f ca="1">IFERROR(__xludf.DUMMYFUNCTION("""COMPUTED_VALUE"""),"23171341001")</f>
        <v>23171341001</v>
      </c>
      <c r="D167" s="4" t="str">
        <f ca="1">IFERROR(__xludf.DUMMYFUNCTION("""COMPUTED_VALUE"""),"ACHARYA KRISHNA HITESHKUMAR")</f>
        <v>ACHARYA KRISHNA HITESHKUMAR</v>
      </c>
      <c r="E167" s="3" t="str">
        <f ca="1">IFERROR(__xludf.DUMMYFUNCTION("""COMPUTED_VALUE"""),"PKN/PAP-Mor")</f>
        <v>PKN/PAP-Mor</v>
      </c>
      <c r="F167" s="3">
        <f ca="1">IFERROR(__xludf.DUMMYFUNCTION("""COMPUTED_VALUE"""),9510686456)</f>
        <v>9510686456</v>
      </c>
      <c r="G167" s="3">
        <f ca="1">IFERROR(__xludf.DUMMYFUNCTION("""COMPUTED_VALUE"""),9510686456)</f>
        <v>9510686456</v>
      </c>
      <c r="H167" s="33">
        <f ca="1">IFERROR(__xludf.DUMMYFUNCTION("""COMPUTED_VALUE"""),0.66938775510204)</f>
        <v>0.66938775510203996</v>
      </c>
      <c r="I167" s="25">
        <f ca="1">IFERROR(__xludf.DUMMYFUNCTION("""COMPUTED_VALUE"""),0.657894736842105)</f>
        <v>0.65789473684210498</v>
      </c>
      <c r="J167" s="25">
        <f ca="1">IFERROR(__xludf.DUMMYFUNCTION("""COMPUTED_VALUE"""),0.833333333333333)</f>
        <v>0.83333333333333304</v>
      </c>
      <c r="K167" s="25">
        <f ca="1">IFERROR(__xludf.DUMMYFUNCTION("""COMPUTED_VALUE"""),0.638888888888888)</f>
        <v>0.63888888888888795</v>
      </c>
      <c r="L167" s="25">
        <f ca="1">IFERROR(__xludf.DUMMYFUNCTION("""COMPUTED_VALUE"""),0.818181818181818)</f>
        <v>0.81818181818181801</v>
      </c>
      <c r="M167" s="25">
        <f ca="1">IFERROR(__xludf.DUMMYFUNCTION("""COMPUTED_VALUE"""),0.722222222222222)</f>
        <v>0.72222222222222199</v>
      </c>
      <c r="N167" s="25">
        <f ca="1">IFERROR(__xludf.DUMMYFUNCTION("""COMPUTED_VALUE"""),0.692307692307692)</f>
        <v>0.69230769230769196</v>
      </c>
      <c r="O167" s="25">
        <f ca="1">IFERROR(__xludf.DUMMYFUNCTION("""COMPUTED_VALUE"""),0.571428571428571)</f>
        <v>0.57142857142857095</v>
      </c>
      <c r="P167" s="25">
        <f ca="1">IFERROR(__xludf.DUMMYFUNCTION("""COMPUTED_VALUE"""),0.681818181818181)</f>
        <v>0.68181818181818099</v>
      </c>
      <c r="Q167" s="25">
        <f ca="1">IFERROR(__xludf.DUMMYFUNCTION("""COMPUTED_VALUE"""),0)</f>
        <v>0</v>
      </c>
      <c r="R167" s="25">
        <f ca="1">IFERROR(__xludf.DUMMYFUNCTION("""COMPUTED_VALUE"""),0.818181818181818)</f>
        <v>0.81818181818181801</v>
      </c>
      <c r="S167" s="25">
        <f ca="1">IFERROR(__xludf.DUMMYFUNCTION("""COMPUTED_VALUE"""),0)</f>
        <v>0</v>
      </c>
      <c r="T167" s="25">
        <f ca="1">IFERROR(__xludf.DUMMYFUNCTION("""COMPUTED_VALUE"""),0.5)</f>
        <v>0.5</v>
      </c>
      <c r="U167" s="25">
        <f ca="1">IFERROR(__xludf.DUMMYFUNCTION("""COMPUTED_VALUE"""),0.375)</f>
        <v>0.375</v>
      </c>
      <c r="V167" s="25">
        <f ca="1">IFERROR(__xludf.DUMMYFUNCTION("""COMPUTED_VALUE"""),0)</f>
        <v>0</v>
      </c>
      <c r="W167" s="4"/>
      <c r="X167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Y167" s="4" t="str">
        <f ca="1">IFERROR(__xludf.DUMMYFUNCTION("""COMPUTED_VALUE"""),"| 1 L CPT % | 5 L PHP-CGM % | 1 P CPT % | 6 P Python % ")</f>
        <v xml:space="preserve">| 1 L CPT % | 5 L PHP-CGM % | 1 P CPT % | 6 P Python % </v>
      </c>
      <c r="Z167" s="4" t="str">
        <f ca="1">IFERROR(__xludf.DUMMYFUNCTION("""COMPUTED_VALUE"""),"| 1 L CPT % | 2 L PHP-CGM % | 3 P JAVA % | 5 P NS % ")</f>
        <v xml:space="preserve">| 1 L CPT % | 2 L PHP-CGM % | 3 P JAVA % | 5 P NS % </v>
      </c>
      <c r="AA167" s="4" t="str">
        <f ca="1">IFERROR(__xludf.DUMMYFUNCTION("""COMPUTED_VALUE"""),"| 1 L NS % | 2 L JAVA % | 3 P Python % | 5 P PHP-CGM % ")</f>
        <v xml:space="preserve">| 1 L NS % | 2 L JAVA % | 3 P Python % | 5 P PHP-CGM % </v>
      </c>
      <c r="AB167" s="4" t="str">
        <f ca="1">IFERROR(__xludf.DUMMYFUNCTION("""COMPUTED_VALUE"""),"| 1 L CPT % | 2 L JAVA % | 3 P JAVA % ")</f>
        <v xml:space="preserve">| 1 L CPT % | 2 L JAVA % | 3 P JAVA % </v>
      </c>
      <c r="AC167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67" s="4" t="str">
        <f ca="1">IFERROR(__xludf.DUMMYFUNCTION("""COMPUTED_VALUE"""),"| 1 L CPT % | 2 L PHP-CGM % | 3 P CPT % | 6 P Python % ")</f>
        <v xml:space="preserve">| 1 L CPT % | 2 L PHP-CGM % | 3 P CPT % | 6 P Python % </v>
      </c>
      <c r="AE167" s="4" t="str">
        <f ca="1">IFERROR(__xludf.DUMMYFUNCTION("""COMPUTED_VALUE"""),"| 1 L CPT % | 3 P JAVA % | 5 P NS % | 2 L PHP-CGM % ")</f>
        <v xml:space="preserve">| 1 L CPT % | 3 P JAVA % | 5 P NS % | 2 L PHP-CGM % </v>
      </c>
      <c r="AF167" s="4" t="str">
        <f ca="1">IFERROR(__xludf.DUMMYFUNCTION("""COMPUTED_VALUE"""),"| 1 L NS % | 2 L CPT % | 3 P Python % | 5 P PHP-CGM % ")</f>
        <v xml:space="preserve">| 1 L NS % | 2 L CPT % | 3 P Python % | 5 P PHP-CGM % </v>
      </c>
      <c r="AG167" s="4" t="str">
        <f ca="1">IFERROR(__xludf.DUMMYFUNCTION("""COMPUTED_VALUE"""),"| 1 L CPT % | 2 L JAVA % | 3 P JAVA % ")</f>
        <v xml:space="preserve">| 1 L CPT % | 2 L JAVA % | 3 P JAVA % </v>
      </c>
      <c r="AH167" s="4" t="str">
        <f ca="1">IFERROR(__xludf.DUMMYFUNCTION("""COMPUTED_VALUE"""),"| 2 L JAVA % | 1 L NS % | 3 P Python @ | 5 P PHP-CGM @ ")</f>
        <v xml:space="preserve">| 2 L JAVA % | 1 L NS % | 3 P Python @ | 5 P PHP-CGM @ </v>
      </c>
      <c r="AI167" s="4" t="str">
        <f ca="1">IFERROR(__xludf.DUMMYFUNCTION("""COMPUTED_VALUE"""),"| 1 L CPT @ | 2 L JAVA @ | 3 P JAVA @ ")</f>
        <v xml:space="preserve">| 1 L CPT @ | 2 L JAVA @ | 3 P JAVA @ </v>
      </c>
      <c r="AJ167" s="4" t="str">
        <f ca="1">IFERROR(__xludf.DUMMYFUNCTION("""COMPUTED_VALUE"""),"| 1 L NS % | 2 L PHP-CGM % | 3 P PRO @ | 5 L JAVA % | 6 L NS % ")</f>
        <v xml:space="preserve">| 1 L NS % | 2 L PHP-CGM % | 3 P PRO @ | 5 L JAVA % | 6 L NS % </v>
      </c>
      <c r="AK167" s="4" t="str">
        <f ca="1">IFERROR(__xludf.DUMMYFUNCTION("""COMPUTED_VALUE"""),"| 1 L CPT % | 3 P CPT % | 2 L PHP-CGM % | 6 P Python % ")</f>
        <v xml:space="preserve">| 1 L CPT % | 3 P CPT % | 2 L PHP-CGM % | 6 P Python % </v>
      </c>
      <c r="AL167" s="4" t="str">
        <f ca="1">IFERROR(__xludf.DUMMYFUNCTION("""COMPUTED_VALUE"""),"| 1 L CPT % | 2 L PHP-CGM % | 3 P JAVA % | 5 P NS % ")</f>
        <v xml:space="preserve">| 1 L CPT % | 2 L PHP-CGM % | 3 P JAVA % | 5 P NS % </v>
      </c>
      <c r="AM167" s="4" t="str">
        <f ca="1">IFERROR(__xludf.DUMMYFUNCTION("""COMPUTED_VALUE"""),"| 2 L JAVA % | 3 P Python % | 5 P PHP-CGM % | 1 L NS % ")</f>
        <v xml:space="preserve">| 2 L JAVA % | 3 P Python % | 5 P PHP-CGM % | 1 L NS % </v>
      </c>
      <c r="AN167" s="4" t="str">
        <f ca="1">IFERROR(__xludf.DUMMYFUNCTION("""COMPUTED_VALUE"""),"| 1 L CPT @ | 2 L JAVA @ | 3 P JAVA @ | 5 L INE @ ")</f>
        <v xml:space="preserve">| 1 L CPT @ | 2 L JAVA @ | 3 P JAVA @ | 5 L INE @ </v>
      </c>
      <c r="AO167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67" s="4" t="str">
        <f ca="1">IFERROR(__xludf.DUMMYFUNCTION("""COMPUTED_VALUE"""),"| 1 L CPT % | 2 L PHP-CGM % | 3 P CPT % | 6 P Python % ")</f>
        <v xml:space="preserve">| 1 L CPT % | 2 L PHP-CGM % | 3 P CPT % | 6 P Python % </v>
      </c>
      <c r="AQ167" s="4" t="str">
        <f ca="1">IFERROR(__xludf.DUMMYFUNCTION("""COMPUTED_VALUE"""),"| 2 L PHP-CGM % | 3 P JAVA % | 1 L NS % | 5 P NS % ")</f>
        <v xml:space="preserve">| 2 L PHP-CGM % | 3 P JAVA % | 1 L NS % | 5 P NS % </v>
      </c>
      <c r="AR167" s="4" t="str">
        <f ca="1">IFERROR(__xludf.DUMMYFUNCTION("""COMPUTED_VALUE"""),"| 1 L CPT % | 2 L JAVA % | 3 P Python % | 5 P PHP-CGM % ")</f>
        <v xml:space="preserve">| 1 L CPT % | 2 L JAVA % | 3 P Python % | 5 P PHP-CGM % </v>
      </c>
      <c r="AS167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AT167" s="4" t="str">
        <f ca="1">IFERROR(__xludf.DUMMYFUNCTION("""COMPUTED_VALUE"""),"| 1 L CPT % | 2 L PHP-CGM % | 3 P CPT % | 6 P Python % ")</f>
        <v xml:space="preserve">| 1 L CPT % | 2 L PHP-CGM % | 3 P CPT % | 6 P Python % </v>
      </c>
      <c r="AU167" s="4" t="str">
        <f ca="1">IFERROR(__xludf.DUMMYFUNCTION("""COMPUTED_VALUE"""),"| 1 L NS % | 2 L PHP-CGM % | 3 P JAVA % | 5 P NS % ")</f>
        <v xml:space="preserve">| 1 L NS % | 2 L PHP-CGM % | 3 P JAVA % | 5 P NS % </v>
      </c>
      <c r="AV167" s="4" t="str">
        <f ca="1">IFERROR(__xludf.DUMMYFUNCTION("""COMPUTED_VALUE"""),"| 1 L CPT % | 2 L JAVA % | 3 P Python % | 5 P PHP-CGM % ")</f>
        <v xml:space="preserve">| 1 L CPT % | 2 L JAVA % | 3 P Python % | 5 P PHP-CGM % </v>
      </c>
      <c r="AW167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67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67" s="4" t="str">
        <f ca="1">IFERROR(__xludf.DUMMYFUNCTION("""COMPUTED_VALUE"""),"| 1 L CPT % | 2 L PHP-CGM % | 3 P CPT % | 6 P Python % ")</f>
        <v xml:space="preserve">| 1 L CPT % | 2 L PHP-CGM % | 3 P CPT % | 6 P Python % </v>
      </c>
      <c r="AZ167" s="4" t="str">
        <f ca="1">IFERROR(__xludf.DUMMYFUNCTION("""COMPUTED_VALUE"""),"| 1 L CPT % | 2 L JAVA % | 3 P Python % | 5 P PHP-CGM % ")</f>
        <v xml:space="preserve">| 1 L CPT % | 2 L JAVA % | 3 P Python % | 5 P PHP-CGM % </v>
      </c>
      <c r="BA167" s="4" t="str">
        <f ca="1">IFERROR(__xludf.DUMMYFUNCTION("""COMPUTED_VALUE"""),"| 1 L CPT % | 2 L JAVA % | 3 P JAVA % | 5 L INE @ ")</f>
        <v xml:space="preserve">| 1 L CPT % | 2 L JAVA % | 3 P JAVA % | 5 L INE @ </v>
      </c>
      <c r="BB167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67" s="4" t="str">
        <f ca="1">IFERROR(__xludf.DUMMYFUNCTION("""COMPUTED_VALUE"""),"| 1 L CPT % | 2 L PHP-CGM % | 3 P CPT % | 6 P Python % ")</f>
        <v xml:space="preserve">| 1 L CPT % | 2 L PHP-CGM % | 3 P CPT % | 6 P Python % </v>
      </c>
      <c r="BD167" s="4" t="str">
        <f ca="1">IFERROR(__xludf.DUMMYFUNCTION("""COMPUTED_VALUE"""),"| 1 L NS % | 2 L PHP-CGM % | 3 P JAVA % | 5 P NS % ")</f>
        <v xml:space="preserve">| 1 L NS % | 2 L PHP-CGM % | 3 P JAVA % | 5 P NS % </v>
      </c>
      <c r="BE167" s="4" t="str">
        <f ca="1">IFERROR(__xludf.DUMMYFUNCTION("""COMPUTED_VALUE"""),"| 1 L CPT % | 2 L JAVA % | 3 P Python % | 5 P PHP-CGM % ")</f>
        <v xml:space="preserve">| 1 L CPT % | 2 L JAVA % | 3 P Python % | 5 P PHP-CGM % </v>
      </c>
      <c r="BF167" s="4" t="str">
        <f ca="1">IFERROR(__xludf.DUMMYFUNCTION("""COMPUTED_VALUE"""),"| 1 L CPT % | 2 L JAVA % | 3 P JAVA % ")</f>
        <v xml:space="preserve">| 1 L CPT % | 2 L JAVA % | 3 P JAVA % </v>
      </c>
      <c r="BG167" s="4" t="str">
        <f ca="1">IFERROR(__xludf.DUMMYFUNCTION("""COMPUTED_VALUE"""),"| 2 L PHP-CGM % | 3 P CPT % | 1 L CPT % | 6 P Python % ")</f>
        <v xml:space="preserve">| 2 L PHP-CGM % | 3 P CPT % | 1 L CPT % | 6 P Python % </v>
      </c>
      <c r="BH167" s="4" t="str">
        <f ca="1">IFERROR(__xludf.DUMMYFUNCTION("""COMPUTED_VALUE"""),"| 1 L NS % | 2 L PHP-CGM % | 3 P JAVA % | 5 P NS % ")</f>
        <v xml:space="preserve">| 1 L NS % | 2 L PHP-CGM % | 3 P JAVA % | 5 P NS % </v>
      </c>
      <c r="BI167" s="4" t="str">
        <f ca="1">IFERROR(__xludf.DUMMYFUNCTION("""COMPUTED_VALUE"""),"| 1 L CPT % | 2 L JAVA % | 3 P Python @ | 5 P PHP-CGM @ ")</f>
        <v xml:space="preserve">| 1 L CPT % | 2 L JAVA % | 3 P Python @ | 5 P PHP-CGM @ </v>
      </c>
      <c r="BJ167" s="4" t="str">
        <f ca="1">IFERROR(__xludf.DUMMYFUNCTION("""COMPUTED_VALUE"""),"| 1 L CPT @ | 2 L JAVA @ | 3 P JAVA @ | 5 L INE @ ")</f>
        <v xml:space="preserve">| 1 L CPT @ | 2 L JAVA @ | 3 P JAVA @ | 5 L INE @ </v>
      </c>
      <c r="BK167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67" s="4" t="str">
        <f ca="1">IFERROR(__xludf.DUMMYFUNCTION("""COMPUTED_VALUE"""),"| 1 L CPT @ | 2 L PHP-CGM @ | 3 P CPT @ ")</f>
        <v xml:space="preserve">| 1 L CPT @ | 2 L PHP-CGM @ | 3 P CPT @ </v>
      </c>
      <c r="BM167" s="4" t="str">
        <f ca="1">IFERROR(__xludf.DUMMYFUNCTION("""COMPUTED_VALUE"""),"| 1 L NS @ | 2 L PHP-CGM @ | 3 P JAVA @ | 5 P NS @ ")</f>
        <v xml:space="preserve">| 1 L NS @ | 2 L PHP-CGM @ | 3 P JAVA @ | 5 P NS @ </v>
      </c>
      <c r="BN167" s="4" t="str">
        <f ca="1">IFERROR(__xludf.DUMMYFUNCTION("""COMPUTED_VALUE"""),"| 2 L JAVA @ | 1 L CPT @ | 3 P Python @ | 5 P PHP-CGM @ ")</f>
        <v xml:space="preserve">| 2 L JAVA @ | 1 L CPT @ | 3 P Python @ | 5 P PHP-CGM @ </v>
      </c>
      <c r="BO167" s="4" t="str">
        <f ca="1">IFERROR(__xludf.DUMMYFUNCTION("""COMPUTED_VALUE"""),"| 2 L JAVA @ | 1 L CPT @ | 3 P JAVA @ | 5 L INE @ ")</f>
        <v xml:space="preserve">| 2 L JAVA @ | 1 L CPT @ | 3 P JAVA @ | 5 L INE @ </v>
      </c>
      <c r="BP167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67" s="4"/>
      <c r="BR167" s="4"/>
      <c r="BS167" s="4"/>
      <c r="BT167" s="4" t="str">
        <f ca="1">IFERROR(__xludf.DUMMYFUNCTION("""COMPUTED_VALUE"""),"| 1 L NS @ | 2 L PHP-CGM @ | 3 P PRO @ ")</f>
        <v xml:space="preserve">| 1 L NS @ | 2 L PHP-CGM @ | 3 P PRO @ </v>
      </c>
      <c r="BU167" s="4" t="str">
        <f ca="1">IFERROR(__xludf.DUMMYFUNCTION("""COMPUTED_VALUE"""),"| 1 L CPT @ ")</f>
        <v xml:space="preserve">| 1 L CPT @ </v>
      </c>
      <c r="BV167" s="4" t="str">
        <f ca="1">IFERROR(__xludf.DUMMYFUNCTION("""COMPUTED_VALUE"""),"| 1 L NS % | 2 L PHP-CGM % | 3 P PRO @ | 6 L JAVA @ ")</f>
        <v xml:space="preserve">| 1 L NS % | 2 L PHP-CGM % | 3 P PRO @ | 6 L JAVA @ </v>
      </c>
      <c r="BW167" s="4" t="str">
        <f ca="1">IFERROR(__xludf.DUMMYFUNCTION("""COMPUTED_VALUE"""),"| 1 L CPT % | 2 L PHP-CGM % | 3 P CPT @ ")</f>
        <v xml:space="preserve">| 1 L CPT % | 2 L PHP-CGM % | 3 P CPT @ </v>
      </c>
      <c r="BX167" s="4" t="str">
        <f ca="1">IFERROR(__xludf.DUMMYFUNCTION("""COMPUTED_VALUE"""),"| 1 L NS @ | 2 L PHP-CGM @ | 3 P JAVA @ | 5 P NS @ ")</f>
        <v xml:space="preserve">| 1 L NS @ | 2 L PHP-CGM @ | 3 P JAVA @ | 5 P NS @ </v>
      </c>
      <c r="BY167" s="4" t="str">
        <f ca="1">IFERROR(__xludf.DUMMYFUNCTION("""COMPUTED_VALUE"""),"| 1 L CPT @ | 2 L JAVA @ | 3 P Python @ | 5 P PHP-CGM @ ")</f>
        <v xml:space="preserve">| 1 L CPT @ | 2 L JAVA @ | 3 P Python @ | 5 P PHP-CGM @ </v>
      </c>
      <c r="BZ167" s="4" t="str">
        <f ca="1">IFERROR(__xludf.DUMMYFUNCTION("""COMPUTED_VALUE"""),"| 1 L CPT @ | 2 L JAVA @ | 3 P JAVA @ | 5 L INE @ ")</f>
        <v xml:space="preserve">| 1 L CPT @ | 2 L JAVA @ | 3 P JAVA @ | 5 L INE @ </v>
      </c>
      <c r="CA167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CB167" s="4" t="str">
        <f ca="1">IFERROR(__xludf.DUMMYFUNCTION("""COMPUTED_VALUE"""),"| 2 L PHP-CGM @ | 3 P CPT % | 6 P Python % | 1 L CPT @ ")</f>
        <v xml:space="preserve">| 2 L PHP-CGM @ | 3 P CPT % | 6 P Python % | 1 L CPT @ </v>
      </c>
      <c r="CC167" s="4" t="str">
        <f ca="1">IFERROR(__xludf.DUMMYFUNCTION("""COMPUTED_VALUE"""),"| 1 L NS @ | 2 L PHP-CGM @ | 3 P JAVA % | 5 P NS % ")</f>
        <v xml:space="preserve">| 1 L NS @ | 2 L PHP-CGM @ | 3 P JAVA % | 5 P NS % </v>
      </c>
      <c r="CD167" s="4" t="str">
        <f ca="1">IFERROR(__xludf.DUMMYFUNCTION("""COMPUTED_VALUE"""),"| 1 L CPT @ | 2 L JAVA @ | 3 P Python % | 5 P PHP-CGM % ")</f>
        <v xml:space="preserve">| 1 L CPT @ | 2 L JAVA @ | 3 P Python % | 5 P PHP-CGM % </v>
      </c>
      <c r="CE167" s="4" t="str">
        <f ca="1">IFERROR(__xludf.DUMMYFUNCTION("""COMPUTED_VALUE"""),"| 1 L CPT % | 2 L JAVA % | 3 P JAVA % | 5 L INE % ")</f>
        <v xml:space="preserve">| 1 L CPT % | 2 L JAVA % | 3 P JAVA % | 5 L INE % </v>
      </c>
      <c r="CF167" s="4" t="str">
        <f ca="1">IFERROR(__xludf.DUMMYFUNCTION("""COMPUTED_VALUE"""),"| 1 L NS @ | 2 L PHP-CGM @ | 5 L NS @ | 6 L JAVA @ ")</f>
        <v xml:space="preserve">| 1 L NS @ | 2 L PHP-CGM @ | 5 L NS @ | 6 L JAVA @ </v>
      </c>
      <c r="CG167" s="4" t="str">
        <f ca="1">IFERROR(__xludf.DUMMYFUNCTION("""COMPUTED_VALUE"""),"| 1 L CPT @ | 2 L PHP-CGM @ | 6 P Python % | 3 P CPT % ")</f>
        <v xml:space="preserve">| 1 L CPT @ | 2 L PHP-CGM @ | 6 P Python % | 3 P CPT % </v>
      </c>
      <c r="CH167" s="4" t="str">
        <f ca="1">IFERROR(__xludf.DUMMYFUNCTION("""COMPUTED_VALUE"""),"| 1 L NS @ | 2 L PHP-CGM @ | 3 P JAVA % | 5 P NS % ")</f>
        <v xml:space="preserve">| 1 L NS @ | 2 L PHP-CGM @ | 3 P JAVA % | 5 P NS % </v>
      </c>
      <c r="CI167" s="4" t="str">
        <f ca="1">IFERROR(__xludf.DUMMYFUNCTION("""COMPUTED_VALUE"""),"| 1 L CPT % | 2 L JAVA % | 5 P PHP-CGM % ")</f>
        <v xml:space="preserve">| 1 L CPT % | 2 L JAVA % | 5 P PHP-CGM % </v>
      </c>
      <c r="CJ167" s="4" t="str">
        <f ca="1">IFERROR(__xludf.DUMMYFUNCTION("""COMPUTED_VALUE"""),"| 1 L CPT @ ")</f>
        <v xml:space="preserve">| 1 L CPT @ </v>
      </c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</row>
    <row r="168" spans="1:102" ht="12.5" x14ac:dyDescent="0.25">
      <c r="A168" s="3">
        <f ca="1">IFERROR(__xludf.DUMMYFUNCTION("""COMPUTED_VALUE"""),1)</f>
        <v>1</v>
      </c>
      <c r="B168" s="3" t="str">
        <f ca="1">IFERROR(__xludf.DUMMYFUNCTION("""COMPUTED_VALUE"""),"C")</f>
        <v>C</v>
      </c>
      <c r="C168" s="32" t="str">
        <f ca="1">IFERROR(__xludf.DUMMYFUNCTION("""COMPUTED_VALUE"""),"23171341003")</f>
        <v>23171341003</v>
      </c>
      <c r="D168" s="4" t="str">
        <f ca="1">IFERROR(__xludf.DUMMYFUNCTION("""COMPUTED_VALUE"""),"AMIN PRAYAG GIRISHKUMAR")</f>
        <v>AMIN PRAYAG GIRISHKUMAR</v>
      </c>
      <c r="E168" s="3" t="str">
        <f ca="1">IFERROR(__xludf.DUMMYFUNCTION("""COMPUTED_VALUE"""),"PKN/PAP-Mor")</f>
        <v>PKN/PAP-Mor</v>
      </c>
      <c r="F168" s="3">
        <f ca="1">IFERROR(__xludf.DUMMYFUNCTION("""COMPUTED_VALUE"""),9824313209)</f>
        <v>9824313209</v>
      </c>
      <c r="G168" s="3">
        <f ca="1">IFERROR(__xludf.DUMMYFUNCTION("""COMPUTED_VALUE"""),8347051398)</f>
        <v>8347051398</v>
      </c>
      <c r="H168" s="33">
        <f ca="1">IFERROR(__xludf.DUMMYFUNCTION("""COMPUTED_VALUE"""),0.677551020408163)</f>
        <v>0.67755102040816295</v>
      </c>
      <c r="I168" s="25">
        <f ca="1">IFERROR(__xludf.DUMMYFUNCTION("""COMPUTED_VALUE"""),0.736842105263157)</f>
        <v>0.73684210526315697</v>
      </c>
      <c r="J168" s="25">
        <f ca="1">IFERROR(__xludf.DUMMYFUNCTION("""COMPUTED_VALUE"""),1)</f>
        <v>1</v>
      </c>
      <c r="K168" s="25">
        <f ca="1">IFERROR(__xludf.DUMMYFUNCTION("""COMPUTED_VALUE"""),0.583333333333333)</f>
        <v>0.58333333333333304</v>
      </c>
      <c r="L168" s="25">
        <f ca="1">IFERROR(__xludf.DUMMYFUNCTION("""COMPUTED_VALUE"""),0.727272727272727)</f>
        <v>0.72727272727272696</v>
      </c>
      <c r="M168" s="25">
        <f ca="1">IFERROR(__xludf.DUMMYFUNCTION("""COMPUTED_VALUE"""),0.75)</f>
        <v>0.75</v>
      </c>
      <c r="N168" s="25">
        <f ca="1">IFERROR(__xludf.DUMMYFUNCTION("""COMPUTED_VALUE"""),0.692307692307692)</f>
        <v>0.69230769230769196</v>
      </c>
      <c r="O168" s="25">
        <f ca="1">IFERROR(__xludf.DUMMYFUNCTION("""COMPUTED_VALUE"""),0.514285714285714)</f>
        <v>0.51428571428571401</v>
      </c>
      <c r="P168" s="25">
        <f ca="1">IFERROR(__xludf.DUMMYFUNCTION("""COMPUTED_VALUE"""),0.636363636363636)</f>
        <v>0.63636363636363602</v>
      </c>
      <c r="Q168" s="25">
        <f ca="1">IFERROR(__xludf.DUMMYFUNCTION("""COMPUTED_VALUE"""),0)</f>
        <v>0</v>
      </c>
      <c r="R168" s="25">
        <f ca="1">IFERROR(__xludf.DUMMYFUNCTION("""COMPUTED_VALUE"""),0.818181818181818)</f>
        <v>0.81818181818181801</v>
      </c>
      <c r="S168" s="25">
        <f ca="1">IFERROR(__xludf.DUMMYFUNCTION("""COMPUTED_VALUE"""),0)</f>
        <v>0</v>
      </c>
      <c r="T168" s="25">
        <f ca="1">IFERROR(__xludf.DUMMYFUNCTION("""COMPUTED_VALUE"""),0.666666666666666)</f>
        <v>0.66666666666666596</v>
      </c>
      <c r="U168" s="25">
        <f ca="1">IFERROR(__xludf.DUMMYFUNCTION("""COMPUTED_VALUE"""),0.375)</f>
        <v>0.375</v>
      </c>
      <c r="V168" s="25">
        <f ca="1">IFERROR(__xludf.DUMMYFUNCTION("""COMPUTED_VALUE"""),0)</f>
        <v>0</v>
      </c>
      <c r="W168" s="4"/>
      <c r="X168" s="4" t="str">
        <f ca="1">IFERROR(__xludf.DUMMYFUNCTION("""COMPUTED_VALUE"""),"| 1 L NS @ | 2 L PHP-CGM @ | 3 P PRO % | 5 L JAVA @ | 6 L NS @ ")</f>
        <v xml:space="preserve">| 1 L NS @ | 2 L PHP-CGM @ | 3 P PRO % | 5 L JAVA @ | 6 L NS @ </v>
      </c>
      <c r="Y168" s="4" t="str">
        <f ca="1">IFERROR(__xludf.DUMMYFUNCTION("""COMPUTED_VALUE"""),"| 1 L CPT % | 5 L PHP-CGM % | 1 P CPT % | 6 P Python % ")</f>
        <v xml:space="preserve">| 1 L CPT % | 5 L PHP-CGM % | 1 P CPT % | 6 P Python % </v>
      </c>
      <c r="Z168" s="4" t="str">
        <f ca="1">IFERROR(__xludf.DUMMYFUNCTION("""COMPUTED_VALUE"""),"| 1 L CPT % | 2 L PHP-CGM % | 3 P JAVA % | 5 P NS % ")</f>
        <v xml:space="preserve">| 1 L CPT % | 2 L PHP-CGM % | 3 P JAVA % | 5 P NS % </v>
      </c>
      <c r="AA168" s="4" t="str">
        <f ca="1">IFERROR(__xludf.DUMMYFUNCTION("""COMPUTED_VALUE"""),"| 1 L NS @ | 2 L JAVA @ | 3 P Python @ | 5 P PHP-CGM @ ")</f>
        <v xml:space="preserve">| 1 L NS @ | 2 L JAVA @ | 3 P Python @ | 5 P PHP-CGM @ </v>
      </c>
      <c r="AB168" s="4" t="str">
        <f ca="1">IFERROR(__xludf.DUMMYFUNCTION("""COMPUTED_VALUE"""),"| 1 L CPT % | 2 L JAVA @ | 3 P JAVA % ")</f>
        <v xml:space="preserve">| 1 L CPT % | 2 L JAVA @ | 3 P JAVA % </v>
      </c>
      <c r="AC168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68" s="4" t="str">
        <f ca="1">IFERROR(__xludf.DUMMYFUNCTION("""COMPUTED_VALUE"""),"| 1 L CPT % | 2 L PHP-CGM % | 3 P CPT % | 6 P Python % ")</f>
        <v xml:space="preserve">| 1 L CPT % | 2 L PHP-CGM % | 3 P CPT % | 6 P Python % </v>
      </c>
      <c r="AE168" s="4" t="str">
        <f ca="1">IFERROR(__xludf.DUMMYFUNCTION("""COMPUTED_VALUE"""),"| 1 L CPT % | 3 P JAVA % | 5 P NS % | 2 L PHP-CGM % ")</f>
        <v xml:space="preserve">| 1 L CPT % | 3 P JAVA % | 5 P NS % | 2 L PHP-CGM % </v>
      </c>
      <c r="AF168" s="4" t="str">
        <f ca="1">IFERROR(__xludf.DUMMYFUNCTION("""COMPUTED_VALUE"""),"| 1 L NS % | 2 L CPT % | 3 P Python % | 5 P PHP-CGM % ")</f>
        <v xml:space="preserve">| 1 L NS % | 2 L CPT % | 3 P Python % | 5 P PHP-CGM % </v>
      </c>
      <c r="AG168" s="4" t="str">
        <f ca="1">IFERROR(__xludf.DUMMYFUNCTION("""COMPUTED_VALUE"""),"| 1 L CPT @ | 2 L JAVA @ | 3 P JAVA @ ")</f>
        <v xml:space="preserve">| 1 L CPT @ | 2 L JAVA @ | 3 P JAVA @ </v>
      </c>
      <c r="AH168" s="4" t="str">
        <f ca="1">IFERROR(__xludf.DUMMYFUNCTION("""COMPUTED_VALUE"""),"| 2 L JAVA % | 1 L NS % | 3 P Python % | 5 P PHP-CGM % ")</f>
        <v xml:space="preserve">| 2 L JAVA % | 1 L NS % | 3 P Python % | 5 P PHP-CGM % </v>
      </c>
      <c r="AI168" s="4" t="str">
        <f ca="1">IFERROR(__xludf.DUMMYFUNCTION("""COMPUTED_VALUE"""),"| 1 L CPT % | 2 L JAVA % | 3 P JAVA % ")</f>
        <v xml:space="preserve">| 1 L CPT % | 2 L JAVA % | 3 P JAVA % </v>
      </c>
      <c r="AJ168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68" s="4" t="str">
        <f ca="1">IFERROR(__xludf.DUMMYFUNCTION("""COMPUTED_VALUE"""),"| 1 L CPT % | 3 P CPT % | 2 L PHP-CGM % | 6 P Python % ")</f>
        <v xml:space="preserve">| 1 L CPT % | 3 P CPT % | 2 L PHP-CGM % | 6 P Python % </v>
      </c>
      <c r="AL168" s="4" t="str">
        <f ca="1">IFERROR(__xludf.DUMMYFUNCTION("""COMPUTED_VALUE"""),"| 1 L CPT % | 2 L PHP-CGM % | 3 P JAVA % | 5 P NS % ")</f>
        <v xml:space="preserve">| 1 L CPT % | 2 L PHP-CGM % | 3 P JAVA % | 5 P NS % </v>
      </c>
      <c r="AM168" s="4" t="str">
        <f ca="1">IFERROR(__xludf.DUMMYFUNCTION("""COMPUTED_VALUE"""),"| 2 L JAVA % | 3 P Python % | 5 P PHP-CGM % | 1 L NS % ")</f>
        <v xml:space="preserve">| 2 L JAVA % | 3 P Python % | 5 P PHP-CGM % | 1 L NS % </v>
      </c>
      <c r="AN168" s="4" t="str">
        <f ca="1">IFERROR(__xludf.DUMMYFUNCTION("""COMPUTED_VALUE"""),"| 1 L CPT % | 2 L JAVA % | 3 P JAVA % | 5 L INE @ ")</f>
        <v xml:space="preserve">| 1 L CPT % | 2 L JAVA % | 3 P JAVA % | 5 L INE @ </v>
      </c>
      <c r="AO168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168" s="4" t="str">
        <f ca="1">IFERROR(__xludf.DUMMYFUNCTION("""COMPUTED_VALUE"""),"| 1 L CPT % | 2 L PHP-CGM % | 3 P CPT % | 6 P Python % ")</f>
        <v xml:space="preserve">| 1 L CPT % | 2 L PHP-CGM % | 3 P CPT % | 6 P Python % </v>
      </c>
      <c r="AQ168" s="4" t="str">
        <f ca="1">IFERROR(__xludf.DUMMYFUNCTION("""COMPUTED_VALUE"""),"| 2 L PHP-CGM % | 3 P JAVA % | 1 L NS % | 5 P NS % ")</f>
        <v xml:space="preserve">| 2 L PHP-CGM % | 3 P JAVA % | 1 L NS % | 5 P NS % </v>
      </c>
      <c r="AR168" s="4" t="str">
        <f ca="1">IFERROR(__xludf.DUMMYFUNCTION("""COMPUTED_VALUE"""),"| 1 L CPT % | 2 L JAVA % | 3 P Python % | 5 P PHP-CGM % ")</f>
        <v xml:space="preserve">| 1 L CPT % | 2 L JAVA % | 3 P Python % | 5 P PHP-CGM % </v>
      </c>
      <c r="AS16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68" s="4" t="str">
        <f ca="1">IFERROR(__xludf.DUMMYFUNCTION("""COMPUTED_VALUE"""),"| 1 L CPT % | 2 L PHP-CGM % | 3 P CPT % | 6 P Python % ")</f>
        <v xml:space="preserve">| 1 L CPT % | 2 L PHP-CGM % | 3 P CPT % | 6 P Python % </v>
      </c>
      <c r="AU168" s="4" t="str">
        <f ca="1">IFERROR(__xludf.DUMMYFUNCTION("""COMPUTED_VALUE"""),"| 1 L NS % | 2 L PHP-CGM % | 3 P JAVA % | 5 P NS @ ")</f>
        <v xml:space="preserve">| 1 L NS % | 2 L PHP-CGM % | 3 P JAVA % | 5 P NS @ </v>
      </c>
      <c r="AV168" s="4" t="str">
        <f ca="1">IFERROR(__xludf.DUMMYFUNCTION("""COMPUTED_VALUE"""),"| 1 L CPT % | 2 L JAVA % | 3 P Python % | 5 P PHP-CGM % ")</f>
        <v xml:space="preserve">| 1 L CPT % | 2 L JAVA % | 3 P Python % | 5 P PHP-CGM % </v>
      </c>
      <c r="AW168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68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68" s="4" t="str">
        <f ca="1">IFERROR(__xludf.DUMMYFUNCTION("""COMPUTED_VALUE"""),"| 1 L CPT % | 2 L PHP-CGM % | 3 P CPT % | 6 P Python % ")</f>
        <v xml:space="preserve">| 1 L CPT % | 2 L PHP-CGM % | 3 P CPT % | 6 P Python % </v>
      </c>
      <c r="AZ168" s="4" t="str">
        <f ca="1">IFERROR(__xludf.DUMMYFUNCTION("""COMPUTED_VALUE"""),"| 1 L CPT % | 2 L JAVA % | 3 P Python % | 5 P PHP-CGM % ")</f>
        <v xml:space="preserve">| 1 L CPT % | 2 L JAVA % | 3 P Python % | 5 P PHP-CGM % </v>
      </c>
      <c r="BA168" s="4" t="str">
        <f ca="1">IFERROR(__xludf.DUMMYFUNCTION("""COMPUTED_VALUE"""),"| 1 L CPT @ | 2 L JAVA @ | 3 P JAVA @ | 5 L INE @ ")</f>
        <v xml:space="preserve">| 1 L CPT @ | 2 L JAVA @ | 3 P JAVA @ | 5 L INE @ </v>
      </c>
      <c r="BB16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68" s="4" t="str">
        <f ca="1">IFERROR(__xludf.DUMMYFUNCTION("""COMPUTED_VALUE"""),"| 1 L CPT % | 2 L PHP-CGM % | 3 P CPT % | 6 P Python % ")</f>
        <v xml:space="preserve">| 1 L CPT % | 2 L PHP-CGM % | 3 P CPT % | 6 P Python % </v>
      </c>
      <c r="BD168" s="4" t="str">
        <f ca="1">IFERROR(__xludf.DUMMYFUNCTION("""COMPUTED_VALUE"""),"| 1 L NS % | 2 L PHP-CGM % | 3 P JAVA % | 5 P NS % ")</f>
        <v xml:space="preserve">| 1 L NS % | 2 L PHP-CGM % | 3 P JAVA % | 5 P NS % </v>
      </c>
      <c r="BE168" s="4" t="str">
        <f ca="1">IFERROR(__xludf.DUMMYFUNCTION("""COMPUTED_VALUE"""),"| 1 L CPT @ | 2 L JAVA @ | 3 P Python @ | 5 P PHP-CGM @ ")</f>
        <v xml:space="preserve">| 1 L CPT @ | 2 L JAVA @ | 3 P Python @ | 5 P PHP-CGM @ </v>
      </c>
      <c r="BF168" s="4" t="str">
        <f ca="1">IFERROR(__xludf.DUMMYFUNCTION("""COMPUTED_VALUE"""),"| 1 L CPT @ | 2 L JAVA @ | 3 P JAVA @ ")</f>
        <v xml:space="preserve">| 1 L CPT @ | 2 L JAVA @ | 3 P JAVA @ </v>
      </c>
      <c r="BG168" s="4" t="str">
        <f ca="1">IFERROR(__xludf.DUMMYFUNCTION("""COMPUTED_VALUE"""),"| 2 L PHP-CGM % | 3 P CPT % | 1 L CPT % | 6 P Python % ")</f>
        <v xml:space="preserve">| 2 L PHP-CGM % | 3 P CPT % | 1 L CPT % | 6 P Python % </v>
      </c>
      <c r="BH168" s="4" t="str">
        <f ca="1">IFERROR(__xludf.DUMMYFUNCTION("""COMPUTED_VALUE"""),"| 1 L NS % | 2 L PHP-CGM % | 3 P JAVA % | 5 P NS % ")</f>
        <v xml:space="preserve">| 1 L NS % | 2 L PHP-CGM % | 3 P JAVA % | 5 P NS % </v>
      </c>
      <c r="BI168" s="4" t="str">
        <f ca="1">IFERROR(__xludf.DUMMYFUNCTION("""COMPUTED_VALUE"""),"| 1 L CPT % | 2 L JAVA % | 3 P Python % | 5 P PHP-CGM % ")</f>
        <v xml:space="preserve">| 1 L CPT % | 2 L JAVA % | 3 P Python % | 5 P PHP-CGM % </v>
      </c>
      <c r="BJ168" s="4" t="str">
        <f ca="1">IFERROR(__xludf.DUMMYFUNCTION("""COMPUTED_VALUE"""),"| 1 L CPT @ | 2 L JAVA @ | 3 P JAVA @ | 5 L INE @ ")</f>
        <v xml:space="preserve">| 1 L CPT @ | 2 L JAVA @ | 3 P JAVA @ | 5 L INE @ </v>
      </c>
      <c r="BK168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68" s="4" t="str">
        <f ca="1">IFERROR(__xludf.DUMMYFUNCTION("""COMPUTED_VALUE"""),"| 1 L CPT % | 2 L PHP-CGM % | 3 P CPT % ")</f>
        <v xml:space="preserve">| 1 L CPT % | 2 L PHP-CGM % | 3 P CPT % </v>
      </c>
      <c r="BM168" s="4" t="str">
        <f ca="1">IFERROR(__xludf.DUMMYFUNCTION("""COMPUTED_VALUE"""),"| 1 L NS @ | 2 L PHP-CGM @ | 3 P JAVA @ | 5 P NS @ ")</f>
        <v xml:space="preserve">| 1 L NS @ | 2 L PHP-CGM @ | 3 P JAVA @ | 5 P NS @ </v>
      </c>
      <c r="BN168" s="4" t="str">
        <f ca="1">IFERROR(__xludf.DUMMYFUNCTION("""COMPUTED_VALUE"""),"| 2 L JAVA % | 1 L CPT % | 3 P Python % | 5 P PHP-CGM % ")</f>
        <v xml:space="preserve">| 2 L JAVA % | 1 L CPT % | 3 P Python % | 5 P PHP-CGM % </v>
      </c>
      <c r="BO168" s="4" t="str">
        <f ca="1">IFERROR(__xludf.DUMMYFUNCTION("""COMPUTED_VALUE"""),"| 2 L JAVA @ | 1 L CPT % | 3 P JAVA @ | 5 L INE @ ")</f>
        <v xml:space="preserve">| 2 L JAVA @ | 1 L CPT % | 3 P JAVA @ | 5 L INE @ </v>
      </c>
      <c r="BP16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168" s="4"/>
      <c r="BR168" s="4"/>
      <c r="BS168" s="4"/>
      <c r="BT168" s="4" t="str">
        <f ca="1">IFERROR(__xludf.DUMMYFUNCTION("""COMPUTED_VALUE"""),"| 1 L NS % | 2 L PHP-CGM % | 3 P PRO % ")</f>
        <v xml:space="preserve">| 1 L NS % | 2 L PHP-CGM % | 3 P PRO % </v>
      </c>
      <c r="BU168" s="4" t="str">
        <f ca="1">IFERROR(__xludf.DUMMYFUNCTION("""COMPUTED_VALUE"""),"| 1 L CPT @ ")</f>
        <v xml:space="preserve">| 1 L CPT @ </v>
      </c>
      <c r="BV168" s="4" t="str">
        <f ca="1">IFERROR(__xludf.DUMMYFUNCTION("""COMPUTED_VALUE"""),"| 1 L NS @ | 2 L PHP-CGM @ | 3 P PRO @ | 6 L JAVA @ ")</f>
        <v xml:space="preserve">| 1 L NS @ | 2 L PHP-CGM @ | 3 P PRO @ | 6 L JAVA @ </v>
      </c>
      <c r="BW168" s="4" t="str">
        <f ca="1">IFERROR(__xludf.DUMMYFUNCTION("""COMPUTED_VALUE"""),"| 1 L CPT % | 2 L PHP-CGM % | 3 P CPT % ")</f>
        <v xml:space="preserve">| 1 L CPT % | 2 L PHP-CGM % | 3 P CPT % </v>
      </c>
      <c r="BX168" s="4" t="str">
        <f ca="1">IFERROR(__xludf.DUMMYFUNCTION("""COMPUTED_VALUE"""),"| 1 L NS @ | 2 L PHP-CGM @ | 3 P JAVA @ | 5 P NS @ ")</f>
        <v xml:space="preserve">| 1 L NS @ | 2 L PHP-CGM @ | 3 P JAVA @ | 5 P NS @ </v>
      </c>
      <c r="BY168" s="4" t="str">
        <f ca="1">IFERROR(__xludf.DUMMYFUNCTION("""COMPUTED_VALUE"""),"| 1 L CPT @ | 2 L JAVA @ | 3 P Python @ | 5 P PHP-CGM @ ")</f>
        <v xml:space="preserve">| 1 L CPT @ | 2 L JAVA @ | 3 P Python @ | 5 P PHP-CGM @ </v>
      </c>
      <c r="BZ168" s="4" t="str">
        <f ca="1">IFERROR(__xludf.DUMMYFUNCTION("""COMPUTED_VALUE"""),"| 1 L CPT @ | 2 L JAVA @ | 3 P JAVA @ | 5 L INE @ ")</f>
        <v xml:space="preserve">| 1 L CPT @ | 2 L JAVA @ | 3 P JAVA @ | 5 L INE @ </v>
      </c>
      <c r="CA168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68" s="4" t="str">
        <f ca="1">IFERROR(__xludf.DUMMYFUNCTION("""COMPUTED_VALUE"""),"| 2 L PHP-CGM % | 3 P CPT % | 6 P Python % | 1 L CPT % ")</f>
        <v xml:space="preserve">| 2 L PHP-CGM % | 3 P CPT % | 6 P Python % | 1 L CPT % </v>
      </c>
      <c r="CC168" s="4" t="str">
        <f ca="1">IFERROR(__xludf.DUMMYFUNCTION("""COMPUTED_VALUE"""),"| 1 L NS % | 2 L PHP-CGM % | 3 P JAVA % | 5 P NS % ")</f>
        <v xml:space="preserve">| 1 L NS % | 2 L PHP-CGM % | 3 P JAVA % | 5 P NS % </v>
      </c>
      <c r="CD168" s="4" t="str">
        <f ca="1">IFERROR(__xludf.DUMMYFUNCTION("""COMPUTED_VALUE"""),"| 1 L CPT @ | 2 L JAVA @ | 3 P Python @ | 5 P PHP-CGM @ ")</f>
        <v xml:space="preserve">| 1 L CPT @ | 2 L JAVA @ | 3 P Python @ | 5 P PHP-CGM @ </v>
      </c>
      <c r="CE168" s="4" t="str">
        <f ca="1">IFERROR(__xludf.DUMMYFUNCTION("""COMPUTED_VALUE"""),"| 1 L CPT % | 2 L JAVA % | 3 P JAVA % | 5 L INE % ")</f>
        <v xml:space="preserve">| 1 L CPT % | 2 L JAVA % | 3 P JAVA % | 5 L INE % </v>
      </c>
      <c r="CF168" s="4" t="str">
        <f ca="1">IFERROR(__xludf.DUMMYFUNCTION("""COMPUTED_VALUE"""),"| 1 L NS @ | 2 L PHP-CGM @ | 5 L NS @ | 6 L JAVA @ ")</f>
        <v xml:space="preserve">| 1 L NS @ | 2 L PHP-CGM @ | 5 L NS @ | 6 L JAVA @ </v>
      </c>
      <c r="CG168" s="4" t="str">
        <f ca="1">IFERROR(__xludf.DUMMYFUNCTION("""COMPUTED_VALUE"""),"| 1 L CPT % | 2 L PHP-CGM % | 6 P Python % | 3 P CPT % ")</f>
        <v xml:space="preserve">| 1 L CPT % | 2 L PHP-CGM % | 6 P Python % | 3 P CPT % </v>
      </c>
      <c r="CH168" s="4" t="str">
        <f ca="1">IFERROR(__xludf.DUMMYFUNCTION("""COMPUTED_VALUE"""),"| 1 L NS @ | 2 L PHP-CGM @ | 3 P JAVA % | 5 P NS % ")</f>
        <v xml:space="preserve">| 1 L NS @ | 2 L PHP-CGM @ | 3 P JAVA % | 5 P NS % </v>
      </c>
      <c r="CI168" s="4" t="str">
        <f ca="1">IFERROR(__xludf.DUMMYFUNCTION("""COMPUTED_VALUE"""),"| 1 L CPT % | 2 L JAVA % | 5 P PHP-CGM % ")</f>
        <v xml:space="preserve">| 1 L CPT % | 2 L JAVA % | 5 P PHP-CGM % </v>
      </c>
      <c r="CJ168" s="4" t="str">
        <f ca="1">IFERROR(__xludf.DUMMYFUNCTION("""COMPUTED_VALUE"""),"| 1 L CPT @ ")</f>
        <v xml:space="preserve">| 1 L CPT @ </v>
      </c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</row>
    <row r="169" spans="1:102" ht="12.5" x14ac:dyDescent="0.25">
      <c r="A169" s="3">
        <f ca="1">IFERROR(__xludf.DUMMYFUNCTION("""COMPUTED_VALUE"""),1)</f>
        <v>1</v>
      </c>
      <c r="B169" s="3" t="str">
        <f ca="1">IFERROR(__xludf.DUMMYFUNCTION("""COMPUTED_VALUE"""),"C")</f>
        <v>C</v>
      </c>
      <c r="C169" s="32" t="str">
        <f ca="1">IFERROR(__xludf.DUMMYFUNCTION("""COMPUTED_VALUE"""),"23171341011")</f>
        <v>23171341011</v>
      </c>
      <c r="D169" s="4" t="str">
        <f ca="1">IFERROR(__xludf.DUMMYFUNCTION("""COMPUTED_VALUE"""),"BHANUSHALI KRISH SHANTILAL")</f>
        <v>BHANUSHALI KRISH SHANTILAL</v>
      </c>
      <c r="E169" s="3" t="str">
        <f ca="1">IFERROR(__xludf.DUMMYFUNCTION("""COMPUTED_VALUE"""),"PKN/PAP-Mor")</f>
        <v>PKN/PAP-Mor</v>
      </c>
      <c r="F169" s="3">
        <f ca="1">IFERROR(__xludf.DUMMYFUNCTION("""COMPUTED_VALUE"""),6353046582)</f>
        <v>6353046582</v>
      </c>
      <c r="G169" s="3">
        <f ca="1">IFERROR(__xludf.DUMMYFUNCTION("""COMPUTED_VALUE"""),9925930891)</f>
        <v>9925930891</v>
      </c>
      <c r="H169" s="33">
        <f ca="1">IFERROR(__xludf.DUMMYFUNCTION("""COMPUTED_VALUE"""),0.628571428571428)</f>
        <v>0.628571428571428</v>
      </c>
      <c r="I169" s="25">
        <f ca="1">IFERROR(__xludf.DUMMYFUNCTION("""COMPUTED_VALUE"""),0.684210526315789)</f>
        <v>0.68421052631578905</v>
      </c>
      <c r="J169" s="25">
        <f ca="1">IFERROR(__xludf.DUMMYFUNCTION("""COMPUTED_VALUE"""),0.833333333333333)</f>
        <v>0.83333333333333304</v>
      </c>
      <c r="K169" s="25">
        <f ca="1">IFERROR(__xludf.DUMMYFUNCTION("""COMPUTED_VALUE"""),0.5)</f>
        <v>0.5</v>
      </c>
      <c r="L169" s="25">
        <f ca="1">IFERROR(__xludf.DUMMYFUNCTION("""COMPUTED_VALUE"""),0.636363636363636)</f>
        <v>0.63636363636363602</v>
      </c>
      <c r="M169" s="25">
        <f ca="1">IFERROR(__xludf.DUMMYFUNCTION("""COMPUTED_VALUE"""),0.666666666666666)</f>
        <v>0.66666666666666596</v>
      </c>
      <c r="N169" s="25">
        <f ca="1">IFERROR(__xludf.DUMMYFUNCTION("""COMPUTED_VALUE"""),0.615384615384615)</f>
        <v>0.61538461538461497</v>
      </c>
      <c r="O169" s="25">
        <f ca="1">IFERROR(__xludf.DUMMYFUNCTION("""COMPUTED_VALUE"""),0.514285714285714)</f>
        <v>0.51428571428571401</v>
      </c>
      <c r="P169" s="25">
        <f ca="1">IFERROR(__xludf.DUMMYFUNCTION("""COMPUTED_VALUE"""),0.681818181818181)</f>
        <v>0.68181818181818099</v>
      </c>
      <c r="Q169" s="25">
        <f ca="1">IFERROR(__xludf.DUMMYFUNCTION("""COMPUTED_VALUE"""),0)</f>
        <v>0</v>
      </c>
      <c r="R169" s="25">
        <f ca="1">IFERROR(__xludf.DUMMYFUNCTION("""COMPUTED_VALUE"""),0.818181818181818)</f>
        <v>0.81818181818181801</v>
      </c>
      <c r="S169" s="25">
        <f ca="1">IFERROR(__xludf.DUMMYFUNCTION("""COMPUTED_VALUE"""),0)</f>
        <v>0</v>
      </c>
      <c r="T169" s="25">
        <f ca="1">IFERROR(__xludf.DUMMYFUNCTION("""COMPUTED_VALUE"""),0.583333333333333)</f>
        <v>0.58333333333333304</v>
      </c>
      <c r="U169" s="25">
        <f ca="1">IFERROR(__xludf.DUMMYFUNCTION("""COMPUTED_VALUE"""),0.375)</f>
        <v>0.375</v>
      </c>
      <c r="V169" s="25">
        <f ca="1">IFERROR(__xludf.DUMMYFUNCTION("""COMPUTED_VALUE"""),0)</f>
        <v>0</v>
      </c>
      <c r="W169" s="4"/>
      <c r="X169" s="4" t="str">
        <f ca="1">IFERROR(__xludf.DUMMYFUNCTION("""COMPUTED_VALUE"""),"| 1 L NS @ | 2 L PHP-CGM @ | 3 P PRO % | 5 L JAVA @ | 6 L NS @ ")</f>
        <v xml:space="preserve">| 1 L NS @ | 2 L PHP-CGM @ | 3 P PRO % | 5 L JAVA @ | 6 L NS @ </v>
      </c>
      <c r="Y169" s="4" t="str">
        <f ca="1">IFERROR(__xludf.DUMMYFUNCTION("""COMPUTED_VALUE"""),"| 1 L CPT % | 5 L PHP-CGM % | 1 P CPT % | 6 P Python % ")</f>
        <v xml:space="preserve">| 1 L CPT % | 5 L PHP-CGM % | 1 P CPT % | 6 P Python % </v>
      </c>
      <c r="Z169" s="4" t="str">
        <f ca="1">IFERROR(__xludf.DUMMYFUNCTION("""COMPUTED_VALUE"""),"| 1 L CPT % | 2 L PHP-CGM % | 3 P JAVA % | 5 P NS % ")</f>
        <v xml:space="preserve">| 1 L CPT % | 2 L PHP-CGM % | 3 P JAVA % | 5 P NS % </v>
      </c>
      <c r="AA169" s="4" t="str">
        <f ca="1">IFERROR(__xludf.DUMMYFUNCTION("""COMPUTED_VALUE"""),"| 1 L NS % | 2 L JAVA % | 3 P Python % | 5 P PHP-CGM % ")</f>
        <v xml:space="preserve">| 1 L NS % | 2 L JAVA % | 3 P Python % | 5 P PHP-CGM % </v>
      </c>
      <c r="AB169" s="4" t="str">
        <f ca="1">IFERROR(__xludf.DUMMYFUNCTION("""COMPUTED_VALUE"""),"| 1 L CPT % | 2 L JAVA % | 3 P JAVA % ")</f>
        <v xml:space="preserve">| 1 L CPT % | 2 L JAVA % | 3 P JAVA % </v>
      </c>
      <c r="AC169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169" s="4" t="str">
        <f ca="1">IFERROR(__xludf.DUMMYFUNCTION("""COMPUTED_VALUE"""),"| 1 L CPT % | 2 L PHP-CGM % | 3 P CPT % | 6 P Python % ")</f>
        <v xml:space="preserve">| 1 L CPT % | 2 L PHP-CGM % | 3 P CPT % | 6 P Python % </v>
      </c>
      <c r="AE169" s="4" t="str">
        <f ca="1">IFERROR(__xludf.DUMMYFUNCTION("""COMPUTED_VALUE"""),"| 1 L CPT % | 3 P JAVA % | 5 P NS % | 2 L PHP-CGM % ")</f>
        <v xml:space="preserve">| 1 L CPT % | 3 P JAVA % | 5 P NS % | 2 L PHP-CGM % </v>
      </c>
      <c r="AF169" s="4" t="str">
        <f ca="1">IFERROR(__xludf.DUMMYFUNCTION("""COMPUTED_VALUE"""),"| 1 L NS @ | 2 L CPT % | 3 P Python % | 5 P PHP-CGM % ")</f>
        <v xml:space="preserve">| 1 L NS @ | 2 L CPT % | 3 P Python % | 5 P PHP-CGM % </v>
      </c>
      <c r="AG169" s="4" t="str">
        <f ca="1">IFERROR(__xludf.DUMMYFUNCTION("""COMPUTED_VALUE"""),"| 1 L CPT % | 2 L JAVA % | 3 P JAVA % ")</f>
        <v xml:space="preserve">| 1 L CPT % | 2 L JAVA % | 3 P JAVA % </v>
      </c>
      <c r="AH169" s="4" t="str">
        <f ca="1">IFERROR(__xludf.DUMMYFUNCTION("""COMPUTED_VALUE"""),"| 2 L JAVA @ | 1 L NS @ | 3 P Python @ | 5 P PHP-CGM @ ")</f>
        <v xml:space="preserve">| 2 L JAVA @ | 1 L NS @ | 3 P Python @ | 5 P PHP-CGM @ </v>
      </c>
      <c r="AI169" s="4" t="str">
        <f ca="1">IFERROR(__xludf.DUMMYFUNCTION("""COMPUTED_VALUE"""),"| 1 L CPT % | 2 L JAVA % | 3 P JAVA % ")</f>
        <v xml:space="preserve">| 1 L CPT % | 2 L JAVA % | 3 P JAVA % </v>
      </c>
      <c r="AJ16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69" s="4" t="str">
        <f ca="1">IFERROR(__xludf.DUMMYFUNCTION("""COMPUTED_VALUE"""),"| 1 L CPT % | 3 P CPT % | 2 L PHP-CGM % | 6 P Python % ")</f>
        <v xml:space="preserve">| 1 L CPT % | 3 P CPT % | 2 L PHP-CGM % | 6 P Python % </v>
      </c>
      <c r="AL169" s="4" t="str">
        <f ca="1">IFERROR(__xludf.DUMMYFUNCTION("""COMPUTED_VALUE"""),"| 1 L CPT % | 2 L PHP-CGM % | 3 P JAVA @ | 5 P NS % ")</f>
        <v xml:space="preserve">| 1 L CPT % | 2 L PHP-CGM % | 3 P JAVA @ | 5 P NS % </v>
      </c>
      <c r="AM169" s="4" t="str">
        <f ca="1">IFERROR(__xludf.DUMMYFUNCTION("""COMPUTED_VALUE"""),"| 2 L JAVA % | 3 P Python % | 5 P PHP-CGM % | 1 L NS % ")</f>
        <v xml:space="preserve">| 2 L JAVA % | 3 P Python % | 5 P PHP-CGM % | 1 L NS % </v>
      </c>
      <c r="AN169" s="4" t="str">
        <f ca="1">IFERROR(__xludf.DUMMYFUNCTION("""COMPUTED_VALUE"""),"| 1 L CPT % | 2 L JAVA % | 3 P JAVA @ | 5 L INE @ ")</f>
        <v xml:space="preserve">| 1 L CPT % | 2 L JAVA % | 3 P JAVA @ | 5 L INE @ </v>
      </c>
      <c r="AO169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69" s="4" t="str">
        <f ca="1">IFERROR(__xludf.DUMMYFUNCTION("""COMPUTED_VALUE"""),"| 1 L CPT % | 2 L PHP-CGM % | 3 P CPT % | 6 P Python % ")</f>
        <v xml:space="preserve">| 1 L CPT % | 2 L PHP-CGM % | 3 P CPT % | 6 P Python % </v>
      </c>
      <c r="AQ169" s="4" t="str">
        <f ca="1">IFERROR(__xludf.DUMMYFUNCTION("""COMPUTED_VALUE"""),"| 2 L PHP-CGM % | 3 P JAVA % | 1 L NS % | 5 P NS % ")</f>
        <v xml:space="preserve">| 2 L PHP-CGM % | 3 P JAVA % | 1 L NS % | 5 P NS % </v>
      </c>
      <c r="AR169" s="4" t="str">
        <f ca="1">IFERROR(__xludf.DUMMYFUNCTION("""COMPUTED_VALUE"""),"| 1 L CPT @ | 2 L JAVA @ | 3 P Python % | 5 P PHP-CGM @ ")</f>
        <v xml:space="preserve">| 1 L CPT @ | 2 L JAVA @ | 3 P Python % | 5 P PHP-CGM @ </v>
      </c>
      <c r="AS169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AT169" s="4" t="str">
        <f ca="1">IFERROR(__xludf.DUMMYFUNCTION("""COMPUTED_VALUE"""),"| 1 L CPT % | 2 L PHP-CGM % | 3 P CPT @ | 6 P Python % ")</f>
        <v xml:space="preserve">| 1 L CPT % | 2 L PHP-CGM % | 3 P CPT @ | 6 P Python % </v>
      </c>
      <c r="AU169" s="4" t="str">
        <f ca="1">IFERROR(__xludf.DUMMYFUNCTION("""COMPUTED_VALUE"""),"| 1 L NS % | 2 L PHP-CGM % | 3 P JAVA % | 5 P NS @ ")</f>
        <v xml:space="preserve">| 1 L NS % | 2 L PHP-CGM % | 3 P JAVA % | 5 P NS @ </v>
      </c>
      <c r="AV169" s="4" t="str">
        <f ca="1">IFERROR(__xludf.DUMMYFUNCTION("""COMPUTED_VALUE"""),"| 1 L CPT % | 2 L JAVA % | 3 P Python % | 5 P PHP-CGM % ")</f>
        <v xml:space="preserve">| 1 L CPT % | 2 L JAVA % | 3 P Python % | 5 P PHP-CGM % </v>
      </c>
      <c r="AW169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69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169" s="4" t="str">
        <f ca="1">IFERROR(__xludf.DUMMYFUNCTION("""COMPUTED_VALUE"""),"| 1 L CPT @ | 2 L PHP-CGM @ | 3 P CPT % | 6 P Python % ")</f>
        <v xml:space="preserve">| 1 L CPT @ | 2 L PHP-CGM @ | 3 P CPT % | 6 P Python % </v>
      </c>
      <c r="AZ169" s="4" t="str">
        <f ca="1">IFERROR(__xludf.DUMMYFUNCTION("""COMPUTED_VALUE"""),"| 1 L CPT % | 2 L JAVA % | 3 P Python % | 5 P PHP-CGM % ")</f>
        <v xml:space="preserve">| 1 L CPT % | 2 L JAVA % | 3 P Python % | 5 P PHP-CGM % </v>
      </c>
      <c r="BA169" s="4" t="str">
        <f ca="1">IFERROR(__xludf.DUMMYFUNCTION("""COMPUTED_VALUE"""),"| 1 L CPT % | 2 L JAVA % | 3 P JAVA % | 5 L INE @ ")</f>
        <v xml:space="preserve">| 1 L CPT % | 2 L JAVA % | 3 P JAVA % | 5 L INE @ </v>
      </c>
      <c r="BB16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69" s="4" t="str">
        <f ca="1">IFERROR(__xludf.DUMMYFUNCTION("""COMPUTED_VALUE"""),"| 1 L CPT % | 2 L PHP-CGM % | 3 P CPT % | 6 P Python % ")</f>
        <v xml:space="preserve">| 1 L CPT % | 2 L PHP-CGM % | 3 P CPT % | 6 P Python % </v>
      </c>
      <c r="BD169" s="4" t="str">
        <f ca="1">IFERROR(__xludf.DUMMYFUNCTION("""COMPUTED_VALUE"""),"| 1 L NS % | 2 L PHP-CGM % | 3 P JAVA % | 5 P NS % ")</f>
        <v xml:space="preserve">| 1 L NS % | 2 L PHP-CGM % | 3 P JAVA % | 5 P NS % </v>
      </c>
      <c r="BE169" s="4" t="str">
        <f ca="1">IFERROR(__xludf.DUMMYFUNCTION("""COMPUTED_VALUE"""),"| 1 L CPT @ | 2 L JAVA @ | 3 P Python @ | 5 P PHP-CGM @ ")</f>
        <v xml:space="preserve">| 1 L CPT @ | 2 L JAVA @ | 3 P Python @ | 5 P PHP-CGM @ </v>
      </c>
      <c r="BF169" s="4" t="str">
        <f ca="1">IFERROR(__xludf.DUMMYFUNCTION("""COMPUTED_VALUE"""),"| 1 L CPT % | 2 L JAVA % | 3 P JAVA % ")</f>
        <v xml:space="preserve">| 1 L CPT % | 2 L JAVA % | 3 P JAVA % </v>
      </c>
      <c r="BG169" s="4" t="str">
        <f ca="1">IFERROR(__xludf.DUMMYFUNCTION("""COMPUTED_VALUE"""),"| 2 L PHP-CGM @ | 3 P CPT % | 1 L CPT % | 6 P Python % ")</f>
        <v xml:space="preserve">| 2 L PHP-CGM @ | 3 P CPT % | 1 L CPT % | 6 P Python % </v>
      </c>
      <c r="BH169" s="4" t="str">
        <f ca="1">IFERROR(__xludf.DUMMYFUNCTION("""COMPUTED_VALUE"""),"| 1 L NS % | 2 L PHP-CGM % | 3 P JAVA % | 5 P NS % ")</f>
        <v xml:space="preserve">| 1 L NS % | 2 L PHP-CGM % | 3 P JAVA % | 5 P NS % </v>
      </c>
      <c r="BI169" s="4" t="str">
        <f ca="1">IFERROR(__xludf.DUMMYFUNCTION("""COMPUTED_VALUE"""),"| 1 L CPT % | 2 L JAVA % | 3 P Python % | 5 P PHP-CGM % ")</f>
        <v xml:space="preserve">| 1 L CPT % | 2 L JAVA % | 3 P Python % | 5 P PHP-CGM % </v>
      </c>
      <c r="BJ169" s="4" t="str">
        <f ca="1">IFERROR(__xludf.DUMMYFUNCTION("""COMPUTED_VALUE"""),"| 1 L CPT @ | 2 L JAVA @ | 3 P JAVA @ | 5 L INE @ ")</f>
        <v xml:space="preserve">| 1 L CPT @ | 2 L JAVA @ | 3 P JAVA @ | 5 L INE @ </v>
      </c>
      <c r="BK169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69" s="4" t="str">
        <f ca="1">IFERROR(__xludf.DUMMYFUNCTION("""COMPUTED_VALUE"""),"| 1 L CPT % | 2 L PHP-CGM @ | 3 P CPT % ")</f>
        <v xml:space="preserve">| 1 L CPT % | 2 L PHP-CGM @ | 3 P CPT % </v>
      </c>
      <c r="BM169" s="4" t="str">
        <f ca="1">IFERROR(__xludf.DUMMYFUNCTION("""COMPUTED_VALUE"""),"| 1 L NS % | 2 L PHP-CGM % | 3 P JAVA % | 5 P NS % ")</f>
        <v xml:space="preserve">| 1 L NS % | 2 L PHP-CGM % | 3 P JAVA % | 5 P NS % </v>
      </c>
      <c r="BN169" s="4" t="str">
        <f ca="1">IFERROR(__xludf.DUMMYFUNCTION("""COMPUTED_VALUE"""),"| 2 L JAVA @ | 1 L CPT @ | 3 P Python @ | 5 P PHP-CGM @ ")</f>
        <v xml:space="preserve">| 2 L JAVA @ | 1 L CPT @ | 3 P Python @ | 5 P PHP-CGM @ </v>
      </c>
      <c r="BO169" s="4" t="str">
        <f ca="1">IFERROR(__xludf.DUMMYFUNCTION("""COMPUTED_VALUE"""),"| 2 L JAVA @ | 1 L CPT @ | 3 P JAVA @ | 5 L INE @ ")</f>
        <v xml:space="preserve">| 2 L JAVA @ | 1 L CPT @ | 3 P JAVA @ | 5 L INE @ </v>
      </c>
      <c r="BP169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Q169" s="4"/>
      <c r="BR169" s="4"/>
      <c r="BS169" s="4"/>
      <c r="BT169" s="4" t="str">
        <f ca="1">IFERROR(__xludf.DUMMYFUNCTION("""COMPUTED_VALUE"""),"| 1 L NS @ | 2 L PHP-CGM % | 3 P PRO % ")</f>
        <v xml:space="preserve">| 1 L NS @ | 2 L PHP-CGM % | 3 P PRO % </v>
      </c>
      <c r="BU169" s="4" t="str">
        <f ca="1">IFERROR(__xludf.DUMMYFUNCTION("""COMPUTED_VALUE"""),"| 1 L CPT @ ")</f>
        <v xml:space="preserve">| 1 L CPT @ </v>
      </c>
      <c r="BV169" s="4" t="str">
        <f ca="1">IFERROR(__xludf.DUMMYFUNCTION("""COMPUTED_VALUE"""),"| 1 L NS @ | 2 L PHP-CGM @ | 3 P PRO @ | 6 L JAVA @ ")</f>
        <v xml:space="preserve">| 1 L NS @ | 2 L PHP-CGM @ | 3 P PRO @ | 6 L JAVA @ </v>
      </c>
      <c r="BW169" s="4" t="str">
        <f ca="1">IFERROR(__xludf.DUMMYFUNCTION("""COMPUTED_VALUE"""),"| 1 L CPT @ | 2 L PHP-CGM @ | 3 P CPT @ ")</f>
        <v xml:space="preserve">| 1 L CPT @ | 2 L PHP-CGM @ | 3 P CPT @ </v>
      </c>
      <c r="BX169" s="4" t="str">
        <f ca="1">IFERROR(__xludf.DUMMYFUNCTION("""COMPUTED_VALUE"""),"| 1 L NS @ | 2 L PHP-CGM @ | 3 P JAVA @ | 5 P NS @ ")</f>
        <v xml:space="preserve">| 1 L NS @ | 2 L PHP-CGM @ | 3 P JAVA @ | 5 P NS @ </v>
      </c>
      <c r="BY169" s="4" t="str">
        <f ca="1">IFERROR(__xludf.DUMMYFUNCTION("""COMPUTED_VALUE"""),"| 1 L CPT @ | 2 L JAVA @ | 3 P Python @ | 5 P PHP-CGM @ ")</f>
        <v xml:space="preserve">| 1 L CPT @ | 2 L JAVA @ | 3 P Python @ | 5 P PHP-CGM @ </v>
      </c>
      <c r="BZ169" s="4" t="str">
        <f ca="1">IFERROR(__xludf.DUMMYFUNCTION("""COMPUTED_VALUE"""),"| 1 L CPT @ | 2 L JAVA @ | 3 P JAVA @ | 5 L INE @ ")</f>
        <v xml:space="preserve">| 1 L CPT @ | 2 L JAVA @ | 3 P JAVA @ | 5 L INE @ </v>
      </c>
      <c r="CA169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69" s="4" t="str">
        <f ca="1">IFERROR(__xludf.DUMMYFUNCTION("""COMPUTED_VALUE"""),"| 2 L PHP-CGM % | 3 P CPT % | 6 P Python % | 1 L CPT % ")</f>
        <v xml:space="preserve">| 2 L PHP-CGM % | 3 P CPT % | 6 P Python % | 1 L CPT % </v>
      </c>
      <c r="CC169" s="4" t="str">
        <f ca="1">IFERROR(__xludf.DUMMYFUNCTION("""COMPUTED_VALUE"""),"| 1 L NS @ | 2 L PHP-CGM @ | 3 P JAVA @ | 5 P NS @ ")</f>
        <v xml:space="preserve">| 1 L NS @ | 2 L PHP-CGM @ | 3 P JAVA @ | 5 P NS @ </v>
      </c>
      <c r="CD169" s="4" t="str">
        <f ca="1">IFERROR(__xludf.DUMMYFUNCTION("""COMPUTED_VALUE"""),"| 1 L CPT @ | 2 L JAVA @ | 3 P Python % | 5 P PHP-CGM % ")</f>
        <v xml:space="preserve">| 1 L CPT @ | 2 L JAVA @ | 3 P Python % | 5 P PHP-CGM % </v>
      </c>
      <c r="CE169" s="4" t="str">
        <f ca="1">IFERROR(__xludf.DUMMYFUNCTION("""COMPUTED_VALUE"""),"| 1 L CPT % | 2 L JAVA % | 3 P JAVA % | 5 L INE % ")</f>
        <v xml:space="preserve">| 1 L CPT % | 2 L JAVA % | 3 P JAVA % | 5 L INE % </v>
      </c>
      <c r="CF169" s="4" t="str">
        <f ca="1">IFERROR(__xludf.DUMMYFUNCTION("""COMPUTED_VALUE"""),"| 1 L NS @ | 2 L PHP-CGM @ | 5 L NS % | 6 L JAVA % ")</f>
        <v xml:space="preserve">| 1 L NS @ | 2 L PHP-CGM @ | 5 L NS % | 6 L JAVA % </v>
      </c>
      <c r="CG169" s="4" t="str">
        <f ca="1">IFERROR(__xludf.DUMMYFUNCTION("""COMPUTED_VALUE"""),"| 1 L CPT % | 2 L PHP-CGM % | 6 P Python % | 3 P CPT % ")</f>
        <v xml:space="preserve">| 1 L CPT % | 2 L PHP-CGM % | 6 P Python % | 3 P CPT % </v>
      </c>
      <c r="CH169" s="4" t="str">
        <f ca="1">IFERROR(__xludf.DUMMYFUNCTION("""COMPUTED_VALUE"""),"| 1 L NS % | 2 L PHP-CGM % | 3 P JAVA % | 5 P NS @ ")</f>
        <v xml:space="preserve">| 1 L NS % | 2 L PHP-CGM % | 3 P JAVA % | 5 P NS @ </v>
      </c>
      <c r="CI169" s="4" t="str">
        <f ca="1">IFERROR(__xludf.DUMMYFUNCTION("""COMPUTED_VALUE"""),"| 1 L CPT % | 2 L JAVA % | 5 P PHP-CGM % ")</f>
        <v xml:space="preserve">| 1 L CPT % | 2 L JAVA % | 5 P PHP-CGM % </v>
      </c>
      <c r="CJ169" s="4" t="str">
        <f ca="1">IFERROR(__xludf.DUMMYFUNCTION("""COMPUTED_VALUE"""),"| 1 L CPT @ ")</f>
        <v xml:space="preserve">| 1 L CPT @ </v>
      </c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</row>
    <row r="170" spans="1:102" ht="12.5" x14ac:dyDescent="0.25">
      <c r="A170" s="3">
        <f ca="1">IFERROR(__xludf.DUMMYFUNCTION("""COMPUTED_VALUE"""),1)</f>
        <v>1</v>
      </c>
      <c r="B170" s="3" t="str">
        <f ca="1">IFERROR(__xludf.DUMMYFUNCTION("""COMPUTED_VALUE"""),"C")</f>
        <v>C</v>
      </c>
      <c r="C170" s="32" t="str">
        <f ca="1">IFERROR(__xludf.DUMMYFUNCTION("""COMPUTED_VALUE"""),"23171341015")</f>
        <v>23171341015</v>
      </c>
      <c r="D170" s="4" t="str">
        <f ca="1">IFERROR(__xludf.DUMMYFUNCTION("""COMPUTED_VALUE"""),"CHAUDHARI MITESHKUMAR RATUBHAI")</f>
        <v>CHAUDHARI MITESHKUMAR RATUBHAI</v>
      </c>
      <c r="E170" s="3" t="str">
        <f ca="1">IFERROR(__xludf.DUMMYFUNCTION("""COMPUTED_VALUE"""),"PKN/PAP-Mor")</f>
        <v>PKN/PAP-Mor</v>
      </c>
      <c r="F170" s="3">
        <f ca="1">IFERROR(__xludf.DUMMYFUNCTION("""COMPUTED_VALUE"""),9328596346)</f>
        <v>9328596346</v>
      </c>
      <c r="G170" s="3">
        <f ca="1">IFERROR(__xludf.DUMMYFUNCTION("""COMPUTED_VALUE"""),9327642218)</f>
        <v>9327642218</v>
      </c>
      <c r="H170" s="33">
        <f ca="1">IFERROR(__xludf.DUMMYFUNCTION("""COMPUTED_VALUE"""),0.236734693877551)</f>
        <v>0.236734693877551</v>
      </c>
      <c r="I170" s="25">
        <f ca="1">IFERROR(__xludf.DUMMYFUNCTION("""COMPUTED_VALUE"""),0.31578947368421)</f>
        <v>0.31578947368421001</v>
      </c>
      <c r="J170" s="25">
        <f ca="1">IFERROR(__xludf.DUMMYFUNCTION("""COMPUTED_VALUE"""),0.416666666666666)</f>
        <v>0.41666666666666602</v>
      </c>
      <c r="K170" s="25">
        <f ca="1">IFERROR(__xludf.DUMMYFUNCTION("""COMPUTED_VALUE"""),0.333333333333333)</f>
        <v>0.33333333333333298</v>
      </c>
      <c r="L170" s="25">
        <f ca="1">IFERROR(__xludf.DUMMYFUNCTION("""COMPUTED_VALUE"""),0)</f>
        <v>0</v>
      </c>
      <c r="M170" s="25">
        <f ca="1">IFERROR(__xludf.DUMMYFUNCTION("""COMPUTED_VALUE"""),0.472222222222222)</f>
        <v>0.47222222222222199</v>
      </c>
      <c r="N170" s="25">
        <f ca="1">IFERROR(__xludf.DUMMYFUNCTION("""COMPUTED_VALUE"""),0)</f>
        <v>0</v>
      </c>
      <c r="O170" s="25">
        <f ca="1">IFERROR(__xludf.DUMMYFUNCTION("""COMPUTED_VALUE"""),0.171428571428571)</f>
        <v>0.17142857142857101</v>
      </c>
      <c r="P170" s="25">
        <f ca="1">IFERROR(__xludf.DUMMYFUNCTION("""COMPUTED_VALUE"""),0.0909090909090909)</f>
        <v>9.0909090909090898E-2</v>
      </c>
      <c r="Q170" s="25">
        <f ca="1">IFERROR(__xludf.DUMMYFUNCTION("""COMPUTED_VALUE"""),0)</f>
        <v>0</v>
      </c>
      <c r="R170" s="25">
        <f ca="1">IFERROR(__xludf.DUMMYFUNCTION("""COMPUTED_VALUE"""),0.0909090909090909)</f>
        <v>9.0909090909090898E-2</v>
      </c>
      <c r="S170" s="25">
        <f ca="1">IFERROR(__xludf.DUMMYFUNCTION("""COMPUTED_VALUE"""),0)</f>
        <v>0</v>
      </c>
      <c r="T170" s="25">
        <f ca="1">IFERROR(__xludf.DUMMYFUNCTION("""COMPUTED_VALUE"""),0.166666666666666)</f>
        <v>0.16666666666666599</v>
      </c>
      <c r="U170" s="25">
        <f ca="1">IFERROR(__xludf.DUMMYFUNCTION("""COMPUTED_VALUE"""),0)</f>
        <v>0</v>
      </c>
      <c r="V170" s="25">
        <f ca="1">IFERROR(__xludf.DUMMYFUNCTION("""COMPUTED_VALUE"""),0)</f>
        <v>0</v>
      </c>
      <c r="W170" s="4"/>
      <c r="X170" s="4" t="str">
        <f ca="1">IFERROR(__xludf.DUMMYFUNCTION("""COMPUTED_VALUE"""),"| 1 L NS % | 2 L PHP-CGM % | 3 P PRO @ | 5 L JAVA @ | 6 L NS @ ")</f>
        <v xml:space="preserve">| 1 L NS % | 2 L PHP-CGM % | 3 P PRO @ | 5 L JAVA @ | 6 L NS @ </v>
      </c>
      <c r="Y170" s="4" t="str">
        <f ca="1">IFERROR(__xludf.DUMMYFUNCTION("""COMPUTED_VALUE"""),"| 1 L CPT % | 5 L PHP-CGM % | 1 P CPT % | 6 P Python % ")</f>
        <v xml:space="preserve">| 1 L CPT % | 5 L PHP-CGM % | 1 P CPT % | 6 P Python % </v>
      </c>
      <c r="Z170" s="4" t="str">
        <f ca="1">IFERROR(__xludf.DUMMYFUNCTION("""COMPUTED_VALUE"""),"| 1 L CPT % | 2 L PHP-CGM % | 3 P JAVA @ | 5 P NS @ ")</f>
        <v xml:space="preserve">| 1 L CPT % | 2 L PHP-CGM % | 3 P JAVA @ | 5 P NS @ </v>
      </c>
      <c r="AA170" s="4" t="str">
        <f ca="1">IFERROR(__xludf.DUMMYFUNCTION("""COMPUTED_VALUE"""),"| 1 L NS @ | 2 L JAVA @ | 3 P Python @ | 5 P PHP-CGM @ ")</f>
        <v xml:space="preserve">| 1 L NS @ | 2 L JAVA @ | 3 P Python @ | 5 P PHP-CGM @ </v>
      </c>
      <c r="AB170" s="4" t="str">
        <f ca="1">IFERROR(__xludf.DUMMYFUNCTION("""COMPUTED_VALUE"""),"| 1 L CPT @ | 2 L JAVA @ | 3 P JAVA @ ")</f>
        <v xml:space="preserve">| 1 L CPT @ | 2 L JAVA @ | 3 P JAVA @ </v>
      </c>
      <c r="AC17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70" s="4" t="str">
        <f ca="1">IFERROR(__xludf.DUMMYFUNCTION("""COMPUTED_VALUE"""),"| 1 L CPT % | 2 L PHP-CGM % | 3 P CPT % | 6 P Python @ ")</f>
        <v xml:space="preserve">| 1 L CPT % | 2 L PHP-CGM % | 3 P CPT % | 6 P Python @ </v>
      </c>
      <c r="AE170" s="4" t="str">
        <f ca="1">IFERROR(__xludf.DUMMYFUNCTION("""COMPUTED_VALUE"""),"| 1 L CPT @ | 3 P JAVA @ | 5 P NS @ | 2 L PHP-CGM @ ")</f>
        <v xml:space="preserve">| 1 L CPT @ | 3 P JAVA @ | 5 P NS @ | 2 L PHP-CGM @ </v>
      </c>
      <c r="AF170" s="4" t="str">
        <f ca="1">IFERROR(__xludf.DUMMYFUNCTION("""COMPUTED_VALUE"""),"| 1 L NS @ | 2 L CPT @ | 3 P Python @ | 5 P PHP-CGM @ ")</f>
        <v xml:space="preserve">| 1 L NS @ | 2 L CPT @ | 3 P Python @ | 5 P PHP-CGM @ </v>
      </c>
      <c r="AG170" s="4" t="str">
        <f ca="1">IFERROR(__xludf.DUMMYFUNCTION("""COMPUTED_VALUE"""),"| 1 L CPT % | 2 L JAVA % | 3 P JAVA % ")</f>
        <v xml:space="preserve">| 1 L CPT % | 2 L JAVA % | 3 P JAVA % </v>
      </c>
      <c r="AH170" s="4" t="str">
        <f ca="1">IFERROR(__xludf.DUMMYFUNCTION("""COMPUTED_VALUE"""),"| 2 L JAVA % | 1 L NS % | 3 P Python @ | 5 P PHP-CGM @ ")</f>
        <v xml:space="preserve">| 2 L JAVA % | 1 L NS % | 3 P Python @ | 5 P PHP-CGM @ </v>
      </c>
      <c r="AI170" s="4" t="str">
        <f ca="1">IFERROR(__xludf.DUMMYFUNCTION("""COMPUTED_VALUE"""),"| 1 L CPT % | 2 L JAVA % | 3 P JAVA % ")</f>
        <v xml:space="preserve">| 1 L CPT % | 2 L JAVA % | 3 P JAVA % </v>
      </c>
      <c r="AJ170" s="4" t="str">
        <f ca="1">IFERROR(__xludf.DUMMYFUNCTION("""COMPUTED_VALUE"""),"| 1 L NS % | 2 L PHP-CGM % | 3 P PRO @ | 5 L JAVA % | 6 L NS % ")</f>
        <v xml:space="preserve">| 1 L NS % | 2 L PHP-CGM % | 3 P PRO @ | 5 L JAVA % | 6 L NS % </v>
      </c>
      <c r="AK170" s="4" t="str">
        <f ca="1">IFERROR(__xludf.DUMMYFUNCTION("""COMPUTED_VALUE"""),"| 1 L CPT % | 3 P CPT % | 2 L PHP-CGM % | 6 P Python @ ")</f>
        <v xml:space="preserve">| 1 L CPT % | 3 P CPT % | 2 L PHP-CGM % | 6 P Python @ </v>
      </c>
      <c r="AL170" s="4" t="str">
        <f ca="1">IFERROR(__xludf.DUMMYFUNCTION("""COMPUTED_VALUE"""),"| 1 L CPT % | 2 L PHP-CGM % | 3 P JAVA @ | 5 P NS @ ")</f>
        <v xml:space="preserve">| 1 L CPT % | 2 L PHP-CGM % | 3 P JAVA @ | 5 P NS @ </v>
      </c>
      <c r="AM170" s="4" t="str">
        <f ca="1">IFERROR(__xludf.DUMMYFUNCTION("""COMPUTED_VALUE"""),"| 2 L JAVA @ | 3 P Python % | 5 P PHP-CGM @ | 1 L NS @ ")</f>
        <v xml:space="preserve">| 2 L JAVA @ | 3 P Python % | 5 P PHP-CGM @ | 1 L NS @ </v>
      </c>
      <c r="AN170" s="4" t="str">
        <f ca="1">IFERROR(__xludf.DUMMYFUNCTION("""COMPUTED_VALUE"""),"| 1 L CPT @ | 2 L JAVA @ | 3 P JAVA @ | 5 L INE @ ")</f>
        <v xml:space="preserve">| 1 L CPT @ | 2 L JAVA @ | 3 P JAVA @ | 5 L INE @ </v>
      </c>
      <c r="AO170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P170" s="4" t="str">
        <f ca="1">IFERROR(__xludf.DUMMYFUNCTION("""COMPUTED_VALUE"""),"| 1 L CPT @ | 2 L PHP-CGM @ | 3 P CPT @ | 6 P Python @ ")</f>
        <v xml:space="preserve">| 1 L CPT @ | 2 L PHP-CGM @ | 3 P CPT @ | 6 P Python @ </v>
      </c>
      <c r="AQ170" s="4" t="str">
        <f ca="1">IFERROR(__xludf.DUMMYFUNCTION("""COMPUTED_VALUE"""),"| 2 L PHP-CGM @ | 3 P JAVA @ | 1 L NS @ | 5 P NS @ ")</f>
        <v xml:space="preserve">| 2 L PHP-CGM @ | 3 P JAVA @ | 1 L NS @ | 5 P NS @ </v>
      </c>
      <c r="AR170" s="4" t="str">
        <f ca="1">IFERROR(__xludf.DUMMYFUNCTION("""COMPUTED_VALUE"""),"| 1 L CPT @ | 2 L JAVA @ | 3 P Python @ | 5 P PHP-CGM @ ")</f>
        <v xml:space="preserve">| 1 L CPT @ | 2 L JAVA @ | 3 P Python @ | 5 P PHP-CGM @ </v>
      </c>
      <c r="AS17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AT170" s="4" t="str">
        <f ca="1">IFERROR(__xludf.DUMMYFUNCTION("""COMPUTED_VALUE"""),"| 1 L CPT @ | 2 L PHP-CGM % | 3 P CPT @ | 6 P Python @ ")</f>
        <v xml:space="preserve">| 1 L CPT @ | 2 L PHP-CGM % | 3 P CPT @ | 6 P Python @ </v>
      </c>
      <c r="AU170" s="4" t="str">
        <f ca="1">IFERROR(__xludf.DUMMYFUNCTION("""COMPUTED_VALUE"""),"| 1 L NS @ | 2 L PHP-CGM @ | 3 P JAVA @ | 5 P NS @ ")</f>
        <v xml:space="preserve">| 1 L NS @ | 2 L PHP-CGM @ | 3 P JAVA @ | 5 P NS @ </v>
      </c>
      <c r="AV170" s="4" t="str">
        <f ca="1">IFERROR(__xludf.DUMMYFUNCTION("""COMPUTED_VALUE"""),"| 1 L CPT @ | 2 L JAVA @ | 3 P Python @ | 5 P PHP-CGM @ ")</f>
        <v xml:space="preserve">| 1 L CPT @ | 2 L JAVA @ | 3 P Python @ | 5 P PHP-CGM @ </v>
      </c>
      <c r="AW170" s="4" t="str">
        <f ca="1">IFERROR(__xludf.DUMMYFUNCTION("""COMPUTED_VALUE"""),"| 1 L CPT @ | 2 L JAVA @ | 3 P JAVA @ | 5 L INE @ | 6 L INE @ ")</f>
        <v xml:space="preserve">| 1 L CPT @ | 2 L JAVA @ | 3 P JAVA @ | 5 L INE @ | 6 L INE @ </v>
      </c>
      <c r="AX170" s="4" t="str">
        <f ca="1">IFERROR(__xludf.DUMMYFUNCTION("""COMPUTED_VALUE"""),"| 1 L NS % | 2 L PHP-CGM % | 3 P PRO @ | 5 L NS @ | 5 L JAVA @ ")</f>
        <v xml:space="preserve">| 1 L NS % | 2 L PHP-CGM % | 3 P PRO @ | 5 L NS @ | 5 L JAVA @ </v>
      </c>
      <c r="AY170" s="4" t="str">
        <f ca="1">IFERROR(__xludf.DUMMYFUNCTION("""COMPUTED_VALUE"""),"| 1 L CPT % | 2 L PHP-CGM % | 3 P CPT % | 6 P Python @ ")</f>
        <v xml:space="preserve">| 1 L CPT % | 2 L PHP-CGM % | 3 P CPT % | 6 P Python @ </v>
      </c>
      <c r="AZ170" s="4" t="str">
        <f ca="1">IFERROR(__xludf.DUMMYFUNCTION("""COMPUTED_VALUE"""),"| 1 L CPT @ | 2 L JAVA @ | 3 P Python @ | 5 P PHP-CGM @ ")</f>
        <v xml:space="preserve">| 1 L CPT @ | 2 L JAVA @ | 3 P Python @ | 5 P PHP-CGM @ </v>
      </c>
      <c r="BA170" s="4" t="str">
        <f ca="1">IFERROR(__xludf.DUMMYFUNCTION("""COMPUTED_VALUE"""),"| 1 L CPT @ | 2 L JAVA @ | 3 P JAVA @ | 5 L INE @ ")</f>
        <v xml:space="preserve">| 1 L CPT @ | 2 L JAVA @ | 3 P JAVA @ | 5 L INE @ </v>
      </c>
      <c r="BB17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C170" s="4" t="str">
        <f ca="1">IFERROR(__xludf.DUMMYFUNCTION("""COMPUTED_VALUE"""),"| 1 L CPT % | 2 L PHP-CGM % | 3 P CPT @ | 6 P Python @ ")</f>
        <v xml:space="preserve">| 1 L CPT % | 2 L PHP-CGM % | 3 P CPT @ | 6 P Python @ </v>
      </c>
      <c r="BD170" s="4" t="str">
        <f ca="1">IFERROR(__xludf.DUMMYFUNCTION("""COMPUTED_VALUE"""),"| 1 L NS @ | 2 L PHP-CGM @ | 3 P JAVA @ | 5 P NS @ ")</f>
        <v xml:space="preserve">| 1 L NS @ | 2 L PHP-CGM @ | 3 P JAVA @ | 5 P NS @ </v>
      </c>
      <c r="BE170" s="4" t="str">
        <f ca="1">IFERROR(__xludf.DUMMYFUNCTION("""COMPUTED_VALUE"""),"| 1 L CPT @ | 2 L JAVA @ | 3 P Python @ | 5 P PHP-CGM @ ")</f>
        <v xml:space="preserve">| 1 L CPT @ | 2 L JAVA @ | 3 P Python @ | 5 P PHP-CGM @ </v>
      </c>
      <c r="BF170" s="4" t="str">
        <f ca="1">IFERROR(__xludf.DUMMYFUNCTION("""COMPUTED_VALUE"""),"| 1 L CPT @ | 2 L JAVA @ | 3 P JAVA @ ")</f>
        <v xml:space="preserve">| 1 L CPT @ | 2 L JAVA @ | 3 P JAVA @ </v>
      </c>
      <c r="BG170" s="4" t="str">
        <f ca="1">IFERROR(__xludf.DUMMYFUNCTION("""COMPUTED_VALUE"""),"| 2 L PHP-CGM @ | 3 P CPT @ | 1 L CPT @ | 6 P Python @ ")</f>
        <v xml:space="preserve">| 2 L PHP-CGM @ | 3 P CPT @ | 1 L CPT @ | 6 P Python @ </v>
      </c>
      <c r="BH170" s="4" t="str">
        <f ca="1">IFERROR(__xludf.DUMMYFUNCTION("""COMPUTED_VALUE"""),"| 1 L NS @ | 2 L PHP-CGM @ | 3 P JAVA @ | 5 P NS @ ")</f>
        <v xml:space="preserve">| 1 L NS @ | 2 L PHP-CGM @ | 3 P JAVA @ | 5 P NS @ </v>
      </c>
      <c r="BI170" s="4" t="str">
        <f ca="1">IFERROR(__xludf.DUMMYFUNCTION("""COMPUTED_VALUE"""),"| 1 L CPT @ | 2 L JAVA @ | 3 P Python @ | 5 P PHP-CGM @ ")</f>
        <v xml:space="preserve">| 1 L CPT @ | 2 L JAVA @ | 3 P Python @ | 5 P PHP-CGM @ </v>
      </c>
      <c r="BJ170" s="4" t="str">
        <f ca="1">IFERROR(__xludf.DUMMYFUNCTION("""COMPUTED_VALUE"""),"| 1 L CPT @ | 2 L JAVA @ | 3 P JAVA @ | 5 L INE @ ")</f>
        <v xml:space="preserve">| 1 L CPT @ | 2 L JAVA @ | 3 P JAVA @ | 5 L INE @ </v>
      </c>
      <c r="BK17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70" s="4" t="str">
        <f ca="1">IFERROR(__xludf.DUMMYFUNCTION("""COMPUTED_VALUE"""),"| 1 L CPT @ | 2 L PHP-CGM @ | 3 P CPT @ ")</f>
        <v xml:space="preserve">| 1 L CPT @ | 2 L PHP-CGM @ | 3 P CPT @ </v>
      </c>
      <c r="BM170" s="4" t="str">
        <f ca="1">IFERROR(__xludf.DUMMYFUNCTION("""COMPUTED_VALUE"""),"| 1 L NS @ | 2 L PHP-CGM @ | 3 P JAVA @ | 5 P NS @ ")</f>
        <v xml:space="preserve">| 1 L NS @ | 2 L PHP-CGM @ | 3 P JAVA @ | 5 P NS @ </v>
      </c>
      <c r="BN170" s="4" t="str">
        <f ca="1">IFERROR(__xludf.DUMMYFUNCTION("""COMPUTED_VALUE"""),"| 2 L JAVA @ | 1 L CPT @ | 3 P Python @ | 5 P PHP-CGM @ ")</f>
        <v xml:space="preserve">| 2 L JAVA @ | 1 L CPT @ | 3 P Python @ | 5 P PHP-CGM @ </v>
      </c>
      <c r="BO170" s="4" t="str">
        <f ca="1">IFERROR(__xludf.DUMMYFUNCTION("""COMPUTED_VALUE"""),"| 2 L JAVA @ | 1 L CPT @ | 3 P JAVA @ | 5 L INE @ ")</f>
        <v xml:space="preserve">| 2 L JAVA @ | 1 L CPT @ | 3 P JAVA @ | 5 L INE @ </v>
      </c>
      <c r="BP170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70" s="4"/>
      <c r="BR170" s="4"/>
      <c r="BS170" s="4"/>
      <c r="BT170" s="4" t="str">
        <f ca="1">IFERROR(__xludf.DUMMYFUNCTION("""COMPUTED_VALUE"""),"| 1 L NS @ | 2 L PHP-CGM @ | 3 P PRO @ ")</f>
        <v xml:space="preserve">| 1 L NS @ | 2 L PHP-CGM @ | 3 P PRO @ </v>
      </c>
      <c r="BU170" s="4" t="str">
        <f ca="1">IFERROR(__xludf.DUMMYFUNCTION("""COMPUTED_VALUE"""),"| 1 L CPT @ ")</f>
        <v xml:space="preserve">| 1 L CPT @ </v>
      </c>
      <c r="BV170" s="4" t="str">
        <f ca="1">IFERROR(__xludf.DUMMYFUNCTION("""COMPUTED_VALUE"""),"| 1 L NS % | 2 L PHP-CGM @ | 3 P PRO @ | 6 L JAVA @ ")</f>
        <v xml:space="preserve">| 1 L NS % | 2 L PHP-CGM @ | 3 P PRO @ | 6 L JAVA @ </v>
      </c>
      <c r="BW170" s="4" t="str">
        <f ca="1">IFERROR(__xludf.DUMMYFUNCTION("""COMPUTED_VALUE"""),"| 1 L CPT % | 2 L PHP-CGM @ | 3 P CPT @ ")</f>
        <v xml:space="preserve">| 1 L CPT % | 2 L PHP-CGM @ | 3 P CPT @ </v>
      </c>
      <c r="BX170" s="4" t="str">
        <f ca="1">IFERROR(__xludf.DUMMYFUNCTION("""COMPUTED_VALUE"""),"| 1 L NS @ | 2 L PHP-CGM @ | 3 P JAVA @ | 5 P NS @ ")</f>
        <v xml:space="preserve">| 1 L NS @ | 2 L PHP-CGM @ | 3 P JAVA @ | 5 P NS @ </v>
      </c>
      <c r="BY170" s="4" t="str">
        <f ca="1">IFERROR(__xludf.DUMMYFUNCTION("""COMPUTED_VALUE"""),"| 1 L CPT @ | 2 L JAVA @ | 3 P Python @ | 5 P PHP-CGM @ ")</f>
        <v xml:space="preserve">| 1 L CPT @ | 2 L JAVA @ | 3 P Python @ | 5 P PHP-CGM @ </v>
      </c>
      <c r="BZ170" s="4" t="str">
        <f ca="1">IFERROR(__xludf.DUMMYFUNCTION("""COMPUTED_VALUE"""),"| 1 L CPT @ | 2 L JAVA @ | 3 P JAVA @ | 5 L INE @ ")</f>
        <v xml:space="preserve">| 1 L CPT @ | 2 L JAVA @ | 3 P JAVA @ | 5 L INE @ </v>
      </c>
      <c r="CA170" s="4" t="str">
        <f ca="1">IFERROR(__xludf.DUMMYFUNCTION("""COMPUTED_VALUE"""),"| 1 L NS % | 2 L PHP-CGM % | 3 P PRO @ | 5 L NS % | 6 L JAVA @ ")</f>
        <v xml:space="preserve">| 1 L NS % | 2 L PHP-CGM % | 3 P PRO @ | 5 L NS % | 6 L JAVA @ </v>
      </c>
      <c r="CB170" s="4" t="str">
        <f ca="1">IFERROR(__xludf.DUMMYFUNCTION("""COMPUTED_VALUE"""),"| 2 L PHP-CGM % | 3 P CPT % | 6 P Python @ | 1 L CPT % ")</f>
        <v xml:space="preserve">| 2 L PHP-CGM % | 3 P CPT % | 6 P Python @ | 1 L CPT % </v>
      </c>
      <c r="CC170" s="4" t="str">
        <f ca="1">IFERROR(__xludf.DUMMYFUNCTION("""COMPUTED_VALUE"""),"| 1 L NS @ | 2 L PHP-CGM @ | 3 P JAVA @ | 5 P NS @ ")</f>
        <v xml:space="preserve">| 1 L NS @ | 2 L PHP-CGM @ | 3 P JAVA @ | 5 P NS @ </v>
      </c>
      <c r="CD170" s="4" t="str">
        <f ca="1">IFERROR(__xludf.DUMMYFUNCTION("""COMPUTED_VALUE"""),"| 1 L CPT @ | 2 L JAVA @ | 3 P Python @ | 5 P PHP-CGM @ ")</f>
        <v xml:space="preserve">| 1 L CPT @ | 2 L JAVA @ | 3 P Python @ | 5 P PHP-CGM @ </v>
      </c>
      <c r="CE170" s="4" t="str">
        <f ca="1">IFERROR(__xludf.DUMMYFUNCTION("""COMPUTED_VALUE"""),"| 1 L CPT % | 2 L JAVA % | 3 P JAVA @ | 5 L INE @ ")</f>
        <v xml:space="preserve">| 1 L CPT % | 2 L JAVA % | 3 P JAVA @ | 5 L INE @ </v>
      </c>
      <c r="CF170" s="4" t="str">
        <f ca="1">IFERROR(__xludf.DUMMYFUNCTION("""COMPUTED_VALUE"""),"| 1 L NS @ | 2 L PHP-CGM % | 5 L NS @ | 6 L JAVA @ ")</f>
        <v xml:space="preserve">| 1 L NS @ | 2 L PHP-CGM % | 5 L NS @ | 6 L JAVA @ </v>
      </c>
      <c r="CG170" s="4" t="str">
        <f ca="1">IFERROR(__xludf.DUMMYFUNCTION("""COMPUTED_VALUE"""),"| 1 L CPT @ | 2 L PHP-CGM @ | 6 P Python @ | 3 P CPT @ ")</f>
        <v xml:space="preserve">| 1 L CPT @ | 2 L PHP-CGM @ | 6 P Python @ | 3 P CPT @ </v>
      </c>
      <c r="CH170" s="4" t="str">
        <f ca="1">IFERROR(__xludf.DUMMYFUNCTION("""COMPUTED_VALUE"""),"| 1 L NS @ | 2 L PHP-CGM @ | 3 P JAVA @ | 5 P NS @ ")</f>
        <v xml:space="preserve">| 1 L NS @ | 2 L PHP-CGM @ | 3 P JAVA @ | 5 P NS @ </v>
      </c>
      <c r="CI170" s="4" t="str">
        <f ca="1">IFERROR(__xludf.DUMMYFUNCTION("""COMPUTED_VALUE"""),"| 1 L CPT @ | 2 L JAVA @ | 5 P PHP-CGM @ ")</f>
        <v xml:space="preserve">| 1 L CPT @ | 2 L JAVA @ | 5 P PHP-CGM @ </v>
      </c>
      <c r="CJ170" s="4" t="str">
        <f ca="1">IFERROR(__xludf.DUMMYFUNCTION("""COMPUTED_VALUE"""),"| 1 L CPT @ ")</f>
        <v xml:space="preserve">| 1 L CPT @ </v>
      </c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</row>
    <row r="171" spans="1:102" ht="12.5" x14ac:dyDescent="0.25">
      <c r="A171" s="3">
        <f ca="1">IFERROR(__xludf.DUMMYFUNCTION("""COMPUTED_VALUE"""),1)</f>
        <v>1</v>
      </c>
      <c r="B171" s="3" t="str">
        <f ca="1">IFERROR(__xludf.DUMMYFUNCTION("""COMPUTED_VALUE"""),"C")</f>
        <v>C</v>
      </c>
      <c r="C171" s="32" t="str">
        <f ca="1">IFERROR(__xludf.DUMMYFUNCTION("""COMPUTED_VALUE"""),"23171341016")</f>
        <v>23171341016</v>
      </c>
      <c r="D171" s="4" t="str">
        <f ca="1">IFERROR(__xludf.DUMMYFUNCTION("""COMPUTED_VALUE"""),"CHAUDHARI MOHIT MAHESHBHAI")</f>
        <v>CHAUDHARI MOHIT MAHESHBHAI</v>
      </c>
      <c r="E171" s="3" t="str">
        <f ca="1">IFERROR(__xludf.DUMMYFUNCTION("""COMPUTED_VALUE"""),"PKN/PAP-Mor")</f>
        <v>PKN/PAP-Mor</v>
      </c>
      <c r="F171" s="3">
        <f ca="1">IFERROR(__xludf.DUMMYFUNCTION("""COMPUTED_VALUE"""),9313002880)</f>
        <v>9313002880</v>
      </c>
      <c r="G171" s="3">
        <f ca="1">IFERROR(__xludf.DUMMYFUNCTION("""COMPUTED_VALUE"""),9265657438)</f>
        <v>9265657438</v>
      </c>
      <c r="H171" s="33">
        <f ca="1">IFERROR(__xludf.DUMMYFUNCTION("""COMPUTED_VALUE"""),0.261224489795918)</f>
        <v>0.261224489795918</v>
      </c>
      <c r="I171" s="25">
        <f ca="1">IFERROR(__xludf.DUMMYFUNCTION("""COMPUTED_VALUE"""),0.368421052631578)</f>
        <v>0.36842105263157798</v>
      </c>
      <c r="J171" s="25">
        <f ca="1">IFERROR(__xludf.DUMMYFUNCTION("""COMPUTED_VALUE"""),0.333333333333333)</f>
        <v>0.33333333333333298</v>
      </c>
      <c r="K171" s="25">
        <f ca="1">IFERROR(__xludf.DUMMYFUNCTION("""COMPUTED_VALUE"""),0.305555555555555)</f>
        <v>0.30555555555555503</v>
      </c>
      <c r="L171" s="25">
        <f ca="1">IFERROR(__xludf.DUMMYFUNCTION("""COMPUTED_VALUE"""),0.0909090909090909)</f>
        <v>9.0909090909090898E-2</v>
      </c>
      <c r="M171" s="25">
        <f ca="1">IFERROR(__xludf.DUMMYFUNCTION("""COMPUTED_VALUE"""),0.416666666666666)</f>
        <v>0.41666666666666602</v>
      </c>
      <c r="N171" s="25">
        <f ca="1">IFERROR(__xludf.DUMMYFUNCTION("""COMPUTED_VALUE"""),0.0769230769230769)</f>
        <v>7.69230769230769E-2</v>
      </c>
      <c r="O171" s="25">
        <f ca="1">IFERROR(__xludf.DUMMYFUNCTION("""COMPUTED_VALUE"""),0.228571428571428)</f>
        <v>0.22857142857142801</v>
      </c>
      <c r="P171" s="25">
        <f ca="1">IFERROR(__xludf.DUMMYFUNCTION("""COMPUTED_VALUE"""),0.136363636363636)</f>
        <v>0.13636363636363599</v>
      </c>
      <c r="Q171" s="25">
        <f ca="1">IFERROR(__xludf.DUMMYFUNCTION("""COMPUTED_VALUE"""),0)</f>
        <v>0</v>
      </c>
      <c r="R171" s="25">
        <f ca="1">IFERROR(__xludf.DUMMYFUNCTION("""COMPUTED_VALUE"""),0.227272727272727)</f>
        <v>0.22727272727272699</v>
      </c>
      <c r="S171" s="25">
        <f ca="1">IFERROR(__xludf.DUMMYFUNCTION("""COMPUTED_VALUE"""),0)</f>
        <v>0</v>
      </c>
      <c r="T171" s="25">
        <f ca="1">IFERROR(__xludf.DUMMYFUNCTION("""COMPUTED_VALUE"""),0.0833333333333333)</f>
        <v>8.3333333333333301E-2</v>
      </c>
      <c r="U171" s="25">
        <f ca="1">IFERROR(__xludf.DUMMYFUNCTION("""COMPUTED_VALUE"""),0.125)</f>
        <v>0.125</v>
      </c>
      <c r="V171" s="25">
        <f ca="1">IFERROR(__xludf.DUMMYFUNCTION("""COMPUTED_VALUE"""),0)</f>
        <v>0</v>
      </c>
      <c r="W171" s="4"/>
      <c r="X171" s="4" t="str">
        <f ca="1">IFERROR(__xludf.DUMMYFUNCTION("""COMPUTED_VALUE"""),"| 1 L NS % | 2 L PHP-CGM @ | 3 P PRO @ | 5 L JAVA @ | 6 L NS @ ")</f>
        <v xml:space="preserve">| 1 L NS % | 2 L PHP-CGM @ | 3 P PRO @ | 5 L JAVA @ | 6 L NS @ </v>
      </c>
      <c r="Y171" s="4" t="str">
        <f ca="1">IFERROR(__xludf.DUMMYFUNCTION("""COMPUTED_VALUE"""),"| 1 L CPT @ | 5 L PHP-CGM @ | 1 P CPT @ | 6 P Python @ ")</f>
        <v xml:space="preserve">| 1 L CPT @ | 5 L PHP-CGM @ | 1 P CPT @ | 6 P Python @ </v>
      </c>
      <c r="Z171" s="4" t="str">
        <f ca="1">IFERROR(__xludf.DUMMYFUNCTION("""COMPUTED_VALUE"""),"| 1 L CPT @ | 2 L PHP-CGM @ | 3 P JAVA @ | 5 P NS @ ")</f>
        <v xml:space="preserve">| 1 L CPT @ | 2 L PHP-CGM @ | 3 P JAVA @ | 5 P NS @ </v>
      </c>
      <c r="AA171" s="4" t="str">
        <f ca="1">IFERROR(__xludf.DUMMYFUNCTION("""COMPUTED_VALUE"""),"| 1 L NS @ | 2 L JAVA @ | 3 P Python @ | 5 P PHP-CGM @ ")</f>
        <v xml:space="preserve">| 1 L NS @ | 2 L JAVA @ | 3 P Python @ | 5 P PHP-CGM @ </v>
      </c>
      <c r="AB171" s="4" t="str">
        <f ca="1">IFERROR(__xludf.DUMMYFUNCTION("""COMPUTED_VALUE"""),"| 1 L CPT @ | 2 L JAVA @ | 3 P JAVA @ ")</f>
        <v xml:space="preserve">| 1 L CPT @ | 2 L JAVA @ | 3 P JAVA @ </v>
      </c>
      <c r="AC171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71" s="4" t="str">
        <f ca="1">IFERROR(__xludf.DUMMYFUNCTION("""COMPUTED_VALUE"""),"| 1 L CPT % | 2 L PHP-CGM % | 3 P CPT @ | 6 P Python @ ")</f>
        <v xml:space="preserve">| 1 L CPT % | 2 L PHP-CGM % | 3 P CPT @ | 6 P Python @ </v>
      </c>
      <c r="AE171" s="4" t="str">
        <f ca="1">IFERROR(__xludf.DUMMYFUNCTION("""COMPUTED_VALUE"""),"| 1 L CPT @ | 3 P JAVA @ | 5 P NS @ | 2 L PHP-CGM @ ")</f>
        <v xml:space="preserve">| 1 L CPT @ | 3 P JAVA @ | 5 P NS @ | 2 L PHP-CGM @ </v>
      </c>
      <c r="AF171" s="4" t="str">
        <f ca="1">IFERROR(__xludf.DUMMYFUNCTION("""COMPUTED_VALUE"""),"| 1 L NS @ | 2 L CPT @ | 3 P Python @ | 5 P PHP-CGM @ ")</f>
        <v xml:space="preserve">| 1 L NS @ | 2 L CPT @ | 3 P Python @ | 5 P PHP-CGM @ </v>
      </c>
      <c r="AG171" s="4" t="str">
        <f ca="1">IFERROR(__xludf.DUMMYFUNCTION("""COMPUTED_VALUE"""),"| 1 L CPT @ | 2 L JAVA % | 3 P JAVA % ")</f>
        <v xml:space="preserve">| 1 L CPT @ | 2 L JAVA % | 3 P JAVA % </v>
      </c>
      <c r="AH171" s="4" t="str">
        <f ca="1">IFERROR(__xludf.DUMMYFUNCTION("""COMPUTED_VALUE"""),"| 2 L JAVA % | 1 L NS % | 3 P Python % | 5 P PHP-CGM @ ")</f>
        <v xml:space="preserve">| 2 L JAVA % | 1 L NS % | 3 P Python % | 5 P PHP-CGM @ </v>
      </c>
      <c r="AI171" s="4" t="str">
        <f ca="1">IFERROR(__xludf.DUMMYFUNCTION("""COMPUTED_VALUE"""),"| 1 L CPT @ | 2 L JAVA @ | 3 P JAVA @ ")</f>
        <v xml:space="preserve">| 1 L CPT @ | 2 L JAVA @ | 3 P JAVA @ </v>
      </c>
      <c r="AJ171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K171" s="4" t="str">
        <f ca="1">IFERROR(__xludf.DUMMYFUNCTION("""COMPUTED_VALUE"""),"| 1 L CPT % | 3 P CPT % | 2 L PHP-CGM % | 6 P Python @ ")</f>
        <v xml:space="preserve">| 1 L CPT % | 3 P CPT % | 2 L PHP-CGM % | 6 P Python @ </v>
      </c>
      <c r="AL171" s="4" t="str">
        <f ca="1">IFERROR(__xludf.DUMMYFUNCTION("""COMPUTED_VALUE"""),"| 1 L CPT @ | 2 L PHP-CGM @ | 3 P JAVA % | 5 P NS % ")</f>
        <v xml:space="preserve">| 1 L CPT @ | 2 L PHP-CGM @ | 3 P JAVA % | 5 P NS % </v>
      </c>
      <c r="AM171" s="4" t="str">
        <f ca="1">IFERROR(__xludf.DUMMYFUNCTION("""COMPUTED_VALUE"""),"| 2 L JAVA @ | 3 P Python % | 5 P PHP-CGM @ | 1 L NS @ ")</f>
        <v xml:space="preserve">| 2 L JAVA @ | 3 P Python % | 5 P PHP-CGM @ | 1 L NS @ </v>
      </c>
      <c r="AN171" s="4" t="str">
        <f ca="1">IFERROR(__xludf.DUMMYFUNCTION("""COMPUTED_VALUE"""),"| 1 L CPT @ | 2 L JAVA @ | 3 P JAVA @ | 5 L INE @ ")</f>
        <v xml:space="preserve">| 1 L CPT @ | 2 L JAVA @ | 3 P JAVA @ | 5 L INE @ </v>
      </c>
      <c r="AO171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71" s="4" t="str">
        <f ca="1">IFERROR(__xludf.DUMMYFUNCTION("""COMPUTED_VALUE"""),"| 1 L CPT % | 2 L PHP-CGM % | 3 P CPT % | 6 P Python % ")</f>
        <v xml:space="preserve">| 1 L CPT % | 2 L PHP-CGM % | 3 P CPT % | 6 P Python % </v>
      </c>
      <c r="AQ171" s="4" t="str">
        <f ca="1">IFERROR(__xludf.DUMMYFUNCTION("""COMPUTED_VALUE"""),"| 2 L PHP-CGM % | 3 P JAVA @ | 1 L NS % | 5 P NS @ ")</f>
        <v xml:space="preserve">| 2 L PHP-CGM % | 3 P JAVA @ | 1 L NS % | 5 P NS @ </v>
      </c>
      <c r="AR171" s="4" t="str">
        <f ca="1">IFERROR(__xludf.DUMMYFUNCTION("""COMPUTED_VALUE"""),"| 1 L CPT % | 2 L JAVA % | 3 P Python % | 5 P PHP-CGM % ")</f>
        <v xml:space="preserve">| 1 L CPT % | 2 L JAVA % | 3 P Python % | 5 P PHP-CGM % </v>
      </c>
      <c r="AS171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AT171" s="4" t="str">
        <f ca="1">IFERROR(__xludf.DUMMYFUNCTION("""COMPUTED_VALUE"""),"| 1 L CPT % | 2 L PHP-CGM % | 3 P CPT % | 6 P Python @ ")</f>
        <v xml:space="preserve">| 1 L CPT % | 2 L PHP-CGM % | 3 P CPT % | 6 P Python @ </v>
      </c>
      <c r="AU171" s="4" t="str">
        <f ca="1">IFERROR(__xludf.DUMMYFUNCTION("""COMPUTED_VALUE"""),"| 1 L NS % | 2 L PHP-CGM % | 3 P JAVA @ | 5 P NS @ ")</f>
        <v xml:space="preserve">| 1 L NS % | 2 L PHP-CGM % | 3 P JAVA @ | 5 P NS @ </v>
      </c>
      <c r="AV171" s="4" t="str">
        <f ca="1">IFERROR(__xludf.DUMMYFUNCTION("""COMPUTED_VALUE"""),"| 1 L CPT @ | 2 L JAVA @ | 3 P Python @ | 5 P PHP-CGM @ ")</f>
        <v xml:space="preserve">| 1 L CPT @ | 2 L JAVA @ | 3 P Python @ | 5 P PHP-CGM @ </v>
      </c>
      <c r="AW171" s="4" t="str">
        <f ca="1">IFERROR(__xludf.DUMMYFUNCTION("""COMPUTED_VALUE"""),"| 1 L CPT @ | 2 L JAVA % | 3 P JAVA @ | 5 L INE @ | 6 L INE @ ")</f>
        <v xml:space="preserve">| 1 L CPT @ | 2 L JAVA % | 3 P JAVA @ | 5 L INE @ | 6 L INE @ </v>
      </c>
      <c r="AX171" s="4" t="str">
        <f ca="1">IFERROR(__xludf.DUMMYFUNCTION("""COMPUTED_VALUE"""),"| 1 L NS % | 2 L PHP-CGM % | 3 P PRO @ | 5 L NS @ | 5 L JAVA @ ")</f>
        <v xml:space="preserve">| 1 L NS % | 2 L PHP-CGM % | 3 P PRO @ | 5 L NS @ | 5 L JAVA @ </v>
      </c>
      <c r="AY171" s="4" t="str">
        <f ca="1">IFERROR(__xludf.DUMMYFUNCTION("""COMPUTED_VALUE"""),"| 1 L CPT @ | 2 L PHP-CGM @ | 3 P CPT @ | 6 P Python @ ")</f>
        <v xml:space="preserve">| 1 L CPT @ | 2 L PHP-CGM @ | 3 P CPT @ | 6 P Python @ </v>
      </c>
      <c r="AZ171" s="4" t="str">
        <f ca="1">IFERROR(__xludf.DUMMYFUNCTION("""COMPUTED_VALUE"""),"| 1 L CPT @ | 2 L JAVA @ | 3 P Python @ | 5 P PHP-CGM @ ")</f>
        <v xml:space="preserve">| 1 L CPT @ | 2 L JAVA @ | 3 P Python @ | 5 P PHP-CGM @ </v>
      </c>
      <c r="BA171" s="4" t="str">
        <f ca="1">IFERROR(__xludf.DUMMYFUNCTION("""COMPUTED_VALUE"""),"| 1 L CPT @ | 2 L JAVA @ | 3 P JAVA @ | 5 L INE @ ")</f>
        <v xml:space="preserve">| 1 L CPT @ | 2 L JAVA @ | 3 P JAVA @ | 5 L INE @ </v>
      </c>
      <c r="BB171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C171" s="4" t="str">
        <f ca="1">IFERROR(__xludf.DUMMYFUNCTION("""COMPUTED_VALUE"""),"| 1 L CPT @ | 2 L PHP-CGM @ | 3 P CPT @ | 6 P Python @ ")</f>
        <v xml:space="preserve">| 1 L CPT @ | 2 L PHP-CGM @ | 3 P CPT @ | 6 P Python @ </v>
      </c>
      <c r="BD171" s="4" t="str">
        <f ca="1">IFERROR(__xludf.DUMMYFUNCTION("""COMPUTED_VALUE"""),"| 1 L NS @ | 2 L PHP-CGM @ | 3 P JAVA @ | 5 P NS @ ")</f>
        <v xml:space="preserve">| 1 L NS @ | 2 L PHP-CGM @ | 3 P JAVA @ | 5 P NS @ </v>
      </c>
      <c r="BE171" s="4" t="str">
        <f ca="1">IFERROR(__xludf.DUMMYFUNCTION("""COMPUTED_VALUE"""),"| 1 L CPT @ | 2 L JAVA @ | 3 P Python @ | 5 P PHP-CGM @ ")</f>
        <v xml:space="preserve">| 1 L CPT @ | 2 L JAVA @ | 3 P Python @ | 5 P PHP-CGM @ </v>
      </c>
      <c r="BF171" s="4" t="str">
        <f ca="1">IFERROR(__xludf.DUMMYFUNCTION("""COMPUTED_VALUE"""),"| 1 L CPT @ | 2 L JAVA @ | 3 P JAVA @ ")</f>
        <v xml:space="preserve">| 1 L CPT @ | 2 L JAVA @ | 3 P JAVA @ </v>
      </c>
      <c r="BG171" s="4" t="str">
        <f ca="1">IFERROR(__xludf.DUMMYFUNCTION("""COMPUTED_VALUE"""),"| 2 L PHP-CGM @ | 3 P CPT @ | 1 L CPT @ | 6 P Python @ ")</f>
        <v xml:space="preserve">| 2 L PHP-CGM @ | 3 P CPT @ | 1 L CPT @ | 6 P Python @ </v>
      </c>
      <c r="BH171" s="4" t="str">
        <f ca="1">IFERROR(__xludf.DUMMYFUNCTION("""COMPUTED_VALUE"""),"| 1 L NS @ | 2 L PHP-CGM @ | 3 P JAVA @ | 5 P NS @ ")</f>
        <v xml:space="preserve">| 1 L NS @ | 2 L PHP-CGM @ | 3 P JAVA @ | 5 P NS @ </v>
      </c>
      <c r="BI171" s="4" t="str">
        <f ca="1">IFERROR(__xludf.DUMMYFUNCTION("""COMPUTED_VALUE"""),"| 1 L CPT % | 2 L JAVA @ | 3 P Python % | 5 P PHP-CGM @ ")</f>
        <v xml:space="preserve">| 1 L CPT % | 2 L JAVA @ | 3 P Python % | 5 P PHP-CGM @ </v>
      </c>
      <c r="BJ171" s="4" t="str">
        <f ca="1">IFERROR(__xludf.DUMMYFUNCTION("""COMPUTED_VALUE"""),"| 1 L CPT % | 2 L JAVA % | 3 P JAVA @ | 5 L INE @ ")</f>
        <v xml:space="preserve">| 1 L CPT % | 2 L JAVA % | 3 P JAVA @ | 5 L INE @ </v>
      </c>
      <c r="BK171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71" s="4" t="str">
        <f ca="1">IFERROR(__xludf.DUMMYFUNCTION("""COMPUTED_VALUE"""),"| 1 L CPT @ | 2 L PHP-CGM @ | 3 P CPT @ ")</f>
        <v xml:space="preserve">| 1 L CPT @ | 2 L PHP-CGM @ | 3 P CPT @ </v>
      </c>
      <c r="BM171" s="4" t="str">
        <f ca="1">IFERROR(__xludf.DUMMYFUNCTION("""COMPUTED_VALUE"""),"| 1 L NS @ | 2 L PHP-CGM @ | 3 P JAVA @ | 5 P NS @ ")</f>
        <v xml:space="preserve">| 1 L NS @ | 2 L PHP-CGM @ | 3 P JAVA @ | 5 P NS @ </v>
      </c>
      <c r="BN171" s="4" t="str">
        <f ca="1">IFERROR(__xludf.DUMMYFUNCTION("""COMPUTED_VALUE"""),"| 2 L JAVA @ | 1 L CPT @ | 3 P Python @ | 5 P PHP-CGM @ ")</f>
        <v xml:space="preserve">| 2 L JAVA @ | 1 L CPT @ | 3 P Python @ | 5 P PHP-CGM @ </v>
      </c>
      <c r="BO171" s="4" t="str">
        <f ca="1">IFERROR(__xludf.DUMMYFUNCTION("""COMPUTED_VALUE"""),"| 2 L JAVA @ | 1 L CPT @ | 3 P JAVA @ | 5 L INE @ ")</f>
        <v xml:space="preserve">| 2 L JAVA @ | 1 L CPT @ | 3 P JAVA @ | 5 L INE @ </v>
      </c>
      <c r="BP171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71" s="4"/>
      <c r="BR171" s="4"/>
      <c r="BS171" s="4"/>
      <c r="BT171" s="4" t="str">
        <f ca="1">IFERROR(__xludf.DUMMYFUNCTION("""COMPUTED_VALUE"""),"| 1 L NS @ | 2 L PHP-CGM @ | 3 P PRO @ ")</f>
        <v xml:space="preserve">| 1 L NS @ | 2 L PHP-CGM @ | 3 P PRO @ </v>
      </c>
      <c r="BU171" s="4" t="str">
        <f ca="1">IFERROR(__xludf.DUMMYFUNCTION("""COMPUTED_VALUE"""),"| 1 L CPT @ ")</f>
        <v xml:space="preserve">| 1 L CPT @ </v>
      </c>
      <c r="BV171" s="4" t="str">
        <f ca="1">IFERROR(__xludf.DUMMYFUNCTION("""COMPUTED_VALUE"""),"| 1 L NS @ | 2 L PHP-CGM @ | 3 P PRO @ | 6 L JAVA @ ")</f>
        <v xml:space="preserve">| 1 L NS @ | 2 L PHP-CGM @ | 3 P PRO @ | 6 L JAVA @ </v>
      </c>
      <c r="BW171" s="4" t="str">
        <f ca="1">IFERROR(__xludf.DUMMYFUNCTION("""COMPUTED_VALUE"""),"| 1 L CPT % | 2 L PHP-CGM % | 3 P CPT @ ")</f>
        <v xml:space="preserve">| 1 L CPT % | 2 L PHP-CGM % | 3 P CPT @ </v>
      </c>
      <c r="BX171" s="4" t="str">
        <f ca="1">IFERROR(__xludf.DUMMYFUNCTION("""COMPUTED_VALUE"""),"| 1 L NS @ | 2 L PHP-CGM @ | 3 P JAVA @ | 5 P NS @ ")</f>
        <v xml:space="preserve">| 1 L NS @ | 2 L PHP-CGM @ | 3 P JAVA @ | 5 P NS @ </v>
      </c>
      <c r="BY171" s="4" t="str">
        <f ca="1">IFERROR(__xludf.DUMMYFUNCTION("""COMPUTED_VALUE"""),"| 1 L CPT % | 2 L JAVA % | 3 P Python @ | 5 P PHP-CGM @ ")</f>
        <v xml:space="preserve">| 1 L CPT % | 2 L JAVA % | 3 P Python @ | 5 P PHP-CGM @ </v>
      </c>
      <c r="BZ171" s="4" t="str">
        <f ca="1">IFERROR(__xludf.DUMMYFUNCTION("""COMPUTED_VALUE"""),"| 1 L CPT % | 2 L JAVA % | 3 P JAVA % | 5 L INE @ ")</f>
        <v xml:space="preserve">| 1 L CPT % | 2 L JAVA % | 3 P JAVA % | 5 L INE @ </v>
      </c>
      <c r="CA171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CB171" s="4" t="str">
        <f ca="1">IFERROR(__xludf.DUMMYFUNCTION("""COMPUTED_VALUE"""),"| 2 L PHP-CGM % | 3 P CPT % | 6 P Python @ | 1 L CPT % ")</f>
        <v xml:space="preserve">| 2 L PHP-CGM % | 3 P CPT % | 6 P Python @ | 1 L CPT % </v>
      </c>
      <c r="CC171" s="4" t="str">
        <f ca="1">IFERROR(__xludf.DUMMYFUNCTION("""COMPUTED_VALUE"""),"| 1 L NS % | 2 L PHP-CGM % | 3 P JAVA @ | 5 P NS @ ")</f>
        <v xml:space="preserve">| 1 L NS % | 2 L PHP-CGM % | 3 P JAVA @ | 5 P NS @ </v>
      </c>
      <c r="CD171" s="4" t="str">
        <f ca="1">IFERROR(__xludf.DUMMYFUNCTION("""COMPUTED_VALUE"""),"| 1 L CPT % | 2 L JAVA @ | 3 P Python @ | 5 P PHP-CGM @ ")</f>
        <v xml:space="preserve">| 1 L CPT % | 2 L JAVA @ | 3 P Python @ | 5 P PHP-CGM @ </v>
      </c>
      <c r="CE171" s="4" t="str">
        <f ca="1">IFERROR(__xludf.DUMMYFUNCTION("""COMPUTED_VALUE"""),"| 1 L CPT % | 2 L JAVA @ | 3 P JAVA @ | 5 L INE % ")</f>
        <v xml:space="preserve">| 1 L CPT % | 2 L JAVA @ | 3 P JAVA @ | 5 L INE % </v>
      </c>
      <c r="CF171" s="4" t="str">
        <f ca="1">IFERROR(__xludf.DUMMYFUNCTION("""COMPUTED_VALUE"""),"| 1 L NS @ | 2 L PHP-CGM @ | 5 L NS @ | 6 L JAVA @ ")</f>
        <v xml:space="preserve">| 1 L NS @ | 2 L PHP-CGM @ | 5 L NS @ | 6 L JAVA @ </v>
      </c>
      <c r="CG171" s="4" t="str">
        <f ca="1">IFERROR(__xludf.DUMMYFUNCTION("""COMPUTED_VALUE"""),"| 1 L CPT % | 2 L PHP-CGM % | 6 P Python @ | 3 P CPT @ ")</f>
        <v xml:space="preserve">| 1 L CPT % | 2 L PHP-CGM % | 6 P Python @ | 3 P CPT @ </v>
      </c>
      <c r="CH171" s="4" t="str">
        <f ca="1">IFERROR(__xludf.DUMMYFUNCTION("""COMPUTED_VALUE"""),"| 1 L NS @ | 2 L PHP-CGM @ | 3 P JAVA @ | 5 P NS @ ")</f>
        <v xml:space="preserve">| 1 L NS @ | 2 L PHP-CGM @ | 3 P JAVA @ | 5 P NS @ </v>
      </c>
      <c r="CI171" s="4" t="str">
        <f ca="1">IFERROR(__xludf.DUMMYFUNCTION("""COMPUTED_VALUE"""),"| 1 L CPT @ | 2 L JAVA @ | 5 P PHP-CGM @ ")</f>
        <v xml:space="preserve">| 1 L CPT @ | 2 L JAVA @ | 5 P PHP-CGM @ </v>
      </c>
      <c r="CJ171" s="4" t="str">
        <f ca="1">IFERROR(__xludf.DUMMYFUNCTION("""COMPUTED_VALUE"""),"| 1 L CPT @ ")</f>
        <v xml:space="preserve">| 1 L CPT @ </v>
      </c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</row>
    <row r="172" spans="1:102" ht="12.5" x14ac:dyDescent="0.25">
      <c r="A172" s="3">
        <f ca="1">IFERROR(__xludf.DUMMYFUNCTION("""COMPUTED_VALUE"""),1)</f>
        <v>1</v>
      </c>
      <c r="B172" s="3" t="str">
        <f ca="1">IFERROR(__xludf.DUMMYFUNCTION("""COMPUTED_VALUE"""),"C")</f>
        <v>C</v>
      </c>
      <c r="C172" s="32" t="str">
        <f ca="1">IFERROR(__xludf.DUMMYFUNCTION("""COMPUTED_VALUE"""),"23171341021")</f>
        <v>23171341021</v>
      </c>
      <c r="D172" s="4" t="str">
        <f ca="1">IFERROR(__xludf.DUMMYFUNCTION("""COMPUTED_VALUE"""),"CHOLERA RAJ UDAYBHAI")</f>
        <v>CHOLERA RAJ UDAYBHAI</v>
      </c>
      <c r="E172" s="3" t="str">
        <f ca="1">IFERROR(__xludf.DUMMYFUNCTION("""COMPUTED_VALUE"""),"PKN/PAP-Mor")</f>
        <v>PKN/PAP-Mor</v>
      </c>
      <c r="F172" s="3">
        <f ca="1">IFERROR(__xludf.DUMMYFUNCTION("""COMPUTED_VALUE"""),7490962104)</f>
        <v>7490962104</v>
      </c>
      <c r="G172" s="3">
        <f ca="1">IFERROR(__xludf.DUMMYFUNCTION("""COMPUTED_VALUE"""),9913428950)</f>
        <v>9913428950</v>
      </c>
      <c r="H172" s="33">
        <f ca="1">IFERROR(__xludf.DUMMYFUNCTION("""COMPUTED_VALUE"""),0.412244897959183)</f>
        <v>0.41224489795918301</v>
      </c>
      <c r="I172" s="25">
        <f ca="1">IFERROR(__xludf.DUMMYFUNCTION("""COMPUTED_VALUE"""),0.447368421052631)</f>
        <v>0.44736842105263103</v>
      </c>
      <c r="J172" s="25">
        <f ca="1">IFERROR(__xludf.DUMMYFUNCTION("""COMPUTED_VALUE"""),0.5)</f>
        <v>0.5</v>
      </c>
      <c r="K172" s="25">
        <f ca="1">IFERROR(__xludf.DUMMYFUNCTION("""COMPUTED_VALUE"""),0.333333333333333)</f>
        <v>0.33333333333333298</v>
      </c>
      <c r="L172" s="25">
        <f ca="1">IFERROR(__xludf.DUMMYFUNCTION("""COMPUTED_VALUE"""),0.454545454545454)</f>
        <v>0.45454545454545398</v>
      </c>
      <c r="M172" s="25">
        <f ca="1">IFERROR(__xludf.DUMMYFUNCTION("""COMPUTED_VALUE"""),0.388888888888888)</f>
        <v>0.38888888888888801</v>
      </c>
      <c r="N172" s="25">
        <f ca="1">IFERROR(__xludf.DUMMYFUNCTION("""COMPUTED_VALUE"""),0.461538461538461)</f>
        <v>0.46153846153846101</v>
      </c>
      <c r="O172" s="25">
        <f ca="1">IFERROR(__xludf.DUMMYFUNCTION("""COMPUTED_VALUE"""),0.342857142857142)</f>
        <v>0.34285714285714203</v>
      </c>
      <c r="P172" s="25">
        <f ca="1">IFERROR(__xludf.DUMMYFUNCTION("""COMPUTED_VALUE"""),0.454545454545454)</f>
        <v>0.45454545454545398</v>
      </c>
      <c r="Q172" s="25">
        <f ca="1">IFERROR(__xludf.DUMMYFUNCTION("""COMPUTED_VALUE"""),0)</f>
        <v>0</v>
      </c>
      <c r="R172" s="25">
        <f ca="1">IFERROR(__xludf.DUMMYFUNCTION("""COMPUTED_VALUE"""),0.545454545454545)</f>
        <v>0.54545454545454497</v>
      </c>
      <c r="S172" s="25">
        <f ca="1">IFERROR(__xludf.DUMMYFUNCTION("""COMPUTED_VALUE"""),0)</f>
        <v>0</v>
      </c>
      <c r="T172" s="25">
        <f ca="1">IFERROR(__xludf.DUMMYFUNCTION("""COMPUTED_VALUE"""),0.25)</f>
        <v>0.25</v>
      </c>
      <c r="U172" s="25">
        <f ca="1">IFERROR(__xludf.DUMMYFUNCTION("""COMPUTED_VALUE"""),0.5)</f>
        <v>0.5</v>
      </c>
      <c r="V172" s="25">
        <f ca="1">IFERROR(__xludf.DUMMYFUNCTION("""COMPUTED_VALUE"""),0)</f>
        <v>0</v>
      </c>
      <c r="W172" s="4"/>
      <c r="X172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Y172" s="4" t="str">
        <f ca="1">IFERROR(__xludf.DUMMYFUNCTION("""COMPUTED_VALUE"""),"| 1 L CPT @ | 5 L PHP-CGM @ | 1 P CPT @ | 6 P Python @ ")</f>
        <v xml:space="preserve">| 1 L CPT @ | 5 L PHP-CGM @ | 1 P CPT @ | 6 P Python @ </v>
      </c>
      <c r="Z172" s="4" t="str">
        <f ca="1">IFERROR(__xludf.DUMMYFUNCTION("""COMPUTED_VALUE"""),"| 1 L CPT @ | 2 L PHP-CGM @ | 3 P JAVA @ | 5 P NS @ ")</f>
        <v xml:space="preserve">| 1 L CPT @ | 2 L PHP-CGM @ | 3 P JAVA @ | 5 P NS @ </v>
      </c>
      <c r="AA172" s="4" t="str">
        <f ca="1">IFERROR(__xludf.DUMMYFUNCTION("""COMPUTED_VALUE"""),"| 1 L NS @ | 2 L JAVA @ | 3 P Python @ | 5 P PHP-CGM @ ")</f>
        <v xml:space="preserve">| 1 L NS @ | 2 L JAVA @ | 3 P Python @ | 5 P PHP-CGM @ </v>
      </c>
      <c r="AB172" s="4" t="str">
        <f ca="1">IFERROR(__xludf.DUMMYFUNCTION("""COMPUTED_VALUE"""),"| 1 L CPT @ | 2 L JAVA @ | 3 P JAVA @ ")</f>
        <v xml:space="preserve">| 1 L CPT @ | 2 L JAVA @ | 3 P JAVA @ </v>
      </c>
      <c r="AC172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72" s="4" t="str">
        <f ca="1">IFERROR(__xludf.DUMMYFUNCTION("""COMPUTED_VALUE"""),"| 1 L CPT @ | 2 L PHP-CGM @ | 3 P CPT @ | 6 P Python @ ")</f>
        <v xml:space="preserve">| 1 L CPT @ | 2 L PHP-CGM @ | 3 P CPT @ | 6 P Python @ </v>
      </c>
      <c r="AE172" s="4" t="str">
        <f ca="1">IFERROR(__xludf.DUMMYFUNCTION("""COMPUTED_VALUE"""),"| 1 L CPT @ | 3 P JAVA @ | 5 P NS @ | 2 L PHP-CGM @ ")</f>
        <v xml:space="preserve">| 1 L CPT @ | 3 P JAVA @ | 5 P NS @ | 2 L PHP-CGM @ </v>
      </c>
      <c r="AF172" s="4" t="str">
        <f ca="1">IFERROR(__xludf.DUMMYFUNCTION("""COMPUTED_VALUE"""),"| 1 L NS % | 2 L CPT % | 3 P Python % | 5 P PHP-CGM % ")</f>
        <v xml:space="preserve">| 1 L NS % | 2 L CPT % | 3 P Python % | 5 P PHP-CGM % </v>
      </c>
      <c r="AG172" s="4" t="str">
        <f ca="1">IFERROR(__xludf.DUMMYFUNCTION("""COMPUTED_VALUE"""),"| 1 L CPT % | 2 L JAVA % | 3 P JAVA % ")</f>
        <v xml:space="preserve">| 1 L CPT % | 2 L JAVA % | 3 P JAVA % </v>
      </c>
      <c r="AH172" s="4" t="str">
        <f ca="1">IFERROR(__xludf.DUMMYFUNCTION("""COMPUTED_VALUE"""),"| 2 L JAVA @ | 1 L NS @ | 3 P Python @ | 5 P PHP-CGM @ ")</f>
        <v xml:space="preserve">| 2 L JAVA @ | 1 L NS @ | 3 P Python @ | 5 P PHP-CGM @ </v>
      </c>
      <c r="AI172" s="4" t="str">
        <f ca="1">IFERROR(__xludf.DUMMYFUNCTION("""COMPUTED_VALUE"""),"| 1 L CPT @ | 2 L JAVA @ | 3 P JAVA @ ")</f>
        <v xml:space="preserve">| 1 L CPT @ | 2 L JAVA @ | 3 P JAVA @ </v>
      </c>
      <c r="AJ172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K172" s="4" t="str">
        <f ca="1">IFERROR(__xludf.DUMMYFUNCTION("""COMPUTED_VALUE"""),"| 1 L CPT % | 3 P CPT % | 2 L PHP-CGM % | 6 P Python % ")</f>
        <v xml:space="preserve">| 1 L CPT % | 3 P CPT % | 2 L PHP-CGM % | 6 P Python % </v>
      </c>
      <c r="AL172" s="4" t="str">
        <f ca="1">IFERROR(__xludf.DUMMYFUNCTION("""COMPUTED_VALUE"""),"| 1 L CPT % | 2 L PHP-CGM % | 3 P JAVA % | 5 P NS % ")</f>
        <v xml:space="preserve">| 1 L CPT % | 2 L PHP-CGM % | 3 P JAVA % | 5 P NS % </v>
      </c>
      <c r="AM172" s="4" t="str">
        <f ca="1">IFERROR(__xludf.DUMMYFUNCTION("""COMPUTED_VALUE"""),"| 2 L JAVA % | 3 P Python % | 5 P PHP-CGM % | 1 L NS % ")</f>
        <v xml:space="preserve">| 2 L JAVA % | 3 P Python % | 5 P PHP-CGM % | 1 L NS % </v>
      </c>
      <c r="AN172" s="4" t="str">
        <f ca="1">IFERROR(__xludf.DUMMYFUNCTION("""COMPUTED_VALUE"""),"| 1 L CPT % | 2 L JAVA % | 3 P JAVA % | 5 L INE @ ")</f>
        <v xml:space="preserve">| 1 L CPT % | 2 L JAVA % | 3 P JAVA % | 5 L INE @ </v>
      </c>
      <c r="AO172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72" s="4" t="str">
        <f ca="1">IFERROR(__xludf.DUMMYFUNCTION("""COMPUTED_VALUE"""),"| 1 L CPT % | 2 L PHP-CGM % | 3 P CPT % | 6 P Python % ")</f>
        <v xml:space="preserve">| 1 L CPT % | 2 L PHP-CGM % | 3 P CPT % | 6 P Python % </v>
      </c>
      <c r="AQ172" s="4" t="str">
        <f ca="1">IFERROR(__xludf.DUMMYFUNCTION("""COMPUTED_VALUE"""),"| 2 L PHP-CGM % | 3 P JAVA % | 1 L NS % | 5 P NS % ")</f>
        <v xml:space="preserve">| 2 L PHP-CGM % | 3 P JAVA % | 1 L NS % | 5 P NS % </v>
      </c>
      <c r="AR172" s="4" t="str">
        <f ca="1">IFERROR(__xludf.DUMMYFUNCTION("""COMPUTED_VALUE"""),"| 1 L CPT % | 2 L JAVA % | 3 P Python % | 5 P PHP-CGM % ")</f>
        <v xml:space="preserve">| 1 L CPT % | 2 L JAVA % | 3 P Python % | 5 P PHP-CGM % </v>
      </c>
      <c r="AS17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72" s="4" t="str">
        <f ca="1">IFERROR(__xludf.DUMMYFUNCTION("""COMPUTED_VALUE"""),"| 1 L CPT % | 2 L PHP-CGM % | 3 P CPT % | 6 P Python % ")</f>
        <v xml:space="preserve">| 1 L CPT % | 2 L PHP-CGM % | 3 P CPT % | 6 P Python % </v>
      </c>
      <c r="AU172" s="4" t="str">
        <f ca="1">IFERROR(__xludf.DUMMYFUNCTION("""COMPUTED_VALUE"""),"| 1 L NS % | 2 L PHP-CGM % | 3 P JAVA % | 5 P NS % ")</f>
        <v xml:space="preserve">| 1 L NS % | 2 L PHP-CGM % | 3 P JAVA % | 5 P NS % </v>
      </c>
      <c r="AV172" s="4" t="str">
        <f ca="1">IFERROR(__xludf.DUMMYFUNCTION("""COMPUTED_VALUE"""),"| 1 L CPT % | 2 L JAVA % | 3 P Python % | 5 P PHP-CGM % ")</f>
        <v xml:space="preserve">| 1 L CPT % | 2 L JAVA % | 3 P Python % | 5 P PHP-CGM % </v>
      </c>
      <c r="AW172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72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72" s="4" t="str">
        <f ca="1">IFERROR(__xludf.DUMMYFUNCTION("""COMPUTED_VALUE"""),"| 1 L CPT % | 2 L PHP-CGM % | 3 P CPT % | 6 P Python % ")</f>
        <v xml:space="preserve">| 1 L CPT % | 2 L PHP-CGM % | 3 P CPT % | 6 P Python % </v>
      </c>
      <c r="AZ172" s="4" t="str">
        <f ca="1">IFERROR(__xludf.DUMMYFUNCTION("""COMPUTED_VALUE"""),"| 1 L CPT @ | 2 L JAVA @ | 3 P Python @ | 5 P PHP-CGM @ ")</f>
        <v xml:space="preserve">| 1 L CPT @ | 2 L JAVA @ | 3 P Python @ | 5 P PHP-CGM @ </v>
      </c>
      <c r="BA172" s="4" t="str">
        <f ca="1">IFERROR(__xludf.DUMMYFUNCTION("""COMPUTED_VALUE"""),"| 1 L CPT @ | 2 L JAVA @ | 3 P JAVA @ | 5 L INE @ ")</f>
        <v xml:space="preserve">| 1 L CPT @ | 2 L JAVA @ | 3 P JAVA @ | 5 L INE @ </v>
      </c>
      <c r="BB17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C172" s="4" t="str">
        <f ca="1">IFERROR(__xludf.DUMMYFUNCTION("""COMPUTED_VALUE"""),"| 1 L CPT % | 2 L PHP-CGM % | 3 P CPT @ | 6 P Python @ ")</f>
        <v xml:space="preserve">| 1 L CPT % | 2 L PHP-CGM % | 3 P CPT @ | 6 P Python @ </v>
      </c>
      <c r="BD172" s="4" t="str">
        <f ca="1">IFERROR(__xludf.DUMMYFUNCTION("""COMPUTED_VALUE"""),"| 1 L NS @ | 2 L PHP-CGM @ | 3 P JAVA @ | 5 P NS @ ")</f>
        <v xml:space="preserve">| 1 L NS @ | 2 L PHP-CGM @ | 3 P JAVA @ | 5 P NS @ </v>
      </c>
      <c r="BE172" s="4" t="str">
        <f ca="1">IFERROR(__xludf.DUMMYFUNCTION("""COMPUTED_VALUE"""),"| 1 L CPT @ | 2 L JAVA @ | 3 P Python @ | 5 P PHP-CGM @ ")</f>
        <v xml:space="preserve">| 1 L CPT @ | 2 L JAVA @ | 3 P Python @ | 5 P PHP-CGM @ </v>
      </c>
      <c r="BF172" s="4" t="str">
        <f ca="1">IFERROR(__xludf.DUMMYFUNCTION("""COMPUTED_VALUE"""),"| 1 L CPT @ | 2 L JAVA @ | 3 P JAVA @ ")</f>
        <v xml:space="preserve">| 1 L CPT @ | 2 L JAVA @ | 3 P JAVA @ </v>
      </c>
      <c r="BG172" s="4" t="str">
        <f ca="1">IFERROR(__xludf.DUMMYFUNCTION("""COMPUTED_VALUE"""),"| 2 L PHP-CGM % | 3 P CPT % | 1 L CPT % | 6 P Python % ")</f>
        <v xml:space="preserve">| 2 L PHP-CGM % | 3 P CPT % | 1 L CPT % | 6 P Python % </v>
      </c>
      <c r="BH172" s="4" t="str">
        <f ca="1">IFERROR(__xludf.DUMMYFUNCTION("""COMPUTED_VALUE"""),"| 1 L NS % | 2 L PHP-CGM % | 3 P JAVA % | 5 P NS % ")</f>
        <v xml:space="preserve">| 1 L NS % | 2 L PHP-CGM % | 3 P JAVA % | 5 P NS % </v>
      </c>
      <c r="BI172" s="4" t="str">
        <f ca="1">IFERROR(__xludf.DUMMYFUNCTION("""COMPUTED_VALUE"""),"| 1 L CPT % | 2 L JAVA % | 3 P Python % | 5 P PHP-CGM % ")</f>
        <v xml:space="preserve">| 1 L CPT % | 2 L JAVA % | 3 P Python % | 5 P PHP-CGM % </v>
      </c>
      <c r="BJ172" s="4" t="str">
        <f ca="1">IFERROR(__xludf.DUMMYFUNCTION("""COMPUTED_VALUE"""),"| 1 L CPT % | 2 L JAVA % | 3 P JAVA % | 5 L INE % ")</f>
        <v xml:space="preserve">| 1 L CPT % | 2 L JAVA % | 3 P JAVA % | 5 L INE % </v>
      </c>
      <c r="BK17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72" s="4" t="str">
        <f ca="1">IFERROR(__xludf.DUMMYFUNCTION("""COMPUTED_VALUE"""),"| 1 L CPT @ | 2 L PHP-CGM @ | 3 P CPT @ ")</f>
        <v xml:space="preserve">| 1 L CPT @ | 2 L PHP-CGM @ | 3 P CPT @ </v>
      </c>
      <c r="BM172" s="4" t="str">
        <f ca="1">IFERROR(__xludf.DUMMYFUNCTION("""COMPUTED_VALUE"""),"| 1 L NS @ | 2 L PHP-CGM @ | 3 P JAVA @ | 5 P NS @ ")</f>
        <v xml:space="preserve">| 1 L NS @ | 2 L PHP-CGM @ | 3 P JAVA @ | 5 P NS @ </v>
      </c>
      <c r="BN172" s="4" t="str">
        <f ca="1">IFERROR(__xludf.DUMMYFUNCTION("""COMPUTED_VALUE"""),"| 2 L JAVA @ | 1 L CPT @ | 3 P Python @ | 5 P PHP-CGM @ ")</f>
        <v xml:space="preserve">| 2 L JAVA @ | 1 L CPT @ | 3 P Python @ | 5 P PHP-CGM @ </v>
      </c>
      <c r="BO172" s="4" t="str">
        <f ca="1">IFERROR(__xludf.DUMMYFUNCTION("""COMPUTED_VALUE"""),"| 2 L JAVA @ | 1 L CPT @ | 3 P JAVA @ | 5 L INE @ ")</f>
        <v xml:space="preserve">| 2 L JAVA @ | 1 L CPT @ | 3 P JAVA @ | 5 L INE @ </v>
      </c>
      <c r="BP17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72" s="4"/>
      <c r="BR172" s="4"/>
      <c r="BS172" s="4"/>
      <c r="BT172" s="4" t="str">
        <f ca="1">IFERROR(__xludf.DUMMYFUNCTION("""COMPUTED_VALUE"""),"| 1 L NS @ | 2 L PHP-CGM @ | 3 P PRO @ ")</f>
        <v xml:space="preserve">| 1 L NS @ | 2 L PHP-CGM @ | 3 P PRO @ </v>
      </c>
      <c r="BU172" s="4" t="str">
        <f ca="1">IFERROR(__xludf.DUMMYFUNCTION("""COMPUTED_VALUE"""),"| 1 L CPT @ ")</f>
        <v xml:space="preserve">| 1 L CPT @ </v>
      </c>
      <c r="BV172" s="4" t="str">
        <f ca="1">IFERROR(__xludf.DUMMYFUNCTION("""COMPUTED_VALUE"""),"| 1 L NS @ | 2 L PHP-CGM @ | 3 P PRO @ | 6 L JAVA @ ")</f>
        <v xml:space="preserve">| 1 L NS @ | 2 L PHP-CGM @ | 3 P PRO @ | 6 L JAVA @ </v>
      </c>
      <c r="BW172" s="4" t="str">
        <f ca="1">IFERROR(__xludf.DUMMYFUNCTION("""COMPUTED_VALUE"""),"| 1 L CPT % | 2 L PHP-CGM @ | 3 P CPT @ ")</f>
        <v xml:space="preserve">| 1 L CPT % | 2 L PHP-CGM @ | 3 P CPT @ </v>
      </c>
      <c r="BX172" s="4" t="str">
        <f ca="1">IFERROR(__xludf.DUMMYFUNCTION("""COMPUTED_VALUE"""),"| 1 L NS @ | 2 L PHP-CGM @ | 3 P JAVA @ | 5 P NS @ ")</f>
        <v xml:space="preserve">| 1 L NS @ | 2 L PHP-CGM @ | 3 P JAVA @ | 5 P NS @ </v>
      </c>
      <c r="BY172" s="4" t="str">
        <f ca="1">IFERROR(__xludf.DUMMYFUNCTION("""COMPUTED_VALUE"""),"| 1 L CPT @ | 2 L JAVA @ | 3 P Python @ | 5 P PHP-CGM @ ")</f>
        <v xml:space="preserve">| 1 L CPT @ | 2 L JAVA @ | 3 P Python @ | 5 P PHP-CGM @ </v>
      </c>
      <c r="BZ172" s="4" t="str">
        <f ca="1">IFERROR(__xludf.DUMMYFUNCTION("""COMPUTED_VALUE"""),"| 1 L CPT @ | 2 L JAVA @ | 3 P JAVA @ | 5 L INE @ ")</f>
        <v xml:space="preserve">| 1 L CPT @ | 2 L JAVA @ | 3 P JAVA @ | 5 L INE @ </v>
      </c>
      <c r="CA17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72" s="4" t="str">
        <f ca="1">IFERROR(__xludf.DUMMYFUNCTION("""COMPUTED_VALUE"""),"| 2 L PHP-CGM @ | 3 P CPT @ | 6 P Python @ | 1 L CPT @ ")</f>
        <v xml:space="preserve">| 2 L PHP-CGM @ | 3 P CPT @ | 6 P Python @ | 1 L CPT @ </v>
      </c>
      <c r="CC172" s="4" t="str">
        <f ca="1">IFERROR(__xludf.DUMMYFUNCTION("""COMPUTED_VALUE"""),"| 1 L NS @ | 2 L PHP-CGM @ | 3 P JAVA @ | 5 P NS @ ")</f>
        <v xml:space="preserve">| 1 L NS @ | 2 L PHP-CGM @ | 3 P JAVA @ | 5 P NS @ </v>
      </c>
      <c r="CD172" s="4" t="str">
        <f ca="1">IFERROR(__xludf.DUMMYFUNCTION("""COMPUTED_VALUE"""),"| 1 L CPT @ | 2 L JAVA @ | 3 P Python % | 5 P PHP-CGM % ")</f>
        <v xml:space="preserve">| 1 L CPT @ | 2 L JAVA @ | 3 P Python % | 5 P PHP-CGM % </v>
      </c>
      <c r="CE172" s="4" t="str">
        <f ca="1">IFERROR(__xludf.DUMMYFUNCTION("""COMPUTED_VALUE"""),"| 1 L CPT % | 2 L JAVA % | 3 P JAVA % | 5 L INE % ")</f>
        <v xml:space="preserve">| 1 L CPT % | 2 L JAVA % | 3 P JAVA % | 5 L INE % </v>
      </c>
      <c r="CF172" s="4" t="str">
        <f ca="1">IFERROR(__xludf.DUMMYFUNCTION("""COMPUTED_VALUE"""),"| 1 L NS @ | 2 L PHP-CGM @ | 5 L NS @ | 6 L JAVA @ ")</f>
        <v xml:space="preserve">| 1 L NS @ | 2 L PHP-CGM @ | 5 L NS @ | 6 L JAVA @ </v>
      </c>
      <c r="CG172" s="4" t="str">
        <f ca="1">IFERROR(__xludf.DUMMYFUNCTION("""COMPUTED_VALUE"""),"| 1 L CPT @ | 2 L PHP-CGM @ | 6 P Python % | 3 P CPT % ")</f>
        <v xml:space="preserve">| 1 L CPT @ | 2 L PHP-CGM @ | 6 P Python % | 3 P CPT % </v>
      </c>
      <c r="CH172" s="4" t="str">
        <f ca="1">IFERROR(__xludf.DUMMYFUNCTION("""COMPUTED_VALUE"""),"| 1 L NS % | 2 L PHP-CGM % | 3 P JAVA % | 5 P NS % ")</f>
        <v xml:space="preserve">| 1 L NS % | 2 L PHP-CGM % | 3 P JAVA % | 5 P NS % </v>
      </c>
      <c r="CI172" s="4" t="str">
        <f ca="1">IFERROR(__xludf.DUMMYFUNCTION("""COMPUTED_VALUE"""),"| 1 L CPT @ | 2 L JAVA @ | 5 P PHP-CGM @ ")</f>
        <v xml:space="preserve">| 1 L CPT @ | 2 L JAVA @ | 5 P PHP-CGM @ </v>
      </c>
      <c r="CJ172" s="4" t="str">
        <f ca="1">IFERROR(__xludf.DUMMYFUNCTION("""COMPUTED_VALUE"""),"| 1 L CPT @ ")</f>
        <v xml:space="preserve">| 1 L CPT @ </v>
      </c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</row>
    <row r="173" spans="1:102" ht="12.5" x14ac:dyDescent="0.25">
      <c r="A173" s="3">
        <f ca="1">IFERROR(__xludf.DUMMYFUNCTION("""COMPUTED_VALUE"""),1)</f>
        <v>1</v>
      </c>
      <c r="B173" s="3" t="str">
        <f ca="1">IFERROR(__xludf.DUMMYFUNCTION("""COMPUTED_VALUE"""),"C")</f>
        <v>C</v>
      </c>
      <c r="C173" s="32" t="str">
        <f ca="1">IFERROR(__xludf.DUMMYFUNCTION("""COMPUTED_VALUE"""),"23171341022")</f>
        <v>23171341022</v>
      </c>
      <c r="D173" s="4" t="str">
        <f ca="1">IFERROR(__xludf.DUMMYFUNCTION("""COMPUTED_VALUE"""),"DARJI DIVY MANISHKUMAR")</f>
        <v>DARJI DIVY MANISHKUMAR</v>
      </c>
      <c r="E173" s="3" t="str">
        <f ca="1">IFERROR(__xludf.DUMMYFUNCTION("""COMPUTED_VALUE"""),"PKN/PAP-Mor")</f>
        <v>PKN/PAP-Mor</v>
      </c>
      <c r="F173" s="3">
        <f ca="1">IFERROR(__xludf.DUMMYFUNCTION("""COMPUTED_VALUE"""),9924834708)</f>
        <v>9924834708</v>
      </c>
      <c r="G173" s="3">
        <f ca="1">IFERROR(__xludf.DUMMYFUNCTION("""COMPUTED_VALUE"""),9924834708)</f>
        <v>9924834708</v>
      </c>
      <c r="H173" s="33">
        <f ca="1">IFERROR(__xludf.DUMMYFUNCTION("""COMPUTED_VALUE"""),0.661224489795918)</f>
        <v>0.66122448979591797</v>
      </c>
      <c r="I173" s="25">
        <f ca="1">IFERROR(__xludf.DUMMYFUNCTION("""COMPUTED_VALUE"""),0.631578947368421)</f>
        <v>0.63157894736842102</v>
      </c>
      <c r="J173" s="25">
        <f ca="1">IFERROR(__xludf.DUMMYFUNCTION("""COMPUTED_VALUE"""),0.833333333333333)</f>
        <v>0.83333333333333304</v>
      </c>
      <c r="K173" s="25">
        <f ca="1">IFERROR(__xludf.DUMMYFUNCTION("""COMPUTED_VALUE"""),0.611111111111111)</f>
        <v>0.61111111111111105</v>
      </c>
      <c r="L173" s="25">
        <f ca="1">IFERROR(__xludf.DUMMYFUNCTION("""COMPUTED_VALUE"""),0.818181818181818)</f>
        <v>0.81818181818181801</v>
      </c>
      <c r="M173" s="25">
        <f ca="1">IFERROR(__xludf.DUMMYFUNCTION("""COMPUTED_VALUE"""),0.694444444444444)</f>
        <v>0.69444444444444398</v>
      </c>
      <c r="N173" s="25">
        <f ca="1">IFERROR(__xludf.DUMMYFUNCTION("""COMPUTED_VALUE"""),0.692307692307692)</f>
        <v>0.69230769230769196</v>
      </c>
      <c r="O173" s="25">
        <f ca="1">IFERROR(__xludf.DUMMYFUNCTION("""COMPUTED_VALUE"""),0.571428571428571)</f>
        <v>0.57142857142857095</v>
      </c>
      <c r="P173" s="25">
        <f ca="1">IFERROR(__xludf.DUMMYFUNCTION("""COMPUTED_VALUE"""),0.681818181818181)</f>
        <v>0.68181818181818099</v>
      </c>
      <c r="Q173" s="25">
        <f ca="1">IFERROR(__xludf.DUMMYFUNCTION("""COMPUTED_VALUE"""),0)</f>
        <v>0</v>
      </c>
      <c r="R173" s="25">
        <f ca="1">IFERROR(__xludf.DUMMYFUNCTION("""COMPUTED_VALUE"""),0.818181818181818)</f>
        <v>0.81818181818181801</v>
      </c>
      <c r="S173" s="25">
        <f ca="1">IFERROR(__xludf.DUMMYFUNCTION("""COMPUTED_VALUE"""),0)</f>
        <v>0</v>
      </c>
      <c r="T173" s="25">
        <f ca="1">IFERROR(__xludf.DUMMYFUNCTION("""COMPUTED_VALUE"""),0.583333333333333)</f>
        <v>0.58333333333333304</v>
      </c>
      <c r="U173" s="25">
        <f ca="1">IFERROR(__xludf.DUMMYFUNCTION("""COMPUTED_VALUE"""),0.375)</f>
        <v>0.375</v>
      </c>
      <c r="V173" s="25">
        <f ca="1">IFERROR(__xludf.DUMMYFUNCTION("""COMPUTED_VALUE"""),0)</f>
        <v>0</v>
      </c>
      <c r="W173" s="4"/>
      <c r="X173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Y173" s="4" t="str">
        <f ca="1">IFERROR(__xludf.DUMMYFUNCTION("""COMPUTED_VALUE"""),"| 1 L CPT % | 5 L PHP-CGM % | 1 P CPT % | 6 P Python % ")</f>
        <v xml:space="preserve">| 1 L CPT % | 5 L PHP-CGM % | 1 P CPT % | 6 P Python % </v>
      </c>
      <c r="Z173" s="4" t="str">
        <f ca="1">IFERROR(__xludf.DUMMYFUNCTION("""COMPUTED_VALUE"""),"| 1 L CPT % | 2 L PHP-CGM % | 3 P JAVA % | 5 P NS % ")</f>
        <v xml:space="preserve">| 1 L CPT % | 2 L PHP-CGM % | 3 P JAVA % | 5 P NS % </v>
      </c>
      <c r="AA173" s="4" t="str">
        <f ca="1">IFERROR(__xludf.DUMMYFUNCTION("""COMPUTED_VALUE"""),"| 1 L NS % | 2 L JAVA % | 3 P Python % | 5 P PHP-CGM % ")</f>
        <v xml:space="preserve">| 1 L NS % | 2 L JAVA % | 3 P Python % | 5 P PHP-CGM % </v>
      </c>
      <c r="AB173" s="4" t="str">
        <f ca="1">IFERROR(__xludf.DUMMYFUNCTION("""COMPUTED_VALUE"""),"| 1 L CPT % | 2 L JAVA % | 3 P JAVA % ")</f>
        <v xml:space="preserve">| 1 L CPT % | 2 L JAVA % | 3 P JAVA % </v>
      </c>
      <c r="AC17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73" s="4" t="str">
        <f ca="1">IFERROR(__xludf.DUMMYFUNCTION("""COMPUTED_VALUE"""),"| 1 L CPT % | 2 L PHP-CGM % | 3 P CPT % | 6 P Python % ")</f>
        <v xml:space="preserve">| 1 L CPT % | 2 L PHP-CGM % | 3 P CPT % | 6 P Python % </v>
      </c>
      <c r="AE173" s="4" t="str">
        <f ca="1">IFERROR(__xludf.DUMMYFUNCTION("""COMPUTED_VALUE"""),"| 1 L CPT % | 3 P JAVA % | 5 P NS % | 2 L PHP-CGM % ")</f>
        <v xml:space="preserve">| 1 L CPT % | 3 P JAVA % | 5 P NS % | 2 L PHP-CGM % </v>
      </c>
      <c r="AF173" s="4" t="str">
        <f ca="1">IFERROR(__xludf.DUMMYFUNCTION("""COMPUTED_VALUE"""),"| 1 L NS % | 2 L CPT % | 3 P Python % | 5 P PHP-CGM % ")</f>
        <v xml:space="preserve">| 1 L NS % | 2 L CPT % | 3 P Python % | 5 P PHP-CGM % </v>
      </c>
      <c r="AG173" s="4" t="str">
        <f ca="1">IFERROR(__xludf.DUMMYFUNCTION("""COMPUTED_VALUE"""),"| 1 L CPT % | 2 L JAVA % | 3 P JAVA % ")</f>
        <v xml:space="preserve">| 1 L CPT % | 2 L JAVA % | 3 P JAVA % </v>
      </c>
      <c r="AH173" s="4" t="str">
        <f ca="1">IFERROR(__xludf.DUMMYFUNCTION("""COMPUTED_VALUE"""),"| 2 L JAVA % | 1 L NS % | 3 P Python @ | 5 P PHP-CGM @ ")</f>
        <v xml:space="preserve">| 2 L JAVA % | 1 L NS % | 3 P Python @ | 5 P PHP-CGM @ </v>
      </c>
      <c r="AI173" s="4" t="str">
        <f ca="1">IFERROR(__xludf.DUMMYFUNCTION("""COMPUTED_VALUE"""),"| 1 L CPT @ | 2 L JAVA @ | 3 P JAVA @ ")</f>
        <v xml:space="preserve">| 1 L CPT @ | 2 L JAVA @ | 3 P JAVA @ </v>
      </c>
      <c r="AJ17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73" s="4" t="str">
        <f ca="1">IFERROR(__xludf.DUMMYFUNCTION("""COMPUTED_VALUE"""),"| 1 L CPT % | 3 P CPT % | 2 L PHP-CGM % | 6 P Python % ")</f>
        <v xml:space="preserve">| 1 L CPT % | 3 P CPT % | 2 L PHP-CGM % | 6 P Python % </v>
      </c>
      <c r="AL173" s="4" t="str">
        <f ca="1">IFERROR(__xludf.DUMMYFUNCTION("""COMPUTED_VALUE"""),"| 1 L CPT % | 2 L PHP-CGM % | 3 P JAVA % | 5 P NS % ")</f>
        <v xml:space="preserve">| 1 L CPT % | 2 L PHP-CGM % | 3 P JAVA % | 5 P NS % </v>
      </c>
      <c r="AM173" s="4" t="str">
        <f ca="1">IFERROR(__xludf.DUMMYFUNCTION("""COMPUTED_VALUE"""),"| 2 L JAVA % | 3 P Python % | 5 P PHP-CGM % | 1 L NS % ")</f>
        <v xml:space="preserve">| 2 L JAVA % | 3 P Python % | 5 P PHP-CGM % | 1 L NS % </v>
      </c>
      <c r="AN173" s="4" t="str">
        <f ca="1">IFERROR(__xludf.DUMMYFUNCTION("""COMPUTED_VALUE"""),"| 1 L CPT @ | 2 L JAVA @ | 3 P JAVA @ | 5 L INE @ ")</f>
        <v xml:space="preserve">| 1 L CPT @ | 2 L JAVA @ | 3 P JAVA @ | 5 L INE @ </v>
      </c>
      <c r="AO173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73" s="4" t="str">
        <f ca="1">IFERROR(__xludf.DUMMYFUNCTION("""COMPUTED_VALUE"""),"| 1 L CPT % | 2 L PHP-CGM % | 3 P CPT % | 6 P Python % ")</f>
        <v xml:space="preserve">| 1 L CPT % | 2 L PHP-CGM % | 3 P CPT % | 6 P Python % </v>
      </c>
      <c r="AQ173" s="4" t="str">
        <f ca="1">IFERROR(__xludf.DUMMYFUNCTION("""COMPUTED_VALUE"""),"| 2 L PHP-CGM % | 3 P JAVA % | 1 L NS % | 5 P NS % ")</f>
        <v xml:space="preserve">| 2 L PHP-CGM % | 3 P JAVA % | 1 L NS % | 5 P NS % </v>
      </c>
      <c r="AR173" s="4" t="str">
        <f ca="1">IFERROR(__xludf.DUMMYFUNCTION("""COMPUTED_VALUE"""),"| 1 L CPT % | 2 L JAVA % | 3 P Python % | 5 P PHP-CGM % ")</f>
        <v xml:space="preserve">| 1 L CPT % | 2 L JAVA % | 3 P Python % | 5 P PHP-CGM % </v>
      </c>
      <c r="AS173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AT173" s="4" t="str">
        <f ca="1">IFERROR(__xludf.DUMMYFUNCTION("""COMPUTED_VALUE"""),"| 1 L CPT % | 2 L PHP-CGM % | 3 P CPT % | 6 P Python % ")</f>
        <v xml:space="preserve">| 1 L CPT % | 2 L PHP-CGM % | 3 P CPT % | 6 P Python % </v>
      </c>
      <c r="AU173" s="4" t="str">
        <f ca="1">IFERROR(__xludf.DUMMYFUNCTION("""COMPUTED_VALUE"""),"| 1 L NS % | 2 L PHP-CGM % | 3 P JAVA % | 5 P NS % ")</f>
        <v xml:space="preserve">| 1 L NS % | 2 L PHP-CGM % | 3 P JAVA % | 5 P NS % </v>
      </c>
      <c r="AV173" s="4" t="str">
        <f ca="1">IFERROR(__xludf.DUMMYFUNCTION("""COMPUTED_VALUE"""),"| 1 L CPT % | 2 L JAVA % | 3 P Python % | 5 P PHP-CGM % ")</f>
        <v xml:space="preserve">| 1 L CPT % | 2 L JAVA % | 3 P Python % | 5 P PHP-CGM % </v>
      </c>
      <c r="AW173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73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73" s="4" t="str">
        <f ca="1">IFERROR(__xludf.DUMMYFUNCTION("""COMPUTED_VALUE"""),"| 1 L CPT % | 2 L PHP-CGM % | 3 P CPT % | 6 P Python % ")</f>
        <v xml:space="preserve">| 1 L CPT % | 2 L PHP-CGM % | 3 P CPT % | 6 P Python % </v>
      </c>
      <c r="AZ173" s="4" t="str">
        <f ca="1">IFERROR(__xludf.DUMMYFUNCTION("""COMPUTED_VALUE"""),"| 1 L CPT % | 2 L JAVA % | 3 P Python % | 5 P PHP-CGM % ")</f>
        <v xml:space="preserve">| 1 L CPT % | 2 L JAVA % | 3 P Python % | 5 P PHP-CGM % </v>
      </c>
      <c r="BA173" s="4" t="str">
        <f ca="1">IFERROR(__xludf.DUMMYFUNCTION("""COMPUTED_VALUE"""),"| 1 L CPT % | 2 L JAVA % | 3 P JAVA % | 5 L INE @ ")</f>
        <v xml:space="preserve">| 1 L CPT % | 2 L JAVA % | 3 P JAVA % | 5 L INE @ </v>
      </c>
      <c r="BB17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73" s="4" t="str">
        <f ca="1">IFERROR(__xludf.DUMMYFUNCTION("""COMPUTED_VALUE"""),"| 1 L CPT % | 2 L PHP-CGM % | 3 P CPT % | 6 P Python % ")</f>
        <v xml:space="preserve">| 1 L CPT % | 2 L PHP-CGM % | 3 P CPT % | 6 P Python % </v>
      </c>
      <c r="BD173" s="4" t="str">
        <f ca="1">IFERROR(__xludf.DUMMYFUNCTION("""COMPUTED_VALUE"""),"| 1 L NS % | 2 L PHP-CGM % | 3 P JAVA % | 5 P NS % ")</f>
        <v xml:space="preserve">| 1 L NS % | 2 L PHP-CGM % | 3 P JAVA % | 5 P NS % </v>
      </c>
      <c r="BE173" s="4" t="str">
        <f ca="1">IFERROR(__xludf.DUMMYFUNCTION("""COMPUTED_VALUE"""),"| 1 L CPT % | 2 L JAVA % | 3 P Python % | 5 P PHP-CGM % ")</f>
        <v xml:space="preserve">| 1 L CPT % | 2 L JAVA % | 3 P Python % | 5 P PHP-CGM % </v>
      </c>
      <c r="BF173" s="4" t="str">
        <f ca="1">IFERROR(__xludf.DUMMYFUNCTION("""COMPUTED_VALUE"""),"| 1 L CPT % | 2 L JAVA % | 3 P JAVA % ")</f>
        <v xml:space="preserve">| 1 L CPT % | 2 L JAVA % | 3 P JAVA % </v>
      </c>
      <c r="BG173" s="4" t="str">
        <f ca="1">IFERROR(__xludf.DUMMYFUNCTION("""COMPUTED_VALUE"""),"| 2 L PHP-CGM % | 3 P CPT % | 1 L CPT % | 6 P Python % ")</f>
        <v xml:space="preserve">| 2 L PHP-CGM % | 3 P CPT % | 1 L CPT % | 6 P Python % </v>
      </c>
      <c r="BH173" s="4" t="str">
        <f ca="1">IFERROR(__xludf.DUMMYFUNCTION("""COMPUTED_VALUE"""),"| 1 L NS % | 2 L PHP-CGM % | 3 P JAVA % | 5 P NS % ")</f>
        <v xml:space="preserve">| 1 L NS % | 2 L PHP-CGM % | 3 P JAVA % | 5 P NS % </v>
      </c>
      <c r="BI173" s="4" t="str">
        <f ca="1">IFERROR(__xludf.DUMMYFUNCTION("""COMPUTED_VALUE"""),"| 1 L CPT % | 2 L JAVA % | 3 P Python @ | 5 P PHP-CGM @ ")</f>
        <v xml:space="preserve">| 1 L CPT % | 2 L JAVA % | 3 P Python @ | 5 P PHP-CGM @ </v>
      </c>
      <c r="BJ173" s="4" t="str">
        <f ca="1">IFERROR(__xludf.DUMMYFUNCTION("""COMPUTED_VALUE"""),"| 1 L CPT @ | 2 L JAVA @ | 3 P JAVA @ | 5 L INE @ ")</f>
        <v xml:space="preserve">| 1 L CPT @ | 2 L JAVA @ | 3 P JAVA @ | 5 L INE @ </v>
      </c>
      <c r="BK173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73" s="4" t="str">
        <f ca="1">IFERROR(__xludf.DUMMYFUNCTION("""COMPUTED_VALUE"""),"| 1 L CPT @ | 2 L PHP-CGM @ | 3 P CPT @ ")</f>
        <v xml:space="preserve">| 1 L CPT @ | 2 L PHP-CGM @ | 3 P CPT @ </v>
      </c>
      <c r="BM173" s="4" t="str">
        <f ca="1">IFERROR(__xludf.DUMMYFUNCTION("""COMPUTED_VALUE"""),"| 1 L NS @ | 2 L PHP-CGM @ | 3 P JAVA @ | 5 P NS @ ")</f>
        <v xml:space="preserve">| 1 L NS @ | 2 L PHP-CGM @ | 3 P JAVA @ | 5 P NS @ </v>
      </c>
      <c r="BN173" s="4" t="str">
        <f ca="1">IFERROR(__xludf.DUMMYFUNCTION("""COMPUTED_VALUE"""),"| 2 L JAVA @ | 1 L CPT @ | 3 P Python @ | 5 P PHP-CGM @ ")</f>
        <v xml:space="preserve">| 2 L JAVA @ | 1 L CPT @ | 3 P Python @ | 5 P PHP-CGM @ </v>
      </c>
      <c r="BO173" s="4" t="str">
        <f ca="1">IFERROR(__xludf.DUMMYFUNCTION("""COMPUTED_VALUE"""),"| 2 L JAVA @ | 1 L CPT @ | 3 P JAVA @ | 5 L INE @ ")</f>
        <v xml:space="preserve">| 2 L JAVA @ | 1 L CPT @ | 3 P JAVA @ | 5 L INE @ </v>
      </c>
      <c r="BP173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73" s="4"/>
      <c r="BR173" s="4"/>
      <c r="BS173" s="4"/>
      <c r="BT173" s="4" t="str">
        <f ca="1">IFERROR(__xludf.DUMMYFUNCTION("""COMPUTED_VALUE"""),"| 1 L NS @ | 2 L PHP-CGM @ | 3 P PRO @ ")</f>
        <v xml:space="preserve">| 1 L NS @ | 2 L PHP-CGM @ | 3 P PRO @ </v>
      </c>
      <c r="BU173" s="4" t="str">
        <f ca="1">IFERROR(__xludf.DUMMYFUNCTION("""COMPUTED_VALUE"""),"| 1 L CPT @ ")</f>
        <v xml:space="preserve">| 1 L CPT @ </v>
      </c>
      <c r="BV173" s="4" t="str">
        <f ca="1">IFERROR(__xludf.DUMMYFUNCTION("""COMPUTED_VALUE"""),"| 1 L NS % | 2 L PHP-CGM % | 3 P PRO @ | 6 L JAVA @ ")</f>
        <v xml:space="preserve">| 1 L NS % | 2 L PHP-CGM % | 3 P PRO @ | 6 L JAVA @ </v>
      </c>
      <c r="BW173" s="4" t="str">
        <f ca="1">IFERROR(__xludf.DUMMYFUNCTION("""COMPUTED_VALUE"""),"| 1 L CPT @ | 2 L PHP-CGM % | 3 P CPT @ ")</f>
        <v xml:space="preserve">| 1 L CPT @ | 2 L PHP-CGM % | 3 P CPT @ </v>
      </c>
      <c r="BX173" s="4" t="str">
        <f ca="1">IFERROR(__xludf.DUMMYFUNCTION("""COMPUTED_VALUE"""),"| 1 L NS @ | 2 L PHP-CGM @ | 3 P JAVA @ | 5 P NS @ ")</f>
        <v xml:space="preserve">| 1 L NS @ | 2 L PHP-CGM @ | 3 P JAVA @ | 5 P NS @ </v>
      </c>
      <c r="BY173" s="4" t="str">
        <f ca="1">IFERROR(__xludf.DUMMYFUNCTION("""COMPUTED_VALUE"""),"| 1 L CPT @ | 2 L JAVA @ | 3 P Python @ | 5 P PHP-CGM @ ")</f>
        <v xml:space="preserve">| 1 L CPT @ | 2 L JAVA @ | 3 P Python @ | 5 P PHP-CGM @ </v>
      </c>
      <c r="BZ173" s="4" t="str">
        <f ca="1">IFERROR(__xludf.DUMMYFUNCTION("""COMPUTED_VALUE"""),"| 1 L CPT @ | 2 L JAVA @ | 3 P JAVA @ | 5 L INE @ ")</f>
        <v xml:space="preserve">| 1 L CPT @ | 2 L JAVA @ | 3 P JAVA @ | 5 L INE @ </v>
      </c>
      <c r="CA173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73" s="4" t="str">
        <f ca="1">IFERROR(__xludf.DUMMYFUNCTION("""COMPUTED_VALUE"""),"| 2 L PHP-CGM @ | 3 P CPT % | 6 P Python % | 1 L CPT @ ")</f>
        <v xml:space="preserve">| 2 L PHP-CGM @ | 3 P CPT % | 6 P Python % | 1 L CPT @ </v>
      </c>
      <c r="CC173" s="4" t="str">
        <f ca="1">IFERROR(__xludf.DUMMYFUNCTION("""COMPUTED_VALUE"""),"| 1 L NS @ | 2 L PHP-CGM @ | 3 P JAVA % | 5 P NS % ")</f>
        <v xml:space="preserve">| 1 L NS @ | 2 L PHP-CGM @ | 3 P JAVA % | 5 P NS % </v>
      </c>
      <c r="CD173" s="4" t="str">
        <f ca="1">IFERROR(__xludf.DUMMYFUNCTION("""COMPUTED_VALUE"""),"| 1 L CPT @ | 2 L JAVA @ | 3 P Python % | 5 P PHP-CGM % ")</f>
        <v xml:space="preserve">| 1 L CPT @ | 2 L JAVA @ | 3 P Python % | 5 P PHP-CGM % </v>
      </c>
      <c r="CE173" s="4" t="str">
        <f ca="1">IFERROR(__xludf.DUMMYFUNCTION("""COMPUTED_VALUE"""),"| 1 L CPT % | 2 L JAVA % | 3 P JAVA % | 5 L INE % ")</f>
        <v xml:space="preserve">| 1 L CPT % | 2 L JAVA % | 3 P JAVA % | 5 L INE % </v>
      </c>
      <c r="CF173" s="4" t="str">
        <f ca="1">IFERROR(__xludf.DUMMYFUNCTION("""COMPUTED_VALUE"""),"| 1 L NS @ | 2 L PHP-CGM @ | 5 L NS @ | 6 L JAVA @ ")</f>
        <v xml:space="preserve">| 1 L NS @ | 2 L PHP-CGM @ | 5 L NS @ | 6 L JAVA @ </v>
      </c>
      <c r="CG173" s="4" t="str">
        <f ca="1">IFERROR(__xludf.DUMMYFUNCTION("""COMPUTED_VALUE"""),"| 1 L CPT @ | 2 L PHP-CGM @ | 6 P Python % | 3 P CPT % ")</f>
        <v xml:space="preserve">| 1 L CPT @ | 2 L PHP-CGM @ | 6 P Python % | 3 P CPT % </v>
      </c>
      <c r="CH173" s="4" t="str">
        <f ca="1">IFERROR(__xludf.DUMMYFUNCTION("""COMPUTED_VALUE"""),"| 1 L NS @ | 2 L PHP-CGM @ | 3 P JAVA % | 5 P NS % ")</f>
        <v xml:space="preserve">| 1 L NS @ | 2 L PHP-CGM @ | 3 P JAVA % | 5 P NS % </v>
      </c>
      <c r="CI173" s="4" t="str">
        <f ca="1">IFERROR(__xludf.DUMMYFUNCTION("""COMPUTED_VALUE"""),"| 1 L CPT % | 2 L JAVA % | 5 P PHP-CGM % ")</f>
        <v xml:space="preserve">| 1 L CPT % | 2 L JAVA % | 5 P PHP-CGM % </v>
      </c>
      <c r="CJ173" s="4" t="str">
        <f ca="1">IFERROR(__xludf.DUMMYFUNCTION("""COMPUTED_VALUE"""),"| 1 L CPT @ ")</f>
        <v xml:space="preserve">| 1 L CPT @ </v>
      </c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</row>
    <row r="174" spans="1:102" ht="12.5" x14ac:dyDescent="0.25">
      <c r="A174" s="3">
        <f ca="1">IFERROR(__xludf.DUMMYFUNCTION("""COMPUTED_VALUE"""),1)</f>
        <v>1</v>
      </c>
      <c r="B174" s="3" t="str">
        <f ca="1">IFERROR(__xludf.DUMMYFUNCTION("""COMPUTED_VALUE"""),"C")</f>
        <v>C</v>
      </c>
      <c r="C174" s="32" t="str">
        <f ca="1">IFERROR(__xludf.DUMMYFUNCTION("""COMPUTED_VALUE"""),"23171341026")</f>
        <v>23171341026</v>
      </c>
      <c r="D174" s="4" t="str">
        <f ca="1">IFERROR(__xludf.DUMMYFUNCTION("""COMPUTED_VALUE"""),"DEVAM JAYRAMBHAI DESAI")</f>
        <v>DEVAM JAYRAMBHAI DESAI</v>
      </c>
      <c r="E174" s="3" t="str">
        <f ca="1">IFERROR(__xludf.DUMMYFUNCTION("""COMPUTED_VALUE"""),"PKN/PAP-Mor")</f>
        <v>PKN/PAP-Mor</v>
      </c>
      <c r="F174" s="3">
        <f ca="1">IFERROR(__xludf.DUMMYFUNCTION("""COMPUTED_VALUE"""),6351701232)</f>
        <v>6351701232</v>
      </c>
      <c r="G174" s="3">
        <f ca="1">IFERROR(__xludf.DUMMYFUNCTION("""COMPUTED_VALUE"""),9978278953)</f>
        <v>9978278953</v>
      </c>
      <c r="H174" s="33">
        <f ca="1">IFERROR(__xludf.DUMMYFUNCTION("""COMPUTED_VALUE"""),0.542857142857142)</f>
        <v>0.54285714285714204</v>
      </c>
      <c r="I174" s="25">
        <f ca="1">IFERROR(__xludf.DUMMYFUNCTION("""COMPUTED_VALUE"""),0.605263157894736)</f>
        <v>0.60526315789473595</v>
      </c>
      <c r="J174" s="25">
        <f ca="1">IFERROR(__xludf.DUMMYFUNCTION("""COMPUTED_VALUE"""),0.666666666666666)</f>
        <v>0.66666666666666596</v>
      </c>
      <c r="K174" s="25">
        <f ca="1">IFERROR(__xludf.DUMMYFUNCTION("""COMPUTED_VALUE"""),0.638888888888888)</f>
        <v>0.63888888888888795</v>
      </c>
      <c r="L174" s="25">
        <f ca="1">IFERROR(__xludf.DUMMYFUNCTION("""COMPUTED_VALUE"""),0.545454545454545)</f>
        <v>0.54545454545454497</v>
      </c>
      <c r="M174" s="25">
        <f ca="1">IFERROR(__xludf.DUMMYFUNCTION("""COMPUTED_VALUE"""),0.722222222222222)</f>
        <v>0.72222222222222199</v>
      </c>
      <c r="N174" s="25">
        <f ca="1">IFERROR(__xludf.DUMMYFUNCTION("""COMPUTED_VALUE"""),0.307692307692307)</f>
        <v>0.30769230769230699</v>
      </c>
      <c r="O174" s="25">
        <f ca="1">IFERROR(__xludf.DUMMYFUNCTION("""COMPUTED_VALUE"""),0.485714285714285)</f>
        <v>0.48571428571428499</v>
      </c>
      <c r="P174" s="25">
        <f ca="1">IFERROR(__xludf.DUMMYFUNCTION("""COMPUTED_VALUE"""),0.454545454545454)</f>
        <v>0.45454545454545398</v>
      </c>
      <c r="Q174" s="25">
        <f ca="1">IFERROR(__xludf.DUMMYFUNCTION("""COMPUTED_VALUE"""),0)</f>
        <v>0</v>
      </c>
      <c r="R174" s="25">
        <f ca="1">IFERROR(__xludf.DUMMYFUNCTION("""COMPUTED_VALUE"""),0.363636363636363)</f>
        <v>0.36363636363636298</v>
      </c>
      <c r="S174" s="25">
        <f ca="1">IFERROR(__xludf.DUMMYFUNCTION("""COMPUTED_VALUE"""),0)</f>
        <v>0</v>
      </c>
      <c r="T174" s="25">
        <f ca="1">IFERROR(__xludf.DUMMYFUNCTION("""COMPUTED_VALUE"""),0.5)</f>
        <v>0.5</v>
      </c>
      <c r="U174" s="25">
        <f ca="1">IFERROR(__xludf.DUMMYFUNCTION("""COMPUTED_VALUE"""),0.25)</f>
        <v>0.25</v>
      </c>
      <c r="V174" s="25">
        <f ca="1">IFERROR(__xludf.DUMMYFUNCTION("""COMPUTED_VALUE"""),0)</f>
        <v>0</v>
      </c>
      <c r="W174" s="4"/>
      <c r="X17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74" s="4" t="str">
        <f ca="1">IFERROR(__xludf.DUMMYFUNCTION("""COMPUTED_VALUE"""),"| 1 L CPT % | 5 L PHP-CGM % | 1 P CPT % | 6 P Python @ ")</f>
        <v xml:space="preserve">| 1 L CPT % | 5 L PHP-CGM % | 1 P CPT % | 6 P Python @ </v>
      </c>
      <c r="Z174" s="4" t="str">
        <f ca="1">IFERROR(__xludf.DUMMYFUNCTION("""COMPUTED_VALUE"""),"| 1 L CPT % | 2 L PHP-CGM % | 3 P JAVA % | 5 P NS @ ")</f>
        <v xml:space="preserve">| 1 L CPT % | 2 L PHP-CGM % | 3 P JAVA % | 5 P NS @ </v>
      </c>
      <c r="AA174" s="4" t="str">
        <f ca="1">IFERROR(__xludf.DUMMYFUNCTION("""COMPUTED_VALUE"""),"| 1 L NS % | 2 L JAVA % | 3 P Python % | 5 P PHP-CGM @ ")</f>
        <v xml:space="preserve">| 1 L NS % | 2 L JAVA % | 3 P Python % | 5 P PHP-CGM @ </v>
      </c>
      <c r="AB174" s="4" t="str">
        <f ca="1">IFERROR(__xludf.DUMMYFUNCTION("""COMPUTED_VALUE"""),"| 1 L CPT % | 2 L JAVA % | 3 P JAVA % ")</f>
        <v xml:space="preserve">| 1 L CPT % | 2 L JAVA % | 3 P JAVA % </v>
      </c>
      <c r="AC174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174" s="4" t="str">
        <f ca="1">IFERROR(__xludf.DUMMYFUNCTION("""COMPUTED_VALUE"""),"| 1 L CPT % | 2 L PHP-CGM % | 3 P CPT % | 6 P Python % ")</f>
        <v xml:space="preserve">| 1 L CPT % | 2 L PHP-CGM % | 3 P CPT % | 6 P Python % </v>
      </c>
      <c r="AE174" s="4" t="str">
        <f ca="1">IFERROR(__xludf.DUMMYFUNCTION("""COMPUTED_VALUE"""),"| 1 L CPT % | 3 P JAVA % | 5 P NS % | 2 L PHP-CGM % ")</f>
        <v xml:space="preserve">| 1 L CPT % | 3 P JAVA % | 5 P NS % | 2 L PHP-CGM % </v>
      </c>
      <c r="AF174" s="4" t="str">
        <f ca="1">IFERROR(__xludf.DUMMYFUNCTION("""COMPUTED_VALUE"""),"| 1 L NS % | 2 L CPT % | 3 P Python % | 5 P PHP-CGM % ")</f>
        <v xml:space="preserve">| 1 L NS % | 2 L CPT % | 3 P Python % | 5 P PHP-CGM % </v>
      </c>
      <c r="AG174" s="4" t="str">
        <f ca="1">IFERROR(__xludf.DUMMYFUNCTION("""COMPUTED_VALUE"""),"| 1 L CPT @ | 2 L JAVA @ | 3 P JAVA @ ")</f>
        <v xml:space="preserve">| 1 L CPT @ | 2 L JAVA @ | 3 P JAVA @ </v>
      </c>
      <c r="AH174" s="4" t="str">
        <f ca="1">IFERROR(__xludf.DUMMYFUNCTION("""COMPUTED_VALUE"""),"| 2 L JAVA % | 1 L NS % | 3 P Python @ | 5 P PHP-CGM @ ")</f>
        <v xml:space="preserve">| 2 L JAVA % | 1 L NS % | 3 P Python @ | 5 P PHP-CGM @ </v>
      </c>
      <c r="AI174" s="4" t="str">
        <f ca="1">IFERROR(__xludf.DUMMYFUNCTION("""COMPUTED_VALUE"""),"| 1 L CPT % | 2 L JAVA % | 3 P JAVA % ")</f>
        <v xml:space="preserve">| 1 L CPT % | 2 L JAVA % | 3 P JAVA % </v>
      </c>
      <c r="AJ17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74" s="4" t="str">
        <f ca="1">IFERROR(__xludf.DUMMYFUNCTION("""COMPUTED_VALUE"""),"| 1 L CPT % | 3 P CPT % | 2 L PHP-CGM % | 6 P Python @ ")</f>
        <v xml:space="preserve">| 1 L CPT % | 3 P CPT % | 2 L PHP-CGM % | 6 P Python @ </v>
      </c>
      <c r="AL174" s="4" t="str">
        <f ca="1">IFERROR(__xludf.DUMMYFUNCTION("""COMPUTED_VALUE"""),"| 1 L CPT % | 2 L PHP-CGM % | 3 P JAVA @ | 5 P NS % ")</f>
        <v xml:space="preserve">| 1 L CPT % | 2 L PHP-CGM % | 3 P JAVA @ | 5 P NS % </v>
      </c>
      <c r="AM174" s="4" t="str">
        <f ca="1">IFERROR(__xludf.DUMMYFUNCTION("""COMPUTED_VALUE"""),"| 2 L JAVA % | 3 P Python @ | 5 P PHP-CGM @ | 1 L NS % ")</f>
        <v xml:space="preserve">| 2 L JAVA % | 3 P Python @ | 5 P PHP-CGM @ | 1 L NS % </v>
      </c>
      <c r="AN174" s="4" t="str">
        <f ca="1">IFERROR(__xludf.DUMMYFUNCTION("""COMPUTED_VALUE"""),"| 1 L CPT % | 2 L JAVA % | 3 P JAVA @ | 5 L INE @ ")</f>
        <v xml:space="preserve">| 1 L CPT % | 2 L JAVA % | 3 P JAVA @ | 5 L INE @ </v>
      </c>
      <c r="AO174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74" s="4" t="str">
        <f ca="1">IFERROR(__xludf.DUMMYFUNCTION("""COMPUTED_VALUE"""),"| 1 L CPT % | 2 L PHP-CGM % | 3 P CPT % | 6 P Python % ")</f>
        <v xml:space="preserve">| 1 L CPT % | 2 L PHP-CGM % | 3 P CPT % | 6 P Python % </v>
      </c>
      <c r="AQ174" s="4" t="str">
        <f ca="1">IFERROR(__xludf.DUMMYFUNCTION("""COMPUTED_VALUE"""),"| 2 L PHP-CGM % | 3 P JAVA @ | 1 L NS % | 5 P NS @ ")</f>
        <v xml:space="preserve">| 2 L PHP-CGM % | 3 P JAVA @ | 1 L NS % | 5 P NS @ </v>
      </c>
      <c r="AR174" s="4" t="str">
        <f ca="1">IFERROR(__xludf.DUMMYFUNCTION("""COMPUTED_VALUE"""),"| 1 L CPT % | 2 L JAVA @ | 3 P Python @ | 5 P PHP-CGM @ ")</f>
        <v xml:space="preserve">| 1 L CPT % | 2 L JAVA @ | 3 P Python @ | 5 P PHP-CGM @ </v>
      </c>
      <c r="AS17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AT174" s="4" t="str">
        <f ca="1">IFERROR(__xludf.DUMMYFUNCTION("""COMPUTED_VALUE"""),"| 1 L CPT @ | 2 L PHP-CGM @ | 3 P CPT @ | 6 P Python @ ")</f>
        <v xml:space="preserve">| 1 L CPT @ | 2 L PHP-CGM @ | 3 P CPT @ | 6 P Python @ </v>
      </c>
      <c r="AU174" s="4" t="str">
        <f ca="1">IFERROR(__xludf.DUMMYFUNCTION("""COMPUTED_VALUE"""),"| 1 L NS % | 2 L PHP-CGM % | 3 P JAVA % | 5 P NS % ")</f>
        <v xml:space="preserve">| 1 L NS % | 2 L PHP-CGM % | 3 P JAVA % | 5 P NS % </v>
      </c>
      <c r="AV174" s="4" t="str">
        <f ca="1">IFERROR(__xludf.DUMMYFUNCTION("""COMPUTED_VALUE"""),"| 1 L CPT % | 2 L JAVA @ | 3 P Python @ | 5 P PHP-CGM @ ")</f>
        <v xml:space="preserve">| 1 L CPT % | 2 L JAVA @ | 3 P Python @ | 5 P PHP-CGM @ </v>
      </c>
      <c r="AW174" s="4" t="str">
        <f ca="1">IFERROR(__xludf.DUMMYFUNCTION("""COMPUTED_VALUE"""),"| 1 L CPT % | 2 L JAVA % | 3 P JAVA @ | 5 L INE @ | 6 L INE @ ")</f>
        <v xml:space="preserve">| 1 L CPT % | 2 L JAVA % | 3 P JAVA @ | 5 L INE @ | 6 L INE @ </v>
      </c>
      <c r="AX174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74" s="4" t="str">
        <f ca="1">IFERROR(__xludf.DUMMYFUNCTION("""COMPUTED_VALUE"""),"| 1 L CPT % | 2 L PHP-CGM % | 3 P CPT @ | 6 P Python @ ")</f>
        <v xml:space="preserve">| 1 L CPT % | 2 L PHP-CGM % | 3 P CPT @ | 6 P Python @ </v>
      </c>
      <c r="AZ174" s="4" t="str">
        <f ca="1">IFERROR(__xludf.DUMMYFUNCTION("""COMPUTED_VALUE"""),"| 1 L CPT @ | 2 L JAVA @ | 3 P Python @ | 5 P PHP-CGM @ ")</f>
        <v xml:space="preserve">| 1 L CPT @ | 2 L JAVA @ | 3 P Python @ | 5 P PHP-CGM @ </v>
      </c>
      <c r="BA174" s="4" t="str">
        <f ca="1">IFERROR(__xludf.DUMMYFUNCTION("""COMPUTED_VALUE"""),"| 1 L CPT % | 2 L JAVA % | 3 P JAVA % | 5 L INE @ ")</f>
        <v xml:space="preserve">| 1 L CPT % | 2 L JAVA % | 3 P JAVA % | 5 L INE @ </v>
      </c>
      <c r="BB17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74" s="4" t="str">
        <f ca="1">IFERROR(__xludf.DUMMYFUNCTION("""COMPUTED_VALUE"""),"| 1 L CPT % | 2 L PHP-CGM % | 3 P CPT % | 6 P Python % ")</f>
        <v xml:space="preserve">| 1 L CPT % | 2 L PHP-CGM % | 3 P CPT % | 6 P Python % </v>
      </c>
      <c r="BD174" s="4" t="str">
        <f ca="1">IFERROR(__xludf.DUMMYFUNCTION("""COMPUTED_VALUE"""),"| 1 L NS % | 2 L PHP-CGM % | 3 P JAVA % | 5 P NS % ")</f>
        <v xml:space="preserve">| 1 L NS % | 2 L PHP-CGM % | 3 P JAVA % | 5 P NS % </v>
      </c>
      <c r="BE174" s="4" t="str">
        <f ca="1">IFERROR(__xludf.DUMMYFUNCTION("""COMPUTED_VALUE"""),"| 1 L CPT % | 2 L JAVA % | 3 P Python % | 5 P PHP-CGM % ")</f>
        <v xml:space="preserve">| 1 L CPT % | 2 L JAVA % | 3 P Python % | 5 P PHP-CGM % </v>
      </c>
      <c r="BF174" s="4" t="str">
        <f ca="1">IFERROR(__xludf.DUMMYFUNCTION("""COMPUTED_VALUE"""),"| 1 L CPT % | 2 L JAVA % | 3 P JAVA % ")</f>
        <v xml:space="preserve">| 1 L CPT % | 2 L JAVA % | 3 P JAVA % </v>
      </c>
      <c r="BG174" s="4" t="str">
        <f ca="1">IFERROR(__xludf.DUMMYFUNCTION("""COMPUTED_VALUE"""),"| 2 L PHP-CGM % | 3 P CPT % | 1 L CPT % | 6 P Python % ")</f>
        <v xml:space="preserve">| 2 L PHP-CGM % | 3 P CPT % | 1 L CPT % | 6 P Python % </v>
      </c>
      <c r="BH174" s="4" t="str">
        <f ca="1">IFERROR(__xludf.DUMMYFUNCTION("""COMPUTED_VALUE"""),"| 1 L NS % | 2 L PHP-CGM % | 3 P JAVA % | 5 P NS % ")</f>
        <v xml:space="preserve">| 1 L NS % | 2 L PHP-CGM % | 3 P JAVA % | 5 P NS % </v>
      </c>
      <c r="BI174" s="4" t="str">
        <f ca="1">IFERROR(__xludf.DUMMYFUNCTION("""COMPUTED_VALUE"""),"| 1 L CPT % | 2 L JAVA % | 3 P Python @ | 5 P PHP-CGM % ")</f>
        <v xml:space="preserve">| 1 L CPT % | 2 L JAVA % | 3 P Python @ | 5 P PHP-CGM % </v>
      </c>
      <c r="BJ174" s="4" t="str">
        <f ca="1">IFERROR(__xludf.DUMMYFUNCTION("""COMPUTED_VALUE"""),"| 1 L CPT @ | 2 L JAVA @ | 3 P JAVA @ | 5 L INE % ")</f>
        <v xml:space="preserve">| 1 L CPT @ | 2 L JAVA @ | 3 P JAVA @ | 5 L INE % </v>
      </c>
      <c r="BK17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74" s="4" t="str">
        <f ca="1">IFERROR(__xludf.DUMMYFUNCTION("""COMPUTED_VALUE"""),"| 1 L CPT @ | 2 L PHP-CGM @ | 3 P CPT @ ")</f>
        <v xml:space="preserve">| 1 L CPT @ | 2 L PHP-CGM @ | 3 P CPT @ </v>
      </c>
      <c r="BM174" s="4" t="str">
        <f ca="1">IFERROR(__xludf.DUMMYFUNCTION("""COMPUTED_VALUE"""),"| 1 L NS @ | 2 L PHP-CGM @ | 3 P JAVA @ | 5 P NS @ ")</f>
        <v xml:space="preserve">| 1 L NS @ | 2 L PHP-CGM @ | 3 P JAVA @ | 5 P NS @ </v>
      </c>
      <c r="BN174" s="4" t="str">
        <f ca="1">IFERROR(__xludf.DUMMYFUNCTION("""COMPUTED_VALUE"""),"| 2 L JAVA @ | 1 L CPT @ | 3 P Python @ | 5 P PHP-CGM @ ")</f>
        <v xml:space="preserve">| 2 L JAVA @ | 1 L CPT @ | 3 P Python @ | 5 P PHP-CGM @ </v>
      </c>
      <c r="BO174" s="4" t="str">
        <f ca="1">IFERROR(__xludf.DUMMYFUNCTION("""COMPUTED_VALUE"""),"| 2 L JAVA @ | 1 L CPT @ | 3 P JAVA @ | 5 L INE @ ")</f>
        <v xml:space="preserve">| 2 L JAVA @ | 1 L CPT @ | 3 P JAVA @ | 5 L INE @ </v>
      </c>
      <c r="BP174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74" s="4"/>
      <c r="BR174" s="4"/>
      <c r="BS174" s="4"/>
      <c r="BT174" s="4" t="str">
        <f ca="1">IFERROR(__xludf.DUMMYFUNCTION("""COMPUTED_VALUE"""),"| 1 L NS @ | 2 L PHP-CGM @ | 3 P PRO @ ")</f>
        <v xml:space="preserve">| 1 L NS @ | 2 L PHP-CGM @ | 3 P PRO @ </v>
      </c>
      <c r="BU174" s="4" t="str">
        <f ca="1">IFERROR(__xludf.DUMMYFUNCTION("""COMPUTED_VALUE"""),"| 1 L CPT @ ")</f>
        <v xml:space="preserve">| 1 L CPT @ </v>
      </c>
      <c r="BV174" s="4" t="str">
        <f ca="1">IFERROR(__xludf.DUMMYFUNCTION("""COMPUTED_VALUE"""),"| 1 L NS @ | 2 L PHP-CGM @ | 3 P PRO @ | 6 L JAVA @ ")</f>
        <v xml:space="preserve">| 1 L NS @ | 2 L PHP-CGM @ | 3 P PRO @ | 6 L JAVA @ </v>
      </c>
      <c r="BW174" s="4" t="str">
        <f ca="1">IFERROR(__xludf.DUMMYFUNCTION("""COMPUTED_VALUE"""),"| 1 L CPT @ | 2 L PHP-CGM @ | 3 P CPT @ ")</f>
        <v xml:space="preserve">| 1 L CPT @ | 2 L PHP-CGM @ | 3 P CPT @ </v>
      </c>
      <c r="BX174" s="4" t="str">
        <f ca="1">IFERROR(__xludf.DUMMYFUNCTION("""COMPUTED_VALUE"""),"| 1 L NS @ | 2 L PHP-CGM @ | 3 P JAVA @ | 5 P NS @ ")</f>
        <v xml:space="preserve">| 1 L NS @ | 2 L PHP-CGM @ | 3 P JAVA @ | 5 P NS @ </v>
      </c>
      <c r="BY174" s="4" t="str">
        <f ca="1">IFERROR(__xludf.DUMMYFUNCTION("""COMPUTED_VALUE"""),"| 1 L CPT @ | 2 L JAVA @ | 3 P Python @ | 5 P PHP-CGM @ ")</f>
        <v xml:space="preserve">| 1 L CPT @ | 2 L JAVA @ | 3 P Python @ | 5 P PHP-CGM @ </v>
      </c>
      <c r="BZ174" s="4" t="str">
        <f ca="1">IFERROR(__xludf.DUMMYFUNCTION("""COMPUTED_VALUE"""),"| 1 L CPT @ | 2 L JAVA @ | 3 P JAVA @ | 5 L INE @ ")</f>
        <v xml:space="preserve">| 1 L CPT @ | 2 L JAVA @ | 3 P JAVA @ | 5 L INE @ </v>
      </c>
      <c r="CA17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74" s="4" t="str">
        <f ca="1">IFERROR(__xludf.DUMMYFUNCTION("""COMPUTED_VALUE"""),"| 2 L PHP-CGM % | 3 P CPT % | 6 P Python @ | 1 L CPT % ")</f>
        <v xml:space="preserve">| 2 L PHP-CGM % | 3 P CPT % | 6 P Python @ | 1 L CPT % </v>
      </c>
      <c r="CC174" s="4" t="str">
        <f ca="1">IFERROR(__xludf.DUMMYFUNCTION("""COMPUTED_VALUE"""),"| 1 L NS % | 2 L PHP-CGM % | 3 P JAVA @ | 5 P NS @ ")</f>
        <v xml:space="preserve">| 1 L NS % | 2 L PHP-CGM % | 3 P JAVA @ | 5 P NS @ </v>
      </c>
      <c r="CD174" s="4" t="str">
        <f ca="1">IFERROR(__xludf.DUMMYFUNCTION("""COMPUTED_VALUE"""),"| 1 L CPT @ | 2 L JAVA @ | 3 P Python @ | 5 P PHP-CGM @ ")</f>
        <v xml:space="preserve">| 1 L CPT @ | 2 L JAVA @ | 3 P Python @ | 5 P PHP-CGM @ </v>
      </c>
      <c r="CE174" s="4" t="str">
        <f ca="1">IFERROR(__xludf.DUMMYFUNCTION("""COMPUTED_VALUE"""),"| 1 L CPT @ | 2 L JAVA @ | 3 P JAVA @ | 5 L INE % ")</f>
        <v xml:space="preserve">| 1 L CPT @ | 2 L JAVA @ | 3 P JAVA @ | 5 L INE % </v>
      </c>
      <c r="CF174" s="4" t="str">
        <f ca="1">IFERROR(__xludf.DUMMYFUNCTION("""COMPUTED_VALUE"""),"| 1 L NS % | 2 L PHP-CGM % | 5 L NS @ | 6 L JAVA @ ")</f>
        <v xml:space="preserve">| 1 L NS % | 2 L PHP-CGM % | 5 L NS @ | 6 L JAVA @ </v>
      </c>
      <c r="CG174" s="4" t="str">
        <f ca="1">IFERROR(__xludf.DUMMYFUNCTION("""COMPUTED_VALUE"""),"| 1 L CPT % | 2 L PHP-CGM % | 6 P Python % | 3 P CPT % ")</f>
        <v xml:space="preserve">| 1 L CPT % | 2 L PHP-CGM % | 6 P Python % | 3 P CPT % </v>
      </c>
      <c r="CH174" s="4" t="str">
        <f ca="1">IFERROR(__xludf.DUMMYFUNCTION("""COMPUTED_VALUE"""),"| 1 L NS % | 2 L PHP-CGM % | 3 P JAVA % | 5 P NS % ")</f>
        <v xml:space="preserve">| 1 L NS % | 2 L PHP-CGM % | 3 P JAVA % | 5 P NS % </v>
      </c>
      <c r="CI174" s="4" t="str">
        <f ca="1">IFERROR(__xludf.DUMMYFUNCTION("""COMPUTED_VALUE"""),"| 1 L CPT @ | 2 L JAVA % | 5 P PHP-CGM % ")</f>
        <v xml:space="preserve">| 1 L CPT @ | 2 L JAVA % | 5 P PHP-CGM % </v>
      </c>
      <c r="CJ174" s="4" t="str">
        <f ca="1">IFERROR(__xludf.DUMMYFUNCTION("""COMPUTED_VALUE"""),"| 1 L CPT @ ")</f>
        <v xml:space="preserve">| 1 L CPT @ </v>
      </c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</row>
    <row r="175" spans="1:102" ht="12.5" x14ac:dyDescent="0.25">
      <c r="A175" s="3">
        <f ca="1">IFERROR(__xludf.DUMMYFUNCTION("""COMPUTED_VALUE"""),1)</f>
        <v>1</v>
      </c>
      <c r="B175" s="3" t="str">
        <f ca="1">IFERROR(__xludf.DUMMYFUNCTION("""COMPUTED_VALUE"""),"C")</f>
        <v>C</v>
      </c>
      <c r="C175" s="32" t="str">
        <f ca="1">IFERROR(__xludf.DUMMYFUNCTION("""COMPUTED_VALUE"""),"23171341027")</f>
        <v>23171341027</v>
      </c>
      <c r="D175" s="4" t="str">
        <f ca="1">IFERROR(__xludf.DUMMYFUNCTION("""COMPUTED_VALUE"""),"DEVANGI GAJJAR")</f>
        <v>DEVANGI GAJJAR</v>
      </c>
      <c r="E175" s="3" t="str">
        <f ca="1">IFERROR(__xludf.DUMMYFUNCTION("""COMPUTED_VALUE"""),"PKN/PAP-Mor")</f>
        <v>PKN/PAP-Mor</v>
      </c>
      <c r="F175" s="3">
        <f ca="1">IFERROR(__xludf.DUMMYFUNCTION("""COMPUTED_VALUE"""),8320169420)</f>
        <v>8320169420</v>
      </c>
      <c r="G175" s="3">
        <f ca="1">IFERROR(__xludf.DUMMYFUNCTION("""COMPUTED_VALUE"""),7567326003)</f>
        <v>7567326003</v>
      </c>
      <c r="H175" s="33">
        <f ca="1">IFERROR(__xludf.DUMMYFUNCTION("""COMPUTED_VALUE"""),0.824489795918367)</f>
        <v>0.82448979591836702</v>
      </c>
      <c r="I175" s="25">
        <f ca="1">IFERROR(__xludf.DUMMYFUNCTION("""COMPUTED_VALUE"""),0.81578947368421)</f>
        <v>0.81578947368420995</v>
      </c>
      <c r="J175" s="25">
        <f ca="1">IFERROR(__xludf.DUMMYFUNCTION("""COMPUTED_VALUE"""),1)</f>
        <v>1</v>
      </c>
      <c r="K175" s="25">
        <f ca="1">IFERROR(__xludf.DUMMYFUNCTION("""COMPUTED_VALUE"""),0.777777777777777)</f>
        <v>0.77777777777777701</v>
      </c>
      <c r="L175" s="25">
        <f ca="1">IFERROR(__xludf.DUMMYFUNCTION("""COMPUTED_VALUE"""),0.818181818181818)</f>
        <v>0.81818181818181801</v>
      </c>
      <c r="M175" s="25">
        <f ca="1">IFERROR(__xludf.DUMMYFUNCTION("""COMPUTED_VALUE"""),0.861111111111111)</f>
        <v>0.86111111111111105</v>
      </c>
      <c r="N175" s="25">
        <f ca="1">IFERROR(__xludf.DUMMYFUNCTION("""COMPUTED_VALUE"""),0.846153846153846)</f>
        <v>0.84615384615384603</v>
      </c>
      <c r="O175" s="25">
        <f ca="1">IFERROR(__xludf.DUMMYFUNCTION("""COMPUTED_VALUE"""),0.8)</f>
        <v>0.8</v>
      </c>
      <c r="P175" s="25">
        <f ca="1">IFERROR(__xludf.DUMMYFUNCTION("""COMPUTED_VALUE"""),0.818181818181818)</f>
        <v>0.81818181818181801</v>
      </c>
      <c r="Q175" s="25">
        <f ca="1">IFERROR(__xludf.DUMMYFUNCTION("""COMPUTED_VALUE"""),0)</f>
        <v>0</v>
      </c>
      <c r="R175" s="25">
        <f ca="1">IFERROR(__xludf.DUMMYFUNCTION("""COMPUTED_VALUE"""),0.909090909090909)</f>
        <v>0.90909090909090895</v>
      </c>
      <c r="S175" s="25">
        <f ca="1">IFERROR(__xludf.DUMMYFUNCTION("""COMPUTED_VALUE"""),0)</f>
        <v>0</v>
      </c>
      <c r="T175" s="25">
        <f ca="1">IFERROR(__xludf.DUMMYFUNCTION("""COMPUTED_VALUE"""),0.75)</f>
        <v>0.75</v>
      </c>
      <c r="U175" s="25">
        <f ca="1">IFERROR(__xludf.DUMMYFUNCTION("""COMPUTED_VALUE"""),0.625)</f>
        <v>0.625</v>
      </c>
      <c r="V175" s="25">
        <f ca="1">IFERROR(__xludf.DUMMYFUNCTION("""COMPUTED_VALUE"""),0)</f>
        <v>0</v>
      </c>
      <c r="W175" s="4"/>
      <c r="X17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75" s="4" t="str">
        <f ca="1">IFERROR(__xludf.DUMMYFUNCTION("""COMPUTED_VALUE"""),"| 1 L CPT % | 5 L PHP-CGM % | 1 P CPT % | 6 P Python % ")</f>
        <v xml:space="preserve">| 1 L CPT % | 5 L PHP-CGM % | 1 P CPT % | 6 P Python % </v>
      </c>
      <c r="Z175" s="4" t="str">
        <f ca="1">IFERROR(__xludf.DUMMYFUNCTION("""COMPUTED_VALUE"""),"| 1 L CPT % | 2 L PHP-CGM % | 3 P JAVA % | 5 P NS % ")</f>
        <v xml:space="preserve">| 1 L CPT % | 2 L PHP-CGM % | 3 P JAVA % | 5 P NS % </v>
      </c>
      <c r="AA175" s="4" t="str">
        <f ca="1">IFERROR(__xludf.DUMMYFUNCTION("""COMPUTED_VALUE"""),"| 1 L NS % | 2 L JAVA % | 3 P Python % | 5 P PHP-CGM % ")</f>
        <v xml:space="preserve">| 1 L NS % | 2 L JAVA % | 3 P Python % | 5 P PHP-CGM % </v>
      </c>
      <c r="AB175" s="4" t="str">
        <f ca="1">IFERROR(__xludf.DUMMYFUNCTION("""COMPUTED_VALUE"""),"| 1 L CPT % | 2 L JAVA % | 3 P JAVA % ")</f>
        <v xml:space="preserve">| 1 L CPT % | 2 L JAVA % | 3 P JAVA % </v>
      </c>
      <c r="AC17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75" s="4" t="str">
        <f ca="1">IFERROR(__xludf.DUMMYFUNCTION("""COMPUTED_VALUE"""),"| 1 L CPT % | 2 L PHP-CGM % | 3 P CPT % | 6 P Python % ")</f>
        <v xml:space="preserve">| 1 L CPT % | 2 L PHP-CGM % | 3 P CPT % | 6 P Python % </v>
      </c>
      <c r="AE175" s="4" t="str">
        <f ca="1">IFERROR(__xludf.DUMMYFUNCTION("""COMPUTED_VALUE"""),"| 1 L CPT % | 3 P JAVA % | 5 P NS % | 2 L PHP-CGM % ")</f>
        <v xml:space="preserve">| 1 L CPT % | 3 P JAVA % | 5 P NS % | 2 L PHP-CGM % </v>
      </c>
      <c r="AF175" s="4" t="str">
        <f ca="1">IFERROR(__xludf.DUMMYFUNCTION("""COMPUTED_VALUE"""),"| 1 L NS % | 2 L CPT % | 3 P Python % | 5 P PHP-CGM % ")</f>
        <v xml:space="preserve">| 1 L NS % | 2 L CPT % | 3 P Python % | 5 P PHP-CGM % </v>
      </c>
      <c r="AG175" s="4" t="str">
        <f ca="1">IFERROR(__xludf.DUMMYFUNCTION("""COMPUTED_VALUE"""),"| 1 L CPT % | 2 L JAVA % | 3 P JAVA % ")</f>
        <v xml:space="preserve">| 1 L CPT % | 2 L JAVA % | 3 P JAVA % </v>
      </c>
      <c r="AH175" s="4" t="str">
        <f ca="1">IFERROR(__xludf.DUMMYFUNCTION("""COMPUTED_VALUE"""),"| 2 L JAVA % | 1 L NS % | 3 P Python % | 5 P PHP-CGM % ")</f>
        <v xml:space="preserve">| 2 L JAVA % | 1 L NS % | 3 P Python % | 5 P PHP-CGM % </v>
      </c>
      <c r="AI175" s="4" t="str">
        <f ca="1">IFERROR(__xludf.DUMMYFUNCTION("""COMPUTED_VALUE"""),"| 1 L CPT % | 2 L JAVA % | 3 P JAVA % ")</f>
        <v xml:space="preserve">| 1 L CPT % | 2 L JAVA % | 3 P JAVA % </v>
      </c>
      <c r="AJ17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75" s="4" t="str">
        <f ca="1">IFERROR(__xludf.DUMMYFUNCTION("""COMPUTED_VALUE"""),"| 1 L CPT % | 3 P CPT % | 2 L PHP-CGM % | 6 P Python % ")</f>
        <v xml:space="preserve">| 1 L CPT % | 3 P CPT % | 2 L PHP-CGM % | 6 P Python % </v>
      </c>
      <c r="AL175" s="4" t="str">
        <f ca="1">IFERROR(__xludf.DUMMYFUNCTION("""COMPUTED_VALUE"""),"| 1 L CPT @ | 2 L PHP-CGM @ | 3 P JAVA @ | 5 P NS @ ")</f>
        <v xml:space="preserve">| 1 L CPT @ | 2 L PHP-CGM @ | 3 P JAVA @ | 5 P NS @ </v>
      </c>
      <c r="AM175" s="4" t="str">
        <f ca="1">IFERROR(__xludf.DUMMYFUNCTION("""COMPUTED_VALUE"""),"| 2 L JAVA % | 3 P Python % | 5 P PHP-CGM % | 1 L NS % ")</f>
        <v xml:space="preserve">| 2 L JAVA % | 3 P Python % | 5 P PHP-CGM % | 1 L NS % </v>
      </c>
      <c r="AN175" s="4" t="str">
        <f ca="1">IFERROR(__xludf.DUMMYFUNCTION("""COMPUTED_VALUE"""),"| 1 L CPT @ | 2 L JAVA @ | 3 P JAVA @ | 5 L INE @ ")</f>
        <v xml:space="preserve">| 1 L CPT @ | 2 L JAVA @ | 3 P JAVA @ | 5 L INE @ </v>
      </c>
      <c r="AO17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75" s="4" t="str">
        <f ca="1">IFERROR(__xludf.DUMMYFUNCTION("""COMPUTED_VALUE"""),"| 1 L CPT % | 2 L PHP-CGM % | 3 P CPT % | 6 P Python % ")</f>
        <v xml:space="preserve">| 1 L CPT % | 2 L PHP-CGM % | 3 P CPT % | 6 P Python % </v>
      </c>
      <c r="AQ175" s="4" t="str">
        <f ca="1">IFERROR(__xludf.DUMMYFUNCTION("""COMPUTED_VALUE"""),"| 2 L PHP-CGM % | 3 P JAVA % | 1 L NS % | 5 P NS % ")</f>
        <v xml:space="preserve">| 2 L PHP-CGM % | 3 P JAVA % | 1 L NS % | 5 P NS % </v>
      </c>
      <c r="AR175" s="4" t="str">
        <f ca="1">IFERROR(__xludf.DUMMYFUNCTION("""COMPUTED_VALUE"""),"| 1 L CPT @ | 2 L JAVA % | 3 P Python % | 5 P PHP-CGM % ")</f>
        <v xml:space="preserve">| 1 L CPT @ | 2 L JAVA % | 3 P Python % | 5 P PHP-CGM % </v>
      </c>
      <c r="AS17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75" s="4" t="str">
        <f ca="1">IFERROR(__xludf.DUMMYFUNCTION("""COMPUTED_VALUE"""),"| 1 L CPT % | 2 L PHP-CGM % | 3 P CPT % | 6 P Python % ")</f>
        <v xml:space="preserve">| 1 L CPT % | 2 L PHP-CGM % | 3 P CPT % | 6 P Python % </v>
      </c>
      <c r="AU175" s="4" t="str">
        <f ca="1">IFERROR(__xludf.DUMMYFUNCTION("""COMPUTED_VALUE"""),"| 1 L NS % | 2 L PHP-CGM % | 3 P JAVA % | 5 P NS % ")</f>
        <v xml:space="preserve">| 1 L NS % | 2 L PHP-CGM % | 3 P JAVA % | 5 P NS % </v>
      </c>
      <c r="AV175" s="4" t="str">
        <f ca="1">IFERROR(__xludf.DUMMYFUNCTION("""COMPUTED_VALUE"""),"| 1 L CPT % | 2 L JAVA % | 3 P Python % | 5 P PHP-CGM % ")</f>
        <v xml:space="preserve">| 1 L CPT % | 2 L JAVA % | 3 P Python % | 5 P PHP-CGM % </v>
      </c>
      <c r="AW175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75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175" s="4" t="str">
        <f ca="1">IFERROR(__xludf.DUMMYFUNCTION("""COMPUTED_VALUE"""),"| 1 L CPT % | 2 L PHP-CGM % | 3 P CPT % | 6 P Python % ")</f>
        <v xml:space="preserve">| 1 L CPT % | 2 L PHP-CGM % | 3 P CPT % | 6 P Python % </v>
      </c>
      <c r="AZ175" s="4" t="str">
        <f ca="1">IFERROR(__xludf.DUMMYFUNCTION("""COMPUTED_VALUE"""),"| 1 L CPT % | 2 L JAVA % | 3 P Python % | 5 P PHP-CGM % ")</f>
        <v xml:space="preserve">| 1 L CPT % | 2 L JAVA % | 3 P Python % | 5 P PHP-CGM % </v>
      </c>
      <c r="BA175" s="4" t="str">
        <f ca="1">IFERROR(__xludf.DUMMYFUNCTION("""COMPUTED_VALUE"""),"| 1 L CPT % | 2 L JAVA % | 3 P JAVA % | 5 L INE @ ")</f>
        <v xml:space="preserve">| 1 L CPT % | 2 L JAVA % | 3 P JAVA % | 5 L INE @ </v>
      </c>
      <c r="BB175" s="4" t="str">
        <f ca="1">IFERROR(__xludf.DUMMYFUNCTION("""COMPUTED_VALUE"""),"| 1 L NS % | 2 L PHP-CGM % | 3 P PRO % | 5 L NS @ | 6 L JAVA % ")</f>
        <v xml:space="preserve">| 1 L NS % | 2 L PHP-CGM % | 3 P PRO % | 5 L NS @ | 6 L JAVA % </v>
      </c>
      <c r="BC175" s="4" t="str">
        <f ca="1">IFERROR(__xludf.DUMMYFUNCTION("""COMPUTED_VALUE"""),"| 1 L CPT % | 2 L PHP-CGM % | 3 P CPT % | 6 P Python % ")</f>
        <v xml:space="preserve">| 1 L CPT % | 2 L PHP-CGM % | 3 P CPT % | 6 P Python % </v>
      </c>
      <c r="BD175" s="4" t="str">
        <f ca="1">IFERROR(__xludf.DUMMYFUNCTION("""COMPUTED_VALUE"""),"| 1 L NS % | 2 L PHP-CGM % | 3 P JAVA % | 5 P NS % ")</f>
        <v xml:space="preserve">| 1 L NS % | 2 L PHP-CGM % | 3 P JAVA % | 5 P NS % </v>
      </c>
      <c r="BE175" s="4" t="str">
        <f ca="1">IFERROR(__xludf.DUMMYFUNCTION("""COMPUTED_VALUE"""),"| 1 L CPT @ | 2 L JAVA @ | 3 P Python @ | 5 P PHP-CGM @ ")</f>
        <v xml:space="preserve">| 1 L CPT @ | 2 L JAVA @ | 3 P Python @ | 5 P PHP-CGM @ </v>
      </c>
      <c r="BF175" s="4" t="str">
        <f ca="1">IFERROR(__xludf.DUMMYFUNCTION("""COMPUTED_VALUE"""),"| 1 L CPT % | 2 L JAVA % | 3 P JAVA % ")</f>
        <v xml:space="preserve">| 1 L CPT % | 2 L JAVA % | 3 P JAVA % </v>
      </c>
      <c r="BG175" s="4" t="str">
        <f ca="1">IFERROR(__xludf.DUMMYFUNCTION("""COMPUTED_VALUE"""),"| 2 L PHP-CGM % | 3 P CPT % | 1 L CPT % | 6 P Python % ")</f>
        <v xml:space="preserve">| 2 L PHP-CGM % | 3 P CPT % | 1 L CPT % | 6 P Python % </v>
      </c>
      <c r="BH175" s="4" t="str">
        <f ca="1">IFERROR(__xludf.DUMMYFUNCTION("""COMPUTED_VALUE"""),"| 1 L NS @ | 2 L PHP-CGM @ | 3 P JAVA @ | 5 P NS @ ")</f>
        <v xml:space="preserve">| 1 L NS @ | 2 L PHP-CGM @ | 3 P JAVA @ | 5 P NS @ </v>
      </c>
      <c r="BI175" s="4" t="str">
        <f ca="1">IFERROR(__xludf.DUMMYFUNCTION("""COMPUTED_VALUE"""),"| 1 L CPT % | 2 L JAVA @ | 3 P Python % | 5 P PHP-CGM % ")</f>
        <v xml:space="preserve">| 1 L CPT % | 2 L JAVA @ | 3 P Python % | 5 P PHP-CGM % </v>
      </c>
      <c r="BJ175" s="4" t="str">
        <f ca="1">IFERROR(__xludf.DUMMYFUNCTION("""COMPUTED_VALUE"""),"| 1 L CPT % | 2 L JAVA % | 3 P JAVA @ | 5 L INE @ ")</f>
        <v xml:space="preserve">| 1 L CPT % | 2 L JAVA % | 3 P JAVA @ | 5 L INE @ </v>
      </c>
      <c r="BK17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175" s="4" t="str">
        <f ca="1">IFERROR(__xludf.DUMMYFUNCTION("""COMPUTED_VALUE"""),"| 1 L CPT % | 2 L PHP-CGM % | 3 P CPT % ")</f>
        <v xml:space="preserve">| 1 L CPT % | 2 L PHP-CGM % | 3 P CPT % </v>
      </c>
      <c r="BM175" s="4" t="str">
        <f ca="1">IFERROR(__xludf.DUMMYFUNCTION("""COMPUTED_VALUE"""),"| 1 L NS % | 2 L PHP-CGM % | 3 P JAVA % | 5 P NS % ")</f>
        <v xml:space="preserve">| 1 L NS % | 2 L PHP-CGM % | 3 P JAVA % | 5 P NS % </v>
      </c>
      <c r="BN175" s="4" t="str">
        <f ca="1">IFERROR(__xludf.DUMMYFUNCTION("""COMPUTED_VALUE"""),"| 2 L JAVA % | 1 L CPT % | 3 P Python % | 5 P PHP-CGM % ")</f>
        <v xml:space="preserve">| 2 L JAVA % | 1 L CPT % | 3 P Python % | 5 P PHP-CGM % </v>
      </c>
      <c r="BO175" s="4" t="str">
        <f ca="1">IFERROR(__xludf.DUMMYFUNCTION("""COMPUTED_VALUE"""),"| 2 L JAVA % | 1 L CPT % | 3 P JAVA % | 5 L INE % ")</f>
        <v xml:space="preserve">| 2 L JAVA % | 1 L CPT % | 3 P JAVA % | 5 L INE % </v>
      </c>
      <c r="BP175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75" s="4"/>
      <c r="BR175" s="4"/>
      <c r="BS175" s="4"/>
      <c r="BT175" s="4" t="str">
        <f ca="1">IFERROR(__xludf.DUMMYFUNCTION("""COMPUTED_VALUE"""),"| 1 L NS % | 2 L PHP-CGM % | 3 P PRO % ")</f>
        <v xml:space="preserve">| 1 L NS % | 2 L PHP-CGM % | 3 P PRO % </v>
      </c>
      <c r="BU175" s="4" t="str">
        <f ca="1">IFERROR(__xludf.DUMMYFUNCTION("""COMPUTED_VALUE"""),"| 1 L CPT @ ")</f>
        <v xml:space="preserve">| 1 L CPT @ </v>
      </c>
      <c r="BV175" s="4" t="str">
        <f ca="1">IFERROR(__xludf.DUMMYFUNCTION("""COMPUTED_VALUE"""),"| 1 L NS % | 2 L PHP-CGM % | 3 P PRO % | 6 L JAVA % ")</f>
        <v xml:space="preserve">| 1 L NS % | 2 L PHP-CGM % | 3 P PRO % | 6 L JAVA % </v>
      </c>
      <c r="BW175" s="4" t="str">
        <f ca="1">IFERROR(__xludf.DUMMYFUNCTION("""COMPUTED_VALUE"""),"| 1 L CPT % | 2 L PHP-CGM % | 3 P CPT % ")</f>
        <v xml:space="preserve">| 1 L CPT % | 2 L PHP-CGM % | 3 P CPT % </v>
      </c>
      <c r="BX175" s="4" t="str">
        <f ca="1">IFERROR(__xludf.DUMMYFUNCTION("""COMPUTED_VALUE"""),"| 1 L NS % | 2 L PHP-CGM % | 3 P JAVA % | 5 P NS % ")</f>
        <v xml:space="preserve">| 1 L NS % | 2 L PHP-CGM % | 3 P JAVA % | 5 P NS % </v>
      </c>
      <c r="BY175" s="4" t="str">
        <f ca="1">IFERROR(__xludf.DUMMYFUNCTION("""COMPUTED_VALUE"""),"| 1 L CPT % | 2 L JAVA % | 3 P Python % | 5 P PHP-CGM % ")</f>
        <v xml:space="preserve">| 1 L CPT % | 2 L JAVA % | 3 P Python % | 5 P PHP-CGM % </v>
      </c>
      <c r="BZ175" s="4" t="str">
        <f ca="1">IFERROR(__xludf.DUMMYFUNCTION("""COMPUTED_VALUE"""),"| 1 L CPT % | 2 L JAVA % | 3 P JAVA % | 5 L INE % ")</f>
        <v xml:space="preserve">| 1 L CPT % | 2 L JAVA % | 3 P JAVA % | 5 L INE % </v>
      </c>
      <c r="CA175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75" s="4" t="str">
        <f ca="1">IFERROR(__xludf.DUMMYFUNCTION("""COMPUTED_VALUE"""),"| 2 L PHP-CGM % | 3 P CPT % | 6 P Python % | 1 L CPT % ")</f>
        <v xml:space="preserve">| 2 L PHP-CGM % | 3 P CPT % | 6 P Python % | 1 L CPT % </v>
      </c>
      <c r="CC175" s="4" t="str">
        <f ca="1">IFERROR(__xludf.DUMMYFUNCTION("""COMPUTED_VALUE"""),"| 1 L NS % | 2 L PHP-CGM % | 3 P JAVA % | 5 P NS % ")</f>
        <v xml:space="preserve">| 1 L NS % | 2 L PHP-CGM % | 3 P JAVA % | 5 P NS % </v>
      </c>
      <c r="CD175" s="4" t="str">
        <f ca="1">IFERROR(__xludf.DUMMYFUNCTION("""COMPUTED_VALUE"""),"| 1 L CPT @ | 2 L JAVA @ | 3 P Python @ | 5 P PHP-CGM @ ")</f>
        <v xml:space="preserve">| 1 L CPT @ | 2 L JAVA @ | 3 P Python @ | 5 P PHP-CGM @ </v>
      </c>
      <c r="CE175" s="4" t="str">
        <f ca="1">IFERROR(__xludf.DUMMYFUNCTION("""COMPUTED_VALUE"""),"| 1 L CPT % | 2 L JAVA % | 3 P JAVA % | 5 L INE % ")</f>
        <v xml:space="preserve">| 1 L CPT % | 2 L JAVA % | 3 P JAVA % | 5 L INE % </v>
      </c>
      <c r="CF175" s="4" t="str">
        <f ca="1">IFERROR(__xludf.DUMMYFUNCTION("""COMPUTED_VALUE"""),"| 1 L NS % | 2 L PHP-CGM % | 5 L NS % | 6 L JAVA % ")</f>
        <v xml:space="preserve">| 1 L NS % | 2 L PHP-CGM % | 5 L NS % | 6 L JAVA % </v>
      </c>
      <c r="CG175" s="4" t="str">
        <f ca="1">IFERROR(__xludf.DUMMYFUNCTION("""COMPUTED_VALUE"""),"| 1 L CPT % | 2 L PHP-CGM % | 6 P Python % | 3 P CPT % ")</f>
        <v xml:space="preserve">| 1 L CPT % | 2 L PHP-CGM % | 6 P Python % | 3 P CPT % </v>
      </c>
      <c r="CH175" s="4" t="str">
        <f ca="1">IFERROR(__xludf.DUMMYFUNCTION("""COMPUTED_VALUE"""),"| 1 L NS % | 2 L PHP-CGM % | 3 P JAVA % | 5 P NS % ")</f>
        <v xml:space="preserve">| 1 L NS % | 2 L PHP-CGM % | 3 P JAVA % | 5 P NS % </v>
      </c>
      <c r="CI175" s="4" t="str">
        <f ca="1">IFERROR(__xludf.DUMMYFUNCTION("""COMPUTED_VALUE"""),"| 1 L CPT % | 2 L JAVA % | 5 P PHP-CGM % ")</f>
        <v xml:space="preserve">| 1 L CPT % | 2 L JAVA % | 5 P PHP-CGM % </v>
      </c>
      <c r="CJ175" s="4" t="str">
        <f ca="1">IFERROR(__xludf.DUMMYFUNCTION("""COMPUTED_VALUE"""),"| 1 L CPT @ ")</f>
        <v xml:space="preserve">| 1 L CPT @ </v>
      </c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</row>
    <row r="176" spans="1:102" ht="12.5" x14ac:dyDescent="0.25">
      <c r="A176" s="3">
        <f ca="1">IFERROR(__xludf.DUMMYFUNCTION("""COMPUTED_VALUE"""),1)</f>
        <v>1</v>
      </c>
      <c r="B176" s="3" t="str">
        <f ca="1">IFERROR(__xludf.DUMMYFUNCTION("""COMPUTED_VALUE"""),"C")</f>
        <v>C</v>
      </c>
      <c r="C176" s="32" t="str">
        <f ca="1">IFERROR(__xludf.DUMMYFUNCTION("""COMPUTED_VALUE"""),"23171341028")</f>
        <v>23171341028</v>
      </c>
      <c r="D176" s="4" t="str">
        <f ca="1">IFERROR(__xludf.DUMMYFUNCTION("""COMPUTED_VALUE"""),"DEVEN AMITKUMAR PATEL")</f>
        <v>DEVEN AMITKUMAR PATEL</v>
      </c>
      <c r="E176" s="3" t="str">
        <f ca="1">IFERROR(__xludf.DUMMYFUNCTION("""COMPUTED_VALUE"""),"PKN/PAP-Mor")</f>
        <v>PKN/PAP-Mor</v>
      </c>
      <c r="F176" s="3">
        <f ca="1">IFERROR(__xludf.DUMMYFUNCTION("""COMPUTED_VALUE"""),9586601614)</f>
        <v>9586601614</v>
      </c>
      <c r="G176" s="3">
        <f ca="1">IFERROR(__xludf.DUMMYFUNCTION("""COMPUTED_VALUE"""),9664995987)</f>
        <v>9664995987</v>
      </c>
      <c r="H176" s="33">
        <f ca="1">IFERROR(__xludf.DUMMYFUNCTION("""COMPUTED_VALUE"""),0.530612244897959)</f>
        <v>0.530612244897959</v>
      </c>
      <c r="I176" s="25">
        <f ca="1">IFERROR(__xludf.DUMMYFUNCTION("""COMPUTED_VALUE"""),0.552631578947368)</f>
        <v>0.55263157894736803</v>
      </c>
      <c r="J176" s="25">
        <f ca="1">IFERROR(__xludf.DUMMYFUNCTION("""COMPUTED_VALUE"""),0.833333333333333)</f>
        <v>0.83333333333333304</v>
      </c>
      <c r="K176" s="25">
        <f ca="1">IFERROR(__xludf.DUMMYFUNCTION("""COMPUTED_VALUE"""),0.527777777777777)</f>
        <v>0.52777777777777701</v>
      </c>
      <c r="L176" s="25">
        <f ca="1">IFERROR(__xludf.DUMMYFUNCTION("""COMPUTED_VALUE"""),0.727272727272727)</f>
        <v>0.72727272727272696</v>
      </c>
      <c r="M176" s="25">
        <f ca="1">IFERROR(__xludf.DUMMYFUNCTION("""COMPUTED_VALUE"""),0.5)</f>
        <v>0.5</v>
      </c>
      <c r="N176" s="25">
        <f ca="1">IFERROR(__xludf.DUMMYFUNCTION("""COMPUTED_VALUE"""),0.461538461538461)</f>
        <v>0.46153846153846101</v>
      </c>
      <c r="O176" s="25">
        <f ca="1">IFERROR(__xludf.DUMMYFUNCTION("""COMPUTED_VALUE"""),0.571428571428571)</f>
        <v>0.57142857142857095</v>
      </c>
      <c r="P176" s="25">
        <f ca="1">IFERROR(__xludf.DUMMYFUNCTION("""COMPUTED_VALUE"""),0.227272727272727)</f>
        <v>0.22727272727272699</v>
      </c>
      <c r="Q176" s="25">
        <f ca="1">IFERROR(__xludf.DUMMYFUNCTION("""COMPUTED_VALUE"""),0)</f>
        <v>0</v>
      </c>
      <c r="R176" s="25">
        <f ca="1">IFERROR(__xludf.DUMMYFUNCTION("""COMPUTED_VALUE"""),0.636363636363636)</f>
        <v>0.63636363636363602</v>
      </c>
      <c r="S176" s="25">
        <f ca="1">IFERROR(__xludf.DUMMYFUNCTION("""COMPUTED_VALUE"""),0)</f>
        <v>0</v>
      </c>
      <c r="T176" s="25">
        <f ca="1">IFERROR(__xludf.DUMMYFUNCTION("""COMPUTED_VALUE"""),0.416666666666666)</f>
        <v>0.41666666666666602</v>
      </c>
      <c r="U176" s="25">
        <f ca="1">IFERROR(__xludf.DUMMYFUNCTION("""COMPUTED_VALUE"""),0.5)</f>
        <v>0.5</v>
      </c>
      <c r="V176" s="25">
        <f ca="1">IFERROR(__xludf.DUMMYFUNCTION("""COMPUTED_VALUE"""),0)</f>
        <v>0</v>
      </c>
      <c r="W176" s="4"/>
      <c r="X176" s="4" t="str">
        <f ca="1">IFERROR(__xludf.DUMMYFUNCTION("""COMPUTED_VALUE"""),"| 1 L NS % | 2 L PHP-CGM % | 3 P PRO @ | 5 L JAVA % | 6 L NS % ")</f>
        <v xml:space="preserve">| 1 L NS % | 2 L PHP-CGM % | 3 P PRO @ | 5 L JAVA % | 6 L NS % </v>
      </c>
      <c r="Y176" s="4" t="str">
        <f ca="1">IFERROR(__xludf.DUMMYFUNCTION("""COMPUTED_VALUE"""),"| 1 L CPT % | 5 L PHP-CGM % | 1 P CPT % | 6 P Python % ")</f>
        <v xml:space="preserve">| 1 L CPT % | 5 L PHP-CGM % | 1 P CPT % | 6 P Python % </v>
      </c>
      <c r="Z176" s="4" t="str">
        <f ca="1">IFERROR(__xludf.DUMMYFUNCTION("""COMPUTED_VALUE"""),"| 1 L CPT @ | 2 L PHP-CGM @ | 3 P JAVA @ | 5 P NS % ")</f>
        <v xml:space="preserve">| 1 L CPT @ | 2 L PHP-CGM @ | 3 P JAVA @ | 5 P NS % </v>
      </c>
      <c r="AA176" s="4" t="str">
        <f ca="1">IFERROR(__xludf.DUMMYFUNCTION("""COMPUTED_VALUE"""),"| 1 L NS % | 2 L JAVA % | 3 P Python % | 5 P PHP-CGM @ ")</f>
        <v xml:space="preserve">| 1 L NS % | 2 L JAVA % | 3 P Python % | 5 P PHP-CGM @ </v>
      </c>
      <c r="AB176" s="4" t="str">
        <f ca="1">IFERROR(__xludf.DUMMYFUNCTION("""COMPUTED_VALUE"""),"| 1 L CPT % | 2 L JAVA % | 3 P JAVA @ ")</f>
        <v xml:space="preserve">| 1 L CPT % | 2 L JAVA % | 3 P JAVA @ </v>
      </c>
      <c r="AC176" s="4" t="str">
        <f ca="1">IFERROR(__xludf.DUMMYFUNCTION("""COMPUTED_VALUE"""),"| 1 L NS @ | 2 L PHP-CGM @ | 3 P PRO % | 5 L JAVA % | 6 L NS % ")</f>
        <v xml:space="preserve">| 1 L NS @ | 2 L PHP-CGM @ | 3 P PRO % | 5 L JAVA % | 6 L NS % </v>
      </c>
      <c r="AD176" s="4" t="str">
        <f ca="1">IFERROR(__xludf.DUMMYFUNCTION("""COMPUTED_VALUE"""),"| 1 L CPT % | 2 L PHP-CGM % | 3 P CPT % | 6 P Python % ")</f>
        <v xml:space="preserve">| 1 L CPT % | 2 L PHP-CGM % | 3 P CPT % | 6 P Python % </v>
      </c>
      <c r="AE176" s="4" t="str">
        <f ca="1">IFERROR(__xludf.DUMMYFUNCTION("""COMPUTED_VALUE"""),"| 1 L CPT % | 3 P JAVA % | 5 P NS % | 2 L PHP-CGM % ")</f>
        <v xml:space="preserve">| 1 L CPT % | 3 P JAVA % | 5 P NS % | 2 L PHP-CGM % </v>
      </c>
      <c r="AF176" s="4" t="str">
        <f ca="1">IFERROR(__xludf.DUMMYFUNCTION("""COMPUTED_VALUE"""),"| 1 L NS % | 2 L CPT % | 3 P Python % | 5 P PHP-CGM @ ")</f>
        <v xml:space="preserve">| 1 L NS % | 2 L CPT % | 3 P Python % | 5 P PHP-CGM @ </v>
      </c>
      <c r="AG176" s="4" t="str">
        <f ca="1">IFERROR(__xludf.DUMMYFUNCTION("""COMPUTED_VALUE"""),"| 1 L CPT @ | 2 L JAVA % | 3 P JAVA @ ")</f>
        <v xml:space="preserve">| 1 L CPT @ | 2 L JAVA % | 3 P JAVA @ </v>
      </c>
      <c r="AH176" s="4" t="str">
        <f ca="1">IFERROR(__xludf.DUMMYFUNCTION("""COMPUTED_VALUE"""),"| 2 L JAVA % | 1 L NS % | 3 P Python % | 5 P PHP-CGM @ ")</f>
        <v xml:space="preserve">| 2 L JAVA % | 1 L NS % | 3 P Python % | 5 P PHP-CGM @ </v>
      </c>
      <c r="AI176" s="4" t="str">
        <f ca="1">IFERROR(__xludf.DUMMYFUNCTION("""COMPUTED_VALUE"""),"| 1 L CPT % | 2 L JAVA % | 3 P JAVA % ")</f>
        <v xml:space="preserve">| 1 L CPT % | 2 L JAVA % | 3 P JAVA % </v>
      </c>
      <c r="AJ176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K176" s="4" t="str">
        <f ca="1">IFERROR(__xludf.DUMMYFUNCTION("""COMPUTED_VALUE"""),"| 1 L CPT % | 3 P CPT % | 2 L PHP-CGM % | 6 P Python % ")</f>
        <v xml:space="preserve">| 1 L CPT % | 3 P CPT % | 2 L PHP-CGM % | 6 P Python % </v>
      </c>
      <c r="AL176" s="4" t="str">
        <f ca="1">IFERROR(__xludf.DUMMYFUNCTION("""COMPUTED_VALUE"""),"| 1 L CPT % | 2 L PHP-CGM % | 3 P JAVA @ | 5 P NS % ")</f>
        <v xml:space="preserve">| 1 L CPT % | 2 L PHP-CGM % | 3 P JAVA @ | 5 P NS % </v>
      </c>
      <c r="AM176" s="4" t="str">
        <f ca="1">IFERROR(__xludf.DUMMYFUNCTION("""COMPUTED_VALUE"""),"| 2 L JAVA @ | 3 P Python % | 5 P PHP-CGM % | 1 L NS @ ")</f>
        <v xml:space="preserve">| 2 L JAVA @ | 3 P Python % | 5 P PHP-CGM % | 1 L NS @ </v>
      </c>
      <c r="AN176" s="4" t="str">
        <f ca="1">IFERROR(__xludf.DUMMYFUNCTION("""COMPUTED_VALUE"""),"| 1 L CPT @ | 2 L JAVA @ | 3 P JAVA @ | 5 L INE @ ")</f>
        <v xml:space="preserve">| 1 L CPT @ | 2 L JAVA @ | 3 P JAVA @ | 5 L INE @ </v>
      </c>
      <c r="AO176" s="4" t="str">
        <f ca="1">IFERROR(__xludf.DUMMYFUNCTION("""COMPUTED_VALUE"""),"| 1 L NS % | 2 L PHP-CGM % | 3 P PRO @ | 5 L NS @ | 5 L JAVA @ ")</f>
        <v xml:space="preserve">| 1 L NS % | 2 L PHP-CGM % | 3 P PRO @ | 5 L NS @ | 5 L JAVA @ </v>
      </c>
      <c r="AP176" s="4" t="str">
        <f ca="1">IFERROR(__xludf.DUMMYFUNCTION("""COMPUTED_VALUE"""),"| 1 L CPT % | 2 L PHP-CGM % | 3 P CPT % | 6 P Python @ ")</f>
        <v xml:space="preserve">| 1 L CPT % | 2 L PHP-CGM % | 3 P CPT % | 6 P Python @ </v>
      </c>
      <c r="AQ176" s="4" t="str">
        <f ca="1">IFERROR(__xludf.DUMMYFUNCTION("""COMPUTED_VALUE"""),"| 2 L PHP-CGM % | 3 P JAVA @ | 1 L NS % | 5 P NS % ")</f>
        <v xml:space="preserve">| 2 L PHP-CGM % | 3 P JAVA @ | 1 L NS % | 5 P NS % </v>
      </c>
      <c r="AR176" s="4" t="str">
        <f ca="1">IFERROR(__xludf.DUMMYFUNCTION("""COMPUTED_VALUE"""),"| 1 L CPT @ | 2 L JAVA @ | 3 P Python % | 5 P PHP-CGM % ")</f>
        <v xml:space="preserve">| 1 L CPT @ | 2 L JAVA @ | 3 P Python % | 5 P PHP-CGM % </v>
      </c>
      <c r="AS17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76" s="4" t="str">
        <f ca="1">IFERROR(__xludf.DUMMYFUNCTION("""COMPUTED_VALUE"""),"| 1 L CPT % | 2 L PHP-CGM % | 3 P CPT % | 6 P Python @ ")</f>
        <v xml:space="preserve">| 1 L CPT % | 2 L PHP-CGM % | 3 P CPT % | 6 P Python @ </v>
      </c>
      <c r="AU176" s="4" t="str">
        <f ca="1">IFERROR(__xludf.DUMMYFUNCTION("""COMPUTED_VALUE"""),"| 1 L NS @ | 2 L PHP-CGM @ | 3 P JAVA % | 5 P NS % ")</f>
        <v xml:space="preserve">| 1 L NS @ | 2 L PHP-CGM @ | 3 P JAVA % | 5 P NS % </v>
      </c>
      <c r="AV176" s="4" t="str">
        <f ca="1">IFERROR(__xludf.DUMMYFUNCTION("""COMPUTED_VALUE"""),"| 1 L CPT % | 2 L JAVA % | 3 P Python % | 5 P PHP-CGM % ")</f>
        <v xml:space="preserve">| 1 L CPT % | 2 L JAVA % | 3 P Python % | 5 P PHP-CGM % </v>
      </c>
      <c r="AW176" s="4" t="str">
        <f ca="1">IFERROR(__xludf.DUMMYFUNCTION("""COMPUTED_VALUE"""),"| 1 L CPT % | 2 L JAVA % | 3 P JAVA @ | 5 L INE % | 6 L INE % ")</f>
        <v xml:space="preserve">| 1 L CPT % | 2 L JAVA % | 3 P JAVA @ | 5 L INE % | 6 L INE % </v>
      </c>
      <c r="AX176" s="4" t="str">
        <f ca="1">IFERROR(__xludf.DUMMYFUNCTION("""COMPUTED_VALUE"""),"| 1 L NS @ | 2 L PHP-CGM @ | 3 P PRO % | 5 L NS % | 5 L JAVA % ")</f>
        <v xml:space="preserve">| 1 L NS @ | 2 L PHP-CGM @ | 3 P PRO % | 5 L NS % | 5 L JAVA % </v>
      </c>
      <c r="AY176" s="4" t="str">
        <f ca="1">IFERROR(__xludf.DUMMYFUNCTION("""COMPUTED_VALUE"""),"| 1 L CPT % | 2 L PHP-CGM % | 3 P CPT % | 6 P Python % ")</f>
        <v xml:space="preserve">| 1 L CPT % | 2 L PHP-CGM % | 3 P CPT % | 6 P Python % </v>
      </c>
      <c r="AZ176" s="4" t="str">
        <f ca="1">IFERROR(__xludf.DUMMYFUNCTION("""COMPUTED_VALUE"""),"| 1 L CPT % | 2 L JAVA % | 3 P Python @ | 5 P PHP-CGM % ")</f>
        <v xml:space="preserve">| 1 L CPT % | 2 L JAVA % | 3 P Python @ | 5 P PHP-CGM % </v>
      </c>
      <c r="BA176" s="4" t="str">
        <f ca="1">IFERROR(__xludf.DUMMYFUNCTION("""COMPUTED_VALUE"""),"| 1 L CPT @ | 2 L JAVA @ | 3 P JAVA @ | 5 L INE @ ")</f>
        <v xml:space="preserve">| 1 L CPT @ | 2 L JAVA @ | 3 P JAVA @ | 5 L INE @ </v>
      </c>
      <c r="BB17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76" s="4" t="str">
        <f ca="1">IFERROR(__xludf.DUMMYFUNCTION("""COMPUTED_VALUE"""),"| 1 L CPT % | 2 L PHP-CGM % | 3 P CPT % | 6 P Python % ")</f>
        <v xml:space="preserve">| 1 L CPT % | 2 L PHP-CGM % | 3 P CPT % | 6 P Python % </v>
      </c>
      <c r="BD176" s="4" t="str">
        <f ca="1">IFERROR(__xludf.DUMMYFUNCTION("""COMPUTED_VALUE"""),"| 1 L NS % | 2 L PHP-CGM % | 3 P JAVA % | 5 P NS % ")</f>
        <v xml:space="preserve">| 1 L NS % | 2 L PHP-CGM % | 3 P JAVA % | 5 P NS % </v>
      </c>
      <c r="BE176" s="4" t="str">
        <f ca="1">IFERROR(__xludf.DUMMYFUNCTION("""COMPUTED_VALUE"""),"| 1 L CPT % | 2 L JAVA % | 3 P Python @ | 5 P PHP-CGM % ")</f>
        <v xml:space="preserve">| 1 L CPT % | 2 L JAVA % | 3 P Python @ | 5 P PHP-CGM % </v>
      </c>
      <c r="BF176" s="4" t="str">
        <f ca="1">IFERROR(__xludf.DUMMYFUNCTION("""COMPUTED_VALUE"""),"| 1 L CPT % | 2 L JAVA % | 3 P JAVA @ ")</f>
        <v xml:space="preserve">| 1 L CPT % | 2 L JAVA % | 3 P JAVA @ </v>
      </c>
      <c r="BG176" s="4" t="str">
        <f ca="1">IFERROR(__xludf.DUMMYFUNCTION("""COMPUTED_VALUE"""),"| 2 L PHP-CGM @ | 3 P CPT % | 1 L CPT @ | 6 P Python % ")</f>
        <v xml:space="preserve">| 2 L PHP-CGM @ | 3 P CPT % | 1 L CPT @ | 6 P Python % </v>
      </c>
      <c r="BH176" s="4" t="str">
        <f ca="1">IFERROR(__xludf.DUMMYFUNCTION("""COMPUTED_VALUE"""),"| 1 L NS % | 2 L PHP-CGM % | 3 P JAVA @ | 5 P NS % ")</f>
        <v xml:space="preserve">| 1 L NS % | 2 L PHP-CGM % | 3 P JAVA @ | 5 P NS % </v>
      </c>
      <c r="BI176" s="4" t="str">
        <f ca="1">IFERROR(__xludf.DUMMYFUNCTION("""COMPUTED_VALUE"""),"| 1 L CPT % | 2 L JAVA % | 3 P Python % | 5 P PHP-CGM @ ")</f>
        <v xml:space="preserve">| 1 L CPT % | 2 L JAVA % | 3 P Python % | 5 P PHP-CGM @ </v>
      </c>
      <c r="BJ176" s="4" t="str">
        <f ca="1">IFERROR(__xludf.DUMMYFUNCTION("""COMPUTED_VALUE"""),"| 1 L CPT % | 2 L JAVA % | 3 P JAVA @ | 5 L INE % ")</f>
        <v xml:space="preserve">| 1 L CPT % | 2 L JAVA % | 3 P JAVA @ | 5 L INE % </v>
      </c>
      <c r="BK17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76" s="4" t="str">
        <f ca="1">IFERROR(__xludf.DUMMYFUNCTION("""COMPUTED_VALUE"""),"| 1 L CPT @ | 2 L PHP-CGM @ | 3 P CPT % ")</f>
        <v xml:space="preserve">| 1 L CPT @ | 2 L PHP-CGM @ | 3 P CPT % </v>
      </c>
      <c r="BM176" s="4" t="str">
        <f ca="1">IFERROR(__xludf.DUMMYFUNCTION("""COMPUTED_VALUE"""),"| 1 L NS @ | 2 L PHP-CGM @ | 3 P JAVA @ | 5 P NS @ ")</f>
        <v xml:space="preserve">| 1 L NS @ | 2 L PHP-CGM @ | 3 P JAVA @ | 5 P NS @ </v>
      </c>
      <c r="BN176" s="4" t="str">
        <f ca="1">IFERROR(__xludf.DUMMYFUNCTION("""COMPUTED_VALUE"""),"| 2 L JAVA @ | 1 L CPT @ | 3 P Python @ | 5 P PHP-CGM @ ")</f>
        <v xml:space="preserve">| 2 L JAVA @ | 1 L CPT @ | 3 P Python @ | 5 P PHP-CGM @ </v>
      </c>
      <c r="BO176" s="4" t="str">
        <f ca="1">IFERROR(__xludf.DUMMYFUNCTION("""COMPUTED_VALUE"""),"| 2 L JAVA @ | 1 L CPT @ | 3 P JAVA @ | 5 L INE @ ")</f>
        <v xml:space="preserve">| 2 L JAVA @ | 1 L CPT @ | 3 P JAVA @ | 5 L INE @ </v>
      </c>
      <c r="BP176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BQ176" s="4"/>
      <c r="BR176" s="4"/>
      <c r="BS176" s="4"/>
      <c r="BT176" s="4" t="str">
        <f ca="1">IFERROR(__xludf.DUMMYFUNCTION("""COMPUTED_VALUE"""),"| 1 L NS @ | 2 L PHP-CGM @ | 3 P PRO @ ")</f>
        <v xml:space="preserve">| 1 L NS @ | 2 L PHP-CGM @ | 3 P PRO @ </v>
      </c>
      <c r="BU176" s="4" t="str">
        <f ca="1">IFERROR(__xludf.DUMMYFUNCTION("""COMPUTED_VALUE"""),"| 1 L CPT @ ")</f>
        <v xml:space="preserve">| 1 L CPT @ </v>
      </c>
      <c r="BV176" s="4" t="str">
        <f ca="1">IFERROR(__xludf.DUMMYFUNCTION("""COMPUTED_VALUE"""),"| 1 L NS @ | 2 L PHP-CGM @ | 3 P PRO @ | 6 L JAVA @ ")</f>
        <v xml:space="preserve">| 1 L NS @ | 2 L PHP-CGM @ | 3 P PRO @ | 6 L JAVA @ </v>
      </c>
      <c r="BW176" s="4" t="str">
        <f ca="1">IFERROR(__xludf.DUMMYFUNCTION("""COMPUTED_VALUE"""),"| 1 L CPT @ | 2 L PHP-CGM @ | 3 P CPT @ ")</f>
        <v xml:space="preserve">| 1 L CPT @ | 2 L PHP-CGM @ | 3 P CPT @ </v>
      </c>
      <c r="BX176" s="4" t="str">
        <f ca="1">IFERROR(__xludf.DUMMYFUNCTION("""COMPUTED_VALUE"""),"| 1 L NS @ | 2 L PHP-CGM @ | 3 P JAVA @ | 5 P NS @ ")</f>
        <v xml:space="preserve">| 1 L NS @ | 2 L PHP-CGM @ | 3 P JAVA @ | 5 P NS @ </v>
      </c>
      <c r="BY176" s="4" t="str">
        <f ca="1">IFERROR(__xludf.DUMMYFUNCTION("""COMPUTED_VALUE"""),"| 1 L CPT @ | 2 L JAVA @ | 3 P Python @ | 5 P PHP-CGM @ ")</f>
        <v xml:space="preserve">| 1 L CPT @ | 2 L JAVA @ | 3 P Python @ | 5 P PHP-CGM @ </v>
      </c>
      <c r="BZ176" s="4" t="str">
        <f ca="1">IFERROR(__xludf.DUMMYFUNCTION("""COMPUTED_VALUE"""),"| 1 L CPT @ | 2 L JAVA @ | 3 P JAVA @ | 5 L INE @ ")</f>
        <v xml:space="preserve">| 1 L CPT @ | 2 L JAVA @ | 3 P JAVA @ | 5 L INE @ </v>
      </c>
      <c r="CA17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76" s="4" t="str">
        <f ca="1">IFERROR(__xludf.DUMMYFUNCTION("""COMPUTED_VALUE"""),"| 2 L PHP-CGM @ | 3 P CPT @ | 6 P Python @ | 1 L CPT @ ")</f>
        <v xml:space="preserve">| 2 L PHP-CGM @ | 3 P CPT @ | 6 P Python @ | 1 L CPT @ </v>
      </c>
      <c r="CC176" s="4" t="str">
        <f ca="1">IFERROR(__xludf.DUMMYFUNCTION("""COMPUTED_VALUE"""),"| 1 L NS @ | 2 L PHP-CGM @ | 3 P JAVA @ | 5 P NS @ ")</f>
        <v xml:space="preserve">| 1 L NS @ | 2 L PHP-CGM @ | 3 P JAVA @ | 5 P NS @ </v>
      </c>
      <c r="CD176" s="4" t="str">
        <f ca="1">IFERROR(__xludf.DUMMYFUNCTION("""COMPUTED_VALUE"""),"| 1 L CPT @ | 2 L JAVA @ | 3 P Python @ | 5 P PHP-CGM @ ")</f>
        <v xml:space="preserve">| 1 L CPT @ | 2 L JAVA @ | 3 P Python @ | 5 P PHP-CGM @ </v>
      </c>
      <c r="CE176" s="4" t="str">
        <f ca="1">IFERROR(__xludf.DUMMYFUNCTION("""COMPUTED_VALUE"""),"| 1 L CPT @ | 2 L JAVA @ | 3 P JAVA @ | 5 L INE % ")</f>
        <v xml:space="preserve">| 1 L CPT @ | 2 L JAVA @ | 3 P JAVA @ | 5 L INE % </v>
      </c>
      <c r="CF176" s="4" t="str">
        <f ca="1">IFERROR(__xludf.DUMMYFUNCTION("""COMPUTED_VALUE"""),"| 1 L NS @ | 2 L PHP-CGM @ | 5 L NS % | 6 L JAVA % ")</f>
        <v xml:space="preserve">| 1 L NS @ | 2 L PHP-CGM @ | 5 L NS % | 6 L JAVA % </v>
      </c>
      <c r="CG176" s="4" t="str">
        <f ca="1">IFERROR(__xludf.DUMMYFUNCTION("""COMPUTED_VALUE"""),"| 1 L CPT @ | 2 L PHP-CGM @ | 6 P Python % | 3 P CPT % ")</f>
        <v xml:space="preserve">| 1 L CPT @ | 2 L PHP-CGM @ | 6 P Python % | 3 P CPT % </v>
      </c>
      <c r="CH176" s="4" t="str">
        <f ca="1">IFERROR(__xludf.DUMMYFUNCTION("""COMPUTED_VALUE"""),"| 1 L NS @ | 2 L PHP-CGM @ | 3 P JAVA % | 5 P NS % ")</f>
        <v xml:space="preserve">| 1 L NS @ | 2 L PHP-CGM @ | 3 P JAVA % | 5 P NS % </v>
      </c>
      <c r="CI176" s="4" t="str">
        <f ca="1">IFERROR(__xludf.DUMMYFUNCTION("""COMPUTED_VALUE"""),"| 1 L CPT % | 2 L JAVA % | 5 P PHP-CGM % ")</f>
        <v xml:space="preserve">| 1 L CPT % | 2 L JAVA % | 5 P PHP-CGM % </v>
      </c>
      <c r="CJ176" s="4" t="str">
        <f ca="1">IFERROR(__xludf.DUMMYFUNCTION("""COMPUTED_VALUE"""),"| 1 L CPT % ")</f>
        <v xml:space="preserve">| 1 L CPT % </v>
      </c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</row>
    <row r="177" spans="1:102" ht="12.5" x14ac:dyDescent="0.25">
      <c r="A177" s="3">
        <f ca="1">IFERROR(__xludf.DUMMYFUNCTION("""COMPUTED_VALUE"""),1)</f>
        <v>1</v>
      </c>
      <c r="B177" s="3" t="str">
        <f ca="1">IFERROR(__xludf.DUMMYFUNCTION("""COMPUTED_VALUE"""),"C")</f>
        <v>C</v>
      </c>
      <c r="C177" s="32" t="str">
        <f ca="1">IFERROR(__xludf.DUMMYFUNCTION("""COMPUTED_VALUE"""),"23171341031")</f>
        <v>23171341031</v>
      </c>
      <c r="D177" s="4" t="str">
        <f ca="1">IFERROR(__xludf.DUMMYFUNCTION("""COMPUTED_VALUE"""),"GAJJAR DAKSH PRAVINKUMAR")</f>
        <v>GAJJAR DAKSH PRAVINKUMAR</v>
      </c>
      <c r="E177" s="3" t="str">
        <f ca="1">IFERROR(__xludf.DUMMYFUNCTION("""COMPUTED_VALUE"""),"PKN/PAP-Mor")</f>
        <v>PKN/PAP-Mor</v>
      </c>
      <c r="F177" s="3">
        <f ca="1">IFERROR(__xludf.DUMMYFUNCTION("""COMPUTED_VALUE"""),8734074413)</f>
        <v>8734074413</v>
      </c>
      <c r="G177" s="3">
        <f ca="1">IFERROR(__xludf.DUMMYFUNCTION("""COMPUTED_VALUE"""),9712897110)</f>
        <v>9712897110</v>
      </c>
      <c r="H177" s="33">
        <f ca="1">IFERROR(__xludf.DUMMYFUNCTION("""COMPUTED_VALUE"""),0.526530612244897)</f>
        <v>0.52653061224489695</v>
      </c>
      <c r="I177" s="25">
        <f ca="1">IFERROR(__xludf.DUMMYFUNCTION("""COMPUTED_VALUE"""),0.605263157894736)</f>
        <v>0.60526315789473595</v>
      </c>
      <c r="J177" s="25">
        <f ca="1">IFERROR(__xludf.DUMMYFUNCTION("""COMPUTED_VALUE"""),0.583333333333333)</f>
        <v>0.58333333333333304</v>
      </c>
      <c r="K177" s="25">
        <f ca="1">IFERROR(__xludf.DUMMYFUNCTION("""COMPUTED_VALUE"""),0.666666666666666)</f>
        <v>0.66666666666666596</v>
      </c>
      <c r="L177" s="25">
        <f ca="1">IFERROR(__xludf.DUMMYFUNCTION("""COMPUTED_VALUE"""),0.272727272727272)</f>
        <v>0.27272727272727199</v>
      </c>
      <c r="M177" s="25">
        <f ca="1">IFERROR(__xludf.DUMMYFUNCTION("""COMPUTED_VALUE"""),0.777777777777777)</f>
        <v>0.77777777777777701</v>
      </c>
      <c r="N177" s="25">
        <f ca="1">IFERROR(__xludf.DUMMYFUNCTION("""COMPUTED_VALUE"""),0.461538461538461)</f>
        <v>0.46153846153846101</v>
      </c>
      <c r="O177" s="25">
        <f ca="1">IFERROR(__xludf.DUMMYFUNCTION("""COMPUTED_VALUE"""),0.428571428571428)</f>
        <v>0.42857142857142799</v>
      </c>
      <c r="P177" s="25">
        <f ca="1">IFERROR(__xludf.DUMMYFUNCTION("""COMPUTED_VALUE"""),0.272727272727272)</f>
        <v>0.27272727272727199</v>
      </c>
      <c r="Q177" s="25">
        <f ca="1">IFERROR(__xludf.DUMMYFUNCTION("""COMPUTED_VALUE"""),0)</f>
        <v>0</v>
      </c>
      <c r="R177" s="25">
        <f ca="1">IFERROR(__xludf.DUMMYFUNCTION("""COMPUTED_VALUE"""),0.545454545454545)</f>
        <v>0.54545454545454497</v>
      </c>
      <c r="S177" s="25">
        <f ca="1">IFERROR(__xludf.DUMMYFUNCTION("""COMPUTED_VALUE"""),0)</f>
        <v>0</v>
      </c>
      <c r="T177" s="25">
        <f ca="1">IFERROR(__xludf.DUMMYFUNCTION("""COMPUTED_VALUE"""),0.416666666666666)</f>
        <v>0.41666666666666602</v>
      </c>
      <c r="U177" s="25">
        <f ca="1">IFERROR(__xludf.DUMMYFUNCTION("""COMPUTED_VALUE"""),0)</f>
        <v>0</v>
      </c>
      <c r="V177" s="25">
        <f ca="1">IFERROR(__xludf.DUMMYFUNCTION("""COMPUTED_VALUE"""),0)</f>
        <v>0</v>
      </c>
      <c r="W177" s="4"/>
      <c r="X177" s="4" t="str">
        <f ca="1">IFERROR(__xludf.DUMMYFUNCTION("""COMPUTED_VALUE"""),"| 1 L NS % | 2 L PHP-CGM % | 3 P PRO @ | 5 L JAVA @ | 6 L NS @ ")</f>
        <v xml:space="preserve">| 1 L NS % | 2 L PHP-CGM % | 3 P PRO @ | 5 L JAVA @ | 6 L NS @ </v>
      </c>
      <c r="Y177" s="4" t="str">
        <f ca="1">IFERROR(__xludf.DUMMYFUNCTION("""COMPUTED_VALUE"""),"| 1 L CPT % | 5 L PHP-CGM % | 1 P CPT % | 6 P Python % ")</f>
        <v xml:space="preserve">| 1 L CPT % | 5 L PHP-CGM % | 1 P CPT % | 6 P Python % </v>
      </c>
      <c r="Z177" s="4" t="str">
        <f ca="1">IFERROR(__xludf.DUMMYFUNCTION("""COMPUTED_VALUE"""),"| 1 L CPT % | 2 L PHP-CGM % | 3 P JAVA @ | 5 P NS @ ")</f>
        <v xml:space="preserve">| 1 L CPT % | 2 L PHP-CGM % | 3 P JAVA @ | 5 P NS @ </v>
      </c>
      <c r="AA177" s="4" t="str">
        <f ca="1">IFERROR(__xludf.DUMMYFUNCTION("""COMPUTED_VALUE"""),"| 1 L NS @ | 2 L JAVA @ | 3 P Python @ | 5 P PHP-CGM @ ")</f>
        <v xml:space="preserve">| 1 L NS @ | 2 L JAVA @ | 3 P Python @ | 5 P PHP-CGM @ </v>
      </c>
      <c r="AB177" s="4" t="str">
        <f ca="1">IFERROR(__xludf.DUMMYFUNCTION("""COMPUTED_VALUE"""),"| 1 L CPT @ | 2 L JAVA @ | 3 P JAVA @ ")</f>
        <v xml:space="preserve">| 1 L CPT @ | 2 L JAVA @ | 3 P JAVA @ </v>
      </c>
      <c r="AC177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77" s="4" t="str">
        <f ca="1">IFERROR(__xludf.DUMMYFUNCTION("""COMPUTED_VALUE"""),"| 1 L CPT % | 2 L PHP-CGM % | 3 P CPT % | 6 P Python % ")</f>
        <v xml:space="preserve">| 1 L CPT % | 2 L PHP-CGM % | 3 P CPT % | 6 P Python % </v>
      </c>
      <c r="AE177" s="4" t="str">
        <f ca="1">IFERROR(__xludf.DUMMYFUNCTION("""COMPUTED_VALUE"""),"| 1 L CPT % | 3 P JAVA % | 5 P NS % | 2 L PHP-CGM % ")</f>
        <v xml:space="preserve">| 1 L CPT % | 3 P JAVA % | 5 P NS % | 2 L PHP-CGM % </v>
      </c>
      <c r="AF177" s="4" t="str">
        <f ca="1">IFERROR(__xludf.DUMMYFUNCTION("""COMPUTED_VALUE"""),"| 1 L NS % | 2 L CPT % | 3 P Python % | 5 P PHP-CGM % ")</f>
        <v xml:space="preserve">| 1 L NS % | 2 L CPT % | 3 P Python % | 5 P PHP-CGM % </v>
      </c>
      <c r="AG177" s="4" t="str">
        <f ca="1">IFERROR(__xludf.DUMMYFUNCTION("""COMPUTED_VALUE"""),"| 1 L CPT % | 2 L JAVA % | 3 P JAVA % ")</f>
        <v xml:space="preserve">| 1 L CPT % | 2 L JAVA % | 3 P JAVA % </v>
      </c>
      <c r="AH177" s="4" t="str">
        <f ca="1">IFERROR(__xludf.DUMMYFUNCTION("""COMPUTED_VALUE"""),"| 2 L JAVA % | 1 L NS % | 3 P Python % | 5 P PHP-CGM % ")</f>
        <v xml:space="preserve">| 2 L JAVA % | 1 L NS % | 3 P Python % | 5 P PHP-CGM % </v>
      </c>
      <c r="AI177" s="4" t="str">
        <f ca="1">IFERROR(__xludf.DUMMYFUNCTION("""COMPUTED_VALUE"""),"| 1 L CPT % | 2 L JAVA % | 3 P JAVA % ")</f>
        <v xml:space="preserve">| 1 L CPT % | 2 L JAVA % | 3 P JAVA % </v>
      </c>
      <c r="AJ177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77" s="4" t="str">
        <f ca="1">IFERROR(__xludf.DUMMYFUNCTION("""COMPUTED_VALUE"""),"| 1 L CPT % | 3 P CPT % | 2 L PHP-CGM % | 6 P Python % ")</f>
        <v xml:space="preserve">| 1 L CPT % | 3 P CPT % | 2 L PHP-CGM % | 6 P Python % </v>
      </c>
      <c r="AL177" s="4" t="str">
        <f ca="1">IFERROR(__xludf.DUMMYFUNCTION("""COMPUTED_VALUE"""),"| 1 L CPT % | 2 L PHP-CGM % | 3 P JAVA % | 5 P NS % ")</f>
        <v xml:space="preserve">| 1 L CPT % | 2 L PHP-CGM % | 3 P JAVA % | 5 P NS % </v>
      </c>
      <c r="AM177" s="4" t="str">
        <f ca="1">IFERROR(__xludf.DUMMYFUNCTION("""COMPUTED_VALUE"""),"| 2 L JAVA % | 3 P Python % | 5 P PHP-CGM % | 1 L NS % ")</f>
        <v xml:space="preserve">| 2 L JAVA % | 3 P Python % | 5 P PHP-CGM % | 1 L NS % </v>
      </c>
      <c r="AN177" s="4" t="str">
        <f ca="1">IFERROR(__xludf.DUMMYFUNCTION("""COMPUTED_VALUE"""),"| 1 L CPT % | 2 L JAVA % | 3 P JAVA % | 5 L INE @ ")</f>
        <v xml:space="preserve">| 1 L CPT % | 2 L JAVA % | 3 P JAVA % | 5 L INE @ </v>
      </c>
      <c r="AO177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77" s="4" t="str">
        <f ca="1">IFERROR(__xludf.DUMMYFUNCTION("""COMPUTED_VALUE"""),"| 1 L CPT % | 2 L PHP-CGM % | 3 P CPT % | 6 P Python % ")</f>
        <v xml:space="preserve">| 1 L CPT % | 2 L PHP-CGM % | 3 P CPT % | 6 P Python % </v>
      </c>
      <c r="AQ177" s="4" t="str">
        <f ca="1">IFERROR(__xludf.DUMMYFUNCTION("""COMPUTED_VALUE"""),"| 2 L PHP-CGM % | 3 P JAVA @ | 1 L NS % | 5 P NS % ")</f>
        <v xml:space="preserve">| 2 L PHP-CGM % | 3 P JAVA @ | 1 L NS % | 5 P NS % </v>
      </c>
      <c r="AR177" s="4" t="str">
        <f ca="1">IFERROR(__xludf.DUMMYFUNCTION("""COMPUTED_VALUE"""),"| 1 L CPT % | 2 L JAVA % | 3 P Python % | 5 P PHP-CGM % ")</f>
        <v xml:space="preserve">| 1 L CPT % | 2 L JAVA % | 3 P Python % | 5 P PHP-CGM % </v>
      </c>
      <c r="AS177" s="4" t="str">
        <f ca="1">IFERROR(__xludf.DUMMYFUNCTION("""COMPUTED_VALUE"""),"| 1 L NS % | 2 L PHP-CGM % | 3 P PRO % | 5 L NS % | 6 L JAVA @ ")</f>
        <v xml:space="preserve">| 1 L NS % | 2 L PHP-CGM % | 3 P PRO % | 5 L NS % | 6 L JAVA @ </v>
      </c>
      <c r="AT177" s="4" t="str">
        <f ca="1">IFERROR(__xludf.DUMMYFUNCTION("""COMPUTED_VALUE"""),"| 1 L CPT % | 2 L PHP-CGM % | 3 P CPT % | 6 P Python % ")</f>
        <v xml:space="preserve">| 1 L CPT % | 2 L PHP-CGM % | 3 P CPT % | 6 P Python % </v>
      </c>
      <c r="AU177" s="4" t="str">
        <f ca="1">IFERROR(__xludf.DUMMYFUNCTION("""COMPUTED_VALUE"""),"| 1 L NS % | 2 L PHP-CGM % | 3 P JAVA @ | 5 P NS @ ")</f>
        <v xml:space="preserve">| 1 L NS % | 2 L PHP-CGM % | 3 P JAVA @ | 5 P NS @ </v>
      </c>
      <c r="AV177" s="4" t="str">
        <f ca="1">IFERROR(__xludf.DUMMYFUNCTION("""COMPUTED_VALUE"""),"| 1 L CPT % | 2 L JAVA % | 3 P Python % | 5 P PHP-CGM % ")</f>
        <v xml:space="preserve">| 1 L CPT % | 2 L JAVA % | 3 P Python % | 5 P PHP-CGM % </v>
      </c>
      <c r="AW177" s="4" t="str">
        <f ca="1">IFERROR(__xludf.DUMMYFUNCTION("""COMPUTED_VALUE"""),"| 1 L CPT % | 2 L JAVA % | 3 P JAVA @ | 5 L INE @ | 6 L INE @ ")</f>
        <v xml:space="preserve">| 1 L CPT % | 2 L JAVA % | 3 P JAVA @ | 5 L INE @ | 6 L INE @ </v>
      </c>
      <c r="AX177" s="4" t="str">
        <f ca="1">IFERROR(__xludf.DUMMYFUNCTION("""COMPUTED_VALUE"""),"| 1 L NS % | 2 L PHP-CGM % | 3 P PRO @ | 5 L NS % | 5 L JAVA % ")</f>
        <v xml:space="preserve">| 1 L NS % | 2 L PHP-CGM % | 3 P PRO @ | 5 L NS % | 5 L JAVA % </v>
      </c>
      <c r="AY177" s="4" t="str">
        <f ca="1">IFERROR(__xludf.DUMMYFUNCTION("""COMPUTED_VALUE"""),"| 1 L CPT % | 2 L PHP-CGM % | 3 P CPT @ | 6 P Python @ ")</f>
        <v xml:space="preserve">| 1 L CPT % | 2 L PHP-CGM % | 3 P CPT @ | 6 P Python @ </v>
      </c>
      <c r="AZ177" s="4" t="str">
        <f ca="1">IFERROR(__xludf.DUMMYFUNCTION("""COMPUTED_VALUE"""),"| 1 L CPT % | 2 L JAVA % | 3 P Python % | 5 P PHP-CGM % ")</f>
        <v xml:space="preserve">| 1 L CPT % | 2 L JAVA % | 3 P Python % | 5 P PHP-CGM % </v>
      </c>
      <c r="BA177" s="4" t="str">
        <f ca="1">IFERROR(__xludf.DUMMYFUNCTION("""COMPUTED_VALUE"""),"| 1 L CPT % | 2 L JAVA % | 3 P JAVA @ | 5 L INE @ ")</f>
        <v xml:space="preserve">| 1 L CPT % | 2 L JAVA % | 3 P JAVA @ | 5 L INE @ </v>
      </c>
      <c r="BB177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77" s="4" t="str">
        <f ca="1">IFERROR(__xludf.DUMMYFUNCTION("""COMPUTED_VALUE"""),"| 1 L CPT % | 2 L PHP-CGM % | 3 P CPT % | 6 P Python % ")</f>
        <v xml:space="preserve">| 1 L CPT % | 2 L PHP-CGM % | 3 P CPT % | 6 P Python % </v>
      </c>
      <c r="BD177" s="4" t="str">
        <f ca="1">IFERROR(__xludf.DUMMYFUNCTION("""COMPUTED_VALUE"""),"| 1 L NS % | 2 L PHP-CGM % | 3 P JAVA % | 5 P NS @ ")</f>
        <v xml:space="preserve">| 1 L NS % | 2 L PHP-CGM % | 3 P JAVA % | 5 P NS @ </v>
      </c>
      <c r="BE177" s="4" t="str">
        <f ca="1">IFERROR(__xludf.DUMMYFUNCTION("""COMPUTED_VALUE"""),"| 1 L CPT @ | 2 L JAVA @ | 3 P Python @ | 5 P PHP-CGM @ ")</f>
        <v xml:space="preserve">| 1 L CPT @ | 2 L JAVA @ | 3 P Python @ | 5 P PHP-CGM @ </v>
      </c>
      <c r="BF177" s="4" t="str">
        <f ca="1">IFERROR(__xludf.DUMMYFUNCTION("""COMPUTED_VALUE"""),"| 1 L CPT @ | 2 L JAVA @ | 3 P JAVA @ ")</f>
        <v xml:space="preserve">| 1 L CPT @ | 2 L JAVA @ | 3 P JAVA @ </v>
      </c>
      <c r="BG177" s="4" t="str">
        <f ca="1">IFERROR(__xludf.DUMMYFUNCTION("""COMPUTED_VALUE"""),"| 2 L PHP-CGM % | 3 P CPT @ | 1 L CPT % | 6 P Python @ ")</f>
        <v xml:space="preserve">| 2 L PHP-CGM % | 3 P CPT @ | 1 L CPT % | 6 P Python @ </v>
      </c>
      <c r="BH177" s="4" t="str">
        <f ca="1">IFERROR(__xludf.DUMMYFUNCTION("""COMPUTED_VALUE"""),"| 1 L NS @ | 2 L PHP-CGM @ | 3 P JAVA @ | 5 P NS @ ")</f>
        <v xml:space="preserve">| 1 L NS @ | 2 L PHP-CGM @ | 3 P JAVA @ | 5 P NS @ </v>
      </c>
      <c r="BI177" s="4" t="str">
        <f ca="1">IFERROR(__xludf.DUMMYFUNCTION("""COMPUTED_VALUE"""),"| 1 L CPT @ | 2 L JAVA @ | 3 P Python @ | 5 P PHP-CGM @ ")</f>
        <v xml:space="preserve">| 1 L CPT @ | 2 L JAVA @ | 3 P Python @ | 5 P PHP-CGM @ </v>
      </c>
      <c r="BJ177" s="4" t="str">
        <f ca="1">IFERROR(__xludf.DUMMYFUNCTION("""COMPUTED_VALUE"""),"| 1 L CPT @ | 2 L JAVA @ | 3 P JAVA @ | 5 L INE @ ")</f>
        <v xml:space="preserve">| 1 L CPT @ | 2 L JAVA @ | 3 P JAVA @ | 5 L INE @ </v>
      </c>
      <c r="BK177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L177" s="4" t="str">
        <f ca="1">IFERROR(__xludf.DUMMYFUNCTION("""COMPUTED_VALUE"""),"| 1 L CPT % | 2 L PHP-CGM % | 3 P CPT @ ")</f>
        <v xml:space="preserve">| 1 L CPT % | 2 L PHP-CGM % | 3 P CPT @ </v>
      </c>
      <c r="BM177" s="4" t="str">
        <f ca="1">IFERROR(__xludf.DUMMYFUNCTION("""COMPUTED_VALUE"""),"| 1 L NS % | 2 L PHP-CGM % | 3 P JAVA @ | 5 P NS @ ")</f>
        <v xml:space="preserve">| 1 L NS % | 2 L PHP-CGM % | 3 P JAVA @ | 5 P NS @ </v>
      </c>
      <c r="BN177" s="4" t="str">
        <f ca="1">IFERROR(__xludf.DUMMYFUNCTION("""COMPUTED_VALUE"""),"| 2 L JAVA @ | 1 L CPT @ | 3 P Python @ | 5 P PHP-CGM @ ")</f>
        <v xml:space="preserve">| 2 L JAVA @ | 1 L CPT @ | 3 P Python @ | 5 P PHP-CGM @ </v>
      </c>
      <c r="BO177" s="4" t="str">
        <f ca="1">IFERROR(__xludf.DUMMYFUNCTION("""COMPUTED_VALUE"""),"| 2 L JAVA @ | 1 L CPT @ | 3 P JAVA @ | 5 L INE @ ")</f>
        <v xml:space="preserve">| 2 L JAVA @ | 1 L CPT @ | 3 P JAVA @ | 5 L INE @ </v>
      </c>
      <c r="BP177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77" s="4"/>
      <c r="BR177" s="4"/>
      <c r="BS177" s="4"/>
      <c r="BT177" s="4" t="str">
        <f ca="1">IFERROR(__xludf.DUMMYFUNCTION("""COMPUTED_VALUE"""),"| 1 L NS @ | 2 L PHP-CGM @ | 3 P PRO @ ")</f>
        <v xml:space="preserve">| 1 L NS @ | 2 L PHP-CGM @ | 3 P PRO @ </v>
      </c>
      <c r="BU177" s="4" t="str">
        <f ca="1">IFERROR(__xludf.DUMMYFUNCTION("""COMPUTED_VALUE"""),"| 1 L CPT @ ")</f>
        <v xml:space="preserve">| 1 L CPT @ </v>
      </c>
      <c r="BV177" s="4" t="str">
        <f ca="1">IFERROR(__xludf.DUMMYFUNCTION("""COMPUTED_VALUE"""),"| 1 L NS @ | 2 L PHP-CGM @ | 3 P PRO @ | 6 L JAVA @ ")</f>
        <v xml:space="preserve">| 1 L NS @ | 2 L PHP-CGM @ | 3 P PRO @ | 6 L JAVA @ </v>
      </c>
      <c r="BW177" s="4" t="str">
        <f ca="1">IFERROR(__xludf.DUMMYFUNCTION("""COMPUTED_VALUE"""),"| 1 L CPT % | 2 L PHP-CGM % | 3 P CPT @ ")</f>
        <v xml:space="preserve">| 1 L CPT % | 2 L PHP-CGM % | 3 P CPT @ </v>
      </c>
      <c r="BX177" s="4" t="str">
        <f ca="1">IFERROR(__xludf.DUMMYFUNCTION("""COMPUTED_VALUE"""),"| 1 L NS @ | 2 L PHP-CGM @ | 3 P JAVA @ | 5 P NS @ ")</f>
        <v xml:space="preserve">| 1 L NS @ | 2 L PHP-CGM @ | 3 P JAVA @ | 5 P NS @ </v>
      </c>
      <c r="BY177" s="4" t="str">
        <f ca="1">IFERROR(__xludf.DUMMYFUNCTION("""COMPUTED_VALUE"""),"| 1 L CPT @ | 2 L JAVA @ | 3 P Python @ | 5 P PHP-CGM @ ")</f>
        <v xml:space="preserve">| 1 L CPT @ | 2 L JAVA @ | 3 P Python @ | 5 P PHP-CGM @ </v>
      </c>
      <c r="BZ177" s="4" t="str">
        <f ca="1">IFERROR(__xludf.DUMMYFUNCTION("""COMPUTED_VALUE"""),"| 1 L CPT @ | 2 L JAVA @ | 3 P JAVA @ | 5 L INE @ ")</f>
        <v xml:space="preserve">| 1 L CPT @ | 2 L JAVA @ | 3 P JAVA @ | 5 L INE @ </v>
      </c>
      <c r="CA177" s="4" t="str">
        <f ca="1">IFERROR(__xludf.DUMMYFUNCTION("""COMPUTED_VALUE"""),"| 1 L NS % | 2 L PHP-CGM @ | 3 P PRO @ | 5 L NS @ | 6 L JAVA @ ")</f>
        <v xml:space="preserve">| 1 L NS % | 2 L PHP-CGM @ | 3 P PRO @ | 5 L NS @ | 6 L JAVA @ </v>
      </c>
      <c r="CB177" s="4" t="str">
        <f ca="1">IFERROR(__xludf.DUMMYFUNCTION("""COMPUTED_VALUE"""),"| 2 L PHP-CGM % | 3 P CPT @ | 6 P Python @ | 1 L CPT % ")</f>
        <v xml:space="preserve">| 2 L PHP-CGM % | 3 P CPT @ | 6 P Python @ | 1 L CPT % </v>
      </c>
      <c r="CC177" s="4" t="str">
        <f ca="1">IFERROR(__xludf.DUMMYFUNCTION("""COMPUTED_VALUE"""),"| 1 L NS % | 2 L PHP-CGM % | 3 P JAVA @ | 5 P NS @ ")</f>
        <v xml:space="preserve">| 1 L NS % | 2 L PHP-CGM % | 3 P JAVA @ | 5 P NS @ </v>
      </c>
      <c r="CD177" s="4" t="str">
        <f ca="1">IFERROR(__xludf.DUMMYFUNCTION("""COMPUTED_VALUE"""),"| 1 L CPT @ | 2 L JAVA @ | 3 P Python @ | 5 P PHP-CGM @ ")</f>
        <v xml:space="preserve">| 1 L CPT @ | 2 L JAVA @ | 3 P Python @ | 5 P PHP-CGM @ </v>
      </c>
      <c r="CE177" s="4" t="str">
        <f ca="1">IFERROR(__xludf.DUMMYFUNCTION("""COMPUTED_VALUE"""),"| 1 L CPT @ | 2 L JAVA @ | 3 P JAVA @ | 5 L INE @ ")</f>
        <v xml:space="preserve">| 1 L CPT @ | 2 L JAVA @ | 3 P JAVA @ | 5 L INE @ </v>
      </c>
      <c r="CF177" s="4" t="str">
        <f ca="1">IFERROR(__xludf.DUMMYFUNCTION("""COMPUTED_VALUE"""),"| 1 L NS @ | 2 L PHP-CGM @ | 5 L NS @ | 6 L JAVA @ ")</f>
        <v xml:space="preserve">| 1 L NS @ | 2 L PHP-CGM @ | 5 L NS @ | 6 L JAVA @ </v>
      </c>
      <c r="CG177" s="4" t="str">
        <f ca="1">IFERROR(__xludf.DUMMYFUNCTION("""COMPUTED_VALUE"""),"| 1 L CPT @ | 2 L PHP-CGM @ | 6 P Python @ | 3 P CPT % ")</f>
        <v xml:space="preserve">| 1 L CPT @ | 2 L PHP-CGM @ | 6 P Python @ | 3 P CPT % </v>
      </c>
      <c r="CH177" s="4" t="str">
        <f ca="1">IFERROR(__xludf.DUMMYFUNCTION("""COMPUTED_VALUE"""),"| 1 L NS @ | 2 L PHP-CGM @ | 3 P JAVA @ | 5 P NS @ ")</f>
        <v xml:space="preserve">| 1 L NS @ | 2 L PHP-CGM @ | 3 P JAVA @ | 5 P NS @ </v>
      </c>
      <c r="CI177" s="4" t="str">
        <f ca="1">IFERROR(__xludf.DUMMYFUNCTION("""COMPUTED_VALUE"""),"| 1 L CPT @ | 2 L JAVA @ | 5 P PHP-CGM @ ")</f>
        <v xml:space="preserve">| 1 L CPT @ | 2 L JAVA @ | 5 P PHP-CGM @ </v>
      </c>
      <c r="CJ177" s="4" t="str">
        <f ca="1">IFERROR(__xludf.DUMMYFUNCTION("""COMPUTED_VALUE"""),"| 1 L CPT @ ")</f>
        <v xml:space="preserve">| 1 L CPT @ </v>
      </c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</row>
    <row r="178" spans="1:102" ht="12.5" x14ac:dyDescent="0.25">
      <c r="A178" s="3">
        <f ca="1">IFERROR(__xludf.DUMMYFUNCTION("""COMPUTED_VALUE"""),1)</f>
        <v>1</v>
      </c>
      <c r="B178" s="3" t="str">
        <f ca="1">IFERROR(__xludf.DUMMYFUNCTION("""COMPUTED_VALUE"""),"C")</f>
        <v>C</v>
      </c>
      <c r="C178" s="32" t="str">
        <f ca="1">IFERROR(__xludf.DUMMYFUNCTION("""COMPUTED_VALUE"""),"23171341035")</f>
        <v>23171341035</v>
      </c>
      <c r="D178" s="4" t="str">
        <f ca="1">IFERROR(__xludf.DUMMYFUNCTION("""COMPUTED_VALUE"""),"JADHAV PRAPTI LIRIL")</f>
        <v>JADHAV PRAPTI LIRIL</v>
      </c>
      <c r="E178" s="3" t="str">
        <f ca="1">IFERROR(__xludf.DUMMYFUNCTION("""COMPUTED_VALUE"""),"PKN/PAP-Mor")</f>
        <v>PKN/PAP-Mor</v>
      </c>
      <c r="F178" s="3">
        <f ca="1">IFERROR(__xludf.DUMMYFUNCTION("""COMPUTED_VALUE"""),9327421891)</f>
        <v>9327421891</v>
      </c>
      <c r="G178" s="3">
        <f ca="1">IFERROR(__xludf.DUMMYFUNCTION("""COMPUTED_VALUE"""),9825470457)</f>
        <v>9825470457</v>
      </c>
      <c r="H178" s="33">
        <f ca="1">IFERROR(__xludf.DUMMYFUNCTION("""COMPUTED_VALUE"""),0.551020408163265)</f>
        <v>0.55102040816326503</v>
      </c>
      <c r="I178" s="25">
        <f ca="1">IFERROR(__xludf.DUMMYFUNCTION("""COMPUTED_VALUE"""),0.526315789473684)</f>
        <v>0.52631578947368396</v>
      </c>
      <c r="J178" s="25">
        <f ca="1">IFERROR(__xludf.DUMMYFUNCTION("""COMPUTED_VALUE"""),0.833333333333333)</f>
        <v>0.83333333333333304</v>
      </c>
      <c r="K178" s="25">
        <f ca="1">IFERROR(__xludf.DUMMYFUNCTION("""COMPUTED_VALUE"""),0.527777777777777)</f>
        <v>0.52777777777777701</v>
      </c>
      <c r="L178" s="25">
        <f ca="1">IFERROR(__xludf.DUMMYFUNCTION("""COMPUTED_VALUE"""),0.727272727272727)</f>
        <v>0.72727272727272696</v>
      </c>
      <c r="M178" s="25">
        <f ca="1">IFERROR(__xludf.DUMMYFUNCTION("""COMPUTED_VALUE"""),0.638888888888888)</f>
        <v>0.63888888888888795</v>
      </c>
      <c r="N178" s="25">
        <f ca="1">IFERROR(__xludf.DUMMYFUNCTION("""COMPUTED_VALUE"""),0.384615384615384)</f>
        <v>0.38461538461538403</v>
      </c>
      <c r="O178" s="25">
        <f ca="1">IFERROR(__xludf.DUMMYFUNCTION("""COMPUTED_VALUE"""),0.371428571428571)</f>
        <v>0.371428571428571</v>
      </c>
      <c r="P178" s="25">
        <f ca="1">IFERROR(__xludf.DUMMYFUNCTION("""COMPUTED_VALUE"""),0.5)</f>
        <v>0.5</v>
      </c>
      <c r="Q178" s="25">
        <f ca="1">IFERROR(__xludf.DUMMYFUNCTION("""COMPUTED_VALUE"""),0)</f>
        <v>0</v>
      </c>
      <c r="R178" s="25">
        <f ca="1">IFERROR(__xludf.DUMMYFUNCTION("""COMPUTED_VALUE"""),0.818181818181818)</f>
        <v>0.81818181818181801</v>
      </c>
      <c r="S178" s="25">
        <f ca="1">IFERROR(__xludf.DUMMYFUNCTION("""COMPUTED_VALUE"""),0)</f>
        <v>0</v>
      </c>
      <c r="T178" s="25">
        <f ca="1">IFERROR(__xludf.DUMMYFUNCTION("""COMPUTED_VALUE"""),0.583333333333333)</f>
        <v>0.58333333333333304</v>
      </c>
      <c r="U178" s="25">
        <f ca="1">IFERROR(__xludf.DUMMYFUNCTION("""COMPUTED_VALUE"""),0.125)</f>
        <v>0.125</v>
      </c>
      <c r="V178" s="25">
        <f ca="1">IFERROR(__xludf.DUMMYFUNCTION("""COMPUTED_VALUE"""),0)</f>
        <v>0</v>
      </c>
      <c r="W178" s="4"/>
      <c r="X178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78" s="4" t="str">
        <f ca="1">IFERROR(__xludf.DUMMYFUNCTION("""COMPUTED_VALUE"""),"| 1 L CPT % | 5 L PHP-CGM % | 1 P CPT % | 6 P Python % ")</f>
        <v xml:space="preserve">| 1 L CPT % | 5 L PHP-CGM % | 1 P CPT % | 6 P Python % </v>
      </c>
      <c r="Z178" s="4" t="str">
        <f ca="1">IFERROR(__xludf.DUMMYFUNCTION("""COMPUTED_VALUE"""),"| 1 L CPT % | 2 L PHP-CGM % | 3 P JAVA % | 5 P NS % ")</f>
        <v xml:space="preserve">| 1 L CPT % | 2 L PHP-CGM % | 3 P JAVA % | 5 P NS % </v>
      </c>
      <c r="AA178" s="4" t="str">
        <f ca="1">IFERROR(__xludf.DUMMYFUNCTION("""COMPUTED_VALUE"""),"| 1 L NS % | 2 L JAVA % | 3 P Python % | 5 P PHP-CGM % ")</f>
        <v xml:space="preserve">| 1 L NS % | 2 L JAVA % | 3 P Python % | 5 P PHP-CGM % </v>
      </c>
      <c r="AB178" s="4" t="str">
        <f ca="1">IFERROR(__xludf.DUMMYFUNCTION("""COMPUTED_VALUE"""),"| 1 L CPT @ | 2 L JAVA @ | 3 P JAVA @ ")</f>
        <v xml:space="preserve">| 1 L CPT @ | 2 L JAVA @ | 3 P JAVA @ </v>
      </c>
      <c r="AC178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78" s="4" t="str">
        <f ca="1">IFERROR(__xludf.DUMMYFUNCTION("""COMPUTED_VALUE"""),"| 1 L CPT % | 2 L PHP-CGM % | 3 P CPT % | 6 P Python % ")</f>
        <v xml:space="preserve">| 1 L CPT % | 2 L PHP-CGM % | 3 P CPT % | 6 P Python % </v>
      </c>
      <c r="AE178" s="4" t="str">
        <f ca="1">IFERROR(__xludf.DUMMYFUNCTION("""COMPUTED_VALUE"""),"| 1 L CPT % | 3 P JAVA % | 5 P NS % | 2 L PHP-CGM % ")</f>
        <v xml:space="preserve">| 1 L CPT % | 3 P JAVA % | 5 P NS % | 2 L PHP-CGM % </v>
      </c>
      <c r="AF178" s="4" t="str">
        <f ca="1">IFERROR(__xludf.DUMMYFUNCTION("""COMPUTED_VALUE"""),"| 1 L NS % | 2 L CPT % | 3 P Python % | 5 P PHP-CGM @ ")</f>
        <v xml:space="preserve">| 1 L NS % | 2 L CPT % | 3 P Python % | 5 P PHP-CGM @ </v>
      </c>
      <c r="AG178" s="4" t="str">
        <f ca="1">IFERROR(__xludf.DUMMYFUNCTION("""COMPUTED_VALUE"""),"| 1 L CPT % | 2 L JAVA % | 3 P JAVA % ")</f>
        <v xml:space="preserve">| 1 L CPT % | 2 L JAVA % | 3 P JAVA % </v>
      </c>
      <c r="AH178" s="4" t="str">
        <f ca="1">IFERROR(__xludf.DUMMYFUNCTION("""COMPUTED_VALUE"""),"| 2 L JAVA % | 1 L NS % | 3 P Python % | 5 P PHP-CGM @ ")</f>
        <v xml:space="preserve">| 2 L JAVA % | 1 L NS % | 3 P Python % | 5 P PHP-CGM @ </v>
      </c>
      <c r="AI178" s="4" t="str">
        <f ca="1">IFERROR(__xludf.DUMMYFUNCTION("""COMPUTED_VALUE"""),"| 1 L CPT @ | 2 L JAVA @ | 3 P JAVA @ ")</f>
        <v xml:space="preserve">| 1 L CPT @ | 2 L JAVA @ | 3 P JAVA @ </v>
      </c>
      <c r="AJ178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K178" s="4" t="str">
        <f ca="1">IFERROR(__xludf.DUMMYFUNCTION("""COMPUTED_VALUE"""),"| 1 L CPT % | 3 P CPT % | 2 L PHP-CGM % | 6 P Python @ ")</f>
        <v xml:space="preserve">| 1 L CPT % | 3 P CPT % | 2 L PHP-CGM % | 6 P Python @ </v>
      </c>
      <c r="AL178" s="4" t="str">
        <f ca="1">IFERROR(__xludf.DUMMYFUNCTION("""COMPUTED_VALUE"""),"| 1 L CPT % | 2 L PHP-CGM % | 3 P JAVA % | 5 P NS % ")</f>
        <v xml:space="preserve">| 1 L CPT % | 2 L PHP-CGM % | 3 P JAVA % | 5 P NS % </v>
      </c>
      <c r="AM178" s="4" t="str">
        <f ca="1">IFERROR(__xludf.DUMMYFUNCTION("""COMPUTED_VALUE"""),"| 2 L JAVA % | 3 P Python % | 5 P PHP-CGM @ | 1 L NS % ")</f>
        <v xml:space="preserve">| 2 L JAVA % | 3 P Python % | 5 P PHP-CGM @ | 1 L NS % </v>
      </c>
      <c r="AN178" s="4" t="str">
        <f ca="1">IFERROR(__xludf.DUMMYFUNCTION("""COMPUTED_VALUE"""),"| 1 L CPT % | 2 L JAVA % | 3 P JAVA % | 5 L INE @ ")</f>
        <v xml:space="preserve">| 1 L CPT % | 2 L JAVA % | 3 P JAVA % | 5 L INE @ </v>
      </c>
      <c r="AO178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178" s="4" t="str">
        <f ca="1">IFERROR(__xludf.DUMMYFUNCTION("""COMPUTED_VALUE"""),"| 1 L CPT % | 2 L PHP-CGM % | 3 P CPT % | 6 P Python % ")</f>
        <v xml:space="preserve">| 1 L CPT % | 2 L PHP-CGM % | 3 P CPT % | 6 P Python % </v>
      </c>
      <c r="AQ178" s="4" t="str">
        <f ca="1">IFERROR(__xludf.DUMMYFUNCTION("""COMPUTED_VALUE"""),"| 2 L PHP-CGM % | 3 P JAVA % | 1 L NS % | 5 P NS % ")</f>
        <v xml:space="preserve">| 2 L PHP-CGM % | 3 P JAVA % | 1 L NS % | 5 P NS % </v>
      </c>
      <c r="AR178" s="4" t="str">
        <f ca="1">IFERROR(__xludf.DUMMYFUNCTION("""COMPUTED_VALUE"""),"| 1 L CPT % | 2 L JAVA % | 3 P Python % | 5 P PHP-CGM % ")</f>
        <v xml:space="preserve">| 1 L CPT % | 2 L JAVA % | 3 P Python % | 5 P PHP-CGM % </v>
      </c>
      <c r="AS178" s="4" t="str">
        <f ca="1">IFERROR(__xludf.DUMMYFUNCTION("""COMPUTED_VALUE"""),"| 1 L NS % | 2 L PHP-CGM @ | 3 P PRO % | 5 L NS @ | 6 L JAVA @ ")</f>
        <v xml:space="preserve">| 1 L NS % | 2 L PHP-CGM @ | 3 P PRO % | 5 L NS @ | 6 L JAVA @ </v>
      </c>
      <c r="AT178" s="4" t="str">
        <f ca="1">IFERROR(__xludf.DUMMYFUNCTION("""COMPUTED_VALUE"""),"| 1 L CPT % | 2 L PHP-CGM % | 3 P CPT % | 6 P Python % ")</f>
        <v xml:space="preserve">| 1 L CPT % | 2 L PHP-CGM % | 3 P CPT % | 6 P Python % </v>
      </c>
      <c r="AU178" s="4" t="str">
        <f ca="1">IFERROR(__xludf.DUMMYFUNCTION("""COMPUTED_VALUE"""),"| 1 L NS % | 2 L PHP-CGM % | 3 P JAVA % | 5 P NS % ")</f>
        <v xml:space="preserve">| 1 L NS % | 2 L PHP-CGM % | 3 P JAVA % | 5 P NS % </v>
      </c>
      <c r="AV178" s="4" t="str">
        <f ca="1">IFERROR(__xludf.DUMMYFUNCTION("""COMPUTED_VALUE"""),"| 1 L CPT % | 2 L JAVA % | 3 P Python % | 5 P PHP-CGM @ ")</f>
        <v xml:space="preserve">| 1 L CPT % | 2 L JAVA % | 3 P Python % | 5 P PHP-CGM @ </v>
      </c>
      <c r="AW178" s="4" t="str">
        <f ca="1">IFERROR(__xludf.DUMMYFUNCTION("""COMPUTED_VALUE"""),"| 1 L CPT @ | 2 L JAVA @ | 3 P JAVA @ | 5 L INE @ | 6 L INE @ ")</f>
        <v xml:space="preserve">| 1 L CPT @ | 2 L JAVA @ | 3 P JAVA @ | 5 L INE @ | 6 L INE @ </v>
      </c>
      <c r="AX178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78" s="4" t="str">
        <f ca="1">IFERROR(__xludf.DUMMYFUNCTION("""COMPUTED_VALUE"""),"| 1 L CPT % | 2 L PHP-CGM % | 3 P CPT @ | 6 P Python % ")</f>
        <v xml:space="preserve">| 1 L CPT % | 2 L PHP-CGM % | 3 P CPT @ | 6 P Python % </v>
      </c>
      <c r="AZ178" s="4" t="str">
        <f ca="1">IFERROR(__xludf.DUMMYFUNCTION("""COMPUTED_VALUE"""),"| 1 L CPT @ | 2 L JAVA @ | 3 P Python @ | 5 P PHP-CGM @ ")</f>
        <v xml:space="preserve">| 1 L CPT @ | 2 L JAVA @ | 3 P Python @ | 5 P PHP-CGM @ </v>
      </c>
      <c r="BA178" s="4" t="str">
        <f ca="1">IFERROR(__xludf.DUMMYFUNCTION("""COMPUTED_VALUE"""),"| 1 L CPT @ | 2 L JAVA @ | 3 P JAVA @ | 5 L INE @ ")</f>
        <v xml:space="preserve">| 1 L CPT @ | 2 L JAVA @ | 3 P JAVA @ | 5 L INE @ </v>
      </c>
      <c r="BB17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78" s="4" t="str">
        <f ca="1">IFERROR(__xludf.DUMMYFUNCTION("""COMPUTED_VALUE"""),"| 1 L CPT % | 2 L PHP-CGM % | 3 P CPT % | 6 P Python % ")</f>
        <v xml:space="preserve">| 1 L CPT % | 2 L PHP-CGM % | 3 P CPT % | 6 P Python % </v>
      </c>
      <c r="BD178" s="4" t="str">
        <f ca="1">IFERROR(__xludf.DUMMYFUNCTION("""COMPUTED_VALUE"""),"| 1 L NS % | 2 L PHP-CGM % | 3 P JAVA % | 5 P NS % ")</f>
        <v xml:space="preserve">| 1 L NS % | 2 L PHP-CGM % | 3 P JAVA % | 5 P NS % </v>
      </c>
      <c r="BE178" s="4" t="str">
        <f ca="1">IFERROR(__xludf.DUMMYFUNCTION("""COMPUTED_VALUE"""),"| 1 L CPT % | 2 L JAVA % | 3 P Python % | 5 P PHP-CGM % ")</f>
        <v xml:space="preserve">| 1 L CPT % | 2 L JAVA % | 3 P Python % | 5 P PHP-CGM % </v>
      </c>
      <c r="BF178" s="4" t="str">
        <f ca="1">IFERROR(__xludf.DUMMYFUNCTION("""COMPUTED_VALUE"""),"| 1 L CPT % | 2 L JAVA @ | 3 P JAVA @ ")</f>
        <v xml:space="preserve">| 1 L CPT % | 2 L JAVA @ | 3 P JAVA @ </v>
      </c>
      <c r="BG178" s="4" t="str">
        <f ca="1">IFERROR(__xludf.DUMMYFUNCTION("""COMPUTED_VALUE"""),"| 2 L PHP-CGM @ | 3 P CPT % | 1 L CPT % | 6 P Python % ")</f>
        <v xml:space="preserve">| 2 L PHP-CGM @ | 3 P CPT % | 1 L CPT % | 6 P Python % </v>
      </c>
      <c r="BH178" s="4" t="str">
        <f ca="1">IFERROR(__xludf.DUMMYFUNCTION("""COMPUTED_VALUE"""),"| 1 L NS @ | 2 L PHP-CGM % | 3 P JAVA @ | 5 P NS @ ")</f>
        <v xml:space="preserve">| 1 L NS @ | 2 L PHP-CGM % | 3 P JAVA @ | 5 P NS @ </v>
      </c>
      <c r="BI178" s="4" t="str">
        <f ca="1">IFERROR(__xludf.DUMMYFUNCTION("""COMPUTED_VALUE"""),"| 1 L CPT % | 2 L JAVA @ | 3 P Python % | 5 P PHP-CGM @ ")</f>
        <v xml:space="preserve">| 1 L CPT % | 2 L JAVA @ | 3 P Python % | 5 P PHP-CGM @ </v>
      </c>
      <c r="BJ178" s="4" t="str">
        <f ca="1">IFERROR(__xludf.DUMMYFUNCTION("""COMPUTED_VALUE"""),"| 1 L CPT @ | 2 L JAVA @ | 3 P JAVA @ | 5 L INE @ ")</f>
        <v xml:space="preserve">| 1 L CPT @ | 2 L JAVA @ | 3 P JAVA @ | 5 L INE @ </v>
      </c>
      <c r="BK178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L178" s="4" t="str">
        <f ca="1">IFERROR(__xludf.DUMMYFUNCTION("""COMPUTED_VALUE"""),"| 1 L CPT @ | 2 L PHP-CGM @ | 3 P CPT @ ")</f>
        <v xml:space="preserve">| 1 L CPT @ | 2 L PHP-CGM @ | 3 P CPT @ </v>
      </c>
      <c r="BM178" s="4" t="str">
        <f ca="1">IFERROR(__xludf.DUMMYFUNCTION("""COMPUTED_VALUE"""),"| 1 L NS @ | 2 L PHP-CGM @ | 3 P JAVA @ | 5 P NS @ ")</f>
        <v xml:space="preserve">| 1 L NS @ | 2 L PHP-CGM @ | 3 P JAVA @ | 5 P NS @ </v>
      </c>
      <c r="BN178" s="4" t="str">
        <f ca="1">IFERROR(__xludf.DUMMYFUNCTION("""COMPUTED_VALUE"""),"| 2 L JAVA @ | 1 L CPT @ | 3 P Python @ | 5 P PHP-CGM @ ")</f>
        <v xml:space="preserve">| 2 L JAVA @ | 1 L CPT @ | 3 P Python @ | 5 P PHP-CGM @ </v>
      </c>
      <c r="BO178" s="4" t="str">
        <f ca="1">IFERROR(__xludf.DUMMYFUNCTION("""COMPUTED_VALUE"""),"| 2 L JAVA @ | 1 L CPT @ | 3 P JAVA @ | 5 L INE @ ")</f>
        <v xml:space="preserve">| 2 L JAVA @ | 1 L CPT @ | 3 P JAVA @ | 5 L INE @ </v>
      </c>
      <c r="BP178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78" s="4"/>
      <c r="BR178" s="4"/>
      <c r="BS178" s="4"/>
      <c r="BT178" s="4" t="str">
        <f ca="1">IFERROR(__xludf.DUMMYFUNCTION("""COMPUTED_VALUE"""),"| 1 L NS % | 2 L PHP-CGM % | 3 P PRO % ")</f>
        <v xml:space="preserve">| 1 L NS % | 2 L PHP-CGM % | 3 P PRO % </v>
      </c>
      <c r="BU178" s="4" t="str">
        <f ca="1">IFERROR(__xludf.DUMMYFUNCTION("""COMPUTED_VALUE"""),"| 1 L CPT @ ")</f>
        <v xml:space="preserve">| 1 L CPT @ </v>
      </c>
      <c r="BV178" s="4" t="str">
        <f ca="1">IFERROR(__xludf.DUMMYFUNCTION("""COMPUTED_VALUE"""),"| 1 L NS @ | 2 L PHP-CGM @ | 3 P PRO @ | 6 L JAVA @ ")</f>
        <v xml:space="preserve">| 1 L NS @ | 2 L PHP-CGM @ | 3 P PRO @ | 6 L JAVA @ </v>
      </c>
      <c r="BW178" s="4" t="str">
        <f ca="1">IFERROR(__xludf.DUMMYFUNCTION("""COMPUTED_VALUE"""),"| 1 L CPT % | 2 L PHP-CGM % | 3 P CPT % ")</f>
        <v xml:space="preserve">| 1 L CPT % | 2 L PHP-CGM % | 3 P CPT % </v>
      </c>
      <c r="BX178" s="4" t="str">
        <f ca="1">IFERROR(__xludf.DUMMYFUNCTION("""COMPUTED_VALUE"""),"| 1 L NS % | 2 L PHP-CGM % | 3 P JAVA % | 5 P NS % ")</f>
        <v xml:space="preserve">| 1 L NS % | 2 L PHP-CGM % | 3 P JAVA % | 5 P NS % </v>
      </c>
      <c r="BY178" s="4" t="str">
        <f ca="1">IFERROR(__xludf.DUMMYFUNCTION("""COMPUTED_VALUE"""),"| 1 L CPT @ | 2 L JAVA @ | 3 P Python @ | 5 P PHP-CGM @ ")</f>
        <v xml:space="preserve">| 1 L CPT @ | 2 L JAVA @ | 3 P Python @ | 5 P PHP-CGM @ </v>
      </c>
      <c r="BZ178" s="4" t="str">
        <f ca="1">IFERROR(__xludf.DUMMYFUNCTION("""COMPUTED_VALUE"""),"| 1 L CPT @ | 2 L JAVA @ | 3 P JAVA @ | 5 L INE @ ")</f>
        <v xml:space="preserve">| 1 L CPT @ | 2 L JAVA @ | 3 P JAVA @ | 5 L INE @ </v>
      </c>
      <c r="CA17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178" s="4" t="str">
        <f ca="1">IFERROR(__xludf.DUMMYFUNCTION("""COMPUTED_VALUE"""),"| 2 L PHP-CGM @ | 3 P CPT % | 6 P Python % | 1 L CPT @ ")</f>
        <v xml:space="preserve">| 2 L PHP-CGM @ | 3 P CPT % | 6 P Python % | 1 L CPT @ </v>
      </c>
      <c r="CC178" s="4" t="str">
        <f ca="1">IFERROR(__xludf.DUMMYFUNCTION("""COMPUTED_VALUE"""),"| 1 L NS @ | 2 L PHP-CGM % | 3 P JAVA @ | 5 P NS @ ")</f>
        <v xml:space="preserve">| 1 L NS @ | 2 L PHP-CGM % | 3 P JAVA @ | 5 P NS @ </v>
      </c>
      <c r="CD178" s="4" t="str">
        <f ca="1">IFERROR(__xludf.DUMMYFUNCTION("""COMPUTED_VALUE"""),"| 1 L CPT @ | 2 L JAVA @ | 3 P Python % | 5 P PHP-CGM % ")</f>
        <v xml:space="preserve">| 1 L CPT @ | 2 L JAVA @ | 3 P Python % | 5 P PHP-CGM % </v>
      </c>
      <c r="CE178" s="4" t="str">
        <f ca="1">IFERROR(__xludf.DUMMYFUNCTION("""COMPUTED_VALUE"""),"| 1 L CPT @ | 2 L JAVA @ | 3 P JAVA % | 5 L INE % ")</f>
        <v xml:space="preserve">| 1 L CPT @ | 2 L JAVA @ | 3 P JAVA % | 5 L INE % </v>
      </c>
      <c r="CF178" s="4" t="str">
        <f ca="1">IFERROR(__xludf.DUMMYFUNCTION("""COMPUTED_VALUE"""),"| 1 L NS @ | 2 L PHP-CGM @ | 5 L NS @ | 6 L JAVA @ ")</f>
        <v xml:space="preserve">| 1 L NS @ | 2 L PHP-CGM @ | 5 L NS @ | 6 L JAVA @ </v>
      </c>
      <c r="CG178" s="4" t="str">
        <f ca="1">IFERROR(__xludf.DUMMYFUNCTION("""COMPUTED_VALUE"""),"| 1 L CPT @ | 2 L PHP-CGM @ | 6 P Python % | 3 P CPT % ")</f>
        <v xml:space="preserve">| 1 L CPT @ | 2 L PHP-CGM @ | 6 P Python % | 3 P CPT % </v>
      </c>
      <c r="CH178" s="4" t="str">
        <f ca="1">IFERROR(__xludf.DUMMYFUNCTION("""COMPUTED_VALUE"""),"| 1 L NS @ | 2 L PHP-CGM @ | 3 P JAVA % | 5 P NS % ")</f>
        <v xml:space="preserve">| 1 L NS @ | 2 L PHP-CGM @ | 3 P JAVA % | 5 P NS % </v>
      </c>
      <c r="CI178" s="4" t="str">
        <f ca="1">IFERROR(__xludf.DUMMYFUNCTION("""COMPUTED_VALUE"""),"| 1 L CPT @ | 2 L JAVA % | 5 P PHP-CGM % ")</f>
        <v xml:space="preserve">| 1 L CPT @ | 2 L JAVA % | 5 P PHP-CGM % </v>
      </c>
      <c r="CJ178" s="4" t="str">
        <f ca="1">IFERROR(__xludf.DUMMYFUNCTION("""COMPUTED_VALUE"""),"| 1 L CPT @ ")</f>
        <v xml:space="preserve">| 1 L CPT @ </v>
      </c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</row>
    <row r="179" spans="1:102" ht="12.5" x14ac:dyDescent="0.25">
      <c r="A179" s="3">
        <f ca="1">IFERROR(__xludf.DUMMYFUNCTION("""COMPUTED_VALUE"""),1)</f>
        <v>1</v>
      </c>
      <c r="B179" s="3" t="str">
        <f ca="1">IFERROR(__xludf.DUMMYFUNCTION("""COMPUTED_VALUE"""),"C")</f>
        <v>C</v>
      </c>
      <c r="C179" s="32" t="str">
        <f ca="1">IFERROR(__xludf.DUMMYFUNCTION("""COMPUTED_VALUE"""),"23171341036")</f>
        <v>23171341036</v>
      </c>
      <c r="D179" s="4" t="str">
        <f ca="1">IFERROR(__xludf.DUMMYFUNCTION("""COMPUTED_VALUE"""),"JANI RITESH BHARATKUMAR")</f>
        <v>JANI RITESH BHARATKUMAR</v>
      </c>
      <c r="E179" s="3" t="str">
        <f ca="1">IFERROR(__xludf.DUMMYFUNCTION("""COMPUTED_VALUE"""),"PKN/PAP-Mor")</f>
        <v>PKN/PAP-Mor</v>
      </c>
      <c r="F179" s="3">
        <f ca="1">IFERROR(__xludf.DUMMYFUNCTION("""COMPUTED_VALUE"""),9978959299)</f>
        <v>9978959299</v>
      </c>
      <c r="G179" s="3">
        <f ca="1">IFERROR(__xludf.DUMMYFUNCTION("""COMPUTED_VALUE"""),9879757724)</f>
        <v>9879757724</v>
      </c>
      <c r="H179" s="33">
        <f ca="1">IFERROR(__xludf.DUMMYFUNCTION("""COMPUTED_VALUE"""),0.616326530612244)</f>
        <v>0.61632653061224396</v>
      </c>
      <c r="I179" s="25">
        <f ca="1">IFERROR(__xludf.DUMMYFUNCTION("""COMPUTED_VALUE"""),0.710526315789473)</f>
        <v>0.71052631578947301</v>
      </c>
      <c r="J179" s="25">
        <f ca="1">IFERROR(__xludf.DUMMYFUNCTION("""COMPUTED_VALUE"""),0.833333333333333)</f>
        <v>0.83333333333333304</v>
      </c>
      <c r="K179" s="25">
        <f ca="1">IFERROR(__xludf.DUMMYFUNCTION("""COMPUTED_VALUE"""),0.638888888888888)</f>
        <v>0.63888888888888795</v>
      </c>
      <c r="L179" s="25">
        <f ca="1">IFERROR(__xludf.DUMMYFUNCTION("""COMPUTED_VALUE"""),0.545454545454545)</f>
        <v>0.54545454545454497</v>
      </c>
      <c r="M179" s="25">
        <f ca="1">IFERROR(__xludf.DUMMYFUNCTION("""COMPUTED_VALUE"""),0.833333333333333)</f>
        <v>0.83333333333333304</v>
      </c>
      <c r="N179" s="25">
        <f ca="1">IFERROR(__xludf.DUMMYFUNCTION("""COMPUTED_VALUE"""),0.461538461538461)</f>
        <v>0.46153846153846101</v>
      </c>
      <c r="O179" s="25">
        <f ca="1">IFERROR(__xludf.DUMMYFUNCTION("""COMPUTED_VALUE"""),0.514285714285714)</f>
        <v>0.51428571428571401</v>
      </c>
      <c r="P179" s="25">
        <f ca="1">IFERROR(__xludf.DUMMYFUNCTION("""COMPUTED_VALUE"""),0.545454545454545)</f>
        <v>0.54545454545454497</v>
      </c>
      <c r="Q179" s="25">
        <f ca="1">IFERROR(__xludf.DUMMYFUNCTION("""COMPUTED_VALUE"""),0)</f>
        <v>0</v>
      </c>
      <c r="R179" s="25">
        <f ca="1">IFERROR(__xludf.DUMMYFUNCTION("""COMPUTED_VALUE"""),0.5)</f>
        <v>0.5</v>
      </c>
      <c r="S179" s="25">
        <f ca="1">IFERROR(__xludf.DUMMYFUNCTION("""COMPUTED_VALUE"""),0)</f>
        <v>0</v>
      </c>
      <c r="T179" s="25">
        <f ca="1">IFERROR(__xludf.DUMMYFUNCTION("""COMPUTED_VALUE"""),0.583333333333333)</f>
        <v>0.58333333333333304</v>
      </c>
      <c r="U179" s="25">
        <f ca="1">IFERROR(__xludf.DUMMYFUNCTION("""COMPUTED_VALUE"""),0.125)</f>
        <v>0.125</v>
      </c>
      <c r="V179" s="25">
        <f ca="1">IFERROR(__xludf.DUMMYFUNCTION("""COMPUTED_VALUE"""),0)</f>
        <v>0</v>
      </c>
      <c r="W179" s="4"/>
      <c r="X17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79" s="4" t="str">
        <f ca="1">IFERROR(__xludf.DUMMYFUNCTION("""COMPUTED_VALUE"""),"| 1 L CPT % | 5 L PHP-CGM % | 1 P CPT % | 6 P Python % ")</f>
        <v xml:space="preserve">| 1 L CPT % | 5 L PHP-CGM % | 1 P CPT % | 6 P Python % </v>
      </c>
      <c r="Z179" s="4" t="str">
        <f ca="1">IFERROR(__xludf.DUMMYFUNCTION("""COMPUTED_VALUE"""),"| 1 L CPT % | 2 L PHP-CGM % | 3 P JAVA % | 5 P NS % ")</f>
        <v xml:space="preserve">| 1 L CPT % | 2 L PHP-CGM % | 3 P JAVA % | 5 P NS % </v>
      </c>
      <c r="AA179" s="4" t="str">
        <f ca="1">IFERROR(__xludf.DUMMYFUNCTION("""COMPUTED_VALUE"""),"| 1 L NS % | 2 L JAVA % | 3 P Python % | 5 P PHP-CGM % ")</f>
        <v xml:space="preserve">| 1 L NS % | 2 L JAVA % | 3 P Python % | 5 P PHP-CGM % </v>
      </c>
      <c r="AB179" s="4" t="str">
        <f ca="1">IFERROR(__xludf.DUMMYFUNCTION("""COMPUTED_VALUE"""),"| 1 L CPT % | 2 L JAVA % | 3 P JAVA % ")</f>
        <v xml:space="preserve">| 1 L CPT % | 2 L JAVA % | 3 P JAVA % </v>
      </c>
      <c r="AC17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79" s="4" t="str">
        <f ca="1">IFERROR(__xludf.DUMMYFUNCTION("""COMPUTED_VALUE"""),"| 1 L CPT % | 2 L PHP-CGM % | 3 P CPT % | 6 P Python % ")</f>
        <v xml:space="preserve">| 1 L CPT % | 2 L PHP-CGM % | 3 P CPT % | 6 P Python % </v>
      </c>
      <c r="AE179" s="4" t="str">
        <f ca="1">IFERROR(__xludf.DUMMYFUNCTION("""COMPUTED_VALUE"""),"| 1 L CPT % | 3 P JAVA % | 5 P NS % | 2 L PHP-CGM % ")</f>
        <v xml:space="preserve">| 1 L CPT % | 3 P JAVA % | 5 P NS % | 2 L PHP-CGM % </v>
      </c>
      <c r="AF179" s="4" t="str">
        <f ca="1">IFERROR(__xludf.DUMMYFUNCTION("""COMPUTED_VALUE"""),"| 1 L NS % | 2 L CPT % | 3 P Python % | 5 P PHP-CGM % ")</f>
        <v xml:space="preserve">| 1 L NS % | 2 L CPT % | 3 P Python % | 5 P PHP-CGM % </v>
      </c>
      <c r="AG179" s="4" t="str">
        <f ca="1">IFERROR(__xludf.DUMMYFUNCTION("""COMPUTED_VALUE"""),"| 1 L CPT % | 2 L JAVA % | 3 P JAVA @ ")</f>
        <v xml:space="preserve">| 1 L CPT % | 2 L JAVA % | 3 P JAVA @ </v>
      </c>
      <c r="AH179" s="4" t="str">
        <f ca="1">IFERROR(__xludf.DUMMYFUNCTION("""COMPUTED_VALUE"""),"| 2 L JAVA % | 1 L NS % | 3 P Python % | 5 P PHP-CGM % ")</f>
        <v xml:space="preserve">| 2 L JAVA % | 1 L NS % | 3 P Python % | 5 P PHP-CGM % </v>
      </c>
      <c r="AI179" s="4" t="str">
        <f ca="1">IFERROR(__xludf.DUMMYFUNCTION("""COMPUTED_VALUE"""),"| 1 L CPT % | 2 L JAVA % | 3 P JAVA % ")</f>
        <v xml:space="preserve">| 1 L CPT % | 2 L JAVA % | 3 P JAVA % </v>
      </c>
      <c r="AJ179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K179" s="4" t="str">
        <f ca="1">IFERROR(__xludf.DUMMYFUNCTION("""COMPUTED_VALUE"""),"| 1 L CPT % | 3 P CPT % | 2 L PHP-CGM % | 6 P Python % ")</f>
        <v xml:space="preserve">| 1 L CPT % | 3 P CPT % | 2 L PHP-CGM % | 6 P Python % </v>
      </c>
      <c r="AL179" s="4" t="str">
        <f ca="1">IFERROR(__xludf.DUMMYFUNCTION("""COMPUTED_VALUE"""),"| 1 L CPT % | 2 L PHP-CGM % | 3 P JAVA @ | 5 P NS @ ")</f>
        <v xml:space="preserve">| 1 L CPT % | 2 L PHP-CGM % | 3 P JAVA @ | 5 P NS @ </v>
      </c>
      <c r="AM179" s="4" t="str">
        <f ca="1">IFERROR(__xludf.DUMMYFUNCTION("""COMPUTED_VALUE"""),"| 2 L JAVA % | 3 P Python % | 5 P PHP-CGM % | 1 L NS % ")</f>
        <v xml:space="preserve">| 2 L JAVA % | 3 P Python % | 5 P PHP-CGM % | 1 L NS % </v>
      </c>
      <c r="AN179" s="4" t="str">
        <f ca="1">IFERROR(__xludf.DUMMYFUNCTION("""COMPUTED_VALUE"""),"| 1 L CPT @ | 2 L JAVA @ | 3 P JAVA @ | 5 L INE @ ")</f>
        <v xml:space="preserve">| 1 L CPT @ | 2 L JAVA @ | 3 P JAVA @ | 5 L INE @ </v>
      </c>
      <c r="AO179" s="4" t="str">
        <f ca="1">IFERROR(__xludf.DUMMYFUNCTION("""COMPUTED_VALUE"""),"| 1 L NS @ | 2 L PHP-CGM % | 3 P PRO @ | 5 L NS @ | 5 L JAVA @ ")</f>
        <v xml:space="preserve">| 1 L NS @ | 2 L PHP-CGM % | 3 P PRO @ | 5 L NS @ | 5 L JAVA @ </v>
      </c>
      <c r="AP179" s="4" t="str">
        <f ca="1">IFERROR(__xludf.DUMMYFUNCTION("""COMPUTED_VALUE"""),"| 1 L CPT % | 2 L PHP-CGM % | 3 P CPT % | 6 P Python @ ")</f>
        <v xml:space="preserve">| 1 L CPT % | 2 L PHP-CGM % | 3 P CPT % | 6 P Python @ </v>
      </c>
      <c r="AQ179" s="4" t="str">
        <f ca="1">IFERROR(__xludf.DUMMYFUNCTION("""COMPUTED_VALUE"""),"| 2 L PHP-CGM % | 3 P JAVA @ | 1 L NS % | 5 P NS @ ")</f>
        <v xml:space="preserve">| 2 L PHP-CGM % | 3 P JAVA @ | 1 L NS % | 5 P NS @ </v>
      </c>
      <c r="AR179" s="4" t="str">
        <f ca="1">IFERROR(__xludf.DUMMYFUNCTION("""COMPUTED_VALUE"""),"| 1 L CPT % | 2 L JAVA % | 3 P Python % | 5 P PHP-CGM % ")</f>
        <v xml:space="preserve">| 1 L CPT % | 2 L JAVA % | 3 P Python % | 5 P PHP-CGM % </v>
      </c>
      <c r="AS17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79" s="4" t="str">
        <f ca="1">IFERROR(__xludf.DUMMYFUNCTION("""COMPUTED_VALUE"""),"| 1 L CPT % | 2 L PHP-CGM % | 3 P CPT % | 6 P Python @ ")</f>
        <v xml:space="preserve">| 1 L CPT % | 2 L PHP-CGM % | 3 P CPT % | 6 P Python @ </v>
      </c>
      <c r="AU179" s="4" t="str">
        <f ca="1">IFERROR(__xludf.DUMMYFUNCTION("""COMPUTED_VALUE"""),"| 1 L NS % | 2 L PHP-CGM % | 3 P JAVA % | 5 P NS @ ")</f>
        <v xml:space="preserve">| 1 L NS % | 2 L PHP-CGM % | 3 P JAVA % | 5 P NS @ </v>
      </c>
      <c r="AV179" s="4" t="str">
        <f ca="1">IFERROR(__xludf.DUMMYFUNCTION("""COMPUTED_VALUE"""),"| 1 L CPT % | 2 L JAVA % | 3 P Python @ | 5 P PHP-CGM @ ")</f>
        <v xml:space="preserve">| 1 L CPT % | 2 L JAVA % | 3 P Python @ | 5 P PHP-CGM @ </v>
      </c>
      <c r="AW179" s="4" t="str">
        <f ca="1">IFERROR(__xludf.DUMMYFUNCTION("""COMPUTED_VALUE"""),"| 1 L CPT % | 2 L JAVA % | 3 P JAVA @ | 5 L INE @ | 6 L INE @ ")</f>
        <v xml:space="preserve">| 1 L CPT % | 2 L JAVA % | 3 P JAVA @ | 5 L INE @ | 6 L INE @ </v>
      </c>
      <c r="AX179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79" s="4" t="str">
        <f ca="1">IFERROR(__xludf.DUMMYFUNCTION("""COMPUTED_VALUE"""),"| 1 L CPT % | 2 L PHP-CGM % | 3 P CPT @ | 6 P Python @ ")</f>
        <v xml:space="preserve">| 1 L CPT % | 2 L PHP-CGM % | 3 P CPT @ | 6 P Python @ </v>
      </c>
      <c r="AZ179" s="4" t="str">
        <f ca="1">IFERROR(__xludf.DUMMYFUNCTION("""COMPUTED_VALUE"""),"| 1 L CPT @ | 2 L JAVA @ | 3 P Python @ | 5 P PHP-CGM @ ")</f>
        <v xml:space="preserve">| 1 L CPT @ | 2 L JAVA @ | 3 P Python @ | 5 P PHP-CGM @ </v>
      </c>
      <c r="BA179" s="4" t="str">
        <f ca="1">IFERROR(__xludf.DUMMYFUNCTION("""COMPUTED_VALUE"""),"| 1 L CPT @ | 2 L JAVA @ | 3 P JAVA @ | 5 L INE @ ")</f>
        <v xml:space="preserve">| 1 L CPT @ | 2 L JAVA @ | 3 P JAVA @ | 5 L INE @ </v>
      </c>
      <c r="BB17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79" s="4" t="str">
        <f ca="1">IFERROR(__xludf.DUMMYFUNCTION("""COMPUTED_VALUE"""),"| 1 L CPT % | 2 L PHP-CGM % | 3 P CPT % | 6 P Python % ")</f>
        <v xml:space="preserve">| 1 L CPT % | 2 L PHP-CGM % | 3 P CPT % | 6 P Python % </v>
      </c>
      <c r="BD179" s="4" t="str">
        <f ca="1">IFERROR(__xludf.DUMMYFUNCTION("""COMPUTED_VALUE"""),"| 1 L NS % | 2 L PHP-CGM % | 3 P JAVA % | 5 P NS % ")</f>
        <v xml:space="preserve">| 1 L NS % | 2 L PHP-CGM % | 3 P JAVA % | 5 P NS % </v>
      </c>
      <c r="BE179" s="4" t="str">
        <f ca="1">IFERROR(__xludf.DUMMYFUNCTION("""COMPUTED_VALUE"""),"| 1 L CPT @ | 2 L JAVA @ | 3 P Python @ | 5 P PHP-CGM @ ")</f>
        <v xml:space="preserve">| 1 L CPT @ | 2 L JAVA @ | 3 P Python @ | 5 P PHP-CGM @ </v>
      </c>
      <c r="BF179" s="4" t="str">
        <f ca="1">IFERROR(__xludf.DUMMYFUNCTION("""COMPUTED_VALUE"""),"| 1 L CPT @ | 2 L JAVA @ | 3 P JAVA @ ")</f>
        <v xml:space="preserve">| 1 L CPT @ | 2 L JAVA @ | 3 P JAVA @ </v>
      </c>
      <c r="BG179" s="4" t="str">
        <f ca="1">IFERROR(__xludf.DUMMYFUNCTION("""COMPUTED_VALUE"""),"| 2 L PHP-CGM % | 3 P CPT @ | 1 L CPT % | 6 P Python @ ")</f>
        <v xml:space="preserve">| 2 L PHP-CGM % | 3 P CPT @ | 1 L CPT % | 6 P Python @ </v>
      </c>
      <c r="BH179" s="4" t="str">
        <f ca="1">IFERROR(__xludf.DUMMYFUNCTION("""COMPUTED_VALUE"""),"| 1 L NS @ | 2 L PHP-CGM @ | 3 P JAVA % | 5 P NS % ")</f>
        <v xml:space="preserve">| 1 L NS @ | 2 L PHP-CGM @ | 3 P JAVA % | 5 P NS % </v>
      </c>
      <c r="BI179" s="4" t="str">
        <f ca="1">IFERROR(__xludf.DUMMYFUNCTION("""COMPUTED_VALUE"""),"| 1 L CPT % | 2 L JAVA @ | 3 P Python @ | 5 P PHP-CGM @ ")</f>
        <v xml:space="preserve">| 1 L CPT % | 2 L JAVA @ | 3 P Python @ | 5 P PHP-CGM @ </v>
      </c>
      <c r="BJ179" s="4" t="str">
        <f ca="1">IFERROR(__xludf.DUMMYFUNCTION("""COMPUTED_VALUE"""),"| 1 L CPT % | 2 L JAVA % | 3 P JAVA % | 5 L INE @ ")</f>
        <v xml:space="preserve">| 1 L CPT % | 2 L JAVA % | 3 P JAVA % | 5 L INE @ </v>
      </c>
      <c r="BK179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79" s="4" t="str">
        <f ca="1">IFERROR(__xludf.DUMMYFUNCTION("""COMPUTED_VALUE"""),"| 1 L CPT @ | 2 L PHP-CGM % | 3 P CPT % ")</f>
        <v xml:space="preserve">| 1 L CPT @ | 2 L PHP-CGM % | 3 P CPT % </v>
      </c>
      <c r="BM179" s="4" t="str">
        <f ca="1">IFERROR(__xludf.DUMMYFUNCTION("""COMPUTED_VALUE"""),"| 1 L NS @ | 2 L PHP-CGM @ | 3 P JAVA % | 5 P NS @ ")</f>
        <v xml:space="preserve">| 1 L NS @ | 2 L PHP-CGM @ | 3 P JAVA % | 5 P NS @ </v>
      </c>
      <c r="BN179" s="4" t="str">
        <f ca="1">IFERROR(__xludf.DUMMYFUNCTION("""COMPUTED_VALUE"""),"| 2 L JAVA % | 1 L CPT % | 3 P Python % | 5 P PHP-CGM @ ")</f>
        <v xml:space="preserve">| 2 L JAVA % | 1 L CPT % | 3 P Python % | 5 P PHP-CGM @ </v>
      </c>
      <c r="BO179" s="4" t="str">
        <f ca="1">IFERROR(__xludf.DUMMYFUNCTION("""COMPUTED_VALUE"""),"| 2 L JAVA @ | 1 L CPT @ | 3 P JAVA @ | 5 L INE @ ")</f>
        <v xml:space="preserve">| 2 L JAVA @ | 1 L CPT @ | 3 P JAVA @ | 5 L INE @ </v>
      </c>
      <c r="BP179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79" s="4"/>
      <c r="BR179" s="4"/>
      <c r="BS179" s="4"/>
      <c r="BT179" s="4" t="str">
        <f ca="1">IFERROR(__xludf.DUMMYFUNCTION("""COMPUTED_VALUE"""),"| 1 L NS % | 2 L PHP-CGM % | 3 P PRO @ ")</f>
        <v xml:space="preserve">| 1 L NS % | 2 L PHP-CGM % | 3 P PRO @ </v>
      </c>
      <c r="BU179" s="4" t="str">
        <f ca="1">IFERROR(__xludf.DUMMYFUNCTION("""COMPUTED_VALUE"""),"| 1 L CPT @ ")</f>
        <v xml:space="preserve">| 1 L CPT @ </v>
      </c>
      <c r="BV179" s="4" t="str">
        <f ca="1">IFERROR(__xludf.DUMMYFUNCTION("""COMPUTED_VALUE"""),"| 1 L NS @ | 2 L PHP-CGM @ | 3 P PRO @ | 6 L JAVA @ ")</f>
        <v xml:space="preserve">| 1 L NS @ | 2 L PHP-CGM @ | 3 P PRO @ | 6 L JAVA @ </v>
      </c>
      <c r="BW179" s="4" t="str">
        <f ca="1">IFERROR(__xludf.DUMMYFUNCTION("""COMPUTED_VALUE"""),"| 1 L CPT % | 2 L PHP-CGM % | 3 P CPT % ")</f>
        <v xml:space="preserve">| 1 L CPT % | 2 L PHP-CGM % | 3 P CPT % </v>
      </c>
      <c r="BX179" s="4" t="str">
        <f ca="1">IFERROR(__xludf.DUMMYFUNCTION("""COMPUTED_VALUE"""),"| 1 L NS % | 2 L PHP-CGM % | 3 P JAVA % | 5 P NS % ")</f>
        <v xml:space="preserve">| 1 L NS % | 2 L PHP-CGM % | 3 P JAVA % | 5 P NS % </v>
      </c>
      <c r="BY179" s="4" t="str">
        <f ca="1">IFERROR(__xludf.DUMMYFUNCTION("""COMPUTED_VALUE"""),"| 1 L CPT @ | 2 L JAVA @ | 3 P Python @ | 5 P PHP-CGM @ ")</f>
        <v xml:space="preserve">| 1 L CPT @ | 2 L JAVA @ | 3 P Python @ | 5 P PHP-CGM @ </v>
      </c>
      <c r="BZ179" s="4" t="str">
        <f ca="1">IFERROR(__xludf.DUMMYFUNCTION("""COMPUTED_VALUE"""),"| 1 L CPT @ | 2 L JAVA @ | 3 P JAVA @ | 5 L INE @ ")</f>
        <v xml:space="preserve">| 1 L CPT @ | 2 L JAVA @ | 3 P JAVA @ | 5 L INE @ </v>
      </c>
      <c r="CA179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179" s="4" t="str">
        <f ca="1">IFERROR(__xludf.DUMMYFUNCTION("""COMPUTED_VALUE"""),"| 2 L PHP-CGM % | 3 P CPT % | 6 P Python @ | 1 L CPT % ")</f>
        <v xml:space="preserve">| 2 L PHP-CGM % | 3 P CPT % | 6 P Python @ | 1 L CPT % </v>
      </c>
      <c r="CC179" s="4" t="str">
        <f ca="1">IFERROR(__xludf.DUMMYFUNCTION("""COMPUTED_VALUE"""),"| 1 L NS % | 2 L PHP-CGM % | 3 P JAVA @ | 5 P NS @ ")</f>
        <v xml:space="preserve">| 1 L NS % | 2 L PHP-CGM % | 3 P JAVA @ | 5 P NS @ </v>
      </c>
      <c r="CD179" s="4" t="str">
        <f ca="1">IFERROR(__xludf.DUMMYFUNCTION("""COMPUTED_VALUE"""),"| 1 L CPT % | 2 L JAVA @ | 3 P Python @ | 5 P PHP-CGM @ ")</f>
        <v xml:space="preserve">| 1 L CPT % | 2 L JAVA @ | 3 P Python @ | 5 P PHP-CGM @ </v>
      </c>
      <c r="CE179" s="4" t="str">
        <f ca="1">IFERROR(__xludf.DUMMYFUNCTION("""COMPUTED_VALUE"""),"| 1 L CPT % | 2 L JAVA % | 3 P JAVA % | 5 L INE % ")</f>
        <v xml:space="preserve">| 1 L CPT % | 2 L JAVA % | 3 P JAVA % | 5 L INE % </v>
      </c>
      <c r="CF179" s="4" t="str">
        <f ca="1">IFERROR(__xludf.DUMMYFUNCTION("""COMPUTED_VALUE"""),"| 1 L NS @ | 2 L PHP-CGM @ | 5 L NS @ | 6 L JAVA @ ")</f>
        <v xml:space="preserve">| 1 L NS @ | 2 L PHP-CGM @ | 5 L NS @ | 6 L JAVA @ </v>
      </c>
      <c r="CG179" s="4" t="str">
        <f ca="1">IFERROR(__xludf.DUMMYFUNCTION("""COMPUTED_VALUE"""),"| 1 L CPT % | 2 L PHP-CGM % | 6 P Python % | 3 P CPT % ")</f>
        <v xml:space="preserve">| 1 L CPT % | 2 L PHP-CGM % | 6 P Python % | 3 P CPT % </v>
      </c>
      <c r="CH179" s="4" t="str">
        <f ca="1">IFERROR(__xludf.DUMMYFUNCTION("""COMPUTED_VALUE"""),"| 1 L NS @ | 2 L PHP-CGM @ | 3 P JAVA % | 5 P NS % ")</f>
        <v xml:space="preserve">| 1 L NS @ | 2 L PHP-CGM @ | 3 P JAVA % | 5 P NS % </v>
      </c>
      <c r="CI179" s="4" t="str">
        <f ca="1">IFERROR(__xludf.DUMMYFUNCTION("""COMPUTED_VALUE"""),"| 1 L CPT % | 2 L JAVA % | 5 P PHP-CGM % ")</f>
        <v xml:space="preserve">| 1 L CPT % | 2 L JAVA % | 5 P PHP-CGM % </v>
      </c>
      <c r="CJ179" s="4" t="str">
        <f ca="1">IFERROR(__xludf.DUMMYFUNCTION("""COMPUTED_VALUE"""),"| 1 L CPT @ ")</f>
        <v xml:space="preserve">| 1 L CPT @ </v>
      </c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</row>
    <row r="180" spans="1:102" ht="12.5" x14ac:dyDescent="0.25">
      <c r="A180" s="3">
        <f ca="1">IFERROR(__xludf.DUMMYFUNCTION("""COMPUTED_VALUE"""),1)</f>
        <v>1</v>
      </c>
      <c r="B180" s="3" t="str">
        <f ca="1">IFERROR(__xludf.DUMMYFUNCTION("""COMPUTED_VALUE"""),"C")</f>
        <v>C</v>
      </c>
      <c r="C180" s="32" t="str">
        <f ca="1">IFERROR(__xludf.DUMMYFUNCTION("""COMPUTED_VALUE"""),"23171341038")</f>
        <v>23171341038</v>
      </c>
      <c r="D180" s="4" t="str">
        <f ca="1">IFERROR(__xludf.DUMMYFUNCTION("""COMPUTED_VALUE"""),"JOSHI HEET MAHESHKUMAR")</f>
        <v>JOSHI HEET MAHESHKUMAR</v>
      </c>
      <c r="E180" s="3" t="str">
        <f ca="1">IFERROR(__xludf.DUMMYFUNCTION("""COMPUTED_VALUE"""),"PKN/PAP-Mor")</f>
        <v>PKN/PAP-Mor</v>
      </c>
      <c r="F180" s="3">
        <f ca="1">IFERROR(__xludf.DUMMYFUNCTION("""COMPUTED_VALUE"""),9824821585)</f>
        <v>9824821585</v>
      </c>
      <c r="G180" s="3">
        <f ca="1">IFERROR(__xludf.DUMMYFUNCTION("""COMPUTED_VALUE"""),9824351535)</f>
        <v>9824351535</v>
      </c>
      <c r="H180" s="33">
        <f ca="1">IFERROR(__xludf.DUMMYFUNCTION("""COMPUTED_VALUE"""),0.640816326530612)</f>
        <v>0.64081632653061205</v>
      </c>
      <c r="I180" s="25">
        <f ca="1">IFERROR(__xludf.DUMMYFUNCTION("""COMPUTED_VALUE"""),0.657894736842105)</f>
        <v>0.65789473684210498</v>
      </c>
      <c r="J180" s="25">
        <f ca="1">IFERROR(__xludf.DUMMYFUNCTION("""COMPUTED_VALUE"""),1)</f>
        <v>1</v>
      </c>
      <c r="K180" s="25">
        <f ca="1">IFERROR(__xludf.DUMMYFUNCTION("""COMPUTED_VALUE"""),0.583333333333333)</f>
        <v>0.58333333333333304</v>
      </c>
      <c r="L180" s="25">
        <f ca="1">IFERROR(__xludf.DUMMYFUNCTION("""COMPUTED_VALUE"""),0.636363636363636)</f>
        <v>0.63636363636363602</v>
      </c>
      <c r="M180" s="25">
        <f ca="1">IFERROR(__xludf.DUMMYFUNCTION("""COMPUTED_VALUE"""),0.722222222222222)</f>
        <v>0.72222222222222199</v>
      </c>
      <c r="N180" s="25">
        <f ca="1">IFERROR(__xludf.DUMMYFUNCTION("""COMPUTED_VALUE"""),0.461538461538461)</f>
        <v>0.46153846153846101</v>
      </c>
      <c r="O180" s="25">
        <f ca="1">IFERROR(__xludf.DUMMYFUNCTION("""COMPUTED_VALUE"""),0.571428571428571)</f>
        <v>0.57142857142857095</v>
      </c>
      <c r="P180" s="25">
        <f ca="1">IFERROR(__xludf.DUMMYFUNCTION("""COMPUTED_VALUE"""),0.727272727272727)</f>
        <v>0.72727272727272696</v>
      </c>
      <c r="Q180" s="25">
        <f ca="1">IFERROR(__xludf.DUMMYFUNCTION("""COMPUTED_VALUE"""),0)</f>
        <v>0</v>
      </c>
      <c r="R180" s="25">
        <f ca="1">IFERROR(__xludf.DUMMYFUNCTION("""COMPUTED_VALUE"""),0.636363636363636)</f>
        <v>0.63636363636363602</v>
      </c>
      <c r="S180" s="25">
        <f ca="1">IFERROR(__xludf.DUMMYFUNCTION("""COMPUTED_VALUE"""),0)</f>
        <v>0</v>
      </c>
      <c r="T180" s="25">
        <f ca="1">IFERROR(__xludf.DUMMYFUNCTION("""COMPUTED_VALUE"""),0.583333333333333)</f>
        <v>0.58333333333333304</v>
      </c>
      <c r="U180" s="25">
        <f ca="1">IFERROR(__xludf.DUMMYFUNCTION("""COMPUTED_VALUE"""),0.375)</f>
        <v>0.375</v>
      </c>
      <c r="V180" s="25">
        <f ca="1">IFERROR(__xludf.DUMMYFUNCTION("""COMPUTED_VALUE"""),0)</f>
        <v>0</v>
      </c>
      <c r="W180" s="4"/>
      <c r="X18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80" s="4" t="str">
        <f ca="1">IFERROR(__xludf.DUMMYFUNCTION("""COMPUTED_VALUE"""),"| 1 L CPT % | 5 L PHP-CGM % | 1 P CPT % | 6 P Python % ")</f>
        <v xml:space="preserve">| 1 L CPT % | 5 L PHP-CGM % | 1 P CPT % | 6 P Python % </v>
      </c>
      <c r="Z180" s="4" t="str">
        <f ca="1">IFERROR(__xludf.DUMMYFUNCTION("""COMPUTED_VALUE"""),"| 1 L CPT % | 2 L PHP-CGM % | 3 P JAVA % | 5 P NS % ")</f>
        <v xml:space="preserve">| 1 L CPT % | 2 L PHP-CGM % | 3 P JAVA % | 5 P NS % </v>
      </c>
      <c r="AA180" s="4" t="str">
        <f ca="1">IFERROR(__xludf.DUMMYFUNCTION("""COMPUTED_VALUE"""),"| 1 L NS % | 2 L JAVA % | 3 P Python % | 5 P PHP-CGM % ")</f>
        <v xml:space="preserve">| 1 L NS % | 2 L JAVA % | 3 P Python % | 5 P PHP-CGM % </v>
      </c>
      <c r="AB180" s="4" t="str">
        <f ca="1">IFERROR(__xludf.DUMMYFUNCTION("""COMPUTED_VALUE"""),"| 1 L CPT % | 2 L JAVA % | 3 P JAVA % ")</f>
        <v xml:space="preserve">| 1 L CPT % | 2 L JAVA % | 3 P JAVA % </v>
      </c>
      <c r="AC18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80" s="4" t="str">
        <f ca="1">IFERROR(__xludf.DUMMYFUNCTION("""COMPUTED_VALUE"""),"| 1 L CPT % | 2 L PHP-CGM % | 3 P CPT % | 6 P Python % ")</f>
        <v xml:space="preserve">| 1 L CPT % | 2 L PHP-CGM % | 3 P CPT % | 6 P Python % </v>
      </c>
      <c r="AE180" s="4" t="str">
        <f ca="1">IFERROR(__xludf.DUMMYFUNCTION("""COMPUTED_VALUE"""),"| 1 L CPT @ | 3 P JAVA % | 5 P NS % | 2 L PHP-CGM @ ")</f>
        <v xml:space="preserve">| 1 L CPT @ | 3 P JAVA % | 5 P NS % | 2 L PHP-CGM @ </v>
      </c>
      <c r="AF180" s="4" t="str">
        <f ca="1">IFERROR(__xludf.DUMMYFUNCTION("""COMPUTED_VALUE"""),"| 1 L NS @ | 2 L CPT @ | 3 P Python @ | 5 P PHP-CGM @ ")</f>
        <v xml:space="preserve">| 1 L NS @ | 2 L CPT @ | 3 P Python @ | 5 P PHP-CGM @ </v>
      </c>
      <c r="AG180" s="4" t="str">
        <f ca="1">IFERROR(__xludf.DUMMYFUNCTION("""COMPUTED_VALUE"""),"| 1 L CPT % | 2 L JAVA % | 3 P JAVA @ ")</f>
        <v xml:space="preserve">| 1 L CPT % | 2 L JAVA % | 3 P JAVA @ </v>
      </c>
      <c r="AH180" s="4" t="str">
        <f ca="1">IFERROR(__xludf.DUMMYFUNCTION("""COMPUTED_VALUE"""),"| 2 L JAVA % | 1 L NS % | 3 P Python % | 5 P PHP-CGM % ")</f>
        <v xml:space="preserve">| 2 L JAVA % | 1 L NS % | 3 P Python % | 5 P PHP-CGM % </v>
      </c>
      <c r="AI180" s="4" t="str">
        <f ca="1">IFERROR(__xludf.DUMMYFUNCTION("""COMPUTED_VALUE"""),"| 1 L CPT % | 2 L JAVA % | 3 P JAVA % ")</f>
        <v xml:space="preserve">| 1 L CPT % | 2 L JAVA % | 3 P JAVA % </v>
      </c>
      <c r="AJ18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80" s="4" t="str">
        <f ca="1">IFERROR(__xludf.DUMMYFUNCTION("""COMPUTED_VALUE"""),"| 1 L CPT % | 3 P CPT % | 2 L PHP-CGM % | 6 P Python % ")</f>
        <v xml:space="preserve">| 1 L CPT % | 3 P CPT % | 2 L PHP-CGM % | 6 P Python % </v>
      </c>
      <c r="AL180" s="4" t="str">
        <f ca="1">IFERROR(__xludf.DUMMYFUNCTION("""COMPUTED_VALUE"""),"| 1 L CPT % | 2 L PHP-CGM % | 3 P JAVA % | 5 P NS @ ")</f>
        <v xml:space="preserve">| 1 L CPT % | 2 L PHP-CGM % | 3 P JAVA % | 5 P NS @ </v>
      </c>
      <c r="AM180" s="4" t="str">
        <f ca="1">IFERROR(__xludf.DUMMYFUNCTION("""COMPUTED_VALUE"""),"| 2 L JAVA % | 3 P Python % | 5 P PHP-CGM % | 1 L NS % ")</f>
        <v xml:space="preserve">| 2 L JAVA % | 3 P Python % | 5 P PHP-CGM % | 1 L NS % </v>
      </c>
      <c r="AN180" s="4" t="str">
        <f ca="1">IFERROR(__xludf.DUMMYFUNCTION("""COMPUTED_VALUE"""),"| 1 L CPT @ | 2 L JAVA @ | 3 P JAVA @ | 5 L INE @ ")</f>
        <v xml:space="preserve">| 1 L CPT @ | 2 L JAVA @ | 3 P JAVA @ | 5 L INE @ </v>
      </c>
      <c r="AO180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80" s="4" t="str">
        <f ca="1">IFERROR(__xludf.DUMMYFUNCTION("""COMPUTED_VALUE"""),"| 1 L CPT % | 2 L PHP-CGM % | 3 P CPT % | 6 P Python @ ")</f>
        <v xml:space="preserve">| 1 L CPT % | 2 L PHP-CGM % | 3 P CPT % | 6 P Python @ </v>
      </c>
      <c r="AQ180" s="4" t="str">
        <f ca="1">IFERROR(__xludf.DUMMYFUNCTION("""COMPUTED_VALUE"""),"| 2 L PHP-CGM % | 3 P JAVA % | 1 L NS % | 5 P NS % ")</f>
        <v xml:space="preserve">| 2 L PHP-CGM % | 3 P JAVA % | 1 L NS % | 5 P NS % </v>
      </c>
      <c r="AR180" s="4" t="str">
        <f ca="1">IFERROR(__xludf.DUMMYFUNCTION("""COMPUTED_VALUE"""),"| 1 L CPT @ | 2 L JAVA @ | 3 P Python @ | 5 P PHP-CGM @ ")</f>
        <v xml:space="preserve">| 1 L CPT @ | 2 L JAVA @ | 3 P Python @ | 5 P PHP-CGM @ </v>
      </c>
      <c r="AS18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80" s="4" t="str">
        <f ca="1">IFERROR(__xludf.DUMMYFUNCTION("""COMPUTED_VALUE"""),"| 1 L CPT % | 2 L PHP-CGM % | 3 P CPT % | 6 P Python % ")</f>
        <v xml:space="preserve">| 1 L CPT % | 2 L PHP-CGM % | 3 P CPT % | 6 P Python % </v>
      </c>
      <c r="AU180" s="4" t="str">
        <f ca="1">IFERROR(__xludf.DUMMYFUNCTION("""COMPUTED_VALUE"""),"| 1 L NS % | 2 L PHP-CGM % | 3 P JAVA % | 5 P NS @ ")</f>
        <v xml:space="preserve">| 1 L NS % | 2 L PHP-CGM % | 3 P JAVA % | 5 P NS @ </v>
      </c>
      <c r="AV180" s="4" t="str">
        <f ca="1">IFERROR(__xludf.DUMMYFUNCTION("""COMPUTED_VALUE"""),"| 1 L CPT % | 2 L JAVA % | 3 P Python % | 5 P PHP-CGM % ")</f>
        <v xml:space="preserve">| 1 L CPT % | 2 L JAVA % | 3 P Python % | 5 P PHP-CGM % </v>
      </c>
      <c r="AW180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80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80" s="4" t="str">
        <f ca="1">IFERROR(__xludf.DUMMYFUNCTION("""COMPUTED_VALUE"""),"| 1 L CPT % | 2 L PHP-CGM % | 3 P CPT % | 6 P Python @ ")</f>
        <v xml:space="preserve">| 1 L CPT % | 2 L PHP-CGM % | 3 P CPT % | 6 P Python @ </v>
      </c>
      <c r="AZ180" s="4" t="str">
        <f ca="1">IFERROR(__xludf.DUMMYFUNCTION("""COMPUTED_VALUE"""),"| 1 L CPT @ | 2 L JAVA @ | 3 P Python @ | 5 P PHP-CGM @ ")</f>
        <v xml:space="preserve">| 1 L CPT @ | 2 L JAVA @ | 3 P Python @ | 5 P PHP-CGM @ </v>
      </c>
      <c r="BA180" s="4" t="str">
        <f ca="1">IFERROR(__xludf.DUMMYFUNCTION("""COMPUTED_VALUE"""),"| 1 L CPT % | 2 L JAVA % | 3 P JAVA % | 5 L INE @ ")</f>
        <v xml:space="preserve">| 1 L CPT % | 2 L JAVA % | 3 P JAVA % | 5 L INE @ </v>
      </c>
      <c r="BB18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C180" s="4" t="str">
        <f ca="1">IFERROR(__xludf.DUMMYFUNCTION("""COMPUTED_VALUE"""),"| 1 L CPT % | 2 L PHP-CGM % | 3 P CPT % | 6 P Python % ")</f>
        <v xml:space="preserve">| 1 L CPT % | 2 L PHP-CGM % | 3 P CPT % | 6 P Python % </v>
      </c>
      <c r="BD180" s="4" t="str">
        <f ca="1">IFERROR(__xludf.DUMMYFUNCTION("""COMPUTED_VALUE"""),"| 1 L NS % | 2 L PHP-CGM % | 3 P JAVA % | 5 P NS % ")</f>
        <v xml:space="preserve">| 1 L NS % | 2 L PHP-CGM % | 3 P JAVA % | 5 P NS % </v>
      </c>
      <c r="BE180" s="4" t="str">
        <f ca="1">IFERROR(__xludf.DUMMYFUNCTION("""COMPUTED_VALUE"""),"| 1 L CPT @ | 2 L JAVA @ | 3 P Python @ | 5 P PHP-CGM @ ")</f>
        <v xml:space="preserve">| 1 L CPT @ | 2 L JAVA @ | 3 P Python @ | 5 P PHP-CGM @ </v>
      </c>
      <c r="BF180" s="4" t="str">
        <f ca="1">IFERROR(__xludf.DUMMYFUNCTION("""COMPUTED_VALUE"""),"| 1 L CPT % | 2 L JAVA % | 3 P JAVA % ")</f>
        <v xml:space="preserve">| 1 L CPT % | 2 L JAVA % | 3 P JAVA % </v>
      </c>
      <c r="BG180" s="4" t="str">
        <f ca="1">IFERROR(__xludf.DUMMYFUNCTION("""COMPUTED_VALUE"""),"| 2 L PHP-CGM % | 3 P CPT % | 1 L CPT % | 6 P Python % ")</f>
        <v xml:space="preserve">| 2 L PHP-CGM % | 3 P CPT % | 1 L CPT % | 6 P Python % </v>
      </c>
      <c r="BH180" s="4" t="str">
        <f ca="1">IFERROR(__xludf.DUMMYFUNCTION("""COMPUTED_VALUE"""),"| 1 L NS % | 2 L PHP-CGM % | 3 P JAVA % | 5 P NS % ")</f>
        <v xml:space="preserve">| 1 L NS % | 2 L PHP-CGM % | 3 P JAVA % | 5 P NS % </v>
      </c>
      <c r="BI180" s="4" t="str">
        <f ca="1">IFERROR(__xludf.DUMMYFUNCTION("""COMPUTED_VALUE"""),"| 1 L CPT % | 2 L JAVA % | 3 P Python % | 5 P PHP-CGM @ ")</f>
        <v xml:space="preserve">| 1 L CPT % | 2 L JAVA % | 3 P Python % | 5 P PHP-CGM @ </v>
      </c>
      <c r="BJ180" s="4" t="str">
        <f ca="1">IFERROR(__xludf.DUMMYFUNCTION("""COMPUTED_VALUE"""),"| 1 L CPT @ | 2 L JAVA @ | 3 P JAVA @ | 5 L INE @ ")</f>
        <v xml:space="preserve">| 1 L CPT @ | 2 L JAVA @ | 3 P JAVA @ | 5 L INE @ </v>
      </c>
      <c r="BK18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80" s="4" t="str">
        <f ca="1">IFERROR(__xludf.DUMMYFUNCTION("""COMPUTED_VALUE"""),"| 1 L CPT % | 2 L PHP-CGM % | 3 P CPT % ")</f>
        <v xml:space="preserve">| 1 L CPT % | 2 L PHP-CGM % | 3 P CPT % </v>
      </c>
      <c r="BM180" s="4" t="str">
        <f ca="1">IFERROR(__xludf.DUMMYFUNCTION("""COMPUTED_VALUE"""),"| 1 L NS @ | 2 L PHP-CGM @ | 3 P JAVA @ | 5 P NS @ ")</f>
        <v xml:space="preserve">| 1 L NS @ | 2 L PHP-CGM @ | 3 P JAVA @ | 5 P NS @ </v>
      </c>
      <c r="BN180" s="4" t="str">
        <f ca="1">IFERROR(__xludf.DUMMYFUNCTION("""COMPUTED_VALUE"""),"| 2 L JAVA % | 1 L CPT % | 3 P Python % | 5 P PHP-CGM % ")</f>
        <v xml:space="preserve">| 2 L JAVA % | 1 L CPT % | 3 P Python % | 5 P PHP-CGM % </v>
      </c>
      <c r="BO180" s="4" t="str">
        <f ca="1">IFERROR(__xludf.DUMMYFUNCTION("""COMPUTED_VALUE"""),"| 2 L JAVA @ | 1 L CPT @ | 3 P JAVA % | 5 L INE @ ")</f>
        <v xml:space="preserve">| 2 L JAVA @ | 1 L CPT @ | 3 P JAVA % | 5 L INE @ </v>
      </c>
      <c r="BP18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80" s="4"/>
      <c r="BR180" s="4"/>
      <c r="BS180" s="4"/>
      <c r="BT180" s="4" t="str">
        <f ca="1">IFERROR(__xludf.DUMMYFUNCTION("""COMPUTED_VALUE"""),"| 1 L NS % | 2 L PHP-CGM % | 3 P PRO % ")</f>
        <v xml:space="preserve">| 1 L NS % | 2 L PHP-CGM % | 3 P PRO % </v>
      </c>
      <c r="BU180" s="4" t="str">
        <f ca="1">IFERROR(__xludf.DUMMYFUNCTION("""COMPUTED_VALUE"""),"| 1 L CPT @ ")</f>
        <v xml:space="preserve">| 1 L CPT @ </v>
      </c>
      <c r="BV180" s="4" t="str">
        <f ca="1">IFERROR(__xludf.DUMMYFUNCTION("""COMPUTED_VALUE"""),"| 1 L NS @ | 2 L PHP-CGM @ | 3 P PRO @ | 6 L JAVA @ ")</f>
        <v xml:space="preserve">| 1 L NS @ | 2 L PHP-CGM @ | 3 P PRO @ | 6 L JAVA @ </v>
      </c>
      <c r="BW180" s="4" t="str">
        <f ca="1">IFERROR(__xludf.DUMMYFUNCTION("""COMPUTED_VALUE"""),"| 1 L CPT % | 2 L PHP-CGM % | 3 P CPT % ")</f>
        <v xml:space="preserve">| 1 L CPT % | 2 L PHP-CGM % | 3 P CPT % </v>
      </c>
      <c r="BX180" s="4" t="str">
        <f ca="1">IFERROR(__xludf.DUMMYFUNCTION("""COMPUTED_VALUE"""),"| 1 L NS @ | 2 L PHP-CGM @ | 3 P JAVA @ | 5 P NS @ ")</f>
        <v xml:space="preserve">| 1 L NS @ | 2 L PHP-CGM @ | 3 P JAVA @ | 5 P NS @ </v>
      </c>
      <c r="BY180" s="4" t="str">
        <f ca="1">IFERROR(__xludf.DUMMYFUNCTION("""COMPUTED_VALUE"""),"| 1 L CPT @ | 2 L JAVA @ | 3 P Python @ | 5 P PHP-CGM @ ")</f>
        <v xml:space="preserve">| 1 L CPT @ | 2 L JAVA @ | 3 P Python @ | 5 P PHP-CGM @ </v>
      </c>
      <c r="BZ180" s="4" t="str">
        <f ca="1">IFERROR(__xludf.DUMMYFUNCTION("""COMPUTED_VALUE"""),"| 1 L CPT @ | 2 L JAVA @ | 3 P JAVA @ | 5 L INE @ ")</f>
        <v xml:space="preserve">| 1 L CPT @ | 2 L JAVA @ | 3 P JAVA @ | 5 L INE @ </v>
      </c>
      <c r="CA18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80" s="4" t="str">
        <f ca="1">IFERROR(__xludf.DUMMYFUNCTION("""COMPUTED_VALUE"""),"| 2 L PHP-CGM % | 3 P CPT % | 6 P Python % | 1 L CPT % ")</f>
        <v xml:space="preserve">| 2 L PHP-CGM % | 3 P CPT % | 6 P Python % | 1 L CPT % </v>
      </c>
      <c r="CC180" s="4" t="str">
        <f ca="1">IFERROR(__xludf.DUMMYFUNCTION("""COMPUTED_VALUE"""),"| 1 L NS % | 2 L PHP-CGM % | 3 P JAVA % | 5 P NS % ")</f>
        <v xml:space="preserve">| 1 L NS % | 2 L PHP-CGM % | 3 P JAVA % | 5 P NS % </v>
      </c>
      <c r="CD180" s="4" t="str">
        <f ca="1">IFERROR(__xludf.DUMMYFUNCTION("""COMPUTED_VALUE"""),"| 1 L CPT @ | 2 L JAVA @ | 3 P Python @ | 5 P PHP-CGM @ ")</f>
        <v xml:space="preserve">| 1 L CPT @ | 2 L JAVA @ | 3 P Python @ | 5 P PHP-CGM @ </v>
      </c>
      <c r="CE180" s="4" t="str">
        <f ca="1">IFERROR(__xludf.DUMMYFUNCTION("""COMPUTED_VALUE"""),"| 1 L CPT % | 2 L JAVA % | 3 P JAVA % | 5 L INE % ")</f>
        <v xml:space="preserve">| 1 L CPT % | 2 L JAVA % | 3 P JAVA % | 5 L INE % </v>
      </c>
      <c r="CF180" s="4" t="str">
        <f ca="1">IFERROR(__xludf.DUMMYFUNCTION("""COMPUTED_VALUE"""),"| 1 L NS @ | 2 L PHP-CGM @ | 5 L NS @ | 6 L JAVA @ ")</f>
        <v xml:space="preserve">| 1 L NS @ | 2 L PHP-CGM @ | 5 L NS @ | 6 L JAVA @ </v>
      </c>
      <c r="CG180" s="4" t="str">
        <f ca="1">IFERROR(__xludf.DUMMYFUNCTION("""COMPUTED_VALUE"""),"| 1 L CPT % | 2 L PHP-CGM % | 6 P Python % | 3 P CPT % ")</f>
        <v xml:space="preserve">| 1 L CPT % | 2 L PHP-CGM % | 6 P Python % | 3 P CPT % </v>
      </c>
      <c r="CH180" s="4" t="str">
        <f ca="1">IFERROR(__xludf.DUMMYFUNCTION("""COMPUTED_VALUE"""),"| 1 L NS @ | 2 L PHP-CGM @ | 3 P JAVA % | 5 P NS % ")</f>
        <v xml:space="preserve">| 1 L NS @ | 2 L PHP-CGM @ | 3 P JAVA % | 5 P NS % </v>
      </c>
      <c r="CI180" s="4" t="str">
        <f ca="1">IFERROR(__xludf.DUMMYFUNCTION("""COMPUTED_VALUE"""),"| 1 L CPT % | 2 L JAVA % | 5 P PHP-CGM % ")</f>
        <v xml:space="preserve">| 1 L CPT % | 2 L JAVA % | 5 P PHP-CGM % </v>
      </c>
      <c r="CJ180" s="4" t="str">
        <f ca="1">IFERROR(__xludf.DUMMYFUNCTION("""COMPUTED_VALUE"""),"| 1 L CPT @ ")</f>
        <v xml:space="preserve">| 1 L CPT @ </v>
      </c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</row>
    <row r="181" spans="1:102" ht="12.5" x14ac:dyDescent="0.25">
      <c r="A181" s="3">
        <f ca="1">IFERROR(__xludf.DUMMYFUNCTION("""COMPUTED_VALUE"""),1)</f>
        <v>1</v>
      </c>
      <c r="B181" s="3" t="str">
        <f ca="1">IFERROR(__xludf.DUMMYFUNCTION("""COMPUTED_VALUE"""),"C")</f>
        <v>C</v>
      </c>
      <c r="C181" s="32" t="str">
        <f ca="1">IFERROR(__xludf.DUMMYFUNCTION("""COMPUTED_VALUE"""),"23171341044")</f>
        <v>23171341044</v>
      </c>
      <c r="D181" s="4" t="str">
        <f ca="1">IFERROR(__xludf.DUMMYFUNCTION("""COMPUTED_VALUE"""),"KRITIKA AGARWAL")</f>
        <v>KRITIKA AGARWAL</v>
      </c>
      <c r="E181" s="3" t="str">
        <f ca="1">IFERROR(__xludf.DUMMYFUNCTION("""COMPUTED_VALUE"""),"PKN/PAP-Mor")</f>
        <v>PKN/PAP-Mor</v>
      </c>
      <c r="F181" s="3">
        <f ca="1">IFERROR(__xludf.DUMMYFUNCTION("""COMPUTED_VALUE"""),9521194061)</f>
        <v>9521194061</v>
      </c>
      <c r="G181" s="3">
        <f ca="1">IFERROR(__xludf.DUMMYFUNCTION("""COMPUTED_VALUE"""),9772180741)</f>
        <v>9772180741</v>
      </c>
      <c r="H181" s="33">
        <f ca="1">IFERROR(__xludf.DUMMYFUNCTION("""COMPUTED_VALUE"""),0.66938775510204)</f>
        <v>0.66938775510203996</v>
      </c>
      <c r="I181" s="25">
        <f ca="1">IFERROR(__xludf.DUMMYFUNCTION("""COMPUTED_VALUE"""),0.611111111111111)</f>
        <v>0.61111111111111105</v>
      </c>
      <c r="J181" s="25">
        <f ca="1">IFERROR(__xludf.DUMMYFUNCTION("""COMPUTED_VALUE"""),0.833333333333333)</f>
        <v>0.83333333333333304</v>
      </c>
      <c r="K181" s="25">
        <f ca="1">IFERROR(__xludf.DUMMYFUNCTION("""COMPUTED_VALUE"""),0.666666666666666)</f>
        <v>0.66666666666666596</v>
      </c>
      <c r="L181" s="25">
        <f ca="1">IFERROR(__xludf.DUMMYFUNCTION("""COMPUTED_VALUE"""),0.818181818181818)</f>
        <v>0.81818181818181801</v>
      </c>
      <c r="M181" s="25">
        <f ca="1">IFERROR(__xludf.DUMMYFUNCTION("""COMPUTED_VALUE"""),0.638888888888888)</f>
        <v>0.63888888888888795</v>
      </c>
      <c r="N181" s="25">
        <f ca="1">IFERROR(__xludf.DUMMYFUNCTION("""COMPUTED_VALUE"""),0.583333333333333)</f>
        <v>0.58333333333333304</v>
      </c>
      <c r="O181" s="25">
        <f ca="1">IFERROR(__xludf.DUMMYFUNCTION("""COMPUTED_VALUE"""),0.657142857142857)</f>
        <v>0.65714285714285703</v>
      </c>
      <c r="P181" s="25">
        <f ca="1">IFERROR(__xludf.DUMMYFUNCTION("""COMPUTED_VALUE"""),0.695652173913043)</f>
        <v>0.69565217391304301</v>
      </c>
      <c r="Q181" s="25">
        <f ca="1">IFERROR(__xludf.DUMMYFUNCTION("""COMPUTED_VALUE"""),0)</f>
        <v>0</v>
      </c>
      <c r="R181" s="25">
        <f ca="1">IFERROR(__xludf.DUMMYFUNCTION("""COMPUTED_VALUE"""),0.714285714285714)</f>
        <v>0.71428571428571397</v>
      </c>
      <c r="S181" s="25">
        <f ca="1">IFERROR(__xludf.DUMMYFUNCTION("""COMPUTED_VALUE"""),1)</f>
        <v>1</v>
      </c>
      <c r="T181" s="25">
        <f ca="1">IFERROR(__xludf.DUMMYFUNCTION("""COMPUTED_VALUE"""),0.666666666666666)</f>
        <v>0.66666666666666596</v>
      </c>
      <c r="U181" s="25">
        <f ca="1">IFERROR(__xludf.DUMMYFUNCTION("""COMPUTED_VALUE"""),0.444444444444444)</f>
        <v>0.44444444444444398</v>
      </c>
      <c r="V181" s="25">
        <f ca="1">IFERROR(__xludf.DUMMYFUNCTION("""COMPUTED_VALUE"""),0)</f>
        <v>0</v>
      </c>
      <c r="W181" s="4"/>
      <c r="X181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Y181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181" s="4" t="str">
        <f ca="1">IFERROR(__xludf.DUMMYFUNCTION("""COMPUTED_VALUE"""),"| 5 L NS % | 6 L JAVA % | 7 L PRO % | 8 L PRO % | 9 P CPT % ")</f>
        <v xml:space="preserve">| 5 L NS % | 6 L JAVA % | 7 L PRO % | 8 L PRO % | 9 P CPT % </v>
      </c>
      <c r="AA181" s="4" t="str">
        <f ca="1">IFERROR(__xludf.DUMMYFUNCTION("""COMPUTED_VALUE"""),"| 7 P JAVA % | 9 P Python % ")</f>
        <v xml:space="preserve">| 7 P JAVA % | 9 P Python % </v>
      </c>
      <c r="AB181" s="4" t="str">
        <f ca="1">IFERROR(__xludf.DUMMYFUNCTION("""COMPUTED_VALUE"""),"| 5 L JAVA % | 6 L PHP-CGM % | 7 P NS % | 9 P Python % ")</f>
        <v xml:space="preserve">| 5 L JAVA % | 6 L PHP-CGM % | 7 P NS % | 9 P Python % </v>
      </c>
      <c r="AC181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181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181" s="4" t="str">
        <f ca="1">IFERROR(__xludf.DUMMYFUNCTION("""COMPUTED_VALUE"""),"| 5 L JAVA @ | 6 L NS @ | 7 L PRO % | 9 P CPT % ")</f>
        <v xml:space="preserve">| 5 L JAVA @ | 6 L NS @ | 7 L PRO % | 9 P CPT % </v>
      </c>
      <c r="AF181" s="4" t="str">
        <f ca="1">IFERROR(__xludf.DUMMYFUNCTION("""COMPUTED_VALUE"""),"| 7 P JAVA % ")</f>
        <v xml:space="preserve">| 7 P JAVA % </v>
      </c>
      <c r="AG181" s="4" t="str">
        <f ca="1">IFERROR(__xludf.DUMMYFUNCTION("""COMPUTED_VALUE"""),"| 5 L CPT % | 6 L PHP-CGM % | 7 P NS % | 9 P Python % ")</f>
        <v xml:space="preserve">| 5 L CPT % | 6 L PHP-CGM % | 7 P NS % | 9 P Python % </v>
      </c>
      <c r="AH181" s="4" t="str">
        <f ca="1">IFERROR(__xludf.DUMMYFUNCTION("""COMPUTED_VALUE"""),"| 7 P JAVA % | 9 P Python % ")</f>
        <v xml:space="preserve">| 7 P JAVA % | 9 P Python % </v>
      </c>
      <c r="AI181" s="4" t="str">
        <f ca="1">IFERROR(__xludf.DUMMYFUNCTION("""COMPUTED_VALUE"""),"| 5 L CPT @ | 6 L PHP-CGM @ | 7 P NS % | 9 P Python % ")</f>
        <v xml:space="preserve">| 5 L CPT @ | 6 L PHP-CGM @ | 7 P NS % | 9 P Python % </v>
      </c>
      <c r="AJ181" s="4" t="str">
        <f ca="1">IFERROR(__xludf.DUMMYFUNCTION("""COMPUTED_VALUE"""),"| 5 L JAVA @ | 6 L NS @ | 7 L PHP-CGM @ | 9 P JAVA @ | 8 L CPT @ ")</f>
        <v xml:space="preserve">| 5 L JAVA @ | 6 L NS @ | 7 L PHP-CGM @ | 9 P JAVA @ | 8 L CPT @ </v>
      </c>
      <c r="AK181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181" s="4" t="str">
        <f ca="1">IFERROR(__xludf.DUMMYFUNCTION("""COMPUTED_VALUE"""),"| 6 L NS % | 7 L NS % | 7 L PRO % | 8 L PRO % | 9 P CPT % ")</f>
        <v xml:space="preserve">| 6 L NS % | 7 L NS % | 7 L PRO % | 8 L PRO % | 9 P CPT % </v>
      </c>
      <c r="AM181" s="4" t="str">
        <f ca="1">IFERROR(__xludf.DUMMYFUNCTION("""COMPUTED_VALUE"""),"| 5 L INE % | 7 P JAVA % | 9 P Python % ")</f>
        <v xml:space="preserve">| 5 L INE % | 7 P JAVA % | 9 P Python % </v>
      </c>
      <c r="AN181" s="4" t="str">
        <f ca="1">IFERROR(__xludf.DUMMYFUNCTION("""COMPUTED_VALUE"""),"| 1 L CPT @ | 2 L JAVA @ | 3 P JAVA @ | 5 L INE @ ")</f>
        <v xml:space="preserve">| 1 L CPT @ | 2 L JAVA @ | 3 P JAVA @ | 5 L INE @ </v>
      </c>
      <c r="AO181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81" s="4" t="str">
        <f ca="1">IFERROR(__xludf.DUMMYFUNCTION("""COMPUTED_VALUE"""),"| 1 L CPT % | 2 L PHP-CGM % | 3 P CPT % | 6 P Python % ")</f>
        <v xml:space="preserve">| 1 L CPT % | 2 L PHP-CGM % | 3 P CPT % | 6 P Python % </v>
      </c>
      <c r="AQ181" s="4" t="str">
        <f ca="1">IFERROR(__xludf.DUMMYFUNCTION("""COMPUTED_VALUE"""),"| 2 L PHP-CGM % | 3 P JAVA % | 1 L NS % | 5 P NS % ")</f>
        <v xml:space="preserve">| 2 L PHP-CGM % | 3 P JAVA % | 1 L NS % | 5 P NS % </v>
      </c>
      <c r="AR181" s="4" t="str">
        <f ca="1">IFERROR(__xludf.DUMMYFUNCTION("""COMPUTED_VALUE"""),"| 1 L CPT @ | 2 L JAVA % | 3 P Python % | 5 P PHP-CGM @ ")</f>
        <v xml:space="preserve">| 1 L CPT @ | 2 L JAVA % | 3 P Python % | 5 P PHP-CGM @ </v>
      </c>
      <c r="AS181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81" s="4" t="str">
        <f ca="1">IFERROR(__xludf.DUMMYFUNCTION("""COMPUTED_VALUE"""),"| 1 L CPT % | 2 L PHP-CGM % | 3 P CPT % | 6 P Python @ ")</f>
        <v xml:space="preserve">| 1 L CPT % | 2 L PHP-CGM % | 3 P CPT % | 6 P Python @ </v>
      </c>
      <c r="AU181" s="4" t="str">
        <f ca="1">IFERROR(__xludf.DUMMYFUNCTION("""COMPUTED_VALUE"""),"| 1 L NS % | 2 L PHP-CGM % | 3 P JAVA % | 5 P NS % ")</f>
        <v xml:space="preserve">| 1 L NS % | 2 L PHP-CGM % | 3 P JAVA % | 5 P NS % </v>
      </c>
      <c r="AV181" s="4" t="str">
        <f ca="1">IFERROR(__xludf.DUMMYFUNCTION("""COMPUTED_VALUE"""),"| 1 L CPT % | 2 L JAVA % | 3 P Python % | 5 P PHP-CGM % ")</f>
        <v xml:space="preserve">| 1 L CPT % | 2 L JAVA % | 3 P Python % | 5 P PHP-CGM % </v>
      </c>
      <c r="AW181" s="4" t="str">
        <f ca="1">IFERROR(__xludf.DUMMYFUNCTION("""COMPUTED_VALUE"""),"| 1 L CPT % | 2 L JAVA % | 3 P JAVA % | 5 L INE @ | 6 L INE @ ")</f>
        <v xml:space="preserve">| 1 L CPT % | 2 L JAVA % | 3 P JAVA % | 5 L INE @ | 6 L INE @ </v>
      </c>
      <c r="AX181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81" s="4" t="str">
        <f ca="1">IFERROR(__xludf.DUMMYFUNCTION("""COMPUTED_VALUE"""),"| 1 L CPT % | 2 L PHP-CGM % | 3 P CPT @ | 6 P Python % ")</f>
        <v xml:space="preserve">| 1 L CPT % | 2 L PHP-CGM % | 3 P CPT @ | 6 P Python % </v>
      </c>
      <c r="AZ181" s="4" t="str">
        <f ca="1">IFERROR(__xludf.DUMMYFUNCTION("""COMPUTED_VALUE"""),"| 1 L CPT % | 2 L JAVA % | 3 P Python % | 5 P PHP-CGM % ")</f>
        <v xml:space="preserve">| 1 L CPT % | 2 L JAVA % | 3 P Python % | 5 P PHP-CGM % </v>
      </c>
      <c r="BA181" s="4" t="str">
        <f ca="1">IFERROR(__xludf.DUMMYFUNCTION("""COMPUTED_VALUE"""),"| 1 L CPT % | 2 L JAVA @ | 3 P JAVA @ | 5 L INE @ ")</f>
        <v xml:space="preserve">| 1 L CPT % | 2 L JAVA @ | 3 P JAVA @ | 5 L INE @ </v>
      </c>
      <c r="BB181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1" s="4" t="str">
        <f ca="1">IFERROR(__xludf.DUMMYFUNCTION("""COMPUTED_VALUE"""),"| 1 L CPT % | 2 L PHP-CGM % | 3 P CPT % | 6 P Python % ")</f>
        <v xml:space="preserve">| 1 L CPT % | 2 L PHP-CGM % | 3 P CPT % | 6 P Python % </v>
      </c>
      <c r="BD181" s="4" t="str">
        <f ca="1">IFERROR(__xludf.DUMMYFUNCTION("""COMPUTED_VALUE"""),"| 1 L NS @ | 2 L PHP-CGM @ | 3 P JAVA % | 5 P NS % ")</f>
        <v xml:space="preserve">| 1 L NS @ | 2 L PHP-CGM @ | 3 P JAVA % | 5 P NS % </v>
      </c>
      <c r="BE181" s="4" t="str">
        <f ca="1">IFERROR(__xludf.DUMMYFUNCTION("""COMPUTED_VALUE"""),"| 1 L CPT @ | 2 L JAVA @ | 3 P Python @ | 5 P PHP-CGM @ ")</f>
        <v xml:space="preserve">| 1 L CPT @ | 2 L JAVA @ | 3 P Python @ | 5 P PHP-CGM @ </v>
      </c>
      <c r="BF181" s="4" t="str">
        <f ca="1">IFERROR(__xludf.DUMMYFUNCTION("""COMPUTED_VALUE"""),"| 1 L CPT % | 2 L JAVA % | 3 P JAVA % ")</f>
        <v xml:space="preserve">| 1 L CPT % | 2 L JAVA % | 3 P JAVA % </v>
      </c>
      <c r="BG181" s="4" t="str">
        <f ca="1">IFERROR(__xludf.DUMMYFUNCTION("""COMPUTED_VALUE"""),"| 2 L PHP-CGM @ | 3 P CPT % | 1 L CPT @ | 6 P Python % ")</f>
        <v xml:space="preserve">| 2 L PHP-CGM @ | 3 P CPT % | 1 L CPT @ | 6 P Python % </v>
      </c>
      <c r="BH181" s="4" t="str">
        <f ca="1">IFERROR(__xludf.DUMMYFUNCTION("""COMPUTED_VALUE"""),"| 1 L NS % | 2 L PHP-CGM % | 3 P JAVA % | 5 P NS % ")</f>
        <v xml:space="preserve">| 1 L NS % | 2 L PHP-CGM % | 3 P JAVA % | 5 P NS % </v>
      </c>
      <c r="BI181" s="4" t="str">
        <f ca="1">IFERROR(__xludf.DUMMYFUNCTION("""COMPUTED_VALUE"""),"| 1 L CPT % | 2 L JAVA % | 3 P Python @ | 5 P PHP-CGM % ")</f>
        <v xml:space="preserve">| 1 L CPT % | 2 L JAVA % | 3 P Python @ | 5 P PHP-CGM % </v>
      </c>
      <c r="BJ181" s="4" t="str">
        <f ca="1">IFERROR(__xludf.DUMMYFUNCTION("""COMPUTED_VALUE"""),"| 1 L CPT % | 2 L JAVA % | 3 P JAVA % | 5 L INE % ")</f>
        <v xml:space="preserve">| 1 L CPT % | 2 L JAVA % | 3 P JAVA % | 5 L INE % </v>
      </c>
      <c r="BK181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81" s="4" t="str">
        <f ca="1">IFERROR(__xludf.DUMMYFUNCTION("""COMPUTED_VALUE"""),"| 1 L CPT @ | 2 L PHP-CGM @ | 3 P CPT @ ")</f>
        <v xml:space="preserve">| 1 L CPT @ | 2 L PHP-CGM @ | 3 P CPT @ </v>
      </c>
      <c r="BM181" s="4" t="str">
        <f ca="1">IFERROR(__xludf.DUMMYFUNCTION("""COMPUTED_VALUE"""),"| 1 L NS @ | 2 L PHP-CGM @ | 3 P JAVA @ | 5 P NS @ ")</f>
        <v xml:space="preserve">| 1 L NS @ | 2 L PHP-CGM @ | 3 P JAVA @ | 5 P NS @ </v>
      </c>
      <c r="BN181" s="4" t="str">
        <f ca="1">IFERROR(__xludf.DUMMYFUNCTION("""COMPUTED_VALUE"""),"| 2 L JAVA @ | 1 L CPT @ | 3 P Python @ | 5 P PHP-CGM @ ")</f>
        <v xml:space="preserve">| 2 L JAVA @ | 1 L CPT @ | 3 P Python @ | 5 P PHP-CGM @ </v>
      </c>
      <c r="BO181" s="4" t="str">
        <f ca="1">IFERROR(__xludf.DUMMYFUNCTION("""COMPUTED_VALUE"""),"| 2 L JAVA @ | 1 L CPT @ | 3 P JAVA @ | 5 L INE @ ")</f>
        <v xml:space="preserve">| 2 L JAVA @ | 1 L CPT @ | 3 P JAVA @ | 5 L INE @ </v>
      </c>
      <c r="BP181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81" s="4"/>
      <c r="BR181" s="4"/>
      <c r="BS181" s="4"/>
      <c r="BT181" s="4" t="str">
        <f ca="1">IFERROR(__xludf.DUMMYFUNCTION("""COMPUTED_VALUE"""),"| 1 L NS @ | 2 L PHP-CGM @ | 3 P PRO @ ")</f>
        <v xml:space="preserve">| 1 L NS @ | 2 L PHP-CGM @ | 3 P PRO @ </v>
      </c>
      <c r="BU181" s="4" t="str">
        <f ca="1">IFERROR(__xludf.DUMMYFUNCTION("""COMPUTED_VALUE"""),"| 1 L CPT @ ")</f>
        <v xml:space="preserve">| 1 L CPT @ </v>
      </c>
      <c r="BV181" s="4" t="str">
        <f ca="1">IFERROR(__xludf.DUMMYFUNCTION("""COMPUTED_VALUE"""),"| 1 L NS % | 2 L PHP-CGM % | 3 P PRO % | 6 L JAVA % ")</f>
        <v xml:space="preserve">| 1 L NS % | 2 L PHP-CGM % | 3 P PRO % | 6 L JAVA % </v>
      </c>
      <c r="BW181" s="4" t="str">
        <f ca="1">IFERROR(__xludf.DUMMYFUNCTION("""COMPUTED_VALUE"""),"| 1 L CPT % | 2 L PHP-CGM % | 3 P CPT % ")</f>
        <v xml:space="preserve">| 1 L CPT % | 2 L PHP-CGM % | 3 P CPT % </v>
      </c>
      <c r="BX181" s="4" t="str">
        <f ca="1">IFERROR(__xludf.DUMMYFUNCTION("""COMPUTED_VALUE"""),"| 1 L NS % | 2 L PHP-CGM % | 3 P JAVA % | 5 P NS % ")</f>
        <v xml:space="preserve">| 1 L NS % | 2 L PHP-CGM % | 3 P JAVA % | 5 P NS % </v>
      </c>
      <c r="BY181" s="4" t="str">
        <f ca="1">IFERROR(__xludf.DUMMYFUNCTION("""COMPUTED_VALUE"""),"| 1 L CPT % | 2 L JAVA % | 3 P Python @ | 5 P PHP-CGM @ ")</f>
        <v xml:space="preserve">| 1 L CPT % | 2 L JAVA % | 3 P Python @ | 5 P PHP-CGM @ </v>
      </c>
      <c r="BZ181" s="4" t="str">
        <f ca="1">IFERROR(__xludf.DUMMYFUNCTION("""COMPUTED_VALUE"""),"| 1 L CPT % | 2 L JAVA % | 3 P JAVA % | 5 L INE % ")</f>
        <v xml:space="preserve">| 1 L CPT % | 2 L JAVA % | 3 P JAVA % | 5 L INE % </v>
      </c>
      <c r="CA181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181" s="4" t="str">
        <f ca="1">IFERROR(__xludf.DUMMYFUNCTION("""COMPUTED_VALUE"""),"| 2 L PHP-CGM % | 3 P CPT % | 6 P Python @ | 1 L CPT % ")</f>
        <v xml:space="preserve">| 2 L PHP-CGM % | 3 P CPT % | 6 P Python @ | 1 L CPT % </v>
      </c>
      <c r="CC181" s="4" t="str">
        <f ca="1">IFERROR(__xludf.DUMMYFUNCTION("""COMPUTED_VALUE"""),"| 1 L NS @ | 2 L PHP-CGM @ | 3 P JAVA % | 5 P NS @ ")</f>
        <v xml:space="preserve">| 1 L NS @ | 2 L PHP-CGM @ | 3 P JAVA % | 5 P NS @ </v>
      </c>
      <c r="CD181" s="4" t="str">
        <f ca="1">IFERROR(__xludf.DUMMYFUNCTION("""COMPUTED_VALUE"""),"| 1 L CPT @ | 2 L JAVA @ | 3 P Python % | 5 P PHP-CGM @ ")</f>
        <v xml:space="preserve">| 1 L CPT @ | 2 L JAVA @ | 3 P Python % | 5 P PHP-CGM @ </v>
      </c>
      <c r="CE181" s="4" t="str">
        <f ca="1">IFERROR(__xludf.DUMMYFUNCTION("""COMPUTED_VALUE"""),"| 1 L CPT @ | 2 L JAVA @ | 3 P JAVA @ | 5 L INE % ")</f>
        <v xml:space="preserve">| 1 L CPT @ | 2 L JAVA @ | 3 P JAVA @ | 5 L INE % </v>
      </c>
      <c r="CF181" s="4" t="str">
        <f ca="1">IFERROR(__xludf.DUMMYFUNCTION("""COMPUTED_VALUE"""),"| 1 L NS @ | 2 L PHP-CGM @ | 5 L NS % | 6 L JAVA % ")</f>
        <v xml:space="preserve">| 1 L NS @ | 2 L PHP-CGM @ | 5 L NS % | 6 L JAVA % </v>
      </c>
      <c r="CG181" s="4" t="str">
        <f ca="1">IFERROR(__xludf.DUMMYFUNCTION("""COMPUTED_VALUE"""),"| 1 L CPT % | 2 L PHP-CGM @ | 6 P Python % | 3 P CPT % ")</f>
        <v xml:space="preserve">| 1 L CPT % | 2 L PHP-CGM @ | 6 P Python % | 3 P CPT % </v>
      </c>
      <c r="CH181" s="4" t="str">
        <f ca="1">IFERROR(__xludf.DUMMYFUNCTION("""COMPUTED_VALUE"""),"| 1 L NS @ | 2 L PHP-CGM @ | 3 P JAVA % | 5 P NS % ")</f>
        <v xml:space="preserve">| 1 L NS @ | 2 L PHP-CGM @ | 3 P JAVA % | 5 P NS % </v>
      </c>
      <c r="CI181" s="4" t="str">
        <f ca="1">IFERROR(__xludf.DUMMYFUNCTION("""COMPUTED_VALUE"""),"| 1 L CPT @ | 2 L JAVA @ | 5 P PHP-CGM % ")</f>
        <v xml:space="preserve">| 1 L CPT @ | 2 L JAVA @ | 5 P PHP-CGM % </v>
      </c>
      <c r="CJ181" s="4" t="str">
        <f ca="1">IFERROR(__xludf.DUMMYFUNCTION("""COMPUTED_VALUE"""),"| 1 L CPT @ ")</f>
        <v xml:space="preserve">| 1 L CPT @ </v>
      </c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</row>
    <row r="182" spans="1:102" ht="12.5" x14ac:dyDescent="0.25">
      <c r="A182" s="3">
        <f ca="1">IFERROR(__xludf.DUMMYFUNCTION("""COMPUTED_VALUE"""),1)</f>
        <v>1</v>
      </c>
      <c r="B182" s="3" t="str">
        <f ca="1">IFERROR(__xludf.DUMMYFUNCTION("""COMPUTED_VALUE"""),"C")</f>
        <v>C</v>
      </c>
      <c r="C182" s="32" t="str">
        <f ca="1">IFERROR(__xludf.DUMMYFUNCTION("""COMPUTED_VALUE"""),"23171341045")</f>
        <v>23171341045</v>
      </c>
      <c r="D182" s="4" t="str">
        <f ca="1">IFERROR(__xludf.DUMMYFUNCTION("""COMPUTED_VALUE"""),"LIMBACHIYA SHREYA SAMIRKUMAR")</f>
        <v>LIMBACHIYA SHREYA SAMIRKUMAR</v>
      </c>
      <c r="E182" s="3" t="str">
        <f ca="1">IFERROR(__xludf.DUMMYFUNCTION("""COMPUTED_VALUE"""),"PKN/PAP-Mor")</f>
        <v>PKN/PAP-Mor</v>
      </c>
      <c r="F182" s="3">
        <f ca="1">IFERROR(__xludf.DUMMYFUNCTION("""COMPUTED_VALUE"""),6356250913)</f>
        <v>6356250913</v>
      </c>
      <c r="G182" s="3">
        <f ca="1">IFERROR(__xludf.DUMMYFUNCTION("""COMPUTED_VALUE"""),7874985408)</f>
        <v>7874985408</v>
      </c>
      <c r="H182" s="33">
        <f ca="1">IFERROR(__xludf.DUMMYFUNCTION("""COMPUTED_VALUE"""),0.530612244897959)</f>
        <v>0.530612244897959</v>
      </c>
      <c r="I182" s="25">
        <f ca="1">IFERROR(__xludf.DUMMYFUNCTION("""COMPUTED_VALUE"""),0.473684210526315)</f>
        <v>0.47368421052631499</v>
      </c>
      <c r="J182" s="25">
        <f ca="1">IFERROR(__xludf.DUMMYFUNCTION("""COMPUTED_VALUE"""),0.75)</f>
        <v>0.75</v>
      </c>
      <c r="K182" s="25">
        <f ca="1">IFERROR(__xludf.DUMMYFUNCTION("""COMPUTED_VALUE"""),0.444444444444444)</f>
        <v>0.44444444444444398</v>
      </c>
      <c r="L182" s="25">
        <f ca="1">IFERROR(__xludf.DUMMYFUNCTION("""COMPUTED_VALUE"""),0.727272727272727)</f>
        <v>0.72727272727272696</v>
      </c>
      <c r="M182" s="25">
        <f ca="1">IFERROR(__xludf.DUMMYFUNCTION("""COMPUTED_VALUE"""),0.638888888888888)</f>
        <v>0.63888888888888795</v>
      </c>
      <c r="N182" s="25">
        <f ca="1">IFERROR(__xludf.DUMMYFUNCTION("""COMPUTED_VALUE"""),0.461538461538461)</f>
        <v>0.46153846153846101</v>
      </c>
      <c r="O182" s="25">
        <f ca="1">IFERROR(__xludf.DUMMYFUNCTION("""COMPUTED_VALUE"""),0.342857142857142)</f>
        <v>0.34285714285714203</v>
      </c>
      <c r="P182" s="25">
        <f ca="1">IFERROR(__xludf.DUMMYFUNCTION("""COMPUTED_VALUE"""),0.5)</f>
        <v>0.5</v>
      </c>
      <c r="Q182" s="25">
        <f ca="1">IFERROR(__xludf.DUMMYFUNCTION("""COMPUTED_VALUE"""),0)</f>
        <v>0</v>
      </c>
      <c r="R182" s="25">
        <f ca="1">IFERROR(__xludf.DUMMYFUNCTION("""COMPUTED_VALUE"""),0.863636363636363)</f>
        <v>0.86363636363636298</v>
      </c>
      <c r="S182" s="25">
        <f ca="1">IFERROR(__xludf.DUMMYFUNCTION("""COMPUTED_VALUE"""),0)</f>
        <v>0</v>
      </c>
      <c r="T182" s="25">
        <f ca="1">IFERROR(__xludf.DUMMYFUNCTION("""COMPUTED_VALUE"""),0.416666666666666)</f>
        <v>0.41666666666666602</v>
      </c>
      <c r="U182" s="25">
        <f ca="1">IFERROR(__xludf.DUMMYFUNCTION("""COMPUTED_VALUE"""),0.375)</f>
        <v>0.375</v>
      </c>
      <c r="V182" s="25">
        <f ca="1">IFERROR(__xludf.DUMMYFUNCTION("""COMPUTED_VALUE"""),0)</f>
        <v>0</v>
      </c>
      <c r="W182" s="4"/>
      <c r="X182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82" s="4" t="str">
        <f ca="1">IFERROR(__xludf.DUMMYFUNCTION("""COMPUTED_VALUE"""),"| 1 L CPT % | 5 L PHP-CGM % | 1 P CPT % | 6 P Python % ")</f>
        <v xml:space="preserve">| 1 L CPT % | 5 L PHP-CGM % | 1 P CPT % | 6 P Python % </v>
      </c>
      <c r="Z182" s="4" t="str">
        <f ca="1">IFERROR(__xludf.DUMMYFUNCTION("""COMPUTED_VALUE"""),"| 1 L CPT % | 2 L PHP-CGM % | 3 P JAVA % | 5 P NS % ")</f>
        <v xml:space="preserve">| 1 L CPT % | 2 L PHP-CGM % | 3 P JAVA % | 5 P NS % </v>
      </c>
      <c r="AA182" s="4" t="str">
        <f ca="1">IFERROR(__xludf.DUMMYFUNCTION("""COMPUTED_VALUE"""),"| 1 L NS % | 2 L JAVA % | 3 P Python % | 5 P PHP-CGM % ")</f>
        <v xml:space="preserve">| 1 L NS % | 2 L JAVA % | 3 P Python % | 5 P PHP-CGM % </v>
      </c>
      <c r="AB182" s="4" t="str">
        <f ca="1">IFERROR(__xludf.DUMMYFUNCTION("""COMPUTED_VALUE"""),"| 1 L CPT @ | 2 L JAVA @ | 3 P JAVA @ ")</f>
        <v xml:space="preserve">| 1 L CPT @ | 2 L JAVA @ | 3 P JAVA @ </v>
      </c>
      <c r="AC182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82" s="4" t="str">
        <f ca="1">IFERROR(__xludf.DUMMYFUNCTION("""COMPUTED_VALUE"""),"| 1 L CPT % | 2 L PHP-CGM % | 3 P CPT % | 6 P Python % ")</f>
        <v xml:space="preserve">| 1 L CPT % | 2 L PHP-CGM % | 3 P CPT % | 6 P Python % </v>
      </c>
      <c r="AE182" s="4" t="str">
        <f ca="1">IFERROR(__xludf.DUMMYFUNCTION("""COMPUTED_VALUE"""),"| 1 L CPT % | 3 P JAVA % | 5 P NS % | 2 L PHP-CGM % ")</f>
        <v xml:space="preserve">| 1 L CPT % | 3 P JAVA % | 5 P NS % | 2 L PHP-CGM % </v>
      </c>
      <c r="AF182" s="4" t="str">
        <f ca="1">IFERROR(__xludf.DUMMYFUNCTION("""COMPUTED_VALUE"""),"| 1 L NS % | 2 L CPT % | 3 P Python % | 5 P PHP-CGM @ ")</f>
        <v xml:space="preserve">| 1 L NS % | 2 L CPT % | 3 P Python % | 5 P PHP-CGM @ </v>
      </c>
      <c r="AG182" s="4" t="str">
        <f ca="1">IFERROR(__xludf.DUMMYFUNCTION("""COMPUTED_VALUE"""),"| 1 L CPT % | 2 L JAVA % | 3 P JAVA % ")</f>
        <v xml:space="preserve">| 1 L CPT % | 2 L JAVA % | 3 P JAVA % </v>
      </c>
      <c r="AH182" s="4" t="str">
        <f ca="1">IFERROR(__xludf.DUMMYFUNCTION("""COMPUTED_VALUE"""),"| 2 L JAVA % | 1 L NS % | 3 P Python % | 5 P PHP-CGM @ ")</f>
        <v xml:space="preserve">| 2 L JAVA % | 1 L NS % | 3 P Python % | 5 P PHP-CGM @ </v>
      </c>
      <c r="AI182" s="4" t="str">
        <f ca="1">IFERROR(__xludf.DUMMYFUNCTION("""COMPUTED_VALUE"""),"| 1 L CPT @ | 2 L JAVA @ | 3 P JAVA @ ")</f>
        <v xml:space="preserve">| 1 L CPT @ | 2 L JAVA @ | 3 P JAVA @ </v>
      </c>
      <c r="AJ182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K182" s="4" t="str">
        <f ca="1">IFERROR(__xludf.DUMMYFUNCTION("""COMPUTED_VALUE"""),"| 1 L CPT % | 3 P CPT % | 2 L PHP-CGM % | 6 P Python % ")</f>
        <v xml:space="preserve">| 1 L CPT % | 3 P CPT % | 2 L PHP-CGM % | 6 P Python % </v>
      </c>
      <c r="AL182" s="4" t="str">
        <f ca="1">IFERROR(__xludf.DUMMYFUNCTION("""COMPUTED_VALUE"""),"| 1 L CPT % | 2 L PHP-CGM % | 3 P JAVA @ | 5 P NS % ")</f>
        <v xml:space="preserve">| 1 L CPT % | 2 L PHP-CGM % | 3 P JAVA @ | 5 P NS % </v>
      </c>
      <c r="AM182" s="4" t="str">
        <f ca="1">IFERROR(__xludf.DUMMYFUNCTION("""COMPUTED_VALUE"""),"| 2 L JAVA % | 3 P Python % | 5 P PHP-CGM @ | 1 L NS % ")</f>
        <v xml:space="preserve">| 2 L JAVA % | 3 P Python % | 5 P PHP-CGM @ | 1 L NS % </v>
      </c>
      <c r="AN182" s="4" t="str">
        <f ca="1">IFERROR(__xludf.DUMMYFUNCTION("""COMPUTED_VALUE"""),"| 1 L CPT % | 2 L JAVA % | 3 P JAVA % | 5 L INE @ ")</f>
        <v xml:space="preserve">| 1 L CPT % | 2 L JAVA % | 3 P JAVA % | 5 L INE @ </v>
      </c>
      <c r="AO182" s="4" t="str">
        <f ca="1">IFERROR(__xludf.DUMMYFUNCTION("""COMPUTED_VALUE"""),"| 1 L NS @ | 2 L PHP-CGM % | 3 P PRO @ | 5 L NS @ | 5 L JAVA @ ")</f>
        <v xml:space="preserve">| 1 L NS @ | 2 L PHP-CGM % | 3 P PRO @ | 5 L NS @ | 5 L JAVA @ </v>
      </c>
      <c r="AP182" s="4" t="str">
        <f ca="1">IFERROR(__xludf.DUMMYFUNCTION("""COMPUTED_VALUE"""),"| 1 L CPT % | 2 L PHP-CGM % | 3 P CPT % | 6 P Python % ")</f>
        <v xml:space="preserve">| 1 L CPT % | 2 L PHP-CGM % | 3 P CPT % | 6 P Python % </v>
      </c>
      <c r="AQ182" s="4" t="str">
        <f ca="1">IFERROR(__xludf.DUMMYFUNCTION("""COMPUTED_VALUE"""),"| 2 L PHP-CGM % | 3 P JAVA % | 1 L NS % | 5 P NS % ")</f>
        <v xml:space="preserve">| 2 L PHP-CGM % | 3 P JAVA % | 1 L NS % | 5 P NS % </v>
      </c>
      <c r="AR182" s="4" t="str">
        <f ca="1">IFERROR(__xludf.DUMMYFUNCTION("""COMPUTED_VALUE"""),"| 1 L CPT % | 2 L JAVA % | 3 P Python % | 5 P PHP-CGM % ")</f>
        <v xml:space="preserve">| 1 L CPT % | 2 L JAVA % | 3 P Python % | 5 P PHP-CGM % </v>
      </c>
      <c r="AS18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AT182" s="4" t="str">
        <f ca="1">IFERROR(__xludf.DUMMYFUNCTION("""COMPUTED_VALUE"""),"| 1 L CPT % | 2 L PHP-CGM % | 3 P CPT % | 6 P Python % ")</f>
        <v xml:space="preserve">| 1 L CPT % | 2 L PHP-CGM % | 3 P CPT % | 6 P Python % </v>
      </c>
      <c r="AU182" s="4" t="str">
        <f ca="1">IFERROR(__xludf.DUMMYFUNCTION("""COMPUTED_VALUE"""),"| 1 L NS % | 2 L PHP-CGM % | 3 P JAVA % | 5 P NS % ")</f>
        <v xml:space="preserve">| 1 L NS % | 2 L PHP-CGM % | 3 P JAVA % | 5 P NS % </v>
      </c>
      <c r="AV182" s="4" t="str">
        <f ca="1">IFERROR(__xludf.DUMMYFUNCTION("""COMPUTED_VALUE"""),"| 1 L CPT % | 2 L JAVA % | 3 P Python % | 5 P PHP-CGM % ")</f>
        <v xml:space="preserve">| 1 L CPT % | 2 L JAVA % | 3 P Python % | 5 P PHP-CGM % </v>
      </c>
      <c r="AW182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82" s="4" t="str">
        <f ca="1">IFERROR(__xludf.DUMMYFUNCTION("""COMPUTED_VALUE"""),"| 1 L NS % | 2 L PHP-CGM % | 3 P PRO % | 5 L NS % | 5 L JAVA @ ")</f>
        <v xml:space="preserve">| 1 L NS % | 2 L PHP-CGM % | 3 P PRO % | 5 L NS % | 5 L JAVA @ </v>
      </c>
      <c r="AY182" s="4" t="str">
        <f ca="1">IFERROR(__xludf.DUMMYFUNCTION("""COMPUTED_VALUE"""),"| 1 L CPT % | 2 L PHP-CGM % | 3 P CPT @ | 6 P Python @ ")</f>
        <v xml:space="preserve">| 1 L CPT % | 2 L PHP-CGM % | 3 P CPT @ | 6 P Python @ </v>
      </c>
      <c r="AZ182" s="4" t="str">
        <f ca="1">IFERROR(__xludf.DUMMYFUNCTION("""COMPUTED_VALUE"""),"| 1 L CPT % | 2 L JAVA % | 3 P Python % | 5 P PHP-CGM @ ")</f>
        <v xml:space="preserve">| 1 L CPT % | 2 L JAVA % | 3 P Python % | 5 P PHP-CGM @ </v>
      </c>
      <c r="BA182" s="4" t="str">
        <f ca="1">IFERROR(__xludf.DUMMYFUNCTION("""COMPUTED_VALUE"""),"| 1 L CPT @ | 2 L JAVA @ | 3 P JAVA @ | 5 L INE @ ")</f>
        <v xml:space="preserve">| 1 L CPT @ | 2 L JAVA @ | 3 P JAVA @ | 5 L INE @ </v>
      </c>
      <c r="BB18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2" s="4" t="str">
        <f ca="1">IFERROR(__xludf.DUMMYFUNCTION("""COMPUTED_VALUE"""),"| 1 L CPT % | 2 L PHP-CGM % | 3 P CPT % | 6 P Python % ")</f>
        <v xml:space="preserve">| 1 L CPT % | 2 L PHP-CGM % | 3 P CPT % | 6 P Python % </v>
      </c>
      <c r="BD182" s="4" t="str">
        <f ca="1">IFERROR(__xludf.DUMMYFUNCTION("""COMPUTED_VALUE"""),"| 1 L NS % | 2 L PHP-CGM % | 3 P JAVA % | 5 P NS % ")</f>
        <v xml:space="preserve">| 1 L NS % | 2 L PHP-CGM % | 3 P JAVA % | 5 P NS % </v>
      </c>
      <c r="BE182" s="4" t="str">
        <f ca="1">IFERROR(__xludf.DUMMYFUNCTION("""COMPUTED_VALUE"""),"| 1 L CPT @ | 2 L JAVA @ | 3 P Python % | 5 P PHP-CGM @ ")</f>
        <v xml:space="preserve">| 1 L CPT @ | 2 L JAVA @ | 3 P Python % | 5 P PHP-CGM @ </v>
      </c>
      <c r="BF182" s="4" t="str">
        <f ca="1">IFERROR(__xludf.DUMMYFUNCTION("""COMPUTED_VALUE"""),"| 1 L CPT @ | 2 L JAVA @ | 3 P JAVA @ ")</f>
        <v xml:space="preserve">| 1 L CPT @ | 2 L JAVA @ | 3 P JAVA @ </v>
      </c>
      <c r="BG182" s="4" t="str">
        <f ca="1">IFERROR(__xludf.DUMMYFUNCTION("""COMPUTED_VALUE"""),"| 2 L PHP-CGM % | 3 P CPT @ | 1 L CPT @ | 6 P Python % ")</f>
        <v xml:space="preserve">| 2 L PHP-CGM % | 3 P CPT @ | 1 L CPT @ | 6 P Python % </v>
      </c>
      <c r="BH182" s="4" t="str">
        <f ca="1">IFERROR(__xludf.DUMMYFUNCTION("""COMPUTED_VALUE"""),"| 1 L NS @ | 2 L PHP-CGM % | 3 P JAVA @ | 5 P NS @ ")</f>
        <v xml:space="preserve">| 1 L NS @ | 2 L PHP-CGM % | 3 P JAVA @ | 5 P NS @ </v>
      </c>
      <c r="BI182" s="4" t="str">
        <f ca="1">IFERROR(__xludf.DUMMYFUNCTION("""COMPUTED_VALUE"""),"| 1 L CPT @ | 2 L JAVA @ | 3 P Python % | 5 P PHP-CGM % ")</f>
        <v xml:space="preserve">| 1 L CPT @ | 2 L JAVA @ | 3 P Python % | 5 P PHP-CGM % </v>
      </c>
      <c r="BJ182" s="4" t="str">
        <f ca="1">IFERROR(__xludf.DUMMYFUNCTION("""COMPUTED_VALUE"""),"| 1 L CPT @ | 2 L JAVA @ | 3 P JAVA @ | 5 L INE @ ")</f>
        <v xml:space="preserve">| 1 L CPT @ | 2 L JAVA @ | 3 P JAVA @ | 5 L INE @ </v>
      </c>
      <c r="BK182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L182" s="4" t="str">
        <f ca="1">IFERROR(__xludf.DUMMYFUNCTION("""COMPUTED_VALUE"""),"| 1 L CPT @ | 2 L PHP-CGM @ | 3 P CPT @ ")</f>
        <v xml:space="preserve">| 1 L CPT @ | 2 L PHP-CGM @ | 3 P CPT @ </v>
      </c>
      <c r="BM182" s="4" t="str">
        <f ca="1">IFERROR(__xludf.DUMMYFUNCTION("""COMPUTED_VALUE"""),"| 1 L NS @ | 2 L PHP-CGM @ | 3 P JAVA @ | 5 P NS @ ")</f>
        <v xml:space="preserve">| 1 L NS @ | 2 L PHP-CGM @ | 3 P JAVA @ | 5 P NS @ </v>
      </c>
      <c r="BN182" s="4" t="str">
        <f ca="1">IFERROR(__xludf.DUMMYFUNCTION("""COMPUTED_VALUE"""),"| 2 L JAVA @ | 1 L CPT @ | 3 P Python @ | 5 P PHP-CGM @ ")</f>
        <v xml:space="preserve">| 2 L JAVA @ | 1 L CPT @ | 3 P Python @ | 5 P PHP-CGM @ </v>
      </c>
      <c r="BO182" s="4" t="str">
        <f ca="1">IFERROR(__xludf.DUMMYFUNCTION("""COMPUTED_VALUE"""),"| 2 L JAVA @ | 1 L CPT @ | 3 P JAVA @ | 5 L INE @ ")</f>
        <v xml:space="preserve">| 2 L JAVA @ | 1 L CPT @ | 3 P JAVA @ | 5 L INE @ </v>
      </c>
      <c r="BP18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82" s="4"/>
      <c r="BR182" s="4"/>
      <c r="BS182" s="4"/>
      <c r="BT182" s="4" t="str">
        <f ca="1">IFERROR(__xludf.DUMMYFUNCTION("""COMPUTED_VALUE"""),"| 1 L NS % | 2 L PHP-CGM % | 3 P PRO % ")</f>
        <v xml:space="preserve">| 1 L NS % | 2 L PHP-CGM % | 3 P PRO % </v>
      </c>
      <c r="BU182" s="4" t="str">
        <f ca="1">IFERROR(__xludf.DUMMYFUNCTION("""COMPUTED_VALUE"""),"| 1 L CPT @ ")</f>
        <v xml:space="preserve">| 1 L CPT @ </v>
      </c>
      <c r="BV182" s="4" t="str">
        <f ca="1">IFERROR(__xludf.DUMMYFUNCTION("""COMPUTED_VALUE"""),"| 1 L NS @ | 2 L PHP-CGM @ | 3 P PRO @ | 6 L JAVA @ ")</f>
        <v xml:space="preserve">| 1 L NS @ | 2 L PHP-CGM @ | 3 P PRO @ | 6 L JAVA @ </v>
      </c>
      <c r="BW182" s="4" t="str">
        <f ca="1">IFERROR(__xludf.DUMMYFUNCTION("""COMPUTED_VALUE"""),"| 1 L CPT % | 2 L PHP-CGM % | 3 P CPT % ")</f>
        <v xml:space="preserve">| 1 L CPT % | 2 L PHP-CGM % | 3 P CPT % </v>
      </c>
      <c r="BX182" s="4" t="str">
        <f ca="1">IFERROR(__xludf.DUMMYFUNCTION("""COMPUTED_VALUE"""),"| 1 L NS % | 2 L PHP-CGM % | 3 P JAVA % | 5 P NS % ")</f>
        <v xml:space="preserve">| 1 L NS % | 2 L PHP-CGM % | 3 P JAVA % | 5 P NS % </v>
      </c>
      <c r="BY182" s="4" t="str">
        <f ca="1">IFERROR(__xludf.DUMMYFUNCTION("""COMPUTED_VALUE"""),"| 1 L CPT @ | 2 L JAVA @ | 3 P Python @ | 5 P PHP-CGM @ ")</f>
        <v xml:space="preserve">| 1 L CPT @ | 2 L JAVA @ | 3 P Python @ | 5 P PHP-CGM @ </v>
      </c>
      <c r="BZ182" s="4" t="str">
        <f ca="1">IFERROR(__xludf.DUMMYFUNCTION("""COMPUTED_VALUE"""),"| 1 L CPT @ | 2 L JAVA @ | 3 P JAVA @ | 5 L INE @ ")</f>
        <v xml:space="preserve">| 1 L CPT @ | 2 L JAVA @ | 3 P JAVA @ | 5 L INE @ </v>
      </c>
      <c r="CA18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82" s="4" t="str">
        <f ca="1">IFERROR(__xludf.DUMMYFUNCTION("""COMPUTED_VALUE"""),"| 2 L PHP-CGM @ | 3 P CPT % | 6 P Python % | 1 L CPT @ ")</f>
        <v xml:space="preserve">| 2 L PHP-CGM @ | 3 P CPT % | 6 P Python % | 1 L CPT @ </v>
      </c>
      <c r="CC182" s="4" t="str">
        <f ca="1">IFERROR(__xludf.DUMMYFUNCTION("""COMPUTED_VALUE"""),"| 1 L NS @ | 2 L PHP-CGM @ | 3 P JAVA @ | 5 P NS @ ")</f>
        <v xml:space="preserve">| 1 L NS @ | 2 L PHP-CGM @ | 3 P JAVA @ | 5 P NS @ </v>
      </c>
      <c r="CD182" s="4" t="str">
        <f ca="1">IFERROR(__xludf.DUMMYFUNCTION("""COMPUTED_VALUE"""),"| 1 L CPT @ | 2 L JAVA @ | 3 P Python % | 5 P PHP-CGM % ")</f>
        <v xml:space="preserve">| 1 L CPT @ | 2 L JAVA @ | 3 P Python % | 5 P PHP-CGM % </v>
      </c>
      <c r="CE182" s="4" t="str">
        <f ca="1">IFERROR(__xludf.DUMMYFUNCTION("""COMPUTED_VALUE"""),"| 1 L CPT @ | 2 L JAVA @ | 3 P JAVA % | 5 L INE % ")</f>
        <v xml:space="preserve">| 1 L CPT @ | 2 L JAVA @ | 3 P JAVA % | 5 L INE % </v>
      </c>
      <c r="CF182" s="4" t="str">
        <f ca="1">IFERROR(__xludf.DUMMYFUNCTION("""COMPUTED_VALUE"""),"| 1 L NS @ | 2 L PHP-CGM @ | 5 L NS @ | 6 L JAVA @ ")</f>
        <v xml:space="preserve">| 1 L NS @ | 2 L PHP-CGM @ | 5 L NS @ | 6 L JAVA @ </v>
      </c>
      <c r="CG182" s="4" t="str">
        <f ca="1">IFERROR(__xludf.DUMMYFUNCTION("""COMPUTED_VALUE"""),"| 1 L CPT @ | 2 L PHP-CGM @ | 6 P Python % | 3 P CPT % ")</f>
        <v xml:space="preserve">| 1 L CPT @ | 2 L PHP-CGM @ | 6 P Python % | 3 P CPT % </v>
      </c>
      <c r="CH182" s="4" t="str">
        <f ca="1">IFERROR(__xludf.DUMMYFUNCTION("""COMPUTED_VALUE"""),"| 1 L NS @ | 2 L PHP-CGM @ | 3 P JAVA % | 5 P NS % ")</f>
        <v xml:space="preserve">| 1 L NS @ | 2 L PHP-CGM @ | 3 P JAVA % | 5 P NS % </v>
      </c>
      <c r="CI182" s="4" t="str">
        <f ca="1">IFERROR(__xludf.DUMMYFUNCTION("""COMPUTED_VALUE"""),"| 1 L CPT @ | 2 L JAVA % | 5 P PHP-CGM % ")</f>
        <v xml:space="preserve">| 1 L CPT @ | 2 L JAVA % | 5 P PHP-CGM % </v>
      </c>
      <c r="CJ182" s="4" t="str">
        <f ca="1">IFERROR(__xludf.DUMMYFUNCTION("""COMPUTED_VALUE"""),"| 1 L CPT @ ")</f>
        <v xml:space="preserve">| 1 L CPT @ </v>
      </c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</row>
    <row r="183" spans="1:102" ht="12.5" x14ac:dyDescent="0.25">
      <c r="A183" s="3">
        <f ca="1">IFERROR(__xludf.DUMMYFUNCTION("""COMPUTED_VALUE"""),1)</f>
        <v>1</v>
      </c>
      <c r="B183" s="3" t="str">
        <f ca="1">IFERROR(__xludf.DUMMYFUNCTION("""COMPUTED_VALUE"""),"C")</f>
        <v>C</v>
      </c>
      <c r="C183" s="32" t="str">
        <f ca="1">IFERROR(__xludf.DUMMYFUNCTION("""COMPUTED_VALUE"""),"23171341048")</f>
        <v>23171341048</v>
      </c>
      <c r="D183" s="4" t="str">
        <f ca="1">IFERROR(__xludf.DUMMYFUNCTION("""COMPUTED_VALUE"""),"MEHTA ANAMIKA JANAKBHAI")</f>
        <v>MEHTA ANAMIKA JANAKBHAI</v>
      </c>
      <c r="E183" s="3" t="str">
        <f ca="1">IFERROR(__xludf.DUMMYFUNCTION("""COMPUTED_VALUE"""),"PKN/PAP-Mor")</f>
        <v>PKN/PAP-Mor</v>
      </c>
      <c r="F183" s="3">
        <f ca="1">IFERROR(__xludf.DUMMYFUNCTION("""COMPUTED_VALUE"""),9825977219)</f>
        <v>9825977219</v>
      </c>
      <c r="G183" s="3">
        <f ca="1">IFERROR(__xludf.DUMMYFUNCTION("""COMPUTED_VALUE"""),9825977219)</f>
        <v>9825977219</v>
      </c>
      <c r="H183" s="33">
        <f ca="1">IFERROR(__xludf.DUMMYFUNCTION("""COMPUTED_VALUE"""),0.632653061224489)</f>
        <v>0.63265306122448906</v>
      </c>
      <c r="I183" s="25">
        <f ca="1">IFERROR(__xludf.DUMMYFUNCTION("""COMPUTED_VALUE"""),0.710526315789473)</f>
        <v>0.71052631578947301</v>
      </c>
      <c r="J183" s="25">
        <f ca="1">IFERROR(__xludf.DUMMYFUNCTION("""COMPUTED_VALUE"""),0.916666666666666)</f>
        <v>0.91666666666666596</v>
      </c>
      <c r="K183" s="25">
        <f ca="1">IFERROR(__xludf.DUMMYFUNCTION("""COMPUTED_VALUE"""),0.527777777777777)</f>
        <v>0.52777777777777701</v>
      </c>
      <c r="L183" s="25">
        <f ca="1">IFERROR(__xludf.DUMMYFUNCTION("""COMPUTED_VALUE"""),0.636363636363636)</f>
        <v>0.63636363636363602</v>
      </c>
      <c r="M183" s="25">
        <f ca="1">IFERROR(__xludf.DUMMYFUNCTION("""COMPUTED_VALUE"""),0.722222222222222)</f>
        <v>0.72222222222222199</v>
      </c>
      <c r="N183" s="25">
        <f ca="1">IFERROR(__xludf.DUMMYFUNCTION("""COMPUTED_VALUE"""),0.615384615384615)</f>
        <v>0.61538461538461497</v>
      </c>
      <c r="O183" s="25">
        <f ca="1">IFERROR(__xludf.DUMMYFUNCTION("""COMPUTED_VALUE"""),0.542857142857142)</f>
        <v>0.54285714285714204</v>
      </c>
      <c r="P183" s="25">
        <f ca="1">IFERROR(__xludf.DUMMYFUNCTION("""COMPUTED_VALUE"""),0.681818181818181)</f>
        <v>0.68181818181818099</v>
      </c>
      <c r="Q183" s="25">
        <f ca="1">IFERROR(__xludf.DUMMYFUNCTION("""COMPUTED_VALUE"""),0)</f>
        <v>0</v>
      </c>
      <c r="R183" s="25">
        <f ca="1">IFERROR(__xludf.DUMMYFUNCTION("""COMPUTED_VALUE"""),0.59090909090909)</f>
        <v>0.59090909090909005</v>
      </c>
      <c r="S183" s="25">
        <f ca="1">IFERROR(__xludf.DUMMYFUNCTION("""COMPUTED_VALUE"""),0)</f>
        <v>0</v>
      </c>
      <c r="T183" s="25">
        <f ca="1">IFERROR(__xludf.DUMMYFUNCTION("""COMPUTED_VALUE"""),0.583333333333333)</f>
        <v>0.58333333333333304</v>
      </c>
      <c r="U183" s="25">
        <f ca="1">IFERROR(__xludf.DUMMYFUNCTION("""COMPUTED_VALUE"""),0.375)</f>
        <v>0.375</v>
      </c>
      <c r="V183" s="25">
        <f ca="1">IFERROR(__xludf.DUMMYFUNCTION("""COMPUTED_VALUE"""),0)</f>
        <v>0</v>
      </c>
      <c r="W183" s="4"/>
      <c r="X18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83" s="4" t="str">
        <f ca="1">IFERROR(__xludf.DUMMYFUNCTION("""COMPUTED_VALUE"""),"| 1 L CPT % | 5 L PHP-CGM % | 1 P CPT % | 6 P Python % ")</f>
        <v xml:space="preserve">| 1 L CPT % | 5 L PHP-CGM % | 1 P CPT % | 6 P Python % </v>
      </c>
      <c r="Z183" s="4" t="str">
        <f ca="1">IFERROR(__xludf.DUMMYFUNCTION("""COMPUTED_VALUE"""),"| 1 L CPT % | 2 L PHP-CGM % | 3 P JAVA % | 5 P NS % ")</f>
        <v xml:space="preserve">| 1 L CPT % | 2 L PHP-CGM % | 3 P JAVA % | 5 P NS % </v>
      </c>
      <c r="AA183" s="4" t="str">
        <f ca="1">IFERROR(__xludf.DUMMYFUNCTION("""COMPUTED_VALUE"""),"| 1 L NS % | 2 L JAVA % | 3 P Python % | 5 P PHP-CGM % ")</f>
        <v xml:space="preserve">| 1 L NS % | 2 L JAVA % | 3 P Python % | 5 P PHP-CGM % </v>
      </c>
      <c r="AB183" s="4" t="str">
        <f ca="1">IFERROR(__xludf.DUMMYFUNCTION("""COMPUTED_VALUE"""),"| 1 L CPT % | 2 L JAVA % | 3 P JAVA % ")</f>
        <v xml:space="preserve">| 1 L CPT % | 2 L JAVA % | 3 P JAVA % </v>
      </c>
      <c r="AC18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83" s="4" t="str">
        <f ca="1">IFERROR(__xludf.DUMMYFUNCTION("""COMPUTED_VALUE"""),"| 1 L CPT % | 2 L PHP-CGM % | 3 P CPT % | 6 P Python % ")</f>
        <v xml:space="preserve">| 1 L CPT % | 2 L PHP-CGM % | 3 P CPT % | 6 P Python % </v>
      </c>
      <c r="AE183" s="4" t="str">
        <f ca="1">IFERROR(__xludf.DUMMYFUNCTION("""COMPUTED_VALUE"""),"| 1 L CPT % | 3 P JAVA % | 5 P NS % | 2 L PHP-CGM % ")</f>
        <v xml:space="preserve">| 1 L CPT % | 3 P JAVA % | 5 P NS % | 2 L PHP-CGM % </v>
      </c>
      <c r="AF183" s="4" t="str">
        <f ca="1">IFERROR(__xludf.DUMMYFUNCTION("""COMPUTED_VALUE"""),"| 1 L NS % | 2 L CPT % | 3 P Python % | 5 P PHP-CGM % ")</f>
        <v xml:space="preserve">| 1 L NS % | 2 L CPT % | 3 P Python % | 5 P PHP-CGM % </v>
      </c>
      <c r="AG183" s="4" t="str">
        <f ca="1">IFERROR(__xludf.DUMMYFUNCTION("""COMPUTED_VALUE"""),"| 1 L CPT % | 2 L JAVA % | 3 P JAVA % ")</f>
        <v xml:space="preserve">| 1 L CPT % | 2 L JAVA % | 3 P JAVA % </v>
      </c>
      <c r="AH183" s="4" t="str">
        <f ca="1">IFERROR(__xludf.DUMMYFUNCTION("""COMPUTED_VALUE"""),"| 2 L JAVA @ | 1 L NS @ | 3 P Python % | 5 P PHP-CGM % ")</f>
        <v xml:space="preserve">| 2 L JAVA @ | 1 L NS @ | 3 P Python % | 5 P PHP-CGM % </v>
      </c>
      <c r="AI183" s="4" t="str">
        <f ca="1">IFERROR(__xludf.DUMMYFUNCTION("""COMPUTED_VALUE"""),"| 1 L CPT @ | 2 L JAVA @ | 3 P JAVA @ ")</f>
        <v xml:space="preserve">| 1 L CPT @ | 2 L JAVA @ | 3 P JAVA @ </v>
      </c>
      <c r="AJ18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83" s="4" t="str">
        <f ca="1">IFERROR(__xludf.DUMMYFUNCTION("""COMPUTED_VALUE"""),"| 1 L CPT % | 3 P CPT % | 2 L PHP-CGM % | 6 P Python % ")</f>
        <v xml:space="preserve">| 1 L CPT % | 3 P CPT % | 2 L PHP-CGM % | 6 P Python % </v>
      </c>
      <c r="AL183" s="4" t="str">
        <f ca="1">IFERROR(__xludf.DUMMYFUNCTION("""COMPUTED_VALUE"""),"| 1 L CPT % | 2 L PHP-CGM % | 3 P JAVA % | 5 P NS % ")</f>
        <v xml:space="preserve">| 1 L CPT % | 2 L PHP-CGM % | 3 P JAVA % | 5 P NS % </v>
      </c>
      <c r="AM183" s="4" t="str">
        <f ca="1">IFERROR(__xludf.DUMMYFUNCTION("""COMPUTED_VALUE"""),"| 2 L JAVA @ | 3 P Python @ | 5 P PHP-CGM @ | 1 L NS @ ")</f>
        <v xml:space="preserve">| 2 L JAVA @ | 3 P Python @ | 5 P PHP-CGM @ | 1 L NS @ </v>
      </c>
      <c r="AN183" s="4" t="str">
        <f ca="1">IFERROR(__xludf.DUMMYFUNCTION("""COMPUTED_VALUE"""),"| 1 L CPT @ | 2 L JAVA @ | 3 P JAVA @ | 5 L INE @ ")</f>
        <v xml:space="preserve">| 1 L CPT @ | 2 L JAVA @ | 3 P JAVA @ | 5 L INE @ </v>
      </c>
      <c r="AO183" s="4" t="str">
        <f ca="1">IFERROR(__xludf.DUMMYFUNCTION("""COMPUTED_VALUE"""),"| 1 L NS @ | 2 L PHP-CGM % | 3 P PRO @ | 5 L NS @ | 5 L JAVA @ ")</f>
        <v xml:space="preserve">| 1 L NS @ | 2 L PHP-CGM % | 3 P PRO @ | 5 L NS @ | 5 L JAVA @ </v>
      </c>
      <c r="AP183" s="4" t="str">
        <f ca="1">IFERROR(__xludf.DUMMYFUNCTION("""COMPUTED_VALUE"""),"| 1 L CPT @ | 2 L PHP-CGM % | 3 P CPT @ | 6 P Python @ ")</f>
        <v xml:space="preserve">| 1 L CPT @ | 2 L PHP-CGM % | 3 P CPT @ | 6 P Python @ </v>
      </c>
      <c r="AQ183" s="4" t="str">
        <f ca="1">IFERROR(__xludf.DUMMYFUNCTION("""COMPUTED_VALUE"""),"| 2 L PHP-CGM @ | 3 P JAVA @ | 1 L NS @ | 5 P NS @ ")</f>
        <v xml:space="preserve">| 2 L PHP-CGM @ | 3 P JAVA @ | 1 L NS @ | 5 P NS @ </v>
      </c>
      <c r="AR183" s="4" t="str">
        <f ca="1">IFERROR(__xludf.DUMMYFUNCTION("""COMPUTED_VALUE"""),"| 1 L CPT @ | 2 L JAVA @ | 3 P Python @ | 5 P PHP-CGM @ ")</f>
        <v xml:space="preserve">| 1 L CPT @ | 2 L JAVA @ | 3 P Python @ | 5 P PHP-CGM @ </v>
      </c>
      <c r="AS183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AT183" s="4" t="str">
        <f ca="1">IFERROR(__xludf.DUMMYFUNCTION("""COMPUTED_VALUE"""),"| 1 L CPT % | 2 L PHP-CGM % | 3 P CPT % | 6 P Python % ")</f>
        <v xml:space="preserve">| 1 L CPT % | 2 L PHP-CGM % | 3 P CPT % | 6 P Python % </v>
      </c>
      <c r="AU183" s="4" t="str">
        <f ca="1">IFERROR(__xludf.DUMMYFUNCTION("""COMPUTED_VALUE"""),"| 1 L NS % | 2 L PHP-CGM % | 3 P JAVA % | 5 P NS % ")</f>
        <v xml:space="preserve">| 1 L NS % | 2 L PHP-CGM % | 3 P JAVA % | 5 P NS % </v>
      </c>
      <c r="AV183" s="4" t="str">
        <f ca="1">IFERROR(__xludf.DUMMYFUNCTION("""COMPUTED_VALUE"""),"| 1 L CPT % | 2 L JAVA % | 3 P Python % | 5 P PHP-CGM % ")</f>
        <v xml:space="preserve">| 1 L CPT % | 2 L JAVA % | 3 P Python % | 5 P PHP-CGM % </v>
      </c>
      <c r="AW183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83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83" s="4" t="str">
        <f ca="1">IFERROR(__xludf.DUMMYFUNCTION("""COMPUTED_VALUE"""),"| 1 L CPT % | 2 L PHP-CGM % | 3 P CPT % | 6 P Python % ")</f>
        <v xml:space="preserve">| 1 L CPT % | 2 L PHP-CGM % | 3 P CPT % | 6 P Python % </v>
      </c>
      <c r="AZ183" s="4" t="str">
        <f ca="1">IFERROR(__xludf.DUMMYFUNCTION("""COMPUTED_VALUE"""),"| 1 L CPT % | 2 L JAVA % | 3 P Python % | 5 P PHP-CGM % ")</f>
        <v xml:space="preserve">| 1 L CPT % | 2 L JAVA % | 3 P Python % | 5 P PHP-CGM % </v>
      </c>
      <c r="BA183" s="4" t="str">
        <f ca="1">IFERROR(__xludf.DUMMYFUNCTION("""COMPUTED_VALUE"""),"| 1 L CPT % | 2 L JAVA % | 3 P JAVA % | 5 L INE @ ")</f>
        <v xml:space="preserve">| 1 L CPT % | 2 L JAVA % | 3 P JAVA % | 5 L INE @ </v>
      </c>
      <c r="BB18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3" s="4" t="str">
        <f ca="1">IFERROR(__xludf.DUMMYFUNCTION("""COMPUTED_VALUE"""),"| 1 L CPT % | 2 L PHP-CGM % | 3 P CPT % | 6 P Python % ")</f>
        <v xml:space="preserve">| 1 L CPT % | 2 L PHP-CGM % | 3 P CPT % | 6 P Python % </v>
      </c>
      <c r="BD183" s="4" t="str">
        <f ca="1">IFERROR(__xludf.DUMMYFUNCTION("""COMPUTED_VALUE"""),"| 1 L NS % | 2 L PHP-CGM % | 3 P JAVA % | 5 P NS % ")</f>
        <v xml:space="preserve">| 1 L NS % | 2 L PHP-CGM % | 3 P JAVA % | 5 P NS % </v>
      </c>
      <c r="BE183" s="4" t="str">
        <f ca="1">IFERROR(__xludf.DUMMYFUNCTION("""COMPUTED_VALUE"""),"| 1 L CPT % | 2 L JAVA % | 3 P Python % | 5 P PHP-CGM @ ")</f>
        <v xml:space="preserve">| 1 L CPT % | 2 L JAVA % | 3 P Python % | 5 P PHP-CGM @ </v>
      </c>
      <c r="BF183" s="4" t="str">
        <f ca="1">IFERROR(__xludf.DUMMYFUNCTION("""COMPUTED_VALUE"""),"| 1 L CPT % | 2 L JAVA % | 3 P JAVA % ")</f>
        <v xml:space="preserve">| 1 L CPT % | 2 L JAVA % | 3 P JAVA % </v>
      </c>
      <c r="BG183" s="4" t="str">
        <f ca="1">IFERROR(__xludf.DUMMYFUNCTION("""COMPUTED_VALUE"""),"| 2 L PHP-CGM % | 3 P CPT % | 1 L CPT % | 6 P Python @ ")</f>
        <v xml:space="preserve">| 2 L PHP-CGM % | 3 P CPT % | 1 L CPT % | 6 P Python @ </v>
      </c>
      <c r="BH183" s="4" t="str">
        <f ca="1">IFERROR(__xludf.DUMMYFUNCTION("""COMPUTED_VALUE"""),"| 1 L NS % | 2 L PHP-CGM % | 3 P JAVA % | 5 P NS % ")</f>
        <v xml:space="preserve">| 1 L NS % | 2 L PHP-CGM % | 3 P JAVA % | 5 P NS % </v>
      </c>
      <c r="BI183" s="4" t="str">
        <f ca="1">IFERROR(__xludf.DUMMYFUNCTION("""COMPUTED_VALUE"""),"| 1 L CPT % | 2 L JAVA % | 3 P Python @ | 5 P PHP-CGM % ")</f>
        <v xml:space="preserve">| 1 L CPT % | 2 L JAVA % | 3 P Python @ | 5 P PHP-CGM % </v>
      </c>
      <c r="BJ183" s="4" t="str">
        <f ca="1">IFERROR(__xludf.DUMMYFUNCTION("""COMPUTED_VALUE"""),"| 1 L CPT % | 2 L JAVA % | 3 P JAVA % | 5 L INE @ ")</f>
        <v xml:space="preserve">| 1 L CPT % | 2 L JAVA % | 3 P JAVA % | 5 L INE @ </v>
      </c>
      <c r="BK183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83" s="4" t="str">
        <f ca="1">IFERROR(__xludf.DUMMYFUNCTION("""COMPUTED_VALUE"""),"| 1 L CPT % | 2 L PHP-CGM % | 3 P CPT % ")</f>
        <v xml:space="preserve">| 1 L CPT % | 2 L PHP-CGM % | 3 P CPT % </v>
      </c>
      <c r="BM183" s="4" t="str">
        <f ca="1">IFERROR(__xludf.DUMMYFUNCTION("""COMPUTED_VALUE"""),"| 1 L NS % | 2 L PHP-CGM % | 3 P JAVA @ | 5 P NS @ ")</f>
        <v xml:space="preserve">| 1 L NS % | 2 L PHP-CGM % | 3 P JAVA @ | 5 P NS @ </v>
      </c>
      <c r="BN183" s="4" t="str">
        <f ca="1">IFERROR(__xludf.DUMMYFUNCTION("""COMPUTED_VALUE"""),"| 2 L JAVA @ | 1 L CPT @ | 3 P Python @ | 5 P PHP-CGM @ ")</f>
        <v xml:space="preserve">| 2 L JAVA @ | 1 L CPT @ | 3 P Python @ | 5 P PHP-CGM @ </v>
      </c>
      <c r="BO183" s="4" t="str">
        <f ca="1">IFERROR(__xludf.DUMMYFUNCTION("""COMPUTED_VALUE"""),"| 2 L JAVA @ | 1 L CPT @ | 3 P JAVA @ | 5 L INE @ ")</f>
        <v xml:space="preserve">| 2 L JAVA @ | 1 L CPT @ | 3 P JAVA @ | 5 L INE @ </v>
      </c>
      <c r="BP183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Q183" s="4"/>
      <c r="BR183" s="4"/>
      <c r="BS183" s="4"/>
      <c r="BT183" s="4" t="str">
        <f ca="1">IFERROR(__xludf.DUMMYFUNCTION("""COMPUTED_VALUE"""),"| 1 L NS @ | 2 L PHP-CGM @ | 3 P PRO @ ")</f>
        <v xml:space="preserve">| 1 L NS @ | 2 L PHP-CGM @ | 3 P PRO @ </v>
      </c>
      <c r="BU183" s="4" t="str">
        <f ca="1">IFERROR(__xludf.DUMMYFUNCTION("""COMPUTED_VALUE"""),"| 1 L CPT % ")</f>
        <v xml:space="preserve">| 1 L CPT % </v>
      </c>
      <c r="BV183" s="4" t="str">
        <f ca="1">IFERROR(__xludf.DUMMYFUNCTION("""COMPUTED_VALUE"""),"| 1 L NS @ | 2 L PHP-CGM @ | 3 P PRO @ | 6 L JAVA @ ")</f>
        <v xml:space="preserve">| 1 L NS @ | 2 L PHP-CGM @ | 3 P PRO @ | 6 L JAVA @ </v>
      </c>
      <c r="BW183" s="4" t="str">
        <f ca="1">IFERROR(__xludf.DUMMYFUNCTION("""COMPUTED_VALUE"""),"| 1 L CPT % | 2 L PHP-CGM % | 3 P CPT % ")</f>
        <v xml:space="preserve">| 1 L CPT % | 2 L PHP-CGM % | 3 P CPT % </v>
      </c>
      <c r="BX183" s="4" t="str">
        <f ca="1">IFERROR(__xludf.DUMMYFUNCTION("""COMPUTED_VALUE"""),"| 1 L NS @ | 2 L PHP-CGM @ | 3 P JAVA @ | 5 P NS @ ")</f>
        <v xml:space="preserve">| 1 L NS @ | 2 L PHP-CGM @ | 3 P JAVA @ | 5 P NS @ </v>
      </c>
      <c r="BY183" s="4" t="str">
        <f ca="1">IFERROR(__xludf.DUMMYFUNCTION("""COMPUTED_VALUE"""),"| 1 L CPT % | 2 L JAVA % | 3 P Python @ | 5 P PHP-CGM @ ")</f>
        <v xml:space="preserve">| 1 L CPT % | 2 L JAVA % | 3 P Python @ | 5 P PHP-CGM @ </v>
      </c>
      <c r="BZ183" s="4" t="str">
        <f ca="1">IFERROR(__xludf.DUMMYFUNCTION("""COMPUTED_VALUE"""),"| 1 L CPT @ | 2 L JAVA @ | 3 P JAVA @ | 5 L INE @ ")</f>
        <v xml:space="preserve">| 1 L CPT @ | 2 L JAVA @ | 3 P JAVA @ | 5 L INE @ </v>
      </c>
      <c r="CA183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183" s="4" t="str">
        <f ca="1">IFERROR(__xludf.DUMMYFUNCTION("""COMPUTED_VALUE"""),"| 2 L PHP-CGM % | 3 P CPT % | 6 P Python @ | 1 L CPT % ")</f>
        <v xml:space="preserve">| 2 L PHP-CGM % | 3 P CPT % | 6 P Python @ | 1 L CPT % </v>
      </c>
      <c r="CC183" s="4" t="str">
        <f ca="1">IFERROR(__xludf.DUMMYFUNCTION("""COMPUTED_VALUE"""),"| 1 L NS @ | 2 L PHP-CGM @ | 3 P JAVA % | 5 P NS @ ")</f>
        <v xml:space="preserve">| 1 L NS @ | 2 L PHP-CGM @ | 3 P JAVA % | 5 P NS @ </v>
      </c>
      <c r="CD183" s="4" t="str">
        <f ca="1">IFERROR(__xludf.DUMMYFUNCTION("""COMPUTED_VALUE"""),"| 1 L CPT @ | 2 L JAVA @ | 3 P Python @ | 5 P PHP-CGM % ")</f>
        <v xml:space="preserve">| 1 L CPT @ | 2 L JAVA @ | 3 P Python @ | 5 P PHP-CGM % </v>
      </c>
      <c r="CE183" s="4" t="str">
        <f ca="1">IFERROR(__xludf.DUMMYFUNCTION("""COMPUTED_VALUE"""),"| 1 L CPT % | 2 L JAVA % | 3 P JAVA % | 5 L INE % ")</f>
        <v xml:space="preserve">| 1 L CPT % | 2 L JAVA % | 3 P JAVA % | 5 L INE % </v>
      </c>
      <c r="CF183" s="4" t="str">
        <f ca="1">IFERROR(__xludf.DUMMYFUNCTION("""COMPUTED_VALUE"""),"| 1 L NS @ | 2 L PHP-CGM @ | 5 L NS % | 6 L JAVA % ")</f>
        <v xml:space="preserve">| 1 L NS @ | 2 L PHP-CGM @ | 5 L NS % | 6 L JAVA % </v>
      </c>
      <c r="CG183" s="4" t="str">
        <f ca="1">IFERROR(__xludf.DUMMYFUNCTION("""COMPUTED_VALUE"""),"| 1 L CPT @ | 2 L PHP-CGM @ | 6 P Python % | 3 P CPT % ")</f>
        <v xml:space="preserve">| 1 L CPT @ | 2 L PHP-CGM @ | 6 P Python % | 3 P CPT % </v>
      </c>
      <c r="CH183" s="4" t="str">
        <f ca="1">IFERROR(__xludf.DUMMYFUNCTION("""COMPUTED_VALUE"""),"| 1 L NS @ | 2 L PHP-CGM @ | 3 P JAVA % | 5 P NS % ")</f>
        <v xml:space="preserve">| 1 L NS @ | 2 L PHP-CGM @ | 3 P JAVA % | 5 P NS % </v>
      </c>
      <c r="CI183" s="4" t="str">
        <f ca="1">IFERROR(__xludf.DUMMYFUNCTION("""COMPUTED_VALUE"""),"| 1 L CPT @ | 2 L JAVA @ | 5 P PHP-CGM % ")</f>
        <v xml:space="preserve">| 1 L CPT @ | 2 L JAVA @ | 5 P PHP-CGM % </v>
      </c>
      <c r="CJ183" s="4" t="str">
        <f ca="1">IFERROR(__xludf.DUMMYFUNCTION("""COMPUTED_VALUE"""),"| 1 L CPT @ ")</f>
        <v xml:space="preserve">| 1 L CPT @ </v>
      </c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</row>
    <row r="184" spans="1:102" ht="12.5" x14ac:dyDescent="0.25">
      <c r="A184" s="3">
        <f ca="1">IFERROR(__xludf.DUMMYFUNCTION("""COMPUTED_VALUE"""),1)</f>
        <v>1</v>
      </c>
      <c r="B184" s="3" t="str">
        <f ca="1">IFERROR(__xludf.DUMMYFUNCTION("""COMPUTED_VALUE"""),"C")</f>
        <v>C</v>
      </c>
      <c r="C184" s="32" t="str">
        <f ca="1">IFERROR(__xludf.DUMMYFUNCTION("""COMPUTED_VALUE"""),"23171341049")</f>
        <v>23171341049</v>
      </c>
      <c r="D184" s="4" t="str">
        <f ca="1">IFERROR(__xludf.DUMMYFUNCTION("""COMPUTED_VALUE"""),"MEHTA ARCHIE YAGNESHBHAI")</f>
        <v>MEHTA ARCHIE YAGNESHBHAI</v>
      </c>
      <c r="E184" s="3" t="str">
        <f ca="1">IFERROR(__xludf.DUMMYFUNCTION("""COMPUTED_VALUE"""),"PKN/PAP-Mor")</f>
        <v>PKN/PAP-Mor</v>
      </c>
      <c r="F184" s="3">
        <f ca="1">IFERROR(__xludf.DUMMYFUNCTION("""COMPUTED_VALUE"""),9714539694)</f>
        <v>9714539694</v>
      </c>
      <c r="G184" s="3">
        <f ca="1">IFERROR(__xludf.DUMMYFUNCTION("""COMPUTED_VALUE"""),9712365600)</f>
        <v>9712365600</v>
      </c>
      <c r="H184" s="33">
        <f ca="1">IFERROR(__xludf.DUMMYFUNCTION("""COMPUTED_VALUE"""),0.738775510204081)</f>
        <v>0.73877551020408105</v>
      </c>
      <c r="I184" s="25">
        <f ca="1">IFERROR(__xludf.DUMMYFUNCTION("""COMPUTED_VALUE"""),0.789473684210526)</f>
        <v>0.78947368421052599</v>
      </c>
      <c r="J184" s="25">
        <f ca="1">IFERROR(__xludf.DUMMYFUNCTION("""COMPUTED_VALUE"""),0.916666666666666)</f>
        <v>0.91666666666666596</v>
      </c>
      <c r="K184" s="25">
        <f ca="1">IFERROR(__xludf.DUMMYFUNCTION("""COMPUTED_VALUE"""),0.694444444444444)</f>
        <v>0.69444444444444398</v>
      </c>
      <c r="L184" s="25">
        <f ca="1">IFERROR(__xludf.DUMMYFUNCTION("""COMPUTED_VALUE"""),0.727272727272727)</f>
        <v>0.72727272727272696</v>
      </c>
      <c r="M184" s="25">
        <f ca="1">IFERROR(__xludf.DUMMYFUNCTION("""COMPUTED_VALUE"""),0.861111111111111)</f>
        <v>0.86111111111111105</v>
      </c>
      <c r="N184" s="25">
        <f ca="1">IFERROR(__xludf.DUMMYFUNCTION("""COMPUTED_VALUE"""),0.692307692307692)</f>
        <v>0.69230769230769196</v>
      </c>
      <c r="O184" s="25">
        <f ca="1">IFERROR(__xludf.DUMMYFUNCTION("""COMPUTED_VALUE"""),0.628571428571428)</f>
        <v>0.628571428571428</v>
      </c>
      <c r="P184" s="25">
        <f ca="1">IFERROR(__xludf.DUMMYFUNCTION("""COMPUTED_VALUE"""),0.727272727272727)</f>
        <v>0.72727272727272696</v>
      </c>
      <c r="Q184" s="25">
        <f ca="1">IFERROR(__xludf.DUMMYFUNCTION("""COMPUTED_VALUE"""),0)</f>
        <v>0</v>
      </c>
      <c r="R184" s="25">
        <f ca="1">IFERROR(__xludf.DUMMYFUNCTION("""COMPUTED_VALUE"""),0.727272727272727)</f>
        <v>0.72727272727272696</v>
      </c>
      <c r="S184" s="25">
        <f ca="1">IFERROR(__xludf.DUMMYFUNCTION("""COMPUTED_VALUE"""),0)</f>
        <v>0</v>
      </c>
      <c r="T184" s="25">
        <f ca="1">IFERROR(__xludf.DUMMYFUNCTION("""COMPUTED_VALUE"""),0.75)</f>
        <v>0.75</v>
      </c>
      <c r="U184" s="25">
        <f ca="1">IFERROR(__xludf.DUMMYFUNCTION("""COMPUTED_VALUE"""),0.5)</f>
        <v>0.5</v>
      </c>
      <c r="V184" s="25">
        <f ca="1">IFERROR(__xludf.DUMMYFUNCTION("""COMPUTED_VALUE"""),0)</f>
        <v>0</v>
      </c>
      <c r="W184" s="4"/>
      <c r="X18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84" s="4" t="str">
        <f ca="1">IFERROR(__xludf.DUMMYFUNCTION("""COMPUTED_VALUE"""),"| 1 L CPT % | 5 L PHP-CGM % | 1 P CPT % | 6 P Python % ")</f>
        <v xml:space="preserve">| 1 L CPT % | 5 L PHP-CGM % | 1 P CPT % | 6 P Python % </v>
      </c>
      <c r="Z184" s="4" t="str">
        <f ca="1">IFERROR(__xludf.DUMMYFUNCTION("""COMPUTED_VALUE"""),"| 1 L CPT % | 2 L PHP-CGM % | 3 P JAVA % | 5 P NS % ")</f>
        <v xml:space="preserve">| 1 L CPT % | 2 L PHP-CGM % | 3 P JAVA % | 5 P NS % </v>
      </c>
      <c r="AA184" s="4" t="str">
        <f ca="1">IFERROR(__xludf.DUMMYFUNCTION("""COMPUTED_VALUE"""),"| 1 L NS @ | 2 L JAVA @ | 3 P Python @ | 5 P PHP-CGM @ ")</f>
        <v xml:space="preserve">| 1 L NS @ | 2 L JAVA @ | 3 P Python @ | 5 P PHP-CGM @ </v>
      </c>
      <c r="AB184" s="4" t="str">
        <f ca="1">IFERROR(__xludf.DUMMYFUNCTION("""COMPUTED_VALUE"""),"| 1 L CPT % | 2 L JAVA % | 3 P JAVA % ")</f>
        <v xml:space="preserve">| 1 L CPT % | 2 L JAVA % | 3 P JAVA % </v>
      </c>
      <c r="AC18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84" s="4" t="str">
        <f ca="1">IFERROR(__xludf.DUMMYFUNCTION("""COMPUTED_VALUE"""),"| 1 L CPT % | 2 L PHP-CGM % | 3 P CPT % | 6 P Python % ")</f>
        <v xml:space="preserve">| 1 L CPT % | 2 L PHP-CGM % | 3 P CPT % | 6 P Python % </v>
      </c>
      <c r="AE184" s="4" t="str">
        <f ca="1">IFERROR(__xludf.DUMMYFUNCTION("""COMPUTED_VALUE"""),"| 1 L CPT % | 3 P JAVA % | 5 P NS % | 2 L PHP-CGM % ")</f>
        <v xml:space="preserve">| 1 L CPT % | 3 P JAVA % | 5 P NS % | 2 L PHP-CGM % </v>
      </c>
      <c r="AF184" s="4" t="str">
        <f ca="1">IFERROR(__xludf.DUMMYFUNCTION("""COMPUTED_VALUE"""),"| 1 L NS % | 2 L CPT % | 3 P Python % | 5 P PHP-CGM % ")</f>
        <v xml:space="preserve">| 1 L NS % | 2 L CPT % | 3 P Python % | 5 P PHP-CGM % </v>
      </c>
      <c r="AG184" s="4" t="str">
        <f ca="1">IFERROR(__xludf.DUMMYFUNCTION("""COMPUTED_VALUE"""),"| 1 L CPT % | 2 L JAVA % | 3 P JAVA % ")</f>
        <v xml:space="preserve">| 1 L CPT % | 2 L JAVA % | 3 P JAVA % </v>
      </c>
      <c r="AH184" s="4" t="str">
        <f ca="1">IFERROR(__xludf.DUMMYFUNCTION("""COMPUTED_VALUE"""),"| 2 L JAVA % | 1 L NS % | 3 P Python % | 5 P PHP-CGM % ")</f>
        <v xml:space="preserve">| 2 L JAVA % | 1 L NS % | 3 P Python % | 5 P PHP-CGM % </v>
      </c>
      <c r="AI184" s="4" t="str">
        <f ca="1">IFERROR(__xludf.DUMMYFUNCTION("""COMPUTED_VALUE"""),"| 1 L CPT % | 2 L JAVA % | 3 P JAVA % ")</f>
        <v xml:space="preserve">| 1 L CPT % | 2 L JAVA % | 3 P JAVA % </v>
      </c>
      <c r="AJ18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84" s="4" t="str">
        <f ca="1">IFERROR(__xludf.DUMMYFUNCTION("""COMPUTED_VALUE"""),"| 1 L CPT % | 3 P CPT % | 2 L PHP-CGM % | 6 P Python @ ")</f>
        <v xml:space="preserve">| 1 L CPT % | 3 P CPT % | 2 L PHP-CGM % | 6 P Python @ </v>
      </c>
      <c r="AL184" s="4" t="str">
        <f ca="1">IFERROR(__xludf.DUMMYFUNCTION("""COMPUTED_VALUE"""),"| 1 L CPT % | 2 L PHP-CGM % | 3 P JAVA @ | 5 P NS % ")</f>
        <v xml:space="preserve">| 1 L CPT % | 2 L PHP-CGM % | 3 P JAVA @ | 5 P NS % </v>
      </c>
      <c r="AM184" s="4" t="str">
        <f ca="1">IFERROR(__xludf.DUMMYFUNCTION("""COMPUTED_VALUE"""),"| 2 L JAVA % | 3 P Python % | 5 P PHP-CGM % | 1 L NS % ")</f>
        <v xml:space="preserve">| 2 L JAVA % | 3 P Python % | 5 P PHP-CGM % | 1 L NS % </v>
      </c>
      <c r="AN184" s="4" t="str">
        <f ca="1">IFERROR(__xludf.DUMMYFUNCTION("""COMPUTED_VALUE"""),"| 1 L CPT % | 2 L JAVA % | 3 P JAVA @ | 5 L INE @ ")</f>
        <v xml:space="preserve">| 1 L CPT % | 2 L JAVA % | 3 P JAVA @ | 5 L INE @ </v>
      </c>
      <c r="AO184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184" s="4" t="str">
        <f ca="1">IFERROR(__xludf.DUMMYFUNCTION("""COMPUTED_VALUE"""),"| 1 L CPT % | 2 L PHP-CGM % | 3 P CPT % | 6 P Python % ")</f>
        <v xml:space="preserve">| 1 L CPT % | 2 L PHP-CGM % | 3 P CPT % | 6 P Python % </v>
      </c>
      <c r="AQ184" s="4" t="str">
        <f ca="1">IFERROR(__xludf.DUMMYFUNCTION("""COMPUTED_VALUE"""),"| 2 L PHP-CGM % | 3 P JAVA % | 1 L NS % | 5 P NS % ")</f>
        <v xml:space="preserve">| 2 L PHP-CGM % | 3 P JAVA % | 1 L NS % | 5 P NS % </v>
      </c>
      <c r="AR184" s="4" t="str">
        <f ca="1">IFERROR(__xludf.DUMMYFUNCTION("""COMPUTED_VALUE"""),"| 1 L CPT @ | 2 L JAVA @ | 3 P Python % | 5 P PHP-CGM @ ")</f>
        <v xml:space="preserve">| 1 L CPT @ | 2 L JAVA @ | 3 P Python % | 5 P PHP-CGM @ </v>
      </c>
      <c r="AS18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84" s="4" t="str">
        <f ca="1">IFERROR(__xludf.DUMMYFUNCTION("""COMPUTED_VALUE"""),"| 1 L CPT % | 2 L PHP-CGM % | 3 P CPT % | 6 P Python % ")</f>
        <v xml:space="preserve">| 1 L CPT % | 2 L PHP-CGM % | 3 P CPT % | 6 P Python % </v>
      </c>
      <c r="AU184" s="4" t="str">
        <f ca="1">IFERROR(__xludf.DUMMYFUNCTION("""COMPUTED_VALUE"""),"| 1 L NS % | 2 L PHP-CGM % | 3 P JAVA % | 5 P NS @ ")</f>
        <v xml:space="preserve">| 1 L NS % | 2 L PHP-CGM % | 3 P JAVA % | 5 P NS @ </v>
      </c>
      <c r="AV184" s="4" t="str">
        <f ca="1">IFERROR(__xludf.DUMMYFUNCTION("""COMPUTED_VALUE"""),"| 1 L CPT % | 2 L JAVA % | 3 P Python % | 5 P PHP-CGM % ")</f>
        <v xml:space="preserve">| 1 L CPT % | 2 L JAVA % | 3 P Python % | 5 P PHP-CGM % </v>
      </c>
      <c r="AW184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84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184" s="4" t="str">
        <f ca="1">IFERROR(__xludf.DUMMYFUNCTION("""COMPUTED_VALUE"""),"| 1 L CPT % | 2 L PHP-CGM % | 3 P CPT % | 6 P Python % ")</f>
        <v xml:space="preserve">| 1 L CPT % | 2 L PHP-CGM % | 3 P CPT % | 6 P Python % </v>
      </c>
      <c r="AZ184" s="4" t="str">
        <f ca="1">IFERROR(__xludf.DUMMYFUNCTION("""COMPUTED_VALUE"""),"| 1 L CPT @ | 2 L JAVA @ | 3 P Python @ | 5 P PHP-CGM @ ")</f>
        <v xml:space="preserve">| 1 L CPT @ | 2 L JAVA @ | 3 P Python @ | 5 P PHP-CGM @ </v>
      </c>
      <c r="BA184" s="4" t="str">
        <f ca="1">IFERROR(__xludf.DUMMYFUNCTION("""COMPUTED_VALUE"""),"| 1 L CPT % | 2 L JAVA % | 3 P JAVA % | 5 L INE @ ")</f>
        <v xml:space="preserve">| 1 L CPT % | 2 L JAVA % | 3 P JAVA % | 5 L INE @ </v>
      </c>
      <c r="BB18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4" s="4" t="str">
        <f ca="1">IFERROR(__xludf.DUMMYFUNCTION("""COMPUTED_VALUE"""),"| 1 L CPT % | 2 L PHP-CGM % | 3 P CPT % | 6 P Python @ ")</f>
        <v xml:space="preserve">| 1 L CPT % | 2 L PHP-CGM % | 3 P CPT % | 6 P Python @ </v>
      </c>
      <c r="BD184" s="4" t="str">
        <f ca="1">IFERROR(__xludf.DUMMYFUNCTION("""COMPUTED_VALUE"""),"| 1 L NS % | 2 L PHP-CGM % | 3 P JAVA % | 5 P NS % ")</f>
        <v xml:space="preserve">| 1 L NS % | 2 L PHP-CGM % | 3 P JAVA % | 5 P NS % </v>
      </c>
      <c r="BE184" s="4" t="str">
        <f ca="1">IFERROR(__xludf.DUMMYFUNCTION("""COMPUTED_VALUE"""),"| 1 L CPT % | 2 L JAVA % | 3 P Python % | 5 P PHP-CGM % ")</f>
        <v xml:space="preserve">| 1 L CPT % | 2 L JAVA % | 3 P Python % | 5 P PHP-CGM % </v>
      </c>
      <c r="BF184" s="4" t="str">
        <f ca="1">IFERROR(__xludf.DUMMYFUNCTION("""COMPUTED_VALUE"""),"| 1 L CPT % | 2 L JAVA % | 3 P JAVA % ")</f>
        <v xml:space="preserve">| 1 L CPT % | 2 L JAVA % | 3 P JAVA % </v>
      </c>
      <c r="BG184" s="4" t="str">
        <f ca="1">IFERROR(__xludf.DUMMYFUNCTION("""COMPUTED_VALUE"""),"| 2 L PHP-CGM % | 3 P CPT % | 1 L CPT % | 6 P Python % ")</f>
        <v xml:space="preserve">| 2 L PHP-CGM % | 3 P CPT % | 1 L CPT % | 6 P Python % </v>
      </c>
      <c r="BH184" s="4" t="str">
        <f ca="1">IFERROR(__xludf.DUMMYFUNCTION("""COMPUTED_VALUE"""),"| 1 L NS @ | 2 L PHP-CGM @ | 3 P JAVA @ | 5 P NS @ ")</f>
        <v xml:space="preserve">| 1 L NS @ | 2 L PHP-CGM @ | 3 P JAVA @ | 5 P NS @ </v>
      </c>
      <c r="BI184" s="4" t="str">
        <f ca="1">IFERROR(__xludf.DUMMYFUNCTION("""COMPUTED_VALUE"""),"| 1 L CPT % | 2 L JAVA % | 3 P Python % | 5 P PHP-CGM % ")</f>
        <v xml:space="preserve">| 1 L CPT % | 2 L JAVA % | 3 P Python % | 5 P PHP-CGM % </v>
      </c>
      <c r="BJ184" s="4" t="str">
        <f ca="1">IFERROR(__xludf.DUMMYFUNCTION("""COMPUTED_VALUE"""),"| 1 L CPT % | 2 L JAVA % | 3 P JAVA % | 5 L INE % ")</f>
        <v xml:space="preserve">| 1 L CPT % | 2 L JAVA % | 3 P JAVA % | 5 L INE % </v>
      </c>
      <c r="BK18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184" s="4" t="str">
        <f ca="1">IFERROR(__xludf.DUMMYFUNCTION("""COMPUTED_VALUE"""),"| 1 L CPT % | 2 L PHP-CGM % | 3 P CPT % ")</f>
        <v xml:space="preserve">| 1 L CPT % | 2 L PHP-CGM % | 3 P CPT % </v>
      </c>
      <c r="BM184" s="4" t="str">
        <f ca="1">IFERROR(__xludf.DUMMYFUNCTION("""COMPUTED_VALUE"""),"| 1 L NS @ | 2 L PHP-CGM @ | 3 P JAVA @ | 5 P NS @ ")</f>
        <v xml:space="preserve">| 1 L NS @ | 2 L PHP-CGM @ | 3 P JAVA @ | 5 P NS @ </v>
      </c>
      <c r="BN184" s="4" t="str">
        <f ca="1">IFERROR(__xludf.DUMMYFUNCTION("""COMPUTED_VALUE"""),"| 2 L JAVA @ | 1 L CPT @ | 3 P Python @ | 5 P PHP-CGM @ ")</f>
        <v xml:space="preserve">| 2 L JAVA @ | 1 L CPT @ | 3 P Python @ | 5 P PHP-CGM @ </v>
      </c>
      <c r="BO184" s="4" t="str">
        <f ca="1">IFERROR(__xludf.DUMMYFUNCTION("""COMPUTED_VALUE"""),"| 2 L JAVA @ | 1 L CPT @ | 3 P JAVA @ | 5 L INE @ ")</f>
        <v xml:space="preserve">| 2 L JAVA @ | 1 L CPT @ | 3 P JAVA @ | 5 L INE @ </v>
      </c>
      <c r="BP18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84" s="4"/>
      <c r="BR184" s="4"/>
      <c r="BS184" s="4"/>
      <c r="BT184" s="4" t="str">
        <f ca="1">IFERROR(__xludf.DUMMYFUNCTION("""COMPUTED_VALUE"""),"| 1 L NS % | 2 L PHP-CGM % | 3 P PRO % ")</f>
        <v xml:space="preserve">| 1 L NS % | 2 L PHP-CGM % | 3 P PRO % </v>
      </c>
      <c r="BU184" s="4" t="str">
        <f ca="1">IFERROR(__xludf.DUMMYFUNCTION("""COMPUTED_VALUE"""),"| 1 L CPT % ")</f>
        <v xml:space="preserve">| 1 L CPT % </v>
      </c>
      <c r="BV184" s="4" t="str">
        <f ca="1">IFERROR(__xludf.DUMMYFUNCTION("""COMPUTED_VALUE"""),"| 1 L NS % | 2 L PHP-CGM % | 3 P PRO % | 6 L JAVA % ")</f>
        <v xml:space="preserve">| 1 L NS % | 2 L PHP-CGM % | 3 P PRO % | 6 L JAVA % </v>
      </c>
      <c r="BW184" s="4" t="str">
        <f ca="1">IFERROR(__xludf.DUMMYFUNCTION("""COMPUTED_VALUE"""),"| 1 L CPT @ | 2 L PHP-CGM % | 3 P CPT @ ")</f>
        <v xml:space="preserve">| 1 L CPT @ | 2 L PHP-CGM % | 3 P CPT @ </v>
      </c>
      <c r="BX184" s="4" t="str">
        <f ca="1">IFERROR(__xludf.DUMMYFUNCTION("""COMPUTED_VALUE"""),"| 1 L NS % | 2 L PHP-CGM % | 3 P JAVA % | 5 P NS % ")</f>
        <v xml:space="preserve">| 1 L NS % | 2 L PHP-CGM % | 3 P JAVA % | 5 P NS % </v>
      </c>
      <c r="BY184" s="4" t="str">
        <f ca="1">IFERROR(__xludf.DUMMYFUNCTION("""COMPUTED_VALUE"""),"| 1 L CPT % | 2 L JAVA % | 3 P Python @ | 5 P PHP-CGM % ")</f>
        <v xml:space="preserve">| 1 L CPT % | 2 L JAVA % | 3 P Python @ | 5 P PHP-CGM % </v>
      </c>
      <c r="BZ184" s="4" t="str">
        <f ca="1">IFERROR(__xludf.DUMMYFUNCTION("""COMPUTED_VALUE"""),"| 1 L CPT @ | 2 L JAVA @ | 3 P JAVA @ | 5 L INE @ ")</f>
        <v xml:space="preserve">| 1 L CPT @ | 2 L JAVA @ | 3 P JAVA @ | 5 L INE @ </v>
      </c>
      <c r="CA184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184" s="4" t="str">
        <f ca="1">IFERROR(__xludf.DUMMYFUNCTION("""COMPUTED_VALUE"""),"| 2 L PHP-CGM % | 3 P CPT % | 6 P Python % | 1 L CPT % ")</f>
        <v xml:space="preserve">| 2 L PHP-CGM % | 3 P CPT % | 6 P Python % | 1 L CPT % </v>
      </c>
      <c r="CC184" s="4" t="str">
        <f ca="1">IFERROR(__xludf.DUMMYFUNCTION("""COMPUTED_VALUE"""),"| 1 L NS % | 2 L PHP-CGM % | 3 P JAVA % | 5 P NS % ")</f>
        <v xml:space="preserve">| 1 L NS % | 2 L PHP-CGM % | 3 P JAVA % | 5 P NS % </v>
      </c>
      <c r="CD184" s="4" t="str">
        <f ca="1">IFERROR(__xludf.DUMMYFUNCTION("""COMPUTED_VALUE"""),"| 1 L CPT % | 2 L JAVA @ | 3 P Python % | 5 P PHP-CGM % ")</f>
        <v xml:space="preserve">| 1 L CPT % | 2 L JAVA @ | 3 P Python % | 5 P PHP-CGM % </v>
      </c>
      <c r="CE184" s="4" t="str">
        <f ca="1">IFERROR(__xludf.DUMMYFUNCTION("""COMPUTED_VALUE"""),"| 1 L CPT % | 2 L JAVA % | 3 P JAVA % | 5 L INE % ")</f>
        <v xml:space="preserve">| 1 L CPT % | 2 L JAVA % | 3 P JAVA % | 5 L INE % </v>
      </c>
      <c r="CF184" s="4" t="str">
        <f ca="1">IFERROR(__xludf.DUMMYFUNCTION("""COMPUTED_VALUE"""),"| 1 L NS % | 2 L PHP-CGM % | 5 L NS @ | 6 L JAVA @ ")</f>
        <v xml:space="preserve">| 1 L NS % | 2 L PHP-CGM % | 5 L NS @ | 6 L JAVA @ </v>
      </c>
      <c r="CG184" s="4" t="str">
        <f ca="1">IFERROR(__xludf.DUMMYFUNCTION("""COMPUTED_VALUE"""),"| 1 L CPT % | 2 L PHP-CGM % | 6 P Python % | 3 P CPT % ")</f>
        <v xml:space="preserve">| 1 L CPT % | 2 L PHP-CGM % | 6 P Python % | 3 P CPT % </v>
      </c>
      <c r="CH184" s="4" t="str">
        <f ca="1">IFERROR(__xludf.DUMMYFUNCTION("""COMPUTED_VALUE"""),"| 1 L NS % | 2 L PHP-CGM % | 3 P JAVA % | 5 P NS % ")</f>
        <v xml:space="preserve">| 1 L NS % | 2 L PHP-CGM % | 3 P JAVA % | 5 P NS % </v>
      </c>
      <c r="CI184" s="4" t="str">
        <f ca="1">IFERROR(__xludf.DUMMYFUNCTION("""COMPUTED_VALUE"""),"| 1 L CPT @ | 2 L JAVA @ | 5 P PHP-CGM % ")</f>
        <v xml:space="preserve">| 1 L CPT @ | 2 L JAVA @ | 5 P PHP-CGM % </v>
      </c>
      <c r="CJ184" s="4" t="str">
        <f ca="1">IFERROR(__xludf.DUMMYFUNCTION("""COMPUTED_VALUE"""),"| 1 L CPT @ ")</f>
        <v xml:space="preserve">| 1 L CPT @ </v>
      </c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</row>
    <row r="185" spans="1:102" ht="12.5" x14ac:dyDescent="0.25">
      <c r="A185" s="3">
        <f ca="1">IFERROR(__xludf.DUMMYFUNCTION("""COMPUTED_VALUE"""),1)</f>
        <v>1</v>
      </c>
      <c r="B185" s="3" t="str">
        <f ca="1">IFERROR(__xludf.DUMMYFUNCTION("""COMPUTED_VALUE"""),"C")</f>
        <v>C</v>
      </c>
      <c r="C185" s="32" t="str">
        <f ca="1">IFERROR(__xludf.DUMMYFUNCTION("""COMPUTED_VALUE"""),"23171341052")</f>
        <v>23171341052</v>
      </c>
      <c r="D185" s="4" t="str">
        <f ca="1">IFERROR(__xludf.DUMMYFUNCTION("""COMPUTED_VALUE"""),"MISTRI RUSHI BHAVESHKUMAR")</f>
        <v>MISTRI RUSHI BHAVESHKUMAR</v>
      </c>
      <c r="E185" s="3" t="str">
        <f ca="1">IFERROR(__xludf.DUMMYFUNCTION("""COMPUTED_VALUE"""),"PKN/PAP-Mor")</f>
        <v>PKN/PAP-Mor</v>
      </c>
      <c r="F185" s="3">
        <f ca="1">IFERROR(__xludf.DUMMYFUNCTION("""COMPUTED_VALUE"""),9773078732)</f>
        <v>9773078732</v>
      </c>
      <c r="G185" s="3">
        <f ca="1">IFERROR(__xludf.DUMMYFUNCTION("""COMPUTED_VALUE"""),9898621097)</f>
        <v>9898621097</v>
      </c>
      <c r="H185" s="33">
        <f ca="1">IFERROR(__xludf.DUMMYFUNCTION("""COMPUTED_VALUE"""),0.522448979591836)</f>
        <v>0.522448979591836</v>
      </c>
      <c r="I185" s="25">
        <f ca="1">IFERROR(__xludf.DUMMYFUNCTION("""COMPUTED_VALUE"""),0.578947368421052)</f>
        <v>0.57894736842105199</v>
      </c>
      <c r="J185" s="25">
        <f ca="1">IFERROR(__xludf.DUMMYFUNCTION("""COMPUTED_VALUE"""),0.5)</f>
        <v>0.5</v>
      </c>
      <c r="K185" s="25">
        <f ca="1">IFERROR(__xludf.DUMMYFUNCTION("""COMPUTED_VALUE"""),0.638888888888888)</f>
        <v>0.63888888888888795</v>
      </c>
      <c r="L185" s="25">
        <f ca="1">IFERROR(__xludf.DUMMYFUNCTION("""COMPUTED_VALUE"""),0.363636363636363)</f>
        <v>0.36363636363636298</v>
      </c>
      <c r="M185" s="25">
        <f ca="1">IFERROR(__xludf.DUMMYFUNCTION("""COMPUTED_VALUE"""),0.722222222222222)</f>
        <v>0.72222222222222199</v>
      </c>
      <c r="N185" s="25">
        <f ca="1">IFERROR(__xludf.DUMMYFUNCTION("""COMPUTED_VALUE"""),0.384615384615384)</f>
        <v>0.38461538461538403</v>
      </c>
      <c r="O185" s="25">
        <f ca="1">IFERROR(__xludf.DUMMYFUNCTION("""COMPUTED_VALUE"""),0.457142857142857)</f>
        <v>0.45714285714285702</v>
      </c>
      <c r="P185" s="25">
        <f ca="1">IFERROR(__xludf.DUMMYFUNCTION("""COMPUTED_VALUE"""),0.363636363636363)</f>
        <v>0.36363636363636298</v>
      </c>
      <c r="Q185" s="25">
        <f ca="1">IFERROR(__xludf.DUMMYFUNCTION("""COMPUTED_VALUE"""),0)</f>
        <v>0</v>
      </c>
      <c r="R185" s="25">
        <f ca="1">IFERROR(__xludf.DUMMYFUNCTION("""COMPUTED_VALUE"""),0.545454545454545)</f>
        <v>0.54545454545454497</v>
      </c>
      <c r="S185" s="25">
        <f ca="1">IFERROR(__xludf.DUMMYFUNCTION("""COMPUTED_VALUE"""),0)</f>
        <v>0</v>
      </c>
      <c r="T185" s="25">
        <f ca="1">IFERROR(__xludf.DUMMYFUNCTION("""COMPUTED_VALUE"""),0.5)</f>
        <v>0.5</v>
      </c>
      <c r="U185" s="25">
        <f ca="1">IFERROR(__xludf.DUMMYFUNCTION("""COMPUTED_VALUE"""),0)</f>
        <v>0</v>
      </c>
      <c r="V185" s="25">
        <f ca="1">IFERROR(__xludf.DUMMYFUNCTION("""COMPUTED_VALUE"""),0)</f>
        <v>0</v>
      </c>
      <c r="W185" s="4"/>
      <c r="X185" s="4" t="str">
        <f ca="1">IFERROR(__xludf.DUMMYFUNCTION("""COMPUTED_VALUE"""),"| 1 L NS % | 2 L PHP-CGM % | 3 P PRO @ | 5 L JAVA @ | 6 L NS @ ")</f>
        <v xml:space="preserve">| 1 L NS % | 2 L PHP-CGM % | 3 P PRO @ | 5 L JAVA @ | 6 L NS @ </v>
      </c>
      <c r="Y185" s="4" t="str">
        <f ca="1">IFERROR(__xludf.DUMMYFUNCTION("""COMPUTED_VALUE"""),"| 1 L CPT @ | 5 L PHP-CGM @ | 1 P CPT % | 6 P Python % ")</f>
        <v xml:space="preserve">| 1 L CPT @ | 5 L PHP-CGM @ | 1 P CPT % | 6 P Python % </v>
      </c>
      <c r="Z185" s="4" t="str">
        <f ca="1">IFERROR(__xludf.DUMMYFUNCTION("""COMPUTED_VALUE"""),"| 1 L CPT % | 2 L PHP-CGM % | 3 P JAVA @ | 5 P NS @ ")</f>
        <v xml:space="preserve">| 1 L CPT % | 2 L PHP-CGM % | 3 P JAVA @ | 5 P NS @ </v>
      </c>
      <c r="AA185" s="4" t="str">
        <f ca="1">IFERROR(__xludf.DUMMYFUNCTION("""COMPUTED_VALUE"""),"| 1 L NS @ | 2 L JAVA @ | 3 P Python @ | 5 P PHP-CGM @ ")</f>
        <v xml:space="preserve">| 1 L NS @ | 2 L JAVA @ | 3 P Python @ | 5 P PHP-CGM @ </v>
      </c>
      <c r="AB185" s="4" t="str">
        <f ca="1">IFERROR(__xludf.DUMMYFUNCTION("""COMPUTED_VALUE"""),"| 1 L CPT @ | 2 L JAVA @ | 3 P JAVA @ ")</f>
        <v xml:space="preserve">| 1 L CPT @ | 2 L JAVA @ | 3 P JAVA @ </v>
      </c>
      <c r="AC18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85" s="4" t="str">
        <f ca="1">IFERROR(__xludf.DUMMYFUNCTION("""COMPUTED_VALUE"""),"| 1 L CPT % | 2 L PHP-CGM % | 3 P CPT % | 6 P Python % ")</f>
        <v xml:space="preserve">| 1 L CPT % | 2 L PHP-CGM % | 3 P CPT % | 6 P Python % </v>
      </c>
      <c r="AE185" s="4" t="str">
        <f ca="1">IFERROR(__xludf.DUMMYFUNCTION("""COMPUTED_VALUE"""),"| 1 L CPT % | 3 P JAVA % | 5 P NS % | 2 L PHP-CGM % ")</f>
        <v xml:space="preserve">| 1 L CPT % | 3 P JAVA % | 5 P NS % | 2 L PHP-CGM % </v>
      </c>
      <c r="AF185" s="4" t="str">
        <f ca="1">IFERROR(__xludf.DUMMYFUNCTION("""COMPUTED_VALUE"""),"| 1 L NS % | 2 L CPT % | 3 P Python % | 5 P PHP-CGM % ")</f>
        <v xml:space="preserve">| 1 L NS % | 2 L CPT % | 3 P Python % | 5 P PHP-CGM % </v>
      </c>
      <c r="AG185" s="4" t="str">
        <f ca="1">IFERROR(__xludf.DUMMYFUNCTION("""COMPUTED_VALUE"""),"| 1 L CPT % | 2 L JAVA % | 3 P JAVA % ")</f>
        <v xml:space="preserve">| 1 L CPT % | 2 L JAVA % | 3 P JAVA % </v>
      </c>
      <c r="AH185" s="4" t="str">
        <f ca="1">IFERROR(__xludf.DUMMYFUNCTION("""COMPUTED_VALUE"""),"| 2 L JAVA % | 1 L NS % | 3 P Python % | 5 P PHP-CGM % ")</f>
        <v xml:space="preserve">| 2 L JAVA % | 1 L NS % | 3 P Python % | 5 P PHP-CGM % </v>
      </c>
      <c r="AI185" s="4" t="str">
        <f ca="1">IFERROR(__xludf.DUMMYFUNCTION("""COMPUTED_VALUE"""),"| 1 L CPT % | 2 L JAVA % | 3 P JAVA % ")</f>
        <v xml:space="preserve">| 1 L CPT % | 2 L JAVA % | 3 P JAVA % </v>
      </c>
      <c r="AJ18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85" s="4" t="str">
        <f ca="1">IFERROR(__xludf.DUMMYFUNCTION("""COMPUTED_VALUE"""),"| 1 L CPT % | 3 P CPT % | 2 L PHP-CGM % | 6 P Python % ")</f>
        <v xml:space="preserve">| 1 L CPT % | 3 P CPT % | 2 L PHP-CGM % | 6 P Python % </v>
      </c>
      <c r="AL185" s="4" t="str">
        <f ca="1">IFERROR(__xludf.DUMMYFUNCTION("""COMPUTED_VALUE"""),"| 1 L CPT % | 2 L PHP-CGM % | 3 P JAVA % | 5 P NS % ")</f>
        <v xml:space="preserve">| 1 L CPT % | 2 L PHP-CGM % | 3 P JAVA % | 5 P NS % </v>
      </c>
      <c r="AM185" s="4" t="str">
        <f ca="1">IFERROR(__xludf.DUMMYFUNCTION("""COMPUTED_VALUE"""),"| 2 L JAVA % | 3 P Python % | 5 P PHP-CGM % | 1 L NS % ")</f>
        <v xml:space="preserve">| 2 L JAVA % | 3 P Python % | 5 P PHP-CGM % | 1 L NS % </v>
      </c>
      <c r="AN185" s="4" t="str">
        <f ca="1">IFERROR(__xludf.DUMMYFUNCTION("""COMPUTED_VALUE"""),"| 1 L CPT % | 2 L JAVA % | 3 P JAVA % | 5 L INE @ ")</f>
        <v xml:space="preserve">| 1 L CPT % | 2 L JAVA % | 3 P JAVA % | 5 L INE @ </v>
      </c>
      <c r="AO18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85" s="4" t="str">
        <f ca="1">IFERROR(__xludf.DUMMYFUNCTION("""COMPUTED_VALUE"""),"| 1 L CPT % | 2 L PHP-CGM % | 3 P CPT % | 6 P Python % ")</f>
        <v xml:space="preserve">| 1 L CPT % | 2 L PHP-CGM % | 3 P CPT % | 6 P Python % </v>
      </c>
      <c r="AQ185" s="4" t="str">
        <f ca="1">IFERROR(__xludf.DUMMYFUNCTION("""COMPUTED_VALUE"""),"| 2 L PHP-CGM % | 3 P JAVA % | 1 L NS % | 5 P NS % ")</f>
        <v xml:space="preserve">| 2 L PHP-CGM % | 3 P JAVA % | 1 L NS % | 5 P NS % </v>
      </c>
      <c r="AR185" s="4" t="str">
        <f ca="1">IFERROR(__xludf.DUMMYFUNCTION("""COMPUTED_VALUE"""),"| 1 L CPT % | 2 L JAVA % | 3 P Python % | 5 P PHP-CGM % ")</f>
        <v xml:space="preserve">| 1 L CPT % | 2 L JAVA % | 3 P Python % | 5 P PHP-CGM % </v>
      </c>
      <c r="AS185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AT185" s="4" t="str">
        <f ca="1">IFERROR(__xludf.DUMMYFUNCTION("""COMPUTED_VALUE"""),"| 1 L CPT @ | 2 L PHP-CGM @ | 3 P CPT @ | 6 P Python @ ")</f>
        <v xml:space="preserve">| 1 L CPT @ | 2 L PHP-CGM @ | 3 P CPT @ | 6 P Python @ </v>
      </c>
      <c r="AU185" s="4" t="str">
        <f ca="1">IFERROR(__xludf.DUMMYFUNCTION("""COMPUTED_VALUE"""),"| 1 L NS @ | 2 L PHP-CGM % | 3 P JAVA @ | 5 P NS @ ")</f>
        <v xml:space="preserve">| 1 L NS @ | 2 L PHP-CGM % | 3 P JAVA @ | 5 P NS @ </v>
      </c>
      <c r="AV185" s="4" t="str">
        <f ca="1">IFERROR(__xludf.DUMMYFUNCTION("""COMPUTED_VALUE"""),"| 1 L CPT % | 2 L JAVA % | 3 P Python @ | 5 P PHP-CGM @ ")</f>
        <v xml:space="preserve">| 1 L CPT % | 2 L JAVA % | 3 P Python @ | 5 P PHP-CGM @ </v>
      </c>
      <c r="AW185" s="4" t="str">
        <f ca="1">IFERROR(__xludf.DUMMYFUNCTION("""COMPUTED_VALUE"""),"| 1 L CPT % | 2 L JAVA % | 3 P JAVA @ | 5 L INE @ | 6 L INE @ ")</f>
        <v xml:space="preserve">| 1 L CPT % | 2 L JAVA % | 3 P JAVA @ | 5 L INE @ | 6 L INE @ </v>
      </c>
      <c r="AX18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85" s="4" t="str">
        <f ca="1">IFERROR(__xludf.DUMMYFUNCTION("""COMPUTED_VALUE"""),"| 1 L CPT % | 2 L PHP-CGM % | 3 P CPT @ | 6 P Python @ ")</f>
        <v xml:space="preserve">| 1 L CPT % | 2 L PHP-CGM % | 3 P CPT @ | 6 P Python @ </v>
      </c>
      <c r="AZ185" s="4" t="str">
        <f ca="1">IFERROR(__xludf.DUMMYFUNCTION("""COMPUTED_VALUE"""),"| 1 L CPT % | 2 L JAVA % | 3 P Python % | 5 P PHP-CGM % ")</f>
        <v xml:space="preserve">| 1 L CPT % | 2 L JAVA % | 3 P Python % | 5 P PHP-CGM % </v>
      </c>
      <c r="BA185" s="4" t="str">
        <f ca="1">IFERROR(__xludf.DUMMYFUNCTION("""COMPUTED_VALUE"""),"| 1 L CPT % | 2 L JAVA % | 3 P JAVA @ | 5 L INE @ ")</f>
        <v xml:space="preserve">| 1 L CPT % | 2 L JAVA % | 3 P JAVA @ | 5 L INE @ </v>
      </c>
      <c r="BB18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5" s="4" t="str">
        <f ca="1">IFERROR(__xludf.DUMMYFUNCTION("""COMPUTED_VALUE"""),"| 1 L CPT % | 2 L PHP-CGM % | 3 P CPT % | 6 P Python % ")</f>
        <v xml:space="preserve">| 1 L CPT % | 2 L PHP-CGM % | 3 P CPT % | 6 P Python % </v>
      </c>
      <c r="BD185" s="4" t="str">
        <f ca="1">IFERROR(__xludf.DUMMYFUNCTION("""COMPUTED_VALUE"""),"| 1 L NS % | 2 L PHP-CGM % | 3 P JAVA % | 5 P NS @ ")</f>
        <v xml:space="preserve">| 1 L NS % | 2 L PHP-CGM % | 3 P JAVA % | 5 P NS @ </v>
      </c>
      <c r="BE185" s="4" t="str">
        <f ca="1">IFERROR(__xludf.DUMMYFUNCTION("""COMPUTED_VALUE"""),"| 1 L CPT @ | 2 L JAVA @ | 3 P Python @ | 5 P PHP-CGM @ ")</f>
        <v xml:space="preserve">| 1 L CPT @ | 2 L JAVA @ | 3 P Python @ | 5 P PHP-CGM @ </v>
      </c>
      <c r="BF185" s="4" t="str">
        <f ca="1">IFERROR(__xludf.DUMMYFUNCTION("""COMPUTED_VALUE"""),"| 1 L CPT % | 2 L JAVA % | 3 P JAVA % ")</f>
        <v xml:space="preserve">| 1 L CPT % | 2 L JAVA % | 3 P JAVA % </v>
      </c>
      <c r="BG185" s="4" t="str">
        <f ca="1">IFERROR(__xludf.DUMMYFUNCTION("""COMPUTED_VALUE"""),"| 2 L PHP-CGM % | 3 P CPT % | 1 L CPT % | 6 P Python % ")</f>
        <v xml:space="preserve">| 2 L PHP-CGM % | 3 P CPT % | 1 L CPT % | 6 P Python % </v>
      </c>
      <c r="BH185" s="4" t="str">
        <f ca="1">IFERROR(__xludf.DUMMYFUNCTION("""COMPUTED_VALUE"""),"| 1 L NS % | 2 L PHP-CGM % | 3 P JAVA @ | 5 P NS @ ")</f>
        <v xml:space="preserve">| 1 L NS % | 2 L PHP-CGM % | 3 P JAVA @ | 5 P NS @ </v>
      </c>
      <c r="BI185" s="4" t="str">
        <f ca="1">IFERROR(__xludf.DUMMYFUNCTION("""COMPUTED_VALUE"""),"| 1 L CPT % | 2 L JAVA @ | 3 P Python % | 5 P PHP-CGM @ ")</f>
        <v xml:space="preserve">| 1 L CPT % | 2 L JAVA @ | 3 P Python % | 5 P PHP-CGM @ </v>
      </c>
      <c r="BJ185" s="4" t="str">
        <f ca="1">IFERROR(__xludf.DUMMYFUNCTION("""COMPUTED_VALUE"""),"| 1 L CPT @ | 2 L JAVA @ | 3 P JAVA @ | 5 L INE @ ")</f>
        <v xml:space="preserve">| 1 L CPT @ | 2 L JAVA @ | 3 P JAVA @ | 5 L INE @ </v>
      </c>
      <c r="BK185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L185" s="4" t="str">
        <f ca="1">IFERROR(__xludf.DUMMYFUNCTION("""COMPUTED_VALUE"""),"| 1 L CPT % | 2 L PHP-CGM % | 3 P CPT @ ")</f>
        <v xml:space="preserve">| 1 L CPT % | 2 L PHP-CGM % | 3 P CPT @ </v>
      </c>
      <c r="BM185" s="4" t="str">
        <f ca="1">IFERROR(__xludf.DUMMYFUNCTION("""COMPUTED_VALUE"""),"| 1 L NS % | 2 L PHP-CGM % | 3 P JAVA @ | 5 P NS % ")</f>
        <v xml:space="preserve">| 1 L NS % | 2 L PHP-CGM % | 3 P JAVA @ | 5 P NS % </v>
      </c>
      <c r="BN185" s="4" t="str">
        <f ca="1">IFERROR(__xludf.DUMMYFUNCTION("""COMPUTED_VALUE"""),"| 2 L JAVA @ | 1 L CPT @ | 3 P Python @ | 5 P PHP-CGM @ ")</f>
        <v xml:space="preserve">| 2 L JAVA @ | 1 L CPT @ | 3 P Python @ | 5 P PHP-CGM @ </v>
      </c>
      <c r="BO185" s="4" t="str">
        <f ca="1">IFERROR(__xludf.DUMMYFUNCTION("""COMPUTED_VALUE"""),"| 2 L JAVA @ | 1 L CPT @ | 3 P JAVA @ | 5 L INE @ ")</f>
        <v xml:space="preserve">| 2 L JAVA @ | 1 L CPT @ | 3 P JAVA @ | 5 L INE @ </v>
      </c>
      <c r="BP185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85" s="4"/>
      <c r="BR185" s="4"/>
      <c r="BS185" s="4"/>
      <c r="BT185" s="4" t="str">
        <f ca="1">IFERROR(__xludf.DUMMYFUNCTION("""COMPUTED_VALUE"""),"| 1 L NS @ | 2 L PHP-CGM @ | 3 P PRO @ ")</f>
        <v xml:space="preserve">| 1 L NS @ | 2 L PHP-CGM @ | 3 P PRO @ </v>
      </c>
      <c r="BU185" s="4" t="str">
        <f ca="1">IFERROR(__xludf.DUMMYFUNCTION("""COMPUTED_VALUE"""),"| 1 L CPT @ ")</f>
        <v xml:space="preserve">| 1 L CPT @ </v>
      </c>
      <c r="BV185" s="4" t="str">
        <f ca="1">IFERROR(__xludf.DUMMYFUNCTION("""COMPUTED_VALUE"""),"| 1 L NS @ | 2 L PHP-CGM @ | 3 P PRO @ | 6 L JAVA @ ")</f>
        <v xml:space="preserve">| 1 L NS @ | 2 L PHP-CGM @ | 3 P PRO @ | 6 L JAVA @ </v>
      </c>
      <c r="BW185" s="4" t="str">
        <f ca="1">IFERROR(__xludf.DUMMYFUNCTION("""COMPUTED_VALUE"""),"| 1 L CPT @ | 2 L PHP-CGM @ | 3 P CPT @ ")</f>
        <v xml:space="preserve">| 1 L CPT @ | 2 L PHP-CGM @ | 3 P CPT @ </v>
      </c>
      <c r="BX185" s="4" t="str">
        <f ca="1">IFERROR(__xludf.DUMMYFUNCTION("""COMPUTED_VALUE"""),"| 1 L NS @ | 2 L PHP-CGM @ | 3 P JAVA @ | 5 P NS @ ")</f>
        <v xml:space="preserve">| 1 L NS @ | 2 L PHP-CGM @ | 3 P JAVA @ | 5 P NS @ </v>
      </c>
      <c r="BY185" s="4" t="str">
        <f ca="1">IFERROR(__xludf.DUMMYFUNCTION("""COMPUTED_VALUE"""),"| 1 L CPT @ | 2 L JAVA @ | 3 P Python @ | 5 P PHP-CGM @ ")</f>
        <v xml:space="preserve">| 1 L CPT @ | 2 L JAVA @ | 3 P Python @ | 5 P PHP-CGM @ </v>
      </c>
      <c r="BZ185" s="4" t="str">
        <f ca="1">IFERROR(__xludf.DUMMYFUNCTION("""COMPUTED_VALUE"""),"| 1 L CPT @ | 2 L JAVA @ | 3 P JAVA @ | 5 L INE @ ")</f>
        <v xml:space="preserve">| 1 L CPT @ | 2 L JAVA @ | 3 P JAVA @ | 5 L INE @ </v>
      </c>
      <c r="CA185" s="4" t="str">
        <f ca="1">IFERROR(__xludf.DUMMYFUNCTION("""COMPUTED_VALUE"""),"| 1 L NS % | 2 L PHP-CGM @ | 3 P PRO % | 5 L NS @ | 6 L JAVA @ ")</f>
        <v xml:space="preserve">| 1 L NS % | 2 L PHP-CGM @ | 3 P PRO % | 5 L NS @ | 6 L JAVA @ </v>
      </c>
      <c r="CB185" s="4" t="str">
        <f ca="1">IFERROR(__xludf.DUMMYFUNCTION("""COMPUTED_VALUE"""),"| 2 L PHP-CGM % | 3 P CPT @ | 6 P Python @ | 1 L CPT % ")</f>
        <v xml:space="preserve">| 2 L PHP-CGM % | 3 P CPT @ | 6 P Python @ | 1 L CPT % </v>
      </c>
      <c r="CC185" s="4" t="str">
        <f ca="1">IFERROR(__xludf.DUMMYFUNCTION("""COMPUTED_VALUE"""),"| 1 L NS % | 2 L PHP-CGM % | 3 P JAVA @ | 5 P NS @ ")</f>
        <v xml:space="preserve">| 1 L NS % | 2 L PHP-CGM % | 3 P JAVA @ | 5 P NS @ </v>
      </c>
      <c r="CD185" s="4" t="str">
        <f ca="1">IFERROR(__xludf.DUMMYFUNCTION("""COMPUTED_VALUE"""),"| 1 L CPT @ | 2 L JAVA @ | 3 P Python @ | 5 P PHP-CGM @ ")</f>
        <v xml:space="preserve">| 1 L CPT @ | 2 L JAVA @ | 3 P Python @ | 5 P PHP-CGM @ </v>
      </c>
      <c r="CE185" s="4" t="str">
        <f ca="1">IFERROR(__xludf.DUMMYFUNCTION("""COMPUTED_VALUE"""),"| 1 L CPT @ | 2 L JAVA @ | 3 P JAVA @ | 5 L INE @ ")</f>
        <v xml:space="preserve">| 1 L CPT @ | 2 L JAVA @ | 3 P JAVA @ | 5 L INE @ </v>
      </c>
      <c r="CF185" s="4" t="str">
        <f ca="1">IFERROR(__xludf.DUMMYFUNCTION("""COMPUTED_VALUE"""),"| 1 L NS @ | 2 L PHP-CGM @ | 5 L NS @ | 6 L JAVA @ ")</f>
        <v xml:space="preserve">| 1 L NS @ | 2 L PHP-CGM @ | 5 L NS @ | 6 L JAVA @ </v>
      </c>
      <c r="CG185" s="4" t="str">
        <f ca="1">IFERROR(__xludf.DUMMYFUNCTION("""COMPUTED_VALUE"""),"| 1 L CPT @ | 2 L PHP-CGM @ | 6 P Python @ | 3 P CPT @ ")</f>
        <v xml:space="preserve">| 1 L CPT @ | 2 L PHP-CGM @ | 6 P Python @ | 3 P CPT @ </v>
      </c>
      <c r="CH185" s="4" t="str">
        <f ca="1">IFERROR(__xludf.DUMMYFUNCTION("""COMPUTED_VALUE"""),"| 1 L NS @ | 2 L PHP-CGM @ | 3 P JAVA @ | 5 P NS @ ")</f>
        <v xml:space="preserve">| 1 L NS @ | 2 L PHP-CGM @ | 3 P JAVA @ | 5 P NS @ </v>
      </c>
      <c r="CI185" s="4" t="str">
        <f ca="1">IFERROR(__xludf.DUMMYFUNCTION("""COMPUTED_VALUE"""),"| 1 L CPT @ | 2 L JAVA @ | 5 P PHP-CGM @ ")</f>
        <v xml:space="preserve">| 1 L CPT @ | 2 L JAVA @ | 5 P PHP-CGM @ </v>
      </c>
      <c r="CJ185" s="4" t="str">
        <f ca="1">IFERROR(__xludf.DUMMYFUNCTION("""COMPUTED_VALUE"""),"| 1 L CPT @ ")</f>
        <v xml:space="preserve">| 1 L CPT @ </v>
      </c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</row>
    <row r="186" spans="1:102" ht="12.5" x14ac:dyDescent="0.25">
      <c r="A186" s="3">
        <f ca="1">IFERROR(__xludf.DUMMYFUNCTION("""COMPUTED_VALUE"""),1)</f>
        <v>1</v>
      </c>
      <c r="B186" s="3" t="str">
        <f ca="1">IFERROR(__xludf.DUMMYFUNCTION("""COMPUTED_VALUE"""),"C")</f>
        <v>C</v>
      </c>
      <c r="C186" s="32" t="str">
        <f ca="1">IFERROR(__xludf.DUMMYFUNCTION("""COMPUTED_VALUE"""),"23171341054")</f>
        <v>23171341054</v>
      </c>
      <c r="D186" s="4" t="str">
        <f ca="1">IFERROR(__xludf.DUMMYFUNCTION("""COMPUTED_VALUE"""),"MODI AAYUSH VALKESHBHAI")</f>
        <v>MODI AAYUSH VALKESHBHAI</v>
      </c>
      <c r="E186" s="3" t="str">
        <f ca="1">IFERROR(__xludf.DUMMYFUNCTION("""COMPUTED_VALUE"""),"PKN/PAP-Mor")</f>
        <v>PKN/PAP-Mor</v>
      </c>
      <c r="F186" s="3">
        <f ca="1">IFERROR(__xludf.DUMMYFUNCTION("""COMPUTED_VALUE"""),7861056818)</f>
        <v>7861056818</v>
      </c>
      <c r="G186" s="3">
        <f ca="1">IFERROR(__xludf.DUMMYFUNCTION("""COMPUTED_VALUE"""),7016487407)</f>
        <v>7016487407</v>
      </c>
      <c r="H186" s="33">
        <f ca="1">IFERROR(__xludf.DUMMYFUNCTION("""COMPUTED_VALUE"""),0.661224489795918)</f>
        <v>0.66122448979591797</v>
      </c>
      <c r="I186" s="25">
        <f ca="1">IFERROR(__xludf.DUMMYFUNCTION("""COMPUTED_VALUE"""),0.631578947368421)</f>
        <v>0.63157894736842102</v>
      </c>
      <c r="J186" s="25">
        <f ca="1">IFERROR(__xludf.DUMMYFUNCTION("""COMPUTED_VALUE"""),0.666666666666666)</f>
        <v>0.66666666666666596</v>
      </c>
      <c r="K186" s="25">
        <f ca="1">IFERROR(__xludf.DUMMYFUNCTION("""COMPUTED_VALUE"""),0.666666666666666)</f>
        <v>0.66666666666666596</v>
      </c>
      <c r="L186" s="25">
        <f ca="1">IFERROR(__xludf.DUMMYFUNCTION("""COMPUTED_VALUE"""),0.545454545454545)</f>
        <v>0.54545454545454497</v>
      </c>
      <c r="M186" s="25">
        <f ca="1">IFERROR(__xludf.DUMMYFUNCTION("""COMPUTED_VALUE"""),0.666666666666666)</f>
        <v>0.66666666666666596</v>
      </c>
      <c r="N186" s="25">
        <f ca="1">IFERROR(__xludf.DUMMYFUNCTION("""COMPUTED_VALUE"""),0.846153846153846)</f>
        <v>0.84615384615384603</v>
      </c>
      <c r="O186" s="25">
        <f ca="1">IFERROR(__xludf.DUMMYFUNCTION("""COMPUTED_VALUE"""),0.628571428571428)</f>
        <v>0.628571428571428</v>
      </c>
      <c r="P186" s="25">
        <f ca="1">IFERROR(__xludf.DUMMYFUNCTION("""COMPUTED_VALUE"""),0.636363636363636)</f>
        <v>0.63636363636363602</v>
      </c>
      <c r="Q186" s="25">
        <f ca="1">IFERROR(__xludf.DUMMYFUNCTION("""COMPUTED_VALUE"""),0)</f>
        <v>0</v>
      </c>
      <c r="R186" s="25">
        <f ca="1">IFERROR(__xludf.DUMMYFUNCTION("""COMPUTED_VALUE"""),0.863636363636363)</f>
        <v>0.86363636363636298</v>
      </c>
      <c r="S186" s="25">
        <f ca="1">IFERROR(__xludf.DUMMYFUNCTION("""COMPUTED_VALUE"""),0)</f>
        <v>0</v>
      </c>
      <c r="T186" s="25">
        <f ca="1">IFERROR(__xludf.DUMMYFUNCTION("""COMPUTED_VALUE"""),0.666666666666666)</f>
        <v>0.66666666666666596</v>
      </c>
      <c r="U186" s="25">
        <f ca="1">IFERROR(__xludf.DUMMYFUNCTION("""COMPUTED_VALUE"""),0.25)</f>
        <v>0.25</v>
      </c>
      <c r="V186" s="25">
        <f ca="1">IFERROR(__xludf.DUMMYFUNCTION("""COMPUTED_VALUE"""),0)</f>
        <v>0</v>
      </c>
      <c r="W186" s="4"/>
      <c r="X186" s="4" t="str">
        <f ca="1">IFERROR(__xludf.DUMMYFUNCTION("""COMPUTED_VALUE"""),"| 1 L NS @ | 2 L PHP-CGM % | 3 P PRO @ | 5 L JAVA @ | 6 L NS @ ")</f>
        <v xml:space="preserve">| 1 L NS @ | 2 L PHP-CGM % | 3 P PRO @ | 5 L JAVA @ | 6 L NS @ </v>
      </c>
      <c r="Y186" s="4" t="str">
        <f ca="1">IFERROR(__xludf.DUMMYFUNCTION("""COMPUTED_VALUE"""),"| 1 L CPT @ | 5 L PHP-CGM @ | 1 P CPT @ | 6 P Python @ ")</f>
        <v xml:space="preserve">| 1 L CPT @ | 5 L PHP-CGM @ | 1 P CPT @ | 6 P Python @ </v>
      </c>
      <c r="Z186" s="4" t="str">
        <f ca="1">IFERROR(__xludf.DUMMYFUNCTION("""COMPUTED_VALUE"""),"| 1 L CPT @ | 2 L PHP-CGM @ | 3 P JAVA @ | 5 P NS @ ")</f>
        <v xml:space="preserve">| 1 L CPT @ | 2 L PHP-CGM @ | 3 P JAVA @ | 5 P NS @ </v>
      </c>
      <c r="AA186" s="4" t="str">
        <f ca="1">IFERROR(__xludf.DUMMYFUNCTION("""COMPUTED_VALUE"""),"| 1 L NS % | 2 L JAVA % | 3 P Python % | 5 P PHP-CGM % ")</f>
        <v xml:space="preserve">| 1 L NS % | 2 L JAVA % | 3 P Python % | 5 P PHP-CGM % </v>
      </c>
      <c r="AB186" s="4" t="str">
        <f ca="1">IFERROR(__xludf.DUMMYFUNCTION("""COMPUTED_VALUE"""),"| 1 L CPT % | 2 L JAVA % | 3 P JAVA % ")</f>
        <v xml:space="preserve">| 1 L CPT % | 2 L JAVA % | 3 P JAVA % </v>
      </c>
      <c r="AC186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186" s="4" t="str">
        <f ca="1">IFERROR(__xludf.DUMMYFUNCTION("""COMPUTED_VALUE"""),"| 1 L CPT % | 2 L PHP-CGM % | 3 P CPT % | 6 P Python % ")</f>
        <v xml:space="preserve">| 1 L CPT % | 2 L PHP-CGM % | 3 P CPT % | 6 P Python % </v>
      </c>
      <c r="AE186" s="4" t="str">
        <f ca="1">IFERROR(__xludf.DUMMYFUNCTION("""COMPUTED_VALUE"""),"| 1 L CPT % | 3 P JAVA % | 5 P NS @ | 2 L PHP-CGM % ")</f>
        <v xml:space="preserve">| 1 L CPT % | 3 P JAVA % | 5 P NS @ | 2 L PHP-CGM % </v>
      </c>
      <c r="AF186" s="4" t="str">
        <f ca="1">IFERROR(__xludf.DUMMYFUNCTION("""COMPUTED_VALUE"""),"| 1 L NS % | 2 L CPT % | 3 P Python % | 5 P PHP-CGM % ")</f>
        <v xml:space="preserve">| 1 L NS % | 2 L CPT % | 3 P Python % | 5 P PHP-CGM % </v>
      </c>
      <c r="AG186" s="4" t="str">
        <f ca="1">IFERROR(__xludf.DUMMYFUNCTION("""COMPUTED_VALUE"""),"| 1 L CPT % | 2 L JAVA % | 3 P JAVA % ")</f>
        <v xml:space="preserve">| 1 L CPT % | 2 L JAVA % | 3 P JAVA % </v>
      </c>
      <c r="AH186" s="4" t="str">
        <f ca="1">IFERROR(__xludf.DUMMYFUNCTION("""COMPUTED_VALUE"""),"| 2 L JAVA % | 1 L NS % | 3 P Python % | 5 P PHP-CGM % ")</f>
        <v xml:space="preserve">| 2 L JAVA % | 1 L NS % | 3 P Python % | 5 P PHP-CGM % </v>
      </c>
      <c r="AI186" s="4" t="str">
        <f ca="1">IFERROR(__xludf.DUMMYFUNCTION("""COMPUTED_VALUE"""),"| 1 L CPT % | 2 L JAVA % | 3 P JAVA % ")</f>
        <v xml:space="preserve">| 1 L CPT % | 2 L JAVA % | 3 P JAVA % </v>
      </c>
      <c r="AJ18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86" s="4" t="str">
        <f ca="1">IFERROR(__xludf.DUMMYFUNCTION("""COMPUTED_VALUE"""),"| 1 L CPT % | 3 P CPT % | 2 L PHP-CGM % | 6 P Python % ")</f>
        <v xml:space="preserve">| 1 L CPT % | 3 P CPT % | 2 L PHP-CGM % | 6 P Python % </v>
      </c>
      <c r="AL186" s="4" t="str">
        <f ca="1">IFERROR(__xludf.DUMMYFUNCTION("""COMPUTED_VALUE"""),"| 1 L CPT % | 2 L PHP-CGM % | 3 P JAVA @ | 5 P NS % ")</f>
        <v xml:space="preserve">| 1 L CPT % | 2 L PHP-CGM % | 3 P JAVA @ | 5 P NS % </v>
      </c>
      <c r="AM186" s="4" t="str">
        <f ca="1">IFERROR(__xludf.DUMMYFUNCTION("""COMPUTED_VALUE"""),"| 2 L JAVA % | 3 P Python % | 5 P PHP-CGM % | 1 L NS % ")</f>
        <v xml:space="preserve">| 2 L JAVA % | 3 P Python % | 5 P PHP-CGM % | 1 L NS % </v>
      </c>
      <c r="AN186" s="4" t="str">
        <f ca="1">IFERROR(__xludf.DUMMYFUNCTION("""COMPUTED_VALUE"""),"| 1 L CPT % | 2 L JAVA % | 3 P JAVA @ | 5 L INE @ ")</f>
        <v xml:space="preserve">| 1 L CPT % | 2 L JAVA % | 3 P JAVA @ | 5 L INE @ </v>
      </c>
      <c r="AO186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86" s="4" t="str">
        <f ca="1">IFERROR(__xludf.DUMMYFUNCTION("""COMPUTED_VALUE"""),"| 1 L CPT % | 2 L PHP-CGM % | 3 P CPT % | 6 P Python % ")</f>
        <v xml:space="preserve">| 1 L CPT % | 2 L PHP-CGM % | 3 P CPT % | 6 P Python % </v>
      </c>
      <c r="AQ186" s="4" t="str">
        <f ca="1">IFERROR(__xludf.DUMMYFUNCTION("""COMPUTED_VALUE"""),"| 2 L PHP-CGM % | 3 P JAVA % | 1 L NS % | 5 P NS % ")</f>
        <v xml:space="preserve">| 2 L PHP-CGM % | 3 P JAVA % | 1 L NS % | 5 P NS % </v>
      </c>
      <c r="AR186" s="4" t="str">
        <f ca="1">IFERROR(__xludf.DUMMYFUNCTION("""COMPUTED_VALUE"""),"| 1 L CPT @ | 2 L JAVA @ | 3 P Python % | 5 P PHP-CGM @ ")</f>
        <v xml:space="preserve">| 1 L CPT @ | 2 L JAVA @ | 3 P Python % | 5 P PHP-CGM @ </v>
      </c>
      <c r="AS18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86" s="4" t="str">
        <f ca="1">IFERROR(__xludf.DUMMYFUNCTION("""COMPUTED_VALUE"""),"| 1 L CPT % | 2 L PHP-CGM % | 3 P CPT % | 6 P Python % ")</f>
        <v xml:space="preserve">| 1 L CPT % | 2 L PHP-CGM % | 3 P CPT % | 6 P Python % </v>
      </c>
      <c r="AU186" s="4" t="str">
        <f ca="1">IFERROR(__xludf.DUMMYFUNCTION("""COMPUTED_VALUE"""),"| 1 L NS % | 2 L PHP-CGM % | 3 P JAVA % | 5 P NS @ ")</f>
        <v xml:space="preserve">| 1 L NS % | 2 L PHP-CGM % | 3 P JAVA % | 5 P NS @ </v>
      </c>
      <c r="AV186" s="4" t="str">
        <f ca="1">IFERROR(__xludf.DUMMYFUNCTION("""COMPUTED_VALUE"""),"| 1 L CPT % | 2 L JAVA % | 3 P Python % | 5 P PHP-CGM % ")</f>
        <v xml:space="preserve">| 1 L CPT % | 2 L JAVA % | 3 P Python % | 5 P PHP-CGM % </v>
      </c>
      <c r="AW186" s="4" t="str">
        <f ca="1">IFERROR(__xludf.DUMMYFUNCTION("""COMPUTED_VALUE"""),"| 1 L CPT % | 2 L JAVA % | 3 P JAVA % | 5 L INE % | 6 L INE @ ")</f>
        <v xml:space="preserve">| 1 L CPT % | 2 L JAVA % | 3 P JAVA % | 5 L INE % | 6 L INE @ </v>
      </c>
      <c r="AX186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86" s="4" t="str">
        <f ca="1">IFERROR(__xludf.DUMMYFUNCTION("""COMPUTED_VALUE"""),"| 1 L CPT % | 2 L PHP-CGM % | 3 P CPT % | 6 P Python % ")</f>
        <v xml:space="preserve">| 1 L CPT % | 2 L PHP-CGM % | 3 P CPT % | 6 P Python % </v>
      </c>
      <c r="AZ186" s="4" t="str">
        <f ca="1">IFERROR(__xludf.DUMMYFUNCTION("""COMPUTED_VALUE"""),"| 1 L CPT % | 2 L JAVA % | 3 P Python % | 5 P PHP-CGM % ")</f>
        <v xml:space="preserve">| 1 L CPT % | 2 L JAVA % | 3 P Python % | 5 P PHP-CGM % </v>
      </c>
      <c r="BA186" s="4" t="str">
        <f ca="1">IFERROR(__xludf.DUMMYFUNCTION("""COMPUTED_VALUE"""),"| 1 L CPT % | 2 L JAVA % | 3 P JAVA % | 5 L INE @ ")</f>
        <v xml:space="preserve">| 1 L CPT % | 2 L JAVA % | 3 P JAVA % | 5 L INE @ </v>
      </c>
      <c r="BB18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6" s="4" t="str">
        <f ca="1">IFERROR(__xludf.DUMMYFUNCTION("""COMPUTED_VALUE"""),"| 1 L CPT % | 2 L PHP-CGM % | 3 P CPT % | 6 P Python % ")</f>
        <v xml:space="preserve">| 1 L CPT % | 2 L PHP-CGM % | 3 P CPT % | 6 P Python % </v>
      </c>
      <c r="BD186" s="4" t="str">
        <f ca="1">IFERROR(__xludf.DUMMYFUNCTION("""COMPUTED_VALUE"""),"| 1 L NS % | 2 L PHP-CGM % | 3 P JAVA % | 5 P NS % ")</f>
        <v xml:space="preserve">| 1 L NS % | 2 L PHP-CGM % | 3 P JAVA % | 5 P NS % </v>
      </c>
      <c r="BE186" s="4" t="str">
        <f ca="1">IFERROR(__xludf.DUMMYFUNCTION("""COMPUTED_VALUE"""),"| 1 L CPT % | 2 L JAVA % | 3 P Python % | 5 P PHP-CGM % ")</f>
        <v xml:space="preserve">| 1 L CPT % | 2 L JAVA % | 3 P Python % | 5 P PHP-CGM % </v>
      </c>
      <c r="BF186" s="4" t="str">
        <f ca="1">IFERROR(__xludf.DUMMYFUNCTION("""COMPUTED_VALUE"""),"| 1 L CPT % | 2 L JAVA % | 3 P JAVA % ")</f>
        <v xml:space="preserve">| 1 L CPT % | 2 L JAVA % | 3 P JAVA % </v>
      </c>
      <c r="BG186" s="4" t="str">
        <f ca="1">IFERROR(__xludf.DUMMYFUNCTION("""COMPUTED_VALUE"""),"| 2 L PHP-CGM @ | 3 P CPT @ | 1 L CPT % | 6 P Python @ ")</f>
        <v xml:space="preserve">| 2 L PHP-CGM @ | 3 P CPT @ | 1 L CPT % | 6 P Python @ </v>
      </c>
      <c r="BH186" s="4" t="str">
        <f ca="1">IFERROR(__xludf.DUMMYFUNCTION("""COMPUTED_VALUE"""),"| 1 L NS % | 2 L PHP-CGM % | 3 P JAVA % | 5 P NS % ")</f>
        <v xml:space="preserve">| 1 L NS % | 2 L PHP-CGM % | 3 P JAVA % | 5 P NS % </v>
      </c>
      <c r="BI186" s="4" t="str">
        <f ca="1">IFERROR(__xludf.DUMMYFUNCTION("""COMPUTED_VALUE"""),"| 1 L CPT % | 2 L JAVA % | 3 P Python % | 5 P PHP-CGM % ")</f>
        <v xml:space="preserve">| 1 L CPT % | 2 L JAVA % | 3 P Python % | 5 P PHP-CGM % </v>
      </c>
      <c r="BJ186" s="4" t="str">
        <f ca="1">IFERROR(__xludf.DUMMYFUNCTION("""COMPUTED_VALUE"""),"| 1 L CPT @ | 2 L JAVA @ | 3 P JAVA @ | 5 L INE @ ")</f>
        <v xml:space="preserve">| 1 L CPT @ | 2 L JAVA @ | 3 P JAVA @ | 5 L INE @ </v>
      </c>
      <c r="BK18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86" s="4" t="str">
        <f ca="1">IFERROR(__xludf.DUMMYFUNCTION("""COMPUTED_VALUE"""),"| 1 L CPT @ | 2 L PHP-CGM @ | 3 P CPT @ ")</f>
        <v xml:space="preserve">| 1 L CPT @ | 2 L PHP-CGM @ | 3 P CPT @ </v>
      </c>
      <c r="BM186" s="4" t="str">
        <f ca="1">IFERROR(__xludf.DUMMYFUNCTION("""COMPUTED_VALUE"""),"| 1 L NS % | 2 L PHP-CGM % | 3 P JAVA % | 5 P NS % ")</f>
        <v xml:space="preserve">| 1 L NS % | 2 L PHP-CGM % | 3 P JAVA % | 5 P NS % </v>
      </c>
      <c r="BN186" s="4" t="str">
        <f ca="1">IFERROR(__xludf.DUMMYFUNCTION("""COMPUTED_VALUE"""),"| 2 L JAVA @ | 1 L CPT @ | 3 P Python % | 5 P PHP-CGM % ")</f>
        <v xml:space="preserve">| 2 L JAVA @ | 1 L CPT @ | 3 P Python % | 5 P PHP-CGM % </v>
      </c>
      <c r="BO186" s="4" t="str">
        <f ca="1">IFERROR(__xludf.DUMMYFUNCTION("""COMPUTED_VALUE"""),"| 2 L JAVA @ | 1 L CPT @ | 3 P JAVA @ | 5 L INE @ ")</f>
        <v xml:space="preserve">| 2 L JAVA @ | 1 L CPT @ | 3 P JAVA @ | 5 L INE @ </v>
      </c>
      <c r="BP186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Q186" s="4"/>
      <c r="BR186" s="4"/>
      <c r="BS186" s="4"/>
      <c r="BT186" s="4" t="str">
        <f ca="1">IFERROR(__xludf.DUMMYFUNCTION("""COMPUTED_VALUE"""),"| 1 L NS @ | 2 L PHP-CGM @ | 3 P PRO % ")</f>
        <v xml:space="preserve">| 1 L NS @ | 2 L PHP-CGM @ | 3 P PRO % </v>
      </c>
      <c r="BU186" s="4" t="str">
        <f ca="1">IFERROR(__xludf.DUMMYFUNCTION("""COMPUTED_VALUE"""),"| 1 L CPT @ ")</f>
        <v xml:space="preserve">| 1 L CPT @ </v>
      </c>
      <c r="BV186" s="4" t="str">
        <f ca="1">IFERROR(__xludf.DUMMYFUNCTION("""COMPUTED_VALUE"""),"| 1 L NS @ | 2 L PHP-CGM @ | 3 P PRO @ | 6 L JAVA @ ")</f>
        <v xml:space="preserve">| 1 L NS @ | 2 L PHP-CGM @ | 3 P PRO @ | 6 L JAVA @ </v>
      </c>
      <c r="BW186" s="4" t="str">
        <f ca="1">IFERROR(__xludf.DUMMYFUNCTION("""COMPUTED_VALUE"""),"| 1 L CPT @ | 2 L PHP-CGM @ | 3 P CPT @ ")</f>
        <v xml:space="preserve">| 1 L CPT @ | 2 L PHP-CGM @ | 3 P CPT @ </v>
      </c>
      <c r="BX186" s="4" t="str">
        <f ca="1">IFERROR(__xludf.DUMMYFUNCTION("""COMPUTED_VALUE"""),"| 1 L NS @ | 2 L PHP-CGM @ | 3 P JAVA @ | 5 P NS @ ")</f>
        <v xml:space="preserve">| 1 L NS @ | 2 L PHP-CGM @ | 3 P JAVA @ | 5 P NS @ </v>
      </c>
      <c r="BY186" s="4" t="str">
        <f ca="1">IFERROR(__xludf.DUMMYFUNCTION("""COMPUTED_VALUE"""),"| 1 L CPT @ | 2 L JAVA @ | 3 P Python @ | 5 P PHP-CGM @ ")</f>
        <v xml:space="preserve">| 1 L CPT @ | 2 L JAVA @ | 3 P Python @ | 5 P PHP-CGM @ </v>
      </c>
      <c r="BZ186" s="4" t="str">
        <f ca="1">IFERROR(__xludf.DUMMYFUNCTION("""COMPUTED_VALUE"""),"| 1 L CPT @ | 2 L JAVA @ | 3 P JAVA @ | 5 L INE @ ")</f>
        <v xml:space="preserve">| 1 L CPT @ | 2 L JAVA @ | 3 P JAVA @ | 5 L INE @ </v>
      </c>
      <c r="CA186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CB186" s="4" t="str">
        <f ca="1">IFERROR(__xludf.DUMMYFUNCTION("""COMPUTED_VALUE"""),"| 2 L PHP-CGM @ | 3 P CPT % | 6 P Python % | 1 L CPT @ ")</f>
        <v xml:space="preserve">| 2 L PHP-CGM @ | 3 P CPT % | 6 P Python % | 1 L CPT @ </v>
      </c>
      <c r="CC186" s="4" t="str">
        <f ca="1">IFERROR(__xludf.DUMMYFUNCTION("""COMPUTED_VALUE"""),"| 1 L NS @ | 2 L PHP-CGM @ | 3 P JAVA @ | 5 P NS % ")</f>
        <v xml:space="preserve">| 1 L NS @ | 2 L PHP-CGM @ | 3 P JAVA @ | 5 P NS % </v>
      </c>
      <c r="CD186" s="4" t="str">
        <f ca="1">IFERROR(__xludf.DUMMYFUNCTION("""COMPUTED_VALUE"""),"| 1 L CPT @ | 2 L JAVA @ | 3 P Python % | 5 P PHP-CGM % ")</f>
        <v xml:space="preserve">| 1 L CPT @ | 2 L JAVA @ | 3 P Python % | 5 P PHP-CGM % </v>
      </c>
      <c r="CE186" s="4" t="str">
        <f ca="1">IFERROR(__xludf.DUMMYFUNCTION("""COMPUTED_VALUE"""),"| 1 L CPT % | 2 L JAVA % | 3 P JAVA % | 5 L INE % ")</f>
        <v xml:space="preserve">| 1 L CPT % | 2 L JAVA % | 3 P JAVA % | 5 L INE % </v>
      </c>
      <c r="CF186" s="4" t="str">
        <f ca="1">IFERROR(__xludf.DUMMYFUNCTION("""COMPUTED_VALUE"""),"| 1 L NS @ | 2 L PHP-CGM @ | 5 L NS @ | 6 L JAVA @ ")</f>
        <v xml:space="preserve">| 1 L NS @ | 2 L PHP-CGM @ | 5 L NS @ | 6 L JAVA @ </v>
      </c>
      <c r="CG186" s="4" t="str">
        <f ca="1">IFERROR(__xludf.DUMMYFUNCTION("""COMPUTED_VALUE"""),"| 1 L CPT % | 2 L PHP-CGM % | 6 P Python % | 3 P CPT % ")</f>
        <v xml:space="preserve">| 1 L CPT % | 2 L PHP-CGM % | 6 P Python % | 3 P CPT % </v>
      </c>
      <c r="CH186" s="4" t="str">
        <f ca="1">IFERROR(__xludf.DUMMYFUNCTION("""COMPUTED_VALUE"""),"| 1 L NS % | 2 L PHP-CGM % | 3 P JAVA % | 5 P NS @ ")</f>
        <v xml:space="preserve">| 1 L NS % | 2 L PHP-CGM % | 3 P JAVA % | 5 P NS @ </v>
      </c>
      <c r="CI186" s="4" t="str">
        <f ca="1">IFERROR(__xludf.DUMMYFUNCTION("""COMPUTED_VALUE"""),"| 1 L CPT % | 2 L JAVA % | 5 P PHP-CGM % ")</f>
        <v xml:space="preserve">| 1 L CPT % | 2 L JAVA % | 5 P PHP-CGM % </v>
      </c>
      <c r="CJ186" s="4" t="str">
        <f ca="1">IFERROR(__xludf.DUMMYFUNCTION("""COMPUTED_VALUE"""),"| 1 L CPT @ ")</f>
        <v xml:space="preserve">| 1 L CPT @ </v>
      </c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</row>
    <row r="187" spans="1:102" ht="12.5" x14ac:dyDescent="0.25">
      <c r="A187" s="3">
        <f ca="1">IFERROR(__xludf.DUMMYFUNCTION("""COMPUTED_VALUE"""),1)</f>
        <v>1</v>
      </c>
      <c r="B187" s="3" t="str">
        <f ca="1">IFERROR(__xludf.DUMMYFUNCTION("""COMPUTED_VALUE"""),"C")</f>
        <v>C</v>
      </c>
      <c r="C187" s="32" t="str">
        <f ca="1">IFERROR(__xludf.DUMMYFUNCTION("""COMPUTED_VALUE"""),"23171341056")</f>
        <v>23171341056</v>
      </c>
      <c r="D187" s="4" t="str">
        <f ca="1">IFERROR(__xludf.DUMMYFUNCTION("""COMPUTED_VALUE"""),"MODI PRIYANSHU BHAVESHKUMAR")</f>
        <v>MODI PRIYANSHU BHAVESHKUMAR</v>
      </c>
      <c r="E187" s="3" t="str">
        <f ca="1">IFERROR(__xludf.DUMMYFUNCTION("""COMPUTED_VALUE"""),"PKN/PAP-Mor")</f>
        <v>PKN/PAP-Mor</v>
      </c>
      <c r="F187" s="3">
        <f ca="1">IFERROR(__xludf.DUMMYFUNCTION("""COMPUTED_VALUE"""),9925870722)</f>
        <v>9925870722</v>
      </c>
      <c r="G187" s="3">
        <f ca="1">IFERROR(__xludf.DUMMYFUNCTION("""COMPUTED_VALUE"""),9925804455)</f>
        <v>9925804455</v>
      </c>
      <c r="H187" s="33">
        <f ca="1">IFERROR(__xludf.DUMMYFUNCTION("""COMPUTED_VALUE"""),0.522448979591836)</f>
        <v>0.522448979591836</v>
      </c>
      <c r="I187" s="25">
        <f ca="1">IFERROR(__xludf.DUMMYFUNCTION("""COMPUTED_VALUE"""),0.578947368421052)</f>
        <v>0.57894736842105199</v>
      </c>
      <c r="J187" s="25">
        <f ca="1">IFERROR(__xludf.DUMMYFUNCTION("""COMPUTED_VALUE"""),0.75)</f>
        <v>0.75</v>
      </c>
      <c r="K187" s="25">
        <f ca="1">IFERROR(__xludf.DUMMYFUNCTION("""COMPUTED_VALUE"""),0.5)</f>
        <v>0.5</v>
      </c>
      <c r="L187" s="25">
        <f ca="1">IFERROR(__xludf.DUMMYFUNCTION("""COMPUTED_VALUE"""),0.454545454545454)</f>
        <v>0.45454545454545398</v>
      </c>
      <c r="M187" s="25">
        <f ca="1">IFERROR(__xludf.DUMMYFUNCTION("""COMPUTED_VALUE"""),0.611111111111111)</f>
        <v>0.61111111111111105</v>
      </c>
      <c r="N187" s="25">
        <f ca="1">IFERROR(__xludf.DUMMYFUNCTION("""COMPUTED_VALUE"""),0.153846153846153)</f>
        <v>0.15384615384615299</v>
      </c>
      <c r="O187" s="25">
        <f ca="1">IFERROR(__xludf.DUMMYFUNCTION("""COMPUTED_VALUE"""),0.457142857142857)</f>
        <v>0.45714285714285702</v>
      </c>
      <c r="P187" s="25">
        <f ca="1">IFERROR(__xludf.DUMMYFUNCTION("""COMPUTED_VALUE"""),0.5)</f>
        <v>0.5</v>
      </c>
      <c r="Q187" s="25">
        <f ca="1">IFERROR(__xludf.DUMMYFUNCTION("""COMPUTED_VALUE"""),0)</f>
        <v>0</v>
      </c>
      <c r="R187" s="25">
        <f ca="1">IFERROR(__xludf.DUMMYFUNCTION("""COMPUTED_VALUE"""),0.636363636363636)</f>
        <v>0.63636363636363602</v>
      </c>
      <c r="S187" s="25">
        <f ca="1">IFERROR(__xludf.DUMMYFUNCTION("""COMPUTED_VALUE"""),0)</f>
        <v>0</v>
      </c>
      <c r="T187" s="25">
        <f ca="1">IFERROR(__xludf.DUMMYFUNCTION("""COMPUTED_VALUE"""),0.666666666666666)</f>
        <v>0.66666666666666596</v>
      </c>
      <c r="U187" s="25">
        <f ca="1">IFERROR(__xludf.DUMMYFUNCTION("""COMPUTED_VALUE"""),0.125)</f>
        <v>0.125</v>
      </c>
      <c r="V187" s="25">
        <f ca="1">IFERROR(__xludf.DUMMYFUNCTION("""COMPUTED_VALUE"""),0)</f>
        <v>0</v>
      </c>
      <c r="W187" s="4"/>
      <c r="X187" s="4" t="str">
        <f ca="1">IFERROR(__xludf.DUMMYFUNCTION("""COMPUTED_VALUE"""),"| 1 L NS @ | 2 L PHP-CGM % | 3 P PRO % | 5 L JAVA % | 6 L NS % ")</f>
        <v xml:space="preserve">| 1 L NS @ | 2 L PHP-CGM % | 3 P PRO % | 5 L JAVA % | 6 L NS % </v>
      </c>
      <c r="Y187" s="4" t="str">
        <f ca="1">IFERROR(__xludf.DUMMYFUNCTION("""COMPUTED_VALUE"""),"| 1 L CPT % | 5 L PHP-CGM % | 1 P CPT % | 6 P Python @ ")</f>
        <v xml:space="preserve">| 1 L CPT % | 5 L PHP-CGM % | 1 P CPT % | 6 P Python @ </v>
      </c>
      <c r="Z187" s="4" t="str">
        <f ca="1">IFERROR(__xludf.DUMMYFUNCTION("""COMPUTED_VALUE"""),"| 1 L CPT % | 2 L PHP-CGM % | 3 P JAVA % | 5 P NS @ ")</f>
        <v xml:space="preserve">| 1 L CPT % | 2 L PHP-CGM % | 3 P JAVA % | 5 P NS @ </v>
      </c>
      <c r="AA187" s="4" t="str">
        <f ca="1">IFERROR(__xludf.DUMMYFUNCTION("""COMPUTED_VALUE"""),"| 1 L NS % | 2 L JAVA % | 3 P Python % | 5 P PHP-CGM @ ")</f>
        <v xml:space="preserve">| 1 L NS % | 2 L JAVA % | 3 P Python % | 5 P PHP-CGM @ </v>
      </c>
      <c r="AB187" s="4" t="str">
        <f ca="1">IFERROR(__xludf.DUMMYFUNCTION("""COMPUTED_VALUE"""),"| 1 L CPT % | 2 L JAVA % | 3 P JAVA % ")</f>
        <v xml:space="preserve">| 1 L CPT % | 2 L JAVA % | 3 P JAVA % </v>
      </c>
      <c r="AC187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187" s="4" t="str">
        <f ca="1">IFERROR(__xludf.DUMMYFUNCTION("""COMPUTED_VALUE"""),"| 1 L CPT @ | 2 L PHP-CGM @ | 3 P CPT @ | 6 P Python @ ")</f>
        <v xml:space="preserve">| 1 L CPT @ | 2 L PHP-CGM @ | 3 P CPT @ | 6 P Python @ </v>
      </c>
      <c r="AE187" s="4" t="str">
        <f ca="1">IFERROR(__xludf.DUMMYFUNCTION("""COMPUTED_VALUE"""),"| 1 L CPT % | 3 P JAVA % | 5 P NS % | 2 L PHP-CGM % ")</f>
        <v xml:space="preserve">| 1 L CPT % | 3 P JAVA % | 5 P NS % | 2 L PHP-CGM % </v>
      </c>
      <c r="AF187" s="4" t="str">
        <f ca="1">IFERROR(__xludf.DUMMYFUNCTION("""COMPUTED_VALUE"""),"| 1 L NS % | 2 L CPT % | 3 P Python % | 5 P PHP-CGM @ ")</f>
        <v xml:space="preserve">| 1 L NS % | 2 L CPT % | 3 P Python % | 5 P PHP-CGM @ </v>
      </c>
      <c r="AG187" s="4" t="str">
        <f ca="1">IFERROR(__xludf.DUMMYFUNCTION("""COMPUTED_VALUE"""),"| 1 L CPT % | 2 L JAVA % | 3 P JAVA @ ")</f>
        <v xml:space="preserve">| 1 L CPT % | 2 L JAVA % | 3 P JAVA @ </v>
      </c>
      <c r="AH187" s="4" t="str">
        <f ca="1">IFERROR(__xludf.DUMMYFUNCTION("""COMPUTED_VALUE"""),"| 2 L JAVA % | 1 L NS % | 3 P Python % | 5 P PHP-CGM @ ")</f>
        <v xml:space="preserve">| 2 L JAVA % | 1 L NS % | 3 P Python % | 5 P PHP-CGM @ </v>
      </c>
      <c r="AI187" s="4" t="str">
        <f ca="1">IFERROR(__xludf.DUMMYFUNCTION("""COMPUTED_VALUE"""),"| 1 L CPT % | 2 L JAVA % | 3 P JAVA @ ")</f>
        <v xml:space="preserve">| 1 L CPT % | 2 L JAVA % | 3 P JAVA @ </v>
      </c>
      <c r="AJ187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K187" s="4" t="str">
        <f ca="1">IFERROR(__xludf.DUMMYFUNCTION("""COMPUTED_VALUE"""),"| 1 L CPT % | 3 P CPT % | 2 L PHP-CGM % | 6 P Python @ ")</f>
        <v xml:space="preserve">| 1 L CPT % | 3 P CPT % | 2 L PHP-CGM % | 6 P Python @ </v>
      </c>
      <c r="AL187" s="4" t="str">
        <f ca="1">IFERROR(__xludf.DUMMYFUNCTION("""COMPUTED_VALUE"""),"| 1 L CPT % | 2 L PHP-CGM % | 3 P JAVA % | 5 P NS @ ")</f>
        <v xml:space="preserve">| 1 L CPT % | 2 L PHP-CGM % | 3 P JAVA % | 5 P NS @ </v>
      </c>
      <c r="AM187" s="4" t="str">
        <f ca="1">IFERROR(__xludf.DUMMYFUNCTION("""COMPUTED_VALUE"""),"| 2 L JAVA % | 3 P Python @ | 5 P PHP-CGM @ | 1 L NS % ")</f>
        <v xml:space="preserve">| 2 L JAVA % | 3 P Python @ | 5 P PHP-CGM @ | 1 L NS % </v>
      </c>
      <c r="AN187" s="4" t="str">
        <f ca="1">IFERROR(__xludf.DUMMYFUNCTION("""COMPUTED_VALUE"""),"| 1 L CPT % | 2 L JAVA % | 3 P JAVA % | 5 L INE @ ")</f>
        <v xml:space="preserve">| 1 L CPT % | 2 L JAVA % | 3 P JAVA % | 5 L INE @ </v>
      </c>
      <c r="AO187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P187" s="4" t="str">
        <f ca="1">IFERROR(__xludf.DUMMYFUNCTION("""COMPUTED_VALUE"""),"| 1 L CPT % | 2 L PHP-CGM % | 3 P CPT % | 6 P Python % ")</f>
        <v xml:space="preserve">| 1 L CPT % | 2 L PHP-CGM % | 3 P CPT % | 6 P Python % </v>
      </c>
      <c r="AQ187" s="4" t="str">
        <f ca="1">IFERROR(__xludf.DUMMYFUNCTION("""COMPUTED_VALUE"""),"| 2 L PHP-CGM % | 3 P JAVA % | 1 L NS % | 5 P NS @ ")</f>
        <v xml:space="preserve">| 2 L PHP-CGM % | 3 P JAVA % | 1 L NS % | 5 P NS @ </v>
      </c>
      <c r="AR187" s="4" t="str">
        <f ca="1">IFERROR(__xludf.DUMMYFUNCTION("""COMPUTED_VALUE"""),"| 1 L CPT % | 2 L JAVA % | 3 P Python % | 5 P PHP-CGM @ ")</f>
        <v xml:space="preserve">| 1 L CPT % | 2 L JAVA % | 3 P Python % | 5 P PHP-CGM @ </v>
      </c>
      <c r="AS187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87" s="4" t="str">
        <f ca="1">IFERROR(__xludf.DUMMYFUNCTION("""COMPUTED_VALUE"""),"| 1 L CPT % | 2 L PHP-CGM % | 3 P CPT % | 6 P Python % ")</f>
        <v xml:space="preserve">| 1 L CPT % | 2 L PHP-CGM % | 3 P CPT % | 6 P Python % </v>
      </c>
      <c r="AU187" s="4" t="str">
        <f ca="1">IFERROR(__xludf.DUMMYFUNCTION("""COMPUTED_VALUE"""),"| 1 L NS % | 2 L PHP-CGM % | 3 P JAVA @ | 5 P NS % ")</f>
        <v xml:space="preserve">| 1 L NS % | 2 L PHP-CGM % | 3 P JAVA @ | 5 P NS % </v>
      </c>
      <c r="AV187" s="4" t="str">
        <f ca="1">IFERROR(__xludf.DUMMYFUNCTION("""COMPUTED_VALUE"""),"| 1 L CPT % | 2 L JAVA % | 3 P Python @ | 5 P PHP-CGM @ ")</f>
        <v xml:space="preserve">| 1 L CPT % | 2 L JAVA % | 3 P Python @ | 5 P PHP-CGM @ </v>
      </c>
      <c r="AW187" s="4" t="str">
        <f ca="1">IFERROR(__xludf.DUMMYFUNCTION("""COMPUTED_VALUE"""),"| 1 L CPT % | 2 L JAVA % | 3 P JAVA % | 5 L INE @ | 6 L INE % ")</f>
        <v xml:space="preserve">| 1 L CPT % | 2 L JAVA % | 3 P JAVA % | 5 L INE @ | 6 L INE % </v>
      </c>
      <c r="AX187" s="4" t="str">
        <f ca="1">IFERROR(__xludf.DUMMYFUNCTION("""COMPUTED_VALUE"""),"| 1 L NS % | 2 L PHP-CGM % | 3 P PRO % | 5 L NS @ | 5 L JAVA % ")</f>
        <v xml:space="preserve">| 1 L NS % | 2 L PHP-CGM % | 3 P PRO % | 5 L NS @ | 5 L JAVA % </v>
      </c>
      <c r="AY187" s="4" t="str">
        <f ca="1">IFERROR(__xludf.DUMMYFUNCTION("""COMPUTED_VALUE"""),"| 1 L CPT % | 2 L PHP-CGM % | 3 P CPT % | 6 P Python % ")</f>
        <v xml:space="preserve">| 1 L CPT % | 2 L PHP-CGM % | 3 P CPT % | 6 P Python % </v>
      </c>
      <c r="AZ187" s="4" t="str">
        <f ca="1">IFERROR(__xludf.DUMMYFUNCTION("""COMPUTED_VALUE"""),"| 1 L CPT @ | 2 L JAVA @ | 3 P Python % | 5 P PHP-CGM @ ")</f>
        <v xml:space="preserve">| 1 L CPT @ | 2 L JAVA @ | 3 P Python % | 5 P PHP-CGM @ </v>
      </c>
      <c r="BA187" s="4" t="str">
        <f ca="1">IFERROR(__xludf.DUMMYFUNCTION("""COMPUTED_VALUE"""),"| 1 L CPT % | 2 L JAVA % | 3 P JAVA % | 5 L INE @ ")</f>
        <v xml:space="preserve">| 1 L CPT % | 2 L JAVA % | 3 P JAVA % | 5 L INE @ </v>
      </c>
      <c r="BB187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7" s="4" t="str">
        <f ca="1">IFERROR(__xludf.DUMMYFUNCTION("""COMPUTED_VALUE"""),"| 1 L CPT % | 2 L PHP-CGM % | 3 P CPT % | 6 P Python % ")</f>
        <v xml:space="preserve">| 1 L CPT % | 2 L PHP-CGM % | 3 P CPT % | 6 P Python % </v>
      </c>
      <c r="BD187" s="4" t="str">
        <f ca="1">IFERROR(__xludf.DUMMYFUNCTION("""COMPUTED_VALUE"""),"| 1 L NS % | 2 L PHP-CGM % | 3 P JAVA % | 5 P NS % ")</f>
        <v xml:space="preserve">| 1 L NS % | 2 L PHP-CGM % | 3 P JAVA % | 5 P NS % </v>
      </c>
      <c r="BE187" s="4" t="str">
        <f ca="1">IFERROR(__xludf.DUMMYFUNCTION("""COMPUTED_VALUE"""),"| 1 L CPT % | 2 L JAVA @ | 3 P Python % | 5 P PHP-CGM % ")</f>
        <v xml:space="preserve">| 1 L CPT % | 2 L JAVA @ | 3 P Python % | 5 P PHP-CGM % </v>
      </c>
      <c r="BF187" s="4" t="str">
        <f ca="1">IFERROR(__xludf.DUMMYFUNCTION("""COMPUTED_VALUE"""),"| 1 L CPT % | 2 L JAVA @ | 3 P JAVA @ ")</f>
        <v xml:space="preserve">| 1 L CPT % | 2 L JAVA @ | 3 P JAVA @ </v>
      </c>
      <c r="BG187" s="4" t="str">
        <f ca="1">IFERROR(__xludf.DUMMYFUNCTION("""COMPUTED_VALUE"""),"| 2 L PHP-CGM % | 3 P CPT % | 1 L CPT % | 6 P Python % ")</f>
        <v xml:space="preserve">| 2 L PHP-CGM % | 3 P CPT % | 1 L CPT % | 6 P Python % </v>
      </c>
      <c r="BH187" s="4" t="str">
        <f ca="1">IFERROR(__xludf.DUMMYFUNCTION("""COMPUTED_VALUE"""),"| 1 L NS % | 2 L PHP-CGM % | 3 P JAVA % | 5 P NS @ ")</f>
        <v xml:space="preserve">| 1 L NS % | 2 L PHP-CGM % | 3 P JAVA % | 5 P NS @ </v>
      </c>
      <c r="BI187" s="4" t="str">
        <f ca="1">IFERROR(__xludf.DUMMYFUNCTION("""COMPUTED_VALUE"""),"| 1 L CPT % | 2 L JAVA @ | 3 P Python % | 5 P PHP-CGM @ ")</f>
        <v xml:space="preserve">| 1 L CPT % | 2 L JAVA @ | 3 P Python % | 5 P PHP-CGM @ </v>
      </c>
      <c r="BJ187" s="4" t="str">
        <f ca="1">IFERROR(__xludf.DUMMYFUNCTION("""COMPUTED_VALUE"""),"| 1 L CPT @ | 2 L JAVA @ | 3 P JAVA @ | 5 L INE @ ")</f>
        <v xml:space="preserve">| 1 L CPT @ | 2 L JAVA @ | 3 P JAVA @ | 5 L INE @ </v>
      </c>
      <c r="BK187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87" s="4" t="str">
        <f ca="1">IFERROR(__xludf.DUMMYFUNCTION("""COMPUTED_VALUE"""),"| 1 L CPT @ | 2 L PHP-CGM @ | 3 P CPT @ ")</f>
        <v xml:space="preserve">| 1 L CPT @ | 2 L PHP-CGM @ | 3 P CPT @ </v>
      </c>
      <c r="BM187" s="4" t="str">
        <f ca="1">IFERROR(__xludf.DUMMYFUNCTION("""COMPUTED_VALUE"""),"| 1 L NS @ | 2 L PHP-CGM @ | 3 P JAVA @ | 5 P NS @ ")</f>
        <v xml:space="preserve">| 1 L NS @ | 2 L PHP-CGM @ | 3 P JAVA @ | 5 P NS @ </v>
      </c>
      <c r="BN187" s="4" t="str">
        <f ca="1">IFERROR(__xludf.DUMMYFUNCTION("""COMPUTED_VALUE"""),"| 2 L JAVA @ | 1 L CPT @ | 3 P Python % | 5 P PHP-CGM @ ")</f>
        <v xml:space="preserve">| 2 L JAVA @ | 1 L CPT @ | 3 P Python % | 5 P PHP-CGM @ </v>
      </c>
      <c r="BO187" s="4" t="str">
        <f ca="1">IFERROR(__xludf.DUMMYFUNCTION("""COMPUTED_VALUE"""),"| 2 L JAVA @ | 1 L CPT @ | 3 P JAVA @ | 5 L INE @ ")</f>
        <v xml:space="preserve">| 2 L JAVA @ | 1 L CPT @ | 3 P JAVA @ | 5 L INE @ </v>
      </c>
      <c r="BP187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87" s="4"/>
      <c r="BR187" s="4"/>
      <c r="BS187" s="4"/>
      <c r="BT187" s="4" t="str">
        <f ca="1">IFERROR(__xludf.DUMMYFUNCTION("""COMPUTED_VALUE"""),"| 1 L NS @ | 2 L PHP-CGM @ | 3 P PRO @ ")</f>
        <v xml:space="preserve">| 1 L NS @ | 2 L PHP-CGM @ | 3 P PRO @ </v>
      </c>
      <c r="BU187" s="4" t="str">
        <f ca="1">IFERROR(__xludf.DUMMYFUNCTION("""COMPUTED_VALUE"""),"| 1 L CPT @ ")</f>
        <v xml:space="preserve">| 1 L CPT @ </v>
      </c>
      <c r="BV187" s="4" t="str">
        <f ca="1">IFERROR(__xludf.DUMMYFUNCTION("""COMPUTED_VALUE"""),"| 1 L NS @ | 2 L PHP-CGM @ | 3 P PRO @ | 6 L JAVA @ ")</f>
        <v xml:space="preserve">| 1 L NS @ | 2 L PHP-CGM @ | 3 P PRO @ | 6 L JAVA @ </v>
      </c>
      <c r="BW187" s="4" t="str">
        <f ca="1">IFERROR(__xludf.DUMMYFUNCTION("""COMPUTED_VALUE"""),"| 1 L CPT @ | 2 L PHP-CGM @ | 3 P CPT @ ")</f>
        <v xml:space="preserve">| 1 L CPT @ | 2 L PHP-CGM @ | 3 P CPT @ </v>
      </c>
      <c r="BX187" s="4" t="str">
        <f ca="1">IFERROR(__xludf.DUMMYFUNCTION("""COMPUTED_VALUE"""),"| 1 L NS % | 2 L PHP-CGM % | 3 P JAVA @ | 5 P NS % ")</f>
        <v xml:space="preserve">| 1 L NS % | 2 L PHP-CGM % | 3 P JAVA @ | 5 P NS % </v>
      </c>
      <c r="BY187" s="4" t="str">
        <f ca="1">IFERROR(__xludf.DUMMYFUNCTION("""COMPUTED_VALUE"""),"| 1 L CPT @ | 2 L JAVA @ | 3 P Python @ | 5 P PHP-CGM @ ")</f>
        <v xml:space="preserve">| 1 L CPT @ | 2 L JAVA @ | 3 P Python @ | 5 P PHP-CGM @ </v>
      </c>
      <c r="BZ187" s="4" t="str">
        <f ca="1">IFERROR(__xludf.DUMMYFUNCTION("""COMPUTED_VALUE"""),"| 1 L CPT @ | 2 L JAVA @ | 3 P JAVA @ | 5 L INE @ ")</f>
        <v xml:space="preserve">| 1 L CPT @ | 2 L JAVA @ | 3 P JAVA @ | 5 L INE @ </v>
      </c>
      <c r="CA187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CB187" s="4" t="str">
        <f ca="1">IFERROR(__xludf.DUMMYFUNCTION("""COMPUTED_VALUE"""),"| 2 L PHP-CGM @ | 3 P CPT % | 6 P Python @ | 1 L CPT @ ")</f>
        <v xml:space="preserve">| 2 L PHP-CGM @ | 3 P CPT % | 6 P Python @ | 1 L CPT @ </v>
      </c>
      <c r="CC187" s="4" t="str">
        <f ca="1">IFERROR(__xludf.DUMMYFUNCTION("""COMPUTED_VALUE"""),"| 1 L NS @ | 2 L PHP-CGM @ | 3 P JAVA @ | 5 P NS @ ")</f>
        <v xml:space="preserve">| 1 L NS @ | 2 L PHP-CGM @ | 3 P JAVA @ | 5 P NS @ </v>
      </c>
      <c r="CD187" s="4" t="str">
        <f ca="1">IFERROR(__xludf.DUMMYFUNCTION("""COMPUTED_VALUE"""),"| 1 L CPT @ | 2 L JAVA @ | 3 P Python @ | 5 P PHP-CGM @ ")</f>
        <v xml:space="preserve">| 1 L CPT @ | 2 L JAVA @ | 3 P Python @ | 5 P PHP-CGM @ </v>
      </c>
      <c r="CE187" s="4" t="str">
        <f ca="1">IFERROR(__xludf.DUMMYFUNCTION("""COMPUTED_VALUE"""),"| 1 L CPT @ | 2 L JAVA @ | 3 P JAVA @ | 5 L INE @ ")</f>
        <v xml:space="preserve">| 1 L CPT @ | 2 L JAVA @ | 3 P JAVA @ | 5 L INE @ </v>
      </c>
      <c r="CF187" s="4" t="str">
        <f ca="1">IFERROR(__xludf.DUMMYFUNCTION("""COMPUTED_VALUE"""),"| 1 L NS @ | 2 L PHP-CGM @ | 5 L NS @ | 6 L JAVA @ ")</f>
        <v xml:space="preserve">| 1 L NS @ | 2 L PHP-CGM @ | 5 L NS @ | 6 L JAVA @ </v>
      </c>
      <c r="CG187" s="4" t="str">
        <f ca="1">IFERROR(__xludf.DUMMYFUNCTION("""COMPUTED_VALUE"""),"| 1 L CPT @ | 2 L PHP-CGM @ | 6 P Python % | 3 P CPT % ")</f>
        <v xml:space="preserve">| 1 L CPT @ | 2 L PHP-CGM @ | 6 P Python % | 3 P CPT % </v>
      </c>
      <c r="CH187" s="4" t="str">
        <f ca="1">IFERROR(__xludf.DUMMYFUNCTION("""COMPUTED_VALUE"""),"| 1 L NS @ | 2 L PHP-CGM @ | 3 P JAVA % | 5 P NS % ")</f>
        <v xml:space="preserve">| 1 L NS @ | 2 L PHP-CGM @ | 3 P JAVA % | 5 P NS % </v>
      </c>
      <c r="CI187" s="4" t="str">
        <f ca="1">IFERROR(__xludf.DUMMYFUNCTION("""COMPUTED_VALUE"""),"| 1 L CPT @ | 2 L JAVA % | 5 P PHP-CGM % ")</f>
        <v xml:space="preserve">| 1 L CPT @ | 2 L JAVA % | 5 P PHP-CGM % </v>
      </c>
      <c r="CJ187" s="4" t="str">
        <f ca="1">IFERROR(__xludf.DUMMYFUNCTION("""COMPUTED_VALUE"""),"| 1 L CPT @ ")</f>
        <v xml:space="preserve">| 1 L CPT @ </v>
      </c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</row>
    <row r="188" spans="1:102" ht="12.5" x14ac:dyDescent="0.25">
      <c r="A188" s="3">
        <f ca="1">IFERROR(__xludf.DUMMYFUNCTION("""COMPUTED_VALUE"""),1)</f>
        <v>1</v>
      </c>
      <c r="B188" s="3" t="str">
        <f ca="1">IFERROR(__xludf.DUMMYFUNCTION("""COMPUTED_VALUE"""),"C")</f>
        <v>C</v>
      </c>
      <c r="C188" s="32" t="str">
        <f ca="1">IFERROR(__xludf.DUMMYFUNCTION("""COMPUTED_VALUE"""),"23171341057")</f>
        <v>23171341057</v>
      </c>
      <c r="D188" s="4" t="str">
        <f ca="1">IFERROR(__xludf.DUMMYFUNCTION("""COMPUTED_VALUE"""),"NAMRA BHAVINKUMAR DESAI")</f>
        <v>NAMRA BHAVINKUMAR DESAI</v>
      </c>
      <c r="E188" s="3" t="str">
        <f ca="1">IFERROR(__xludf.DUMMYFUNCTION("""COMPUTED_VALUE"""),"PKN/PAP-Mor")</f>
        <v>PKN/PAP-Mor</v>
      </c>
      <c r="F188" s="3">
        <f ca="1">IFERROR(__xludf.DUMMYFUNCTION("""COMPUTED_VALUE"""),8849856329)</f>
        <v>8849856329</v>
      </c>
      <c r="G188" s="3">
        <f ca="1">IFERROR(__xludf.DUMMYFUNCTION("""COMPUTED_VALUE"""),9426281866)</f>
        <v>9426281866</v>
      </c>
      <c r="H188" s="33">
        <f ca="1">IFERROR(__xludf.DUMMYFUNCTION("""COMPUTED_VALUE"""),0.897959183673469)</f>
        <v>0.89795918367346905</v>
      </c>
      <c r="I188" s="25">
        <f ca="1">IFERROR(__xludf.DUMMYFUNCTION("""COMPUTED_VALUE"""),0.894736842105263)</f>
        <v>0.89473684210526305</v>
      </c>
      <c r="J188" s="25">
        <f ca="1">IFERROR(__xludf.DUMMYFUNCTION("""COMPUTED_VALUE"""),1)</f>
        <v>1</v>
      </c>
      <c r="K188" s="25">
        <f ca="1">IFERROR(__xludf.DUMMYFUNCTION("""COMPUTED_VALUE"""),0.916666666666666)</f>
        <v>0.91666666666666596</v>
      </c>
      <c r="L188" s="25">
        <f ca="1">IFERROR(__xludf.DUMMYFUNCTION("""COMPUTED_VALUE"""),1)</f>
        <v>1</v>
      </c>
      <c r="M188" s="25">
        <f ca="1">IFERROR(__xludf.DUMMYFUNCTION("""COMPUTED_VALUE"""),0.944444444444444)</f>
        <v>0.94444444444444398</v>
      </c>
      <c r="N188" s="25">
        <f ca="1">IFERROR(__xludf.DUMMYFUNCTION("""COMPUTED_VALUE"""),1)</f>
        <v>1</v>
      </c>
      <c r="O188" s="25">
        <f ca="1">IFERROR(__xludf.DUMMYFUNCTION("""COMPUTED_VALUE"""),0.771428571428571)</f>
        <v>0.77142857142857102</v>
      </c>
      <c r="P188" s="25">
        <f ca="1">IFERROR(__xludf.DUMMYFUNCTION("""COMPUTED_VALUE"""),0.863636363636363)</f>
        <v>0.86363636363636298</v>
      </c>
      <c r="Q188" s="25">
        <f ca="1">IFERROR(__xludf.DUMMYFUNCTION("""COMPUTED_VALUE"""),0)</f>
        <v>0</v>
      </c>
      <c r="R188" s="25">
        <f ca="1">IFERROR(__xludf.DUMMYFUNCTION("""COMPUTED_VALUE"""),0.954545454545454)</f>
        <v>0.95454545454545403</v>
      </c>
      <c r="S188" s="25">
        <f ca="1">IFERROR(__xludf.DUMMYFUNCTION("""COMPUTED_VALUE"""),0)</f>
        <v>0</v>
      </c>
      <c r="T188" s="25">
        <f ca="1">IFERROR(__xludf.DUMMYFUNCTION("""COMPUTED_VALUE"""),0.916666666666666)</f>
        <v>0.91666666666666596</v>
      </c>
      <c r="U188" s="25">
        <f ca="1">IFERROR(__xludf.DUMMYFUNCTION("""COMPUTED_VALUE"""),0.625)</f>
        <v>0.625</v>
      </c>
      <c r="V188" s="25">
        <f ca="1">IFERROR(__xludf.DUMMYFUNCTION("""COMPUTED_VALUE"""),0)</f>
        <v>0</v>
      </c>
      <c r="W188" s="4"/>
      <c r="X188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88" s="4" t="str">
        <f ca="1">IFERROR(__xludf.DUMMYFUNCTION("""COMPUTED_VALUE"""),"| 1 L CPT % | 5 L PHP-CGM % | 1 P CPT % | 6 P Python % ")</f>
        <v xml:space="preserve">| 1 L CPT % | 5 L PHP-CGM % | 1 P CPT % | 6 P Python % </v>
      </c>
      <c r="Z188" s="4" t="str">
        <f ca="1">IFERROR(__xludf.DUMMYFUNCTION("""COMPUTED_VALUE"""),"| 1 L CPT % | 2 L PHP-CGM % | 3 P JAVA % | 5 P NS % ")</f>
        <v xml:space="preserve">| 1 L CPT % | 2 L PHP-CGM % | 3 P JAVA % | 5 P NS % </v>
      </c>
      <c r="AA188" s="4" t="str">
        <f ca="1">IFERROR(__xludf.DUMMYFUNCTION("""COMPUTED_VALUE"""),"| 1 L NS % | 2 L JAVA % | 3 P Python % | 5 P PHP-CGM % ")</f>
        <v xml:space="preserve">| 1 L NS % | 2 L JAVA % | 3 P Python % | 5 P PHP-CGM % </v>
      </c>
      <c r="AB188" s="4" t="str">
        <f ca="1">IFERROR(__xludf.DUMMYFUNCTION("""COMPUTED_VALUE"""),"| 1 L CPT % | 2 L JAVA % | 3 P JAVA % ")</f>
        <v xml:space="preserve">| 1 L CPT % | 2 L JAVA % | 3 P JAVA % </v>
      </c>
      <c r="AC188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88" s="4" t="str">
        <f ca="1">IFERROR(__xludf.DUMMYFUNCTION("""COMPUTED_VALUE"""),"| 1 L CPT % | 2 L PHP-CGM % | 3 P CPT % | 6 P Python % ")</f>
        <v xml:space="preserve">| 1 L CPT % | 2 L PHP-CGM % | 3 P CPT % | 6 P Python % </v>
      </c>
      <c r="AE188" s="4" t="str">
        <f ca="1">IFERROR(__xludf.DUMMYFUNCTION("""COMPUTED_VALUE"""),"| 1 L CPT % | 3 P JAVA % | 5 P NS % | 2 L PHP-CGM % ")</f>
        <v xml:space="preserve">| 1 L CPT % | 3 P JAVA % | 5 P NS % | 2 L PHP-CGM % </v>
      </c>
      <c r="AF188" s="4" t="str">
        <f ca="1">IFERROR(__xludf.DUMMYFUNCTION("""COMPUTED_VALUE"""),"| 1 L NS % | 2 L CPT % | 3 P Python % | 5 P PHP-CGM % ")</f>
        <v xml:space="preserve">| 1 L NS % | 2 L CPT % | 3 P Python % | 5 P PHP-CGM % </v>
      </c>
      <c r="AG188" s="4" t="str">
        <f ca="1">IFERROR(__xludf.DUMMYFUNCTION("""COMPUTED_VALUE"""),"| 1 L CPT % | 2 L JAVA % | 3 P JAVA % ")</f>
        <v xml:space="preserve">| 1 L CPT % | 2 L JAVA % | 3 P JAVA % </v>
      </c>
      <c r="AH188" s="4" t="str">
        <f ca="1">IFERROR(__xludf.DUMMYFUNCTION("""COMPUTED_VALUE"""),"| 2 L JAVA % | 1 L NS % | 3 P Python % | 5 P PHP-CGM % ")</f>
        <v xml:space="preserve">| 2 L JAVA % | 1 L NS % | 3 P Python % | 5 P PHP-CGM % </v>
      </c>
      <c r="AI188" s="4" t="str">
        <f ca="1">IFERROR(__xludf.DUMMYFUNCTION("""COMPUTED_VALUE"""),"| 1 L CPT % | 2 L JAVA % | 3 P JAVA % ")</f>
        <v xml:space="preserve">| 1 L CPT % | 2 L JAVA % | 3 P JAVA % </v>
      </c>
      <c r="AJ188" s="4" t="str">
        <f ca="1">IFERROR(__xludf.DUMMYFUNCTION("""COMPUTED_VALUE"""),"| 1 L NS % | 2 L PHP-CGM % | 3 P PRO % | 5 L JAVA @ | 6 L NS % ")</f>
        <v xml:space="preserve">| 1 L NS % | 2 L PHP-CGM % | 3 P PRO % | 5 L JAVA @ | 6 L NS % </v>
      </c>
      <c r="AK188" s="4" t="str">
        <f ca="1">IFERROR(__xludf.DUMMYFUNCTION("""COMPUTED_VALUE"""),"| 1 L CPT % | 3 P CPT % | 2 L PHP-CGM % | 6 P Python % ")</f>
        <v xml:space="preserve">| 1 L CPT % | 3 P CPT % | 2 L PHP-CGM % | 6 P Python % </v>
      </c>
      <c r="AL188" s="4" t="str">
        <f ca="1">IFERROR(__xludf.DUMMYFUNCTION("""COMPUTED_VALUE"""),"| 1 L CPT % | 2 L PHP-CGM % | 3 P JAVA % | 5 P NS % ")</f>
        <v xml:space="preserve">| 1 L CPT % | 2 L PHP-CGM % | 3 P JAVA % | 5 P NS % </v>
      </c>
      <c r="AM188" s="4" t="str">
        <f ca="1">IFERROR(__xludf.DUMMYFUNCTION("""COMPUTED_VALUE"""),"| 2 L JAVA % | 3 P Python % | 5 P PHP-CGM % | 1 L NS % ")</f>
        <v xml:space="preserve">| 2 L JAVA % | 3 P Python % | 5 P PHP-CGM % | 1 L NS % </v>
      </c>
      <c r="AN188" s="4" t="str">
        <f ca="1">IFERROR(__xludf.DUMMYFUNCTION("""COMPUTED_VALUE"""),"| 1 L CPT % | 2 L JAVA % | 3 P JAVA % | 5 L INE @ ")</f>
        <v xml:space="preserve">| 1 L CPT % | 2 L JAVA % | 3 P JAVA % | 5 L INE @ </v>
      </c>
      <c r="AO188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88" s="4" t="str">
        <f ca="1">IFERROR(__xludf.DUMMYFUNCTION("""COMPUTED_VALUE"""),"| 1 L CPT % | 2 L PHP-CGM % | 3 P CPT % | 6 P Python % ")</f>
        <v xml:space="preserve">| 1 L CPT % | 2 L PHP-CGM % | 3 P CPT % | 6 P Python % </v>
      </c>
      <c r="AQ188" s="4" t="str">
        <f ca="1">IFERROR(__xludf.DUMMYFUNCTION("""COMPUTED_VALUE"""),"| 2 L PHP-CGM % | 3 P JAVA % | 1 L NS % | 5 P NS % ")</f>
        <v xml:space="preserve">| 2 L PHP-CGM % | 3 P JAVA % | 1 L NS % | 5 P NS % </v>
      </c>
      <c r="AR188" s="4" t="str">
        <f ca="1">IFERROR(__xludf.DUMMYFUNCTION("""COMPUTED_VALUE"""),"| 1 L CPT % | 2 L JAVA % | 3 P Python % | 5 P PHP-CGM % ")</f>
        <v xml:space="preserve">| 1 L CPT % | 2 L JAVA % | 3 P Python % | 5 P PHP-CGM % </v>
      </c>
      <c r="AS18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88" s="4" t="str">
        <f ca="1">IFERROR(__xludf.DUMMYFUNCTION("""COMPUTED_VALUE"""),"| 1 L CPT % | 2 L PHP-CGM % | 3 P CPT % | 6 P Python % ")</f>
        <v xml:space="preserve">| 1 L CPT % | 2 L PHP-CGM % | 3 P CPT % | 6 P Python % </v>
      </c>
      <c r="AU188" s="4" t="str">
        <f ca="1">IFERROR(__xludf.DUMMYFUNCTION("""COMPUTED_VALUE"""),"| 1 L NS % | 2 L PHP-CGM % | 3 P JAVA % | 5 P NS % ")</f>
        <v xml:space="preserve">| 1 L NS % | 2 L PHP-CGM % | 3 P JAVA % | 5 P NS % </v>
      </c>
      <c r="AV188" s="4" t="str">
        <f ca="1">IFERROR(__xludf.DUMMYFUNCTION("""COMPUTED_VALUE"""),"| 1 L CPT % | 2 L JAVA % | 3 P Python % | 5 P PHP-CGM % ")</f>
        <v xml:space="preserve">| 1 L CPT % | 2 L JAVA % | 3 P Python % | 5 P PHP-CGM % </v>
      </c>
      <c r="AW188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88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88" s="4" t="str">
        <f ca="1">IFERROR(__xludf.DUMMYFUNCTION("""COMPUTED_VALUE"""),"| 1 L CPT % | 2 L PHP-CGM % | 3 P CPT % | 6 P Python % ")</f>
        <v xml:space="preserve">| 1 L CPT % | 2 L PHP-CGM % | 3 P CPT % | 6 P Python % </v>
      </c>
      <c r="AZ188" s="4" t="str">
        <f ca="1">IFERROR(__xludf.DUMMYFUNCTION("""COMPUTED_VALUE"""),"| 1 L CPT % | 2 L JAVA % | 3 P Python % | 5 P PHP-CGM % ")</f>
        <v xml:space="preserve">| 1 L CPT % | 2 L JAVA % | 3 P Python % | 5 P PHP-CGM % </v>
      </c>
      <c r="BA188" s="4" t="str">
        <f ca="1">IFERROR(__xludf.DUMMYFUNCTION("""COMPUTED_VALUE"""),"| 1 L CPT % | 2 L JAVA % | 3 P JAVA % | 5 L INE @ ")</f>
        <v xml:space="preserve">| 1 L CPT % | 2 L JAVA % | 3 P JAVA % | 5 L INE @ </v>
      </c>
      <c r="BB18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88" s="4" t="str">
        <f ca="1">IFERROR(__xludf.DUMMYFUNCTION("""COMPUTED_VALUE"""),"| 1 L CPT % | 2 L PHP-CGM % | 3 P CPT % | 6 P Python % ")</f>
        <v xml:space="preserve">| 1 L CPT % | 2 L PHP-CGM % | 3 P CPT % | 6 P Python % </v>
      </c>
      <c r="BD188" s="4" t="str">
        <f ca="1">IFERROR(__xludf.DUMMYFUNCTION("""COMPUTED_VALUE"""),"| 1 L NS % | 2 L PHP-CGM % | 3 P JAVA % | 5 P NS % ")</f>
        <v xml:space="preserve">| 1 L NS % | 2 L PHP-CGM % | 3 P JAVA % | 5 P NS % </v>
      </c>
      <c r="BE188" s="4" t="str">
        <f ca="1">IFERROR(__xludf.DUMMYFUNCTION("""COMPUTED_VALUE"""),"| 1 L CPT % | 2 L JAVA @ | 3 P Python % | 5 P PHP-CGM % ")</f>
        <v xml:space="preserve">| 1 L CPT % | 2 L JAVA @ | 3 P Python % | 5 P PHP-CGM % </v>
      </c>
      <c r="BF188" s="4" t="str">
        <f ca="1">IFERROR(__xludf.DUMMYFUNCTION("""COMPUTED_VALUE"""),"| 1 L CPT @ | 2 L JAVA @ | 3 P JAVA @ ")</f>
        <v xml:space="preserve">| 1 L CPT @ | 2 L JAVA @ | 3 P JAVA @ </v>
      </c>
      <c r="BG188" s="4" t="str">
        <f ca="1">IFERROR(__xludf.DUMMYFUNCTION("""COMPUTED_VALUE"""),"| 2 L PHP-CGM % | 3 P CPT % | 1 L CPT % | 6 P Python % ")</f>
        <v xml:space="preserve">| 2 L PHP-CGM % | 3 P CPT % | 1 L CPT % | 6 P Python % </v>
      </c>
      <c r="BH188" s="4" t="str">
        <f ca="1">IFERROR(__xludf.DUMMYFUNCTION("""COMPUTED_VALUE"""),"| 1 L NS % | 2 L PHP-CGM % | 3 P JAVA % | 5 P NS % ")</f>
        <v xml:space="preserve">| 1 L NS % | 2 L PHP-CGM % | 3 P JAVA % | 5 P NS % </v>
      </c>
      <c r="BI188" s="4" t="str">
        <f ca="1">IFERROR(__xludf.DUMMYFUNCTION("""COMPUTED_VALUE"""),"| 1 L CPT % | 2 L JAVA % | 3 P Python % | 5 P PHP-CGM % ")</f>
        <v xml:space="preserve">| 1 L CPT % | 2 L JAVA % | 3 P Python % | 5 P PHP-CGM % </v>
      </c>
      <c r="BJ188" s="4" t="str">
        <f ca="1">IFERROR(__xludf.DUMMYFUNCTION("""COMPUTED_VALUE"""),"| 1 L CPT @ | 2 L JAVA @ | 3 P JAVA @ | 5 L INE % ")</f>
        <v xml:space="preserve">| 1 L CPT @ | 2 L JAVA @ | 3 P JAVA @ | 5 L INE % </v>
      </c>
      <c r="BK18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188" s="4" t="str">
        <f ca="1">IFERROR(__xludf.DUMMYFUNCTION("""COMPUTED_VALUE"""),"| 1 L CPT % | 2 L PHP-CGM % | 3 P CPT % ")</f>
        <v xml:space="preserve">| 1 L CPT % | 2 L PHP-CGM % | 3 P CPT % </v>
      </c>
      <c r="BM188" s="4" t="str">
        <f ca="1">IFERROR(__xludf.DUMMYFUNCTION("""COMPUTED_VALUE"""),"| 1 L NS % | 2 L PHP-CGM % | 3 P JAVA % | 5 P NS % ")</f>
        <v xml:space="preserve">| 1 L NS % | 2 L PHP-CGM % | 3 P JAVA % | 5 P NS % </v>
      </c>
      <c r="BN188" s="4" t="str">
        <f ca="1">IFERROR(__xludf.DUMMYFUNCTION("""COMPUTED_VALUE"""),"| 2 L JAVA % | 1 L CPT % | 3 P Python % | 5 P PHP-CGM % ")</f>
        <v xml:space="preserve">| 2 L JAVA % | 1 L CPT % | 3 P Python % | 5 P PHP-CGM % </v>
      </c>
      <c r="BO188" s="4" t="str">
        <f ca="1">IFERROR(__xludf.DUMMYFUNCTION("""COMPUTED_VALUE"""),"| 2 L JAVA % | 1 L CPT % | 3 P JAVA % | 5 L INE % ")</f>
        <v xml:space="preserve">| 2 L JAVA % | 1 L CPT % | 3 P JAVA % | 5 L INE % </v>
      </c>
      <c r="BP18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188" s="4"/>
      <c r="BR188" s="4"/>
      <c r="BS188" s="4"/>
      <c r="BT188" s="4" t="str">
        <f ca="1">IFERROR(__xludf.DUMMYFUNCTION("""COMPUTED_VALUE"""),"| 1 L NS % | 2 L PHP-CGM % | 3 P PRO % ")</f>
        <v xml:space="preserve">| 1 L NS % | 2 L PHP-CGM % | 3 P PRO % </v>
      </c>
      <c r="BU188" s="4" t="str">
        <f ca="1">IFERROR(__xludf.DUMMYFUNCTION("""COMPUTED_VALUE"""),"| 1 L CPT % ")</f>
        <v xml:space="preserve">| 1 L CPT % </v>
      </c>
      <c r="BV188" s="4" t="str">
        <f ca="1">IFERROR(__xludf.DUMMYFUNCTION("""COMPUTED_VALUE"""),"| 1 L NS @ | 2 L PHP-CGM @ | 3 P PRO @ | 6 L JAVA @ ")</f>
        <v xml:space="preserve">| 1 L NS @ | 2 L PHP-CGM @ | 3 P PRO @ | 6 L JAVA @ </v>
      </c>
      <c r="BW188" s="4" t="str">
        <f ca="1">IFERROR(__xludf.DUMMYFUNCTION("""COMPUTED_VALUE"""),"| 1 L CPT % | 2 L PHP-CGM % | 3 P CPT % ")</f>
        <v xml:space="preserve">| 1 L CPT % | 2 L PHP-CGM % | 3 P CPT % </v>
      </c>
      <c r="BX188" s="4" t="str">
        <f ca="1">IFERROR(__xludf.DUMMYFUNCTION("""COMPUTED_VALUE"""),"| 1 L NS % | 2 L PHP-CGM % | 3 P JAVA % | 5 P NS % ")</f>
        <v xml:space="preserve">| 1 L NS % | 2 L PHP-CGM % | 3 P JAVA % | 5 P NS % </v>
      </c>
      <c r="BY188" s="4" t="str">
        <f ca="1">IFERROR(__xludf.DUMMYFUNCTION("""COMPUTED_VALUE"""),"| 1 L CPT % | 2 L JAVA % | 3 P Python @ | 5 P PHP-CGM % ")</f>
        <v xml:space="preserve">| 1 L CPT % | 2 L JAVA % | 3 P Python @ | 5 P PHP-CGM % </v>
      </c>
      <c r="BZ188" s="4" t="str">
        <f ca="1">IFERROR(__xludf.DUMMYFUNCTION("""COMPUTED_VALUE"""),"| 1 L CPT % | 2 L JAVA @ | 3 P JAVA @ | 5 L INE @ ")</f>
        <v xml:space="preserve">| 1 L CPT % | 2 L JAVA @ | 3 P JAVA @ | 5 L INE @ </v>
      </c>
      <c r="CA18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188" s="4" t="str">
        <f ca="1">IFERROR(__xludf.DUMMYFUNCTION("""COMPUTED_VALUE"""),"| 2 L PHP-CGM % | 3 P CPT % | 6 P Python % | 1 L CPT % ")</f>
        <v xml:space="preserve">| 2 L PHP-CGM % | 3 P CPT % | 6 P Python % | 1 L CPT % </v>
      </c>
      <c r="CC188" s="4" t="str">
        <f ca="1">IFERROR(__xludf.DUMMYFUNCTION("""COMPUTED_VALUE"""),"| 1 L NS % | 2 L PHP-CGM % | 3 P JAVA % | 5 P NS % ")</f>
        <v xml:space="preserve">| 1 L NS % | 2 L PHP-CGM % | 3 P JAVA % | 5 P NS % </v>
      </c>
      <c r="CD188" s="4" t="str">
        <f ca="1">IFERROR(__xludf.DUMMYFUNCTION("""COMPUTED_VALUE"""),"| 1 L CPT @ | 2 L JAVA @ | 3 P Python % | 5 P PHP-CGM % ")</f>
        <v xml:space="preserve">| 1 L CPT @ | 2 L JAVA @ | 3 P Python % | 5 P PHP-CGM % </v>
      </c>
      <c r="CE188" s="4" t="str">
        <f ca="1">IFERROR(__xludf.DUMMYFUNCTION("""COMPUTED_VALUE"""),"| 1 L CPT % | 2 L JAVA % | 3 P JAVA % | 5 L INE % ")</f>
        <v xml:space="preserve">| 1 L CPT % | 2 L JAVA % | 3 P JAVA % | 5 L INE % </v>
      </c>
      <c r="CF188" s="4" t="str">
        <f ca="1">IFERROR(__xludf.DUMMYFUNCTION("""COMPUTED_VALUE"""),"| 1 L NS @ | 2 L PHP-CGM @ | 5 L NS @ | 6 L JAVA @ ")</f>
        <v xml:space="preserve">| 1 L NS @ | 2 L PHP-CGM @ | 5 L NS @ | 6 L JAVA @ </v>
      </c>
      <c r="CG188" s="4" t="str">
        <f ca="1">IFERROR(__xludf.DUMMYFUNCTION("""COMPUTED_VALUE"""),"| 1 L CPT % | 2 L PHP-CGM % | 6 P Python % | 3 P CPT % ")</f>
        <v xml:space="preserve">| 1 L CPT % | 2 L PHP-CGM % | 6 P Python % | 3 P CPT % </v>
      </c>
      <c r="CH188" s="4" t="str">
        <f ca="1">IFERROR(__xludf.DUMMYFUNCTION("""COMPUTED_VALUE"""),"| 1 L NS % | 2 L PHP-CGM % | 3 P JAVA % | 5 P NS % ")</f>
        <v xml:space="preserve">| 1 L NS % | 2 L PHP-CGM % | 3 P JAVA % | 5 P NS % </v>
      </c>
      <c r="CI188" s="4" t="str">
        <f ca="1">IFERROR(__xludf.DUMMYFUNCTION("""COMPUTED_VALUE"""),"| 1 L CPT % | 2 L JAVA % | 5 P PHP-CGM % ")</f>
        <v xml:space="preserve">| 1 L CPT % | 2 L JAVA % | 5 P PHP-CGM % </v>
      </c>
      <c r="CJ188" s="4" t="str">
        <f ca="1">IFERROR(__xludf.DUMMYFUNCTION("""COMPUTED_VALUE"""),"| 1 L CPT @ ")</f>
        <v xml:space="preserve">| 1 L CPT @ </v>
      </c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</row>
    <row r="189" spans="1:102" ht="12.5" x14ac:dyDescent="0.25">
      <c r="A189" s="3">
        <f ca="1">IFERROR(__xludf.DUMMYFUNCTION("""COMPUTED_VALUE"""),1)</f>
        <v>1</v>
      </c>
      <c r="B189" s="3" t="str">
        <f ca="1">IFERROR(__xludf.DUMMYFUNCTION("""COMPUTED_VALUE"""),"C")</f>
        <v>C</v>
      </c>
      <c r="C189" s="32" t="str">
        <f ca="1">IFERROR(__xludf.DUMMYFUNCTION("""COMPUTED_VALUE"""),"23171341061")</f>
        <v>23171341061</v>
      </c>
      <c r="D189" s="4" t="str">
        <f ca="1">IFERROR(__xludf.DUMMYFUNCTION("""COMPUTED_VALUE"""),"PANCHAL JAINEE HITESHKUMAR")</f>
        <v>PANCHAL JAINEE HITESHKUMAR</v>
      </c>
      <c r="E189" s="3" t="str">
        <f ca="1">IFERROR(__xludf.DUMMYFUNCTION("""COMPUTED_VALUE"""),"PKN/PAP-Mor")</f>
        <v>PKN/PAP-Mor</v>
      </c>
      <c r="F189" s="3">
        <f ca="1">IFERROR(__xludf.DUMMYFUNCTION("""COMPUTED_VALUE"""),9510697933)</f>
        <v>9510697933</v>
      </c>
      <c r="G189" s="3">
        <f ca="1">IFERROR(__xludf.DUMMYFUNCTION("""COMPUTED_VALUE"""),9510036938)</f>
        <v>9510036938</v>
      </c>
      <c r="H189" s="33">
        <f ca="1">IFERROR(__xludf.DUMMYFUNCTION("""COMPUTED_VALUE"""),0.873469387755102)</f>
        <v>0.87346938775510197</v>
      </c>
      <c r="I189" s="25">
        <f ca="1">IFERROR(__xludf.DUMMYFUNCTION("""COMPUTED_VALUE"""),0.894736842105263)</f>
        <v>0.89473684210526305</v>
      </c>
      <c r="J189" s="25">
        <f ca="1">IFERROR(__xludf.DUMMYFUNCTION("""COMPUTED_VALUE"""),1)</f>
        <v>1</v>
      </c>
      <c r="K189" s="25">
        <f ca="1">IFERROR(__xludf.DUMMYFUNCTION("""COMPUTED_VALUE"""),0.777777777777777)</f>
        <v>0.77777777777777701</v>
      </c>
      <c r="L189" s="25">
        <f ca="1">IFERROR(__xludf.DUMMYFUNCTION("""COMPUTED_VALUE"""),0.909090909090909)</f>
        <v>0.90909090909090895</v>
      </c>
      <c r="M189" s="25">
        <f ca="1">IFERROR(__xludf.DUMMYFUNCTION("""COMPUTED_VALUE"""),0.916666666666666)</f>
        <v>0.91666666666666596</v>
      </c>
      <c r="N189" s="25">
        <f ca="1">IFERROR(__xludf.DUMMYFUNCTION("""COMPUTED_VALUE"""),1)</f>
        <v>1</v>
      </c>
      <c r="O189" s="25">
        <f ca="1">IFERROR(__xludf.DUMMYFUNCTION("""COMPUTED_VALUE"""),0.8)</f>
        <v>0.8</v>
      </c>
      <c r="P189" s="25">
        <f ca="1">IFERROR(__xludf.DUMMYFUNCTION("""COMPUTED_VALUE"""),0.863636363636363)</f>
        <v>0.86363636363636298</v>
      </c>
      <c r="Q189" s="25">
        <f ca="1">IFERROR(__xludf.DUMMYFUNCTION("""COMPUTED_VALUE"""),0)</f>
        <v>0</v>
      </c>
      <c r="R189" s="25">
        <f ca="1">IFERROR(__xludf.DUMMYFUNCTION("""COMPUTED_VALUE"""),1)</f>
        <v>1</v>
      </c>
      <c r="S189" s="25">
        <f ca="1">IFERROR(__xludf.DUMMYFUNCTION("""COMPUTED_VALUE"""),0)</f>
        <v>0</v>
      </c>
      <c r="T189" s="25">
        <f ca="1">IFERROR(__xludf.DUMMYFUNCTION("""COMPUTED_VALUE"""),0.833333333333333)</f>
        <v>0.83333333333333304</v>
      </c>
      <c r="U189" s="25">
        <f ca="1">IFERROR(__xludf.DUMMYFUNCTION("""COMPUTED_VALUE"""),0.625)</f>
        <v>0.625</v>
      </c>
      <c r="V189" s="25">
        <f ca="1">IFERROR(__xludf.DUMMYFUNCTION("""COMPUTED_VALUE"""),0)</f>
        <v>0</v>
      </c>
      <c r="W189" s="4"/>
      <c r="X189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Y189" s="4" t="str">
        <f ca="1">IFERROR(__xludf.DUMMYFUNCTION("""COMPUTED_VALUE"""),"| 1 L CPT % | 5 L PHP-CGM % | 1 P CPT % | 6 P Python % ")</f>
        <v xml:space="preserve">| 1 L CPT % | 5 L PHP-CGM % | 1 P CPT % | 6 P Python % </v>
      </c>
      <c r="Z189" s="4" t="str">
        <f ca="1">IFERROR(__xludf.DUMMYFUNCTION("""COMPUTED_VALUE"""),"| 1 L CPT % | 2 L PHP-CGM % | 3 P JAVA % | 5 P NS % ")</f>
        <v xml:space="preserve">| 1 L CPT % | 2 L PHP-CGM % | 3 P JAVA % | 5 P NS % </v>
      </c>
      <c r="AA189" s="4" t="str">
        <f ca="1">IFERROR(__xludf.DUMMYFUNCTION("""COMPUTED_VALUE"""),"| 1 L NS % | 2 L JAVA % | 3 P Python % | 5 P PHP-CGM % ")</f>
        <v xml:space="preserve">| 1 L NS % | 2 L JAVA % | 3 P Python % | 5 P PHP-CGM % </v>
      </c>
      <c r="AB189" s="4" t="str">
        <f ca="1">IFERROR(__xludf.DUMMYFUNCTION("""COMPUTED_VALUE"""),"| 1 L CPT % | 2 L JAVA % | 3 P JAVA % ")</f>
        <v xml:space="preserve">| 1 L CPT % | 2 L JAVA % | 3 P JAVA % </v>
      </c>
      <c r="AC18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89" s="4" t="str">
        <f ca="1">IFERROR(__xludf.DUMMYFUNCTION("""COMPUTED_VALUE"""),"| 1 L CPT % | 2 L PHP-CGM % | 3 P CPT % | 6 P Python % ")</f>
        <v xml:space="preserve">| 1 L CPT % | 2 L PHP-CGM % | 3 P CPT % | 6 P Python % </v>
      </c>
      <c r="AE189" s="4" t="str">
        <f ca="1">IFERROR(__xludf.DUMMYFUNCTION("""COMPUTED_VALUE"""),"| 1 L CPT % | 3 P JAVA % | 5 P NS % | 2 L PHP-CGM % ")</f>
        <v xml:space="preserve">| 1 L CPT % | 3 P JAVA % | 5 P NS % | 2 L PHP-CGM % </v>
      </c>
      <c r="AF189" s="4" t="str">
        <f ca="1">IFERROR(__xludf.DUMMYFUNCTION("""COMPUTED_VALUE"""),"| 1 L NS % | 2 L CPT % | 3 P Python % | 5 P PHP-CGM % ")</f>
        <v xml:space="preserve">| 1 L NS % | 2 L CPT % | 3 P Python % | 5 P PHP-CGM % </v>
      </c>
      <c r="AG189" s="4" t="str">
        <f ca="1">IFERROR(__xludf.DUMMYFUNCTION("""COMPUTED_VALUE"""),"| 1 L CPT % | 2 L JAVA % | 3 P JAVA % ")</f>
        <v xml:space="preserve">| 1 L CPT % | 2 L JAVA % | 3 P JAVA % </v>
      </c>
      <c r="AH189" s="4" t="str">
        <f ca="1">IFERROR(__xludf.DUMMYFUNCTION("""COMPUTED_VALUE"""),"| 2 L JAVA % | 1 L NS % | 3 P Python % | 5 P PHP-CGM % ")</f>
        <v xml:space="preserve">| 2 L JAVA % | 1 L NS % | 3 P Python % | 5 P PHP-CGM % </v>
      </c>
      <c r="AI189" s="4" t="str">
        <f ca="1">IFERROR(__xludf.DUMMYFUNCTION("""COMPUTED_VALUE"""),"| 1 L CPT % | 2 L JAVA @ | 3 P JAVA % ")</f>
        <v xml:space="preserve">| 1 L CPT % | 2 L JAVA @ | 3 P JAVA % </v>
      </c>
      <c r="AJ18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89" s="4" t="str">
        <f ca="1">IFERROR(__xludf.DUMMYFUNCTION("""COMPUTED_VALUE"""),"| 1 L CPT % | 3 P CPT % | 2 L PHP-CGM % | 6 P Python % ")</f>
        <v xml:space="preserve">| 1 L CPT % | 3 P CPT % | 2 L PHP-CGM % | 6 P Python % </v>
      </c>
      <c r="AL189" s="4" t="str">
        <f ca="1">IFERROR(__xludf.DUMMYFUNCTION("""COMPUTED_VALUE"""),"| 1 L CPT % | 2 L PHP-CGM % | 3 P JAVA % | 5 P NS % ")</f>
        <v xml:space="preserve">| 1 L CPT % | 2 L PHP-CGM % | 3 P JAVA % | 5 P NS % </v>
      </c>
      <c r="AM189" s="4" t="str">
        <f ca="1">IFERROR(__xludf.DUMMYFUNCTION("""COMPUTED_VALUE"""),"| 2 L JAVA % | 3 P Python % | 5 P PHP-CGM % | 1 L NS % ")</f>
        <v xml:space="preserve">| 2 L JAVA % | 3 P Python % | 5 P PHP-CGM % | 1 L NS % </v>
      </c>
      <c r="AN189" s="4" t="str">
        <f ca="1">IFERROR(__xludf.DUMMYFUNCTION("""COMPUTED_VALUE"""),"| 1 L CPT % | 2 L JAVA % | 3 P JAVA % | 5 L INE % ")</f>
        <v xml:space="preserve">| 1 L CPT % | 2 L JAVA % | 3 P JAVA % | 5 L INE % </v>
      </c>
      <c r="AO189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189" s="4" t="str">
        <f ca="1">IFERROR(__xludf.DUMMYFUNCTION("""COMPUTED_VALUE"""),"| 1 L CPT % | 2 L PHP-CGM % | 3 P CPT % | 6 P Python % ")</f>
        <v xml:space="preserve">| 1 L CPT % | 2 L PHP-CGM % | 3 P CPT % | 6 P Python % </v>
      </c>
      <c r="AQ189" s="4" t="str">
        <f ca="1">IFERROR(__xludf.DUMMYFUNCTION("""COMPUTED_VALUE"""),"| 2 L PHP-CGM % | 3 P JAVA % | 1 L NS % | 5 P NS % ")</f>
        <v xml:space="preserve">| 2 L PHP-CGM % | 3 P JAVA % | 1 L NS % | 5 P NS % </v>
      </c>
      <c r="AR189" s="4" t="str">
        <f ca="1">IFERROR(__xludf.DUMMYFUNCTION("""COMPUTED_VALUE"""),"| 1 L CPT % | 2 L JAVA % | 3 P Python % | 5 P PHP-CGM % ")</f>
        <v xml:space="preserve">| 1 L CPT % | 2 L JAVA % | 3 P Python % | 5 P PHP-CGM % </v>
      </c>
      <c r="AS18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89" s="4" t="str">
        <f ca="1">IFERROR(__xludf.DUMMYFUNCTION("""COMPUTED_VALUE"""),"| 1 L CPT % | 2 L PHP-CGM % | 3 P CPT % | 6 P Python % ")</f>
        <v xml:space="preserve">| 1 L CPT % | 2 L PHP-CGM % | 3 P CPT % | 6 P Python % </v>
      </c>
      <c r="AU189" s="4" t="str">
        <f ca="1">IFERROR(__xludf.DUMMYFUNCTION("""COMPUTED_VALUE"""),"| 1 L NS % | 2 L PHP-CGM % | 3 P JAVA % | 5 P NS % ")</f>
        <v xml:space="preserve">| 1 L NS % | 2 L PHP-CGM % | 3 P JAVA % | 5 P NS % </v>
      </c>
      <c r="AV189" s="4" t="str">
        <f ca="1">IFERROR(__xludf.DUMMYFUNCTION("""COMPUTED_VALUE"""),"| 1 L CPT % | 2 L JAVA % | 3 P Python % | 5 P PHP-CGM % ")</f>
        <v xml:space="preserve">| 1 L CPT % | 2 L JAVA % | 3 P Python % | 5 P PHP-CGM % </v>
      </c>
      <c r="AW189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89" s="4" t="str">
        <f ca="1">IFERROR(__xludf.DUMMYFUNCTION("""COMPUTED_VALUE"""),"| 1 L NS @ | 2 L PHP-CGM % | 3 P PRO % | 5 L NS % | 5 L JAVA % ")</f>
        <v xml:space="preserve">| 1 L NS @ | 2 L PHP-CGM % | 3 P PRO % | 5 L NS % | 5 L JAVA % </v>
      </c>
      <c r="AY189" s="4" t="str">
        <f ca="1">IFERROR(__xludf.DUMMYFUNCTION("""COMPUTED_VALUE"""),"| 1 L CPT % | 2 L PHP-CGM % | 3 P CPT % | 6 P Python % ")</f>
        <v xml:space="preserve">| 1 L CPT % | 2 L PHP-CGM % | 3 P CPT % | 6 P Python % </v>
      </c>
      <c r="AZ189" s="4" t="str">
        <f ca="1">IFERROR(__xludf.DUMMYFUNCTION("""COMPUTED_VALUE"""),"| 1 L CPT % | 2 L JAVA % | 3 P Python % | 5 P PHP-CGM % ")</f>
        <v xml:space="preserve">| 1 L CPT % | 2 L JAVA % | 3 P Python % | 5 P PHP-CGM % </v>
      </c>
      <c r="BA189" s="4" t="str">
        <f ca="1">IFERROR(__xludf.DUMMYFUNCTION("""COMPUTED_VALUE"""),"| 1 L CPT % | 2 L JAVA % | 3 P JAVA % | 5 L INE @ ")</f>
        <v xml:space="preserve">| 1 L CPT % | 2 L JAVA % | 3 P JAVA % | 5 L INE @ </v>
      </c>
      <c r="BB189" s="4" t="str">
        <f ca="1">IFERROR(__xludf.DUMMYFUNCTION("""COMPUTED_VALUE"""),"| 1 L NS % | 2 L PHP-CGM % | 3 P PRO % | 5 L NS @ | 6 L JAVA % ")</f>
        <v xml:space="preserve">| 1 L NS % | 2 L PHP-CGM % | 3 P PRO % | 5 L NS @ | 6 L JAVA % </v>
      </c>
      <c r="BC189" s="4" t="str">
        <f ca="1">IFERROR(__xludf.DUMMYFUNCTION("""COMPUTED_VALUE"""),"| 1 L CPT % | 2 L PHP-CGM % | 3 P CPT % | 6 P Python % ")</f>
        <v xml:space="preserve">| 1 L CPT % | 2 L PHP-CGM % | 3 P CPT % | 6 P Python % </v>
      </c>
      <c r="BD189" s="4" t="str">
        <f ca="1">IFERROR(__xludf.DUMMYFUNCTION("""COMPUTED_VALUE"""),"| 1 L NS % | 2 L PHP-CGM % | 3 P JAVA % | 5 P NS % ")</f>
        <v xml:space="preserve">| 1 L NS % | 2 L PHP-CGM % | 3 P JAVA % | 5 P NS % </v>
      </c>
      <c r="BE189" s="4" t="str">
        <f ca="1">IFERROR(__xludf.DUMMYFUNCTION("""COMPUTED_VALUE"""),"| 1 L CPT @ | 2 L JAVA % | 3 P Python % | 5 P PHP-CGM % ")</f>
        <v xml:space="preserve">| 1 L CPT @ | 2 L JAVA % | 3 P Python % | 5 P PHP-CGM % </v>
      </c>
      <c r="BF189" s="4" t="str">
        <f ca="1">IFERROR(__xludf.DUMMYFUNCTION("""COMPUTED_VALUE"""),"| 1 L CPT @ | 2 L JAVA @ | 3 P JAVA @ ")</f>
        <v xml:space="preserve">| 1 L CPT @ | 2 L JAVA @ | 3 P JAVA @ </v>
      </c>
      <c r="BG189" s="4" t="str">
        <f ca="1">IFERROR(__xludf.DUMMYFUNCTION("""COMPUTED_VALUE"""),"| 2 L PHP-CGM % | 3 P CPT % | 1 L CPT % | 6 P Python % ")</f>
        <v xml:space="preserve">| 2 L PHP-CGM % | 3 P CPT % | 1 L CPT % | 6 P Python % </v>
      </c>
      <c r="BH189" s="4" t="str">
        <f ca="1">IFERROR(__xludf.DUMMYFUNCTION("""COMPUTED_VALUE"""),"| 1 L NS % | 2 L PHP-CGM % | 3 P JAVA % | 5 P NS @ ")</f>
        <v xml:space="preserve">| 1 L NS % | 2 L PHP-CGM % | 3 P JAVA % | 5 P NS @ </v>
      </c>
      <c r="BI189" s="4" t="str">
        <f ca="1">IFERROR(__xludf.DUMMYFUNCTION("""COMPUTED_VALUE"""),"| 1 L CPT % | 2 L JAVA % | 3 P Python % | 5 P PHP-CGM % ")</f>
        <v xml:space="preserve">| 1 L CPT % | 2 L JAVA % | 3 P Python % | 5 P PHP-CGM % </v>
      </c>
      <c r="BJ189" s="4" t="str">
        <f ca="1">IFERROR(__xludf.DUMMYFUNCTION("""COMPUTED_VALUE"""),"| 1 L CPT % | 2 L JAVA % | 3 P JAVA @ | 5 L INE @ ")</f>
        <v xml:space="preserve">| 1 L CPT % | 2 L JAVA % | 3 P JAVA @ | 5 L INE @ </v>
      </c>
      <c r="BK18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189" s="4" t="str">
        <f ca="1">IFERROR(__xludf.DUMMYFUNCTION("""COMPUTED_VALUE"""),"| 1 L CPT % | 2 L PHP-CGM % | 3 P CPT % ")</f>
        <v xml:space="preserve">| 1 L CPT % | 2 L PHP-CGM % | 3 P CPT % </v>
      </c>
      <c r="BM189" s="4" t="str">
        <f ca="1">IFERROR(__xludf.DUMMYFUNCTION("""COMPUTED_VALUE"""),"| 1 L NS % | 2 L PHP-CGM % | 3 P JAVA % | 5 P NS % ")</f>
        <v xml:space="preserve">| 1 L NS % | 2 L PHP-CGM % | 3 P JAVA % | 5 P NS % </v>
      </c>
      <c r="BN189" s="4" t="str">
        <f ca="1">IFERROR(__xludf.DUMMYFUNCTION("""COMPUTED_VALUE"""),"| 2 L JAVA % | 1 L CPT % | 3 P Python % | 5 P PHP-CGM % ")</f>
        <v xml:space="preserve">| 2 L JAVA % | 1 L CPT % | 3 P Python % | 5 P PHP-CGM % </v>
      </c>
      <c r="BO189" s="4" t="str">
        <f ca="1">IFERROR(__xludf.DUMMYFUNCTION("""COMPUTED_VALUE"""),"| 2 L JAVA @ | 1 L CPT @ | 3 P JAVA @ | 5 L INE @ ")</f>
        <v xml:space="preserve">| 2 L JAVA @ | 1 L CPT @ | 3 P JAVA @ | 5 L INE @ </v>
      </c>
      <c r="BP18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189" s="4"/>
      <c r="BR189" s="4"/>
      <c r="BS189" s="4"/>
      <c r="BT189" s="4" t="str">
        <f ca="1">IFERROR(__xludf.DUMMYFUNCTION("""COMPUTED_VALUE"""),"| 1 L NS % | 2 L PHP-CGM % | 3 P PRO % ")</f>
        <v xml:space="preserve">| 1 L NS % | 2 L PHP-CGM % | 3 P PRO % </v>
      </c>
      <c r="BU189" s="4" t="str">
        <f ca="1">IFERROR(__xludf.DUMMYFUNCTION("""COMPUTED_VALUE"""),"| 1 L CPT % ")</f>
        <v xml:space="preserve">| 1 L CPT % </v>
      </c>
      <c r="BV189" s="4" t="str">
        <f ca="1">IFERROR(__xludf.DUMMYFUNCTION("""COMPUTED_VALUE"""),"| 1 L NS % | 2 L PHP-CGM % | 3 P PRO % | 6 L JAVA % ")</f>
        <v xml:space="preserve">| 1 L NS % | 2 L PHP-CGM % | 3 P PRO % | 6 L JAVA % </v>
      </c>
      <c r="BW189" s="4" t="str">
        <f ca="1">IFERROR(__xludf.DUMMYFUNCTION("""COMPUTED_VALUE"""),"| 1 L CPT % | 2 L PHP-CGM % | 3 P CPT % ")</f>
        <v xml:space="preserve">| 1 L CPT % | 2 L PHP-CGM % | 3 P CPT % </v>
      </c>
      <c r="BX189" s="4" t="str">
        <f ca="1">IFERROR(__xludf.DUMMYFUNCTION("""COMPUTED_VALUE"""),"| 1 L NS % | 2 L PHP-CGM % | 3 P JAVA % | 5 P NS % ")</f>
        <v xml:space="preserve">| 1 L NS % | 2 L PHP-CGM % | 3 P JAVA % | 5 P NS % </v>
      </c>
      <c r="BY189" s="4" t="str">
        <f ca="1">IFERROR(__xludf.DUMMYFUNCTION("""COMPUTED_VALUE"""),"| 1 L CPT % | 2 L JAVA % | 3 P Python % | 5 P PHP-CGM % ")</f>
        <v xml:space="preserve">| 1 L CPT % | 2 L JAVA % | 3 P Python % | 5 P PHP-CGM % </v>
      </c>
      <c r="BZ189" s="4" t="str">
        <f ca="1">IFERROR(__xludf.DUMMYFUNCTION("""COMPUTED_VALUE"""),"| 1 L CPT % | 2 L JAVA % | 3 P JAVA % | 5 L INE % ")</f>
        <v xml:space="preserve">| 1 L CPT % | 2 L JAVA % | 3 P JAVA % | 5 L INE % </v>
      </c>
      <c r="CA18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189" s="4" t="str">
        <f ca="1">IFERROR(__xludf.DUMMYFUNCTION("""COMPUTED_VALUE"""),"| 2 L PHP-CGM % | 3 P CPT % | 6 P Python % | 1 L CPT % ")</f>
        <v xml:space="preserve">| 2 L PHP-CGM % | 3 P CPT % | 6 P Python % | 1 L CPT % </v>
      </c>
      <c r="CC189" s="4" t="str">
        <f ca="1">IFERROR(__xludf.DUMMYFUNCTION("""COMPUTED_VALUE"""),"| 1 L NS % | 2 L PHP-CGM % | 3 P JAVA % | 5 P NS % ")</f>
        <v xml:space="preserve">| 1 L NS % | 2 L PHP-CGM % | 3 P JAVA % | 5 P NS % </v>
      </c>
      <c r="CD189" s="4" t="str">
        <f ca="1">IFERROR(__xludf.DUMMYFUNCTION("""COMPUTED_VALUE"""),"| 1 L CPT % | 2 L JAVA @ | 3 P Python % | 5 P PHP-CGM % ")</f>
        <v xml:space="preserve">| 1 L CPT % | 2 L JAVA @ | 3 P Python % | 5 P PHP-CGM % </v>
      </c>
      <c r="CE189" s="4" t="str">
        <f ca="1">IFERROR(__xludf.DUMMYFUNCTION("""COMPUTED_VALUE"""),"| 1 L CPT % | 2 L JAVA % | 3 P JAVA % | 5 L INE % ")</f>
        <v xml:space="preserve">| 1 L CPT % | 2 L JAVA % | 3 P JAVA % | 5 L INE % </v>
      </c>
      <c r="CF189" s="4" t="str">
        <f ca="1">IFERROR(__xludf.DUMMYFUNCTION("""COMPUTED_VALUE"""),"| 1 L NS @ | 2 L PHP-CGM @ | 5 L NS @ | 6 L JAVA @ ")</f>
        <v xml:space="preserve">| 1 L NS @ | 2 L PHP-CGM @ | 5 L NS @ | 6 L JAVA @ </v>
      </c>
      <c r="CG189" s="4" t="str">
        <f ca="1">IFERROR(__xludf.DUMMYFUNCTION("""COMPUTED_VALUE"""),"| 1 L CPT % | 2 L PHP-CGM % | 6 P Python % | 3 P CPT % ")</f>
        <v xml:space="preserve">| 1 L CPT % | 2 L PHP-CGM % | 6 P Python % | 3 P CPT % </v>
      </c>
      <c r="CH189" s="4" t="str">
        <f ca="1">IFERROR(__xludf.DUMMYFUNCTION("""COMPUTED_VALUE"""),"| 1 L NS % | 2 L PHP-CGM % | 3 P JAVA % | 5 P NS % ")</f>
        <v xml:space="preserve">| 1 L NS % | 2 L PHP-CGM % | 3 P JAVA % | 5 P NS % </v>
      </c>
      <c r="CI189" s="4" t="str">
        <f ca="1">IFERROR(__xludf.DUMMYFUNCTION("""COMPUTED_VALUE"""),"| 1 L CPT % | 2 L JAVA % | 5 P PHP-CGM % ")</f>
        <v xml:space="preserve">| 1 L CPT % | 2 L JAVA % | 5 P PHP-CGM % </v>
      </c>
      <c r="CJ189" s="4" t="str">
        <f ca="1">IFERROR(__xludf.DUMMYFUNCTION("""COMPUTED_VALUE"""),"| 1 L CPT @ ")</f>
        <v xml:space="preserve">| 1 L CPT @ </v>
      </c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</row>
    <row r="190" spans="1:102" ht="12.5" x14ac:dyDescent="0.25">
      <c r="A190" s="3">
        <f ca="1">IFERROR(__xludf.DUMMYFUNCTION("""COMPUTED_VALUE"""),1)</f>
        <v>1</v>
      </c>
      <c r="B190" s="3" t="str">
        <f ca="1">IFERROR(__xludf.DUMMYFUNCTION("""COMPUTED_VALUE"""),"C")</f>
        <v>C</v>
      </c>
      <c r="C190" s="32" t="str">
        <f ca="1">IFERROR(__xludf.DUMMYFUNCTION("""COMPUTED_VALUE"""),"23171341064")</f>
        <v>23171341064</v>
      </c>
      <c r="D190" s="4" t="str">
        <f ca="1">IFERROR(__xludf.DUMMYFUNCTION("""COMPUTED_VALUE"""),"PARIN DINESHBHAI SUTARIYA")</f>
        <v>PARIN DINESHBHAI SUTARIYA</v>
      </c>
      <c r="E190" s="3" t="str">
        <f ca="1">IFERROR(__xludf.DUMMYFUNCTION("""COMPUTED_VALUE"""),"PKN/PAP-Mor")</f>
        <v>PKN/PAP-Mor</v>
      </c>
      <c r="F190" s="3">
        <f ca="1">IFERROR(__xludf.DUMMYFUNCTION("""COMPUTED_VALUE"""),7043698821)</f>
        <v>7043698821</v>
      </c>
      <c r="G190" s="3">
        <f ca="1">IFERROR(__xludf.DUMMYFUNCTION("""COMPUTED_VALUE"""),9925092477)</f>
        <v>9925092477</v>
      </c>
      <c r="H190" s="33">
        <f ca="1">IFERROR(__xludf.DUMMYFUNCTION("""COMPUTED_VALUE"""),0.522448979591836)</f>
        <v>0.522448979591836</v>
      </c>
      <c r="I190" s="25">
        <f ca="1">IFERROR(__xludf.DUMMYFUNCTION("""COMPUTED_VALUE"""),0.552631578947368)</f>
        <v>0.55263157894736803</v>
      </c>
      <c r="J190" s="25">
        <f ca="1">IFERROR(__xludf.DUMMYFUNCTION("""COMPUTED_VALUE"""),0.75)</f>
        <v>0.75</v>
      </c>
      <c r="K190" s="25">
        <f ca="1">IFERROR(__xludf.DUMMYFUNCTION("""COMPUTED_VALUE"""),0.555555555555555)</f>
        <v>0.55555555555555503</v>
      </c>
      <c r="L190" s="25">
        <f ca="1">IFERROR(__xludf.DUMMYFUNCTION("""COMPUTED_VALUE"""),0.454545454545454)</f>
        <v>0.45454545454545398</v>
      </c>
      <c r="M190" s="25">
        <f ca="1">IFERROR(__xludf.DUMMYFUNCTION("""COMPUTED_VALUE"""),0.611111111111111)</f>
        <v>0.61111111111111105</v>
      </c>
      <c r="N190" s="25">
        <f ca="1">IFERROR(__xludf.DUMMYFUNCTION("""COMPUTED_VALUE"""),0.153846153846153)</f>
        <v>0.15384615384615299</v>
      </c>
      <c r="O190" s="25">
        <f ca="1">IFERROR(__xludf.DUMMYFUNCTION("""COMPUTED_VALUE"""),0.457142857142857)</f>
        <v>0.45714285714285702</v>
      </c>
      <c r="P190" s="25">
        <f ca="1">IFERROR(__xludf.DUMMYFUNCTION("""COMPUTED_VALUE"""),0.454545454545454)</f>
        <v>0.45454545454545398</v>
      </c>
      <c r="Q190" s="25">
        <f ca="1">IFERROR(__xludf.DUMMYFUNCTION("""COMPUTED_VALUE"""),0)</f>
        <v>0</v>
      </c>
      <c r="R190" s="25">
        <f ca="1">IFERROR(__xludf.DUMMYFUNCTION("""COMPUTED_VALUE"""),0.681818181818181)</f>
        <v>0.68181818181818099</v>
      </c>
      <c r="S190" s="25">
        <f ca="1">IFERROR(__xludf.DUMMYFUNCTION("""COMPUTED_VALUE"""),0)</f>
        <v>0</v>
      </c>
      <c r="T190" s="25">
        <f ca="1">IFERROR(__xludf.DUMMYFUNCTION("""COMPUTED_VALUE"""),0.666666666666666)</f>
        <v>0.66666666666666596</v>
      </c>
      <c r="U190" s="25">
        <f ca="1">IFERROR(__xludf.DUMMYFUNCTION("""COMPUTED_VALUE"""),0)</f>
        <v>0</v>
      </c>
      <c r="V190" s="25">
        <f ca="1">IFERROR(__xludf.DUMMYFUNCTION("""COMPUTED_VALUE"""),0)</f>
        <v>0</v>
      </c>
      <c r="W190" s="4"/>
      <c r="X19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90" s="4" t="str">
        <f ca="1">IFERROR(__xludf.DUMMYFUNCTION("""COMPUTED_VALUE"""),"| 1 L CPT @ | 5 L PHP-CGM % | 1 P CPT % | 6 P Python @ ")</f>
        <v xml:space="preserve">| 1 L CPT @ | 5 L PHP-CGM % | 1 P CPT % | 6 P Python @ </v>
      </c>
      <c r="Z190" s="4" t="str">
        <f ca="1">IFERROR(__xludf.DUMMYFUNCTION("""COMPUTED_VALUE"""),"| 1 L CPT % | 2 L PHP-CGM % | 3 P JAVA % | 5 P NS @ ")</f>
        <v xml:space="preserve">| 1 L CPT % | 2 L PHP-CGM % | 3 P JAVA % | 5 P NS @ </v>
      </c>
      <c r="AA190" s="4" t="str">
        <f ca="1">IFERROR(__xludf.DUMMYFUNCTION("""COMPUTED_VALUE"""),"| 1 L NS % | 2 L JAVA % | 3 P Python % | 5 P PHP-CGM @ ")</f>
        <v xml:space="preserve">| 1 L NS % | 2 L JAVA % | 3 P Python % | 5 P PHP-CGM @ </v>
      </c>
      <c r="AB190" s="4" t="str">
        <f ca="1">IFERROR(__xludf.DUMMYFUNCTION("""COMPUTED_VALUE"""),"| 1 L CPT % | 2 L JAVA % | 3 P JAVA % ")</f>
        <v xml:space="preserve">| 1 L CPT % | 2 L JAVA % | 3 P JAVA % </v>
      </c>
      <c r="AC190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190" s="4" t="str">
        <f ca="1">IFERROR(__xludf.DUMMYFUNCTION("""COMPUTED_VALUE"""),"| 1 L CPT @ | 2 L PHP-CGM @ | 3 P CPT @ | 6 P Python @ ")</f>
        <v xml:space="preserve">| 1 L CPT @ | 2 L PHP-CGM @ | 3 P CPT @ | 6 P Python @ </v>
      </c>
      <c r="AE190" s="4" t="str">
        <f ca="1">IFERROR(__xludf.DUMMYFUNCTION("""COMPUTED_VALUE"""),"| 1 L CPT % | 3 P JAVA % | 5 P NS % | 2 L PHP-CGM % ")</f>
        <v xml:space="preserve">| 1 L CPT % | 3 P JAVA % | 5 P NS % | 2 L PHP-CGM % </v>
      </c>
      <c r="AF190" s="4" t="str">
        <f ca="1">IFERROR(__xludf.DUMMYFUNCTION("""COMPUTED_VALUE"""),"| 1 L NS % | 2 L CPT % | 3 P Python % | 5 P PHP-CGM @ ")</f>
        <v xml:space="preserve">| 1 L NS % | 2 L CPT % | 3 P Python % | 5 P PHP-CGM @ </v>
      </c>
      <c r="AG190" s="4" t="str">
        <f ca="1">IFERROR(__xludf.DUMMYFUNCTION("""COMPUTED_VALUE"""),"| 1 L CPT % | 2 L JAVA % | 3 P JAVA @ ")</f>
        <v xml:space="preserve">| 1 L CPT % | 2 L JAVA % | 3 P JAVA @ </v>
      </c>
      <c r="AH190" s="4" t="str">
        <f ca="1">IFERROR(__xludf.DUMMYFUNCTION("""COMPUTED_VALUE"""),"| 2 L JAVA % | 1 L NS % | 3 P Python % | 5 P PHP-CGM @ ")</f>
        <v xml:space="preserve">| 2 L JAVA % | 1 L NS % | 3 P Python % | 5 P PHP-CGM @ </v>
      </c>
      <c r="AI190" s="4" t="str">
        <f ca="1">IFERROR(__xludf.DUMMYFUNCTION("""COMPUTED_VALUE"""),"| 1 L CPT % | 2 L JAVA % | 3 P JAVA % ")</f>
        <v xml:space="preserve">| 1 L CPT % | 2 L JAVA % | 3 P JAVA % </v>
      </c>
      <c r="AJ190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K190" s="4" t="str">
        <f ca="1">IFERROR(__xludf.DUMMYFUNCTION("""COMPUTED_VALUE"""),"| 1 L CPT % | 3 P CPT % | 2 L PHP-CGM % | 6 P Python @ ")</f>
        <v xml:space="preserve">| 1 L CPT % | 3 P CPT % | 2 L PHP-CGM % | 6 P Python @ </v>
      </c>
      <c r="AL190" s="4" t="str">
        <f ca="1">IFERROR(__xludf.DUMMYFUNCTION("""COMPUTED_VALUE"""),"| 1 L CPT % | 2 L PHP-CGM % | 3 P JAVA % | 5 P NS @ ")</f>
        <v xml:space="preserve">| 1 L CPT % | 2 L PHP-CGM % | 3 P JAVA % | 5 P NS @ </v>
      </c>
      <c r="AM190" s="4" t="str">
        <f ca="1">IFERROR(__xludf.DUMMYFUNCTION("""COMPUTED_VALUE"""),"| 2 L JAVA % | 3 P Python % | 5 P PHP-CGM @ | 1 L NS % ")</f>
        <v xml:space="preserve">| 2 L JAVA % | 3 P Python % | 5 P PHP-CGM @ | 1 L NS % </v>
      </c>
      <c r="AN190" s="4" t="str">
        <f ca="1">IFERROR(__xludf.DUMMYFUNCTION("""COMPUTED_VALUE"""),"| 1 L CPT % | 2 L JAVA @ | 3 P JAVA % | 5 L INE @ ")</f>
        <v xml:space="preserve">| 1 L CPT % | 2 L JAVA @ | 3 P JAVA % | 5 L INE @ </v>
      </c>
      <c r="AO190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P190" s="4" t="str">
        <f ca="1">IFERROR(__xludf.DUMMYFUNCTION("""COMPUTED_VALUE"""),"| 1 L CPT % | 2 L PHP-CGM % | 3 P CPT % | 6 P Python % ")</f>
        <v xml:space="preserve">| 1 L CPT % | 2 L PHP-CGM % | 3 P CPT % | 6 P Python % </v>
      </c>
      <c r="AQ190" s="4" t="str">
        <f ca="1">IFERROR(__xludf.DUMMYFUNCTION("""COMPUTED_VALUE"""),"| 2 L PHP-CGM % | 3 P JAVA % | 1 L NS % | 5 P NS @ ")</f>
        <v xml:space="preserve">| 2 L PHP-CGM % | 3 P JAVA % | 1 L NS % | 5 P NS @ </v>
      </c>
      <c r="AR190" s="4" t="str">
        <f ca="1">IFERROR(__xludf.DUMMYFUNCTION("""COMPUTED_VALUE"""),"| 1 L CPT % | 2 L JAVA % | 3 P Python % | 5 P PHP-CGM @ ")</f>
        <v xml:space="preserve">| 1 L CPT % | 2 L JAVA % | 3 P Python % | 5 P PHP-CGM @ </v>
      </c>
      <c r="AS19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90" s="4" t="str">
        <f ca="1">IFERROR(__xludf.DUMMYFUNCTION("""COMPUTED_VALUE"""),"| 1 L CPT % | 2 L PHP-CGM % | 3 P CPT % | 6 P Python % ")</f>
        <v xml:space="preserve">| 1 L CPT % | 2 L PHP-CGM % | 3 P CPT % | 6 P Python % </v>
      </c>
      <c r="AU190" s="4" t="str">
        <f ca="1">IFERROR(__xludf.DUMMYFUNCTION("""COMPUTED_VALUE"""),"| 1 L NS % | 2 L PHP-CGM % | 3 P JAVA @ | 5 P NS % ")</f>
        <v xml:space="preserve">| 1 L NS % | 2 L PHP-CGM % | 3 P JAVA @ | 5 P NS % </v>
      </c>
      <c r="AV190" s="4" t="str">
        <f ca="1">IFERROR(__xludf.DUMMYFUNCTION("""COMPUTED_VALUE"""),"| 1 L CPT % | 2 L JAVA % | 3 P Python @ | 5 P PHP-CGM @ ")</f>
        <v xml:space="preserve">| 1 L CPT % | 2 L JAVA % | 3 P Python @ | 5 P PHP-CGM @ </v>
      </c>
      <c r="AW190" s="4" t="str">
        <f ca="1">IFERROR(__xludf.DUMMYFUNCTION("""COMPUTED_VALUE"""),"| 1 L CPT % | 2 L JAVA % | 3 P JAVA @ | 5 L INE @ | 6 L INE @ ")</f>
        <v xml:space="preserve">| 1 L CPT % | 2 L JAVA % | 3 P JAVA @ | 5 L INE @ | 6 L INE @ </v>
      </c>
      <c r="AX190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90" s="4" t="str">
        <f ca="1">IFERROR(__xludf.DUMMYFUNCTION("""COMPUTED_VALUE"""),"| 1 L CPT % | 2 L PHP-CGM % | 3 P CPT % | 6 P Python % ")</f>
        <v xml:space="preserve">| 1 L CPT % | 2 L PHP-CGM % | 3 P CPT % | 6 P Python % </v>
      </c>
      <c r="AZ190" s="4" t="str">
        <f ca="1">IFERROR(__xludf.DUMMYFUNCTION("""COMPUTED_VALUE"""),"| 1 L CPT @ | 2 L JAVA @ | 3 P Python % | 5 P PHP-CGM @ ")</f>
        <v xml:space="preserve">| 1 L CPT @ | 2 L JAVA @ | 3 P Python % | 5 P PHP-CGM @ </v>
      </c>
      <c r="BA190" s="4" t="str">
        <f ca="1">IFERROR(__xludf.DUMMYFUNCTION("""COMPUTED_VALUE"""),"| 1 L CPT % | 2 L JAVA % | 3 P JAVA @ | 5 L INE @ ")</f>
        <v xml:space="preserve">| 1 L CPT % | 2 L JAVA % | 3 P JAVA @ | 5 L INE @ </v>
      </c>
      <c r="BB19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90" s="4" t="str">
        <f ca="1">IFERROR(__xludf.DUMMYFUNCTION("""COMPUTED_VALUE"""),"| 1 L CPT % | 2 L PHP-CGM % | 3 P CPT % | 6 P Python % ")</f>
        <v xml:space="preserve">| 1 L CPT % | 2 L PHP-CGM % | 3 P CPT % | 6 P Python % </v>
      </c>
      <c r="BD190" s="4" t="str">
        <f ca="1">IFERROR(__xludf.DUMMYFUNCTION("""COMPUTED_VALUE"""),"| 1 L NS % | 2 L PHP-CGM % | 3 P JAVA % | 5 P NS % ")</f>
        <v xml:space="preserve">| 1 L NS % | 2 L PHP-CGM % | 3 P JAVA % | 5 P NS % </v>
      </c>
      <c r="BE190" s="4" t="str">
        <f ca="1">IFERROR(__xludf.DUMMYFUNCTION("""COMPUTED_VALUE"""),"| 1 L CPT % | 2 L JAVA @ | 3 P Python % | 5 P PHP-CGM % ")</f>
        <v xml:space="preserve">| 1 L CPT % | 2 L JAVA @ | 3 P Python % | 5 P PHP-CGM % </v>
      </c>
      <c r="BF190" s="4" t="str">
        <f ca="1">IFERROR(__xludf.DUMMYFUNCTION("""COMPUTED_VALUE"""),"| 1 L CPT % | 2 L JAVA @ | 3 P JAVA @ ")</f>
        <v xml:space="preserve">| 1 L CPT % | 2 L JAVA @ | 3 P JAVA @ </v>
      </c>
      <c r="BG190" s="4" t="str">
        <f ca="1">IFERROR(__xludf.DUMMYFUNCTION("""COMPUTED_VALUE"""),"| 2 L PHP-CGM % | 3 P CPT % | 1 L CPT % | 6 P Python % ")</f>
        <v xml:space="preserve">| 2 L PHP-CGM % | 3 P CPT % | 1 L CPT % | 6 P Python % </v>
      </c>
      <c r="BH190" s="4" t="str">
        <f ca="1">IFERROR(__xludf.DUMMYFUNCTION("""COMPUTED_VALUE"""),"| 1 L NS % | 2 L PHP-CGM % | 3 P JAVA % | 5 P NS @ ")</f>
        <v xml:space="preserve">| 1 L NS % | 2 L PHP-CGM % | 3 P JAVA % | 5 P NS @ </v>
      </c>
      <c r="BI190" s="4" t="str">
        <f ca="1">IFERROR(__xludf.DUMMYFUNCTION("""COMPUTED_VALUE"""),"| 1 L CPT % | 2 L JAVA % | 3 P Python % | 5 P PHP-CGM @ ")</f>
        <v xml:space="preserve">| 1 L CPT % | 2 L JAVA % | 3 P Python % | 5 P PHP-CGM @ </v>
      </c>
      <c r="BJ190" s="4" t="str">
        <f ca="1">IFERROR(__xludf.DUMMYFUNCTION("""COMPUTED_VALUE"""),"| 1 L CPT @ | 2 L JAVA @ | 3 P JAVA @ | 5 L INE @ ")</f>
        <v xml:space="preserve">| 1 L CPT @ | 2 L JAVA @ | 3 P JAVA @ | 5 L INE @ </v>
      </c>
      <c r="BK19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90" s="4" t="str">
        <f ca="1">IFERROR(__xludf.DUMMYFUNCTION("""COMPUTED_VALUE"""),"| 1 L CPT @ | 2 L PHP-CGM @ | 3 P CPT @ ")</f>
        <v xml:space="preserve">| 1 L CPT @ | 2 L PHP-CGM @ | 3 P CPT @ </v>
      </c>
      <c r="BM190" s="4" t="str">
        <f ca="1">IFERROR(__xludf.DUMMYFUNCTION("""COMPUTED_VALUE"""),"| 1 L NS @ | 2 L PHP-CGM @ | 3 P JAVA @ | 5 P NS @ ")</f>
        <v xml:space="preserve">| 1 L NS @ | 2 L PHP-CGM @ | 3 P JAVA @ | 5 P NS @ </v>
      </c>
      <c r="BN190" s="4" t="str">
        <f ca="1">IFERROR(__xludf.DUMMYFUNCTION("""COMPUTED_VALUE"""),"| 2 L JAVA @ | 1 L CPT @ | 3 P Python % | 5 P PHP-CGM @ ")</f>
        <v xml:space="preserve">| 2 L JAVA @ | 1 L CPT @ | 3 P Python % | 5 P PHP-CGM @ </v>
      </c>
      <c r="BO190" s="4" t="str">
        <f ca="1">IFERROR(__xludf.DUMMYFUNCTION("""COMPUTED_VALUE"""),"| 2 L JAVA @ | 1 L CPT @ | 3 P JAVA @ | 5 L INE @ ")</f>
        <v xml:space="preserve">| 2 L JAVA @ | 1 L CPT @ | 3 P JAVA @ | 5 L INE @ </v>
      </c>
      <c r="BP19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90" s="4"/>
      <c r="BR190" s="4"/>
      <c r="BS190" s="4"/>
      <c r="BT190" s="4" t="str">
        <f ca="1">IFERROR(__xludf.DUMMYFUNCTION("""COMPUTED_VALUE"""),"| 1 L NS % | 2 L PHP-CGM % | 3 P PRO @ ")</f>
        <v xml:space="preserve">| 1 L NS % | 2 L PHP-CGM % | 3 P PRO @ </v>
      </c>
      <c r="BU190" s="4" t="str">
        <f ca="1">IFERROR(__xludf.DUMMYFUNCTION("""COMPUTED_VALUE"""),"| 1 L CPT @ ")</f>
        <v xml:space="preserve">| 1 L CPT @ </v>
      </c>
      <c r="BV190" s="4" t="str">
        <f ca="1">IFERROR(__xludf.DUMMYFUNCTION("""COMPUTED_VALUE"""),"| 1 L NS @ | 2 L PHP-CGM @ | 3 P PRO @ | 6 L JAVA @ ")</f>
        <v xml:space="preserve">| 1 L NS @ | 2 L PHP-CGM @ | 3 P PRO @ | 6 L JAVA @ </v>
      </c>
      <c r="BW190" s="4" t="str">
        <f ca="1">IFERROR(__xludf.DUMMYFUNCTION("""COMPUTED_VALUE"""),"| 1 L CPT @ | 2 L PHP-CGM @ | 3 P CPT @ ")</f>
        <v xml:space="preserve">| 1 L CPT @ | 2 L PHP-CGM @ | 3 P CPT @ </v>
      </c>
      <c r="BX190" s="4" t="str">
        <f ca="1">IFERROR(__xludf.DUMMYFUNCTION("""COMPUTED_VALUE"""),"| 1 L NS @ | 2 L PHP-CGM @ | 3 P JAVA @ | 5 P NS % ")</f>
        <v xml:space="preserve">| 1 L NS @ | 2 L PHP-CGM @ | 3 P JAVA @ | 5 P NS % </v>
      </c>
      <c r="BY190" s="4" t="str">
        <f ca="1">IFERROR(__xludf.DUMMYFUNCTION("""COMPUTED_VALUE"""),"| 1 L CPT @ | 2 L JAVA @ | 3 P Python @ | 5 P PHP-CGM @ ")</f>
        <v xml:space="preserve">| 1 L CPT @ | 2 L JAVA @ | 3 P Python @ | 5 P PHP-CGM @ </v>
      </c>
      <c r="BZ190" s="4" t="str">
        <f ca="1">IFERROR(__xludf.DUMMYFUNCTION("""COMPUTED_VALUE"""),"| 1 L CPT @ | 2 L JAVA @ | 3 P JAVA @ | 5 L INE @ ")</f>
        <v xml:space="preserve">| 1 L CPT @ | 2 L JAVA @ | 3 P JAVA @ | 5 L INE @ </v>
      </c>
      <c r="CA190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CB190" s="4" t="str">
        <f ca="1">IFERROR(__xludf.DUMMYFUNCTION("""COMPUTED_VALUE"""),"| 2 L PHP-CGM @ | 3 P CPT % | 6 P Python @ | 1 L CPT @ ")</f>
        <v xml:space="preserve">| 2 L PHP-CGM @ | 3 P CPT % | 6 P Python @ | 1 L CPT @ </v>
      </c>
      <c r="CC190" s="4" t="str">
        <f ca="1">IFERROR(__xludf.DUMMYFUNCTION("""COMPUTED_VALUE"""),"| 1 L NS @ | 2 L PHP-CGM @ | 3 P JAVA @ | 5 P NS @ ")</f>
        <v xml:space="preserve">| 1 L NS @ | 2 L PHP-CGM @ | 3 P JAVA @ | 5 P NS @ </v>
      </c>
      <c r="CD190" s="4" t="str">
        <f ca="1">IFERROR(__xludf.DUMMYFUNCTION("""COMPUTED_VALUE"""),"| 1 L CPT @ | 2 L JAVA @ | 3 P Python @ | 5 P PHP-CGM @ ")</f>
        <v xml:space="preserve">| 1 L CPT @ | 2 L JAVA @ | 3 P Python @ | 5 P PHP-CGM @ </v>
      </c>
      <c r="CE190" s="4" t="str">
        <f ca="1">IFERROR(__xludf.DUMMYFUNCTION("""COMPUTED_VALUE"""),"| 1 L CPT @ | 2 L JAVA @ | 3 P JAVA @ | 5 L INE @ ")</f>
        <v xml:space="preserve">| 1 L CPT @ | 2 L JAVA @ | 3 P JAVA @ | 5 L INE @ </v>
      </c>
      <c r="CF190" s="4" t="str">
        <f ca="1">IFERROR(__xludf.DUMMYFUNCTION("""COMPUTED_VALUE"""),"| 1 L NS @ | 2 L PHP-CGM @ | 5 L NS @ | 6 L JAVA @ ")</f>
        <v xml:space="preserve">| 1 L NS @ | 2 L PHP-CGM @ | 5 L NS @ | 6 L JAVA @ </v>
      </c>
      <c r="CG190" s="4" t="str">
        <f ca="1">IFERROR(__xludf.DUMMYFUNCTION("""COMPUTED_VALUE"""),"| 1 L CPT @ | 2 L PHP-CGM @ | 6 P Python % | 3 P CPT % ")</f>
        <v xml:space="preserve">| 1 L CPT @ | 2 L PHP-CGM @ | 6 P Python % | 3 P CPT % </v>
      </c>
      <c r="CH190" s="4" t="str">
        <f ca="1">IFERROR(__xludf.DUMMYFUNCTION("""COMPUTED_VALUE"""),"| 1 L NS @ | 2 L PHP-CGM @ | 3 P JAVA % | 5 P NS % ")</f>
        <v xml:space="preserve">| 1 L NS @ | 2 L PHP-CGM @ | 3 P JAVA % | 5 P NS % </v>
      </c>
      <c r="CI190" s="4" t="str">
        <f ca="1">IFERROR(__xludf.DUMMYFUNCTION("""COMPUTED_VALUE"""),"| 1 L CPT @ | 2 L JAVA % | 5 P PHP-CGM % ")</f>
        <v xml:space="preserve">| 1 L CPT @ | 2 L JAVA % | 5 P PHP-CGM % </v>
      </c>
      <c r="CJ190" s="4" t="str">
        <f ca="1">IFERROR(__xludf.DUMMYFUNCTION("""COMPUTED_VALUE"""),"| 1 L CPT @ ")</f>
        <v xml:space="preserve">| 1 L CPT @ </v>
      </c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</row>
    <row r="191" spans="1:102" ht="12.5" x14ac:dyDescent="0.25">
      <c r="A191" s="3">
        <f ca="1">IFERROR(__xludf.DUMMYFUNCTION("""COMPUTED_VALUE"""),1)</f>
        <v>1</v>
      </c>
      <c r="B191" s="3" t="str">
        <f ca="1">IFERROR(__xludf.DUMMYFUNCTION("""COMPUTED_VALUE"""),"C")</f>
        <v>C</v>
      </c>
      <c r="C191" s="32" t="str">
        <f ca="1">IFERROR(__xludf.DUMMYFUNCTION("""COMPUTED_VALUE"""),"23171341070")</f>
        <v>23171341070</v>
      </c>
      <c r="D191" s="4" t="str">
        <f ca="1">IFERROR(__xludf.DUMMYFUNCTION("""COMPUTED_VALUE"""),"PATEL ANSHKUMAR JITENDRABHAI")</f>
        <v>PATEL ANSHKUMAR JITENDRABHAI</v>
      </c>
      <c r="E191" s="3" t="str">
        <f ca="1">IFERROR(__xludf.DUMMYFUNCTION("""COMPUTED_VALUE"""),"PKN/PAP-Mor")</f>
        <v>PKN/PAP-Mor</v>
      </c>
      <c r="F191" s="3">
        <f ca="1">IFERROR(__xludf.DUMMYFUNCTION("""COMPUTED_VALUE"""),6353768939)</f>
        <v>6353768939</v>
      </c>
      <c r="G191" s="3">
        <f ca="1">IFERROR(__xludf.DUMMYFUNCTION("""COMPUTED_VALUE"""),9978594753)</f>
        <v>9978594753</v>
      </c>
      <c r="H191" s="33">
        <f ca="1">IFERROR(__xludf.DUMMYFUNCTION("""COMPUTED_VALUE"""),0.771428571428571)</f>
        <v>0.77142857142857102</v>
      </c>
      <c r="I191" s="25">
        <f ca="1">IFERROR(__xludf.DUMMYFUNCTION("""COMPUTED_VALUE"""),0.81578947368421)</f>
        <v>0.81578947368420995</v>
      </c>
      <c r="J191" s="25">
        <f ca="1">IFERROR(__xludf.DUMMYFUNCTION("""COMPUTED_VALUE"""),1)</f>
        <v>1</v>
      </c>
      <c r="K191" s="25">
        <f ca="1">IFERROR(__xludf.DUMMYFUNCTION("""COMPUTED_VALUE"""),0.694444444444444)</f>
        <v>0.69444444444444398</v>
      </c>
      <c r="L191" s="25">
        <f ca="1">IFERROR(__xludf.DUMMYFUNCTION("""COMPUTED_VALUE"""),0.818181818181818)</f>
        <v>0.81818181818181801</v>
      </c>
      <c r="M191" s="25">
        <f ca="1">IFERROR(__xludf.DUMMYFUNCTION("""COMPUTED_VALUE"""),0.805555555555555)</f>
        <v>0.80555555555555503</v>
      </c>
      <c r="N191" s="25">
        <f ca="1">IFERROR(__xludf.DUMMYFUNCTION("""COMPUTED_VALUE"""),0.846153846153846)</f>
        <v>0.84615384615384603</v>
      </c>
      <c r="O191" s="25">
        <f ca="1">IFERROR(__xludf.DUMMYFUNCTION("""COMPUTED_VALUE"""),0.685714285714285)</f>
        <v>0.68571428571428505</v>
      </c>
      <c r="P191" s="25">
        <f ca="1">IFERROR(__xludf.DUMMYFUNCTION("""COMPUTED_VALUE"""),0.772727272727272)</f>
        <v>0.77272727272727204</v>
      </c>
      <c r="Q191" s="25">
        <f ca="1">IFERROR(__xludf.DUMMYFUNCTION("""COMPUTED_VALUE"""),0)</f>
        <v>0</v>
      </c>
      <c r="R191" s="25">
        <f ca="1">IFERROR(__xludf.DUMMYFUNCTION("""COMPUTED_VALUE"""),0.818181818181818)</f>
        <v>0.81818181818181801</v>
      </c>
      <c r="S191" s="25">
        <f ca="1">IFERROR(__xludf.DUMMYFUNCTION("""COMPUTED_VALUE"""),0)</f>
        <v>0</v>
      </c>
      <c r="T191" s="25">
        <f ca="1">IFERROR(__xludf.DUMMYFUNCTION("""COMPUTED_VALUE"""),0.75)</f>
        <v>0.75</v>
      </c>
      <c r="U191" s="25">
        <f ca="1">IFERROR(__xludf.DUMMYFUNCTION("""COMPUTED_VALUE"""),0.5)</f>
        <v>0.5</v>
      </c>
      <c r="V191" s="25">
        <f ca="1">IFERROR(__xludf.DUMMYFUNCTION("""COMPUTED_VALUE"""),0)</f>
        <v>0</v>
      </c>
      <c r="W191" s="4"/>
      <c r="X191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91" s="4" t="str">
        <f ca="1">IFERROR(__xludf.DUMMYFUNCTION("""COMPUTED_VALUE"""),"| 1 L CPT % | 5 L PHP-CGM % | 1 P CPT % | 6 P Python @ ")</f>
        <v xml:space="preserve">| 1 L CPT % | 5 L PHP-CGM % | 1 P CPT % | 6 P Python @ </v>
      </c>
      <c r="Z191" s="4" t="str">
        <f ca="1">IFERROR(__xludf.DUMMYFUNCTION("""COMPUTED_VALUE"""),"| 1 L CPT % | 2 L PHP-CGM % | 3 P JAVA % | 5 P NS % ")</f>
        <v xml:space="preserve">| 1 L CPT % | 2 L PHP-CGM % | 3 P JAVA % | 5 P NS % </v>
      </c>
      <c r="AA191" s="4" t="str">
        <f ca="1">IFERROR(__xludf.DUMMYFUNCTION("""COMPUTED_VALUE"""),"| 1 L NS % | 2 L JAVA % | 3 P Python % | 5 P PHP-CGM @ ")</f>
        <v xml:space="preserve">| 1 L NS % | 2 L JAVA % | 3 P Python % | 5 P PHP-CGM @ </v>
      </c>
      <c r="AB191" s="4" t="str">
        <f ca="1">IFERROR(__xludf.DUMMYFUNCTION("""COMPUTED_VALUE"""),"| 1 L CPT % | 2 L JAVA % | 3 P JAVA % ")</f>
        <v xml:space="preserve">| 1 L CPT % | 2 L JAVA % | 3 P JAVA % </v>
      </c>
      <c r="AC191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191" s="4" t="str">
        <f ca="1">IFERROR(__xludf.DUMMYFUNCTION("""COMPUTED_VALUE"""),"| 1 L CPT % | 2 L PHP-CGM % | 3 P CPT % | 6 P Python % ")</f>
        <v xml:space="preserve">| 1 L CPT % | 2 L PHP-CGM % | 3 P CPT % | 6 P Python % </v>
      </c>
      <c r="AE191" s="4" t="str">
        <f ca="1">IFERROR(__xludf.DUMMYFUNCTION("""COMPUTED_VALUE"""),"| 1 L CPT % | 3 P JAVA % | 5 P NS % | 2 L PHP-CGM % ")</f>
        <v xml:space="preserve">| 1 L CPT % | 3 P JAVA % | 5 P NS % | 2 L PHP-CGM % </v>
      </c>
      <c r="AF191" s="4" t="str">
        <f ca="1">IFERROR(__xludf.DUMMYFUNCTION("""COMPUTED_VALUE"""),"| 1 L NS % | 2 L CPT % | 3 P Python % | 5 P PHP-CGM % ")</f>
        <v xml:space="preserve">| 1 L NS % | 2 L CPT % | 3 P Python % | 5 P PHP-CGM % </v>
      </c>
      <c r="AG191" s="4" t="str">
        <f ca="1">IFERROR(__xludf.DUMMYFUNCTION("""COMPUTED_VALUE"""),"| 1 L CPT % | 2 L JAVA % | 3 P JAVA @ ")</f>
        <v xml:space="preserve">| 1 L CPT % | 2 L JAVA % | 3 P JAVA @ </v>
      </c>
      <c r="AH191" s="4" t="str">
        <f ca="1">IFERROR(__xludf.DUMMYFUNCTION("""COMPUTED_VALUE"""),"| 2 L JAVA % | 1 L NS % | 3 P Python % | 5 P PHP-CGM % ")</f>
        <v xml:space="preserve">| 2 L JAVA % | 1 L NS % | 3 P Python % | 5 P PHP-CGM % </v>
      </c>
      <c r="AI191" s="4" t="str">
        <f ca="1">IFERROR(__xludf.DUMMYFUNCTION("""COMPUTED_VALUE"""),"| 1 L CPT % | 2 L JAVA % | 3 P JAVA % ")</f>
        <v xml:space="preserve">| 1 L CPT % | 2 L JAVA % | 3 P JAVA % </v>
      </c>
      <c r="AJ191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91" s="4" t="str">
        <f ca="1">IFERROR(__xludf.DUMMYFUNCTION("""COMPUTED_VALUE"""),"| 1 L CPT % | 3 P CPT % | 2 L PHP-CGM % | 6 P Python @ ")</f>
        <v xml:space="preserve">| 1 L CPT % | 3 P CPT % | 2 L PHP-CGM % | 6 P Python @ </v>
      </c>
      <c r="AL191" s="4" t="str">
        <f ca="1">IFERROR(__xludf.DUMMYFUNCTION("""COMPUTED_VALUE"""),"| 1 L CPT % | 2 L PHP-CGM % | 3 P JAVA % | 5 P NS % ")</f>
        <v xml:space="preserve">| 1 L CPT % | 2 L PHP-CGM % | 3 P JAVA % | 5 P NS % </v>
      </c>
      <c r="AM191" s="4" t="str">
        <f ca="1">IFERROR(__xludf.DUMMYFUNCTION("""COMPUTED_VALUE"""),"| 2 L JAVA % | 3 P Python % | 5 P PHP-CGM % | 1 L NS % ")</f>
        <v xml:space="preserve">| 2 L JAVA % | 3 P Python % | 5 P PHP-CGM % | 1 L NS % </v>
      </c>
      <c r="AN191" s="4" t="str">
        <f ca="1">IFERROR(__xludf.DUMMYFUNCTION("""COMPUTED_VALUE"""),"| 1 L CPT % | 2 L JAVA % | 3 P JAVA % | 5 L INE @ ")</f>
        <v xml:space="preserve">| 1 L CPT % | 2 L JAVA % | 3 P JAVA % | 5 L INE @ </v>
      </c>
      <c r="AO191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P191" s="4" t="str">
        <f ca="1">IFERROR(__xludf.DUMMYFUNCTION("""COMPUTED_VALUE"""),"| 1 L CPT % | 2 L PHP-CGM % | 3 P CPT % | 6 P Python % ")</f>
        <v xml:space="preserve">| 1 L CPT % | 2 L PHP-CGM % | 3 P CPT % | 6 P Python % </v>
      </c>
      <c r="AQ191" s="4" t="str">
        <f ca="1">IFERROR(__xludf.DUMMYFUNCTION("""COMPUTED_VALUE"""),"| 2 L PHP-CGM % | 3 P JAVA % | 1 L NS % | 5 P NS @ ")</f>
        <v xml:space="preserve">| 2 L PHP-CGM % | 3 P JAVA % | 1 L NS % | 5 P NS @ </v>
      </c>
      <c r="AR191" s="4" t="str">
        <f ca="1">IFERROR(__xludf.DUMMYFUNCTION("""COMPUTED_VALUE"""),"| 1 L CPT % | 2 L JAVA % | 3 P Python % | 5 P PHP-CGM % ")</f>
        <v xml:space="preserve">| 1 L CPT % | 2 L JAVA % | 3 P Python % | 5 P PHP-CGM % </v>
      </c>
      <c r="AS191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91" s="4" t="str">
        <f ca="1">IFERROR(__xludf.DUMMYFUNCTION("""COMPUTED_VALUE"""),"| 1 L CPT % | 2 L PHP-CGM % | 3 P CPT % | 6 P Python % ")</f>
        <v xml:space="preserve">| 1 L CPT % | 2 L PHP-CGM % | 3 P CPT % | 6 P Python % </v>
      </c>
      <c r="AU191" s="4" t="str">
        <f ca="1">IFERROR(__xludf.DUMMYFUNCTION("""COMPUTED_VALUE"""),"| 1 L NS % | 2 L PHP-CGM % | 3 P JAVA % | 5 P NS % ")</f>
        <v xml:space="preserve">| 1 L NS % | 2 L PHP-CGM % | 3 P JAVA % | 5 P NS % </v>
      </c>
      <c r="AV191" s="4" t="str">
        <f ca="1">IFERROR(__xludf.DUMMYFUNCTION("""COMPUTED_VALUE"""),"| 1 L CPT % | 2 L JAVA % | 3 P Python % | 5 P PHP-CGM @ ")</f>
        <v xml:space="preserve">| 1 L CPT % | 2 L JAVA % | 3 P Python % | 5 P PHP-CGM @ </v>
      </c>
      <c r="AW191" s="4" t="str">
        <f ca="1">IFERROR(__xludf.DUMMYFUNCTION("""COMPUTED_VALUE"""),"| 1 L CPT % | 2 L JAVA % | 3 P JAVA % | 5 L INE % | 6 L INE % ")</f>
        <v xml:space="preserve">| 1 L CPT % | 2 L JAVA % | 3 P JAVA % | 5 L INE % | 6 L INE % </v>
      </c>
      <c r="AX191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191" s="4" t="str">
        <f ca="1">IFERROR(__xludf.DUMMYFUNCTION("""COMPUTED_VALUE"""),"| 1 L CPT % | 2 L PHP-CGM % | 3 P CPT % | 6 P Python % ")</f>
        <v xml:space="preserve">| 1 L CPT % | 2 L PHP-CGM % | 3 P CPT % | 6 P Python % </v>
      </c>
      <c r="AZ191" s="4" t="str">
        <f ca="1">IFERROR(__xludf.DUMMYFUNCTION("""COMPUTED_VALUE"""),"| 1 L CPT % | 2 L JAVA % | 3 P Python % | 5 P PHP-CGM % ")</f>
        <v xml:space="preserve">| 1 L CPT % | 2 L JAVA % | 3 P Python % | 5 P PHP-CGM % </v>
      </c>
      <c r="BA191" s="4" t="str">
        <f ca="1">IFERROR(__xludf.DUMMYFUNCTION("""COMPUTED_VALUE"""),"| 1 L CPT % | 2 L JAVA % | 3 P JAVA % | 5 L INE @ ")</f>
        <v xml:space="preserve">| 1 L CPT % | 2 L JAVA % | 3 P JAVA % | 5 L INE @ </v>
      </c>
      <c r="BB191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91" s="4" t="str">
        <f ca="1">IFERROR(__xludf.DUMMYFUNCTION("""COMPUTED_VALUE"""),"| 1 L CPT % | 2 L PHP-CGM % | 3 P CPT % | 6 P Python % ")</f>
        <v xml:space="preserve">| 1 L CPT % | 2 L PHP-CGM % | 3 P CPT % | 6 P Python % </v>
      </c>
      <c r="BD191" s="4" t="str">
        <f ca="1">IFERROR(__xludf.DUMMYFUNCTION("""COMPUTED_VALUE"""),"| 1 L NS % | 2 L PHP-CGM % | 3 P JAVA % | 5 P NS % ")</f>
        <v xml:space="preserve">| 1 L NS % | 2 L PHP-CGM % | 3 P JAVA % | 5 P NS % </v>
      </c>
      <c r="BE191" s="4" t="str">
        <f ca="1">IFERROR(__xludf.DUMMYFUNCTION("""COMPUTED_VALUE"""),"| 1 L CPT % | 2 L JAVA % | 3 P Python @ | 5 P PHP-CGM % ")</f>
        <v xml:space="preserve">| 1 L CPT % | 2 L JAVA % | 3 P Python @ | 5 P PHP-CGM % </v>
      </c>
      <c r="BF191" s="4" t="str">
        <f ca="1">IFERROR(__xludf.DUMMYFUNCTION("""COMPUTED_VALUE"""),"| 1 L CPT % | 2 L JAVA % | 3 P JAVA % ")</f>
        <v xml:space="preserve">| 1 L CPT % | 2 L JAVA % | 3 P JAVA % </v>
      </c>
      <c r="BG191" s="4" t="str">
        <f ca="1">IFERROR(__xludf.DUMMYFUNCTION("""COMPUTED_VALUE"""),"| 2 L PHP-CGM % | 3 P CPT % | 1 L CPT % | 6 P Python % ")</f>
        <v xml:space="preserve">| 2 L PHP-CGM % | 3 P CPT % | 1 L CPT % | 6 P Python % </v>
      </c>
      <c r="BH191" s="4" t="str">
        <f ca="1">IFERROR(__xludf.DUMMYFUNCTION("""COMPUTED_VALUE"""),"| 1 L NS % | 2 L PHP-CGM % | 3 P JAVA @ | 5 P NS @ ")</f>
        <v xml:space="preserve">| 1 L NS % | 2 L PHP-CGM % | 3 P JAVA @ | 5 P NS @ </v>
      </c>
      <c r="BI191" s="4" t="str">
        <f ca="1">IFERROR(__xludf.DUMMYFUNCTION("""COMPUTED_VALUE"""),"| 1 L CPT % | 2 L JAVA % | 3 P Python % | 5 P PHP-CGM % ")</f>
        <v xml:space="preserve">| 1 L CPT % | 2 L JAVA % | 3 P Python % | 5 P PHP-CGM % </v>
      </c>
      <c r="BJ191" s="4" t="str">
        <f ca="1">IFERROR(__xludf.DUMMYFUNCTION("""COMPUTED_VALUE"""),"| 1 L CPT % | 2 L JAVA % | 3 P JAVA @ | 5 L INE % ")</f>
        <v xml:space="preserve">| 1 L CPT % | 2 L JAVA % | 3 P JAVA @ | 5 L INE % </v>
      </c>
      <c r="BK191" s="4" t="str">
        <f ca="1">IFERROR(__xludf.DUMMYFUNCTION("""COMPUTED_VALUE"""),"| 1 L NS % | 2 L PHP-CGM % | 3 P PRO @ | 5 L NS % | 6 L JAVA @ ")</f>
        <v xml:space="preserve">| 1 L NS % | 2 L PHP-CGM % | 3 P PRO @ | 5 L NS % | 6 L JAVA @ </v>
      </c>
      <c r="BL191" s="4" t="str">
        <f ca="1">IFERROR(__xludf.DUMMYFUNCTION("""COMPUTED_VALUE"""),"| 1 L CPT % | 2 L PHP-CGM % | 3 P CPT % ")</f>
        <v xml:space="preserve">| 1 L CPT % | 2 L PHP-CGM % | 3 P CPT % </v>
      </c>
      <c r="BM191" s="4" t="str">
        <f ca="1">IFERROR(__xludf.DUMMYFUNCTION("""COMPUTED_VALUE"""),"| 1 L NS % | 2 L PHP-CGM % | 3 P JAVA % | 5 P NS % ")</f>
        <v xml:space="preserve">| 1 L NS % | 2 L PHP-CGM % | 3 P JAVA % | 5 P NS % </v>
      </c>
      <c r="BN191" s="4" t="str">
        <f ca="1">IFERROR(__xludf.DUMMYFUNCTION("""COMPUTED_VALUE"""),"| 2 L JAVA % | 1 L CPT % | 3 P Python % | 5 P PHP-CGM % ")</f>
        <v xml:space="preserve">| 2 L JAVA % | 1 L CPT % | 3 P Python % | 5 P PHP-CGM % </v>
      </c>
      <c r="BO191" s="4" t="str">
        <f ca="1">IFERROR(__xludf.DUMMYFUNCTION("""COMPUTED_VALUE"""),"| 2 L JAVA @ | 1 L CPT @ | 3 P JAVA @ | 5 L INE @ ")</f>
        <v xml:space="preserve">| 2 L JAVA @ | 1 L CPT @ | 3 P JAVA @ | 5 L INE @ </v>
      </c>
      <c r="BP191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191" s="4"/>
      <c r="BR191" s="4"/>
      <c r="BS191" s="4"/>
      <c r="BT191" s="4" t="str">
        <f ca="1">IFERROR(__xludf.DUMMYFUNCTION("""COMPUTED_VALUE"""),"| 1 L NS @ | 2 L PHP-CGM @ | 3 P PRO % ")</f>
        <v xml:space="preserve">| 1 L NS @ | 2 L PHP-CGM @ | 3 P PRO % </v>
      </c>
      <c r="BU191" s="4" t="str">
        <f ca="1">IFERROR(__xludf.DUMMYFUNCTION("""COMPUTED_VALUE"""),"| 1 L CPT @ ")</f>
        <v xml:space="preserve">| 1 L CPT @ </v>
      </c>
      <c r="BV191" s="4" t="str">
        <f ca="1">IFERROR(__xludf.DUMMYFUNCTION("""COMPUTED_VALUE"""),"| 1 L NS % | 2 L PHP-CGM % | 3 P PRO @ | 6 L JAVA @ ")</f>
        <v xml:space="preserve">| 1 L NS % | 2 L PHP-CGM % | 3 P PRO @ | 6 L JAVA @ </v>
      </c>
      <c r="BW191" s="4" t="str">
        <f ca="1">IFERROR(__xludf.DUMMYFUNCTION("""COMPUTED_VALUE"""),"| 1 L CPT % | 2 L PHP-CGM % | 3 P CPT % ")</f>
        <v xml:space="preserve">| 1 L CPT % | 2 L PHP-CGM % | 3 P CPT % </v>
      </c>
      <c r="BX191" s="4" t="str">
        <f ca="1">IFERROR(__xludf.DUMMYFUNCTION("""COMPUTED_VALUE"""),"| 1 L NS % | 2 L PHP-CGM % | 3 P JAVA % | 5 P NS % ")</f>
        <v xml:space="preserve">| 1 L NS % | 2 L PHP-CGM % | 3 P JAVA % | 5 P NS % </v>
      </c>
      <c r="BY191" s="4" t="str">
        <f ca="1">IFERROR(__xludf.DUMMYFUNCTION("""COMPUTED_VALUE"""),"| 1 L CPT % | 2 L JAVA % | 3 P Python @ | 5 P PHP-CGM % ")</f>
        <v xml:space="preserve">| 1 L CPT % | 2 L JAVA % | 3 P Python @ | 5 P PHP-CGM % </v>
      </c>
      <c r="BZ191" s="4" t="str">
        <f ca="1">IFERROR(__xludf.DUMMYFUNCTION("""COMPUTED_VALUE"""),"| 1 L CPT % | 2 L JAVA @ | 3 P JAVA @ | 5 L INE @ ")</f>
        <v xml:space="preserve">| 1 L CPT % | 2 L JAVA @ | 3 P JAVA @ | 5 L INE @ </v>
      </c>
      <c r="CA191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CB191" s="4" t="str">
        <f ca="1">IFERROR(__xludf.DUMMYFUNCTION("""COMPUTED_VALUE"""),"| 2 L PHP-CGM @ | 3 P CPT % | 6 P Python % | 1 L CPT @ ")</f>
        <v xml:space="preserve">| 2 L PHP-CGM @ | 3 P CPT % | 6 P Python % | 1 L CPT @ </v>
      </c>
      <c r="CC191" s="4" t="str">
        <f ca="1">IFERROR(__xludf.DUMMYFUNCTION("""COMPUTED_VALUE"""),"| 1 L NS @ | 2 L PHP-CGM % | 3 P JAVA % | 5 P NS % ")</f>
        <v xml:space="preserve">| 1 L NS @ | 2 L PHP-CGM % | 3 P JAVA % | 5 P NS % </v>
      </c>
      <c r="CD191" s="4" t="str">
        <f ca="1">IFERROR(__xludf.DUMMYFUNCTION("""COMPUTED_VALUE"""),"| 1 L CPT @ | 2 L JAVA @ | 3 P Python % | 5 P PHP-CGM % ")</f>
        <v xml:space="preserve">| 1 L CPT @ | 2 L JAVA @ | 3 P Python % | 5 P PHP-CGM % </v>
      </c>
      <c r="CE191" s="4" t="str">
        <f ca="1">IFERROR(__xludf.DUMMYFUNCTION("""COMPUTED_VALUE"""),"| 1 L CPT % | 2 L JAVA % | 3 P JAVA % | 5 L INE % ")</f>
        <v xml:space="preserve">| 1 L CPT % | 2 L JAVA % | 3 P JAVA % | 5 L INE % </v>
      </c>
      <c r="CF191" s="4" t="str">
        <f ca="1">IFERROR(__xludf.DUMMYFUNCTION("""COMPUTED_VALUE"""),"| 1 L NS @ | 2 L PHP-CGM @ | 5 L NS @ | 6 L JAVA @ ")</f>
        <v xml:space="preserve">| 1 L NS @ | 2 L PHP-CGM @ | 5 L NS @ | 6 L JAVA @ </v>
      </c>
      <c r="CG191" s="4" t="str">
        <f ca="1">IFERROR(__xludf.DUMMYFUNCTION("""COMPUTED_VALUE"""),"| 1 L CPT @ | 2 L PHP-CGM @ | 6 P Python % | 3 P CPT % ")</f>
        <v xml:space="preserve">| 1 L CPT @ | 2 L PHP-CGM @ | 6 P Python % | 3 P CPT % </v>
      </c>
      <c r="CH191" s="4" t="str">
        <f ca="1">IFERROR(__xludf.DUMMYFUNCTION("""COMPUTED_VALUE"""),"| 1 L NS @ | 2 L PHP-CGM @ | 3 P JAVA % | 5 P NS % ")</f>
        <v xml:space="preserve">| 1 L NS @ | 2 L PHP-CGM @ | 3 P JAVA % | 5 P NS % </v>
      </c>
      <c r="CI191" s="4" t="str">
        <f ca="1">IFERROR(__xludf.DUMMYFUNCTION("""COMPUTED_VALUE"""),"| 1 L CPT @ | 2 L JAVA @ | 5 P PHP-CGM % ")</f>
        <v xml:space="preserve">| 1 L CPT @ | 2 L JAVA @ | 5 P PHP-CGM % </v>
      </c>
      <c r="CJ191" s="4" t="str">
        <f ca="1">IFERROR(__xludf.DUMMYFUNCTION("""COMPUTED_VALUE"""),"| 1 L CPT @ ")</f>
        <v xml:space="preserve">| 1 L CPT @ </v>
      </c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</row>
    <row r="192" spans="1:102" ht="12.5" x14ac:dyDescent="0.25">
      <c r="A192" s="3">
        <f ca="1">IFERROR(__xludf.DUMMYFUNCTION("""COMPUTED_VALUE"""),2)</f>
        <v>2</v>
      </c>
      <c r="B192" s="3" t="str">
        <f ca="1">IFERROR(__xludf.DUMMYFUNCTION("""COMPUTED_VALUE"""),"C")</f>
        <v>C</v>
      </c>
      <c r="C192" s="32" t="str">
        <f ca="1">IFERROR(__xludf.DUMMYFUNCTION("""COMPUTED_VALUE"""),"23171341074")</f>
        <v>23171341074</v>
      </c>
      <c r="D192" s="4" t="str">
        <f ca="1">IFERROR(__xludf.DUMMYFUNCTION("""COMPUTED_VALUE"""),"PATEL ARYANKUMAR KANUBHAI")</f>
        <v>PATEL ARYANKUMAR KANUBHAI</v>
      </c>
      <c r="E192" s="3" t="str">
        <f ca="1">IFERROR(__xludf.DUMMYFUNCTION("""COMPUTED_VALUE"""),"PKN/PAP-Mor")</f>
        <v>PKN/PAP-Mor</v>
      </c>
      <c r="F192" s="3">
        <f ca="1">IFERROR(__xludf.DUMMYFUNCTION("""COMPUTED_VALUE"""),6352412657)</f>
        <v>6352412657</v>
      </c>
      <c r="G192" s="3">
        <f ca="1">IFERROR(__xludf.DUMMYFUNCTION("""COMPUTED_VALUE"""),8347071493)</f>
        <v>8347071493</v>
      </c>
      <c r="H192" s="33">
        <f ca="1">IFERROR(__xludf.DUMMYFUNCTION("""COMPUTED_VALUE"""),0.536585365853658)</f>
        <v>0.53658536585365801</v>
      </c>
      <c r="I192" s="25">
        <f ca="1">IFERROR(__xludf.DUMMYFUNCTION("""COMPUTED_VALUE"""),0.710526315789473)</f>
        <v>0.71052631578947301</v>
      </c>
      <c r="J192" s="25">
        <f ca="1">IFERROR(__xludf.DUMMYFUNCTION("""COMPUTED_VALUE"""),0.666666666666666)</f>
        <v>0.66666666666666596</v>
      </c>
      <c r="K192" s="25">
        <f ca="1">IFERROR(__xludf.DUMMYFUNCTION("""COMPUTED_VALUE"""),0.416666666666666)</f>
        <v>0.41666666666666602</v>
      </c>
      <c r="L192" s="25">
        <f ca="1">IFERROR(__xludf.DUMMYFUNCTION("""COMPUTED_VALUE"""),0.583333333333333)</f>
        <v>0.58333333333333304</v>
      </c>
      <c r="M192" s="25">
        <f ca="1">IFERROR(__xludf.DUMMYFUNCTION("""COMPUTED_VALUE"""),0.555555555555555)</f>
        <v>0.55555555555555503</v>
      </c>
      <c r="N192" s="25">
        <f ca="1">IFERROR(__xludf.DUMMYFUNCTION("""COMPUTED_VALUE"""),0.5)</f>
        <v>0.5</v>
      </c>
      <c r="O192" s="25">
        <f ca="1">IFERROR(__xludf.DUMMYFUNCTION("""COMPUTED_VALUE"""),0.571428571428571)</f>
        <v>0.57142857142857095</v>
      </c>
      <c r="P192" s="25">
        <f ca="1">IFERROR(__xludf.DUMMYFUNCTION("""COMPUTED_VALUE"""),0.478260869565217)</f>
        <v>0.47826086956521702</v>
      </c>
      <c r="Q192" s="25">
        <f ca="1">IFERROR(__xludf.DUMMYFUNCTION("""COMPUTED_VALUE"""),0)</f>
        <v>0</v>
      </c>
      <c r="R192" s="25">
        <f ca="1">IFERROR(__xludf.DUMMYFUNCTION("""COMPUTED_VALUE"""),0.333333333333333)</f>
        <v>0.33333333333333298</v>
      </c>
      <c r="S192" s="25">
        <f ca="1">IFERROR(__xludf.DUMMYFUNCTION("""COMPUTED_VALUE"""),0)</f>
        <v>0</v>
      </c>
      <c r="T192" s="25">
        <f ca="1">IFERROR(__xludf.DUMMYFUNCTION("""COMPUTED_VALUE"""),0.583333333333333)</f>
        <v>0.58333333333333304</v>
      </c>
      <c r="U192" s="25">
        <f ca="1">IFERROR(__xludf.DUMMYFUNCTION("""COMPUTED_VALUE"""),0.5)</f>
        <v>0.5</v>
      </c>
      <c r="V192" s="25">
        <f ca="1">IFERROR(__xludf.DUMMYFUNCTION("""COMPUTED_VALUE"""),0)</f>
        <v>0</v>
      </c>
      <c r="W192" s="4"/>
      <c r="X192" s="4" t="str">
        <f ca="1">IFERROR(__xludf.DUMMYFUNCTION("""COMPUTED_VALUE"""),"| 1 L NS % | 2 L PHP-CGM % | 3 P PRO @ | 5 L JAVA @ | 6 L NS @ ")</f>
        <v xml:space="preserve">| 1 L NS % | 2 L PHP-CGM % | 3 P PRO @ | 5 L JAVA @ | 6 L NS @ </v>
      </c>
      <c r="Y192" s="4" t="str">
        <f ca="1">IFERROR(__xludf.DUMMYFUNCTION("""COMPUTED_VALUE"""),"| 1 L CPT % | 5 L PHP-CGM % | 3 P Python @ | 5 P JAVA @ ")</f>
        <v xml:space="preserve">| 1 L CPT % | 5 L PHP-CGM % | 3 P Python @ | 5 P JAVA @ </v>
      </c>
      <c r="Z192" s="4" t="str">
        <f ca="1">IFERROR(__xludf.DUMMYFUNCTION("""COMPUTED_VALUE"""),"| 1 L CPT @ | 2 L PHP-CGM @ | 3 P Python @ | 5 P PHP-CGM @ ")</f>
        <v xml:space="preserve">| 1 L CPT @ | 2 L PHP-CGM @ | 3 P Python @ | 5 P PHP-CGM @ </v>
      </c>
      <c r="AA192" s="4" t="str">
        <f ca="1">IFERROR(__xludf.DUMMYFUNCTION("""COMPUTED_VALUE"""),"| 1 L NS % | 2 L JAVA % | 3 P CPT % | 5 P JAVA @ ")</f>
        <v xml:space="preserve">| 1 L NS % | 2 L JAVA % | 3 P CPT % | 5 P JAVA @ </v>
      </c>
      <c r="AB192" s="4" t="str">
        <f ca="1">IFERROR(__xludf.DUMMYFUNCTION("""COMPUTED_VALUE"""),"| 1 L CPT % | 2 L JAVA % | 3 P NS @ ")</f>
        <v xml:space="preserve">| 1 L CPT % | 2 L JAVA % | 3 P NS @ </v>
      </c>
      <c r="AC192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92" s="4" t="str">
        <f ca="1">IFERROR(__xludf.DUMMYFUNCTION("""COMPUTED_VALUE"""),"| 1 L CPT % | 2 L PHP-CGM % | 3 P Python % | 5 P JAVA % ")</f>
        <v xml:space="preserve">| 1 L CPT % | 2 L PHP-CGM % | 3 P Python % | 5 P JAVA % </v>
      </c>
      <c r="AE192" s="4" t="str">
        <f ca="1">IFERROR(__xludf.DUMMYFUNCTION("""COMPUTED_VALUE"""),"| 1 L CPT % | 3 P Python @ | 5 P PHP-CGM @ | 2 L PHP-CGM % ")</f>
        <v xml:space="preserve">| 1 L CPT % | 3 P Python @ | 5 P PHP-CGM @ | 2 L PHP-CGM % </v>
      </c>
      <c r="AF192" s="4" t="str">
        <f ca="1">IFERROR(__xludf.DUMMYFUNCTION("""COMPUTED_VALUE"""),"| 1 L NS % | 2 L CPT % | 3 P CPT % | 5 P JAVA % ")</f>
        <v xml:space="preserve">| 1 L NS % | 2 L CPT % | 3 P CPT % | 5 P JAVA % </v>
      </c>
      <c r="AG192" s="4" t="str">
        <f ca="1">IFERROR(__xludf.DUMMYFUNCTION("""COMPUTED_VALUE"""),"| 1 L CPT % | 2 L JAVA % | 3 P NS % ")</f>
        <v xml:space="preserve">| 1 L CPT % | 2 L JAVA % | 3 P NS % </v>
      </c>
      <c r="AH192" s="4" t="str">
        <f ca="1">IFERROR(__xludf.DUMMYFUNCTION("""COMPUTED_VALUE"""),"| 2 L JAVA % | 1 L NS % | 3 P CPT % | 5 P JAVA @ ")</f>
        <v xml:space="preserve">| 2 L JAVA % | 1 L NS % | 3 P CPT % | 5 P JAVA @ </v>
      </c>
      <c r="AI192" s="4" t="str">
        <f ca="1">IFERROR(__xludf.DUMMYFUNCTION("""COMPUTED_VALUE"""),"| 1 L CPT % | 2 L JAVA % | 3 P NS % ")</f>
        <v xml:space="preserve">| 1 L CPT % | 2 L JAVA % | 3 P NS % </v>
      </c>
      <c r="AJ192" s="4" t="str">
        <f ca="1">IFERROR(__xludf.DUMMYFUNCTION("""COMPUTED_VALUE"""),"| 1 L NS @ | 2 L PHP-CGM @ | 3 P PRO % | 5 L JAVA % | 6 L NS % ")</f>
        <v xml:space="preserve">| 1 L NS @ | 2 L PHP-CGM @ | 3 P PRO % | 5 L JAVA % | 6 L NS % </v>
      </c>
      <c r="AK192" s="4" t="str">
        <f ca="1">IFERROR(__xludf.DUMMYFUNCTION("""COMPUTED_VALUE"""),"| 1 L CPT % | 3 P Python @ | 2 L PHP-CGM % | 5 P JAVA % ")</f>
        <v xml:space="preserve">| 1 L CPT % | 3 P Python @ | 2 L PHP-CGM % | 5 P JAVA % </v>
      </c>
      <c r="AL192" s="4" t="str">
        <f ca="1">IFERROR(__xludf.DUMMYFUNCTION("""COMPUTED_VALUE"""),"| 1 L CPT % | 2 L PHP-CGM % | 3 P Python % | 5 P PHP-CGM % ")</f>
        <v xml:space="preserve">| 1 L CPT % | 2 L PHP-CGM % | 3 P Python % | 5 P PHP-CGM % </v>
      </c>
      <c r="AM192" s="4" t="str">
        <f ca="1">IFERROR(__xludf.DUMMYFUNCTION("""COMPUTED_VALUE"""),"| 2 L JAVA % | 3 P CPT @ | 5 P JAVA @ | 1 L NS % ")</f>
        <v xml:space="preserve">| 2 L JAVA % | 3 P CPT @ | 5 P JAVA @ | 1 L NS % </v>
      </c>
      <c r="AN192" s="4" t="str">
        <f ca="1">IFERROR(__xludf.DUMMYFUNCTION("""COMPUTED_VALUE"""),"| 1 L CPT % | 2 L JAVA % | 3 P NS % | 5 L INE % ")</f>
        <v xml:space="preserve">| 1 L CPT % | 2 L JAVA % | 3 P NS % | 5 L INE % </v>
      </c>
      <c r="AO192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P192" s="4" t="str">
        <f ca="1">IFERROR(__xludf.DUMMYFUNCTION("""COMPUTED_VALUE"""),"| 1 L CPT % | 2 L PHP-CGM % | 3 P Python % | 5 P JAVA @ ")</f>
        <v xml:space="preserve">| 1 L CPT % | 2 L PHP-CGM % | 3 P Python % | 5 P JAVA @ </v>
      </c>
      <c r="AQ192" s="4" t="str">
        <f ca="1">IFERROR(__xludf.DUMMYFUNCTION("""COMPUTED_VALUE"""),"| 2 L PHP-CGM % | 3 P Python % | 5 P PHP-CGM % | 1 L NS % ")</f>
        <v xml:space="preserve">| 2 L PHP-CGM % | 3 P Python % | 5 P PHP-CGM % | 1 L NS % </v>
      </c>
      <c r="AR192" s="4" t="str">
        <f ca="1">IFERROR(__xludf.DUMMYFUNCTION("""COMPUTED_VALUE"""),"| 1 L CPT % | 2 L JAVA % | 3 P CPT % | 5 P JAVA % ")</f>
        <v xml:space="preserve">| 1 L CPT % | 2 L JAVA % | 3 P CPT % | 5 P JAVA % </v>
      </c>
      <c r="AS192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AT192" s="4" t="str">
        <f ca="1">IFERROR(__xludf.DUMMYFUNCTION("""COMPUTED_VALUE"""),"| 1 L CPT % | 2 L PHP-CGM % | 3 P Python @ | 5 P JAVA % ")</f>
        <v xml:space="preserve">| 1 L CPT % | 2 L PHP-CGM % | 3 P Python @ | 5 P JAVA % </v>
      </c>
      <c r="AU192" s="4" t="str">
        <f ca="1">IFERROR(__xludf.DUMMYFUNCTION("""COMPUTED_VALUE"""),"| 1 L NS @ | 2 L PHP-CGM @ | 3 P Python @ | 5 P PHP-CGM % ")</f>
        <v xml:space="preserve">| 1 L NS @ | 2 L PHP-CGM @ | 3 P Python @ | 5 P PHP-CGM % </v>
      </c>
      <c r="AV192" s="4" t="str">
        <f ca="1">IFERROR(__xludf.DUMMYFUNCTION("""COMPUTED_VALUE"""),"| 1 L CPT @ | 2 L JAVA @ | 5 P JAVA @ | 3 P CPT @ ")</f>
        <v xml:space="preserve">| 1 L CPT @ | 2 L JAVA @ | 5 P JAVA @ | 3 P CPT @ </v>
      </c>
      <c r="AW192" s="4" t="str">
        <f ca="1">IFERROR(__xludf.DUMMYFUNCTION("""COMPUTED_VALUE"""),"| 1 L CPT @ | 2 L JAVA @ | 3 P NS @ | 5 L INE @ | 6 L INE @ ")</f>
        <v xml:space="preserve">| 1 L CPT @ | 2 L JAVA @ | 3 P NS @ | 5 L INE @ | 6 L INE @ </v>
      </c>
      <c r="AX192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192" s="4" t="str">
        <f ca="1">IFERROR(__xludf.DUMMYFUNCTION("""COMPUTED_VALUE"""),"| 1 L CPT % | 2 L PHP-CGM % | 3 P Python % | 5 P JAVA % ")</f>
        <v xml:space="preserve">| 1 L CPT % | 2 L PHP-CGM % | 3 P Python % | 5 P JAVA % </v>
      </c>
      <c r="AZ192" s="4" t="str">
        <f ca="1">IFERROR(__xludf.DUMMYFUNCTION("""COMPUTED_VALUE"""),"| 1 L CPT % | 2 L JAVA % | 3 P CPT % | 5 P JAVA % ")</f>
        <v xml:space="preserve">| 1 L CPT % | 2 L JAVA % | 3 P CPT % | 5 P JAVA % </v>
      </c>
      <c r="BA192" s="4" t="str">
        <f ca="1">IFERROR(__xludf.DUMMYFUNCTION("""COMPUTED_VALUE"""),"| 1 L CPT % | 2 L JAVA % | 3 P NS % | 5 L INE @ ")</f>
        <v xml:space="preserve">| 1 L CPT % | 2 L JAVA % | 3 P NS % | 5 L INE @ </v>
      </c>
      <c r="BB19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92" s="4" t="str">
        <f ca="1">IFERROR(__xludf.DUMMYFUNCTION("""COMPUTED_VALUE"""),"| 1 L CPT % | 2 L PHP-CGM % | 3 P Python @ | 5 P JAVA @ ")</f>
        <v xml:space="preserve">| 1 L CPT % | 2 L PHP-CGM % | 3 P Python @ | 5 P JAVA @ </v>
      </c>
      <c r="BD192" s="4" t="str">
        <f ca="1">IFERROR(__xludf.DUMMYFUNCTION("""COMPUTED_VALUE"""),"| 1 L NS @ | 2 L PHP-CGM @ | 3 P Python @ | 5 P PHP-CGM @ ")</f>
        <v xml:space="preserve">| 1 L NS @ | 2 L PHP-CGM @ | 3 P Python @ | 5 P PHP-CGM @ </v>
      </c>
      <c r="BE192" s="4" t="str">
        <f ca="1">IFERROR(__xludf.DUMMYFUNCTION("""COMPUTED_VALUE"""),"| 1 L CPT % | 2 L JAVA % | 3 P CPT % | 5 P JAVA % ")</f>
        <v xml:space="preserve">| 1 L CPT % | 2 L JAVA % | 3 P CPT % | 5 P JAVA % </v>
      </c>
      <c r="BF192" s="4" t="str">
        <f ca="1">IFERROR(__xludf.DUMMYFUNCTION("""COMPUTED_VALUE"""),"| 1 L CPT % | 2 L JAVA % | 3 P NS @ ")</f>
        <v xml:space="preserve">| 1 L CPT % | 2 L JAVA % | 3 P NS @ </v>
      </c>
      <c r="BG192" s="4" t="str">
        <f ca="1">IFERROR(__xludf.DUMMYFUNCTION("""COMPUTED_VALUE"""),"| 2 L PHP-CGM % | 1 L CPT % | 3 P Python % | 5 P JAVA % ")</f>
        <v xml:space="preserve">| 2 L PHP-CGM % | 1 L CPT % | 3 P Python % | 5 P JAVA % </v>
      </c>
      <c r="BH192" s="4" t="str">
        <f ca="1">IFERROR(__xludf.DUMMYFUNCTION("""COMPUTED_VALUE"""),"| 1 L NS % | 2 L PHP-CGM % | 3 P Python % | 5 P PHP-CGM % ")</f>
        <v xml:space="preserve">| 1 L NS % | 2 L PHP-CGM % | 3 P Python % | 5 P PHP-CGM % </v>
      </c>
      <c r="BI192" s="4" t="str">
        <f ca="1">IFERROR(__xludf.DUMMYFUNCTION("""COMPUTED_VALUE"""),"| 1 L CPT % | 2 L JAVA % | 3 P CPT % | 5 P JAVA % ")</f>
        <v xml:space="preserve">| 1 L CPT % | 2 L JAVA % | 3 P CPT % | 5 P JAVA % </v>
      </c>
      <c r="BJ192" s="4" t="str">
        <f ca="1">IFERROR(__xludf.DUMMYFUNCTION("""COMPUTED_VALUE"""),"| 1 L CPT % | 2 L JAVA % | 3 P NS % | 5 L INE % ")</f>
        <v xml:space="preserve">| 1 L CPT % | 2 L JAVA % | 3 P NS % | 5 L INE % </v>
      </c>
      <c r="BK19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92" s="4" t="str">
        <f ca="1">IFERROR(__xludf.DUMMYFUNCTION("""COMPUTED_VALUE"""),"| 1 L CPT % | 2 L PHP-CGM % | 3 P Python @ | 5 P JAVA @ ")</f>
        <v xml:space="preserve">| 1 L CPT % | 2 L PHP-CGM % | 3 P Python @ | 5 P JAVA @ </v>
      </c>
      <c r="BM192" s="4" t="str">
        <f ca="1">IFERROR(__xludf.DUMMYFUNCTION("""COMPUTED_VALUE"""),"| 1 L NS @ | 2 L PHP-CGM @ | 3 P Python @ ")</f>
        <v xml:space="preserve">| 1 L NS @ | 2 L PHP-CGM @ | 3 P Python @ </v>
      </c>
      <c r="BN192" s="4" t="str">
        <f ca="1">IFERROR(__xludf.DUMMYFUNCTION("""COMPUTED_VALUE"""),"| 2 L JAVA @ | 1 L CPT @ | 3 P CPT @ | 5 P JAVA @ ")</f>
        <v xml:space="preserve">| 2 L JAVA @ | 1 L CPT @ | 3 P CPT @ | 5 P JAVA @ </v>
      </c>
      <c r="BO192" s="4" t="str">
        <f ca="1">IFERROR(__xludf.DUMMYFUNCTION("""COMPUTED_VALUE"""),"| 2 L JAVA @ | 1 L CPT @ | 3 P NS @ | 5 L INE @ ")</f>
        <v xml:space="preserve">| 2 L JAVA @ | 1 L CPT @ | 3 P NS @ | 5 L INE @ </v>
      </c>
      <c r="BP19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92" s="4"/>
      <c r="BR192" s="4"/>
      <c r="BS192" s="4"/>
      <c r="BT192" s="4" t="str">
        <f ca="1">IFERROR(__xludf.DUMMYFUNCTION("""COMPUTED_VALUE"""),"| 1 L NS @ | 2 L PHP-CGM @ | 3 P PRO @ ")</f>
        <v xml:space="preserve">| 1 L NS @ | 2 L PHP-CGM @ | 3 P PRO @ </v>
      </c>
      <c r="BU192" s="4" t="str">
        <f ca="1">IFERROR(__xludf.DUMMYFUNCTION("""COMPUTED_VALUE"""),"| 1 L CPT @ | 3 P Python @ ")</f>
        <v xml:space="preserve">| 1 L CPT @ | 3 P Python @ </v>
      </c>
      <c r="BV192" s="4" t="str">
        <f ca="1">IFERROR(__xludf.DUMMYFUNCTION("""COMPUTED_VALUE"""),"| 1 L NS % | 2 L PHP-CGM % | 3 P PRO % | 6 L JAVA % ")</f>
        <v xml:space="preserve">| 1 L NS % | 2 L PHP-CGM % | 3 P PRO % | 6 L JAVA % </v>
      </c>
      <c r="BW192" s="4" t="str">
        <f ca="1">IFERROR(__xludf.DUMMYFUNCTION("""COMPUTED_VALUE"""),"| 1 L CPT @ | 2 L PHP-CGM @ | 3 P Python @ ")</f>
        <v xml:space="preserve">| 1 L CPT @ | 2 L PHP-CGM @ | 3 P Python @ </v>
      </c>
      <c r="BX192" s="4" t="str">
        <f ca="1">IFERROR(__xludf.DUMMYFUNCTION("""COMPUTED_VALUE"""),"| 1 L NS @ | 2 L PHP-CGM @ | 3 P Python @ | 5 P PHP-CGM @ ")</f>
        <v xml:space="preserve">| 1 L NS @ | 2 L PHP-CGM @ | 3 P Python @ | 5 P PHP-CGM @ </v>
      </c>
      <c r="BY192" s="4" t="str">
        <f ca="1">IFERROR(__xludf.DUMMYFUNCTION("""COMPUTED_VALUE"""),"| 1 L CPT % | 2 L JAVA % | 3 P CPT % | 5 P JAVA % ")</f>
        <v xml:space="preserve">| 1 L CPT % | 2 L JAVA % | 3 P CPT % | 5 P JAVA % </v>
      </c>
      <c r="BZ192" s="4" t="str">
        <f ca="1">IFERROR(__xludf.DUMMYFUNCTION("""COMPUTED_VALUE"""),"| 1 L CPT % | 2 L JAVA % | 3 P NS % | 5 L INE % ")</f>
        <v xml:space="preserve">| 1 L CPT % | 2 L JAVA % | 3 P NS % | 5 L INE % </v>
      </c>
      <c r="CA192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CB192" s="4" t="str">
        <f ca="1">IFERROR(__xludf.DUMMYFUNCTION("""COMPUTED_VALUE"""),"| 2 L PHP-CGM % | 3 P Python @ | 5 P JAVA @ | 1 L CPT % ")</f>
        <v xml:space="preserve">| 2 L PHP-CGM % | 3 P Python @ | 5 P JAVA @ | 1 L CPT % </v>
      </c>
      <c r="CC192" s="4" t="str">
        <f ca="1">IFERROR(__xludf.DUMMYFUNCTION("""COMPUTED_VALUE"""),"| 1 L NS @ | 2 L PHP-CGM @ | 3 P Python % | 5 P PHP-CGM % ")</f>
        <v xml:space="preserve">| 1 L NS @ | 2 L PHP-CGM @ | 3 P Python % | 5 P PHP-CGM % </v>
      </c>
      <c r="CD192" s="4" t="str">
        <f ca="1">IFERROR(__xludf.DUMMYFUNCTION("""COMPUTED_VALUE"""),"| 1 L CPT @ | 2 L JAVA @ | 3 P CPT @ | 5 P JAVA @ ")</f>
        <v xml:space="preserve">| 1 L CPT @ | 2 L JAVA @ | 3 P CPT @ | 5 P JAVA @ </v>
      </c>
      <c r="CE192" s="4" t="str">
        <f ca="1">IFERROR(__xludf.DUMMYFUNCTION("""COMPUTED_VALUE"""),"| 1 L CPT @ | 2 L JAVA @ | 3 P NS % | 5 L INE % ")</f>
        <v xml:space="preserve">| 1 L CPT @ | 2 L JAVA @ | 3 P NS % | 5 L INE % </v>
      </c>
      <c r="CF192" s="4" t="str">
        <f ca="1">IFERROR(__xludf.DUMMYFUNCTION("""COMPUTED_VALUE"""),"| 1 L NS @ | 2 L PHP-CGM @ | 5 L NS @ | 6 L JAVA @ ")</f>
        <v xml:space="preserve">| 1 L NS @ | 2 L PHP-CGM @ | 5 L NS @ | 6 L JAVA @ </v>
      </c>
      <c r="CG192" s="4" t="str">
        <f ca="1">IFERROR(__xludf.DUMMYFUNCTION("""COMPUTED_VALUE"""),"| 1 L CPT @ | 2 L PHP-CGM @ | 3 P Python @ | 5 P JAVA @ ")</f>
        <v xml:space="preserve">| 1 L CPT @ | 2 L PHP-CGM @ | 3 P Python @ | 5 P JAVA @ </v>
      </c>
      <c r="CH192" s="4" t="str">
        <f ca="1">IFERROR(__xludf.DUMMYFUNCTION("""COMPUTED_VALUE"""),"| 1 L NS @ | 2 L PHP-CGM @ | 3 P Python @ | 5 P PHP-CGM @ ")</f>
        <v xml:space="preserve">| 1 L NS @ | 2 L PHP-CGM @ | 3 P Python @ | 5 P PHP-CGM @ </v>
      </c>
      <c r="CI192" s="4" t="str">
        <f ca="1">IFERROR(__xludf.DUMMYFUNCTION("""COMPUTED_VALUE"""),"| 1 L CPT % | 2 L JAVA @ ")</f>
        <v xml:space="preserve">| 1 L CPT % | 2 L JAVA @ </v>
      </c>
      <c r="CJ192" s="4" t="str">
        <f ca="1">IFERROR(__xludf.DUMMYFUNCTION("""COMPUTED_VALUE"""),"| 1 L CPT @ | 3 P NS @ ")</f>
        <v xml:space="preserve">| 1 L CPT @ | 3 P NS @ </v>
      </c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</row>
    <row r="193" spans="1:102" ht="12.5" x14ac:dyDescent="0.25">
      <c r="A193" s="3">
        <f ca="1">IFERROR(__xludf.DUMMYFUNCTION("""COMPUTED_VALUE"""),2)</f>
        <v>2</v>
      </c>
      <c r="B193" s="3" t="str">
        <f ca="1">IFERROR(__xludf.DUMMYFUNCTION("""COMPUTED_VALUE"""),"C")</f>
        <v>C</v>
      </c>
      <c r="C193" s="32" t="str">
        <f ca="1">IFERROR(__xludf.DUMMYFUNCTION("""COMPUTED_VALUE"""),"23171341075")</f>
        <v>23171341075</v>
      </c>
      <c r="D193" s="4" t="str">
        <f ca="1">IFERROR(__xludf.DUMMYFUNCTION("""COMPUTED_VALUE"""),"PATEL BHAVY NALINBHAI")</f>
        <v>PATEL BHAVY NALINBHAI</v>
      </c>
      <c r="E193" s="3" t="str">
        <f ca="1">IFERROR(__xludf.DUMMYFUNCTION("""COMPUTED_VALUE"""),"PKN/PAP-Mor")</f>
        <v>PKN/PAP-Mor</v>
      </c>
      <c r="F193" s="3">
        <f ca="1">IFERROR(__xludf.DUMMYFUNCTION("""COMPUTED_VALUE"""),9316819665)</f>
        <v>9316819665</v>
      </c>
      <c r="G193" s="3">
        <f ca="1">IFERROR(__xludf.DUMMYFUNCTION("""COMPUTED_VALUE"""),9898386851)</f>
        <v>9898386851</v>
      </c>
      <c r="H193" s="33">
        <f ca="1">IFERROR(__xludf.DUMMYFUNCTION("""COMPUTED_VALUE"""),0.666666666666666)</f>
        <v>0.66666666666666596</v>
      </c>
      <c r="I193" s="25">
        <f ca="1">IFERROR(__xludf.DUMMYFUNCTION("""COMPUTED_VALUE"""),0.736842105263157)</f>
        <v>0.73684210526315697</v>
      </c>
      <c r="J193" s="25">
        <f ca="1">IFERROR(__xludf.DUMMYFUNCTION("""COMPUTED_VALUE"""),0.666666666666666)</f>
        <v>0.66666666666666596</v>
      </c>
      <c r="K193" s="25">
        <f ca="1">IFERROR(__xludf.DUMMYFUNCTION("""COMPUTED_VALUE"""),0.555555555555555)</f>
        <v>0.55555555555555503</v>
      </c>
      <c r="L193" s="25">
        <f ca="1">IFERROR(__xludf.DUMMYFUNCTION("""COMPUTED_VALUE"""),0.833333333333333)</f>
        <v>0.83333333333333304</v>
      </c>
      <c r="M193" s="25">
        <f ca="1">IFERROR(__xludf.DUMMYFUNCTION("""COMPUTED_VALUE"""),0.638888888888888)</f>
        <v>0.63888888888888795</v>
      </c>
      <c r="N193" s="25">
        <f ca="1">IFERROR(__xludf.DUMMYFUNCTION("""COMPUTED_VALUE"""),0.8)</f>
        <v>0.8</v>
      </c>
      <c r="O193" s="25">
        <f ca="1">IFERROR(__xludf.DUMMYFUNCTION("""COMPUTED_VALUE"""),0.685714285714285)</f>
        <v>0.68571428571428505</v>
      </c>
      <c r="P193" s="25">
        <f ca="1">IFERROR(__xludf.DUMMYFUNCTION("""COMPUTED_VALUE"""),0.652173913043478)</f>
        <v>0.65217391304347805</v>
      </c>
      <c r="Q193" s="25">
        <f ca="1">IFERROR(__xludf.DUMMYFUNCTION("""COMPUTED_VALUE"""),0)</f>
        <v>0</v>
      </c>
      <c r="R193" s="25">
        <f ca="1">IFERROR(__xludf.DUMMYFUNCTION("""COMPUTED_VALUE"""),0.708333333333333)</f>
        <v>0.70833333333333304</v>
      </c>
      <c r="S193" s="25">
        <f ca="1">IFERROR(__xludf.DUMMYFUNCTION("""COMPUTED_VALUE"""),0)</f>
        <v>0</v>
      </c>
      <c r="T193" s="25">
        <f ca="1">IFERROR(__xludf.DUMMYFUNCTION("""COMPUTED_VALUE"""),0.5)</f>
        <v>0.5</v>
      </c>
      <c r="U193" s="25">
        <f ca="1">IFERROR(__xludf.DUMMYFUNCTION("""COMPUTED_VALUE"""),0.625)</f>
        <v>0.625</v>
      </c>
      <c r="V193" s="25">
        <f ca="1">IFERROR(__xludf.DUMMYFUNCTION("""COMPUTED_VALUE"""),0)</f>
        <v>0</v>
      </c>
      <c r="W193" s="4"/>
      <c r="X193" s="4" t="str">
        <f ca="1">IFERROR(__xludf.DUMMYFUNCTION("""COMPUTED_VALUE"""),"| 1 L NS @ | 2 L PHP-CGM % | 3 P PRO @ | 5 L JAVA @ | 6 L NS @ ")</f>
        <v xml:space="preserve">| 1 L NS @ | 2 L PHP-CGM % | 3 P PRO @ | 5 L JAVA @ | 6 L NS @ </v>
      </c>
      <c r="Y193" s="4" t="str">
        <f ca="1">IFERROR(__xludf.DUMMYFUNCTION("""COMPUTED_VALUE"""),"| 1 L CPT @ | 5 L PHP-CGM @ | 3 P Python @ | 5 P JAVA @ ")</f>
        <v xml:space="preserve">| 1 L CPT @ | 5 L PHP-CGM @ | 3 P Python @ | 5 P JAVA @ </v>
      </c>
      <c r="Z193" s="4" t="str">
        <f ca="1">IFERROR(__xludf.DUMMYFUNCTION("""COMPUTED_VALUE"""),"| 1 L CPT % | 2 L PHP-CGM % | 3 P Python % | 5 P PHP-CGM % ")</f>
        <v xml:space="preserve">| 1 L CPT % | 2 L PHP-CGM % | 3 P Python % | 5 P PHP-CGM % </v>
      </c>
      <c r="AA193" s="4" t="str">
        <f ca="1">IFERROR(__xludf.DUMMYFUNCTION("""COMPUTED_VALUE"""),"| 1 L NS @ | 2 L JAVA @ | 3 P CPT @ | 5 P JAVA @ ")</f>
        <v xml:space="preserve">| 1 L NS @ | 2 L JAVA @ | 3 P CPT @ | 5 P JAVA @ </v>
      </c>
      <c r="AB193" s="4" t="str">
        <f ca="1">IFERROR(__xludf.DUMMYFUNCTION("""COMPUTED_VALUE"""),"| 1 L CPT @ | 2 L JAVA % | 3 P NS @ ")</f>
        <v xml:space="preserve">| 1 L CPT @ | 2 L JAVA % | 3 P NS @ </v>
      </c>
      <c r="AC193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93" s="4" t="str">
        <f ca="1">IFERROR(__xludf.DUMMYFUNCTION("""COMPUTED_VALUE"""),"| 1 L CPT % | 2 L PHP-CGM % | 3 P Python % | 5 P JAVA % ")</f>
        <v xml:space="preserve">| 1 L CPT % | 2 L PHP-CGM % | 3 P Python % | 5 P JAVA % </v>
      </c>
      <c r="AE193" s="4" t="str">
        <f ca="1">IFERROR(__xludf.DUMMYFUNCTION("""COMPUTED_VALUE"""),"| 1 L CPT @ | 3 P Python % | 5 P PHP-CGM % | 2 L PHP-CGM % ")</f>
        <v xml:space="preserve">| 1 L CPT @ | 3 P Python % | 5 P PHP-CGM % | 2 L PHP-CGM % </v>
      </c>
      <c r="AF193" s="4" t="str">
        <f ca="1">IFERROR(__xludf.DUMMYFUNCTION("""COMPUTED_VALUE"""),"| 1 L NS % | 2 L CPT % | 3 P CPT % | 5 P JAVA % ")</f>
        <v xml:space="preserve">| 1 L NS % | 2 L CPT % | 3 P CPT % | 5 P JAVA % </v>
      </c>
      <c r="AG193" s="4" t="str">
        <f ca="1">IFERROR(__xludf.DUMMYFUNCTION("""COMPUTED_VALUE"""),"| 1 L CPT % | 2 L JAVA % | 3 P NS % ")</f>
        <v xml:space="preserve">| 1 L CPT % | 2 L JAVA % | 3 P NS % </v>
      </c>
      <c r="AH193" s="4" t="str">
        <f ca="1">IFERROR(__xludf.DUMMYFUNCTION("""COMPUTED_VALUE"""),"| 2 L JAVA % | 1 L NS % | 3 P CPT % | 5 P JAVA % ")</f>
        <v xml:space="preserve">| 2 L JAVA % | 1 L NS % | 3 P CPT % | 5 P JAVA % </v>
      </c>
      <c r="AI193" s="4" t="str">
        <f ca="1">IFERROR(__xludf.DUMMYFUNCTION("""COMPUTED_VALUE"""),"| 1 L CPT % | 2 L JAVA % | 3 P NS % ")</f>
        <v xml:space="preserve">| 1 L CPT % | 2 L JAVA % | 3 P NS % </v>
      </c>
      <c r="AJ19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93" s="4" t="str">
        <f ca="1">IFERROR(__xludf.DUMMYFUNCTION("""COMPUTED_VALUE"""),"| 1 L CPT % | 3 P Python % | 2 L PHP-CGM % | 5 P JAVA % ")</f>
        <v xml:space="preserve">| 1 L CPT % | 3 P Python % | 2 L PHP-CGM % | 5 P JAVA % </v>
      </c>
      <c r="AL193" s="4" t="str">
        <f ca="1">IFERROR(__xludf.DUMMYFUNCTION("""COMPUTED_VALUE"""),"| 1 L CPT % | 2 L PHP-CGM % | 3 P Python % | 5 P PHP-CGM % ")</f>
        <v xml:space="preserve">| 1 L CPT % | 2 L PHP-CGM % | 3 P Python % | 5 P PHP-CGM % </v>
      </c>
      <c r="AM193" s="4" t="str">
        <f ca="1">IFERROR(__xludf.DUMMYFUNCTION("""COMPUTED_VALUE"""),"| 2 L JAVA % | 3 P CPT @ | 5 P JAVA @ | 1 L NS % ")</f>
        <v xml:space="preserve">| 2 L JAVA % | 3 P CPT @ | 5 P JAVA @ | 1 L NS % </v>
      </c>
      <c r="AN193" s="4" t="str">
        <f ca="1">IFERROR(__xludf.DUMMYFUNCTION("""COMPUTED_VALUE"""),"| 1 L CPT % | 2 L JAVA % | 3 P NS % | 5 L INE @ ")</f>
        <v xml:space="preserve">| 1 L CPT % | 2 L JAVA % | 3 P NS % | 5 L INE @ </v>
      </c>
      <c r="AO193" s="4" t="str">
        <f ca="1">IFERROR(__xludf.DUMMYFUNCTION("""COMPUTED_VALUE"""),"| 1 L NS @ | 2 L PHP-CGM @ | 3 P PRO @ | 5 L NS % | 5 L JAVA % ")</f>
        <v xml:space="preserve">| 1 L NS @ | 2 L PHP-CGM @ | 3 P PRO @ | 5 L NS % | 5 L JAVA % </v>
      </c>
      <c r="AP193" s="4" t="str">
        <f ca="1">IFERROR(__xludf.DUMMYFUNCTION("""COMPUTED_VALUE"""),"| 1 L CPT % | 2 L PHP-CGM % | 3 P Python % | 5 P JAVA % ")</f>
        <v xml:space="preserve">| 1 L CPT % | 2 L PHP-CGM % | 3 P Python % | 5 P JAVA % </v>
      </c>
      <c r="AQ193" s="4" t="str">
        <f ca="1">IFERROR(__xludf.DUMMYFUNCTION("""COMPUTED_VALUE"""),"| 2 L PHP-CGM % | 3 P Python % | 5 P PHP-CGM % | 1 L NS % ")</f>
        <v xml:space="preserve">| 2 L PHP-CGM % | 3 P Python % | 5 P PHP-CGM % | 1 L NS % </v>
      </c>
      <c r="AR193" s="4" t="str">
        <f ca="1">IFERROR(__xludf.DUMMYFUNCTION("""COMPUTED_VALUE"""),"| 1 L CPT % | 2 L JAVA % | 3 P CPT % | 5 P JAVA @ ")</f>
        <v xml:space="preserve">| 1 L CPT % | 2 L JAVA % | 3 P CPT % | 5 P JAVA @ </v>
      </c>
      <c r="AS19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93" s="4" t="str">
        <f ca="1">IFERROR(__xludf.DUMMYFUNCTION("""COMPUTED_VALUE"""),"| 1 L CPT % | 2 L PHP-CGM % | 3 P Python % | 5 P JAVA % ")</f>
        <v xml:space="preserve">| 1 L CPT % | 2 L PHP-CGM % | 3 P Python % | 5 P JAVA % </v>
      </c>
      <c r="AU193" s="4" t="str">
        <f ca="1">IFERROR(__xludf.DUMMYFUNCTION("""COMPUTED_VALUE"""),"| 1 L NS % | 2 L PHP-CGM % | 3 P Python % | 5 P PHP-CGM % ")</f>
        <v xml:space="preserve">| 1 L NS % | 2 L PHP-CGM % | 3 P Python % | 5 P PHP-CGM % </v>
      </c>
      <c r="AV193" s="4" t="str">
        <f ca="1">IFERROR(__xludf.DUMMYFUNCTION("""COMPUTED_VALUE"""),"| 1 L CPT % | 2 L JAVA % | 5 P JAVA % | 3 P CPT % ")</f>
        <v xml:space="preserve">| 1 L CPT % | 2 L JAVA % | 5 P JAVA % | 3 P CPT % </v>
      </c>
      <c r="AW193" s="4" t="str">
        <f ca="1">IFERROR(__xludf.DUMMYFUNCTION("""COMPUTED_VALUE"""),"| 1 L CPT % | 2 L JAVA % | 3 P NS % | 5 L INE % | 6 L INE % ")</f>
        <v xml:space="preserve">| 1 L CPT % | 2 L JAVA % | 3 P NS % | 5 L INE % | 6 L INE % </v>
      </c>
      <c r="AX193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93" s="4" t="str">
        <f ca="1">IFERROR(__xludf.DUMMYFUNCTION("""COMPUTED_VALUE"""),"| 1 L CPT % | 2 L PHP-CGM % | 3 P Python % | 5 P JAVA % ")</f>
        <v xml:space="preserve">| 1 L CPT % | 2 L PHP-CGM % | 3 P Python % | 5 P JAVA % </v>
      </c>
      <c r="AZ193" s="4" t="str">
        <f ca="1">IFERROR(__xludf.DUMMYFUNCTION("""COMPUTED_VALUE"""),"| 1 L CPT % | 2 L JAVA % | 3 P CPT % | 5 P JAVA % ")</f>
        <v xml:space="preserve">| 1 L CPT % | 2 L JAVA % | 3 P CPT % | 5 P JAVA % </v>
      </c>
      <c r="BA193" s="4" t="str">
        <f ca="1">IFERROR(__xludf.DUMMYFUNCTION("""COMPUTED_VALUE"""),"| 1 L CPT % | 2 L JAVA % | 3 P NS % | 5 L INE @ ")</f>
        <v xml:space="preserve">| 1 L CPT % | 2 L JAVA % | 3 P NS % | 5 L INE @ </v>
      </c>
      <c r="BB193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C193" s="4" t="str">
        <f ca="1">IFERROR(__xludf.DUMMYFUNCTION("""COMPUTED_VALUE"""),"| 1 L CPT @ | 2 L PHP-CGM @ | 3 P Python @ | 5 P JAVA @ ")</f>
        <v xml:space="preserve">| 1 L CPT @ | 2 L PHP-CGM @ | 3 P Python @ | 5 P JAVA @ </v>
      </c>
      <c r="BD193" s="4" t="str">
        <f ca="1">IFERROR(__xludf.DUMMYFUNCTION("""COMPUTED_VALUE"""),"| 1 L NS @ | 2 L PHP-CGM @ | 3 P Python @ | 5 P PHP-CGM @ ")</f>
        <v xml:space="preserve">| 1 L NS @ | 2 L PHP-CGM @ | 3 P Python @ | 5 P PHP-CGM @ </v>
      </c>
      <c r="BE193" s="4" t="str">
        <f ca="1">IFERROR(__xludf.DUMMYFUNCTION("""COMPUTED_VALUE"""),"| 1 L CPT % | 2 L JAVA % | 3 P CPT % | 5 P JAVA % ")</f>
        <v xml:space="preserve">| 1 L CPT % | 2 L JAVA % | 3 P CPT % | 5 P JAVA % </v>
      </c>
      <c r="BF193" s="4" t="str">
        <f ca="1">IFERROR(__xludf.DUMMYFUNCTION("""COMPUTED_VALUE"""),"| 1 L CPT % | 2 L JAVA % | 3 P NS % ")</f>
        <v xml:space="preserve">| 1 L CPT % | 2 L JAVA % | 3 P NS % </v>
      </c>
      <c r="BG193" s="4" t="str">
        <f ca="1">IFERROR(__xludf.DUMMYFUNCTION("""COMPUTED_VALUE"""),"| 2 L PHP-CGM % | 1 L CPT % | 3 P Python % | 5 P JAVA % ")</f>
        <v xml:space="preserve">| 2 L PHP-CGM % | 1 L CPT % | 3 P Python % | 5 P JAVA % </v>
      </c>
      <c r="BH193" s="4" t="str">
        <f ca="1">IFERROR(__xludf.DUMMYFUNCTION("""COMPUTED_VALUE"""),"| 1 L NS % | 2 L PHP-CGM % | 3 P Python % | 5 P PHP-CGM % ")</f>
        <v xml:space="preserve">| 1 L NS % | 2 L PHP-CGM % | 3 P Python % | 5 P PHP-CGM % </v>
      </c>
      <c r="BI193" s="4" t="str">
        <f ca="1">IFERROR(__xludf.DUMMYFUNCTION("""COMPUTED_VALUE"""),"| 1 L CPT % | 2 L JAVA % | 3 P CPT % | 5 P JAVA % ")</f>
        <v xml:space="preserve">| 1 L CPT % | 2 L JAVA % | 3 P CPT % | 5 P JAVA % </v>
      </c>
      <c r="BJ193" s="4" t="str">
        <f ca="1">IFERROR(__xludf.DUMMYFUNCTION("""COMPUTED_VALUE"""),"| 1 L CPT % | 2 L JAVA % | 3 P NS % | 5 L INE % ")</f>
        <v xml:space="preserve">| 1 L CPT % | 2 L JAVA % | 3 P NS % | 5 L INE % </v>
      </c>
      <c r="BK193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93" s="4" t="str">
        <f ca="1">IFERROR(__xludf.DUMMYFUNCTION("""COMPUTED_VALUE"""),"| 1 L CPT @ | 2 L PHP-CGM @ | 3 P Python @ | 5 P JAVA @ ")</f>
        <v xml:space="preserve">| 1 L CPT @ | 2 L PHP-CGM @ | 3 P Python @ | 5 P JAVA @ </v>
      </c>
      <c r="BM193" s="4" t="str">
        <f ca="1">IFERROR(__xludf.DUMMYFUNCTION("""COMPUTED_VALUE"""),"| 1 L NS @ | 2 L PHP-CGM @ | 3 P Python @ ")</f>
        <v xml:space="preserve">| 1 L NS @ | 2 L PHP-CGM @ | 3 P Python @ </v>
      </c>
      <c r="BN193" s="4" t="str">
        <f ca="1">IFERROR(__xludf.DUMMYFUNCTION("""COMPUTED_VALUE"""),"| 2 L JAVA @ | 1 L CPT @ | 3 P CPT @ | 5 P JAVA @ ")</f>
        <v xml:space="preserve">| 2 L JAVA @ | 1 L CPT @ | 3 P CPT @ | 5 P JAVA @ </v>
      </c>
      <c r="BO193" s="4" t="str">
        <f ca="1">IFERROR(__xludf.DUMMYFUNCTION("""COMPUTED_VALUE"""),"| 2 L JAVA @ | 1 L CPT @ | 3 P NS @ | 5 L INE @ ")</f>
        <v xml:space="preserve">| 2 L JAVA @ | 1 L CPT @ | 3 P NS @ | 5 L INE @ </v>
      </c>
      <c r="BP19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193" s="4"/>
      <c r="BR193" s="4"/>
      <c r="BS193" s="4"/>
      <c r="BT193" s="4" t="str">
        <f ca="1">IFERROR(__xludf.DUMMYFUNCTION("""COMPUTED_VALUE"""),"| 1 L NS % | 2 L PHP-CGM % | 3 P PRO % ")</f>
        <v xml:space="preserve">| 1 L NS % | 2 L PHP-CGM % | 3 P PRO % </v>
      </c>
      <c r="BU193" s="4" t="str">
        <f ca="1">IFERROR(__xludf.DUMMYFUNCTION("""COMPUTED_VALUE"""),"| 1 L CPT % | 3 P Python % ")</f>
        <v xml:space="preserve">| 1 L CPT % | 3 P Python % </v>
      </c>
      <c r="BV193" s="4" t="str">
        <f ca="1">IFERROR(__xludf.DUMMYFUNCTION("""COMPUTED_VALUE"""),"| 1 L NS @ | 2 L PHP-CGM @ | 3 P PRO @ | 6 L JAVA @ ")</f>
        <v xml:space="preserve">| 1 L NS @ | 2 L PHP-CGM @ | 3 P PRO @ | 6 L JAVA @ </v>
      </c>
      <c r="BW193" s="4" t="str">
        <f ca="1">IFERROR(__xludf.DUMMYFUNCTION("""COMPUTED_VALUE"""),"| 1 L CPT @ | 2 L PHP-CGM @ | 3 P Python @ ")</f>
        <v xml:space="preserve">| 1 L CPT @ | 2 L PHP-CGM @ | 3 P Python @ </v>
      </c>
      <c r="BX193" s="4" t="str">
        <f ca="1">IFERROR(__xludf.DUMMYFUNCTION("""COMPUTED_VALUE"""),"| 1 L NS @ | 2 L PHP-CGM @ | 3 P Python @ | 5 P PHP-CGM @ ")</f>
        <v xml:space="preserve">| 1 L NS @ | 2 L PHP-CGM @ | 3 P Python @ | 5 P PHP-CGM @ </v>
      </c>
      <c r="BY193" s="4" t="str">
        <f ca="1">IFERROR(__xludf.DUMMYFUNCTION("""COMPUTED_VALUE"""),"| 1 L CPT @ | 2 L JAVA @ | 3 P CPT @ | 5 P JAVA @ ")</f>
        <v xml:space="preserve">| 1 L CPT @ | 2 L JAVA @ | 3 P CPT @ | 5 P JAVA @ </v>
      </c>
      <c r="BZ193" s="4" t="str">
        <f ca="1">IFERROR(__xludf.DUMMYFUNCTION("""COMPUTED_VALUE"""),"| 1 L CPT % | 2 L JAVA % | 3 P NS % | 5 L INE % ")</f>
        <v xml:space="preserve">| 1 L CPT % | 2 L JAVA % | 3 P NS % | 5 L INE % </v>
      </c>
      <c r="CA19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193" s="4" t="str">
        <f ca="1">IFERROR(__xludf.DUMMYFUNCTION("""COMPUTED_VALUE"""),"| 2 L PHP-CGM % | 3 P Python % | 5 P JAVA % | 1 L CPT % ")</f>
        <v xml:space="preserve">| 2 L PHP-CGM % | 3 P Python % | 5 P JAVA % | 1 L CPT % </v>
      </c>
      <c r="CC193" s="4" t="str">
        <f ca="1">IFERROR(__xludf.DUMMYFUNCTION("""COMPUTED_VALUE"""),"| 1 L NS % | 2 L PHP-CGM % | 3 P Python % | 5 P PHP-CGM % ")</f>
        <v xml:space="preserve">| 1 L NS % | 2 L PHP-CGM % | 3 P Python % | 5 P PHP-CGM % </v>
      </c>
      <c r="CD193" s="4" t="str">
        <f ca="1">IFERROR(__xludf.DUMMYFUNCTION("""COMPUTED_VALUE"""),"| 1 L CPT % | 2 L JAVA @ | 3 P CPT % | 5 P JAVA % ")</f>
        <v xml:space="preserve">| 1 L CPT % | 2 L JAVA @ | 3 P CPT % | 5 P JAVA % </v>
      </c>
      <c r="CE193" s="4" t="str">
        <f ca="1">IFERROR(__xludf.DUMMYFUNCTION("""COMPUTED_VALUE"""),"| 1 L CPT % | 2 L JAVA % | 3 P NS % | 5 L INE % ")</f>
        <v xml:space="preserve">| 1 L CPT % | 2 L JAVA % | 3 P NS % | 5 L INE % </v>
      </c>
      <c r="CF193" s="4" t="str">
        <f ca="1">IFERROR(__xludf.DUMMYFUNCTION("""COMPUTED_VALUE"""),"| 1 L NS % | 2 L PHP-CGM % | 5 L NS @ | 6 L JAVA @ ")</f>
        <v xml:space="preserve">| 1 L NS % | 2 L PHP-CGM % | 5 L NS @ | 6 L JAVA @ </v>
      </c>
      <c r="CG193" s="4" t="str">
        <f ca="1">IFERROR(__xludf.DUMMYFUNCTION("""COMPUTED_VALUE"""),"| 1 L CPT % | 2 L PHP-CGM % | 3 P Python % | 5 P JAVA % ")</f>
        <v xml:space="preserve">| 1 L CPT % | 2 L PHP-CGM % | 3 P Python % | 5 P JAVA % </v>
      </c>
      <c r="CH193" s="4" t="str">
        <f ca="1">IFERROR(__xludf.DUMMYFUNCTION("""COMPUTED_VALUE"""),"| 1 L NS @ | 2 L PHP-CGM @ | 3 P Python % | 5 P PHP-CGM % ")</f>
        <v xml:space="preserve">| 1 L NS @ | 2 L PHP-CGM @ | 3 P Python % | 5 P PHP-CGM % </v>
      </c>
      <c r="CI193" s="4" t="str">
        <f ca="1">IFERROR(__xludf.DUMMYFUNCTION("""COMPUTED_VALUE"""),"| 1 L CPT % | 2 L JAVA % ")</f>
        <v xml:space="preserve">| 1 L CPT % | 2 L JAVA % </v>
      </c>
      <c r="CJ193" s="4" t="str">
        <f ca="1">IFERROR(__xludf.DUMMYFUNCTION("""COMPUTED_VALUE"""),"| 1 L CPT @ | 3 P NS % ")</f>
        <v xml:space="preserve">| 1 L CPT @ | 3 P NS % </v>
      </c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</row>
    <row r="194" spans="1:102" ht="12.5" x14ac:dyDescent="0.25">
      <c r="A194" s="3">
        <f ca="1">IFERROR(__xludf.DUMMYFUNCTION("""COMPUTED_VALUE"""),2)</f>
        <v>2</v>
      </c>
      <c r="B194" s="3" t="str">
        <f ca="1">IFERROR(__xludf.DUMMYFUNCTION("""COMPUTED_VALUE"""),"C")</f>
        <v>C</v>
      </c>
      <c r="C194" s="32" t="str">
        <f ca="1">IFERROR(__xludf.DUMMYFUNCTION("""COMPUTED_VALUE"""),"23171341076")</f>
        <v>23171341076</v>
      </c>
      <c r="D194" s="4" t="str">
        <f ca="1">IFERROR(__xludf.DUMMYFUNCTION("""COMPUTED_VALUE"""),"PATEL CHINTAN PRAVINBHAI")</f>
        <v>PATEL CHINTAN PRAVINBHAI</v>
      </c>
      <c r="E194" s="3" t="str">
        <f ca="1">IFERROR(__xludf.DUMMYFUNCTION("""COMPUTED_VALUE"""),"PKN/PAP-Mor")</f>
        <v>PKN/PAP-Mor</v>
      </c>
      <c r="F194" s="3">
        <f ca="1">IFERROR(__xludf.DUMMYFUNCTION("""COMPUTED_VALUE"""),8155078169)</f>
        <v>8155078169</v>
      </c>
      <c r="G194" s="3">
        <f ca="1">IFERROR(__xludf.DUMMYFUNCTION("""COMPUTED_VALUE"""),9924978169)</f>
        <v>9924978169</v>
      </c>
      <c r="H194" s="33">
        <f ca="1">IFERROR(__xludf.DUMMYFUNCTION("""COMPUTED_VALUE"""),0.5)</f>
        <v>0.5</v>
      </c>
      <c r="I194" s="25">
        <f ca="1">IFERROR(__xludf.DUMMYFUNCTION("""COMPUTED_VALUE"""),0.526315789473684)</f>
        <v>0.52631578947368396</v>
      </c>
      <c r="J194" s="25">
        <f ca="1">IFERROR(__xludf.DUMMYFUNCTION("""COMPUTED_VALUE"""),0.416666666666666)</f>
        <v>0.41666666666666602</v>
      </c>
      <c r="K194" s="25">
        <f ca="1">IFERROR(__xludf.DUMMYFUNCTION("""COMPUTED_VALUE"""),0.5)</f>
        <v>0.5</v>
      </c>
      <c r="L194" s="25">
        <f ca="1">IFERROR(__xludf.DUMMYFUNCTION("""COMPUTED_VALUE"""),0.333333333333333)</f>
        <v>0.33333333333333298</v>
      </c>
      <c r="M194" s="25">
        <f ca="1">IFERROR(__xludf.DUMMYFUNCTION("""COMPUTED_VALUE"""),0.611111111111111)</f>
        <v>0.61111111111111105</v>
      </c>
      <c r="N194" s="25">
        <f ca="1">IFERROR(__xludf.DUMMYFUNCTION("""COMPUTED_VALUE"""),0.8)</f>
        <v>0.8</v>
      </c>
      <c r="O194" s="25">
        <f ca="1">IFERROR(__xludf.DUMMYFUNCTION("""COMPUTED_VALUE"""),0.4)</f>
        <v>0.4</v>
      </c>
      <c r="P194" s="25">
        <f ca="1">IFERROR(__xludf.DUMMYFUNCTION("""COMPUTED_VALUE"""),0.434782608695652)</f>
        <v>0.434782608695652</v>
      </c>
      <c r="Q194" s="25">
        <f ca="1">IFERROR(__xludf.DUMMYFUNCTION("""COMPUTED_VALUE"""),0)</f>
        <v>0</v>
      </c>
      <c r="R194" s="25">
        <f ca="1">IFERROR(__xludf.DUMMYFUNCTION("""COMPUTED_VALUE"""),0.625)</f>
        <v>0.625</v>
      </c>
      <c r="S194" s="25">
        <f ca="1">IFERROR(__xludf.DUMMYFUNCTION("""COMPUTED_VALUE"""),0)</f>
        <v>0</v>
      </c>
      <c r="T194" s="25">
        <f ca="1">IFERROR(__xludf.DUMMYFUNCTION("""COMPUTED_VALUE"""),0.333333333333333)</f>
        <v>0.33333333333333298</v>
      </c>
      <c r="U194" s="25">
        <f ca="1">IFERROR(__xludf.DUMMYFUNCTION("""COMPUTED_VALUE"""),0.375)</f>
        <v>0.375</v>
      </c>
      <c r="V194" s="25">
        <f ca="1">IFERROR(__xludf.DUMMYFUNCTION("""COMPUTED_VALUE"""),0)</f>
        <v>0</v>
      </c>
      <c r="W194" s="4"/>
      <c r="X194" s="4" t="str">
        <f ca="1">IFERROR(__xludf.DUMMYFUNCTION("""COMPUTED_VALUE"""),"| 1 L NS @ | 2 L PHP-CGM @ | 3 P PRO @ | 5 L JAVA @ | 6 L NS % ")</f>
        <v xml:space="preserve">| 1 L NS @ | 2 L PHP-CGM @ | 3 P PRO @ | 5 L JAVA @ | 6 L NS % </v>
      </c>
      <c r="Y194" s="4" t="str">
        <f ca="1">IFERROR(__xludf.DUMMYFUNCTION("""COMPUTED_VALUE"""),"| 1 L CPT % | 5 L PHP-CGM % | 3 P Python % | 5 P JAVA % ")</f>
        <v xml:space="preserve">| 1 L CPT % | 5 L PHP-CGM % | 3 P Python % | 5 P JAVA % </v>
      </c>
      <c r="Z194" s="4" t="str">
        <f ca="1">IFERROR(__xludf.DUMMYFUNCTION("""COMPUTED_VALUE"""),"| 1 L CPT % | 2 L PHP-CGM % | 3 P Python % | 5 P PHP-CGM % ")</f>
        <v xml:space="preserve">| 1 L CPT % | 2 L PHP-CGM % | 3 P Python % | 5 P PHP-CGM % </v>
      </c>
      <c r="AA194" s="4" t="str">
        <f ca="1">IFERROR(__xludf.DUMMYFUNCTION("""COMPUTED_VALUE"""),"| 1 L NS % | 2 L JAVA % | 3 P CPT @ | 5 P JAVA @ ")</f>
        <v xml:space="preserve">| 1 L NS % | 2 L JAVA % | 3 P CPT @ | 5 P JAVA @ </v>
      </c>
      <c r="AB194" s="4" t="str">
        <f ca="1">IFERROR(__xludf.DUMMYFUNCTION("""COMPUTED_VALUE"""),"| 1 L CPT % | 2 L JAVA % | 3 P NS @ ")</f>
        <v xml:space="preserve">| 1 L CPT % | 2 L JAVA % | 3 P NS @ </v>
      </c>
      <c r="AC19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94" s="4" t="str">
        <f ca="1">IFERROR(__xludf.DUMMYFUNCTION("""COMPUTED_VALUE"""),"| 1 L CPT % | 2 L PHP-CGM % | 3 P Python % | 5 P JAVA @ ")</f>
        <v xml:space="preserve">| 1 L CPT % | 2 L PHP-CGM % | 3 P Python % | 5 P JAVA @ </v>
      </c>
      <c r="AE194" s="4" t="str">
        <f ca="1">IFERROR(__xludf.DUMMYFUNCTION("""COMPUTED_VALUE"""),"| 1 L CPT % | 3 P Python % | 5 P PHP-CGM % | 2 L PHP-CGM % ")</f>
        <v xml:space="preserve">| 1 L CPT % | 3 P Python % | 5 P PHP-CGM % | 2 L PHP-CGM % </v>
      </c>
      <c r="AF194" s="4" t="str">
        <f ca="1">IFERROR(__xludf.DUMMYFUNCTION("""COMPUTED_VALUE"""),"| 1 L NS % | 2 L CPT % | 3 P CPT % | 5 P JAVA % ")</f>
        <v xml:space="preserve">| 1 L NS % | 2 L CPT % | 3 P CPT % | 5 P JAVA % </v>
      </c>
      <c r="AG194" s="4" t="str">
        <f ca="1">IFERROR(__xludf.DUMMYFUNCTION("""COMPUTED_VALUE"""),"| 1 L CPT % | 2 L JAVA % | 3 P NS % ")</f>
        <v xml:space="preserve">| 1 L CPT % | 2 L JAVA % | 3 P NS % </v>
      </c>
      <c r="AH194" s="4" t="str">
        <f ca="1">IFERROR(__xludf.DUMMYFUNCTION("""COMPUTED_VALUE"""),"| 2 L JAVA % | 1 L NS % | 3 P CPT % | 5 P JAVA % ")</f>
        <v xml:space="preserve">| 2 L JAVA % | 1 L NS % | 3 P CPT % | 5 P JAVA % </v>
      </c>
      <c r="AI194" s="4" t="str">
        <f ca="1">IFERROR(__xludf.DUMMYFUNCTION("""COMPUTED_VALUE"""),"| 1 L CPT @ | 2 L JAVA @ | 3 P NS @ ")</f>
        <v xml:space="preserve">| 1 L CPT @ | 2 L JAVA @ | 3 P NS @ </v>
      </c>
      <c r="AJ19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94" s="4" t="str">
        <f ca="1">IFERROR(__xludf.DUMMYFUNCTION("""COMPUTED_VALUE"""),"| 1 L CPT % | 3 P Python % | 2 L PHP-CGM % | 5 P JAVA % ")</f>
        <v xml:space="preserve">| 1 L CPT % | 3 P Python % | 2 L PHP-CGM % | 5 P JAVA % </v>
      </c>
      <c r="AL194" s="4" t="str">
        <f ca="1">IFERROR(__xludf.DUMMYFUNCTION("""COMPUTED_VALUE"""),"| 1 L CPT % | 2 L PHP-CGM % | 3 P Python % | 5 P PHP-CGM % ")</f>
        <v xml:space="preserve">| 1 L CPT % | 2 L PHP-CGM % | 3 P Python % | 5 P PHP-CGM % </v>
      </c>
      <c r="AM194" s="4" t="str">
        <f ca="1">IFERROR(__xludf.DUMMYFUNCTION("""COMPUTED_VALUE"""),"| 2 L JAVA % | 3 P CPT % | 5 P JAVA % | 1 L NS % ")</f>
        <v xml:space="preserve">| 2 L JAVA % | 3 P CPT % | 5 P JAVA % | 1 L NS % </v>
      </c>
      <c r="AN194" s="4" t="str">
        <f ca="1">IFERROR(__xludf.DUMMYFUNCTION("""COMPUTED_VALUE"""),"| 1 L CPT % | 2 L JAVA % | 3 P NS % | 5 L INE @ ")</f>
        <v xml:space="preserve">| 1 L CPT % | 2 L JAVA % | 3 P NS % | 5 L INE @ </v>
      </c>
      <c r="AO194" s="4" t="str">
        <f ca="1">IFERROR(__xludf.DUMMYFUNCTION("""COMPUTED_VALUE"""),"| 1 L NS % | 2 L PHP-CGM % | 3 P PRO @ | 5 L NS @ | 5 L JAVA @ ")</f>
        <v xml:space="preserve">| 1 L NS % | 2 L PHP-CGM % | 3 P PRO @ | 5 L NS @ | 5 L JAVA @ </v>
      </c>
      <c r="AP194" s="4" t="str">
        <f ca="1">IFERROR(__xludf.DUMMYFUNCTION("""COMPUTED_VALUE"""),"| 1 L CPT % | 2 L PHP-CGM % | 3 P Python % | 5 P JAVA % ")</f>
        <v xml:space="preserve">| 1 L CPT % | 2 L PHP-CGM % | 3 P Python % | 5 P JAVA % </v>
      </c>
      <c r="AQ194" s="4" t="str">
        <f ca="1">IFERROR(__xludf.DUMMYFUNCTION("""COMPUTED_VALUE"""),"| 2 L PHP-CGM % | 3 P Python % | 5 P PHP-CGM % | 1 L NS % ")</f>
        <v xml:space="preserve">| 2 L PHP-CGM % | 3 P Python % | 5 P PHP-CGM % | 1 L NS % </v>
      </c>
      <c r="AR194" s="4" t="str">
        <f ca="1">IFERROR(__xludf.DUMMYFUNCTION("""COMPUTED_VALUE"""),"| 1 L CPT % | 2 L JAVA % | 3 P CPT % | 5 P JAVA % ")</f>
        <v xml:space="preserve">| 1 L CPT % | 2 L JAVA % | 3 P CPT % | 5 P JAVA % </v>
      </c>
      <c r="AS194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AT194" s="4" t="str">
        <f ca="1">IFERROR(__xludf.DUMMYFUNCTION("""COMPUTED_VALUE"""),"| 1 L CPT % | 2 L PHP-CGM % | 3 P Python @ | 5 P JAVA @ ")</f>
        <v xml:space="preserve">| 1 L CPT % | 2 L PHP-CGM % | 3 P Python @ | 5 P JAVA @ </v>
      </c>
      <c r="AU194" s="4" t="str">
        <f ca="1">IFERROR(__xludf.DUMMYFUNCTION("""COMPUTED_VALUE"""),"| 1 L NS % | 2 L PHP-CGM % | 3 P Python % | 5 P PHP-CGM % ")</f>
        <v xml:space="preserve">| 1 L NS % | 2 L PHP-CGM % | 3 P Python % | 5 P PHP-CGM % </v>
      </c>
      <c r="AV194" s="4" t="str">
        <f ca="1">IFERROR(__xludf.DUMMYFUNCTION("""COMPUTED_VALUE"""),"| 1 L CPT % | 2 L JAVA % | 5 P JAVA % | 3 P CPT % ")</f>
        <v xml:space="preserve">| 1 L CPT % | 2 L JAVA % | 5 P JAVA % | 3 P CPT % </v>
      </c>
      <c r="AW194" s="4" t="str">
        <f ca="1">IFERROR(__xludf.DUMMYFUNCTION("""COMPUTED_VALUE"""),"| 1 L CPT % | 2 L JAVA % | 3 P NS % | 5 L INE % | 6 L INE % ")</f>
        <v xml:space="preserve">| 1 L CPT % | 2 L JAVA % | 3 P NS % | 5 L INE % | 6 L INE % </v>
      </c>
      <c r="AX194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94" s="4" t="str">
        <f ca="1">IFERROR(__xludf.DUMMYFUNCTION("""COMPUTED_VALUE"""),"| 1 L CPT % | 2 L PHP-CGM % | 3 P Python % | 5 P JAVA % ")</f>
        <v xml:space="preserve">| 1 L CPT % | 2 L PHP-CGM % | 3 P Python % | 5 P JAVA % </v>
      </c>
      <c r="AZ194" s="4" t="str">
        <f ca="1">IFERROR(__xludf.DUMMYFUNCTION("""COMPUTED_VALUE"""),"| 1 L CPT @ | 2 L JAVA @ | 3 P CPT @ | 5 P JAVA @ ")</f>
        <v xml:space="preserve">| 1 L CPT @ | 2 L JAVA @ | 3 P CPT @ | 5 P JAVA @ </v>
      </c>
      <c r="BA194" s="4" t="str">
        <f ca="1">IFERROR(__xludf.DUMMYFUNCTION("""COMPUTED_VALUE"""),"| 1 L CPT @ | 2 L JAVA % | 3 P NS @ | 5 L INE @ ")</f>
        <v xml:space="preserve">| 1 L CPT @ | 2 L JAVA % | 3 P NS @ | 5 L INE @ </v>
      </c>
      <c r="BB194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C194" s="4" t="str">
        <f ca="1">IFERROR(__xludf.DUMMYFUNCTION("""COMPUTED_VALUE"""),"| 1 L CPT % | 2 L PHP-CGM % | 3 P Python % | 5 P JAVA @ ")</f>
        <v xml:space="preserve">| 1 L CPT % | 2 L PHP-CGM % | 3 P Python % | 5 P JAVA @ </v>
      </c>
      <c r="BD194" s="4" t="str">
        <f ca="1">IFERROR(__xludf.DUMMYFUNCTION("""COMPUTED_VALUE"""),"| 1 L NS % | 2 L PHP-CGM % | 3 P Python % | 5 P PHP-CGM % ")</f>
        <v xml:space="preserve">| 1 L NS % | 2 L PHP-CGM % | 3 P Python % | 5 P PHP-CGM % </v>
      </c>
      <c r="BE194" s="4" t="str">
        <f ca="1">IFERROR(__xludf.DUMMYFUNCTION("""COMPUTED_VALUE"""),"| 1 L CPT @ | 2 L JAVA @ | 3 P CPT @ | 5 P JAVA @ ")</f>
        <v xml:space="preserve">| 1 L CPT @ | 2 L JAVA @ | 3 P CPT @ | 5 P JAVA @ </v>
      </c>
      <c r="BF194" s="4" t="str">
        <f ca="1">IFERROR(__xludf.DUMMYFUNCTION("""COMPUTED_VALUE"""),"| 1 L CPT @ | 2 L JAVA @ | 3 P NS @ ")</f>
        <v xml:space="preserve">| 1 L CPT @ | 2 L JAVA @ | 3 P NS @ </v>
      </c>
      <c r="BG194" s="4" t="str">
        <f ca="1">IFERROR(__xludf.DUMMYFUNCTION("""COMPUTED_VALUE"""),"| 2 L PHP-CGM % | 1 L CPT % | 3 P Python @ | 5 P JAVA @ ")</f>
        <v xml:space="preserve">| 2 L PHP-CGM % | 1 L CPT % | 3 P Python @ | 5 P JAVA @ </v>
      </c>
      <c r="BH194" s="4" t="str">
        <f ca="1">IFERROR(__xludf.DUMMYFUNCTION("""COMPUTED_VALUE"""),"| 1 L NS % | 2 L PHP-CGM % | 3 P Python % | 5 P PHP-CGM @ ")</f>
        <v xml:space="preserve">| 1 L NS % | 2 L PHP-CGM % | 3 P Python % | 5 P PHP-CGM @ </v>
      </c>
      <c r="BI194" s="4" t="str">
        <f ca="1">IFERROR(__xludf.DUMMYFUNCTION("""COMPUTED_VALUE"""),"| 1 L CPT @ | 2 L JAVA @ | 3 P CPT @ | 5 P JAVA @ ")</f>
        <v xml:space="preserve">| 1 L CPT @ | 2 L JAVA @ | 3 P CPT @ | 5 P JAVA @ </v>
      </c>
      <c r="BJ194" s="4" t="str">
        <f ca="1">IFERROR(__xludf.DUMMYFUNCTION("""COMPUTED_VALUE"""),"| 1 L CPT % | 2 L JAVA % | 3 P NS @ | 5 L INE @ ")</f>
        <v xml:space="preserve">| 1 L CPT % | 2 L JAVA % | 3 P NS @ | 5 L INE @ </v>
      </c>
      <c r="BK19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94" s="4" t="str">
        <f ca="1">IFERROR(__xludf.DUMMYFUNCTION("""COMPUTED_VALUE"""),"| 1 L CPT % | 2 L PHP-CGM % | 3 P Python @ | 5 P JAVA @ ")</f>
        <v xml:space="preserve">| 1 L CPT % | 2 L PHP-CGM % | 3 P Python @ | 5 P JAVA @ </v>
      </c>
      <c r="BM194" s="4" t="str">
        <f ca="1">IFERROR(__xludf.DUMMYFUNCTION("""COMPUTED_VALUE"""),"| 1 L NS @ | 2 L PHP-CGM @ | 3 P Python @ ")</f>
        <v xml:space="preserve">| 1 L NS @ | 2 L PHP-CGM @ | 3 P Python @ </v>
      </c>
      <c r="BN194" s="4" t="str">
        <f ca="1">IFERROR(__xludf.DUMMYFUNCTION("""COMPUTED_VALUE"""),"| 2 L JAVA @ | 1 L CPT @ | 3 P CPT @ | 5 P JAVA @ ")</f>
        <v xml:space="preserve">| 2 L JAVA @ | 1 L CPT @ | 3 P CPT @ | 5 P JAVA @ </v>
      </c>
      <c r="BO194" s="4" t="str">
        <f ca="1">IFERROR(__xludf.DUMMYFUNCTION("""COMPUTED_VALUE"""),"| 2 L JAVA @ | 1 L CPT @ | 3 P NS @ | 5 L INE @ ")</f>
        <v xml:space="preserve">| 2 L JAVA @ | 1 L CPT @ | 3 P NS @ | 5 L INE @ </v>
      </c>
      <c r="BP19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94" s="4"/>
      <c r="BR194" s="4"/>
      <c r="BS194" s="4"/>
      <c r="BT194" s="4" t="str">
        <f ca="1">IFERROR(__xludf.DUMMYFUNCTION("""COMPUTED_VALUE"""),"| 1 L NS @ | 2 L PHP-CGM @ | 3 P PRO @ ")</f>
        <v xml:space="preserve">| 1 L NS @ | 2 L PHP-CGM @ | 3 P PRO @ </v>
      </c>
      <c r="BU194" s="4" t="str">
        <f ca="1">IFERROR(__xludf.DUMMYFUNCTION("""COMPUTED_VALUE"""),"| 1 L CPT @ | 3 P Python @ ")</f>
        <v xml:space="preserve">| 1 L CPT @ | 3 P Python @ </v>
      </c>
      <c r="BV194" s="4" t="str">
        <f ca="1">IFERROR(__xludf.DUMMYFUNCTION("""COMPUTED_VALUE"""),"| 1 L NS @ | 2 L PHP-CGM @ | 3 P PRO @ | 6 L JAVA @ ")</f>
        <v xml:space="preserve">| 1 L NS @ | 2 L PHP-CGM @ | 3 P PRO @ | 6 L JAVA @ </v>
      </c>
      <c r="BW194" s="4" t="str">
        <f ca="1">IFERROR(__xludf.DUMMYFUNCTION("""COMPUTED_VALUE"""),"| 1 L CPT @ | 2 L PHP-CGM @ | 3 P Python @ ")</f>
        <v xml:space="preserve">| 1 L CPT @ | 2 L PHP-CGM @ | 3 P Python @ </v>
      </c>
      <c r="BX194" s="4" t="str">
        <f ca="1">IFERROR(__xludf.DUMMYFUNCTION("""COMPUTED_VALUE"""),"| 1 L NS @ | 2 L PHP-CGM @ | 3 P Python @ | 5 P PHP-CGM @ ")</f>
        <v xml:space="preserve">| 1 L NS @ | 2 L PHP-CGM @ | 3 P Python @ | 5 P PHP-CGM @ </v>
      </c>
      <c r="BY194" s="4" t="str">
        <f ca="1">IFERROR(__xludf.DUMMYFUNCTION("""COMPUTED_VALUE"""),"| 1 L CPT @ | 2 L JAVA @ | 3 P CPT @ | 5 P JAVA @ ")</f>
        <v xml:space="preserve">| 1 L CPT @ | 2 L JAVA @ | 3 P CPT @ | 5 P JAVA @ </v>
      </c>
      <c r="BZ194" s="4" t="str">
        <f ca="1">IFERROR(__xludf.DUMMYFUNCTION("""COMPUTED_VALUE"""),"| 1 L CPT @ | 2 L JAVA @ | 3 P NS @ | 5 L INE @ ")</f>
        <v xml:space="preserve">| 1 L CPT @ | 2 L JAVA @ | 3 P NS @ | 5 L INE @ </v>
      </c>
      <c r="CA19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94" s="4" t="str">
        <f ca="1">IFERROR(__xludf.DUMMYFUNCTION("""COMPUTED_VALUE"""),"| 2 L PHP-CGM @ | 3 P Python @ | 5 P JAVA @ | 1 L CPT @ ")</f>
        <v xml:space="preserve">| 2 L PHP-CGM @ | 3 P Python @ | 5 P JAVA @ | 1 L CPT @ </v>
      </c>
      <c r="CC194" s="4" t="str">
        <f ca="1">IFERROR(__xludf.DUMMYFUNCTION("""COMPUTED_VALUE"""),"| 1 L NS @ | 2 L PHP-CGM @ | 3 P Python @ | 5 P PHP-CGM % ")</f>
        <v xml:space="preserve">| 1 L NS @ | 2 L PHP-CGM @ | 3 P Python @ | 5 P PHP-CGM % </v>
      </c>
      <c r="CD194" s="4" t="str">
        <f ca="1">IFERROR(__xludf.DUMMYFUNCTION("""COMPUTED_VALUE"""),"| 1 L CPT @ | 2 L JAVA @ | 3 P CPT @ | 5 P JAVA @ ")</f>
        <v xml:space="preserve">| 1 L CPT @ | 2 L JAVA @ | 3 P CPT @ | 5 P JAVA @ </v>
      </c>
      <c r="CE194" s="4" t="str">
        <f ca="1">IFERROR(__xludf.DUMMYFUNCTION("""COMPUTED_VALUE"""),"| 1 L CPT @ | 2 L JAVA @ | 3 P NS @ | 5 L INE % ")</f>
        <v xml:space="preserve">| 1 L CPT @ | 2 L JAVA @ | 3 P NS @ | 5 L INE % </v>
      </c>
      <c r="CF194" s="4" t="str">
        <f ca="1">IFERROR(__xludf.DUMMYFUNCTION("""COMPUTED_VALUE"""),"| 1 L NS @ | 2 L PHP-CGM @ | 5 L NS @ | 6 L JAVA @ ")</f>
        <v xml:space="preserve">| 1 L NS @ | 2 L PHP-CGM @ | 5 L NS @ | 6 L JAVA @ </v>
      </c>
      <c r="CG194" s="4" t="str">
        <f ca="1">IFERROR(__xludf.DUMMYFUNCTION("""COMPUTED_VALUE"""),"| 1 L CPT @ | 2 L PHP-CGM @ | 3 P Python % | 5 P JAVA % ")</f>
        <v xml:space="preserve">| 1 L CPT @ | 2 L PHP-CGM @ | 3 P Python % | 5 P JAVA % </v>
      </c>
      <c r="CH194" s="4" t="str">
        <f ca="1">IFERROR(__xludf.DUMMYFUNCTION("""COMPUTED_VALUE"""),"| 1 L NS @ | 2 L PHP-CGM @ | 3 P Python % | 5 P PHP-CGM % ")</f>
        <v xml:space="preserve">| 1 L NS @ | 2 L PHP-CGM @ | 3 P Python % | 5 P PHP-CGM % </v>
      </c>
      <c r="CI194" s="4" t="str">
        <f ca="1">IFERROR(__xludf.DUMMYFUNCTION("""COMPUTED_VALUE"""),"| 1 L CPT @ | 2 L JAVA @ ")</f>
        <v xml:space="preserve">| 1 L CPT @ | 2 L JAVA @ </v>
      </c>
      <c r="CJ194" s="4" t="str">
        <f ca="1">IFERROR(__xludf.DUMMYFUNCTION("""COMPUTED_VALUE"""),"| 1 L CPT @ | 3 P NS % ")</f>
        <v xml:space="preserve">| 1 L CPT @ | 3 P NS % </v>
      </c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</row>
    <row r="195" spans="1:102" ht="12.5" x14ac:dyDescent="0.25">
      <c r="A195" s="3">
        <f ca="1">IFERROR(__xludf.DUMMYFUNCTION("""COMPUTED_VALUE"""),2)</f>
        <v>2</v>
      </c>
      <c r="B195" s="3" t="str">
        <f ca="1">IFERROR(__xludf.DUMMYFUNCTION("""COMPUTED_VALUE"""),"C")</f>
        <v>C</v>
      </c>
      <c r="C195" s="32" t="str">
        <f ca="1">IFERROR(__xludf.DUMMYFUNCTION("""COMPUTED_VALUE"""),"23171341077")</f>
        <v>23171341077</v>
      </c>
      <c r="D195" s="4" t="str">
        <f ca="1">IFERROR(__xludf.DUMMYFUNCTION("""COMPUTED_VALUE"""),"PATEL DAKSH MAHENDRAKUMAR")</f>
        <v>PATEL DAKSH MAHENDRAKUMAR</v>
      </c>
      <c r="E195" s="3" t="str">
        <f ca="1">IFERROR(__xludf.DUMMYFUNCTION("""COMPUTED_VALUE"""),"PKN/PAP-Mor")</f>
        <v>PKN/PAP-Mor</v>
      </c>
      <c r="F195" s="3">
        <f ca="1">IFERROR(__xludf.DUMMYFUNCTION("""COMPUTED_VALUE"""),9979935010)</f>
        <v>9979935010</v>
      </c>
      <c r="G195" s="3">
        <f ca="1">IFERROR(__xludf.DUMMYFUNCTION("""COMPUTED_VALUE"""),9925479711)</f>
        <v>9925479711</v>
      </c>
      <c r="H195" s="33">
        <f ca="1">IFERROR(__xludf.DUMMYFUNCTION("""COMPUTED_VALUE"""),0.524390243902439)</f>
        <v>0.52439024390243905</v>
      </c>
      <c r="I195" s="25">
        <f ca="1">IFERROR(__xludf.DUMMYFUNCTION("""COMPUTED_VALUE"""),0.631578947368421)</f>
        <v>0.63157894736842102</v>
      </c>
      <c r="J195" s="25">
        <f ca="1">IFERROR(__xludf.DUMMYFUNCTION("""COMPUTED_VALUE"""),0.5)</f>
        <v>0.5</v>
      </c>
      <c r="K195" s="25">
        <f ca="1">IFERROR(__xludf.DUMMYFUNCTION("""COMPUTED_VALUE"""),0.555555555555555)</f>
        <v>0.55555555555555503</v>
      </c>
      <c r="L195" s="25">
        <f ca="1">IFERROR(__xludf.DUMMYFUNCTION("""COMPUTED_VALUE"""),0.5)</f>
        <v>0.5</v>
      </c>
      <c r="M195" s="25">
        <f ca="1">IFERROR(__xludf.DUMMYFUNCTION("""COMPUTED_VALUE"""),0.666666666666666)</f>
        <v>0.66666666666666596</v>
      </c>
      <c r="N195" s="25">
        <f ca="1">IFERROR(__xludf.DUMMYFUNCTION("""COMPUTED_VALUE"""),0.6)</f>
        <v>0.6</v>
      </c>
      <c r="O195" s="25">
        <f ca="1">IFERROR(__xludf.DUMMYFUNCTION("""COMPUTED_VALUE"""),0.542857142857142)</f>
        <v>0.54285714285714204</v>
      </c>
      <c r="P195" s="25">
        <f ca="1">IFERROR(__xludf.DUMMYFUNCTION("""COMPUTED_VALUE"""),0.260869565217391)</f>
        <v>0.26086956521739102</v>
      </c>
      <c r="Q195" s="25">
        <f ca="1">IFERROR(__xludf.DUMMYFUNCTION("""COMPUTED_VALUE"""),0)</f>
        <v>0</v>
      </c>
      <c r="R195" s="25">
        <f ca="1">IFERROR(__xludf.DUMMYFUNCTION("""COMPUTED_VALUE"""),0.458333333333333)</f>
        <v>0.45833333333333298</v>
      </c>
      <c r="S195" s="25">
        <f ca="1">IFERROR(__xludf.DUMMYFUNCTION("""COMPUTED_VALUE"""),0)</f>
        <v>0</v>
      </c>
      <c r="T195" s="25">
        <f ca="1">IFERROR(__xludf.DUMMYFUNCTION("""COMPUTED_VALUE"""),0.5)</f>
        <v>0.5</v>
      </c>
      <c r="U195" s="25">
        <f ca="1">IFERROR(__xludf.DUMMYFUNCTION("""COMPUTED_VALUE"""),0.125)</f>
        <v>0.125</v>
      </c>
      <c r="V195" s="25">
        <f ca="1">IFERROR(__xludf.DUMMYFUNCTION("""COMPUTED_VALUE"""),0)</f>
        <v>0</v>
      </c>
      <c r="W195" s="4"/>
      <c r="X195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Y195" s="4" t="str">
        <f ca="1">IFERROR(__xludf.DUMMYFUNCTION("""COMPUTED_VALUE"""),"| 1 L CPT % | 5 L PHP-CGM % | 3 P Python % | 5 P JAVA @ ")</f>
        <v xml:space="preserve">| 1 L CPT % | 5 L PHP-CGM % | 3 P Python % | 5 P JAVA @ </v>
      </c>
      <c r="Z195" s="4" t="str">
        <f ca="1">IFERROR(__xludf.DUMMYFUNCTION("""COMPUTED_VALUE"""),"| 1 L CPT % | 2 L PHP-CGM % | 3 P Python % | 5 P PHP-CGM @ ")</f>
        <v xml:space="preserve">| 1 L CPT % | 2 L PHP-CGM % | 3 P Python % | 5 P PHP-CGM @ </v>
      </c>
      <c r="AA195" s="4" t="str">
        <f ca="1">IFERROR(__xludf.DUMMYFUNCTION("""COMPUTED_VALUE"""),"| 1 L NS % | 2 L JAVA % | 3 P CPT % | 5 P JAVA @ ")</f>
        <v xml:space="preserve">| 1 L NS % | 2 L JAVA % | 3 P CPT % | 5 P JAVA @ </v>
      </c>
      <c r="AB195" s="4" t="str">
        <f ca="1">IFERROR(__xludf.DUMMYFUNCTION("""COMPUTED_VALUE"""),"| 1 L CPT % | 2 L JAVA % | 3 P NS % ")</f>
        <v xml:space="preserve">| 1 L CPT % | 2 L JAVA % | 3 P NS % </v>
      </c>
      <c r="AC19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95" s="4" t="str">
        <f ca="1">IFERROR(__xludf.DUMMYFUNCTION("""COMPUTED_VALUE"""),"| 1 L CPT @ | 2 L PHP-CGM @ | 3 P Python @ | 5 P JAVA @ ")</f>
        <v xml:space="preserve">| 1 L CPT @ | 2 L PHP-CGM @ | 3 P Python @ | 5 P JAVA @ </v>
      </c>
      <c r="AE195" s="4" t="str">
        <f ca="1">IFERROR(__xludf.DUMMYFUNCTION("""COMPUTED_VALUE"""),"| 1 L CPT % | 3 P Python % | 5 P PHP-CGM % | 2 L PHP-CGM % ")</f>
        <v xml:space="preserve">| 1 L CPT % | 3 P Python % | 5 P PHP-CGM % | 2 L PHP-CGM % </v>
      </c>
      <c r="AF195" s="4" t="str">
        <f ca="1">IFERROR(__xludf.DUMMYFUNCTION("""COMPUTED_VALUE"""),"| 1 L NS % | 2 L CPT % | 3 P CPT % | 5 P JAVA % ")</f>
        <v xml:space="preserve">| 1 L NS % | 2 L CPT % | 3 P CPT % | 5 P JAVA % </v>
      </c>
      <c r="AG195" s="4" t="str">
        <f ca="1">IFERROR(__xludf.DUMMYFUNCTION("""COMPUTED_VALUE"""),"| 1 L CPT % | 2 L JAVA % | 3 P NS % ")</f>
        <v xml:space="preserve">| 1 L CPT % | 2 L JAVA % | 3 P NS % </v>
      </c>
      <c r="AH195" s="4" t="str">
        <f ca="1">IFERROR(__xludf.DUMMYFUNCTION("""COMPUTED_VALUE"""),"| 2 L JAVA % | 1 L NS % | 3 P CPT % | 5 P JAVA @ ")</f>
        <v xml:space="preserve">| 2 L JAVA % | 1 L NS % | 3 P CPT % | 5 P JAVA @ </v>
      </c>
      <c r="AI195" s="4" t="str">
        <f ca="1">IFERROR(__xludf.DUMMYFUNCTION("""COMPUTED_VALUE"""),"| 1 L CPT % | 2 L JAVA % | 3 P NS % ")</f>
        <v xml:space="preserve">| 1 L CPT % | 2 L JAVA % | 3 P NS % </v>
      </c>
      <c r="AJ19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95" s="4" t="str">
        <f ca="1">IFERROR(__xludf.DUMMYFUNCTION("""COMPUTED_VALUE"""),"| 1 L CPT % | 3 P Python % | 2 L PHP-CGM % | 5 P JAVA @ ")</f>
        <v xml:space="preserve">| 1 L CPT % | 3 P Python % | 2 L PHP-CGM % | 5 P JAVA @ </v>
      </c>
      <c r="AL195" s="4" t="str">
        <f ca="1">IFERROR(__xludf.DUMMYFUNCTION("""COMPUTED_VALUE"""),"| 1 L CPT % | 2 L PHP-CGM % | 3 P Python % | 5 P PHP-CGM % ")</f>
        <v xml:space="preserve">| 1 L CPT % | 2 L PHP-CGM % | 3 P Python % | 5 P PHP-CGM % </v>
      </c>
      <c r="AM195" s="4" t="str">
        <f ca="1">IFERROR(__xludf.DUMMYFUNCTION("""COMPUTED_VALUE"""),"| 2 L JAVA % | 3 P CPT % | 5 P JAVA @ | 1 L NS % ")</f>
        <v xml:space="preserve">| 2 L JAVA % | 3 P CPT % | 5 P JAVA @ | 1 L NS % </v>
      </c>
      <c r="AN195" s="4" t="str">
        <f ca="1">IFERROR(__xludf.DUMMYFUNCTION("""COMPUTED_VALUE"""),"| 1 L CPT % | 2 L JAVA % | 3 P NS % | 5 L INE @ ")</f>
        <v xml:space="preserve">| 1 L CPT % | 2 L JAVA % | 3 P NS % | 5 L INE @ </v>
      </c>
      <c r="AO19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95" s="4" t="str">
        <f ca="1">IFERROR(__xludf.DUMMYFUNCTION("""COMPUTED_VALUE"""),"| 1 L CPT % | 2 L PHP-CGM % | 3 P Python % | 5 P JAVA % ")</f>
        <v xml:space="preserve">| 1 L CPT % | 2 L PHP-CGM % | 3 P Python % | 5 P JAVA % </v>
      </c>
      <c r="AQ195" s="4" t="str">
        <f ca="1">IFERROR(__xludf.DUMMYFUNCTION("""COMPUTED_VALUE"""),"| 2 L PHP-CGM % | 3 P Python @ | 5 P PHP-CGM @ | 1 L NS % ")</f>
        <v xml:space="preserve">| 2 L PHP-CGM % | 3 P Python @ | 5 P PHP-CGM @ | 1 L NS % </v>
      </c>
      <c r="AR195" s="4" t="str">
        <f ca="1">IFERROR(__xludf.DUMMYFUNCTION("""COMPUTED_VALUE"""),"| 1 L CPT % | 2 L JAVA % | 3 P CPT @ | 5 P JAVA @ ")</f>
        <v xml:space="preserve">| 1 L CPT % | 2 L JAVA % | 3 P CPT @ | 5 P JAVA @ </v>
      </c>
      <c r="AS195" s="4" t="str">
        <f ca="1">IFERROR(__xludf.DUMMYFUNCTION("""COMPUTED_VALUE"""),"| 1 L NS % | 2 L PHP-CGM % | 3 P PRO % | 5 L NS % | 6 L JAVA @ ")</f>
        <v xml:space="preserve">| 1 L NS % | 2 L PHP-CGM % | 3 P PRO % | 5 L NS % | 6 L JAVA @ </v>
      </c>
      <c r="AT195" s="4" t="str">
        <f ca="1">IFERROR(__xludf.DUMMYFUNCTION("""COMPUTED_VALUE"""),"| 1 L CPT % | 2 L PHP-CGM % | 3 P Python % | 5 P JAVA % ")</f>
        <v xml:space="preserve">| 1 L CPT % | 2 L PHP-CGM % | 3 P Python % | 5 P JAVA % </v>
      </c>
      <c r="AU195" s="4" t="str">
        <f ca="1">IFERROR(__xludf.DUMMYFUNCTION("""COMPUTED_VALUE"""),"| 1 L NS % | 2 L PHP-CGM % | 3 P Python @ | 5 P PHP-CGM % ")</f>
        <v xml:space="preserve">| 1 L NS % | 2 L PHP-CGM % | 3 P Python @ | 5 P PHP-CGM % </v>
      </c>
      <c r="AV195" s="4" t="str">
        <f ca="1">IFERROR(__xludf.DUMMYFUNCTION("""COMPUTED_VALUE"""),"| 1 L CPT % | 2 L JAVA % | 5 P JAVA % | 3 P CPT % ")</f>
        <v xml:space="preserve">| 1 L CPT % | 2 L JAVA % | 5 P JAVA % | 3 P CPT % </v>
      </c>
      <c r="AW195" s="4" t="str">
        <f ca="1">IFERROR(__xludf.DUMMYFUNCTION("""COMPUTED_VALUE"""),"| 1 L CPT % | 2 L JAVA % | 3 P NS % | 5 L INE @ | 6 L INE @ ")</f>
        <v xml:space="preserve">| 1 L CPT % | 2 L JAVA % | 3 P NS % | 5 L INE @ | 6 L INE @ </v>
      </c>
      <c r="AX19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195" s="4" t="str">
        <f ca="1">IFERROR(__xludf.DUMMYFUNCTION("""COMPUTED_VALUE"""),"| 1 L CPT % | 2 L PHP-CGM % | 3 P Python @ | 5 P JAVA @ ")</f>
        <v xml:space="preserve">| 1 L CPT % | 2 L PHP-CGM % | 3 P Python @ | 5 P JAVA @ </v>
      </c>
      <c r="AZ195" s="4" t="str">
        <f ca="1">IFERROR(__xludf.DUMMYFUNCTION("""COMPUTED_VALUE"""),"| 1 L CPT % | 2 L JAVA % | 3 P CPT @ | 5 P JAVA @ ")</f>
        <v xml:space="preserve">| 1 L CPT % | 2 L JAVA % | 3 P CPT @ | 5 P JAVA @ </v>
      </c>
      <c r="BA195" s="4" t="str">
        <f ca="1">IFERROR(__xludf.DUMMYFUNCTION("""COMPUTED_VALUE"""),"| 1 L CPT @ | 2 L JAVA @ | 3 P NS @ | 5 L INE @ ")</f>
        <v xml:space="preserve">| 1 L CPT @ | 2 L JAVA @ | 3 P NS @ | 5 L INE @ </v>
      </c>
      <c r="BB195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C195" s="4" t="str">
        <f ca="1">IFERROR(__xludf.DUMMYFUNCTION("""COMPUTED_VALUE"""),"| 1 L CPT % | 2 L PHP-CGM % | 3 P Python % | 5 P JAVA % ")</f>
        <v xml:space="preserve">| 1 L CPT % | 2 L PHP-CGM % | 3 P Python % | 5 P JAVA % </v>
      </c>
      <c r="BD195" s="4" t="str">
        <f ca="1">IFERROR(__xludf.DUMMYFUNCTION("""COMPUTED_VALUE"""),"| 1 L NS % | 2 L PHP-CGM % | 3 P Python @ | 5 P PHP-CGM % ")</f>
        <v xml:space="preserve">| 1 L NS % | 2 L PHP-CGM % | 3 P Python @ | 5 P PHP-CGM % </v>
      </c>
      <c r="BE195" s="4" t="str">
        <f ca="1">IFERROR(__xludf.DUMMYFUNCTION("""COMPUTED_VALUE"""),"| 1 L CPT % | 2 L JAVA % | 3 P CPT @ | 5 P JAVA @ ")</f>
        <v xml:space="preserve">| 1 L CPT % | 2 L JAVA % | 3 P CPT @ | 5 P JAVA @ </v>
      </c>
      <c r="BF195" s="4" t="str">
        <f ca="1">IFERROR(__xludf.DUMMYFUNCTION("""COMPUTED_VALUE"""),"| 1 L CPT % | 2 L JAVA % | 3 P NS @ ")</f>
        <v xml:space="preserve">| 1 L CPT % | 2 L JAVA % | 3 P NS @ </v>
      </c>
      <c r="BG195" s="4" t="str">
        <f ca="1">IFERROR(__xludf.DUMMYFUNCTION("""COMPUTED_VALUE"""),"| 2 L PHP-CGM % | 1 L CPT % | 3 P Python % | 5 P JAVA @ ")</f>
        <v xml:space="preserve">| 2 L PHP-CGM % | 1 L CPT % | 3 P Python % | 5 P JAVA @ </v>
      </c>
      <c r="BH195" s="4" t="str">
        <f ca="1">IFERROR(__xludf.DUMMYFUNCTION("""COMPUTED_VALUE"""),"| 1 L NS @ | 2 L PHP-CGM % | 3 P Python @ | 5 P PHP-CGM % ")</f>
        <v xml:space="preserve">| 1 L NS @ | 2 L PHP-CGM % | 3 P Python @ | 5 P PHP-CGM % </v>
      </c>
      <c r="BI195" s="4" t="str">
        <f ca="1">IFERROR(__xludf.DUMMYFUNCTION("""COMPUTED_VALUE"""),"| 1 L CPT % | 2 L JAVA % | 3 P CPT % | 5 P JAVA @ ")</f>
        <v xml:space="preserve">| 1 L CPT % | 2 L JAVA % | 3 P CPT % | 5 P JAVA @ </v>
      </c>
      <c r="BJ195" s="4" t="str">
        <f ca="1">IFERROR(__xludf.DUMMYFUNCTION("""COMPUTED_VALUE"""),"| 1 L CPT % | 2 L JAVA % | 3 P NS @ | 5 L INE @ ")</f>
        <v xml:space="preserve">| 1 L CPT % | 2 L JAVA % | 3 P NS @ | 5 L INE @ </v>
      </c>
      <c r="BK195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L195" s="4" t="str">
        <f ca="1">IFERROR(__xludf.DUMMYFUNCTION("""COMPUTED_VALUE"""),"| 1 L CPT @ | 2 L PHP-CGM @ | 3 P Python @ | 5 P JAVA @ ")</f>
        <v xml:space="preserve">| 1 L CPT @ | 2 L PHP-CGM @ | 3 P Python @ | 5 P JAVA @ </v>
      </c>
      <c r="BM195" s="4" t="str">
        <f ca="1">IFERROR(__xludf.DUMMYFUNCTION("""COMPUTED_VALUE"""),"| 1 L NS @ | 2 L PHP-CGM @ | 3 P Python @ ")</f>
        <v xml:space="preserve">| 1 L NS @ | 2 L PHP-CGM @ | 3 P Python @ </v>
      </c>
      <c r="BN195" s="4" t="str">
        <f ca="1">IFERROR(__xludf.DUMMYFUNCTION("""COMPUTED_VALUE"""),"| 2 L JAVA @ | 1 L CPT @ | 3 P CPT @ | 5 P JAVA @ ")</f>
        <v xml:space="preserve">| 2 L JAVA @ | 1 L CPT @ | 3 P CPT @ | 5 P JAVA @ </v>
      </c>
      <c r="BO195" s="4" t="str">
        <f ca="1">IFERROR(__xludf.DUMMYFUNCTION("""COMPUTED_VALUE"""),"| 2 L JAVA @ | 1 L CPT @ | 3 P NS @ | 5 L INE @ ")</f>
        <v xml:space="preserve">| 2 L JAVA @ | 1 L CPT @ | 3 P NS @ | 5 L INE @ </v>
      </c>
      <c r="BP195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195" s="4"/>
      <c r="BR195" s="4"/>
      <c r="BS195" s="4"/>
      <c r="BT195" s="4" t="str">
        <f ca="1">IFERROR(__xludf.DUMMYFUNCTION("""COMPUTED_VALUE"""),"| 1 L NS @ | 2 L PHP-CGM @ | 3 P PRO @ ")</f>
        <v xml:space="preserve">| 1 L NS @ | 2 L PHP-CGM @ | 3 P PRO @ </v>
      </c>
      <c r="BU195" s="4" t="str">
        <f ca="1">IFERROR(__xludf.DUMMYFUNCTION("""COMPUTED_VALUE"""),"| 1 L CPT @ | 3 P Python @ ")</f>
        <v xml:space="preserve">| 1 L CPT @ | 3 P Python @ </v>
      </c>
      <c r="BV195" s="4" t="str">
        <f ca="1">IFERROR(__xludf.DUMMYFUNCTION("""COMPUTED_VALUE"""),"| 1 L NS @ | 2 L PHP-CGM % | 3 P PRO @ | 6 L JAVA @ ")</f>
        <v xml:space="preserve">| 1 L NS @ | 2 L PHP-CGM % | 3 P PRO @ | 6 L JAVA @ </v>
      </c>
      <c r="BW195" s="4" t="str">
        <f ca="1">IFERROR(__xludf.DUMMYFUNCTION("""COMPUTED_VALUE"""),"| 1 L CPT % | 2 L PHP-CGM % | 3 P Python @ ")</f>
        <v xml:space="preserve">| 1 L CPT % | 2 L PHP-CGM % | 3 P Python @ </v>
      </c>
      <c r="BX195" s="4" t="str">
        <f ca="1">IFERROR(__xludf.DUMMYFUNCTION("""COMPUTED_VALUE"""),"| 1 L NS @ | 2 L PHP-CGM @ | 3 P Python @ | 5 P PHP-CGM @ ")</f>
        <v xml:space="preserve">| 1 L NS @ | 2 L PHP-CGM @ | 3 P Python @ | 5 P PHP-CGM @ </v>
      </c>
      <c r="BY195" s="4" t="str">
        <f ca="1">IFERROR(__xludf.DUMMYFUNCTION("""COMPUTED_VALUE"""),"| 1 L CPT @ | 2 L JAVA @ | 3 P CPT @ | 5 P JAVA @ ")</f>
        <v xml:space="preserve">| 1 L CPT @ | 2 L JAVA @ | 3 P CPT @ | 5 P JAVA @ </v>
      </c>
      <c r="BZ195" s="4" t="str">
        <f ca="1">IFERROR(__xludf.DUMMYFUNCTION("""COMPUTED_VALUE"""),"| 1 L CPT @ | 2 L JAVA @ | 3 P NS @ | 5 L INE @ ")</f>
        <v xml:space="preserve">| 1 L CPT @ | 2 L JAVA @ | 3 P NS @ | 5 L INE @ </v>
      </c>
      <c r="CA195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195" s="4" t="str">
        <f ca="1">IFERROR(__xludf.DUMMYFUNCTION("""COMPUTED_VALUE"""),"| 2 L PHP-CGM @ | 3 P Python @ | 5 P JAVA @ | 1 L CPT @ ")</f>
        <v xml:space="preserve">| 2 L PHP-CGM @ | 3 P Python @ | 5 P JAVA @ | 1 L CPT @ </v>
      </c>
      <c r="CC195" s="4" t="str">
        <f ca="1">IFERROR(__xludf.DUMMYFUNCTION("""COMPUTED_VALUE"""),"| 1 L NS @ | 2 L PHP-CGM @ | 3 P Python @ | 5 P PHP-CGM @ ")</f>
        <v xml:space="preserve">| 1 L NS @ | 2 L PHP-CGM @ | 3 P Python @ | 5 P PHP-CGM @ </v>
      </c>
      <c r="CD195" s="4" t="str">
        <f ca="1">IFERROR(__xludf.DUMMYFUNCTION("""COMPUTED_VALUE"""),"| 1 L CPT @ | 2 L JAVA @ | 3 P CPT @ | 5 P JAVA @ ")</f>
        <v xml:space="preserve">| 1 L CPT @ | 2 L JAVA @ | 3 P CPT @ | 5 P JAVA @ </v>
      </c>
      <c r="CE195" s="4" t="str">
        <f ca="1">IFERROR(__xludf.DUMMYFUNCTION("""COMPUTED_VALUE"""),"| 1 L CPT @ | 2 L JAVA @ | 3 P NS @ | 5 L INE % ")</f>
        <v xml:space="preserve">| 1 L CPT @ | 2 L JAVA @ | 3 P NS @ | 5 L INE % </v>
      </c>
      <c r="CF195" s="4" t="str">
        <f ca="1">IFERROR(__xludf.DUMMYFUNCTION("""COMPUTED_VALUE"""),"| 1 L NS @ | 2 L PHP-CGM @ | 5 L NS @ | 6 L JAVA @ ")</f>
        <v xml:space="preserve">| 1 L NS @ | 2 L PHP-CGM @ | 5 L NS @ | 6 L JAVA @ </v>
      </c>
      <c r="CG195" s="4" t="str">
        <f ca="1">IFERROR(__xludf.DUMMYFUNCTION("""COMPUTED_VALUE"""),"| 1 L CPT @ | 2 L PHP-CGM @ | 3 P Python % | 5 P JAVA % ")</f>
        <v xml:space="preserve">| 1 L CPT @ | 2 L PHP-CGM @ | 3 P Python % | 5 P JAVA % </v>
      </c>
      <c r="CH195" s="4" t="str">
        <f ca="1">IFERROR(__xludf.DUMMYFUNCTION("""COMPUTED_VALUE"""),"| 1 L NS @ | 2 L PHP-CGM @ | 3 P Python % | 5 P PHP-CGM % ")</f>
        <v xml:space="preserve">| 1 L NS @ | 2 L PHP-CGM @ | 3 P Python % | 5 P PHP-CGM % </v>
      </c>
      <c r="CI195" s="4" t="str">
        <f ca="1">IFERROR(__xludf.DUMMYFUNCTION("""COMPUTED_VALUE"""),"| 1 L CPT @ | 2 L JAVA @ ")</f>
        <v xml:space="preserve">| 1 L CPT @ | 2 L JAVA @ </v>
      </c>
      <c r="CJ195" s="4" t="str">
        <f ca="1">IFERROR(__xludf.DUMMYFUNCTION("""COMPUTED_VALUE"""),"| 1 L CPT @ | 3 P NS % ")</f>
        <v xml:space="preserve">| 1 L CPT @ | 3 P NS % </v>
      </c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</row>
    <row r="196" spans="1:102" ht="12.5" x14ac:dyDescent="0.25">
      <c r="A196" s="3">
        <f ca="1">IFERROR(__xludf.DUMMYFUNCTION("""COMPUTED_VALUE"""),2)</f>
        <v>2</v>
      </c>
      <c r="B196" s="3" t="str">
        <f ca="1">IFERROR(__xludf.DUMMYFUNCTION("""COMPUTED_VALUE"""),"C")</f>
        <v>C</v>
      </c>
      <c r="C196" s="32" t="str">
        <f ca="1">IFERROR(__xludf.DUMMYFUNCTION("""COMPUTED_VALUE"""),"23171341078")</f>
        <v>23171341078</v>
      </c>
      <c r="D196" s="4" t="str">
        <f ca="1">IFERROR(__xludf.DUMMYFUNCTION("""COMPUTED_VALUE"""),"PATEL DEEP RAMESHBHAI")</f>
        <v>PATEL DEEP RAMESHBHAI</v>
      </c>
      <c r="E196" s="3" t="str">
        <f ca="1">IFERROR(__xludf.DUMMYFUNCTION("""COMPUTED_VALUE"""),"PKN/PAP-Mor")</f>
        <v>PKN/PAP-Mor</v>
      </c>
      <c r="F196" s="3">
        <f ca="1">IFERROR(__xludf.DUMMYFUNCTION("""COMPUTED_VALUE"""),9824056070)</f>
        <v>9824056070</v>
      </c>
      <c r="G196" s="3">
        <f ca="1">IFERROR(__xludf.DUMMYFUNCTION("""COMPUTED_VALUE"""),9426238424)</f>
        <v>9426238424</v>
      </c>
      <c r="H196" s="33">
        <f ca="1">IFERROR(__xludf.DUMMYFUNCTION("""COMPUTED_VALUE"""),0.74390243902439)</f>
        <v>0.74390243902439002</v>
      </c>
      <c r="I196" s="25">
        <f ca="1">IFERROR(__xludf.DUMMYFUNCTION("""COMPUTED_VALUE"""),0.710526315789473)</f>
        <v>0.71052631578947301</v>
      </c>
      <c r="J196" s="25">
        <f ca="1">IFERROR(__xludf.DUMMYFUNCTION("""COMPUTED_VALUE"""),0.5)</f>
        <v>0.5</v>
      </c>
      <c r="K196" s="25">
        <f ca="1">IFERROR(__xludf.DUMMYFUNCTION("""COMPUTED_VALUE"""),0.805555555555555)</f>
        <v>0.80555555555555503</v>
      </c>
      <c r="L196" s="25">
        <f ca="1">IFERROR(__xludf.DUMMYFUNCTION("""COMPUTED_VALUE"""),0.666666666666666)</f>
        <v>0.66666666666666596</v>
      </c>
      <c r="M196" s="25">
        <f ca="1">IFERROR(__xludf.DUMMYFUNCTION("""COMPUTED_VALUE"""),0.888888888888888)</f>
        <v>0.88888888888888795</v>
      </c>
      <c r="N196" s="25">
        <f ca="1">IFERROR(__xludf.DUMMYFUNCTION("""COMPUTED_VALUE"""),0.9)</f>
        <v>0.9</v>
      </c>
      <c r="O196" s="25">
        <f ca="1">IFERROR(__xludf.DUMMYFUNCTION("""COMPUTED_VALUE"""),0.6)</f>
        <v>0.6</v>
      </c>
      <c r="P196" s="25">
        <f ca="1">IFERROR(__xludf.DUMMYFUNCTION("""COMPUTED_VALUE"""),0.739130434782608)</f>
        <v>0.73913043478260798</v>
      </c>
      <c r="Q196" s="25">
        <f ca="1">IFERROR(__xludf.DUMMYFUNCTION("""COMPUTED_VALUE"""),0)</f>
        <v>0</v>
      </c>
      <c r="R196" s="25">
        <f ca="1">IFERROR(__xludf.DUMMYFUNCTION("""COMPUTED_VALUE"""),0.875)</f>
        <v>0.875</v>
      </c>
      <c r="S196" s="25">
        <f ca="1">IFERROR(__xludf.DUMMYFUNCTION("""COMPUTED_VALUE"""),0)</f>
        <v>0</v>
      </c>
      <c r="T196" s="25">
        <f ca="1">IFERROR(__xludf.DUMMYFUNCTION("""COMPUTED_VALUE"""),0.833333333333333)</f>
        <v>0.83333333333333304</v>
      </c>
      <c r="U196" s="25">
        <f ca="1">IFERROR(__xludf.DUMMYFUNCTION("""COMPUTED_VALUE"""),0.375)</f>
        <v>0.375</v>
      </c>
      <c r="V196" s="25">
        <f ca="1">IFERROR(__xludf.DUMMYFUNCTION("""COMPUTED_VALUE"""),0)</f>
        <v>0</v>
      </c>
      <c r="W196" s="4"/>
      <c r="X19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196" s="4" t="str">
        <f ca="1">IFERROR(__xludf.DUMMYFUNCTION("""COMPUTED_VALUE"""),"| 1 L CPT % | 5 L PHP-CGM % | 3 P Python % | 5 P JAVA % ")</f>
        <v xml:space="preserve">| 1 L CPT % | 5 L PHP-CGM % | 3 P Python % | 5 P JAVA % </v>
      </c>
      <c r="Z196" s="4" t="str">
        <f ca="1">IFERROR(__xludf.DUMMYFUNCTION("""COMPUTED_VALUE"""),"| 1 L CPT % | 2 L PHP-CGM % | 3 P Python % | 5 P PHP-CGM % ")</f>
        <v xml:space="preserve">| 1 L CPT % | 2 L PHP-CGM % | 3 P Python % | 5 P PHP-CGM % </v>
      </c>
      <c r="AA196" s="4" t="str">
        <f ca="1">IFERROR(__xludf.DUMMYFUNCTION("""COMPUTED_VALUE"""),"| 1 L NS % | 2 L JAVA % | 3 P CPT % | 5 P JAVA % ")</f>
        <v xml:space="preserve">| 1 L NS % | 2 L JAVA % | 3 P CPT % | 5 P JAVA % </v>
      </c>
      <c r="AB196" s="4" t="str">
        <f ca="1">IFERROR(__xludf.DUMMYFUNCTION("""COMPUTED_VALUE"""),"| 1 L CPT % | 2 L JAVA % | 3 P NS % ")</f>
        <v xml:space="preserve">| 1 L CPT % | 2 L JAVA % | 3 P NS % </v>
      </c>
      <c r="AC19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96" s="4" t="str">
        <f ca="1">IFERROR(__xludf.DUMMYFUNCTION("""COMPUTED_VALUE"""),"| 1 L CPT % | 2 L PHP-CGM % | 3 P Python % | 5 P JAVA % ")</f>
        <v xml:space="preserve">| 1 L CPT % | 2 L PHP-CGM % | 3 P Python % | 5 P JAVA % </v>
      </c>
      <c r="AE196" s="4" t="str">
        <f ca="1">IFERROR(__xludf.DUMMYFUNCTION("""COMPUTED_VALUE"""),"| 1 L CPT % | 3 P Python % | 5 P PHP-CGM % | 2 L PHP-CGM % ")</f>
        <v xml:space="preserve">| 1 L CPT % | 3 P Python % | 5 P PHP-CGM % | 2 L PHP-CGM % </v>
      </c>
      <c r="AF196" s="4" t="str">
        <f ca="1">IFERROR(__xludf.DUMMYFUNCTION("""COMPUTED_VALUE"""),"| 1 L NS % | 2 L CPT % | 3 P CPT % | 5 P JAVA % ")</f>
        <v xml:space="preserve">| 1 L NS % | 2 L CPT % | 3 P CPT % | 5 P JAVA % </v>
      </c>
      <c r="AG196" s="4" t="str">
        <f ca="1">IFERROR(__xludf.DUMMYFUNCTION("""COMPUTED_VALUE"""),"| 1 L CPT % | 2 L JAVA % | 3 P NS % ")</f>
        <v xml:space="preserve">| 1 L CPT % | 2 L JAVA % | 3 P NS % </v>
      </c>
      <c r="AH196" s="4" t="str">
        <f ca="1">IFERROR(__xludf.DUMMYFUNCTION("""COMPUTED_VALUE"""),"| 2 L JAVA % | 1 L NS % | 3 P CPT % | 5 P JAVA % ")</f>
        <v xml:space="preserve">| 2 L JAVA % | 1 L NS % | 3 P CPT % | 5 P JAVA % </v>
      </c>
      <c r="AI196" s="4" t="str">
        <f ca="1">IFERROR(__xludf.DUMMYFUNCTION("""COMPUTED_VALUE"""),"| 1 L CPT % | 2 L JAVA % | 3 P NS % ")</f>
        <v xml:space="preserve">| 1 L CPT % | 2 L JAVA % | 3 P NS % </v>
      </c>
      <c r="AJ19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96" s="4" t="str">
        <f ca="1">IFERROR(__xludf.DUMMYFUNCTION("""COMPUTED_VALUE"""),"| 1 L CPT % | 3 P Python % | 2 L PHP-CGM % | 5 P JAVA % ")</f>
        <v xml:space="preserve">| 1 L CPT % | 3 P Python % | 2 L PHP-CGM % | 5 P JAVA % </v>
      </c>
      <c r="AL196" s="4" t="str">
        <f ca="1">IFERROR(__xludf.DUMMYFUNCTION("""COMPUTED_VALUE"""),"| 1 L CPT % | 2 L PHP-CGM % | 3 P Python % | 5 P PHP-CGM % ")</f>
        <v xml:space="preserve">| 1 L CPT % | 2 L PHP-CGM % | 3 P Python % | 5 P PHP-CGM % </v>
      </c>
      <c r="AM196" s="4" t="str">
        <f ca="1">IFERROR(__xludf.DUMMYFUNCTION("""COMPUTED_VALUE"""),"| 2 L JAVA @ | 3 P CPT @ | 5 P JAVA @ | 1 L NS @ ")</f>
        <v xml:space="preserve">| 2 L JAVA @ | 3 P CPT @ | 5 P JAVA @ | 1 L NS @ </v>
      </c>
      <c r="AN196" s="4" t="str">
        <f ca="1">IFERROR(__xludf.DUMMYFUNCTION("""COMPUTED_VALUE"""),"| 1 L CPT % | 2 L JAVA % | 3 P NS % | 5 L INE % ")</f>
        <v xml:space="preserve">| 1 L CPT % | 2 L JAVA % | 3 P NS % | 5 L INE % </v>
      </c>
      <c r="AO196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96" s="4" t="str">
        <f ca="1">IFERROR(__xludf.DUMMYFUNCTION("""COMPUTED_VALUE"""),"| 1 L CPT % | 2 L PHP-CGM % | 3 P Python % | 5 P JAVA % ")</f>
        <v xml:space="preserve">| 1 L CPT % | 2 L PHP-CGM % | 3 P Python % | 5 P JAVA % </v>
      </c>
      <c r="AQ196" s="4" t="str">
        <f ca="1">IFERROR(__xludf.DUMMYFUNCTION("""COMPUTED_VALUE"""),"| 2 L PHP-CGM % | 3 P Python % | 5 P PHP-CGM % | 1 L NS % ")</f>
        <v xml:space="preserve">| 2 L PHP-CGM % | 3 P Python % | 5 P PHP-CGM % | 1 L NS % </v>
      </c>
      <c r="AR196" s="4" t="str">
        <f ca="1">IFERROR(__xludf.DUMMYFUNCTION("""COMPUTED_VALUE"""),"| 1 L CPT @ | 2 L JAVA @ | 3 P CPT @ | 5 P JAVA @ ")</f>
        <v xml:space="preserve">| 1 L CPT @ | 2 L JAVA @ | 3 P CPT @ | 5 P JAVA @ </v>
      </c>
      <c r="AS196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AT196" s="4" t="str">
        <f ca="1">IFERROR(__xludf.DUMMYFUNCTION("""COMPUTED_VALUE"""),"| 1 L CPT % | 2 L PHP-CGM % | 3 P Python % | 5 P JAVA % ")</f>
        <v xml:space="preserve">| 1 L CPT % | 2 L PHP-CGM % | 3 P Python % | 5 P JAVA % </v>
      </c>
      <c r="AU196" s="4" t="str">
        <f ca="1">IFERROR(__xludf.DUMMYFUNCTION("""COMPUTED_VALUE"""),"| 1 L NS % | 2 L PHP-CGM % | 3 P Python @ | 5 P PHP-CGM % ")</f>
        <v xml:space="preserve">| 1 L NS % | 2 L PHP-CGM % | 3 P Python @ | 5 P PHP-CGM % </v>
      </c>
      <c r="AV196" s="4" t="str">
        <f ca="1">IFERROR(__xludf.DUMMYFUNCTION("""COMPUTED_VALUE"""),"| 1 L CPT % | 2 L JAVA % | 5 P JAVA % | 3 P CPT % ")</f>
        <v xml:space="preserve">| 1 L CPT % | 2 L JAVA % | 5 P JAVA % | 3 P CPT % </v>
      </c>
      <c r="AW196" s="4" t="str">
        <f ca="1">IFERROR(__xludf.DUMMYFUNCTION("""COMPUTED_VALUE"""),"| 1 L CPT % | 2 L JAVA @ | 3 P NS % | 5 L INE @ | 6 L INE @ ")</f>
        <v xml:space="preserve">| 1 L CPT % | 2 L JAVA @ | 3 P NS % | 5 L INE @ | 6 L INE @ </v>
      </c>
      <c r="AX196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Y196" s="4" t="str">
        <f ca="1">IFERROR(__xludf.DUMMYFUNCTION("""COMPUTED_VALUE"""),"| 1 L CPT % | 2 L PHP-CGM % | 3 P Python % | 5 P JAVA % ")</f>
        <v xml:space="preserve">| 1 L CPT % | 2 L PHP-CGM % | 3 P Python % | 5 P JAVA % </v>
      </c>
      <c r="AZ196" s="4" t="str">
        <f ca="1">IFERROR(__xludf.DUMMYFUNCTION("""COMPUTED_VALUE"""),"| 1 L CPT @ | 2 L JAVA @ | 3 P CPT @ | 5 P JAVA @ ")</f>
        <v xml:space="preserve">| 1 L CPT @ | 2 L JAVA @ | 3 P CPT @ | 5 P JAVA @ </v>
      </c>
      <c r="BA196" s="4" t="str">
        <f ca="1">IFERROR(__xludf.DUMMYFUNCTION("""COMPUTED_VALUE"""),"| 1 L CPT @ | 2 L JAVA @ | 3 P NS @ | 5 L INE @ ")</f>
        <v xml:space="preserve">| 1 L CPT @ | 2 L JAVA @ | 3 P NS @ | 5 L INE @ </v>
      </c>
      <c r="BB19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96" s="4" t="str">
        <f ca="1">IFERROR(__xludf.DUMMYFUNCTION("""COMPUTED_VALUE"""),"| 1 L CPT % | 2 L PHP-CGM % | 3 P Python % | 5 P JAVA % ")</f>
        <v xml:space="preserve">| 1 L CPT % | 2 L PHP-CGM % | 3 P Python % | 5 P JAVA % </v>
      </c>
      <c r="BD196" s="4" t="str">
        <f ca="1">IFERROR(__xludf.DUMMYFUNCTION("""COMPUTED_VALUE"""),"| 1 L NS % | 2 L PHP-CGM % | 3 P Python % | 5 P PHP-CGM % ")</f>
        <v xml:space="preserve">| 1 L NS % | 2 L PHP-CGM % | 3 P Python % | 5 P PHP-CGM % </v>
      </c>
      <c r="BE196" s="4" t="str">
        <f ca="1">IFERROR(__xludf.DUMMYFUNCTION("""COMPUTED_VALUE"""),"| 1 L CPT % | 2 L JAVA % | 3 P CPT % | 5 P JAVA % ")</f>
        <v xml:space="preserve">| 1 L CPT % | 2 L JAVA % | 3 P CPT % | 5 P JAVA % </v>
      </c>
      <c r="BF196" s="4" t="str">
        <f ca="1">IFERROR(__xludf.DUMMYFUNCTION("""COMPUTED_VALUE"""),"| 1 L CPT % | 2 L JAVA % | 3 P NS % ")</f>
        <v xml:space="preserve">| 1 L CPT % | 2 L JAVA % | 3 P NS % </v>
      </c>
      <c r="BG196" s="4" t="str">
        <f ca="1">IFERROR(__xludf.DUMMYFUNCTION("""COMPUTED_VALUE"""),"| 2 L PHP-CGM % | 1 L CPT % | 3 P Python % | 5 P JAVA % ")</f>
        <v xml:space="preserve">| 2 L PHP-CGM % | 1 L CPT % | 3 P Python % | 5 P JAVA % </v>
      </c>
      <c r="BH196" s="4" t="str">
        <f ca="1">IFERROR(__xludf.DUMMYFUNCTION("""COMPUTED_VALUE"""),"| 1 L NS % | 2 L PHP-CGM % | 3 P Python % | 5 P PHP-CGM % ")</f>
        <v xml:space="preserve">| 1 L NS % | 2 L PHP-CGM % | 3 P Python % | 5 P PHP-CGM % </v>
      </c>
      <c r="BI196" s="4" t="str">
        <f ca="1">IFERROR(__xludf.DUMMYFUNCTION("""COMPUTED_VALUE"""),"| 1 L CPT @ | 2 L JAVA @ | 3 P CPT @ | 5 P JAVA @ ")</f>
        <v xml:space="preserve">| 1 L CPT @ | 2 L JAVA @ | 3 P CPT @ | 5 P JAVA @ </v>
      </c>
      <c r="BJ196" s="4" t="str">
        <f ca="1">IFERROR(__xludf.DUMMYFUNCTION("""COMPUTED_VALUE"""),"| 1 L CPT % | 2 L JAVA % | 3 P NS @ | 5 L INE % ")</f>
        <v xml:space="preserve">| 1 L CPT % | 2 L JAVA % | 3 P NS @ | 5 L INE % </v>
      </c>
      <c r="BK196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BL196" s="4" t="str">
        <f ca="1">IFERROR(__xludf.DUMMYFUNCTION("""COMPUTED_VALUE"""),"| 1 L CPT % | 2 L PHP-CGM % | 3 P Python % | 5 P JAVA % ")</f>
        <v xml:space="preserve">| 1 L CPT % | 2 L PHP-CGM % | 3 P Python % | 5 P JAVA % </v>
      </c>
      <c r="BM196" s="4" t="str">
        <f ca="1">IFERROR(__xludf.DUMMYFUNCTION("""COMPUTED_VALUE"""),"| 1 L NS @ | 2 L PHP-CGM @ | 3 P Python @ ")</f>
        <v xml:space="preserve">| 1 L NS @ | 2 L PHP-CGM @ | 3 P Python @ </v>
      </c>
      <c r="BN196" s="4" t="str">
        <f ca="1">IFERROR(__xludf.DUMMYFUNCTION("""COMPUTED_VALUE"""),"| 2 L JAVA @ | 1 L CPT @ | 3 P CPT @ | 5 P JAVA @ ")</f>
        <v xml:space="preserve">| 2 L JAVA @ | 1 L CPT @ | 3 P CPT @ | 5 P JAVA @ </v>
      </c>
      <c r="BO196" s="4" t="str">
        <f ca="1">IFERROR(__xludf.DUMMYFUNCTION("""COMPUTED_VALUE"""),"| 2 L JAVA @ | 1 L CPT @ | 3 P NS @ | 5 L INE @ ")</f>
        <v xml:space="preserve">| 2 L JAVA @ | 1 L CPT @ | 3 P NS @ | 5 L INE @ </v>
      </c>
      <c r="BP19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196" s="4"/>
      <c r="BR196" s="4"/>
      <c r="BS196" s="4"/>
      <c r="BT196" s="4" t="str">
        <f ca="1">IFERROR(__xludf.DUMMYFUNCTION("""COMPUTED_VALUE"""),"| 1 L NS % | 2 L PHP-CGM % | 3 P PRO @ ")</f>
        <v xml:space="preserve">| 1 L NS % | 2 L PHP-CGM % | 3 P PRO @ </v>
      </c>
      <c r="BU196" s="4" t="str">
        <f ca="1">IFERROR(__xludf.DUMMYFUNCTION("""COMPUTED_VALUE"""),"| 1 L CPT @ | 3 P Python @ ")</f>
        <v xml:space="preserve">| 1 L CPT @ | 3 P Python @ </v>
      </c>
      <c r="BV196" s="4" t="str">
        <f ca="1">IFERROR(__xludf.DUMMYFUNCTION("""COMPUTED_VALUE"""),"| 1 L NS % | 2 L PHP-CGM % | 3 P PRO % | 6 L JAVA % ")</f>
        <v xml:space="preserve">| 1 L NS % | 2 L PHP-CGM % | 3 P PRO % | 6 L JAVA % </v>
      </c>
      <c r="BW196" s="4" t="str">
        <f ca="1">IFERROR(__xludf.DUMMYFUNCTION("""COMPUTED_VALUE"""),"| 1 L CPT % | 2 L PHP-CGM % | 3 P Python % ")</f>
        <v xml:space="preserve">| 1 L CPT % | 2 L PHP-CGM % | 3 P Python % </v>
      </c>
      <c r="BX196" s="4" t="str">
        <f ca="1">IFERROR(__xludf.DUMMYFUNCTION("""COMPUTED_VALUE"""),"| 1 L NS % | 2 L PHP-CGM % | 3 P Python % | 5 P PHP-CGM @ ")</f>
        <v xml:space="preserve">| 1 L NS % | 2 L PHP-CGM % | 3 P Python % | 5 P PHP-CGM @ </v>
      </c>
      <c r="BY196" s="4" t="str">
        <f ca="1">IFERROR(__xludf.DUMMYFUNCTION("""COMPUTED_VALUE"""),"| 1 L CPT @ | 2 L JAVA @ | 3 P CPT @ | 5 P JAVA @ ")</f>
        <v xml:space="preserve">| 1 L CPT @ | 2 L JAVA @ | 3 P CPT @ | 5 P JAVA @ </v>
      </c>
      <c r="BZ196" s="4" t="str">
        <f ca="1">IFERROR(__xludf.DUMMYFUNCTION("""COMPUTED_VALUE"""),"| 1 L CPT % | 2 L JAVA % | 3 P NS @ | 5 L INE @ ")</f>
        <v xml:space="preserve">| 1 L CPT % | 2 L JAVA % | 3 P NS @ | 5 L INE @ </v>
      </c>
      <c r="CA196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196" s="4" t="str">
        <f ca="1">IFERROR(__xludf.DUMMYFUNCTION("""COMPUTED_VALUE"""),"| 2 L PHP-CGM % | 3 P Python % | 5 P JAVA % | 1 L CPT % ")</f>
        <v xml:space="preserve">| 2 L PHP-CGM % | 3 P Python % | 5 P JAVA % | 1 L CPT % </v>
      </c>
      <c r="CC196" s="4" t="str">
        <f ca="1">IFERROR(__xludf.DUMMYFUNCTION("""COMPUTED_VALUE"""),"| 1 L NS % | 2 L PHP-CGM % | 3 P Python % | 5 P PHP-CGM % ")</f>
        <v xml:space="preserve">| 1 L NS % | 2 L PHP-CGM % | 3 P Python % | 5 P PHP-CGM % </v>
      </c>
      <c r="CD196" s="4" t="str">
        <f ca="1">IFERROR(__xludf.DUMMYFUNCTION("""COMPUTED_VALUE"""),"| 1 L CPT @ | 2 L JAVA @ | 3 P CPT % | 5 P JAVA % ")</f>
        <v xml:space="preserve">| 1 L CPT @ | 2 L JAVA @ | 3 P CPT % | 5 P JAVA % </v>
      </c>
      <c r="CE196" s="4" t="str">
        <f ca="1">IFERROR(__xludf.DUMMYFUNCTION("""COMPUTED_VALUE"""),"| 1 L CPT % | 2 L JAVA % | 3 P NS % | 5 L INE % ")</f>
        <v xml:space="preserve">| 1 L CPT % | 2 L JAVA % | 3 P NS % | 5 L INE % </v>
      </c>
      <c r="CF196" s="4" t="str">
        <f ca="1">IFERROR(__xludf.DUMMYFUNCTION("""COMPUTED_VALUE"""),"| 1 L NS % | 2 L PHP-CGM @ | 5 L NS @ | 6 L JAVA @ ")</f>
        <v xml:space="preserve">| 1 L NS % | 2 L PHP-CGM @ | 5 L NS @ | 6 L JAVA @ </v>
      </c>
      <c r="CG196" s="4" t="str">
        <f ca="1">IFERROR(__xludf.DUMMYFUNCTION("""COMPUTED_VALUE"""),"| 1 L CPT @ | 2 L PHP-CGM @ | 3 P Python % | 5 P JAVA % ")</f>
        <v xml:space="preserve">| 1 L CPT @ | 2 L PHP-CGM @ | 3 P Python % | 5 P JAVA % </v>
      </c>
      <c r="CH196" s="4" t="str">
        <f ca="1">IFERROR(__xludf.DUMMYFUNCTION("""COMPUTED_VALUE"""),"| 1 L NS @ | 2 L PHP-CGM @ | 3 P Python % | 5 P PHP-CGM % ")</f>
        <v xml:space="preserve">| 1 L NS @ | 2 L PHP-CGM @ | 3 P Python % | 5 P PHP-CGM % </v>
      </c>
      <c r="CI196" s="4" t="str">
        <f ca="1">IFERROR(__xludf.DUMMYFUNCTION("""COMPUTED_VALUE"""),"| 1 L CPT % | 2 L JAVA % ")</f>
        <v xml:space="preserve">| 1 L CPT % | 2 L JAVA % </v>
      </c>
      <c r="CJ196" s="4" t="str">
        <f ca="1">IFERROR(__xludf.DUMMYFUNCTION("""COMPUTED_VALUE"""),"| 1 L CPT @ | 3 P NS % ")</f>
        <v xml:space="preserve">| 1 L CPT @ | 3 P NS % </v>
      </c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</row>
    <row r="197" spans="1:102" ht="12.5" x14ac:dyDescent="0.25">
      <c r="A197" s="3">
        <f ca="1">IFERROR(__xludf.DUMMYFUNCTION("""COMPUTED_VALUE"""),2)</f>
        <v>2</v>
      </c>
      <c r="B197" s="3" t="str">
        <f ca="1">IFERROR(__xludf.DUMMYFUNCTION("""COMPUTED_VALUE"""),"C")</f>
        <v>C</v>
      </c>
      <c r="C197" s="32" t="str">
        <f ca="1">IFERROR(__xludf.DUMMYFUNCTION("""COMPUTED_VALUE"""),"23171341079")</f>
        <v>23171341079</v>
      </c>
      <c r="D197" s="4" t="str">
        <f ca="1">IFERROR(__xludf.DUMMYFUNCTION("""COMPUTED_VALUE"""),"PATEL DEV ASHVINBHAI")</f>
        <v>PATEL DEV ASHVINBHAI</v>
      </c>
      <c r="E197" s="3" t="str">
        <f ca="1">IFERROR(__xludf.DUMMYFUNCTION("""COMPUTED_VALUE"""),"PKN/PAP-Mor")</f>
        <v>PKN/PAP-Mor</v>
      </c>
      <c r="F197" s="3">
        <f ca="1">IFERROR(__xludf.DUMMYFUNCTION("""COMPUTED_VALUE"""),9429383947)</f>
        <v>9429383947</v>
      </c>
      <c r="G197" s="3">
        <f ca="1">IFERROR(__xludf.DUMMYFUNCTION("""COMPUTED_VALUE"""),9913485850)</f>
        <v>9913485850</v>
      </c>
      <c r="H197" s="33">
        <f ca="1">IFERROR(__xludf.DUMMYFUNCTION("""COMPUTED_VALUE"""),0.365853658536585)</f>
        <v>0.36585365853658502</v>
      </c>
      <c r="I197" s="25">
        <f ca="1">IFERROR(__xludf.DUMMYFUNCTION("""COMPUTED_VALUE"""),0.5)</f>
        <v>0.5</v>
      </c>
      <c r="J197" s="25">
        <f ca="1">IFERROR(__xludf.DUMMYFUNCTION("""COMPUTED_VALUE"""),0.166666666666666)</f>
        <v>0.16666666666666599</v>
      </c>
      <c r="K197" s="25">
        <f ca="1">IFERROR(__xludf.DUMMYFUNCTION("""COMPUTED_VALUE"""),0.638888888888888)</f>
        <v>0.63888888888888795</v>
      </c>
      <c r="L197" s="25">
        <f ca="1">IFERROR(__xludf.DUMMYFUNCTION("""COMPUTED_VALUE"""),0.0833333333333333)</f>
        <v>8.3333333333333301E-2</v>
      </c>
      <c r="M197" s="25">
        <f ca="1">IFERROR(__xludf.DUMMYFUNCTION("""COMPUTED_VALUE"""),0.833333333333333)</f>
        <v>0.83333333333333304</v>
      </c>
      <c r="N197" s="25">
        <f ca="1">IFERROR(__xludf.DUMMYFUNCTION("""COMPUTED_VALUE"""),0)</f>
        <v>0</v>
      </c>
      <c r="O197" s="25">
        <f ca="1">IFERROR(__xludf.DUMMYFUNCTION("""COMPUTED_VALUE"""),0.314285714285714)</f>
        <v>0.314285714285714</v>
      </c>
      <c r="P197" s="25">
        <f ca="1">IFERROR(__xludf.DUMMYFUNCTION("""COMPUTED_VALUE"""),0.0434782608695652)</f>
        <v>4.3478260869565202E-2</v>
      </c>
      <c r="Q197" s="25">
        <f ca="1">IFERROR(__xludf.DUMMYFUNCTION("""COMPUTED_VALUE"""),0)</f>
        <v>0</v>
      </c>
      <c r="R197" s="25">
        <f ca="1">IFERROR(__xludf.DUMMYFUNCTION("""COMPUTED_VALUE"""),0.0416666666666666)</f>
        <v>4.1666666666666602E-2</v>
      </c>
      <c r="S197" s="25">
        <f ca="1">IFERROR(__xludf.DUMMYFUNCTION("""COMPUTED_VALUE"""),0)</f>
        <v>0</v>
      </c>
      <c r="T197" s="25">
        <f ca="1">IFERROR(__xludf.DUMMYFUNCTION("""COMPUTED_VALUE"""),0.0833333333333333)</f>
        <v>8.3333333333333301E-2</v>
      </c>
      <c r="U197" s="25">
        <f ca="1">IFERROR(__xludf.DUMMYFUNCTION("""COMPUTED_VALUE"""),0.125)</f>
        <v>0.125</v>
      </c>
      <c r="V197" s="25">
        <f ca="1">IFERROR(__xludf.DUMMYFUNCTION("""COMPUTED_VALUE"""),0)</f>
        <v>0</v>
      </c>
      <c r="W197" s="4"/>
      <c r="X197" s="4" t="str">
        <f ca="1">IFERROR(__xludf.DUMMYFUNCTION("""COMPUTED_VALUE"""),"| 1 L NS % | 2 L PHP-CGM % | 3 P PRO @ | 5 L JAVA @ | 6 L NS @ ")</f>
        <v xml:space="preserve">| 1 L NS % | 2 L PHP-CGM % | 3 P PRO @ | 5 L JAVA @ | 6 L NS @ </v>
      </c>
      <c r="Y197" s="4" t="str">
        <f ca="1">IFERROR(__xludf.DUMMYFUNCTION("""COMPUTED_VALUE"""),"| 1 L CPT % | 5 L PHP-CGM % | 3 P Python @ | 5 P JAVA @ ")</f>
        <v xml:space="preserve">| 1 L CPT % | 5 L PHP-CGM % | 3 P Python @ | 5 P JAVA @ </v>
      </c>
      <c r="Z197" s="4" t="str">
        <f ca="1">IFERROR(__xludf.DUMMYFUNCTION("""COMPUTED_VALUE"""),"| 1 L CPT % | 2 L PHP-CGM % | 3 P Python @ | 5 P PHP-CGM @ ")</f>
        <v xml:space="preserve">| 1 L CPT % | 2 L PHP-CGM % | 3 P Python @ | 5 P PHP-CGM @ </v>
      </c>
      <c r="AA197" s="4" t="str">
        <f ca="1">IFERROR(__xludf.DUMMYFUNCTION("""COMPUTED_VALUE"""),"| 1 L NS @ | 2 L JAVA @ | 3 P CPT @ | 5 P JAVA @ ")</f>
        <v xml:space="preserve">| 1 L NS @ | 2 L JAVA @ | 3 P CPT @ | 5 P JAVA @ </v>
      </c>
      <c r="AB197" s="4" t="str">
        <f ca="1">IFERROR(__xludf.DUMMYFUNCTION("""COMPUTED_VALUE"""),"| 1 L CPT @ | 2 L JAVA @ | 3 P NS @ ")</f>
        <v xml:space="preserve">| 1 L CPT @ | 2 L JAVA @ | 3 P NS @ </v>
      </c>
      <c r="AC197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97" s="4" t="str">
        <f ca="1">IFERROR(__xludf.DUMMYFUNCTION("""COMPUTED_VALUE"""),"| 1 L CPT % | 2 L PHP-CGM % | 3 P Python % | 5 P JAVA @ ")</f>
        <v xml:space="preserve">| 1 L CPT % | 2 L PHP-CGM % | 3 P Python % | 5 P JAVA @ </v>
      </c>
      <c r="AE197" s="4" t="str">
        <f ca="1">IFERROR(__xludf.DUMMYFUNCTION("""COMPUTED_VALUE"""),"| 1 L CPT % | 3 P Python @ | 5 P PHP-CGM @ | 2 L PHP-CGM % ")</f>
        <v xml:space="preserve">| 1 L CPT % | 3 P Python @ | 5 P PHP-CGM @ | 2 L PHP-CGM % </v>
      </c>
      <c r="AF197" s="4" t="str">
        <f ca="1">IFERROR(__xludf.DUMMYFUNCTION("""COMPUTED_VALUE"""),"| 1 L NS % | 2 L CPT % | 3 P CPT % | 5 P JAVA % ")</f>
        <v xml:space="preserve">| 1 L NS % | 2 L CPT % | 3 P CPT % | 5 P JAVA % </v>
      </c>
      <c r="AG197" s="4" t="str">
        <f ca="1">IFERROR(__xludf.DUMMYFUNCTION("""COMPUTED_VALUE"""),"| 1 L CPT % | 2 L JAVA % | 3 P NS % ")</f>
        <v xml:space="preserve">| 1 L CPT % | 2 L JAVA % | 3 P NS % </v>
      </c>
      <c r="AH197" s="4" t="str">
        <f ca="1">IFERROR(__xludf.DUMMYFUNCTION("""COMPUTED_VALUE"""),"| 2 L JAVA @ | 1 L NS @ | 3 P CPT @ | 5 P JAVA @ ")</f>
        <v xml:space="preserve">| 2 L JAVA @ | 1 L NS @ | 3 P CPT @ | 5 P JAVA @ </v>
      </c>
      <c r="AI197" s="4" t="str">
        <f ca="1">IFERROR(__xludf.DUMMYFUNCTION("""COMPUTED_VALUE"""),"| 1 L CPT % | 2 L JAVA % | 3 P NS @ ")</f>
        <v xml:space="preserve">| 1 L CPT % | 2 L JAVA % | 3 P NS @ </v>
      </c>
      <c r="AJ197" s="4" t="str">
        <f ca="1">IFERROR(__xludf.DUMMYFUNCTION("""COMPUTED_VALUE"""),"| 1 L NS % | 2 L PHP-CGM % | 3 P PRO @ | 5 L JAVA % | 6 L NS % ")</f>
        <v xml:space="preserve">| 1 L NS % | 2 L PHP-CGM % | 3 P PRO @ | 5 L JAVA % | 6 L NS % </v>
      </c>
      <c r="AK197" s="4" t="str">
        <f ca="1">IFERROR(__xludf.DUMMYFUNCTION("""COMPUTED_VALUE"""),"| 1 L CPT % | 3 P Python @ | 2 L PHP-CGM % | 5 P JAVA @ ")</f>
        <v xml:space="preserve">| 1 L CPT % | 3 P Python @ | 2 L PHP-CGM % | 5 P JAVA @ </v>
      </c>
      <c r="AL197" s="4" t="str">
        <f ca="1">IFERROR(__xludf.DUMMYFUNCTION("""COMPUTED_VALUE"""),"| 1 L CPT % | 2 L PHP-CGM % | 3 P Python @ | 5 P PHP-CGM @ ")</f>
        <v xml:space="preserve">| 1 L CPT % | 2 L PHP-CGM % | 3 P Python @ | 5 P PHP-CGM @ </v>
      </c>
      <c r="AM197" s="4" t="str">
        <f ca="1">IFERROR(__xludf.DUMMYFUNCTION("""COMPUTED_VALUE"""),"| 2 L JAVA % | 3 P CPT @ | 5 P JAVA @ | 1 L NS % ")</f>
        <v xml:space="preserve">| 2 L JAVA % | 3 P CPT @ | 5 P JAVA @ | 1 L NS % </v>
      </c>
      <c r="AN197" s="4" t="str">
        <f ca="1">IFERROR(__xludf.DUMMYFUNCTION("""COMPUTED_VALUE"""),"| 1 L CPT % | 2 L JAVA % | 3 P NS @ | 5 L INE @ ")</f>
        <v xml:space="preserve">| 1 L CPT % | 2 L JAVA % | 3 P NS @ | 5 L INE @ </v>
      </c>
      <c r="AO197" s="4" t="str">
        <f ca="1">IFERROR(__xludf.DUMMYFUNCTION("""COMPUTED_VALUE"""),"| 1 L NS % | 2 L PHP-CGM % | 3 P PRO @ | 5 L NS % | 5 L JAVA % ")</f>
        <v xml:space="preserve">| 1 L NS % | 2 L PHP-CGM % | 3 P PRO @ | 5 L NS % | 5 L JAVA % </v>
      </c>
      <c r="AP197" s="4" t="str">
        <f ca="1">IFERROR(__xludf.DUMMYFUNCTION("""COMPUTED_VALUE"""),"| 1 L CPT % | 2 L PHP-CGM % | 3 P Python @ | 5 P JAVA @ ")</f>
        <v xml:space="preserve">| 1 L CPT % | 2 L PHP-CGM % | 3 P Python @ | 5 P JAVA @ </v>
      </c>
      <c r="AQ197" s="4" t="str">
        <f ca="1">IFERROR(__xludf.DUMMYFUNCTION("""COMPUTED_VALUE"""),"| 2 L PHP-CGM % | 3 P Python @ | 5 P PHP-CGM @ | 1 L NS % ")</f>
        <v xml:space="preserve">| 2 L PHP-CGM % | 3 P Python @ | 5 P PHP-CGM @ | 1 L NS % </v>
      </c>
      <c r="AR197" s="4" t="str">
        <f ca="1">IFERROR(__xludf.DUMMYFUNCTION("""COMPUTED_VALUE"""),"| 1 L CPT @ | 2 L JAVA @ | 3 P CPT @ | 5 P JAVA @ ")</f>
        <v xml:space="preserve">| 1 L CPT @ | 2 L JAVA @ | 3 P CPT @ | 5 P JAVA @ </v>
      </c>
      <c r="AS197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AT197" s="4" t="str">
        <f ca="1">IFERROR(__xludf.DUMMYFUNCTION("""COMPUTED_VALUE"""),"| 1 L CPT @ | 2 L PHP-CGM % | 3 P Python @ | 5 P JAVA @ ")</f>
        <v xml:space="preserve">| 1 L CPT @ | 2 L PHP-CGM % | 3 P Python @ | 5 P JAVA @ </v>
      </c>
      <c r="AU197" s="4" t="str">
        <f ca="1">IFERROR(__xludf.DUMMYFUNCTION("""COMPUTED_VALUE"""),"| 1 L NS % | 2 L PHP-CGM % | 3 P Python @ | 5 P PHP-CGM @ ")</f>
        <v xml:space="preserve">| 1 L NS % | 2 L PHP-CGM % | 3 P Python @ | 5 P PHP-CGM @ </v>
      </c>
      <c r="AV197" s="4" t="str">
        <f ca="1">IFERROR(__xludf.DUMMYFUNCTION("""COMPUTED_VALUE"""),"| 1 L CPT % | 2 L JAVA % | 5 P JAVA @ | 3 P CPT % ")</f>
        <v xml:space="preserve">| 1 L CPT % | 2 L JAVA % | 5 P JAVA @ | 3 P CPT % </v>
      </c>
      <c r="AW197" s="4" t="str">
        <f ca="1">IFERROR(__xludf.DUMMYFUNCTION("""COMPUTED_VALUE"""),"| 1 L CPT % | 2 L JAVA % | 3 P NS @ | 5 L INE @ | 6 L INE @ ")</f>
        <v xml:space="preserve">| 1 L CPT % | 2 L JAVA % | 3 P NS @ | 5 L INE @ | 6 L INE @ </v>
      </c>
      <c r="AX197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Y197" s="4" t="str">
        <f ca="1">IFERROR(__xludf.DUMMYFUNCTION("""COMPUTED_VALUE"""),"| 1 L CPT % | 2 L PHP-CGM % | 3 P Python @ | 5 P JAVA @ ")</f>
        <v xml:space="preserve">| 1 L CPT % | 2 L PHP-CGM % | 3 P Python @ | 5 P JAVA @ </v>
      </c>
      <c r="AZ197" s="4" t="str">
        <f ca="1">IFERROR(__xludf.DUMMYFUNCTION("""COMPUTED_VALUE"""),"| 1 L CPT @ | 2 L JAVA @ | 3 P CPT @ | 5 P JAVA @ ")</f>
        <v xml:space="preserve">| 1 L CPT @ | 2 L JAVA @ | 3 P CPT @ | 5 P JAVA @ </v>
      </c>
      <c r="BA197" s="4" t="str">
        <f ca="1">IFERROR(__xludf.DUMMYFUNCTION("""COMPUTED_VALUE"""),"| 1 L CPT @ | 2 L JAVA @ | 3 P NS @ | 5 L INE @ ")</f>
        <v xml:space="preserve">| 1 L CPT @ | 2 L JAVA @ | 3 P NS @ | 5 L INE @ </v>
      </c>
      <c r="BB197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BC197" s="4" t="str">
        <f ca="1">IFERROR(__xludf.DUMMYFUNCTION("""COMPUTED_VALUE"""),"| 1 L CPT % | 2 L PHP-CGM % | 3 P Python @ | 5 P JAVA @ ")</f>
        <v xml:space="preserve">| 1 L CPT % | 2 L PHP-CGM % | 3 P Python @ | 5 P JAVA @ </v>
      </c>
      <c r="BD197" s="4" t="str">
        <f ca="1">IFERROR(__xludf.DUMMYFUNCTION("""COMPUTED_VALUE"""),"| 1 L NS % | 2 L PHP-CGM % | 3 P Python @ | 5 P PHP-CGM @ ")</f>
        <v xml:space="preserve">| 1 L NS % | 2 L PHP-CGM % | 3 P Python @ | 5 P PHP-CGM @ </v>
      </c>
      <c r="BE197" s="4" t="str">
        <f ca="1">IFERROR(__xludf.DUMMYFUNCTION("""COMPUTED_VALUE"""),"| 1 L CPT @ | 2 L JAVA @ | 3 P CPT @ | 5 P JAVA @ ")</f>
        <v xml:space="preserve">| 1 L CPT @ | 2 L JAVA @ | 3 P CPT @ | 5 P JAVA @ </v>
      </c>
      <c r="BF197" s="4" t="str">
        <f ca="1">IFERROR(__xludf.DUMMYFUNCTION("""COMPUTED_VALUE"""),"| 1 L CPT @ | 2 L JAVA @ | 3 P NS @ ")</f>
        <v xml:space="preserve">| 1 L CPT @ | 2 L JAVA @ | 3 P NS @ </v>
      </c>
      <c r="BG197" s="4" t="str">
        <f ca="1">IFERROR(__xludf.DUMMYFUNCTION("""COMPUTED_VALUE"""),"| 2 L PHP-CGM % | 1 L CPT % | 3 P Python @ | 5 P JAVA @ ")</f>
        <v xml:space="preserve">| 2 L PHP-CGM % | 1 L CPT % | 3 P Python @ | 5 P JAVA @ </v>
      </c>
      <c r="BH197" s="4" t="str">
        <f ca="1">IFERROR(__xludf.DUMMYFUNCTION("""COMPUTED_VALUE"""),"| 1 L NS % | 2 L PHP-CGM % | 3 P Python @ | 5 P PHP-CGM @ ")</f>
        <v xml:space="preserve">| 1 L NS % | 2 L PHP-CGM % | 3 P Python @ | 5 P PHP-CGM @ </v>
      </c>
      <c r="BI197" s="4" t="str">
        <f ca="1">IFERROR(__xludf.DUMMYFUNCTION("""COMPUTED_VALUE"""),"| 1 L CPT @ | 2 L JAVA @ | 3 P CPT @ | 5 P JAVA @ ")</f>
        <v xml:space="preserve">| 1 L CPT @ | 2 L JAVA @ | 3 P CPT @ | 5 P JAVA @ </v>
      </c>
      <c r="BJ197" s="4" t="str">
        <f ca="1">IFERROR(__xludf.DUMMYFUNCTION("""COMPUTED_VALUE"""),"| 1 L CPT % | 2 L JAVA % | 3 P NS @ | 5 L INE @ ")</f>
        <v xml:space="preserve">| 1 L CPT % | 2 L JAVA % | 3 P NS @ | 5 L INE @ </v>
      </c>
      <c r="BK197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L197" s="4" t="str">
        <f ca="1">IFERROR(__xludf.DUMMYFUNCTION("""COMPUTED_VALUE"""),"| 1 L CPT % | 2 L PHP-CGM % | 3 P Python @ | 5 P JAVA @ ")</f>
        <v xml:space="preserve">| 1 L CPT % | 2 L PHP-CGM % | 3 P Python @ | 5 P JAVA @ </v>
      </c>
      <c r="BM197" s="4" t="str">
        <f ca="1">IFERROR(__xludf.DUMMYFUNCTION("""COMPUTED_VALUE"""),"| 1 L NS % | 2 L PHP-CGM % | 3 P Python @ ")</f>
        <v xml:space="preserve">| 1 L NS % | 2 L PHP-CGM % | 3 P Python @ </v>
      </c>
      <c r="BN197" s="4" t="str">
        <f ca="1">IFERROR(__xludf.DUMMYFUNCTION("""COMPUTED_VALUE"""),"| 2 L JAVA @ | 1 L CPT @ | 3 P CPT @ | 5 P JAVA @ ")</f>
        <v xml:space="preserve">| 2 L JAVA @ | 1 L CPT @ | 3 P CPT @ | 5 P JAVA @ </v>
      </c>
      <c r="BO197" s="4" t="str">
        <f ca="1">IFERROR(__xludf.DUMMYFUNCTION("""COMPUTED_VALUE"""),"| 2 L JAVA @ | 1 L CPT @ | 3 P NS @ | 5 L INE @ ")</f>
        <v xml:space="preserve">| 2 L JAVA @ | 1 L CPT @ | 3 P NS @ | 5 L INE @ </v>
      </c>
      <c r="BP197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97" s="4"/>
      <c r="BR197" s="4"/>
      <c r="BS197" s="4"/>
      <c r="BT197" s="4" t="str">
        <f ca="1">IFERROR(__xludf.DUMMYFUNCTION("""COMPUTED_VALUE"""),"| 1 L NS @ | 2 L PHP-CGM @ | 3 P PRO @ ")</f>
        <v xml:space="preserve">| 1 L NS @ | 2 L PHP-CGM @ | 3 P PRO @ </v>
      </c>
      <c r="BU197" s="4" t="str">
        <f ca="1">IFERROR(__xludf.DUMMYFUNCTION("""COMPUTED_VALUE"""),"| 1 L CPT @ | 3 P Python @ ")</f>
        <v xml:space="preserve">| 1 L CPT @ | 3 P Python @ </v>
      </c>
      <c r="BV197" s="4" t="str">
        <f ca="1">IFERROR(__xludf.DUMMYFUNCTION("""COMPUTED_VALUE"""),"| 1 L NS % | 2 L PHP-CGM % | 3 P PRO @ | 6 L JAVA @ ")</f>
        <v xml:space="preserve">| 1 L NS % | 2 L PHP-CGM % | 3 P PRO @ | 6 L JAVA @ </v>
      </c>
      <c r="BW197" s="4" t="str">
        <f ca="1">IFERROR(__xludf.DUMMYFUNCTION("""COMPUTED_VALUE"""),"| 1 L CPT @ | 2 L PHP-CGM @ | 3 P Python @ ")</f>
        <v xml:space="preserve">| 1 L CPT @ | 2 L PHP-CGM @ | 3 P Python @ </v>
      </c>
      <c r="BX197" s="4" t="str">
        <f ca="1">IFERROR(__xludf.DUMMYFUNCTION("""COMPUTED_VALUE"""),"| 1 L NS % | 2 L PHP-CGM % | 3 P Python @ | 5 P PHP-CGM @ ")</f>
        <v xml:space="preserve">| 1 L NS % | 2 L PHP-CGM % | 3 P Python @ | 5 P PHP-CGM @ </v>
      </c>
      <c r="BY197" s="4" t="str">
        <f ca="1">IFERROR(__xludf.DUMMYFUNCTION("""COMPUTED_VALUE"""),"| 1 L CPT @ | 2 L JAVA @ | 3 P CPT @ | 5 P JAVA @ ")</f>
        <v xml:space="preserve">| 1 L CPT @ | 2 L JAVA @ | 3 P CPT @ | 5 P JAVA @ </v>
      </c>
      <c r="BZ197" s="4" t="str">
        <f ca="1">IFERROR(__xludf.DUMMYFUNCTION("""COMPUTED_VALUE"""),"| 1 L CPT @ | 2 L JAVA @ | 3 P NS @ | 5 L INE @ ")</f>
        <v xml:space="preserve">| 1 L CPT @ | 2 L JAVA @ | 3 P NS @ | 5 L INE @ </v>
      </c>
      <c r="CA197" s="4" t="str">
        <f ca="1">IFERROR(__xludf.DUMMYFUNCTION("""COMPUTED_VALUE"""),"| 1 L NS @ | 2 L PHP-CGM % | 3 P PRO @ | 5 L NS % | 6 L JAVA @ ")</f>
        <v xml:space="preserve">| 1 L NS @ | 2 L PHP-CGM % | 3 P PRO @ | 5 L NS % | 6 L JAVA @ </v>
      </c>
      <c r="CB197" s="4" t="str">
        <f ca="1">IFERROR(__xludf.DUMMYFUNCTION("""COMPUTED_VALUE"""),"| 2 L PHP-CGM % | 3 P Python @ | 5 P JAVA @ | 1 L CPT % ")</f>
        <v xml:space="preserve">| 2 L PHP-CGM % | 3 P Python @ | 5 P JAVA @ | 1 L CPT % </v>
      </c>
      <c r="CC197" s="4" t="str">
        <f ca="1">IFERROR(__xludf.DUMMYFUNCTION("""COMPUTED_VALUE"""),"| 1 L NS % | 2 L PHP-CGM % | 3 P Python @ | 5 P PHP-CGM @ ")</f>
        <v xml:space="preserve">| 1 L NS % | 2 L PHP-CGM % | 3 P Python @ | 5 P PHP-CGM @ </v>
      </c>
      <c r="CD197" s="4" t="str">
        <f ca="1">IFERROR(__xludf.DUMMYFUNCTION("""COMPUTED_VALUE"""),"| 1 L CPT @ | 2 L JAVA @ | 3 P CPT @ | 5 P JAVA @ ")</f>
        <v xml:space="preserve">| 1 L CPT @ | 2 L JAVA @ | 3 P CPT @ | 5 P JAVA @ </v>
      </c>
      <c r="CE197" s="4" t="str">
        <f ca="1">IFERROR(__xludf.DUMMYFUNCTION("""COMPUTED_VALUE"""),"| 1 L CPT @ | 2 L JAVA @ | 3 P NS @ | 5 L INE % ")</f>
        <v xml:space="preserve">| 1 L CPT @ | 2 L JAVA @ | 3 P NS @ | 5 L INE % </v>
      </c>
      <c r="CF197" s="4" t="str">
        <f ca="1">IFERROR(__xludf.DUMMYFUNCTION("""COMPUTED_VALUE"""),"| 1 L NS @ | 2 L PHP-CGM @ | 5 L NS @ | 6 L JAVA @ ")</f>
        <v xml:space="preserve">| 1 L NS @ | 2 L PHP-CGM @ | 5 L NS @ | 6 L JAVA @ </v>
      </c>
      <c r="CG197" s="4" t="str">
        <f ca="1">IFERROR(__xludf.DUMMYFUNCTION("""COMPUTED_VALUE"""),"| 1 L CPT @ | 2 L PHP-CGM @ | 3 P Python @ | 5 P JAVA @ ")</f>
        <v xml:space="preserve">| 1 L CPT @ | 2 L PHP-CGM @ | 3 P Python @ | 5 P JAVA @ </v>
      </c>
      <c r="CH197" s="4" t="str">
        <f ca="1">IFERROR(__xludf.DUMMYFUNCTION("""COMPUTED_VALUE"""),"| 1 L NS @ | 2 L PHP-CGM @ | 3 P Python @ | 5 P PHP-CGM @ ")</f>
        <v xml:space="preserve">| 1 L NS @ | 2 L PHP-CGM @ | 3 P Python @ | 5 P PHP-CGM @ </v>
      </c>
      <c r="CI197" s="4" t="str">
        <f ca="1">IFERROR(__xludf.DUMMYFUNCTION("""COMPUTED_VALUE"""),"| 1 L CPT @ | 2 L JAVA @ ")</f>
        <v xml:space="preserve">| 1 L CPT @ | 2 L JAVA @ </v>
      </c>
      <c r="CJ197" s="4" t="str">
        <f ca="1">IFERROR(__xludf.DUMMYFUNCTION("""COMPUTED_VALUE"""),"| 1 L CPT @ | 3 P NS @ ")</f>
        <v xml:space="preserve">| 1 L CPT @ | 3 P NS @ </v>
      </c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</row>
    <row r="198" spans="1:102" ht="12.5" x14ac:dyDescent="0.25">
      <c r="A198" s="3">
        <f ca="1">IFERROR(__xludf.DUMMYFUNCTION("""COMPUTED_VALUE"""),2)</f>
        <v>2</v>
      </c>
      <c r="B198" s="3" t="str">
        <f ca="1">IFERROR(__xludf.DUMMYFUNCTION("""COMPUTED_VALUE"""),"C")</f>
        <v>C</v>
      </c>
      <c r="C198" s="32" t="str">
        <f ca="1">IFERROR(__xludf.DUMMYFUNCTION("""COMPUTED_VALUE"""),"23171341080")</f>
        <v>23171341080</v>
      </c>
      <c r="D198" s="4" t="str">
        <f ca="1">IFERROR(__xludf.DUMMYFUNCTION("""COMPUTED_VALUE"""),"PATEL DHARMIK DIPAKKUMAR")</f>
        <v>PATEL DHARMIK DIPAKKUMAR</v>
      </c>
      <c r="E198" s="3" t="str">
        <f ca="1">IFERROR(__xludf.DUMMYFUNCTION("""COMPUTED_VALUE"""),"PKN/PAP-Mor")</f>
        <v>PKN/PAP-Mor</v>
      </c>
      <c r="F198" s="3">
        <f ca="1">IFERROR(__xludf.DUMMYFUNCTION("""COMPUTED_VALUE"""),9173236228)</f>
        <v>9173236228</v>
      </c>
      <c r="G198" s="3">
        <f ca="1">IFERROR(__xludf.DUMMYFUNCTION("""COMPUTED_VALUE"""),9725802762)</f>
        <v>9725802762</v>
      </c>
      <c r="H198" s="33">
        <f ca="1">IFERROR(__xludf.DUMMYFUNCTION("""COMPUTED_VALUE"""),0.66260162601626)</f>
        <v>0.66260162601626005</v>
      </c>
      <c r="I198" s="25">
        <f ca="1">IFERROR(__xludf.DUMMYFUNCTION("""COMPUTED_VALUE"""),0.657894736842105)</f>
        <v>0.65789473684210498</v>
      </c>
      <c r="J198" s="25">
        <f ca="1">IFERROR(__xludf.DUMMYFUNCTION("""COMPUTED_VALUE"""),0.666666666666666)</f>
        <v>0.66666666666666596</v>
      </c>
      <c r="K198" s="25">
        <f ca="1">IFERROR(__xludf.DUMMYFUNCTION("""COMPUTED_VALUE"""),0.611111111111111)</f>
        <v>0.61111111111111105</v>
      </c>
      <c r="L198" s="25">
        <f ca="1">IFERROR(__xludf.DUMMYFUNCTION("""COMPUTED_VALUE"""),0.583333333333333)</f>
        <v>0.58333333333333304</v>
      </c>
      <c r="M198" s="25">
        <f ca="1">IFERROR(__xludf.DUMMYFUNCTION("""COMPUTED_VALUE"""),0.75)</f>
        <v>0.75</v>
      </c>
      <c r="N198" s="25">
        <f ca="1">IFERROR(__xludf.DUMMYFUNCTION("""COMPUTED_VALUE"""),0.8)</f>
        <v>0.8</v>
      </c>
      <c r="O198" s="25">
        <f ca="1">IFERROR(__xludf.DUMMYFUNCTION("""COMPUTED_VALUE"""),0.542857142857142)</f>
        <v>0.54285714285714204</v>
      </c>
      <c r="P198" s="25">
        <f ca="1">IFERROR(__xludf.DUMMYFUNCTION("""COMPUTED_VALUE"""),0.782608695652174)</f>
        <v>0.78260869565217395</v>
      </c>
      <c r="Q198" s="25">
        <f ca="1">IFERROR(__xludf.DUMMYFUNCTION("""COMPUTED_VALUE"""),0)</f>
        <v>0</v>
      </c>
      <c r="R198" s="25">
        <f ca="1">IFERROR(__xludf.DUMMYFUNCTION("""COMPUTED_VALUE"""),0.833333333333333)</f>
        <v>0.83333333333333304</v>
      </c>
      <c r="S198" s="25">
        <f ca="1">IFERROR(__xludf.DUMMYFUNCTION("""COMPUTED_VALUE"""),0)</f>
        <v>0</v>
      </c>
      <c r="T198" s="25">
        <f ca="1">IFERROR(__xludf.DUMMYFUNCTION("""COMPUTED_VALUE"""),0.5)</f>
        <v>0.5</v>
      </c>
      <c r="U198" s="25">
        <f ca="1">IFERROR(__xludf.DUMMYFUNCTION("""COMPUTED_VALUE"""),0.375)</f>
        <v>0.375</v>
      </c>
      <c r="V198" s="25">
        <f ca="1">IFERROR(__xludf.DUMMYFUNCTION("""COMPUTED_VALUE"""),0)</f>
        <v>0</v>
      </c>
      <c r="W198" s="4"/>
      <c r="X198" s="4" t="str">
        <f ca="1">IFERROR(__xludf.DUMMYFUNCTION("""COMPUTED_VALUE"""),"| 1 L NS % | 2 L PHP-CGM % | 3 P PRO % | 5 L JAVA % | 6 L NS @ ")</f>
        <v xml:space="preserve">| 1 L NS % | 2 L PHP-CGM % | 3 P PRO % | 5 L JAVA % | 6 L NS @ </v>
      </c>
      <c r="Y198" s="4" t="str">
        <f ca="1">IFERROR(__xludf.DUMMYFUNCTION("""COMPUTED_VALUE"""),"| 1 L CPT % | 5 L PHP-CGM % | 3 P Python % | 5 P JAVA % ")</f>
        <v xml:space="preserve">| 1 L CPT % | 5 L PHP-CGM % | 3 P Python % | 5 P JAVA % </v>
      </c>
      <c r="Z198" s="4" t="str">
        <f ca="1">IFERROR(__xludf.DUMMYFUNCTION("""COMPUTED_VALUE"""),"| 1 L CPT @ | 2 L PHP-CGM @ | 3 P Python @ | 5 P PHP-CGM @ ")</f>
        <v xml:space="preserve">| 1 L CPT @ | 2 L PHP-CGM @ | 3 P Python @ | 5 P PHP-CGM @ </v>
      </c>
      <c r="AA198" s="4" t="str">
        <f ca="1">IFERROR(__xludf.DUMMYFUNCTION("""COMPUTED_VALUE"""),"| 1 L NS % | 2 L JAVA % | 3 P CPT % | 5 P JAVA % ")</f>
        <v xml:space="preserve">| 1 L NS % | 2 L JAVA % | 3 P CPT % | 5 P JAVA % </v>
      </c>
      <c r="AB198" s="4" t="str">
        <f ca="1">IFERROR(__xludf.DUMMYFUNCTION("""COMPUTED_VALUE"""),"| 1 L CPT % | 2 L JAVA % | 3 P NS % ")</f>
        <v xml:space="preserve">| 1 L CPT % | 2 L JAVA % | 3 P NS % </v>
      </c>
      <c r="AC198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198" s="4" t="str">
        <f ca="1">IFERROR(__xludf.DUMMYFUNCTION("""COMPUTED_VALUE"""),"| 1 L CPT % | 2 L PHP-CGM % | 3 P Python % | 5 P JAVA % ")</f>
        <v xml:space="preserve">| 1 L CPT % | 2 L PHP-CGM % | 3 P Python % | 5 P JAVA % </v>
      </c>
      <c r="AE198" s="4" t="str">
        <f ca="1">IFERROR(__xludf.DUMMYFUNCTION("""COMPUTED_VALUE"""),"| 1 L CPT % | 3 P Python % | 5 P PHP-CGM % | 2 L PHP-CGM % ")</f>
        <v xml:space="preserve">| 1 L CPT % | 3 P Python % | 5 P PHP-CGM % | 2 L PHP-CGM % </v>
      </c>
      <c r="AF198" s="4" t="str">
        <f ca="1">IFERROR(__xludf.DUMMYFUNCTION("""COMPUTED_VALUE"""),"| 1 L NS % | 2 L CPT % | 3 P CPT % | 5 P JAVA % ")</f>
        <v xml:space="preserve">| 1 L NS % | 2 L CPT % | 3 P CPT % | 5 P JAVA % </v>
      </c>
      <c r="AG198" s="4" t="str">
        <f ca="1">IFERROR(__xludf.DUMMYFUNCTION("""COMPUTED_VALUE"""),"| 1 L CPT @ | 2 L JAVA @ | 3 P NS @ ")</f>
        <v xml:space="preserve">| 1 L CPT @ | 2 L JAVA @ | 3 P NS @ </v>
      </c>
      <c r="AH198" s="4" t="str">
        <f ca="1">IFERROR(__xludf.DUMMYFUNCTION("""COMPUTED_VALUE"""),"| 2 L JAVA % | 1 L NS % | 3 P CPT % | 5 P JAVA % ")</f>
        <v xml:space="preserve">| 2 L JAVA % | 1 L NS % | 3 P CPT % | 5 P JAVA % </v>
      </c>
      <c r="AI198" s="4" t="str">
        <f ca="1">IFERROR(__xludf.DUMMYFUNCTION("""COMPUTED_VALUE"""),"| 1 L CPT % | 2 L JAVA % | 3 P NS % ")</f>
        <v xml:space="preserve">| 1 L CPT % | 2 L JAVA % | 3 P NS % </v>
      </c>
      <c r="AJ198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K198" s="4" t="str">
        <f ca="1">IFERROR(__xludf.DUMMYFUNCTION("""COMPUTED_VALUE"""),"| 1 L CPT % | 3 P Python % | 2 L PHP-CGM % | 5 P JAVA % ")</f>
        <v xml:space="preserve">| 1 L CPT % | 3 P Python % | 2 L PHP-CGM % | 5 P JAVA % </v>
      </c>
      <c r="AL198" s="4" t="str">
        <f ca="1">IFERROR(__xludf.DUMMYFUNCTION("""COMPUTED_VALUE"""),"| 1 L CPT % | 2 L PHP-CGM % | 3 P Python % | 5 P PHP-CGM % ")</f>
        <v xml:space="preserve">| 1 L CPT % | 2 L PHP-CGM % | 3 P Python % | 5 P PHP-CGM % </v>
      </c>
      <c r="AM198" s="4" t="str">
        <f ca="1">IFERROR(__xludf.DUMMYFUNCTION("""COMPUTED_VALUE"""),"| 2 L JAVA % | 3 P CPT % | 5 P JAVA % | 1 L NS % ")</f>
        <v xml:space="preserve">| 2 L JAVA % | 3 P CPT % | 5 P JAVA % | 1 L NS % </v>
      </c>
      <c r="AN198" s="4" t="str">
        <f ca="1">IFERROR(__xludf.DUMMYFUNCTION("""COMPUTED_VALUE"""),"| 1 L CPT % | 2 L JAVA % | 3 P NS % | 5 L INE % ")</f>
        <v xml:space="preserve">| 1 L CPT % | 2 L JAVA % | 3 P NS % | 5 L INE % </v>
      </c>
      <c r="AO198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198" s="4" t="str">
        <f ca="1">IFERROR(__xludf.DUMMYFUNCTION("""COMPUTED_VALUE"""),"| 1 L CPT % | 2 L PHP-CGM % | 3 P Python % | 5 P JAVA % ")</f>
        <v xml:space="preserve">| 1 L CPT % | 2 L PHP-CGM % | 3 P Python % | 5 P JAVA % </v>
      </c>
      <c r="AQ198" s="4" t="str">
        <f ca="1">IFERROR(__xludf.DUMMYFUNCTION("""COMPUTED_VALUE"""),"| 2 L PHP-CGM % | 3 P Python % | 5 P PHP-CGM % | 1 L NS % ")</f>
        <v xml:space="preserve">| 2 L PHP-CGM % | 3 P Python % | 5 P PHP-CGM % | 1 L NS % </v>
      </c>
      <c r="AR198" s="4" t="str">
        <f ca="1">IFERROR(__xludf.DUMMYFUNCTION("""COMPUTED_VALUE"""),"| 1 L CPT @ | 2 L JAVA @ | 3 P CPT @ | 5 P JAVA @ ")</f>
        <v xml:space="preserve">| 1 L CPT @ | 2 L JAVA @ | 3 P CPT @ | 5 P JAVA @ </v>
      </c>
      <c r="AS198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AT198" s="4" t="str">
        <f ca="1">IFERROR(__xludf.DUMMYFUNCTION("""COMPUTED_VALUE"""),"| 1 L CPT % | 2 L PHP-CGM % | 3 P Python % | 5 P JAVA % ")</f>
        <v xml:space="preserve">| 1 L CPT % | 2 L PHP-CGM % | 3 P Python % | 5 P JAVA % </v>
      </c>
      <c r="AU198" s="4" t="str">
        <f ca="1">IFERROR(__xludf.DUMMYFUNCTION("""COMPUTED_VALUE"""),"| 1 L NS % | 2 L PHP-CGM % | 3 P Python % | 5 P PHP-CGM % ")</f>
        <v xml:space="preserve">| 1 L NS % | 2 L PHP-CGM % | 3 P Python % | 5 P PHP-CGM % </v>
      </c>
      <c r="AV198" s="4" t="str">
        <f ca="1">IFERROR(__xludf.DUMMYFUNCTION("""COMPUTED_VALUE"""),"| 1 L CPT @ | 2 L JAVA @ | 5 P JAVA @ | 3 P CPT @ ")</f>
        <v xml:space="preserve">| 1 L CPT @ | 2 L JAVA @ | 5 P JAVA @ | 3 P CPT @ </v>
      </c>
      <c r="AW198" s="4" t="str">
        <f ca="1">IFERROR(__xludf.DUMMYFUNCTION("""COMPUTED_VALUE"""),"| 1 L CPT % | 2 L JAVA % | 3 P NS % | 5 L INE @ | 6 L INE @ ")</f>
        <v xml:space="preserve">| 1 L CPT % | 2 L JAVA % | 3 P NS % | 5 L INE @ | 6 L INE @ </v>
      </c>
      <c r="AX198" s="4" t="str">
        <f ca="1">IFERROR(__xludf.DUMMYFUNCTION("""COMPUTED_VALUE"""),"| 1 L NS @ | 2 L PHP-CGM % | 3 P PRO @ | 5 L NS @ | 5 L JAVA @ ")</f>
        <v xml:space="preserve">| 1 L NS @ | 2 L PHP-CGM % | 3 P PRO @ | 5 L NS @ | 5 L JAVA @ </v>
      </c>
      <c r="AY198" s="4" t="str">
        <f ca="1">IFERROR(__xludf.DUMMYFUNCTION("""COMPUTED_VALUE"""),"| 1 L CPT % | 2 L PHP-CGM % | 3 P Python % | 5 P JAVA % ")</f>
        <v xml:space="preserve">| 1 L CPT % | 2 L PHP-CGM % | 3 P Python % | 5 P JAVA % </v>
      </c>
      <c r="AZ198" s="4" t="str">
        <f ca="1">IFERROR(__xludf.DUMMYFUNCTION("""COMPUTED_VALUE"""),"| 1 L CPT % | 2 L JAVA % | 3 P CPT % | 5 P JAVA % ")</f>
        <v xml:space="preserve">| 1 L CPT % | 2 L JAVA % | 3 P CPT % | 5 P JAVA % </v>
      </c>
      <c r="BA198" s="4" t="str">
        <f ca="1">IFERROR(__xludf.DUMMYFUNCTION("""COMPUTED_VALUE"""),"| 1 L CPT @ | 2 L JAVA @ | 3 P NS @ | 5 L INE @ ")</f>
        <v xml:space="preserve">| 1 L CPT @ | 2 L JAVA @ | 3 P NS @ | 5 L INE @ </v>
      </c>
      <c r="BB19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198" s="4" t="str">
        <f ca="1">IFERROR(__xludf.DUMMYFUNCTION("""COMPUTED_VALUE"""),"| 1 L CPT % | 2 L PHP-CGM % | 3 P Python % | 5 P JAVA % ")</f>
        <v xml:space="preserve">| 1 L CPT % | 2 L PHP-CGM % | 3 P Python % | 5 P JAVA % </v>
      </c>
      <c r="BD198" s="4" t="str">
        <f ca="1">IFERROR(__xludf.DUMMYFUNCTION("""COMPUTED_VALUE"""),"| 1 L NS % | 2 L PHP-CGM % | 3 P Python % | 5 P PHP-CGM % ")</f>
        <v xml:space="preserve">| 1 L NS % | 2 L PHP-CGM % | 3 P Python % | 5 P PHP-CGM % </v>
      </c>
      <c r="BE198" s="4" t="str">
        <f ca="1">IFERROR(__xludf.DUMMYFUNCTION("""COMPUTED_VALUE"""),"| 1 L CPT % | 2 L JAVA % | 3 P CPT % | 5 P JAVA % ")</f>
        <v xml:space="preserve">| 1 L CPT % | 2 L JAVA % | 3 P CPT % | 5 P JAVA % </v>
      </c>
      <c r="BF198" s="4" t="str">
        <f ca="1">IFERROR(__xludf.DUMMYFUNCTION("""COMPUTED_VALUE"""),"| 1 L CPT % | 2 L JAVA % | 3 P NS % ")</f>
        <v xml:space="preserve">| 1 L CPT % | 2 L JAVA % | 3 P NS % </v>
      </c>
      <c r="BG198" s="4" t="str">
        <f ca="1">IFERROR(__xludf.DUMMYFUNCTION("""COMPUTED_VALUE"""),"| 2 L PHP-CGM % | 1 L CPT % | 3 P Python % | 5 P JAVA % ")</f>
        <v xml:space="preserve">| 2 L PHP-CGM % | 1 L CPT % | 3 P Python % | 5 P JAVA % </v>
      </c>
      <c r="BH198" s="4" t="str">
        <f ca="1">IFERROR(__xludf.DUMMYFUNCTION("""COMPUTED_VALUE"""),"| 1 L NS % | 2 L PHP-CGM % | 3 P Python % | 5 P PHP-CGM % ")</f>
        <v xml:space="preserve">| 1 L NS % | 2 L PHP-CGM % | 3 P Python % | 5 P PHP-CGM % </v>
      </c>
      <c r="BI198" s="4" t="str">
        <f ca="1">IFERROR(__xludf.DUMMYFUNCTION("""COMPUTED_VALUE"""),"| 1 L CPT % | 2 L JAVA % | 3 P CPT % | 5 P JAVA % ")</f>
        <v xml:space="preserve">| 1 L CPT % | 2 L JAVA % | 3 P CPT % | 5 P JAVA % </v>
      </c>
      <c r="BJ198" s="4" t="str">
        <f ca="1">IFERROR(__xludf.DUMMYFUNCTION("""COMPUTED_VALUE"""),"| 1 L CPT % | 2 L JAVA % | 3 P NS @ | 5 L INE % ")</f>
        <v xml:space="preserve">| 1 L CPT % | 2 L JAVA % | 3 P NS @ | 5 L INE % </v>
      </c>
      <c r="BK198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198" s="4" t="str">
        <f ca="1">IFERROR(__xludf.DUMMYFUNCTION("""COMPUTED_VALUE"""),"| 1 L CPT @ | 2 L PHP-CGM @ | 3 P Python @ | 5 P JAVA @ ")</f>
        <v xml:space="preserve">| 1 L CPT @ | 2 L PHP-CGM @ | 3 P Python @ | 5 P JAVA @ </v>
      </c>
      <c r="BM198" s="4" t="str">
        <f ca="1">IFERROR(__xludf.DUMMYFUNCTION("""COMPUTED_VALUE"""),"| 1 L NS % | 2 L PHP-CGM % | 3 P Python @ ")</f>
        <v xml:space="preserve">| 1 L NS % | 2 L PHP-CGM % | 3 P Python @ </v>
      </c>
      <c r="BN198" s="4" t="str">
        <f ca="1">IFERROR(__xludf.DUMMYFUNCTION("""COMPUTED_VALUE"""),"| 2 L JAVA @ | 1 L CPT @ | 3 P CPT @ | 5 P JAVA @ ")</f>
        <v xml:space="preserve">| 2 L JAVA @ | 1 L CPT @ | 3 P CPT @ | 5 P JAVA @ </v>
      </c>
      <c r="BO198" s="4" t="str">
        <f ca="1">IFERROR(__xludf.DUMMYFUNCTION("""COMPUTED_VALUE"""),"| 2 L JAVA @ | 1 L CPT @ | 3 P NS @ | 5 L INE @ ")</f>
        <v xml:space="preserve">| 2 L JAVA @ | 1 L CPT @ | 3 P NS @ | 5 L INE @ </v>
      </c>
      <c r="BP19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198" s="4"/>
      <c r="BR198" s="4"/>
      <c r="BS198" s="4"/>
      <c r="BT198" s="4" t="str">
        <f ca="1">IFERROR(__xludf.DUMMYFUNCTION("""COMPUTED_VALUE"""),"| 1 L NS % | 2 L PHP-CGM % | 3 P PRO @ ")</f>
        <v xml:space="preserve">| 1 L NS % | 2 L PHP-CGM % | 3 P PRO @ </v>
      </c>
      <c r="BU198" s="4" t="str">
        <f ca="1">IFERROR(__xludf.DUMMYFUNCTION("""COMPUTED_VALUE"""),"| 1 L CPT @ | 3 P Python @ ")</f>
        <v xml:space="preserve">| 1 L CPT @ | 3 P Python @ </v>
      </c>
      <c r="BV198" s="4" t="str">
        <f ca="1">IFERROR(__xludf.DUMMYFUNCTION("""COMPUTED_VALUE"""),"| 1 L NS @ | 2 L PHP-CGM @ | 3 P PRO @ | 6 L JAVA @ ")</f>
        <v xml:space="preserve">| 1 L NS @ | 2 L PHP-CGM @ | 3 P PRO @ | 6 L JAVA @ </v>
      </c>
      <c r="BW198" s="4" t="str">
        <f ca="1">IFERROR(__xludf.DUMMYFUNCTION("""COMPUTED_VALUE"""),"| 1 L CPT % | 2 L PHP-CGM % | 3 P Python % ")</f>
        <v xml:space="preserve">| 1 L CPT % | 2 L PHP-CGM % | 3 P Python % </v>
      </c>
      <c r="BX198" s="4" t="str">
        <f ca="1">IFERROR(__xludf.DUMMYFUNCTION("""COMPUTED_VALUE"""),"| 1 L NS % | 2 L PHP-CGM % | 3 P Python % | 5 P PHP-CGM @ ")</f>
        <v xml:space="preserve">| 1 L NS % | 2 L PHP-CGM % | 3 P Python % | 5 P PHP-CGM @ </v>
      </c>
      <c r="BY198" s="4" t="str">
        <f ca="1">IFERROR(__xludf.DUMMYFUNCTION("""COMPUTED_VALUE"""),"| 1 L CPT @ | 2 L JAVA @ | 3 P CPT @ | 5 P JAVA @ ")</f>
        <v xml:space="preserve">| 1 L CPT @ | 2 L JAVA @ | 3 P CPT @ | 5 P JAVA @ </v>
      </c>
      <c r="BZ198" s="4" t="str">
        <f ca="1">IFERROR(__xludf.DUMMYFUNCTION("""COMPUTED_VALUE"""),"| 1 L CPT % | 2 L JAVA % | 3 P NS @ | 5 L INE @ ")</f>
        <v xml:space="preserve">| 1 L CPT % | 2 L JAVA % | 3 P NS @ | 5 L INE @ </v>
      </c>
      <c r="CA198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198" s="4" t="str">
        <f ca="1">IFERROR(__xludf.DUMMYFUNCTION("""COMPUTED_VALUE"""),"| 2 L PHP-CGM % | 3 P Python % | 5 P JAVA % | 1 L CPT % ")</f>
        <v xml:space="preserve">| 2 L PHP-CGM % | 3 P Python % | 5 P JAVA % | 1 L CPT % </v>
      </c>
      <c r="CC198" s="4" t="str">
        <f ca="1">IFERROR(__xludf.DUMMYFUNCTION("""COMPUTED_VALUE"""),"| 1 L NS % | 2 L PHP-CGM % | 3 P Python % | 5 P PHP-CGM % ")</f>
        <v xml:space="preserve">| 1 L NS % | 2 L PHP-CGM % | 3 P Python % | 5 P PHP-CGM % </v>
      </c>
      <c r="CD198" s="4" t="str">
        <f ca="1">IFERROR(__xludf.DUMMYFUNCTION("""COMPUTED_VALUE"""),"| 1 L CPT @ | 2 L JAVA @ | 3 P CPT % | 5 P JAVA % ")</f>
        <v xml:space="preserve">| 1 L CPT @ | 2 L JAVA @ | 3 P CPT % | 5 P JAVA % </v>
      </c>
      <c r="CE198" s="4" t="str">
        <f ca="1">IFERROR(__xludf.DUMMYFUNCTION("""COMPUTED_VALUE"""),"| 1 L CPT % | 2 L JAVA % | 3 P NS % | 5 L INE % ")</f>
        <v xml:space="preserve">| 1 L CPT % | 2 L JAVA % | 3 P NS % | 5 L INE % </v>
      </c>
      <c r="CF198" s="4" t="str">
        <f ca="1">IFERROR(__xludf.DUMMYFUNCTION("""COMPUTED_VALUE"""),"| 1 L NS % | 2 L PHP-CGM @ | 5 L NS @ | 6 L JAVA @ ")</f>
        <v xml:space="preserve">| 1 L NS % | 2 L PHP-CGM @ | 5 L NS @ | 6 L JAVA @ </v>
      </c>
      <c r="CG198" s="4" t="str">
        <f ca="1">IFERROR(__xludf.DUMMYFUNCTION("""COMPUTED_VALUE"""),"| 1 L CPT @ | 2 L PHP-CGM @ | 3 P Python % | 5 P JAVA % ")</f>
        <v xml:space="preserve">| 1 L CPT @ | 2 L PHP-CGM @ | 3 P Python % | 5 P JAVA % </v>
      </c>
      <c r="CH198" s="4" t="str">
        <f ca="1">IFERROR(__xludf.DUMMYFUNCTION("""COMPUTED_VALUE"""),"| 1 L NS @ | 2 L PHP-CGM @ | 3 P Python % | 5 P PHP-CGM % ")</f>
        <v xml:space="preserve">| 1 L NS @ | 2 L PHP-CGM @ | 3 P Python % | 5 P PHP-CGM % </v>
      </c>
      <c r="CI198" s="4" t="str">
        <f ca="1">IFERROR(__xludf.DUMMYFUNCTION("""COMPUTED_VALUE"""),"| 1 L CPT % | 2 L JAVA % ")</f>
        <v xml:space="preserve">| 1 L CPT % | 2 L JAVA % </v>
      </c>
      <c r="CJ198" s="4" t="str">
        <f ca="1">IFERROR(__xludf.DUMMYFUNCTION("""COMPUTED_VALUE"""),"| 1 L CPT @ | 3 P NS % ")</f>
        <v xml:space="preserve">| 1 L CPT @ | 3 P NS % </v>
      </c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</row>
    <row r="199" spans="1:102" ht="12.5" x14ac:dyDescent="0.25">
      <c r="A199" s="3">
        <f ca="1">IFERROR(__xludf.DUMMYFUNCTION("""COMPUTED_VALUE"""),2)</f>
        <v>2</v>
      </c>
      <c r="B199" s="3" t="str">
        <f ca="1">IFERROR(__xludf.DUMMYFUNCTION("""COMPUTED_VALUE"""),"C")</f>
        <v>C</v>
      </c>
      <c r="C199" s="32" t="str">
        <f ca="1">IFERROR(__xludf.DUMMYFUNCTION("""COMPUTED_VALUE"""),"23171341081")</f>
        <v>23171341081</v>
      </c>
      <c r="D199" s="4" t="str">
        <f ca="1">IFERROR(__xludf.DUMMYFUNCTION("""COMPUTED_VALUE"""),"PATEL DHYANI RAKESHKUMAR")</f>
        <v>PATEL DHYANI RAKESHKUMAR</v>
      </c>
      <c r="E199" s="3" t="str">
        <f ca="1">IFERROR(__xludf.DUMMYFUNCTION("""COMPUTED_VALUE"""),"PKN/PAP-Mor")</f>
        <v>PKN/PAP-Mor</v>
      </c>
      <c r="F199" s="3">
        <f ca="1">IFERROR(__xludf.DUMMYFUNCTION("""COMPUTED_VALUE"""),9898084281)</f>
        <v>9898084281</v>
      </c>
      <c r="G199" s="3">
        <f ca="1">IFERROR(__xludf.DUMMYFUNCTION("""COMPUTED_VALUE"""),9898084281)</f>
        <v>9898084281</v>
      </c>
      <c r="H199" s="33">
        <f ca="1">IFERROR(__xludf.DUMMYFUNCTION("""COMPUTED_VALUE"""),0.800813008130081)</f>
        <v>0.80081300813008105</v>
      </c>
      <c r="I199" s="25">
        <f ca="1">IFERROR(__xludf.DUMMYFUNCTION("""COMPUTED_VALUE"""),0.81578947368421)</f>
        <v>0.81578947368420995</v>
      </c>
      <c r="J199" s="25">
        <f ca="1">IFERROR(__xludf.DUMMYFUNCTION("""COMPUTED_VALUE"""),0.833333333333333)</f>
        <v>0.83333333333333304</v>
      </c>
      <c r="K199" s="25">
        <f ca="1">IFERROR(__xludf.DUMMYFUNCTION("""COMPUTED_VALUE"""),0.75)</f>
        <v>0.75</v>
      </c>
      <c r="L199" s="25">
        <f ca="1">IFERROR(__xludf.DUMMYFUNCTION("""COMPUTED_VALUE"""),0.75)</f>
        <v>0.75</v>
      </c>
      <c r="M199" s="25">
        <f ca="1">IFERROR(__xludf.DUMMYFUNCTION("""COMPUTED_VALUE"""),0.944444444444444)</f>
        <v>0.94444444444444398</v>
      </c>
      <c r="N199" s="25">
        <f ca="1">IFERROR(__xludf.DUMMYFUNCTION("""COMPUTED_VALUE"""),0.8)</f>
        <v>0.8</v>
      </c>
      <c r="O199" s="25">
        <f ca="1">IFERROR(__xludf.DUMMYFUNCTION("""COMPUTED_VALUE"""),0.685714285714285)</f>
        <v>0.68571428571428505</v>
      </c>
      <c r="P199" s="25">
        <f ca="1">IFERROR(__xludf.DUMMYFUNCTION("""COMPUTED_VALUE"""),0.869565217391304)</f>
        <v>0.86956521739130399</v>
      </c>
      <c r="Q199" s="25">
        <f ca="1">IFERROR(__xludf.DUMMYFUNCTION("""COMPUTED_VALUE"""),0)</f>
        <v>0</v>
      </c>
      <c r="R199" s="25">
        <f ca="1">IFERROR(__xludf.DUMMYFUNCTION("""COMPUTED_VALUE"""),0.875)</f>
        <v>0.875</v>
      </c>
      <c r="S199" s="25">
        <f ca="1">IFERROR(__xludf.DUMMYFUNCTION("""COMPUTED_VALUE"""),0)</f>
        <v>0</v>
      </c>
      <c r="T199" s="25">
        <f ca="1">IFERROR(__xludf.DUMMYFUNCTION("""COMPUTED_VALUE"""),0.833333333333333)</f>
        <v>0.83333333333333304</v>
      </c>
      <c r="U199" s="25">
        <f ca="1">IFERROR(__xludf.DUMMYFUNCTION("""COMPUTED_VALUE"""),0.375)</f>
        <v>0.375</v>
      </c>
      <c r="V199" s="25">
        <f ca="1">IFERROR(__xludf.DUMMYFUNCTION("""COMPUTED_VALUE"""),0)</f>
        <v>0</v>
      </c>
      <c r="W199" s="4"/>
      <c r="X199" s="4" t="str">
        <f ca="1">IFERROR(__xludf.DUMMYFUNCTION("""COMPUTED_VALUE"""),"| 1 L NS @ | 2 L PHP-CGM % | 3 P PRO % | 5 L JAVA % | 6 L NS % ")</f>
        <v xml:space="preserve">| 1 L NS @ | 2 L PHP-CGM % | 3 P PRO % | 5 L JAVA % | 6 L NS % </v>
      </c>
      <c r="Y199" s="4" t="str">
        <f ca="1">IFERROR(__xludf.DUMMYFUNCTION("""COMPUTED_VALUE"""),"| 1 L CPT % | 5 L PHP-CGM % | 3 P Python % | 5 P JAVA % ")</f>
        <v xml:space="preserve">| 1 L CPT % | 5 L PHP-CGM % | 3 P Python % | 5 P JAVA % </v>
      </c>
      <c r="Z199" s="4" t="str">
        <f ca="1">IFERROR(__xludf.DUMMYFUNCTION("""COMPUTED_VALUE"""),"| 1 L CPT % | 2 L PHP-CGM % | 3 P Python % | 5 P PHP-CGM @ ")</f>
        <v xml:space="preserve">| 1 L CPT % | 2 L PHP-CGM % | 3 P Python % | 5 P PHP-CGM @ </v>
      </c>
      <c r="AA199" s="4" t="str">
        <f ca="1">IFERROR(__xludf.DUMMYFUNCTION("""COMPUTED_VALUE"""),"| 1 L NS % | 2 L JAVA % | 3 P CPT % | 5 P JAVA % ")</f>
        <v xml:space="preserve">| 1 L NS % | 2 L JAVA % | 3 P CPT % | 5 P JAVA % </v>
      </c>
      <c r="AB199" s="4" t="str">
        <f ca="1">IFERROR(__xludf.DUMMYFUNCTION("""COMPUTED_VALUE"""),"| 1 L CPT % | 2 L JAVA % | 3 P NS % ")</f>
        <v xml:space="preserve">| 1 L CPT % | 2 L JAVA % | 3 P NS % </v>
      </c>
      <c r="AC19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199" s="4" t="str">
        <f ca="1">IFERROR(__xludf.DUMMYFUNCTION("""COMPUTED_VALUE"""),"| 1 L CPT % | 2 L PHP-CGM % | 3 P Python % | 5 P JAVA % ")</f>
        <v xml:space="preserve">| 1 L CPT % | 2 L PHP-CGM % | 3 P Python % | 5 P JAVA % </v>
      </c>
      <c r="AE199" s="4" t="str">
        <f ca="1">IFERROR(__xludf.DUMMYFUNCTION("""COMPUTED_VALUE"""),"| 1 L CPT % | 3 P Python % | 5 P PHP-CGM % | 2 L PHP-CGM % ")</f>
        <v xml:space="preserve">| 1 L CPT % | 3 P Python % | 5 P PHP-CGM % | 2 L PHP-CGM % </v>
      </c>
      <c r="AF199" s="4" t="str">
        <f ca="1">IFERROR(__xludf.DUMMYFUNCTION("""COMPUTED_VALUE"""),"| 1 L NS % | 2 L CPT % | 3 P CPT % | 5 P JAVA % ")</f>
        <v xml:space="preserve">| 1 L NS % | 2 L CPT % | 3 P CPT % | 5 P JAVA % </v>
      </c>
      <c r="AG199" s="4" t="str">
        <f ca="1">IFERROR(__xludf.DUMMYFUNCTION("""COMPUTED_VALUE"""),"| 1 L CPT % | 2 L JAVA % | 3 P NS % ")</f>
        <v xml:space="preserve">| 1 L CPT % | 2 L JAVA % | 3 P NS % </v>
      </c>
      <c r="AH199" s="4" t="str">
        <f ca="1">IFERROR(__xludf.DUMMYFUNCTION("""COMPUTED_VALUE"""),"| 2 L JAVA % | 1 L NS % | 3 P CPT % | 5 P JAVA % ")</f>
        <v xml:space="preserve">| 2 L JAVA % | 1 L NS % | 3 P CPT % | 5 P JAVA % </v>
      </c>
      <c r="AI199" s="4" t="str">
        <f ca="1">IFERROR(__xludf.DUMMYFUNCTION("""COMPUTED_VALUE"""),"| 1 L CPT % | 2 L JAVA % | 3 P NS % ")</f>
        <v xml:space="preserve">| 1 L CPT % | 2 L JAVA % | 3 P NS % </v>
      </c>
      <c r="AJ19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199" s="4" t="str">
        <f ca="1">IFERROR(__xludf.DUMMYFUNCTION("""COMPUTED_VALUE"""),"| 1 L CPT % | 3 P Python % | 2 L PHP-CGM % | 5 P JAVA % ")</f>
        <v xml:space="preserve">| 1 L CPT % | 3 P Python % | 2 L PHP-CGM % | 5 P JAVA % </v>
      </c>
      <c r="AL199" s="4" t="str">
        <f ca="1">IFERROR(__xludf.DUMMYFUNCTION("""COMPUTED_VALUE"""),"| 1 L CPT % | 2 L PHP-CGM % | 3 P Python % | 5 P PHP-CGM % ")</f>
        <v xml:space="preserve">| 1 L CPT % | 2 L PHP-CGM % | 3 P Python % | 5 P PHP-CGM % </v>
      </c>
      <c r="AM199" s="4" t="str">
        <f ca="1">IFERROR(__xludf.DUMMYFUNCTION("""COMPUTED_VALUE"""),"| 2 L JAVA % | 3 P CPT % | 5 P JAVA % | 1 L NS % ")</f>
        <v xml:space="preserve">| 2 L JAVA % | 3 P CPT % | 5 P JAVA % | 1 L NS % </v>
      </c>
      <c r="AN199" s="4" t="str">
        <f ca="1">IFERROR(__xludf.DUMMYFUNCTION("""COMPUTED_VALUE"""),"| 1 L CPT % | 2 L JAVA % | 3 P NS @ | 5 L INE @ ")</f>
        <v xml:space="preserve">| 1 L CPT % | 2 L JAVA % | 3 P NS @ | 5 L INE @ </v>
      </c>
      <c r="AO199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P199" s="4" t="str">
        <f ca="1">IFERROR(__xludf.DUMMYFUNCTION("""COMPUTED_VALUE"""),"| 1 L CPT % | 2 L PHP-CGM % | 3 P Python % | 5 P JAVA % ")</f>
        <v xml:space="preserve">| 1 L CPT % | 2 L PHP-CGM % | 3 P Python % | 5 P JAVA % </v>
      </c>
      <c r="AQ199" s="4" t="str">
        <f ca="1">IFERROR(__xludf.DUMMYFUNCTION("""COMPUTED_VALUE"""),"| 2 L PHP-CGM % | 3 P Python % | 5 P PHP-CGM % | 1 L NS % ")</f>
        <v xml:space="preserve">| 2 L PHP-CGM % | 3 P Python % | 5 P PHP-CGM % | 1 L NS % </v>
      </c>
      <c r="AR199" s="4" t="str">
        <f ca="1">IFERROR(__xludf.DUMMYFUNCTION("""COMPUTED_VALUE"""),"| 1 L CPT @ | 2 L JAVA @ | 3 P CPT @ | 5 P JAVA @ ")</f>
        <v xml:space="preserve">| 1 L CPT @ | 2 L JAVA @ | 3 P CPT @ | 5 P JAVA @ </v>
      </c>
      <c r="AS19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199" s="4" t="str">
        <f ca="1">IFERROR(__xludf.DUMMYFUNCTION("""COMPUTED_VALUE"""),"| 1 L CPT % | 2 L PHP-CGM % | 3 P Python % | 5 P JAVA % ")</f>
        <v xml:space="preserve">| 1 L CPT % | 2 L PHP-CGM % | 3 P Python % | 5 P JAVA % </v>
      </c>
      <c r="AU199" s="4" t="str">
        <f ca="1">IFERROR(__xludf.DUMMYFUNCTION("""COMPUTED_VALUE"""),"| 1 L NS % | 2 L PHP-CGM % | 3 P Python % | 5 P PHP-CGM % ")</f>
        <v xml:space="preserve">| 1 L NS % | 2 L PHP-CGM % | 3 P Python % | 5 P PHP-CGM % </v>
      </c>
      <c r="AV199" s="4" t="str">
        <f ca="1">IFERROR(__xludf.DUMMYFUNCTION("""COMPUTED_VALUE"""),"| 1 L CPT % | 2 L JAVA % | 5 P JAVA % | 3 P CPT % ")</f>
        <v xml:space="preserve">| 1 L CPT % | 2 L JAVA % | 5 P JAVA % | 3 P CPT % </v>
      </c>
      <c r="AW199" s="4" t="str">
        <f ca="1">IFERROR(__xludf.DUMMYFUNCTION("""COMPUTED_VALUE"""),"| 1 L CPT % | 2 L JAVA % | 3 P NS % | 5 L INE @ | 6 L INE @ ")</f>
        <v xml:space="preserve">| 1 L CPT % | 2 L JAVA % | 3 P NS % | 5 L INE @ | 6 L INE @ </v>
      </c>
      <c r="AX199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Y199" s="4" t="str">
        <f ca="1">IFERROR(__xludf.DUMMYFUNCTION("""COMPUTED_VALUE"""),"| 1 L CPT % | 2 L PHP-CGM % | 3 P Python % | 5 P JAVA % ")</f>
        <v xml:space="preserve">| 1 L CPT % | 2 L PHP-CGM % | 3 P Python % | 5 P JAVA % </v>
      </c>
      <c r="AZ199" s="4" t="str">
        <f ca="1">IFERROR(__xludf.DUMMYFUNCTION("""COMPUTED_VALUE"""),"| 1 L CPT % | 2 L JAVA % | 3 P CPT % | 5 P JAVA % ")</f>
        <v xml:space="preserve">| 1 L CPT % | 2 L JAVA % | 3 P CPT % | 5 P JAVA % </v>
      </c>
      <c r="BA199" s="4" t="str">
        <f ca="1">IFERROR(__xludf.DUMMYFUNCTION("""COMPUTED_VALUE"""),"| 1 L CPT % | 2 L JAVA % | 3 P NS % | 5 L INE @ ")</f>
        <v xml:space="preserve">| 1 L CPT % | 2 L JAVA % | 3 P NS % | 5 L INE @ </v>
      </c>
      <c r="BB199" s="4" t="str">
        <f ca="1">IFERROR(__xludf.DUMMYFUNCTION("""COMPUTED_VALUE"""),"| 1 L NS @ | 2 L PHP-CGM % | 3 P PRO % | 5 L NS % | 6 L JAVA % ")</f>
        <v xml:space="preserve">| 1 L NS @ | 2 L PHP-CGM % | 3 P PRO % | 5 L NS % | 6 L JAVA % </v>
      </c>
      <c r="BC199" s="4" t="str">
        <f ca="1">IFERROR(__xludf.DUMMYFUNCTION("""COMPUTED_VALUE"""),"| 1 L CPT % | 2 L PHP-CGM % | 3 P Python % | 5 P JAVA % ")</f>
        <v xml:space="preserve">| 1 L CPT % | 2 L PHP-CGM % | 3 P Python % | 5 P JAVA % </v>
      </c>
      <c r="BD199" s="4" t="str">
        <f ca="1">IFERROR(__xludf.DUMMYFUNCTION("""COMPUTED_VALUE"""),"| 1 L NS % | 2 L PHP-CGM % | 3 P Python % | 5 P PHP-CGM % ")</f>
        <v xml:space="preserve">| 1 L NS % | 2 L PHP-CGM % | 3 P Python % | 5 P PHP-CGM % </v>
      </c>
      <c r="BE199" s="4" t="str">
        <f ca="1">IFERROR(__xludf.DUMMYFUNCTION("""COMPUTED_VALUE"""),"| 1 L CPT % | 2 L JAVA % | 3 P CPT % | 5 P JAVA % ")</f>
        <v xml:space="preserve">| 1 L CPT % | 2 L JAVA % | 3 P CPT % | 5 P JAVA % </v>
      </c>
      <c r="BF199" s="4" t="str">
        <f ca="1">IFERROR(__xludf.DUMMYFUNCTION("""COMPUTED_VALUE"""),"| 1 L CPT @ | 2 L JAVA @ | 3 P NS @ ")</f>
        <v xml:space="preserve">| 1 L CPT @ | 2 L JAVA @ | 3 P NS @ </v>
      </c>
      <c r="BG199" s="4" t="str">
        <f ca="1">IFERROR(__xludf.DUMMYFUNCTION("""COMPUTED_VALUE"""),"| 2 L PHP-CGM % | 1 L CPT % | 3 P Python @ | 5 P JAVA @ ")</f>
        <v xml:space="preserve">| 2 L PHP-CGM % | 1 L CPT % | 3 P Python @ | 5 P JAVA @ </v>
      </c>
      <c r="BH199" s="4" t="str">
        <f ca="1">IFERROR(__xludf.DUMMYFUNCTION("""COMPUTED_VALUE"""),"| 1 L NS @ | 2 L PHP-CGM @ | 3 P Python @ | 5 P PHP-CGM @ ")</f>
        <v xml:space="preserve">| 1 L NS @ | 2 L PHP-CGM @ | 3 P Python @ | 5 P PHP-CGM @ </v>
      </c>
      <c r="BI199" s="4" t="str">
        <f ca="1">IFERROR(__xludf.DUMMYFUNCTION("""COMPUTED_VALUE"""),"| 1 L CPT @ | 2 L JAVA @ | 3 P CPT % | 5 P JAVA % ")</f>
        <v xml:space="preserve">| 1 L CPT @ | 2 L JAVA @ | 3 P CPT % | 5 P JAVA % </v>
      </c>
      <c r="BJ199" s="4" t="str">
        <f ca="1">IFERROR(__xludf.DUMMYFUNCTION("""COMPUTED_VALUE"""),"| 1 L CPT % | 2 L JAVA % | 3 P NS % | 5 L INE % ")</f>
        <v xml:space="preserve">| 1 L CPT % | 2 L JAVA % | 3 P NS % | 5 L INE % </v>
      </c>
      <c r="BK19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199" s="4" t="str">
        <f ca="1">IFERROR(__xludf.DUMMYFUNCTION("""COMPUTED_VALUE"""),"| 1 L CPT % | 2 L PHP-CGM % | 3 P Python % | 5 P JAVA % ")</f>
        <v xml:space="preserve">| 1 L CPT % | 2 L PHP-CGM % | 3 P Python % | 5 P JAVA % </v>
      </c>
      <c r="BM199" s="4" t="str">
        <f ca="1">IFERROR(__xludf.DUMMYFUNCTION("""COMPUTED_VALUE"""),"| 1 L NS % | 2 L PHP-CGM % | 3 P Python @ ")</f>
        <v xml:space="preserve">| 1 L NS % | 2 L PHP-CGM % | 3 P Python @ </v>
      </c>
      <c r="BN199" s="4" t="str">
        <f ca="1">IFERROR(__xludf.DUMMYFUNCTION("""COMPUTED_VALUE"""),"| 2 L JAVA % | 1 L CPT % | 3 P CPT % | 5 P JAVA % ")</f>
        <v xml:space="preserve">| 2 L JAVA % | 1 L CPT % | 3 P CPT % | 5 P JAVA % </v>
      </c>
      <c r="BO199" s="4" t="str">
        <f ca="1">IFERROR(__xludf.DUMMYFUNCTION("""COMPUTED_VALUE"""),"| 2 L JAVA @ | 1 L CPT @ | 3 P NS @ | 5 L INE @ ")</f>
        <v xml:space="preserve">| 2 L JAVA @ | 1 L CPT @ | 3 P NS @ | 5 L INE @ </v>
      </c>
      <c r="BP199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199" s="4"/>
      <c r="BR199" s="4"/>
      <c r="BS199" s="4"/>
      <c r="BT199" s="4" t="str">
        <f ca="1">IFERROR(__xludf.DUMMYFUNCTION("""COMPUTED_VALUE"""),"| 1 L NS @ | 2 L PHP-CGM @ | 3 P PRO @ ")</f>
        <v xml:space="preserve">| 1 L NS @ | 2 L PHP-CGM @ | 3 P PRO @ </v>
      </c>
      <c r="BU199" s="4" t="str">
        <f ca="1">IFERROR(__xludf.DUMMYFUNCTION("""COMPUTED_VALUE"""),"| 1 L CPT % | 3 P Python % ")</f>
        <v xml:space="preserve">| 1 L CPT % | 3 P Python % </v>
      </c>
      <c r="BV199" s="4" t="str">
        <f ca="1">IFERROR(__xludf.DUMMYFUNCTION("""COMPUTED_VALUE"""),"| 1 L NS % | 2 L PHP-CGM % | 3 P PRO % | 6 L JAVA % ")</f>
        <v xml:space="preserve">| 1 L NS % | 2 L PHP-CGM % | 3 P PRO % | 6 L JAVA % </v>
      </c>
      <c r="BW199" s="4" t="str">
        <f ca="1">IFERROR(__xludf.DUMMYFUNCTION("""COMPUTED_VALUE"""),"| 1 L CPT % | 2 L PHP-CGM % | 3 P Python % ")</f>
        <v xml:space="preserve">| 1 L CPT % | 2 L PHP-CGM % | 3 P Python % </v>
      </c>
      <c r="BX199" s="4" t="str">
        <f ca="1">IFERROR(__xludf.DUMMYFUNCTION("""COMPUTED_VALUE"""),"| 1 L NS % | 2 L PHP-CGM % | 3 P Python % | 5 P PHP-CGM % ")</f>
        <v xml:space="preserve">| 1 L NS % | 2 L PHP-CGM % | 3 P Python % | 5 P PHP-CGM % </v>
      </c>
      <c r="BY199" s="4" t="str">
        <f ca="1">IFERROR(__xludf.DUMMYFUNCTION("""COMPUTED_VALUE"""),"| 1 L CPT % | 2 L JAVA % | 3 P CPT % | 5 P JAVA % ")</f>
        <v xml:space="preserve">| 1 L CPT % | 2 L JAVA % | 3 P CPT % | 5 P JAVA % </v>
      </c>
      <c r="BZ199" s="4" t="str">
        <f ca="1">IFERROR(__xludf.DUMMYFUNCTION("""COMPUTED_VALUE"""),"| 1 L CPT @ | 2 L JAVA @ | 3 P NS % | 5 L INE % ")</f>
        <v xml:space="preserve">| 1 L CPT @ | 2 L JAVA @ | 3 P NS % | 5 L INE % </v>
      </c>
      <c r="CA199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199" s="4" t="str">
        <f ca="1">IFERROR(__xludf.DUMMYFUNCTION("""COMPUTED_VALUE"""),"| 2 L PHP-CGM % | 3 P Python % | 5 P JAVA % | 1 L CPT % ")</f>
        <v xml:space="preserve">| 2 L PHP-CGM % | 3 P Python % | 5 P JAVA % | 1 L CPT % </v>
      </c>
      <c r="CC199" s="4" t="str">
        <f ca="1">IFERROR(__xludf.DUMMYFUNCTION("""COMPUTED_VALUE"""),"| 1 L NS % | 2 L PHP-CGM % | 3 P Python % | 5 P PHP-CGM % ")</f>
        <v xml:space="preserve">| 1 L NS % | 2 L PHP-CGM % | 3 P Python % | 5 P PHP-CGM % </v>
      </c>
      <c r="CD199" s="4" t="str">
        <f ca="1">IFERROR(__xludf.DUMMYFUNCTION("""COMPUTED_VALUE"""),"| 1 L CPT @ | 2 L JAVA @ | 3 P CPT @ | 5 P JAVA @ ")</f>
        <v xml:space="preserve">| 1 L CPT @ | 2 L JAVA @ | 3 P CPT @ | 5 P JAVA @ </v>
      </c>
      <c r="CE199" s="4" t="str">
        <f ca="1">IFERROR(__xludf.DUMMYFUNCTION("""COMPUTED_VALUE"""),"| 1 L CPT % | 2 L JAVA % | 3 P NS % | 5 L INE % ")</f>
        <v xml:space="preserve">| 1 L CPT % | 2 L JAVA % | 3 P NS % | 5 L INE % </v>
      </c>
      <c r="CF199" s="4" t="str">
        <f ca="1">IFERROR(__xludf.DUMMYFUNCTION("""COMPUTED_VALUE"""),"| 1 L NS % | 2 L PHP-CGM % | 5 L NS @ | 6 L JAVA @ ")</f>
        <v xml:space="preserve">| 1 L NS % | 2 L PHP-CGM % | 5 L NS @ | 6 L JAVA @ </v>
      </c>
      <c r="CG199" s="4" t="str">
        <f ca="1">IFERROR(__xludf.DUMMYFUNCTION("""COMPUTED_VALUE"""),"| 1 L CPT % | 2 L PHP-CGM % | 3 P Python % | 5 P JAVA % ")</f>
        <v xml:space="preserve">| 1 L CPT % | 2 L PHP-CGM % | 3 P Python % | 5 P JAVA % </v>
      </c>
      <c r="CH199" s="4" t="str">
        <f ca="1">IFERROR(__xludf.DUMMYFUNCTION("""COMPUTED_VALUE"""),"| 1 L NS % | 2 L PHP-CGM % | 3 P Python % | 5 P PHP-CGM % ")</f>
        <v xml:space="preserve">| 1 L NS % | 2 L PHP-CGM % | 3 P Python % | 5 P PHP-CGM % </v>
      </c>
      <c r="CI199" s="4" t="str">
        <f ca="1">IFERROR(__xludf.DUMMYFUNCTION("""COMPUTED_VALUE"""),"| 1 L CPT % | 2 L JAVA % ")</f>
        <v xml:space="preserve">| 1 L CPT % | 2 L JAVA % </v>
      </c>
      <c r="CJ199" s="4" t="str">
        <f ca="1">IFERROR(__xludf.DUMMYFUNCTION("""COMPUTED_VALUE"""),"| 1 L CPT @ | 3 P NS % ")</f>
        <v xml:space="preserve">| 1 L CPT @ | 3 P NS % </v>
      </c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</row>
    <row r="200" spans="1:102" ht="12.5" x14ac:dyDescent="0.25">
      <c r="A200" s="3">
        <f ca="1">IFERROR(__xludf.DUMMYFUNCTION("""COMPUTED_VALUE"""),2)</f>
        <v>2</v>
      </c>
      <c r="B200" s="3" t="str">
        <f ca="1">IFERROR(__xludf.DUMMYFUNCTION("""COMPUTED_VALUE"""),"C")</f>
        <v>C</v>
      </c>
      <c r="C200" s="32" t="str">
        <f ca="1">IFERROR(__xludf.DUMMYFUNCTION("""COMPUTED_VALUE"""),"23171341082")</f>
        <v>23171341082</v>
      </c>
      <c r="D200" s="4" t="str">
        <f ca="1">IFERROR(__xludf.DUMMYFUNCTION("""COMPUTED_VALUE"""),"PATEL FRENA ALPESHKUMAR")</f>
        <v>PATEL FRENA ALPESHKUMAR</v>
      </c>
      <c r="E200" s="3" t="str">
        <f ca="1">IFERROR(__xludf.DUMMYFUNCTION("""COMPUTED_VALUE"""),"PKN/PAP-Mor")</f>
        <v>PKN/PAP-Mor</v>
      </c>
      <c r="F200" s="3">
        <f ca="1">IFERROR(__xludf.DUMMYFUNCTION("""COMPUTED_VALUE"""),8780094412)</f>
        <v>8780094412</v>
      </c>
      <c r="G200" s="3">
        <f ca="1">IFERROR(__xludf.DUMMYFUNCTION("""COMPUTED_VALUE"""),9033874313)</f>
        <v>9033874313</v>
      </c>
      <c r="H200" s="33">
        <f ca="1">IFERROR(__xludf.DUMMYFUNCTION("""COMPUTED_VALUE"""),0.65040650406504)</f>
        <v>0.65040650406503997</v>
      </c>
      <c r="I200" s="25">
        <f ca="1">IFERROR(__xludf.DUMMYFUNCTION("""COMPUTED_VALUE"""),0.605263157894736)</f>
        <v>0.60526315789473595</v>
      </c>
      <c r="J200" s="25">
        <f ca="1">IFERROR(__xludf.DUMMYFUNCTION("""COMPUTED_VALUE"""),0.666666666666666)</f>
        <v>0.66666666666666596</v>
      </c>
      <c r="K200" s="25">
        <f ca="1">IFERROR(__xludf.DUMMYFUNCTION("""COMPUTED_VALUE"""),0.694444444444444)</f>
        <v>0.69444444444444398</v>
      </c>
      <c r="L200" s="25">
        <f ca="1">IFERROR(__xludf.DUMMYFUNCTION("""COMPUTED_VALUE"""),0.75)</f>
        <v>0.75</v>
      </c>
      <c r="M200" s="25">
        <f ca="1">IFERROR(__xludf.DUMMYFUNCTION("""COMPUTED_VALUE"""),0.722222222222222)</f>
        <v>0.72222222222222199</v>
      </c>
      <c r="N200" s="25">
        <f ca="1">IFERROR(__xludf.DUMMYFUNCTION("""COMPUTED_VALUE"""),0.7)</f>
        <v>0.7</v>
      </c>
      <c r="O200" s="25">
        <f ca="1">IFERROR(__xludf.DUMMYFUNCTION("""COMPUTED_VALUE"""),0.628571428571428)</f>
        <v>0.628571428571428</v>
      </c>
      <c r="P200" s="25">
        <f ca="1">IFERROR(__xludf.DUMMYFUNCTION("""COMPUTED_VALUE"""),0.652173913043478)</f>
        <v>0.65217391304347805</v>
      </c>
      <c r="Q200" s="25">
        <f ca="1">IFERROR(__xludf.DUMMYFUNCTION("""COMPUTED_VALUE"""),0)</f>
        <v>0</v>
      </c>
      <c r="R200" s="25">
        <f ca="1">IFERROR(__xludf.DUMMYFUNCTION("""COMPUTED_VALUE"""),0.583333333333333)</f>
        <v>0.58333333333333304</v>
      </c>
      <c r="S200" s="25">
        <f ca="1">IFERROR(__xludf.DUMMYFUNCTION("""COMPUTED_VALUE"""),0)</f>
        <v>0</v>
      </c>
      <c r="T200" s="25">
        <f ca="1">IFERROR(__xludf.DUMMYFUNCTION("""COMPUTED_VALUE"""),0.666666666666666)</f>
        <v>0.66666666666666596</v>
      </c>
      <c r="U200" s="25">
        <f ca="1">IFERROR(__xludf.DUMMYFUNCTION("""COMPUTED_VALUE"""),0.375)</f>
        <v>0.375</v>
      </c>
      <c r="V200" s="25">
        <f ca="1">IFERROR(__xludf.DUMMYFUNCTION("""COMPUTED_VALUE"""),0)</f>
        <v>0</v>
      </c>
      <c r="W200" s="4"/>
      <c r="X20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200" s="4" t="str">
        <f ca="1">IFERROR(__xludf.DUMMYFUNCTION("""COMPUTED_VALUE"""),"| 1 L CPT % | 5 L PHP-CGM % | 3 P Python % | 5 P JAVA % ")</f>
        <v xml:space="preserve">| 1 L CPT % | 5 L PHP-CGM % | 3 P Python % | 5 P JAVA % </v>
      </c>
      <c r="Z200" s="4" t="str">
        <f ca="1">IFERROR(__xludf.DUMMYFUNCTION("""COMPUTED_VALUE"""),"| 1 L CPT % | 2 L PHP-CGM % | 3 P Python % | 5 P PHP-CGM % ")</f>
        <v xml:space="preserve">| 1 L CPT % | 2 L PHP-CGM % | 3 P Python % | 5 P PHP-CGM % </v>
      </c>
      <c r="AA200" s="4" t="str">
        <f ca="1">IFERROR(__xludf.DUMMYFUNCTION("""COMPUTED_VALUE"""),"| 1 L NS % | 2 L JAVA % | 3 P CPT % | 5 P JAVA % ")</f>
        <v xml:space="preserve">| 1 L NS % | 2 L JAVA % | 3 P CPT % | 5 P JAVA % </v>
      </c>
      <c r="AB200" s="4" t="str">
        <f ca="1">IFERROR(__xludf.DUMMYFUNCTION("""COMPUTED_VALUE"""),"| 1 L CPT % | 2 L JAVA % | 3 P NS % ")</f>
        <v xml:space="preserve">| 1 L CPT % | 2 L JAVA % | 3 P NS % </v>
      </c>
      <c r="AC20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00" s="4" t="str">
        <f ca="1">IFERROR(__xludf.DUMMYFUNCTION("""COMPUTED_VALUE"""),"| 1 L CPT % | 2 L PHP-CGM % | 3 P Python % | 5 P JAVA % ")</f>
        <v xml:space="preserve">| 1 L CPT % | 2 L PHP-CGM % | 3 P Python % | 5 P JAVA % </v>
      </c>
      <c r="AE200" s="4" t="str">
        <f ca="1">IFERROR(__xludf.DUMMYFUNCTION("""COMPUTED_VALUE"""),"| 1 L CPT % | 3 P Python % | 5 P PHP-CGM % | 2 L PHP-CGM % ")</f>
        <v xml:space="preserve">| 1 L CPT % | 3 P Python % | 5 P PHP-CGM % | 2 L PHP-CGM % </v>
      </c>
      <c r="AF200" s="4" t="str">
        <f ca="1">IFERROR(__xludf.DUMMYFUNCTION("""COMPUTED_VALUE"""),"| 1 L NS % | 2 L CPT % | 3 P CPT % | 5 P JAVA % ")</f>
        <v xml:space="preserve">| 1 L NS % | 2 L CPT % | 3 P CPT % | 5 P JAVA % </v>
      </c>
      <c r="AG200" s="4" t="str">
        <f ca="1">IFERROR(__xludf.DUMMYFUNCTION("""COMPUTED_VALUE"""),"| 1 L CPT % | 2 L JAVA % | 3 P NS % ")</f>
        <v xml:space="preserve">| 1 L CPT % | 2 L JAVA % | 3 P NS % </v>
      </c>
      <c r="AH200" s="4" t="str">
        <f ca="1">IFERROR(__xludf.DUMMYFUNCTION("""COMPUTED_VALUE"""),"| 2 L JAVA % | 1 L NS % | 3 P CPT % | 5 P JAVA % ")</f>
        <v xml:space="preserve">| 2 L JAVA % | 1 L NS % | 3 P CPT % | 5 P JAVA % </v>
      </c>
      <c r="AI200" s="4" t="str">
        <f ca="1">IFERROR(__xludf.DUMMYFUNCTION("""COMPUTED_VALUE"""),"| 1 L CPT % | 2 L JAVA % | 3 P NS % ")</f>
        <v xml:space="preserve">| 1 L CPT % | 2 L JAVA % | 3 P NS % </v>
      </c>
      <c r="AJ200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K200" s="4" t="str">
        <f ca="1">IFERROR(__xludf.DUMMYFUNCTION("""COMPUTED_VALUE"""),"| 1 L CPT % | 3 P Python % | 2 L PHP-CGM % | 5 P JAVA % ")</f>
        <v xml:space="preserve">| 1 L CPT % | 3 P Python % | 2 L PHP-CGM % | 5 P JAVA % </v>
      </c>
      <c r="AL200" s="4" t="str">
        <f ca="1">IFERROR(__xludf.DUMMYFUNCTION("""COMPUTED_VALUE"""),"| 1 L CPT @ | 2 L PHP-CGM @ | 3 P Python @ | 5 P PHP-CGM @ ")</f>
        <v xml:space="preserve">| 1 L CPT @ | 2 L PHP-CGM @ | 3 P Python @ | 5 P PHP-CGM @ </v>
      </c>
      <c r="AM200" s="4" t="str">
        <f ca="1">IFERROR(__xludf.DUMMYFUNCTION("""COMPUTED_VALUE"""),"| 2 L JAVA % | 3 P CPT % | 5 P JAVA % | 1 L NS % ")</f>
        <v xml:space="preserve">| 2 L JAVA % | 3 P CPT % | 5 P JAVA % | 1 L NS % </v>
      </c>
      <c r="AN200" s="4" t="str">
        <f ca="1">IFERROR(__xludf.DUMMYFUNCTION("""COMPUTED_VALUE"""),"| 1 L CPT % | 2 L JAVA % | 3 P NS % | 5 L INE @ ")</f>
        <v xml:space="preserve">| 1 L CPT % | 2 L JAVA % | 3 P NS % | 5 L INE @ </v>
      </c>
      <c r="AO200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00" s="4" t="str">
        <f ca="1">IFERROR(__xludf.DUMMYFUNCTION("""COMPUTED_VALUE"""),"| 1 L CPT @ | 2 L PHP-CGM @ | 3 P Python @ | 5 P JAVA @ ")</f>
        <v xml:space="preserve">| 1 L CPT @ | 2 L PHP-CGM @ | 3 P Python @ | 5 P JAVA @ </v>
      </c>
      <c r="AQ200" s="4" t="str">
        <f ca="1">IFERROR(__xludf.DUMMYFUNCTION("""COMPUTED_VALUE"""),"| 2 L PHP-CGM % | 3 P Python % | 5 P PHP-CGM % | 1 L NS % ")</f>
        <v xml:space="preserve">| 2 L PHP-CGM % | 3 P Python % | 5 P PHP-CGM % | 1 L NS % </v>
      </c>
      <c r="AR200" s="4" t="str">
        <f ca="1">IFERROR(__xludf.DUMMYFUNCTION("""COMPUTED_VALUE"""),"| 1 L CPT @ | 2 L JAVA @ | 3 P CPT @ | 5 P JAVA @ ")</f>
        <v xml:space="preserve">| 1 L CPT @ | 2 L JAVA @ | 3 P CPT @ | 5 P JAVA @ </v>
      </c>
      <c r="AS20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00" s="4" t="str">
        <f ca="1">IFERROR(__xludf.DUMMYFUNCTION("""COMPUTED_VALUE"""),"| 1 L CPT % | 2 L PHP-CGM % | 3 P Python % | 5 P JAVA % ")</f>
        <v xml:space="preserve">| 1 L CPT % | 2 L PHP-CGM % | 3 P Python % | 5 P JAVA % </v>
      </c>
      <c r="AU200" s="4" t="str">
        <f ca="1">IFERROR(__xludf.DUMMYFUNCTION("""COMPUTED_VALUE"""),"| 1 L NS % | 2 L PHP-CGM % | 3 P Python % | 5 P PHP-CGM % ")</f>
        <v xml:space="preserve">| 1 L NS % | 2 L PHP-CGM % | 3 P Python % | 5 P PHP-CGM % </v>
      </c>
      <c r="AV200" s="4" t="str">
        <f ca="1">IFERROR(__xludf.DUMMYFUNCTION("""COMPUTED_VALUE"""),"| 1 L CPT % | 2 L JAVA % | 5 P JAVA % | 3 P CPT % ")</f>
        <v xml:space="preserve">| 1 L CPT % | 2 L JAVA % | 5 P JAVA % | 3 P CPT % </v>
      </c>
      <c r="AW200" s="4" t="str">
        <f ca="1">IFERROR(__xludf.DUMMYFUNCTION("""COMPUTED_VALUE"""),"| 1 L CPT % | 2 L JAVA % | 3 P NS % | 5 L INE % | 6 L INE % ")</f>
        <v xml:space="preserve">| 1 L CPT % | 2 L JAVA % | 3 P NS % | 5 L INE % | 6 L INE % </v>
      </c>
      <c r="AX200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Y200" s="4" t="str">
        <f ca="1">IFERROR(__xludf.DUMMYFUNCTION("""COMPUTED_VALUE"""),"| 1 L CPT @ | 2 L PHP-CGM % | 3 P Python @ | 5 P JAVA @ ")</f>
        <v xml:space="preserve">| 1 L CPT @ | 2 L PHP-CGM % | 3 P Python @ | 5 P JAVA @ </v>
      </c>
      <c r="AZ200" s="4" t="str">
        <f ca="1">IFERROR(__xludf.DUMMYFUNCTION("""COMPUTED_VALUE"""),"| 1 L CPT % | 2 L JAVA % | 3 P CPT % | 5 P JAVA % ")</f>
        <v xml:space="preserve">| 1 L CPT % | 2 L JAVA % | 3 P CPT % | 5 P JAVA % </v>
      </c>
      <c r="BA200" s="4" t="str">
        <f ca="1">IFERROR(__xludf.DUMMYFUNCTION("""COMPUTED_VALUE"""),"| 1 L CPT % | 2 L JAVA % | 3 P NS % | 5 L INE @ ")</f>
        <v xml:space="preserve">| 1 L CPT % | 2 L JAVA % | 3 P NS % | 5 L INE @ </v>
      </c>
      <c r="BB20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0" s="4" t="str">
        <f ca="1">IFERROR(__xludf.DUMMYFUNCTION("""COMPUTED_VALUE"""),"| 1 L CPT @ | 2 L PHP-CGM @ | 3 P Python @ | 5 P JAVA @ ")</f>
        <v xml:space="preserve">| 1 L CPT @ | 2 L PHP-CGM @ | 3 P Python @ | 5 P JAVA @ </v>
      </c>
      <c r="BD200" s="4" t="str">
        <f ca="1">IFERROR(__xludf.DUMMYFUNCTION("""COMPUTED_VALUE"""),"| 1 L NS % | 2 L PHP-CGM % | 3 P Python % | 5 P PHP-CGM % ")</f>
        <v xml:space="preserve">| 1 L NS % | 2 L PHP-CGM % | 3 P Python % | 5 P PHP-CGM % </v>
      </c>
      <c r="BE200" s="4" t="str">
        <f ca="1">IFERROR(__xludf.DUMMYFUNCTION("""COMPUTED_VALUE"""),"| 1 L CPT % | 2 L JAVA % | 3 P CPT % | 5 P JAVA % ")</f>
        <v xml:space="preserve">| 1 L CPT % | 2 L JAVA % | 3 P CPT % | 5 P JAVA % </v>
      </c>
      <c r="BF200" s="4" t="str">
        <f ca="1">IFERROR(__xludf.DUMMYFUNCTION("""COMPUTED_VALUE"""),"| 1 L CPT % | 2 L JAVA % | 3 P NS @ ")</f>
        <v xml:space="preserve">| 1 L CPT % | 2 L JAVA % | 3 P NS @ </v>
      </c>
      <c r="BG200" s="4" t="str">
        <f ca="1">IFERROR(__xludf.DUMMYFUNCTION("""COMPUTED_VALUE"""),"| 2 L PHP-CGM % | 1 L CPT % | 3 P Python % | 5 P JAVA % ")</f>
        <v xml:space="preserve">| 2 L PHP-CGM % | 1 L CPT % | 3 P Python % | 5 P JAVA % </v>
      </c>
      <c r="BH200" s="4" t="str">
        <f ca="1">IFERROR(__xludf.DUMMYFUNCTION("""COMPUTED_VALUE"""),"| 1 L NS % | 2 L PHP-CGM % | 3 P Python @ | 5 P PHP-CGM @ ")</f>
        <v xml:space="preserve">| 1 L NS % | 2 L PHP-CGM % | 3 P Python @ | 5 P PHP-CGM @ </v>
      </c>
      <c r="BI200" s="4" t="str">
        <f ca="1">IFERROR(__xludf.DUMMYFUNCTION("""COMPUTED_VALUE"""),"| 1 L CPT @ | 2 L JAVA @ | 3 P CPT @ | 5 P JAVA @ ")</f>
        <v xml:space="preserve">| 1 L CPT @ | 2 L JAVA @ | 3 P CPT @ | 5 P JAVA @ </v>
      </c>
      <c r="BJ200" s="4" t="str">
        <f ca="1">IFERROR(__xludf.DUMMYFUNCTION("""COMPUTED_VALUE"""),"| 1 L CPT @ | 2 L JAVA @ | 3 P NS @ | 5 L INE @ ")</f>
        <v xml:space="preserve">| 1 L CPT @ | 2 L JAVA @ | 3 P NS @ | 5 L INE @ </v>
      </c>
      <c r="BK20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200" s="4" t="str">
        <f ca="1">IFERROR(__xludf.DUMMYFUNCTION("""COMPUTED_VALUE"""),"| 1 L CPT @ | 2 L PHP-CGM @ | 3 P Python @ | 5 P JAVA @ ")</f>
        <v xml:space="preserve">| 1 L CPT @ | 2 L PHP-CGM @ | 3 P Python @ | 5 P JAVA @ </v>
      </c>
      <c r="BM200" s="4" t="str">
        <f ca="1">IFERROR(__xludf.DUMMYFUNCTION("""COMPUTED_VALUE"""),"| 1 L NS @ | 2 L PHP-CGM @ | 3 P Python @ ")</f>
        <v xml:space="preserve">| 1 L NS @ | 2 L PHP-CGM @ | 3 P Python @ </v>
      </c>
      <c r="BN200" s="4" t="str">
        <f ca="1">IFERROR(__xludf.DUMMYFUNCTION("""COMPUTED_VALUE"""),"| 2 L JAVA @ | 1 L CPT @ | 3 P CPT @ | 5 P JAVA @ ")</f>
        <v xml:space="preserve">| 2 L JAVA @ | 1 L CPT @ | 3 P CPT @ | 5 P JAVA @ </v>
      </c>
      <c r="BO200" s="4" t="str">
        <f ca="1">IFERROR(__xludf.DUMMYFUNCTION("""COMPUTED_VALUE"""),"| 2 L JAVA % | 1 L CPT % | 3 P NS % | 5 L INE @ ")</f>
        <v xml:space="preserve">| 2 L JAVA % | 1 L CPT % | 3 P NS % | 5 L INE @ </v>
      </c>
      <c r="BP200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200" s="4"/>
      <c r="BR200" s="4"/>
      <c r="BS200" s="4"/>
      <c r="BT200" s="4" t="str">
        <f ca="1">IFERROR(__xludf.DUMMYFUNCTION("""COMPUTED_VALUE"""),"| 1 L NS @ | 2 L PHP-CGM @ | 3 P PRO @ ")</f>
        <v xml:space="preserve">| 1 L NS @ | 2 L PHP-CGM @ | 3 P PRO @ </v>
      </c>
      <c r="BU200" s="4" t="str">
        <f ca="1">IFERROR(__xludf.DUMMYFUNCTION("""COMPUTED_VALUE"""),"| 1 L CPT @ | 3 P Python @ ")</f>
        <v xml:space="preserve">| 1 L CPT @ | 3 P Python @ </v>
      </c>
      <c r="BV200" s="4" t="str">
        <f ca="1">IFERROR(__xludf.DUMMYFUNCTION("""COMPUTED_VALUE"""),"| 1 L NS % | 2 L PHP-CGM % | 3 P PRO % | 6 L JAVA @ ")</f>
        <v xml:space="preserve">| 1 L NS % | 2 L PHP-CGM % | 3 P PRO % | 6 L JAVA @ </v>
      </c>
      <c r="BW200" s="4" t="str">
        <f ca="1">IFERROR(__xludf.DUMMYFUNCTION("""COMPUTED_VALUE"""),"| 1 L CPT @ | 2 L PHP-CGM @ | 3 P Python @ ")</f>
        <v xml:space="preserve">| 1 L CPT @ | 2 L PHP-CGM @ | 3 P Python @ </v>
      </c>
      <c r="BX200" s="4" t="str">
        <f ca="1">IFERROR(__xludf.DUMMYFUNCTION("""COMPUTED_VALUE"""),"| 1 L NS % | 2 L PHP-CGM % | 3 P Python % | 5 P PHP-CGM % ")</f>
        <v xml:space="preserve">| 1 L NS % | 2 L PHP-CGM % | 3 P Python % | 5 P PHP-CGM % </v>
      </c>
      <c r="BY200" s="4" t="str">
        <f ca="1">IFERROR(__xludf.DUMMYFUNCTION("""COMPUTED_VALUE"""),"| 1 L CPT % | 2 L JAVA % | 3 P CPT % | 5 P JAVA % ")</f>
        <v xml:space="preserve">| 1 L CPT % | 2 L JAVA % | 3 P CPT % | 5 P JAVA % </v>
      </c>
      <c r="BZ200" s="4" t="str">
        <f ca="1">IFERROR(__xludf.DUMMYFUNCTION("""COMPUTED_VALUE"""),"| 1 L CPT @ | 2 L JAVA @ | 3 P NS % | 5 L INE @ ")</f>
        <v xml:space="preserve">| 1 L CPT @ | 2 L JAVA @ | 3 P NS % | 5 L INE @ </v>
      </c>
      <c r="CA200" s="4" t="str">
        <f ca="1">IFERROR(__xludf.DUMMYFUNCTION("""COMPUTED_VALUE"""),"| 1 L NS @ | 2 L PHP-CGM % | 3 P PRO @ | 5 L NS @ | 6 L JAVA @ ")</f>
        <v xml:space="preserve">| 1 L NS @ | 2 L PHP-CGM % | 3 P PRO @ | 5 L NS @ | 6 L JAVA @ </v>
      </c>
      <c r="CB200" s="4" t="str">
        <f ca="1">IFERROR(__xludf.DUMMYFUNCTION("""COMPUTED_VALUE"""),"| 2 L PHP-CGM % | 3 P Python % | 5 P JAVA % | 1 L CPT % ")</f>
        <v xml:space="preserve">| 2 L PHP-CGM % | 3 P Python % | 5 P JAVA % | 1 L CPT % </v>
      </c>
      <c r="CC200" s="4" t="str">
        <f ca="1">IFERROR(__xludf.DUMMYFUNCTION("""COMPUTED_VALUE"""),"| 1 L NS % | 2 L PHP-CGM % | 3 P Python % | 5 P PHP-CGM @ ")</f>
        <v xml:space="preserve">| 1 L NS % | 2 L PHP-CGM % | 3 P Python % | 5 P PHP-CGM @ </v>
      </c>
      <c r="CD200" s="4" t="str">
        <f ca="1">IFERROR(__xludf.DUMMYFUNCTION("""COMPUTED_VALUE"""),"| 1 L CPT @ | 2 L JAVA @ | 3 P CPT @ | 5 P JAVA @ ")</f>
        <v xml:space="preserve">| 1 L CPT @ | 2 L JAVA @ | 3 P CPT @ | 5 P JAVA @ </v>
      </c>
      <c r="CE200" s="4" t="str">
        <f ca="1">IFERROR(__xludf.DUMMYFUNCTION("""COMPUTED_VALUE"""),"| 1 L CPT @ | 2 L JAVA @ | 3 P NS @ | 5 L INE % ")</f>
        <v xml:space="preserve">| 1 L CPT @ | 2 L JAVA @ | 3 P NS @ | 5 L INE % </v>
      </c>
      <c r="CF200" s="4" t="str">
        <f ca="1">IFERROR(__xludf.DUMMYFUNCTION("""COMPUTED_VALUE"""),"| 1 L NS @ | 2 L PHP-CGM @ | 5 L NS % | 6 L JAVA % ")</f>
        <v xml:space="preserve">| 1 L NS @ | 2 L PHP-CGM @ | 5 L NS % | 6 L JAVA % </v>
      </c>
      <c r="CG200" s="4" t="str">
        <f ca="1">IFERROR(__xludf.DUMMYFUNCTION("""COMPUTED_VALUE"""),"| 1 L CPT % | 2 L PHP-CGM % | 3 P Python % | 5 P JAVA % ")</f>
        <v xml:space="preserve">| 1 L CPT % | 2 L PHP-CGM % | 3 P Python % | 5 P JAVA % </v>
      </c>
      <c r="CH200" s="4" t="str">
        <f ca="1">IFERROR(__xludf.DUMMYFUNCTION("""COMPUTED_VALUE"""),"| 1 L NS % | 2 L PHP-CGM % | 3 P Python @ | 5 P PHP-CGM % ")</f>
        <v xml:space="preserve">| 1 L NS % | 2 L PHP-CGM % | 3 P Python @ | 5 P PHP-CGM % </v>
      </c>
      <c r="CI200" s="4" t="str">
        <f ca="1">IFERROR(__xludf.DUMMYFUNCTION("""COMPUTED_VALUE"""),"| 1 L CPT % | 2 L JAVA % ")</f>
        <v xml:space="preserve">| 1 L CPT % | 2 L JAVA % </v>
      </c>
      <c r="CJ200" s="4" t="str">
        <f ca="1">IFERROR(__xludf.DUMMYFUNCTION("""COMPUTED_VALUE"""),"| 1 L CPT @ | 3 P NS % ")</f>
        <v xml:space="preserve">| 1 L CPT @ | 3 P NS % </v>
      </c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</row>
    <row r="201" spans="1:102" ht="12.5" x14ac:dyDescent="0.25">
      <c r="A201" s="3">
        <f ca="1">IFERROR(__xludf.DUMMYFUNCTION("""COMPUTED_VALUE"""),2)</f>
        <v>2</v>
      </c>
      <c r="B201" s="3" t="str">
        <f ca="1">IFERROR(__xludf.DUMMYFUNCTION("""COMPUTED_VALUE"""),"C")</f>
        <v>C</v>
      </c>
      <c r="C201" s="32" t="str">
        <f ca="1">IFERROR(__xludf.DUMMYFUNCTION("""COMPUTED_VALUE"""),"23171341085")</f>
        <v>23171341085</v>
      </c>
      <c r="D201" s="4" t="str">
        <f ca="1">IFERROR(__xludf.DUMMYFUNCTION("""COMPUTED_VALUE"""),"PATEL HARSH PRAVINBHAI")</f>
        <v>PATEL HARSH PRAVINBHAI</v>
      </c>
      <c r="E201" s="3" t="str">
        <f ca="1">IFERROR(__xludf.DUMMYFUNCTION("""COMPUTED_VALUE"""),"PKN/PAP-Mor")</f>
        <v>PKN/PAP-Mor</v>
      </c>
      <c r="F201" s="3">
        <f ca="1">IFERROR(__xludf.DUMMYFUNCTION("""COMPUTED_VALUE"""),6353740211)</f>
        <v>6353740211</v>
      </c>
      <c r="G201" s="3">
        <f ca="1">IFERROR(__xludf.DUMMYFUNCTION("""COMPUTED_VALUE"""),9727171641)</f>
        <v>9727171641</v>
      </c>
      <c r="H201" s="33">
        <f ca="1">IFERROR(__xludf.DUMMYFUNCTION("""COMPUTED_VALUE"""),0.695121951219512)</f>
        <v>0.69512195121951204</v>
      </c>
      <c r="I201" s="25">
        <f ca="1">IFERROR(__xludf.DUMMYFUNCTION("""COMPUTED_VALUE"""),0.81578947368421)</f>
        <v>0.81578947368420995</v>
      </c>
      <c r="J201" s="25">
        <f ca="1">IFERROR(__xludf.DUMMYFUNCTION("""COMPUTED_VALUE"""),0.666666666666666)</f>
        <v>0.66666666666666596</v>
      </c>
      <c r="K201" s="25">
        <f ca="1">IFERROR(__xludf.DUMMYFUNCTION("""COMPUTED_VALUE"""),0.583333333333333)</f>
        <v>0.58333333333333304</v>
      </c>
      <c r="L201" s="25">
        <f ca="1">IFERROR(__xludf.DUMMYFUNCTION("""COMPUTED_VALUE"""),0.916666666666666)</f>
        <v>0.91666666666666596</v>
      </c>
      <c r="M201" s="25">
        <f ca="1">IFERROR(__xludf.DUMMYFUNCTION("""COMPUTED_VALUE"""),0.694444444444444)</f>
        <v>0.69444444444444398</v>
      </c>
      <c r="N201" s="25">
        <f ca="1">IFERROR(__xludf.DUMMYFUNCTION("""COMPUTED_VALUE"""),0.7)</f>
        <v>0.7</v>
      </c>
      <c r="O201" s="25">
        <f ca="1">IFERROR(__xludf.DUMMYFUNCTION("""COMPUTED_VALUE"""),0.685714285714285)</f>
        <v>0.68571428571428505</v>
      </c>
      <c r="P201" s="25">
        <f ca="1">IFERROR(__xludf.DUMMYFUNCTION("""COMPUTED_VALUE"""),0.782608695652174)</f>
        <v>0.78260869565217395</v>
      </c>
      <c r="Q201" s="25">
        <f ca="1">IFERROR(__xludf.DUMMYFUNCTION("""COMPUTED_VALUE"""),0)</f>
        <v>0</v>
      </c>
      <c r="R201" s="25">
        <f ca="1">IFERROR(__xludf.DUMMYFUNCTION("""COMPUTED_VALUE"""),0.708333333333333)</f>
        <v>0.70833333333333304</v>
      </c>
      <c r="S201" s="25">
        <f ca="1">IFERROR(__xludf.DUMMYFUNCTION("""COMPUTED_VALUE"""),0)</f>
        <v>0</v>
      </c>
      <c r="T201" s="25">
        <f ca="1">IFERROR(__xludf.DUMMYFUNCTION("""COMPUTED_VALUE"""),0.5)</f>
        <v>0.5</v>
      </c>
      <c r="U201" s="25">
        <f ca="1">IFERROR(__xludf.DUMMYFUNCTION("""COMPUTED_VALUE"""),0.375)</f>
        <v>0.375</v>
      </c>
      <c r="V201" s="25">
        <f ca="1">IFERROR(__xludf.DUMMYFUNCTION("""COMPUTED_VALUE"""),0)</f>
        <v>0</v>
      </c>
      <c r="W201" s="4"/>
      <c r="X201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Y201" s="4" t="str">
        <f ca="1">IFERROR(__xludf.DUMMYFUNCTION("""COMPUTED_VALUE"""),"| 1 L CPT % | 5 L PHP-CGM % | 3 P Python % | 5 P JAVA @ ")</f>
        <v xml:space="preserve">| 1 L CPT % | 5 L PHP-CGM % | 3 P Python % | 5 P JAVA @ </v>
      </c>
      <c r="Z201" s="4" t="str">
        <f ca="1">IFERROR(__xludf.DUMMYFUNCTION("""COMPUTED_VALUE"""),"| 1 L CPT % | 2 L PHP-CGM % | 3 P Python % | 5 P PHP-CGM % ")</f>
        <v xml:space="preserve">| 1 L CPT % | 2 L PHP-CGM % | 3 P Python % | 5 P PHP-CGM % </v>
      </c>
      <c r="AA201" s="4" t="str">
        <f ca="1">IFERROR(__xludf.DUMMYFUNCTION("""COMPUTED_VALUE"""),"| 1 L NS % | 2 L JAVA % | 3 P CPT % | 5 P JAVA % ")</f>
        <v xml:space="preserve">| 1 L NS % | 2 L JAVA % | 3 P CPT % | 5 P JAVA % </v>
      </c>
      <c r="AB201" s="4" t="str">
        <f ca="1">IFERROR(__xludf.DUMMYFUNCTION("""COMPUTED_VALUE"""),"| 1 L CPT % | 2 L JAVA % | 3 P NS % ")</f>
        <v xml:space="preserve">| 1 L CPT % | 2 L JAVA % | 3 P NS % </v>
      </c>
      <c r="AC201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01" s="4" t="str">
        <f ca="1">IFERROR(__xludf.DUMMYFUNCTION("""COMPUTED_VALUE"""),"| 1 L CPT % | 2 L PHP-CGM % | 3 P Python % | 5 P JAVA % ")</f>
        <v xml:space="preserve">| 1 L CPT % | 2 L PHP-CGM % | 3 P Python % | 5 P JAVA % </v>
      </c>
      <c r="AE201" s="4" t="str">
        <f ca="1">IFERROR(__xludf.DUMMYFUNCTION("""COMPUTED_VALUE"""),"| 1 L CPT % | 3 P Python % | 5 P PHP-CGM % | 2 L PHP-CGM % ")</f>
        <v xml:space="preserve">| 1 L CPT % | 3 P Python % | 5 P PHP-CGM % | 2 L PHP-CGM % </v>
      </c>
      <c r="AF201" s="4" t="str">
        <f ca="1">IFERROR(__xludf.DUMMYFUNCTION("""COMPUTED_VALUE"""),"| 1 L NS % | 2 L CPT % | 3 P CPT % | 5 P JAVA % ")</f>
        <v xml:space="preserve">| 1 L NS % | 2 L CPT % | 3 P CPT % | 5 P JAVA % </v>
      </c>
      <c r="AG201" s="4" t="str">
        <f ca="1">IFERROR(__xludf.DUMMYFUNCTION("""COMPUTED_VALUE"""),"| 1 L CPT % | 2 L JAVA % | 3 P NS % ")</f>
        <v xml:space="preserve">| 1 L CPT % | 2 L JAVA % | 3 P NS % </v>
      </c>
      <c r="AH201" s="4" t="str">
        <f ca="1">IFERROR(__xludf.DUMMYFUNCTION("""COMPUTED_VALUE"""),"| 2 L JAVA % | 1 L NS % | 3 P CPT % | 5 P JAVA % ")</f>
        <v xml:space="preserve">| 2 L JAVA % | 1 L NS % | 3 P CPT % | 5 P JAVA % </v>
      </c>
      <c r="AI201" s="4" t="str">
        <f ca="1">IFERROR(__xludf.DUMMYFUNCTION("""COMPUTED_VALUE"""),"| 1 L CPT % | 2 L JAVA % | 3 P NS % ")</f>
        <v xml:space="preserve">| 1 L CPT % | 2 L JAVA % | 3 P NS % </v>
      </c>
      <c r="AJ201" s="4" t="str">
        <f ca="1">IFERROR(__xludf.DUMMYFUNCTION("""COMPUTED_VALUE"""),"| 1 L NS @ | 2 L PHP-CGM % | 3 P PRO % | 5 L JAVA % | 6 L NS % ")</f>
        <v xml:space="preserve">| 1 L NS @ | 2 L PHP-CGM % | 3 P PRO % | 5 L JAVA % | 6 L NS % </v>
      </c>
      <c r="AK201" s="4" t="str">
        <f ca="1">IFERROR(__xludf.DUMMYFUNCTION("""COMPUTED_VALUE"""),"| 1 L CPT % | 3 P Python @ | 2 L PHP-CGM % | 5 P JAVA @ ")</f>
        <v xml:space="preserve">| 1 L CPT % | 3 P Python @ | 2 L PHP-CGM % | 5 P JAVA @ </v>
      </c>
      <c r="AL201" s="4" t="str">
        <f ca="1">IFERROR(__xludf.DUMMYFUNCTION("""COMPUTED_VALUE"""),"| 1 L CPT % | 2 L PHP-CGM % | 3 P Python % | 5 P PHP-CGM % ")</f>
        <v xml:space="preserve">| 1 L CPT % | 2 L PHP-CGM % | 3 P Python % | 5 P PHP-CGM % </v>
      </c>
      <c r="AM201" s="4" t="str">
        <f ca="1">IFERROR(__xludf.DUMMYFUNCTION("""COMPUTED_VALUE"""),"| 2 L JAVA % | 3 P CPT % | 5 P JAVA % | 1 L NS % ")</f>
        <v xml:space="preserve">| 2 L JAVA % | 3 P CPT % | 5 P JAVA % | 1 L NS % </v>
      </c>
      <c r="AN201" s="4" t="str">
        <f ca="1">IFERROR(__xludf.DUMMYFUNCTION("""COMPUTED_VALUE"""),"| 1 L CPT % | 2 L JAVA % | 3 P NS % | 5 L INE @ ")</f>
        <v xml:space="preserve">| 1 L CPT % | 2 L JAVA % | 3 P NS % | 5 L INE @ </v>
      </c>
      <c r="AO201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01" s="4" t="str">
        <f ca="1">IFERROR(__xludf.DUMMYFUNCTION("""COMPUTED_VALUE"""),"| 1 L CPT % | 2 L PHP-CGM % | 3 P Python % | 5 P JAVA % ")</f>
        <v xml:space="preserve">| 1 L CPT % | 2 L PHP-CGM % | 3 P Python % | 5 P JAVA % </v>
      </c>
      <c r="AQ201" s="4" t="str">
        <f ca="1">IFERROR(__xludf.DUMMYFUNCTION("""COMPUTED_VALUE"""),"| 2 L PHP-CGM % | 3 P Python % | 5 P PHP-CGM @ | 1 L NS % ")</f>
        <v xml:space="preserve">| 2 L PHP-CGM % | 3 P Python % | 5 P PHP-CGM @ | 1 L NS % </v>
      </c>
      <c r="AR201" s="4" t="str">
        <f ca="1">IFERROR(__xludf.DUMMYFUNCTION("""COMPUTED_VALUE"""),"| 1 L CPT % | 2 L JAVA % | 3 P CPT % | 5 P JAVA % ")</f>
        <v xml:space="preserve">| 1 L CPT % | 2 L JAVA % | 3 P CPT % | 5 P JAVA % </v>
      </c>
      <c r="AS201" s="4" t="str">
        <f ca="1">IFERROR(__xludf.DUMMYFUNCTION("""COMPUTED_VALUE"""),"| 1 L NS @ | 2 L PHP-CGM @ | 3 P PRO % | 5 L NS % | 6 L JAVA % ")</f>
        <v xml:space="preserve">| 1 L NS @ | 2 L PHP-CGM @ | 3 P PRO % | 5 L NS % | 6 L JAVA % </v>
      </c>
      <c r="AT201" s="4" t="str">
        <f ca="1">IFERROR(__xludf.DUMMYFUNCTION("""COMPUTED_VALUE"""),"| 1 L CPT % | 2 L PHP-CGM % | 3 P Python % | 5 P JAVA % ")</f>
        <v xml:space="preserve">| 1 L CPT % | 2 L PHP-CGM % | 3 P Python % | 5 P JAVA % </v>
      </c>
      <c r="AU201" s="4" t="str">
        <f ca="1">IFERROR(__xludf.DUMMYFUNCTION("""COMPUTED_VALUE"""),"| 1 L NS % | 2 L PHP-CGM % | 3 P Python % | 5 P PHP-CGM % ")</f>
        <v xml:space="preserve">| 1 L NS % | 2 L PHP-CGM % | 3 P Python % | 5 P PHP-CGM % </v>
      </c>
      <c r="AV201" s="4" t="str">
        <f ca="1">IFERROR(__xludf.DUMMYFUNCTION("""COMPUTED_VALUE"""),"| 1 L CPT % | 2 L JAVA % | 5 P JAVA % | 3 P CPT % ")</f>
        <v xml:space="preserve">| 1 L CPT % | 2 L JAVA % | 5 P JAVA % | 3 P CPT % </v>
      </c>
      <c r="AW201" s="4" t="str">
        <f ca="1">IFERROR(__xludf.DUMMYFUNCTION("""COMPUTED_VALUE"""),"| 1 L CPT % | 2 L JAVA % | 3 P NS % | 5 L INE % | 6 L INE % ")</f>
        <v xml:space="preserve">| 1 L CPT % | 2 L JAVA % | 3 P NS % | 5 L INE % | 6 L INE % </v>
      </c>
      <c r="AX201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201" s="4" t="str">
        <f ca="1">IFERROR(__xludf.DUMMYFUNCTION("""COMPUTED_VALUE"""),"| 1 L CPT % | 2 L PHP-CGM @ | 3 P Python @ | 5 P JAVA % ")</f>
        <v xml:space="preserve">| 1 L CPT % | 2 L PHP-CGM @ | 3 P Python @ | 5 P JAVA % </v>
      </c>
      <c r="AZ201" s="4" t="str">
        <f ca="1">IFERROR(__xludf.DUMMYFUNCTION("""COMPUTED_VALUE"""),"| 1 L CPT % | 2 L JAVA % | 3 P CPT @ | 5 P JAVA % ")</f>
        <v xml:space="preserve">| 1 L CPT % | 2 L JAVA % | 3 P CPT @ | 5 P JAVA % </v>
      </c>
      <c r="BA201" s="4" t="str">
        <f ca="1">IFERROR(__xludf.DUMMYFUNCTION("""COMPUTED_VALUE"""),"| 1 L CPT % | 2 L JAVA % | 3 P NS % | 5 L INE @ ")</f>
        <v xml:space="preserve">| 1 L CPT % | 2 L JAVA % | 3 P NS % | 5 L INE @ </v>
      </c>
      <c r="BB201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C201" s="4" t="str">
        <f ca="1">IFERROR(__xludf.DUMMYFUNCTION("""COMPUTED_VALUE"""),"| 1 L CPT % | 2 L PHP-CGM % | 3 P Python % | 5 P JAVA % ")</f>
        <v xml:space="preserve">| 1 L CPT % | 2 L PHP-CGM % | 3 P Python % | 5 P JAVA % </v>
      </c>
      <c r="BD201" s="4" t="str">
        <f ca="1">IFERROR(__xludf.DUMMYFUNCTION("""COMPUTED_VALUE"""),"| 1 L NS % | 2 L PHP-CGM % | 3 P Python @ | 5 P PHP-CGM % ")</f>
        <v xml:space="preserve">| 1 L NS % | 2 L PHP-CGM % | 3 P Python @ | 5 P PHP-CGM % </v>
      </c>
      <c r="BE201" s="4" t="str">
        <f ca="1">IFERROR(__xludf.DUMMYFUNCTION("""COMPUTED_VALUE"""),"| 1 L CPT % | 2 L JAVA % | 3 P CPT @ | 5 P JAVA % ")</f>
        <v xml:space="preserve">| 1 L CPT % | 2 L JAVA % | 3 P CPT @ | 5 P JAVA % </v>
      </c>
      <c r="BF201" s="4" t="str">
        <f ca="1">IFERROR(__xludf.DUMMYFUNCTION("""COMPUTED_VALUE"""),"| 1 L CPT % | 2 L JAVA % | 3 P NS % ")</f>
        <v xml:space="preserve">| 1 L CPT % | 2 L JAVA % | 3 P NS % </v>
      </c>
      <c r="BG201" s="4" t="str">
        <f ca="1">IFERROR(__xludf.DUMMYFUNCTION("""COMPUTED_VALUE"""),"| 2 L PHP-CGM % | 1 L CPT % | 3 P Python % | 5 P JAVA % ")</f>
        <v xml:space="preserve">| 2 L PHP-CGM % | 1 L CPT % | 3 P Python % | 5 P JAVA % </v>
      </c>
      <c r="BH201" s="4" t="str">
        <f ca="1">IFERROR(__xludf.DUMMYFUNCTION("""COMPUTED_VALUE"""),"| 1 L NS % | 2 L PHP-CGM % | 3 P Python @ | 5 P PHP-CGM @ ")</f>
        <v xml:space="preserve">| 1 L NS % | 2 L PHP-CGM % | 3 P Python @ | 5 P PHP-CGM @ </v>
      </c>
      <c r="BI201" s="4" t="str">
        <f ca="1">IFERROR(__xludf.DUMMYFUNCTION("""COMPUTED_VALUE"""),"| 1 L CPT % | 2 L JAVA % | 3 P CPT % | 5 P JAVA % ")</f>
        <v xml:space="preserve">| 1 L CPT % | 2 L JAVA % | 3 P CPT % | 5 P JAVA % </v>
      </c>
      <c r="BJ201" s="4" t="str">
        <f ca="1">IFERROR(__xludf.DUMMYFUNCTION("""COMPUTED_VALUE"""),"| 1 L CPT @ | 2 L JAVA @ | 3 P NS @ | 5 L INE @ ")</f>
        <v xml:space="preserve">| 1 L CPT @ | 2 L JAVA @ | 3 P NS @ | 5 L INE @ </v>
      </c>
      <c r="BK201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L201" s="4" t="str">
        <f ca="1">IFERROR(__xludf.DUMMYFUNCTION("""COMPUTED_VALUE"""),"| 1 L CPT % | 2 L PHP-CGM % | 3 P Python % | 5 P JAVA @ ")</f>
        <v xml:space="preserve">| 1 L CPT % | 2 L PHP-CGM % | 3 P Python % | 5 P JAVA @ </v>
      </c>
      <c r="BM201" s="4" t="str">
        <f ca="1">IFERROR(__xludf.DUMMYFUNCTION("""COMPUTED_VALUE"""),"| 1 L NS % | 2 L PHP-CGM % | 3 P Python @ ")</f>
        <v xml:space="preserve">| 1 L NS % | 2 L PHP-CGM % | 3 P Python @ </v>
      </c>
      <c r="BN201" s="4" t="str">
        <f ca="1">IFERROR(__xludf.DUMMYFUNCTION("""COMPUTED_VALUE"""),"| 2 L JAVA % | 1 L CPT % | 3 P CPT % | 5 P JAVA % ")</f>
        <v xml:space="preserve">| 2 L JAVA % | 1 L CPT % | 3 P CPT % | 5 P JAVA % </v>
      </c>
      <c r="BO201" s="4" t="str">
        <f ca="1">IFERROR(__xludf.DUMMYFUNCTION("""COMPUTED_VALUE"""),"| 2 L JAVA % | 1 L CPT % | 3 P NS % | 5 L INE @ ")</f>
        <v xml:space="preserve">| 2 L JAVA % | 1 L CPT % | 3 P NS % | 5 L INE @ </v>
      </c>
      <c r="BP201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201" s="4"/>
      <c r="BR201" s="4"/>
      <c r="BS201" s="4"/>
      <c r="BT201" s="4" t="str">
        <f ca="1">IFERROR(__xludf.DUMMYFUNCTION("""COMPUTED_VALUE"""),"| 1 L NS @ | 2 L PHP-CGM @ | 3 P PRO @ ")</f>
        <v xml:space="preserve">| 1 L NS @ | 2 L PHP-CGM @ | 3 P PRO @ </v>
      </c>
      <c r="BU201" s="4" t="str">
        <f ca="1">IFERROR(__xludf.DUMMYFUNCTION("""COMPUTED_VALUE"""),"| 1 L CPT @ | 3 P Python @ ")</f>
        <v xml:space="preserve">| 1 L CPT @ | 3 P Python @ </v>
      </c>
      <c r="BV201" s="4" t="str">
        <f ca="1">IFERROR(__xludf.DUMMYFUNCTION("""COMPUTED_VALUE"""),"| 1 L NS % | 2 L PHP-CGM % | 3 P PRO @ | 6 L JAVA @ ")</f>
        <v xml:space="preserve">| 1 L NS % | 2 L PHP-CGM % | 3 P PRO @ | 6 L JAVA @ </v>
      </c>
      <c r="BW201" s="4" t="str">
        <f ca="1">IFERROR(__xludf.DUMMYFUNCTION("""COMPUTED_VALUE"""),"| 1 L CPT % | 2 L PHP-CGM % | 3 P Python % ")</f>
        <v xml:space="preserve">| 1 L CPT % | 2 L PHP-CGM % | 3 P Python % </v>
      </c>
      <c r="BX201" s="4" t="str">
        <f ca="1">IFERROR(__xludf.DUMMYFUNCTION("""COMPUTED_VALUE"""),"| 1 L NS % | 2 L PHP-CGM % | 3 P Python % | 5 P PHP-CGM @ ")</f>
        <v xml:space="preserve">| 1 L NS % | 2 L PHP-CGM % | 3 P Python % | 5 P PHP-CGM @ </v>
      </c>
      <c r="BY201" s="4" t="str">
        <f ca="1">IFERROR(__xludf.DUMMYFUNCTION("""COMPUTED_VALUE"""),"| 1 L CPT % | 2 L JAVA % | 3 P CPT @ | 5 P JAVA @ ")</f>
        <v xml:space="preserve">| 1 L CPT % | 2 L JAVA % | 3 P CPT @ | 5 P JAVA @ </v>
      </c>
      <c r="BZ201" s="4" t="str">
        <f ca="1">IFERROR(__xludf.DUMMYFUNCTION("""COMPUTED_VALUE"""),"| 1 L CPT % | 2 L JAVA @ | 3 P NS % | 5 L INE @ ")</f>
        <v xml:space="preserve">| 1 L CPT % | 2 L JAVA @ | 3 P NS % | 5 L INE @ </v>
      </c>
      <c r="CA201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201" s="4" t="str">
        <f ca="1">IFERROR(__xludf.DUMMYFUNCTION("""COMPUTED_VALUE"""),"| 2 L PHP-CGM @ | 3 P Python @ | 5 P JAVA % | 1 L CPT @ ")</f>
        <v xml:space="preserve">| 2 L PHP-CGM @ | 3 P Python @ | 5 P JAVA % | 1 L CPT @ </v>
      </c>
      <c r="CC201" s="4" t="str">
        <f ca="1">IFERROR(__xludf.DUMMYFUNCTION("""COMPUTED_VALUE"""),"| 1 L NS @ | 2 L PHP-CGM @ | 3 P Python % | 5 P PHP-CGM % ")</f>
        <v xml:space="preserve">| 1 L NS @ | 2 L PHP-CGM @ | 3 P Python % | 5 P PHP-CGM % </v>
      </c>
      <c r="CD201" s="4" t="str">
        <f ca="1">IFERROR(__xludf.DUMMYFUNCTION("""COMPUTED_VALUE"""),"| 1 L CPT @ | 2 L JAVA @ | 3 P CPT @ | 5 P JAVA @ ")</f>
        <v xml:space="preserve">| 1 L CPT @ | 2 L JAVA @ | 3 P CPT @ | 5 P JAVA @ </v>
      </c>
      <c r="CE201" s="4" t="str">
        <f ca="1">IFERROR(__xludf.DUMMYFUNCTION("""COMPUTED_VALUE"""),"| 1 L CPT % | 2 L JAVA % | 3 P NS % | 5 L INE % ")</f>
        <v xml:space="preserve">| 1 L CPT % | 2 L JAVA % | 3 P NS % | 5 L INE % </v>
      </c>
      <c r="CF201" s="4" t="str">
        <f ca="1">IFERROR(__xludf.DUMMYFUNCTION("""COMPUTED_VALUE"""),"| 1 L NS @ | 2 L PHP-CGM @ | 5 L NS @ | 6 L JAVA @ ")</f>
        <v xml:space="preserve">| 1 L NS @ | 2 L PHP-CGM @ | 5 L NS @ | 6 L JAVA @ </v>
      </c>
      <c r="CG201" s="4" t="str">
        <f ca="1">IFERROR(__xludf.DUMMYFUNCTION("""COMPUTED_VALUE"""),"| 1 L CPT @ | 2 L PHP-CGM @ | 3 P Python % | 5 P JAVA % ")</f>
        <v xml:space="preserve">| 1 L CPT @ | 2 L PHP-CGM @ | 3 P Python % | 5 P JAVA % </v>
      </c>
      <c r="CH201" s="4" t="str">
        <f ca="1">IFERROR(__xludf.DUMMYFUNCTION("""COMPUTED_VALUE"""),"| 1 L NS @ | 2 L PHP-CGM @ | 3 P Python % | 5 P PHP-CGM % ")</f>
        <v xml:space="preserve">| 1 L NS @ | 2 L PHP-CGM @ | 3 P Python % | 5 P PHP-CGM % </v>
      </c>
      <c r="CI201" s="4" t="str">
        <f ca="1">IFERROR(__xludf.DUMMYFUNCTION("""COMPUTED_VALUE"""),"| 1 L CPT @ | 2 L JAVA @ ")</f>
        <v xml:space="preserve">| 1 L CPT @ | 2 L JAVA @ </v>
      </c>
      <c r="CJ201" s="4" t="str">
        <f ca="1">IFERROR(__xludf.DUMMYFUNCTION("""COMPUTED_VALUE"""),"| 1 L CPT @ | 3 P NS % ")</f>
        <v xml:space="preserve">| 1 L CPT @ | 3 P NS % </v>
      </c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</row>
    <row r="202" spans="1:102" ht="12.5" x14ac:dyDescent="0.25">
      <c r="A202" s="3">
        <f ca="1">IFERROR(__xludf.DUMMYFUNCTION("""COMPUTED_VALUE"""),2)</f>
        <v>2</v>
      </c>
      <c r="B202" s="3" t="str">
        <f ca="1">IFERROR(__xludf.DUMMYFUNCTION("""COMPUTED_VALUE"""),"C")</f>
        <v>C</v>
      </c>
      <c r="C202" s="32" t="str">
        <f ca="1">IFERROR(__xludf.DUMMYFUNCTION("""COMPUTED_VALUE"""),"23171341087")</f>
        <v>23171341087</v>
      </c>
      <c r="D202" s="4" t="str">
        <f ca="1">IFERROR(__xludf.DUMMYFUNCTION("""COMPUTED_VALUE"""),"PATEL HET JAYESHKUMAR")</f>
        <v>PATEL HET JAYESHKUMAR</v>
      </c>
      <c r="E202" s="3" t="str">
        <f ca="1">IFERROR(__xludf.DUMMYFUNCTION("""COMPUTED_VALUE"""),"PKN/PAP-Mor")</f>
        <v>PKN/PAP-Mor</v>
      </c>
      <c r="F202" s="3">
        <f ca="1">IFERROR(__xludf.DUMMYFUNCTION("""COMPUTED_VALUE"""),9081458156)</f>
        <v>9081458156</v>
      </c>
      <c r="G202" s="3">
        <f ca="1">IFERROR(__xludf.DUMMYFUNCTION("""COMPUTED_VALUE"""),9624889218)</f>
        <v>9624889218</v>
      </c>
      <c r="H202" s="33">
        <f ca="1">IFERROR(__xludf.DUMMYFUNCTION("""COMPUTED_VALUE"""),0.73170731707317)</f>
        <v>0.73170731707317005</v>
      </c>
      <c r="I202" s="25">
        <f ca="1">IFERROR(__xludf.DUMMYFUNCTION("""COMPUTED_VALUE"""),0.789473684210526)</f>
        <v>0.78947368421052599</v>
      </c>
      <c r="J202" s="25">
        <f ca="1">IFERROR(__xludf.DUMMYFUNCTION("""COMPUTED_VALUE"""),0.75)</f>
        <v>0.75</v>
      </c>
      <c r="K202" s="25">
        <f ca="1">IFERROR(__xludf.DUMMYFUNCTION("""COMPUTED_VALUE"""),0.666666666666666)</f>
        <v>0.66666666666666596</v>
      </c>
      <c r="L202" s="25">
        <f ca="1">IFERROR(__xludf.DUMMYFUNCTION("""COMPUTED_VALUE"""),0.5)</f>
        <v>0.5</v>
      </c>
      <c r="M202" s="25">
        <f ca="1">IFERROR(__xludf.DUMMYFUNCTION("""COMPUTED_VALUE"""),0.777777777777777)</f>
        <v>0.77777777777777701</v>
      </c>
      <c r="N202" s="25">
        <f ca="1">IFERROR(__xludf.DUMMYFUNCTION("""COMPUTED_VALUE"""),0.8)</f>
        <v>0.8</v>
      </c>
      <c r="O202" s="25">
        <f ca="1">IFERROR(__xludf.DUMMYFUNCTION("""COMPUTED_VALUE"""),0.657142857142857)</f>
        <v>0.65714285714285703</v>
      </c>
      <c r="P202" s="25">
        <f ca="1">IFERROR(__xludf.DUMMYFUNCTION("""COMPUTED_VALUE"""),0.869565217391304)</f>
        <v>0.86956521739130399</v>
      </c>
      <c r="Q202" s="25">
        <f ca="1">IFERROR(__xludf.DUMMYFUNCTION("""COMPUTED_VALUE"""),0)</f>
        <v>0</v>
      </c>
      <c r="R202" s="25">
        <f ca="1">IFERROR(__xludf.DUMMYFUNCTION("""COMPUTED_VALUE"""),0.875)</f>
        <v>0.875</v>
      </c>
      <c r="S202" s="25">
        <f ca="1">IFERROR(__xludf.DUMMYFUNCTION("""COMPUTED_VALUE"""),0)</f>
        <v>0</v>
      </c>
      <c r="T202" s="25">
        <f ca="1">IFERROR(__xludf.DUMMYFUNCTION("""COMPUTED_VALUE"""),0.666666666666666)</f>
        <v>0.66666666666666596</v>
      </c>
      <c r="U202" s="25">
        <f ca="1">IFERROR(__xludf.DUMMYFUNCTION("""COMPUTED_VALUE"""),0.375)</f>
        <v>0.375</v>
      </c>
      <c r="V202" s="25">
        <f ca="1">IFERROR(__xludf.DUMMYFUNCTION("""COMPUTED_VALUE"""),0)</f>
        <v>0</v>
      </c>
      <c r="W202" s="4"/>
      <c r="X202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202" s="4" t="str">
        <f ca="1">IFERROR(__xludf.DUMMYFUNCTION("""COMPUTED_VALUE"""),"| 1 L CPT % | 5 L PHP-CGM % | 3 P Python % | 5 P JAVA % ")</f>
        <v xml:space="preserve">| 1 L CPT % | 5 L PHP-CGM % | 3 P Python % | 5 P JAVA % </v>
      </c>
      <c r="Z202" s="4" t="str">
        <f ca="1">IFERROR(__xludf.DUMMYFUNCTION("""COMPUTED_VALUE"""),"| 1 L CPT % | 2 L PHP-CGM % | 3 P Python % | 5 P PHP-CGM % ")</f>
        <v xml:space="preserve">| 1 L CPT % | 2 L PHP-CGM % | 3 P Python % | 5 P PHP-CGM % </v>
      </c>
      <c r="AA202" s="4" t="str">
        <f ca="1">IFERROR(__xludf.DUMMYFUNCTION("""COMPUTED_VALUE"""),"| 1 L NS % | 2 L JAVA % | 3 P CPT % | 5 P JAVA % ")</f>
        <v xml:space="preserve">| 1 L NS % | 2 L JAVA % | 3 P CPT % | 5 P JAVA % </v>
      </c>
      <c r="AB202" s="4" t="str">
        <f ca="1">IFERROR(__xludf.DUMMYFUNCTION("""COMPUTED_VALUE"""),"| 1 L CPT % | 2 L JAVA % | 3 P NS % ")</f>
        <v xml:space="preserve">| 1 L CPT % | 2 L JAVA % | 3 P NS % </v>
      </c>
      <c r="AC202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02" s="4" t="str">
        <f ca="1">IFERROR(__xludf.DUMMYFUNCTION("""COMPUTED_VALUE"""),"| 1 L CPT % | 2 L PHP-CGM % | 3 P Python % | 5 P JAVA % ")</f>
        <v xml:space="preserve">| 1 L CPT % | 2 L PHP-CGM % | 3 P Python % | 5 P JAVA % </v>
      </c>
      <c r="AE202" s="4" t="str">
        <f ca="1">IFERROR(__xludf.DUMMYFUNCTION("""COMPUTED_VALUE"""),"| 1 L CPT % | 3 P Python % | 5 P PHP-CGM % | 2 L PHP-CGM % ")</f>
        <v xml:space="preserve">| 1 L CPT % | 3 P Python % | 5 P PHP-CGM % | 2 L PHP-CGM % </v>
      </c>
      <c r="AF202" s="4" t="str">
        <f ca="1">IFERROR(__xludf.DUMMYFUNCTION("""COMPUTED_VALUE"""),"| 1 L NS % | 2 L CPT % | 3 P CPT % | 5 P JAVA % ")</f>
        <v xml:space="preserve">| 1 L NS % | 2 L CPT % | 3 P CPT % | 5 P JAVA % </v>
      </c>
      <c r="AG202" s="4" t="str">
        <f ca="1">IFERROR(__xludf.DUMMYFUNCTION("""COMPUTED_VALUE"""),"| 1 L CPT % | 2 L JAVA % | 3 P NS @ ")</f>
        <v xml:space="preserve">| 1 L CPT % | 2 L JAVA % | 3 P NS @ </v>
      </c>
      <c r="AH202" s="4" t="str">
        <f ca="1">IFERROR(__xludf.DUMMYFUNCTION("""COMPUTED_VALUE"""),"| 2 L JAVA % | 1 L NS % | 3 P CPT % | 5 P JAVA % ")</f>
        <v xml:space="preserve">| 2 L JAVA % | 1 L NS % | 3 P CPT % | 5 P JAVA % </v>
      </c>
      <c r="AI202" s="4" t="str">
        <f ca="1">IFERROR(__xludf.DUMMYFUNCTION("""COMPUTED_VALUE"""),"| 1 L CPT % | 2 L JAVA % | 3 P NS % ")</f>
        <v xml:space="preserve">| 1 L CPT % | 2 L JAVA % | 3 P NS % </v>
      </c>
      <c r="AJ202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2" s="4" t="str">
        <f ca="1">IFERROR(__xludf.DUMMYFUNCTION("""COMPUTED_VALUE"""),"| 1 L CPT % | 3 P Python % | 2 L PHP-CGM % | 5 P JAVA % ")</f>
        <v xml:space="preserve">| 1 L CPT % | 3 P Python % | 2 L PHP-CGM % | 5 P JAVA % </v>
      </c>
      <c r="AL202" s="4" t="str">
        <f ca="1">IFERROR(__xludf.DUMMYFUNCTION("""COMPUTED_VALUE"""),"| 1 L CPT % | 2 L PHP-CGM % | 3 P Python % | 5 P PHP-CGM % ")</f>
        <v xml:space="preserve">| 1 L CPT % | 2 L PHP-CGM % | 3 P Python % | 5 P PHP-CGM % </v>
      </c>
      <c r="AM202" s="4" t="str">
        <f ca="1">IFERROR(__xludf.DUMMYFUNCTION("""COMPUTED_VALUE"""),"| 2 L JAVA % | 3 P CPT % | 5 P JAVA % | 1 L NS % ")</f>
        <v xml:space="preserve">| 2 L JAVA % | 3 P CPT % | 5 P JAVA % | 1 L NS % </v>
      </c>
      <c r="AN202" s="4" t="str">
        <f ca="1">IFERROR(__xludf.DUMMYFUNCTION("""COMPUTED_VALUE"""),"| 1 L CPT % | 2 L JAVA % | 3 P NS % | 5 L INE @ ")</f>
        <v xml:space="preserve">| 1 L CPT % | 2 L JAVA % | 3 P NS % | 5 L INE @ </v>
      </c>
      <c r="AO202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202" s="4" t="str">
        <f ca="1">IFERROR(__xludf.DUMMYFUNCTION("""COMPUTED_VALUE"""),"| 1 L CPT % | 2 L PHP-CGM % | 3 P Python % | 5 P JAVA % ")</f>
        <v xml:space="preserve">| 1 L CPT % | 2 L PHP-CGM % | 3 P Python % | 5 P JAVA % </v>
      </c>
      <c r="AQ202" s="4" t="str">
        <f ca="1">IFERROR(__xludf.DUMMYFUNCTION("""COMPUTED_VALUE"""),"| 2 L PHP-CGM % | 3 P Python % | 5 P PHP-CGM % | 1 L NS % ")</f>
        <v xml:space="preserve">| 2 L PHP-CGM % | 3 P Python % | 5 P PHP-CGM % | 1 L NS % </v>
      </c>
      <c r="AR202" s="4" t="str">
        <f ca="1">IFERROR(__xludf.DUMMYFUNCTION("""COMPUTED_VALUE"""),"| 1 L CPT % | 2 L JAVA % | 3 P CPT % | 5 P JAVA % ")</f>
        <v xml:space="preserve">| 1 L CPT % | 2 L JAVA % | 3 P CPT % | 5 P JAVA % </v>
      </c>
      <c r="AS20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02" s="4" t="str">
        <f ca="1">IFERROR(__xludf.DUMMYFUNCTION("""COMPUTED_VALUE"""),"| 1 L CPT % | 2 L PHP-CGM % | 3 P Python % | 5 P JAVA % ")</f>
        <v xml:space="preserve">| 1 L CPT % | 2 L PHP-CGM % | 3 P Python % | 5 P JAVA % </v>
      </c>
      <c r="AU202" s="4" t="str">
        <f ca="1">IFERROR(__xludf.DUMMYFUNCTION("""COMPUTED_VALUE"""),"| 1 L NS % | 2 L PHP-CGM % | 3 P Python % | 5 P PHP-CGM @ ")</f>
        <v xml:space="preserve">| 1 L NS % | 2 L PHP-CGM % | 3 P Python % | 5 P PHP-CGM @ </v>
      </c>
      <c r="AV202" s="4" t="str">
        <f ca="1">IFERROR(__xludf.DUMMYFUNCTION("""COMPUTED_VALUE"""),"| 1 L CPT % | 2 L JAVA % | 5 P JAVA % | 3 P CPT % ")</f>
        <v xml:space="preserve">| 1 L CPT % | 2 L JAVA % | 5 P JAVA % | 3 P CPT % </v>
      </c>
      <c r="AW202" s="4" t="str">
        <f ca="1">IFERROR(__xludf.DUMMYFUNCTION("""COMPUTED_VALUE"""),"| 1 L CPT % | 2 L JAVA % | 3 P NS % | 5 L INE % | 6 L INE % ")</f>
        <v xml:space="preserve">| 1 L CPT % | 2 L JAVA % | 3 P NS % | 5 L INE % | 6 L INE % </v>
      </c>
      <c r="AX202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202" s="4" t="str">
        <f ca="1">IFERROR(__xludf.DUMMYFUNCTION("""COMPUTED_VALUE"""),"| 1 L CPT % | 2 L PHP-CGM % | 3 P Python % | 5 P JAVA % ")</f>
        <v xml:space="preserve">| 1 L CPT % | 2 L PHP-CGM % | 3 P Python % | 5 P JAVA % </v>
      </c>
      <c r="AZ202" s="4" t="str">
        <f ca="1">IFERROR(__xludf.DUMMYFUNCTION("""COMPUTED_VALUE"""),"| 1 L CPT % | 2 L JAVA % | 3 P CPT % | 5 P JAVA % ")</f>
        <v xml:space="preserve">| 1 L CPT % | 2 L JAVA % | 3 P CPT % | 5 P JAVA % </v>
      </c>
      <c r="BA202" s="4" t="str">
        <f ca="1">IFERROR(__xludf.DUMMYFUNCTION("""COMPUTED_VALUE"""),"| 1 L CPT @ | 2 L JAVA @ | 3 P NS @ | 5 L INE @ ")</f>
        <v xml:space="preserve">| 1 L CPT @ | 2 L JAVA @ | 3 P NS @ | 5 L INE @ </v>
      </c>
      <c r="BB20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2" s="4" t="str">
        <f ca="1">IFERROR(__xludf.DUMMYFUNCTION("""COMPUTED_VALUE"""),"| 1 L CPT % | 2 L PHP-CGM % | 3 P Python % | 5 P JAVA % ")</f>
        <v xml:space="preserve">| 1 L CPT % | 2 L PHP-CGM % | 3 P Python % | 5 P JAVA % </v>
      </c>
      <c r="BD202" s="4" t="str">
        <f ca="1">IFERROR(__xludf.DUMMYFUNCTION("""COMPUTED_VALUE"""),"| 1 L NS % | 2 L PHP-CGM % | 3 P Python % | 5 P PHP-CGM % ")</f>
        <v xml:space="preserve">| 1 L NS % | 2 L PHP-CGM % | 3 P Python % | 5 P PHP-CGM % </v>
      </c>
      <c r="BE202" s="4" t="str">
        <f ca="1">IFERROR(__xludf.DUMMYFUNCTION("""COMPUTED_VALUE"""),"| 1 L CPT % | 2 L JAVA @ | 3 P CPT @ | 5 P JAVA @ ")</f>
        <v xml:space="preserve">| 1 L CPT % | 2 L JAVA @ | 3 P CPT @ | 5 P JAVA @ </v>
      </c>
      <c r="BF202" s="4" t="str">
        <f ca="1">IFERROR(__xludf.DUMMYFUNCTION("""COMPUTED_VALUE"""),"| 1 L CPT % | 2 L JAVA % | 3 P NS % ")</f>
        <v xml:space="preserve">| 1 L CPT % | 2 L JAVA % | 3 P NS % </v>
      </c>
      <c r="BG202" s="4" t="str">
        <f ca="1">IFERROR(__xludf.DUMMYFUNCTION("""COMPUTED_VALUE"""),"| 2 L PHP-CGM % | 1 L CPT % | 3 P Python % | 5 P JAVA % ")</f>
        <v xml:space="preserve">| 2 L PHP-CGM % | 1 L CPT % | 3 P Python % | 5 P JAVA % </v>
      </c>
      <c r="BH202" s="4" t="str">
        <f ca="1">IFERROR(__xludf.DUMMYFUNCTION("""COMPUTED_VALUE"""),"| 1 L NS % | 2 L PHP-CGM % | 3 P Python % | 5 P PHP-CGM % ")</f>
        <v xml:space="preserve">| 1 L NS % | 2 L PHP-CGM % | 3 P Python % | 5 P PHP-CGM % </v>
      </c>
      <c r="BI202" s="4" t="str">
        <f ca="1">IFERROR(__xludf.DUMMYFUNCTION("""COMPUTED_VALUE"""),"| 1 L CPT % | 2 L JAVA % | 3 P CPT % | 5 P JAVA % ")</f>
        <v xml:space="preserve">| 1 L CPT % | 2 L JAVA % | 3 P CPT % | 5 P JAVA % </v>
      </c>
      <c r="BJ202" s="4" t="str">
        <f ca="1">IFERROR(__xludf.DUMMYFUNCTION("""COMPUTED_VALUE"""),"| 1 L CPT @ | 2 L JAVA @ | 3 P NS @ | 5 L INE @ ")</f>
        <v xml:space="preserve">| 1 L CPT @ | 2 L JAVA @ | 3 P NS @ | 5 L INE @ </v>
      </c>
      <c r="BK20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202" s="4" t="str">
        <f ca="1">IFERROR(__xludf.DUMMYFUNCTION("""COMPUTED_VALUE"""),"| 1 L CPT % | 2 L PHP-CGM % | 3 P Python % | 5 P JAVA % ")</f>
        <v xml:space="preserve">| 1 L CPT % | 2 L PHP-CGM % | 3 P Python % | 5 P JAVA % </v>
      </c>
      <c r="BM202" s="4" t="str">
        <f ca="1">IFERROR(__xludf.DUMMYFUNCTION("""COMPUTED_VALUE"""),"| 1 L NS @ | 2 L PHP-CGM @ | 3 P Python @ ")</f>
        <v xml:space="preserve">| 1 L NS @ | 2 L PHP-CGM @ | 3 P Python @ </v>
      </c>
      <c r="BN202" s="4" t="str">
        <f ca="1">IFERROR(__xludf.DUMMYFUNCTION("""COMPUTED_VALUE"""),"| 2 L JAVA % | 1 L CPT % | 3 P CPT % | 5 P JAVA % ")</f>
        <v xml:space="preserve">| 2 L JAVA % | 1 L CPT % | 3 P CPT % | 5 P JAVA % </v>
      </c>
      <c r="BO202" s="4" t="str">
        <f ca="1">IFERROR(__xludf.DUMMYFUNCTION("""COMPUTED_VALUE"""),"| 2 L JAVA @ | 1 L CPT @ | 3 P NS @ | 5 L INE @ ")</f>
        <v xml:space="preserve">| 2 L JAVA @ | 1 L CPT @ | 3 P NS @ | 5 L INE @ </v>
      </c>
      <c r="BP20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02" s="4"/>
      <c r="BR202" s="4"/>
      <c r="BS202" s="4"/>
      <c r="BT202" s="4" t="str">
        <f ca="1">IFERROR(__xludf.DUMMYFUNCTION("""COMPUTED_VALUE"""),"| 1 L NS % | 2 L PHP-CGM % | 3 P PRO % ")</f>
        <v xml:space="preserve">| 1 L NS % | 2 L PHP-CGM % | 3 P PRO % </v>
      </c>
      <c r="BU202" s="4" t="str">
        <f ca="1">IFERROR(__xludf.DUMMYFUNCTION("""COMPUTED_VALUE"""),"| 1 L CPT @ | 3 P Python @ ")</f>
        <v xml:space="preserve">| 1 L CPT @ | 3 P Python @ </v>
      </c>
      <c r="BV202" s="4" t="str">
        <f ca="1">IFERROR(__xludf.DUMMYFUNCTION("""COMPUTED_VALUE"""),"| 1 L NS @ | 2 L PHP-CGM @ | 3 P PRO @ | 6 L JAVA @ ")</f>
        <v xml:space="preserve">| 1 L NS @ | 2 L PHP-CGM @ | 3 P PRO @ | 6 L JAVA @ </v>
      </c>
      <c r="BW202" s="4" t="str">
        <f ca="1">IFERROR(__xludf.DUMMYFUNCTION("""COMPUTED_VALUE"""),"| 1 L CPT % | 2 L PHP-CGM % | 3 P Python % ")</f>
        <v xml:space="preserve">| 1 L CPT % | 2 L PHP-CGM % | 3 P Python % </v>
      </c>
      <c r="BX202" s="4" t="str">
        <f ca="1">IFERROR(__xludf.DUMMYFUNCTION("""COMPUTED_VALUE"""),"| 1 L NS @ | 2 L PHP-CGM @ | 3 P Python @ | 5 P PHP-CGM @ ")</f>
        <v xml:space="preserve">| 1 L NS @ | 2 L PHP-CGM @ | 3 P Python @ | 5 P PHP-CGM @ </v>
      </c>
      <c r="BY202" s="4" t="str">
        <f ca="1">IFERROR(__xludf.DUMMYFUNCTION("""COMPUTED_VALUE"""),"| 1 L CPT @ | 2 L JAVA @ | 3 P CPT @ | 5 P JAVA @ ")</f>
        <v xml:space="preserve">| 1 L CPT @ | 2 L JAVA @ | 3 P CPT @ | 5 P JAVA @ </v>
      </c>
      <c r="BZ202" s="4" t="str">
        <f ca="1">IFERROR(__xludf.DUMMYFUNCTION("""COMPUTED_VALUE"""),"| 1 L CPT @ | 2 L JAVA @ | 3 P NS @ | 5 L INE @ ")</f>
        <v xml:space="preserve">| 1 L CPT @ | 2 L JAVA @ | 3 P NS @ | 5 L INE @ </v>
      </c>
      <c r="CA202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202" s="4" t="str">
        <f ca="1">IFERROR(__xludf.DUMMYFUNCTION("""COMPUTED_VALUE"""),"| 2 L PHP-CGM % | 3 P Python % | 5 P JAVA % | 1 L CPT % ")</f>
        <v xml:space="preserve">| 2 L PHP-CGM % | 3 P Python % | 5 P JAVA % | 1 L CPT % </v>
      </c>
      <c r="CC202" s="4" t="str">
        <f ca="1">IFERROR(__xludf.DUMMYFUNCTION("""COMPUTED_VALUE"""),"| 1 L NS % | 2 L PHP-CGM % | 3 P Python % | 5 P PHP-CGM % ")</f>
        <v xml:space="preserve">| 1 L NS % | 2 L PHP-CGM % | 3 P Python % | 5 P PHP-CGM % </v>
      </c>
      <c r="CD202" s="4" t="str">
        <f ca="1">IFERROR(__xludf.DUMMYFUNCTION("""COMPUTED_VALUE"""),"| 1 L CPT @ | 2 L JAVA @ | 3 P CPT @ | 5 P JAVA @ ")</f>
        <v xml:space="preserve">| 1 L CPT @ | 2 L JAVA @ | 3 P CPT @ | 5 P JAVA @ </v>
      </c>
      <c r="CE202" s="4" t="str">
        <f ca="1">IFERROR(__xludf.DUMMYFUNCTION("""COMPUTED_VALUE"""),"| 1 L CPT % | 2 L JAVA % | 3 P NS % | 5 L INE % ")</f>
        <v xml:space="preserve">| 1 L CPT % | 2 L JAVA % | 3 P NS % | 5 L INE % </v>
      </c>
      <c r="CF202" s="4" t="str">
        <f ca="1">IFERROR(__xludf.DUMMYFUNCTION("""COMPUTED_VALUE"""),"| 1 L NS @ | 2 L PHP-CGM @ | 5 L NS @ | 6 L JAVA @ ")</f>
        <v xml:space="preserve">| 1 L NS @ | 2 L PHP-CGM @ | 5 L NS @ | 6 L JAVA @ </v>
      </c>
      <c r="CG202" s="4" t="str">
        <f ca="1">IFERROR(__xludf.DUMMYFUNCTION("""COMPUTED_VALUE"""),"| 1 L CPT % | 2 L PHP-CGM % | 3 P Python % | 5 P JAVA % ")</f>
        <v xml:space="preserve">| 1 L CPT % | 2 L PHP-CGM % | 3 P Python % | 5 P JAVA % </v>
      </c>
      <c r="CH202" s="4" t="str">
        <f ca="1">IFERROR(__xludf.DUMMYFUNCTION("""COMPUTED_VALUE"""),"| 1 L NS @ | 2 L PHP-CGM @ | 3 P Python % | 5 P PHP-CGM % ")</f>
        <v xml:space="preserve">| 1 L NS @ | 2 L PHP-CGM @ | 3 P Python % | 5 P PHP-CGM % </v>
      </c>
      <c r="CI202" s="4" t="str">
        <f ca="1">IFERROR(__xludf.DUMMYFUNCTION("""COMPUTED_VALUE"""),"| 1 L CPT % | 2 L JAVA % ")</f>
        <v xml:space="preserve">| 1 L CPT % | 2 L JAVA % </v>
      </c>
      <c r="CJ202" s="4" t="str">
        <f ca="1">IFERROR(__xludf.DUMMYFUNCTION("""COMPUTED_VALUE"""),"| 1 L CPT @ | 3 P NS @ ")</f>
        <v xml:space="preserve">| 1 L CPT @ | 3 P NS @ </v>
      </c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</row>
    <row r="203" spans="1:102" ht="12.5" x14ac:dyDescent="0.25">
      <c r="A203" s="3">
        <f ca="1">IFERROR(__xludf.DUMMYFUNCTION("""COMPUTED_VALUE"""),2)</f>
        <v>2</v>
      </c>
      <c r="B203" s="3" t="str">
        <f ca="1">IFERROR(__xludf.DUMMYFUNCTION("""COMPUTED_VALUE"""),"C")</f>
        <v>C</v>
      </c>
      <c r="C203" s="32" t="str">
        <f ca="1">IFERROR(__xludf.DUMMYFUNCTION("""COMPUTED_VALUE"""),"23171341089")</f>
        <v>23171341089</v>
      </c>
      <c r="D203" s="4" t="str">
        <f ca="1">IFERROR(__xludf.DUMMYFUNCTION("""COMPUTED_VALUE"""),"PATEL HETARTH DHARMESHBHAI")</f>
        <v>PATEL HETARTH DHARMESHBHAI</v>
      </c>
      <c r="E203" s="3" t="str">
        <f ca="1">IFERROR(__xludf.DUMMYFUNCTION("""COMPUTED_VALUE"""),"PKN/PAP-Mor")</f>
        <v>PKN/PAP-Mor</v>
      </c>
      <c r="F203" s="3">
        <f ca="1">IFERROR(__xludf.DUMMYFUNCTION("""COMPUTED_VALUE"""),6354523874)</f>
        <v>6354523874</v>
      </c>
      <c r="G203" s="3">
        <f ca="1">IFERROR(__xludf.DUMMYFUNCTION("""COMPUTED_VALUE"""),9909156322)</f>
        <v>9909156322</v>
      </c>
      <c r="H203" s="33">
        <f ca="1">IFERROR(__xludf.DUMMYFUNCTION("""COMPUTED_VALUE"""),0.642276422764227)</f>
        <v>0.64227642276422703</v>
      </c>
      <c r="I203" s="25">
        <f ca="1">IFERROR(__xludf.DUMMYFUNCTION("""COMPUTED_VALUE"""),0.631578947368421)</f>
        <v>0.63157894736842102</v>
      </c>
      <c r="J203" s="25">
        <f ca="1">IFERROR(__xludf.DUMMYFUNCTION("""COMPUTED_VALUE"""),0.833333333333333)</f>
        <v>0.83333333333333304</v>
      </c>
      <c r="K203" s="25">
        <f ca="1">IFERROR(__xludf.DUMMYFUNCTION("""COMPUTED_VALUE"""),0.638888888888888)</f>
        <v>0.63888888888888795</v>
      </c>
      <c r="L203" s="25">
        <f ca="1">IFERROR(__xludf.DUMMYFUNCTION("""COMPUTED_VALUE"""),0.583333333333333)</f>
        <v>0.58333333333333304</v>
      </c>
      <c r="M203" s="25">
        <f ca="1">IFERROR(__xludf.DUMMYFUNCTION("""COMPUTED_VALUE"""),0.694444444444444)</f>
        <v>0.69444444444444398</v>
      </c>
      <c r="N203" s="25">
        <f ca="1">IFERROR(__xludf.DUMMYFUNCTION("""COMPUTED_VALUE"""),0.7)</f>
        <v>0.7</v>
      </c>
      <c r="O203" s="25">
        <f ca="1">IFERROR(__xludf.DUMMYFUNCTION("""COMPUTED_VALUE"""),0.571428571428571)</f>
        <v>0.57142857142857095</v>
      </c>
      <c r="P203" s="25">
        <f ca="1">IFERROR(__xludf.DUMMYFUNCTION("""COMPUTED_VALUE"""),0.608695652173913)</f>
        <v>0.60869565217391297</v>
      </c>
      <c r="Q203" s="25">
        <f ca="1">IFERROR(__xludf.DUMMYFUNCTION("""COMPUTED_VALUE"""),0)</f>
        <v>0</v>
      </c>
      <c r="R203" s="25">
        <f ca="1">IFERROR(__xludf.DUMMYFUNCTION("""COMPUTED_VALUE"""),0.708333333333333)</f>
        <v>0.70833333333333304</v>
      </c>
      <c r="S203" s="25">
        <f ca="1">IFERROR(__xludf.DUMMYFUNCTION("""COMPUTED_VALUE"""),0)</f>
        <v>0</v>
      </c>
      <c r="T203" s="25">
        <f ca="1">IFERROR(__xludf.DUMMYFUNCTION("""COMPUTED_VALUE"""),0.666666666666666)</f>
        <v>0.66666666666666596</v>
      </c>
      <c r="U203" s="25">
        <f ca="1">IFERROR(__xludf.DUMMYFUNCTION("""COMPUTED_VALUE"""),0.375)</f>
        <v>0.375</v>
      </c>
      <c r="V203" s="25">
        <f ca="1">IFERROR(__xludf.DUMMYFUNCTION("""COMPUTED_VALUE"""),0)</f>
        <v>0</v>
      </c>
      <c r="W203" s="4"/>
      <c r="X203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Y203" s="4" t="str">
        <f ca="1">IFERROR(__xludf.DUMMYFUNCTION("""COMPUTED_VALUE"""),"| 1 L CPT % | 5 L PHP-CGM % | 3 P Python % | 5 P JAVA % ")</f>
        <v xml:space="preserve">| 1 L CPT % | 5 L PHP-CGM % | 3 P Python % | 5 P JAVA % </v>
      </c>
      <c r="Z203" s="4" t="str">
        <f ca="1">IFERROR(__xludf.DUMMYFUNCTION("""COMPUTED_VALUE"""),"| 1 L CPT % | 2 L PHP-CGM % | 3 P Python % | 5 P PHP-CGM @ ")</f>
        <v xml:space="preserve">| 1 L CPT % | 2 L PHP-CGM % | 3 P Python % | 5 P PHP-CGM @ </v>
      </c>
      <c r="AA203" s="4" t="str">
        <f ca="1">IFERROR(__xludf.DUMMYFUNCTION("""COMPUTED_VALUE"""),"| 1 L NS % | 2 L JAVA % | 3 P CPT % | 5 P JAVA % ")</f>
        <v xml:space="preserve">| 1 L NS % | 2 L JAVA % | 3 P CPT % | 5 P JAVA % </v>
      </c>
      <c r="AB203" s="4" t="str">
        <f ca="1">IFERROR(__xludf.DUMMYFUNCTION("""COMPUTED_VALUE"""),"| 1 L CPT % | 2 L JAVA % | 3 P NS % ")</f>
        <v xml:space="preserve">| 1 L CPT % | 2 L JAVA % | 3 P NS % </v>
      </c>
      <c r="AC203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203" s="4" t="str">
        <f ca="1">IFERROR(__xludf.DUMMYFUNCTION("""COMPUTED_VALUE"""),"| 1 L CPT % | 2 L PHP-CGM % | 3 P Python % | 5 P JAVA % ")</f>
        <v xml:space="preserve">| 1 L CPT % | 2 L PHP-CGM % | 3 P Python % | 5 P JAVA % </v>
      </c>
      <c r="AE203" s="4" t="str">
        <f ca="1">IFERROR(__xludf.DUMMYFUNCTION("""COMPUTED_VALUE"""),"| 1 L CPT % | 3 P Python % | 5 P PHP-CGM @ | 2 L PHP-CGM % ")</f>
        <v xml:space="preserve">| 1 L CPT % | 3 P Python % | 5 P PHP-CGM @ | 2 L PHP-CGM % </v>
      </c>
      <c r="AF203" s="4" t="str">
        <f ca="1">IFERROR(__xludf.DUMMYFUNCTION("""COMPUTED_VALUE"""),"| 1 L NS % | 2 L CPT % | 3 P CPT % | 5 P JAVA % ")</f>
        <v xml:space="preserve">| 1 L NS % | 2 L CPT % | 3 P CPT % | 5 P JAVA % </v>
      </c>
      <c r="AG203" s="4" t="str">
        <f ca="1">IFERROR(__xludf.DUMMYFUNCTION("""COMPUTED_VALUE"""),"| 1 L CPT % | 2 L JAVA % | 3 P NS % ")</f>
        <v xml:space="preserve">| 1 L CPT % | 2 L JAVA % | 3 P NS % </v>
      </c>
      <c r="AH203" s="4" t="str">
        <f ca="1">IFERROR(__xludf.DUMMYFUNCTION("""COMPUTED_VALUE"""),"| 2 L JAVA % | 1 L NS % | 3 P CPT % | 5 P JAVA % ")</f>
        <v xml:space="preserve">| 2 L JAVA % | 1 L NS % | 3 P CPT % | 5 P JAVA % </v>
      </c>
      <c r="AI203" s="4" t="str">
        <f ca="1">IFERROR(__xludf.DUMMYFUNCTION("""COMPUTED_VALUE"""),"| 1 L CPT % | 2 L JAVA % | 3 P NS % ")</f>
        <v xml:space="preserve">| 1 L CPT % | 2 L JAVA % | 3 P NS % </v>
      </c>
      <c r="AJ20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3" s="4" t="str">
        <f ca="1">IFERROR(__xludf.DUMMYFUNCTION("""COMPUTED_VALUE"""),"| 1 L CPT % | 3 P Python % | 2 L PHP-CGM % | 5 P JAVA @ ")</f>
        <v xml:space="preserve">| 1 L CPT % | 3 P Python % | 2 L PHP-CGM % | 5 P JAVA @ </v>
      </c>
      <c r="AL203" s="4" t="str">
        <f ca="1">IFERROR(__xludf.DUMMYFUNCTION("""COMPUTED_VALUE"""),"| 1 L CPT % | 2 L PHP-CGM % | 3 P Python % | 5 P PHP-CGM % ")</f>
        <v xml:space="preserve">| 1 L CPT % | 2 L PHP-CGM % | 3 P Python % | 5 P PHP-CGM % </v>
      </c>
      <c r="AM203" s="4" t="str">
        <f ca="1">IFERROR(__xludf.DUMMYFUNCTION("""COMPUTED_VALUE"""),"| 2 L JAVA % | 3 P CPT % | 5 P JAVA % | 1 L NS % ")</f>
        <v xml:space="preserve">| 2 L JAVA % | 3 P CPT % | 5 P JAVA % | 1 L NS % </v>
      </c>
      <c r="AN203" s="4" t="str">
        <f ca="1">IFERROR(__xludf.DUMMYFUNCTION("""COMPUTED_VALUE"""),"| 1 L CPT % | 2 L JAVA % | 3 P NS @ | 5 L INE @ ")</f>
        <v xml:space="preserve">| 1 L CPT % | 2 L JAVA % | 3 P NS @ | 5 L INE @ </v>
      </c>
      <c r="AO203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03" s="4" t="str">
        <f ca="1">IFERROR(__xludf.DUMMYFUNCTION("""COMPUTED_VALUE"""),"| 1 L CPT % | 2 L PHP-CGM % | 3 P Python % | 5 P JAVA % ")</f>
        <v xml:space="preserve">| 1 L CPT % | 2 L PHP-CGM % | 3 P Python % | 5 P JAVA % </v>
      </c>
      <c r="AQ203" s="4" t="str">
        <f ca="1">IFERROR(__xludf.DUMMYFUNCTION("""COMPUTED_VALUE"""),"| 2 L PHP-CGM % | 3 P Python % | 5 P PHP-CGM % | 1 L NS % ")</f>
        <v xml:space="preserve">| 2 L PHP-CGM % | 3 P Python % | 5 P PHP-CGM % | 1 L NS % </v>
      </c>
      <c r="AR203" s="4" t="str">
        <f ca="1">IFERROR(__xludf.DUMMYFUNCTION("""COMPUTED_VALUE"""),"| 1 L CPT @ | 2 L JAVA @ | 3 P CPT @ | 5 P JAVA @ ")</f>
        <v xml:space="preserve">| 1 L CPT @ | 2 L JAVA @ | 3 P CPT @ | 5 P JAVA @ </v>
      </c>
      <c r="AS20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03" s="4" t="str">
        <f ca="1">IFERROR(__xludf.DUMMYFUNCTION("""COMPUTED_VALUE"""),"| 1 L CPT % | 2 L PHP-CGM % | 3 P Python % | 5 P JAVA @ ")</f>
        <v xml:space="preserve">| 1 L CPT % | 2 L PHP-CGM % | 3 P Python % | 5 P JAVA @ </v>
      </c>
      <c r="AU203" s="4" t="str">
        <f ca="1">IFERROR(__xludf.DUMMYFUNCTION("""COMPUTED_VALUE"""),"| 1 L NS % | 2 L PHP-CGM % | 3 P Python % | 5 P PHP-CGM % ")</f>
        <v xml:space="preserve">| 1 L NS % | 2 L PHP-CGM % | 3 P Python % | 5 P PHP-CGM % </v>
      </c>
      <c r="AV203" s="4" t="str">
        <f ca="1">IFERROR(__xludf.DUMMYFUNCTION("""COMPUTED_VALUE"""),"| 1 L CPT % | 2 L JAVA % | 5 P JAVA % | 3 P CPT % ")</f>
        <v xml:space="preserve">| 1 L CPT % | 2 L JAVA % | 5 P JAVA % | 3 P CPT % </v>
      </c>
      <c r="AW203" s="4" t="str">
        <f ca="1">IFERROR(__xludf.DUMMYFUNCTION("""COMPUTED_VALUE"""),"| 1 L CPT % | 2 L JAVA % | 3 P NS % | 5 L INE % | 6 L INE % ")</f>
        <v xml:space="preserve">| 1 L CPT % | 2 L JAVA % | 3 P NS % | 5 L INE % | 6 L INE % </v>
      </c>
      <c r="AX203" s="4" t="str">
        <f ca="1">IFERROR(__xludf.DUMMYFUNCTION("""COMPUTED_VALUE"""),"| 1 L NS @ | 2 L PHP-CGM % | 3 P PRO @ | 5 L NS @ | 5 L JAVA @ ")</f>
        <v xml:space="preserve">| 1 L NS @ | 2 L PHP-CGM % | 3 P PRO @ | 5 L NS @ | 5 L JAVA @ </v>
      </c>
      <c r="AY203" s="4" t="str">
        <f ca="1">IFERROR(__xludf.DUMMYFUNCTION("""COMPUTED_VALUE"""),"| 1 L CPT @ | 2 L PHP-CGM @ | 3 P Python @ | 5 P JAVA @ ")</f>
        <v xml:space="preserve">| 1 L CPT @ | 2 L PHP-CGM @ | 3 P Python @ | 5 P JAVA @ </v>
      </c>
      <c r="AZ203" s="4" t="str">
        <f ca="1">IFERROR(__xludf.DUMMYFUNCTION("""COMPUTED_VALUE"""),"| 1 L CPT % | 2 L JAVA % | 3 P CPT % | 5 P JAVA % ")</f>
        <v xml:space="preserve">| 1 L CPT % | 2 L JAVA % | 3 P CPT % | 5 P JAVA % </v>
      </c>
      <c r="BA203" s="4" t="str">
        <f ca="1">IFERROR(__xludf.DUMMYFUNCTION("""COMPUTED_VALUE"""),"| 1 L CPT @ | 2 L JAVA @ | 3 P NS @ | 5 L INE @ ")</f>
        <v xml:space="preserve">| 1 L CPT @ | 2 L JAVA @ | 3 P NS @ | 5 L INE @ </v>
      </c>
      <c r="BB20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3" s="4" t="str">
        <f ca="1">IFERROR(__xludf.DUMMYFUNCTION("""COMPUTED_VALUE"""),"| 1 L CPT % | 2 L PHP-CGM % | 3 P Python % | 5 P JAVA % ")</f>
        <v xml:space="preserve">| 1 L CPT % | 2 L PHP-CGM % | 3 P Python % | 5 P JAVA % </v>
      </c>
      <c r="BD203" s="4" t="str">
        <f ca="1">IFERROR(__xludf.DUMMYFUNCTION("""COMPUTED_VALUE"""),"| 1 L NS % | 2 L PHP-CGM % | 3 P Python % | 5 P PHP-CGM % ")</f>
        <v xml:space="preserve">| 1 L NS % | 2 L PHP-CGM % | 3 P Python % | 5 P PHP-CGM % </v>
      </c>
      <c r="BE203" s="4" t="str">
        <f ca="1">IFERROR(__xludf.DUMMYFUNCTION("""COMPUTED_VALUE"""),"| 1 L CPT % | 2 L JAVA % | 3 P CPT % | 5 P JAVA @ ")</f>
        <v xml:space="preserve">| 1 L CPT % | 2 L JAVA % | 3 P CPT % | 5 P JAVA @ </v>
      </c>
      <c r="BF203" s="4" t="str">
        <f ca="1">IFERROR(__xludf.DUMMYFUNCTION("""COMPUTED_VALUE"""),"| 1 L CPT % | 2 L JAVA % | 3 P NS % ")</f>
        <v xml:space="preserve">| 1 L CPT % | 2 L JAVA % | 3 P NS % </v>
      </c>
      <c r="BG203" s="4" t="str">
        <f ca="1">IFERROR(__xludf.DUMMYFUNCTION("""COMPUTED_VALUE"""),"| 2 L PHP-CGM @ | 1 L CPT % | 3 P Python @ | 5 P JAVA @ ")</f>
        <v xml:space="preserve">| 2 L PHP-CGM @ | 1 L CPT % | 3 P Python @ | 5 P JAVA @ </v>
      </c>
      <c r="BH203" s="4" t="str">
        <f ca="1">IFERROR(__xludf.DUMMYFUNCTION("""COMPUTED_VALUE"""),"| 1 L NS % | 2 L PHP-CGM % | 3 P Python % | 5 P PHP-CGM % ")</f>
        <v xml:space="preserve">| 1 L NS % | 2 L PHP-CGM % | 3 P Python % | 5 P PHP-CGM % </v>
      </c>
      <c r="BI203" s="4" t="str">
        <f ca="1">IFERROR(__xludf.DUMMYFUNCTION("""COMPUTED_VALUE"""),"| 1 L CPT % | 2 L JAVA % | 3 P CPT % | 5 P JAVA % ")</f>
        <v xml:space="preserve">| 1 L CPT % | 2 L JAVA % | 3 P CPT % | 5 P JAVA % </v>
      </c>
      <c r="BJ203" s="4" t="str">
        <f ca="1">IFERROR(__xludf.DUMMYFUNCTION("""COMPUTED_VALUE"""),"| 1 L CPT @ | 2 L JAVA @ | 3 P NS @ | 5 L INE @ ")</f>
        <v xml:space="preserve">| 1 L CPT @ | 2 L JAVA @ | 3 P NS @ | 5 L INE @ </v>
      </c>
      <c r="BK203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203" s="4" t="str">
        <f ca="1">IFERROR(__xludf.DUMMYFUNCTION("""COMPUTED_VALUE"""),"| 1 L CPT @ | 2 L PHP-CGM @ | 3 P Python @ | 5 P JAVA @ ")</f>
        <v xml:space="preserve">| 1 L CPT @ | 2 L PHP-CGM @ | 3 P Python @ | 5 P JAVA @ </v>
      </c>
      <c r="BM203" s="4" t="str">
        <f ca="1">IFERROR(__xludf.DUMMYFUNCTION("""COMPUTED_VALUE"""),"| 1 L NS % | 2 L PHP-CGM % | 3 P Python @ ")</f>
        <v xml:space="preserve">| 1 L NS % | 2 L PHP-CGM % | 3 P Python @ </v>
      </c>
      <c r="BN203" s="4" t="str">
        <f ca="1">IFERROR(__xludf.DUMMYFUNCTION("""COMPUTED_VALUE"""),"| 2 L JAVA @ | 1 L CPT @ | 3 P CPT @ | 5 P JAVA @ ")</f>
        <v xml:space="preserve">| 2 L JAVA @ | 1 L CPT @ | 3 P CPT @ | 5 P JAVA @ </v>
      </c>
      <c r="BO203" s="4" t="str">
        <f ca="1">IFERROR(__xludf.DUMMYFUNCTION("""COMPUTED_VALUE"""),"| 2 L JAVA @ | 1 L CPT @ | 3 P NS @ | 5 L INE @ ")</f>
        <v xml:space="preserve">| 2 L JAVA @ | 1 L CPT @ | 3 P NS @ | 5 L INE @ </v>
      </c>
      <c r="BP203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Q203" s="4"/>
      <c r="BR203" s="4"/>
      <c r="BS203" s="4"/>
      <c r="BT203" s="4" t="str">
        <f ca="1">IFERROR(__xludf.DUMMYFUNCTION("""COMPUTED_VALUE"""),"| 1 L NS @ | 2 L PHP-CGM @ | 3 P PRO % ")</f>
        <v xml:space="preserve">| 1 L NS @ | 2 L PHP-CGM @ | 3 P PRO % </v>
      </c>
      <c r="BU203" s="4" t="str">
        <f ca="1">IFERROR(__xludf.DUMMYFUNCTION("""COMPUTED_VALUE"""),"| 1 L CPT @ | 3 P Python @ ")</f>
        <v xml:space="preserve">| 1 L CPT @ | 3 P Python @ </v>
      </c>
      <c r="BV203" s="4" t="str">
        <f ca="1">IFERROR(__xludf.DUMMYFUNCTION("""COMPUTED_VALUE"""),"| 1 L NS @ | 2 L PHP-CGM @ | 3 P PRO @ | 6 L JAVA @ ")</f>
        <v xml:space="preserve">| 1 L NS @ | 2 L PHP-CGM @ | 3 P PRO @ | 6 L JAVA @ </v>
      </c>
      <c r="BW203" s="4" t="str">
        <f ca="1">IFERROR(__xludf.DUMMYFUNCTION("""COMPUTED_VALUE"""),"| 1 L CPT @ | 2 L PHP-CGM @ | 3 P Python @ ")</f>
        <v xml:space="preserve">| 1 L CPT @ | 2 L PHP-CGM @ | 3 P Python @ </v>
      </c>
      <c r="BX203" s="4" t="str">
        <f ca="1">IFERROR(__xludf.DUMMYFUNCTION("""COMPUTED_VALUE"""),"| 1 L NS @ | 2 L PHP-CGM @ | 3 P Python @ | 5 P PHP-CGM @ ")</f>
        <v xml:space="preserve">| 1 L NS @ | 2 L PHP-CGM @ | 3 P Python @ | 5 P PHP-CGM @ </v>
      </c>
      <c r="BY203" s="4" t="str">
        <f ca="1">IFERROR(__xludf.DUMMYFUNCTION("""COMPUTED_VALUE"""),"| 1 L CPT @ | 2 L JAVA @ | 3 P CPT % | 5 P JAVA @ ")</f>
        <v xml:space="preserve">| 1 L CPT @ | 2 L JAVA @ | 3 P CPT % | 5 P JAVA @ </v>
      </c>
      <c r="BZ203" s="4" t="str">
        <f ca="1">IFERROR(__xludf.DUMMYFUNCTION("""COMPUTED_VALUE"""),"| 1 L CPT @ | 2 L JAVA @ | 3 P NS @ | 5 L INE @ ")</f>
        <v xml:space="preserve">| 1 L CPT @ | 2 L JAVA @ | 3 P NS @ | 5 L INE @ </v>
      </c>
      <c r="CA20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203" s="4" t="str">
        <f ca="1">IFERROR(__xludf.DUMMYFUNCTION("""COMPUTED_VALUE"""),"| 2 L PHP-CGM % | 3 P Python % | 5 P JAVA % | 1 L CPT % ")</f>
        <v xml:space="preserve">| 2 L PHP-CGM % | 3 P Python % | 5 P JAVA % | 1 L CPT % </v>
      </c>
      <c r="CC203" s="4" t="str">
        <f ca="1">IFERROR(__xludf.DUMMYFUNCTION("""COMPUTED_VALUE"""),"| 1 L NS @ | 2 L PHP-CGM @ | 3 P Python % | 5 P PHP-CGM % ")</f>
        <v xml:space="preserve">| 1 L NS @ | 2 L PHP-CGM @ | 3 P Python % | 5 P PHP-CGM % </v>
      </c>
      <c r="CD203" s="4" t="str">
        <f ca="1">IFERROR(__xludf.DUMMYFUNCTION("""COMPUTED_VALUE"""),"| 1 L CPT @ | 2 L JAVA @ | 3 P CPT % | 5 P JAVA % ")</f>
        <v xml:space="preserve">| 1 L CPT @ | 2 L JAVA @ | 3 P CPT % | 5 P JAVA % </v>
      </c>
      <c r="CE203" s="4" t="str">
        <f ca="1">IFERROR(__xludf.DUMMYFUNCTION("""COMPUTED_VALUE"""),"| 1 L CPT % | 2 L JAVA % | 3 P NS % | 5 L INE % ")</f>
        <v xml:space="preserve">| 1 L CPT % | 2 L JAVA % | 3 P NS % | 5 L INE % </v>
      </c>
      <c r="CF203" s="4" t="str">
        <f ca="1">IFERROR(__xludf.DUMMYFUNCTION("""COMPUTED_VALUE"""),"| 1 L NS @ | 2 L PHP-CGM @ | 5 L NS % | 6 L JAVA % ")</f>
        <v xml:space="preserve">| 1 L NS @ | 2 L PHP-CGM @ | 5 L NS % | 6 L JAVA % </v>
      </c>
      <c r="CG203" s="4" t="str">
        <f ca="1">IFERROR(__xludf.DUMMYFUNCTION("""COMPUTED_VALUE"""),"| 1 L CPT % | 2 L PHP-CGM % | 3 P Python % | 5 P JAVA % ")</f>
        <v xml:space="preserve">| 1 L CPT % | 2 L PHP-CGM % | 3 P Python % | 5 P JAVA % </v>
      </c>
      <c r="CH203" s="4" t="str">
        <f ca="1">IFERROR(__xludf.DUMMYFUNCTION("""COMPUTED_VALUE"""),"| 1 L NS % | 2 L PHP-CGM % | 3 P Python % | 5 P PHP-CGM % ")</f>
        <v xml:space="preserve">| 1 L NS % | 2 L PHP-CGM % | 3 P Python % | 5 P PHP-CGM % </v>
      </c>
      <c r="CI203" s="4" t="str">
        <f ca="1">IFERROR(__xludf.DUMMYFUNCTION("""COMPUTED_VALUE"""),"| 1 L CPT @ | 2 L JAVA @ ")</f>
        <v xml:space="preserve">| 1 L CPT @ | 2 L JAVA @ </v>
      </c>
      <c r="CJ203" s="4" t="str">
        <f ca="1">IFERROR(__xludf.DUMMYFUNCTION("""COMPUTED_VALUE"""),"| 1 L CPT @ | 3 P NS % ")</f>
        <v xml:space="preserve">| 1 L CPT @ | 3 P NS % </v>
      </c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</row>
    <row r="204" spans="1:102" ht="12.5" x14ac:dyDescent="0.25">
      <c r="A204" s="3">
        <f ca="1">IFERROR(__xludf.DUMMYFUNCTION("""COMPUTED_VALUE"""),2)</f>
        <v>2</v>
      </c>
      <c r="B204" s="3" t="str">
        <f ca="1">IFERROR(__xludf.DUMMYFUNCTION("""COMPUTED_VALUE"""),"C")</f>
        <v>C</v>
      </c>
      <c r="C204" s="32" t="str">
        <f ca="1">IFERROR(__xludf.DUMMYFUNCTION("""COMPUTED_VALUE"""),"23171341090")</f>
        <v>23171341090</v>
      </c>
      <c r="D204" s="4" t="str">
        <f ca="1">IFERROR(__xludf.DUMMYFUNCTION("""COMPUTED_VALUE"""),"PATEL HETVI JAGDISHBHAI")</f>
        <v>PATEL HETVI JAGDISHBHAI</v>
      </c>
      <c r="E204" s="3" t="str">
        <f ca="1">IFERROR(__xludf.DUMMYFUNCTION("""COMPUTED_VALUE"""),"PKN/PAP-Mor")</f>
        <v>PKN/PAP-Mor</v>
      </c>
      <c r="F204" s="3">
        <f ca="1">IFERROR(__xludf.DUMMYFUNCTION("""COMPUTED_VALUE"""),7990573098)</f>
        <v>7990573098</v>
      </c>
      <c r="G204" s="3">
        <f ca="1">IFERROR(__xludf.DUMMYFUNCTION("""COMPUTED_VALUE"""),9924434696)</f>
        <v>9924434696</v>
      </c>
      <c r="H204" s="33">
        <f ca="1">IFERROR(__xludf.DUMMYFUNCTION("""COMPUTED_VALUE"""),0.739837398373983)</f>
        <v>0.73983739837398299</v>
      </c>
      <c r="I204" s="25">
        <f ca="1">IFERROR(__xludf.DUMMYFUNCTION("""COMPUTED_VALUE"""),0.736842105263157)</f>
        <v>0.73684210526315697</v>
      </c>
      <c r="J204" s="25">
        <f ca="1">IFERROR(__xludf.DUMMYFUNCTION("""COMPUTED_VALUE"""),0.75)</f>
        <v>0.75</v>
      </c>
      <c r="K204" s="25">
        <f ca="1">IFERROR(__xludf.DUMMYFUNCTION("""COMPUTED_VALUE"""),0.777777777777777)</f>
        <v>0.77777777777777701</v>
      </c>
      <c r="L204" s="25">
        <f ca="1">IFERROR(__xludf.DUMMYFUNCTION("""COMPUTED_VALUE"""),0.75)</f>
        <v>0.75</v>
      </c>
      <c r="M204" s="25">
        <f ca="1">IFERROR(__xludf.DUMMYFUNCTION("""COMPUTED_VALUE"""),0.861111111111111)</f>
        <v>0.86111111111111105</v>
      </c>
      <c r="N204" s="25">
        <f ca="1">IFERROR(__xludf.DUMMYFUNCTION("""COMPUTED_VALUE"""),0.8)</f>
        <v>0.8</v>
      </c>
      <c r="O204" s="25">
        <f ca="1">IFERROR(__xludf.DUMMYFUNCTION("""COMPUTED_VALUE"""),0.628571428571428)</f>
        <v>0.628571428571428</v>
      </c>
      <c r="P204" s="25">
        <f ca="1">IFERROR(__xludf.DUMMYFUNCTION("""COMPUTED_VALUE"""),0.652173913043478)</f>
        <v>0.65217391304347805</v>
      </c>
      <c r="Q204" s="25">
        <f ca="1">IFERROR(__xludf.DUMMYFUNCTION("""COMPUTED_VALUE"""),0)</f>
        <v>0</v>
      </c>
      <c r="R204" s="25">
        <f ca="1">IFERROR(__xludf.DUMMYFUNCTION("""COMPUTED_VALUE"""),0.708333333333333)</f>
        <v>0.70833333333333304</v>
      </c>
      <c r="S204" s="25">
        <f ca="1">IFERROR(__xludf.DUMMYFUNCTION("""COMPUTED_VALUE"""),0)</f>
        <v>0</v>
      </c>
      <c r="T204" s="25">
        <f ca="1">IFERROR(__xludf.DUMMYFUNCTION("""COMPUTED_VALUE"""),0.833333333333333)</f>
        <v>0.83333333333333304</v>
      </c>
      <c r="U204" s="25">
        <f ca="1">IFERROR(__xludf.DUMMYFUNCTION("""COMPUTED_VALUE"""),0.625)</f>
        <v>0.625</v>
      </c>
      <c r="V204" s="25">
        <f ca="1">IFERROR(__xludf.DUMMYFUNCTION("""COMPUTED_VALUE"""),0)</f>
        <v>0</v>
      </c>
      <c r="W204" s="4"/>
      <c r="X20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204" s="4" t="str">
        <f ca="1">IFERROR(__xludf.DUMMYFUNCTION("""COMPUTED_VALUE"""),"| 1 L CPT % | 5 L PHP-CGM % | 3 P Python % | 5 P JAVA % ")</f>
        <v xml:space="preserve">| 1 L CPT % | 5 L PHP-CGM % | 3 P Python % | 5 P JAVA % </v>
      </c>
      <c r="Z204" s="4" t="str">
        <f ca="1">IFERROR(__xludf.DUMMYFUNCTION("""COMPUTED_VALUE"""),"| 1 L CPT % | 2 L PHP-CGM % | 3 P Python % | 5 P PHP-CGM % ")</f>
        <v xml:space="preserve">| 1 L CPT % | 2 L PHP-CGM % | 3 P Python % | 5 P PHP-CGM % </v>
      </c>
      <c r="AA204" s="4" t="str">
        <f ca="1">IFERROR(__xludf.DUMMYFUNCTION("""COMPUTED_VALUE"""),"| 1 L NS % | 2 L JAVA % | 3 P CPT % | 5 P JAVA % ")</f>
        <v xml:space="preserve">| 1 L NS % | 2 L JAVA % | 3 P CPT % | 5 P JAVA % </v>
      </c>
      <c r="AB204" s="4" t="str">
        <f ca="1">IFERROR(__xludf.DUMMYFUNCTION("""COMPUTED_VALUE"""),"| 1 L CPT % | 2 L JAVA % | 3 P NS % ")</f>
        <v xml:space="preserve">| 1 L CPT % | 2 L JAVA % | 3 P NS % </v>
      </c>
      <c r="AC20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04" s="4" t="str">
        <f ca="1">IFERROR(__xludf.DUMMYFUNCTION("""COMPUTED_VALUE"""),"| 1 L CPT % | 2 L PHP-CGM % | 3 P Python % | 5 P JAVA % ")</f>
        <v xml:space="preserve">| 1 L CPT % | 2 L PHP-CGM % | 3 P Python % | 5 P JAVA % </v>
      </c>
      <c r="AE204" s="4" t="str">
        <f ca="1">IFERROR(__xludf.DUMMYFUNCTION("""COMPUTED_VALUE"""),"| 1 L CPT % | 3 P Python % | 5 P PHP-CGM % | 2 L PHP-CGM % ")</f>
        <v xml:space="preserve">| 1 L CPT % | 3 P Python % | 5 P PHP-CGM % | 2 L PHP-CGM % </v>
      </c>
      <c r="AF204" s="4" t="str">
        <f ca="1">IFERROR(__xludf.DUMMYFUNCTION("""COMPUTED_VALUE"""),"| 1 L NS % | 2 L CPT % | 3 P CPT % | 5 P JAVA % ")</f>
        <v xml:space="preserve">| 1 L NS % | 2 L CPT % | 3 P CPT % | 5 P JAVA % </v>
      </c>
      <c r="AG204" s="4" t="str">
        <f ca="1">IFERROR(__xludf.DUMMYFUNCTION("""COMPUTED_VALUE"""),"| 1 L CPT % | 2 L JAVA % | 3 P NS % ")</f>
        <v xml:space="preserve">| 1 L CPT % | 2 L JAVA % | 3 P NS % </v>
      </c>
      <c r="AH204" s="4" t="str">
        <f ca="1">IFERROR(__xludf.DUMMYFUNCTION("""COMPUTED_VALUE"""),"| 2 L JAVA % | 1 L NS % | 3 P CPT % | 5 P JAVA % ")</f>
        <v xml:space="preserve">| 2 L JAVA % | 1 L NS % | 3 P CPT % | 5 P JAVA % </v>
      </c>
      <c r="AI204" s="4" t="str">
        <f ca="1">IFERROR(__xludf.DUMMYFUNCTION("""COMPUTED_VALUE"""),"| 1 L CPT % | 2 L JAVA % | 3 P NS % ")</f>
        <v xml:space="preserve">| 1 L CPT % | 2 L JAVA % | 3 P NS % </v>
      </c>
      <c r="AJ20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4" s="4" t="str">
        <f ca="1">IFERROR(__xludf.DUMMYFUNCTION("""COMPUTED_VALUE"""),"| 1 L CPT % | 3 P Python % | 2 L PHP-CGM % | 5 P JAVA % ")</f>
        <v xml:space="preserve">| 1 L CPT % | 3 P Python % | 2 L PHP-CGM % | 5 P JAVA % </v>
      </c>
      <c r="AL204" s="4" t="str">
        <f ca="1">IFERROR(__xludf.DUMMYFUNCTION("""COMPUTED_VALUE"""),"| 1 L CPT % | 2 L PHP-CGM % | 3 P Python % | 5 P PHP-CGM % ")</f>
        <v xml:space="preserve">| 1 L CPT % | 2 L PHP-CGM % | 3 P Python % | 5 P PHP-CGM % </v>
      </c>
      <c r="AM204" s="4" t="str">
        <f ca="1">IFERROR(__xludf.DUMMYFUNCTION("""COMPUTED_VALUE"""),"| 2 L JAVA % | 3 P CPT % | 5 P JAVA % | 1 L NS % ")</f>
        <v xml:space="preserve">| 2 L JAVA % | 3 P CPT % | 5 P JAVA % | 1 L NS % </v>
      </c>
      <c r="AN204" s="4" t="str">
        <f ca="1">IFERROR(__xludf.DUMMYFUNCTION("""COMPUTED_VALUE"""),"| 1 L CPT % | 2 L JAVA % | 3 P NS @ | 5 L INE @ ")</f>
        <v xml:space="preserve">| 1 L CPT % | 2 L JAVA % | 3 P NS @ | 5 L INE @ </v>
      </c>
      <c r="AO204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04" s="4" t="str">
        <f ca="1">IFERROR(__xludf.DUMMYFUNCTION("""COMPUTED_VALUE"""),"| 1 L CPT @ | 2 L PHP-CGM @ | 3 P Python @ | 5 P JAVA @ ")</f>
        <v xml:space="preserve">| 1 L CPT @ | 2 L PHP-CGM @ | 3 P Python @ | 5 P JAVA @ </v>
      </c>
      <c r="AQ204" s="4" t="str">
        <f ca="1">IFERROR(__xludf.DUMMYFUNCTION("""COMPUTED_VALUE"""),"| 2 L PHP-CGM % | 3 P Python % | 5 P PHP-CGM % | 1 L NS % ")</f>
        <v xml:space="preserve">| 2 L PHP-CGM % | 3 P Python % | 5 P PHP-CGM % | 1 L NS % </v>
      </c>
      <c r="AR204" s="4" t="str">
        <f ca="1">IFERROR(__xludf.DUMMYFUNCTION("""COMPUTED_VALUE"""),"| 1 L CPT % | 2 L JAVA % | 3 P CPT % | 5 P JAVA @ ")</f>
        <v xml:space="preserve">| 1 L CPT % | 2 L JAVA % | 3 P CPT % | 5 P JAVA @ </v>
      </c>
      <c r="AS20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04" s="4" t="str">
        <f ca="1">IFERROR(__xludf.DUMMYFUNCTION("""COMPUTED_VALUE"""),"| 1 L CPT % | 2 L PHP-CGM % | 3 P Python % | 5 P JAVA % ")</f>
        <v xml:space="preserve">| 1 L CPT % | 2 L PHP-CGM % | 3 P Python % | 5 P JAVA % </v>
      </c>
      <c r="AU204" s="4" t="str">
        <f ca="1">IFERROR(__xludf.DUMMYFUNCTION("""COMPUTED_VALUE"""),"| 1 L NS % | 2 L PHP-CGM % | 3 P Python % | 5 P PHP-CGM % ")</f>
        <v xml:space="preserve">| 1 L NS % | 2 L PHP-CGM % | 3 P Python % | 5 P PHP-CGM % </v>
      </c>
      <c r="AV204" s="4" t="str">
        <f ca="1">IFERROR(__xludf.DUMMYFUNCTION("""COMPUTED_VALUE"""),"| 1 L CPT % | 2 L JAVA % | 5 P JAVA % | 3 P CPT % ")</f>
        <v xml:space="preserve">| 1 L CPT % | 2 L JAVA % | 5 P JAVA % | 3 P CPT % </v>
      </c>
      <c r="AW204" s="4" t="str">
        <f ca="1">IFERROR(__xludf.DUMMYFUNCTION("""COMPUTED_VALUE"""),"| 1 L CPT % | 2 L JAVA % | 3 P NS % | 5 L INE % | 6 L INE % ")</f>
        <v xml:space="preserve">| 1 L CPT % | 2 L JAVA % | 3 P NS % | 5 L INE % | 6 L INE % </v>
      </c>
      <c r="AX204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Y204" s="4" t="str">
        <f ca="1">IFERROR(__xludf.DUMMYFUNCTION("""COMPUTED_VALUE"""),"| 1 L CPT % | 2 L PHP-CGM % | 3 P Python % | 5 P JAVA % ")</f>
        <v xml:space="preserve">| 1 L CPT % | 2 L PHP-CGM % | 3 P Python % | 5 P JAVA % </v>
      </c>
      <c r="AZ204" s="4" t="str">
        <f ca="1">IFERROR(__xludf.DUMMYFUNCTION("""COMPUTED_VALUE"""),"| 1 L CPT % | 2 L JAVA % | 3 P CPT % | 5 P JAVA % ")</f>
        <v xml:space="preserve">| 1 L CPT % | 2 L JAVA % | 3 P CPT % | 5 P JAVA % </v>
      </c>
      <c r="BA204" s="4" t="str">
        <f ca="1">IFERROR(__xludf.DUMMYFUNCTION("""COMPUTED_VALUE"""),"| 1 L CPT % | 2 L JAVA % | 3 P NS % | 5 L INE @ ")</f>
        <v xml:space="preserve">| 1 L CPT % | 2 L JAVA % | 3 P NS % | 5 L INE @ </v>
      </c>
      <c r="BB20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4" s="4" t="str">
        <f ca="1">IFERROR(__xludf.DUMMYFUNCTION("""COMPUTED_VALUE"""),"| 1 L CPT % | 2 L PHP-CGM % | 3 P Python % | 5 P JAVA @ ")</f>
        <v xml:space="preserve">| 1 L CPT % | 2 L PHP-CGM % | 3 P Python % | 5 P JAVA @ </v>
      </c>
      <c r="BD204" s="4" t="str">
        <f ca="1">IFERROR(__xludf.DUMMYFUNCTION("""COMPUTED_VALUE"""),"| 1 L NS % | 2 L PHP-CGM % | 3 P Python % | 5 P PHP-CGM % ")</f>
        <v xml:space="preserve">| 1 L NS % | 2 L PHP-CGM % | 3 P Python % | 5 P PHP-CGM % </v>
      </c>
      <c r="BE204" s="4" t="str">
        <f ca="1">IFERROR(__xludf.DUMMYFUNCTION("""COMPUTED_VALUE"""),"| 1 L CPT @ | 2 L JAVA @ | 3 P CPT @ | 5 P JAVA @ ")</f>
        <v xml:space="preserve">| 1 L CPT @ | 2 L JAVA @ | 3 P CPT @ | 5 P JAVA @ </v>
      </c>
      <c r="BF204" s="4" t="str">
        <f ca="1">IFERROR(__xludf.DUMMYFUNCTION("""COMPUTED_VALUE"""),"| 1 L CPT % | 2 L JAVA % | 3 P NS % ")</f>
        <v xml:space="preserve">| 1 L CPT % | 2 L JAVA % | 3 P NS % </v>
      </c>
      <c r="BG204" s="4" t="str">
        <f ca="1">IFERROR(__xludf.DUMMYFUNCTION("""COMPUTED_VALUE"""),"| 2 L PHP-CGM % | 1 L CPT % | 3 P Python @ | 5 P JAVA @ ")</f>
        <v xml:space="preserve">| 2 L PHP-CGM % | 1 L CPT % | 3 P Python @ | 5 P JAVA @ </v>
      </c>
      <c r="BH204" s="4" t="str">
        <f ca="1">IFERROR(__xludf.DUMMYFUNCTION("""COMPUTED_VALUE"""),"| 1 L NS @ | 2 L PHP-CGM @ | 3 P Python @ | 5 P PHP-CGM @ ")</f>
        <v xml:space="preserve">| 1 L NS @ | 2 L PHP-CGM @ | 3 P Python @ | 5 P PHP-CGM @ </v>
      </c>
      <c r="BI204" s="4" t="str">
        <f ca="1">IFERROR(__xludf.DUMMYFUNCTION("""COMPUTED_VALUE"""),"| 1 L CPT @ | 2 L JAVA @ | 3 P CPT % | 5 P JAVA % ")</f>
        <v xml:space="preserve">| 1 L CPT @ | 2 L JAVA @ | 3 P CPT % | 5 P JAVA % </v>
      </c>
      <c r="BJ204" s="4" t="str">
        <f ca="1">IFERROR(__xludf.DUMMYFUNCTION("""COMPUTED_VALUE"""),"| 1 L CPT @ | 2 L JAVA @ | 3 P NS % | 5 L INE % ")</f>
        <v xml:space="preserve">| 1 L CPT @ | 2 L JAVA @ | 3 P NS % | 5 L INE % </v>
      </c>
      <c r="BK204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L204" s="4" t="str">
        <f ca="1">IFERROR(__xludf.DUMMYFUNCTION("""COMPUTED_VALUE"""),"| 1 L CPT % | 2 L PHP-CGM % | 3 P Python % | 5 P JAVA % ")</f>
        <v xml:space="preserve">| 1 L CPT % | 2 L PHP-CGM % | 3 P Python % | 5 P JAVA % </v>
      </c>
      <c r="BM204" s="4" t="str">
        <f ca="1">IFERROR(__xludf.DUMMYFUNCTION("""COMPUTED_VALUE"""),"| 1 L NS % | 2 L PHP-CGM % | 3 P Python @ ")</f>
        <v xml:space="preserve">| 1 L NS % | 2 L PHP-CGM % | 3 P Python @ </v>
      </c>
      <c r="BN204" s="4" t="str">
        <f ca="1">IFERROR(__xludf.DUMMYFUNCTION("""COMPUTED_VALUE"""),"| 2 L JAVA @ | 1 L CPT @ | 3 P CPT @ | 5 P JAVA @ ")</f>
        <v xml:space="preserve">| 2 L JAVA @ | 1 L CPT @ | 3 P CPT @ | 5 P JAVA @ </v>
      </c>
      <c r="BO204" s="4" t="str">
        <f ca="1">IFERROR(__xludf.DUMMYFUNCTION("""COMPUTED_VALUE"""),"| 2 L JAVA @ | 1 L CPT @ | 3 P NS @ | 5 L INE @ ")</f>
        <v xml:space="preserve">| 2 L JAVA @ | 1 L CPT @ | 3 P NS @ | 5 L INE @ </v>
      </c>
      <c r="BP204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204" s="4"/>
      <c r="BR204" s="4"/>
      <c r="BS204" s="4"/>
      <c r="BT204" s="4" t="str">
        <f ca="1">IFERROR(__xludf.DUMMYFUNCTION("""COMPUTED_VALUE"""),"| 1 L NS % | 2 L PHP-CGM % | 3 P PRO % ")</f>
        <v xml:space="preserve">| 1 L NS % | 2 L PHP-CGM % | 3 P PRO % </v>
      </c>
      <c r="BU204" s="4" t="str">
        <f ca="1">IFERROR(__xludf.DUMMYFUNCTION("""COMPUTED_VALUE"""),"| 1 L CPT % | 3 P Python % ")</f>
        <v xml:space="preserve">| 1 L CPT % | 3 P Python % </v>
      </c>
      <c r="BV204" s="4" t="str">
        <f ca="1">IFERROR(__xludf.DUMMYFUNCTION("""COMPUTED_VALUE"""),"| 1 L NS @ | 2 L PHP-CGM @ | 3 P PRO @ | 6 L JAVA @ ")</f>
        <v xml:space="preserve">| 1 L NS @ | 2 L PHP-CGM @ | 3 P PRO @ | 6 L JAVA @ </v>
      </c>
      <c r="BW204" s="4" t="str">
        <f ca="1">IFERROR(__xludf.DUMMYFUNCTION("""COMPUTED_VALUE"""),"| 1 L CPT % | 2 L PHP-CGM % | 3 P Python % ")</f>
        <v xml:space="preserve">| 1 L CPT % | 2 L PHP-CGM % | 3 P Python % </v>
      </c>
      <c r="BX204" s="4" t="str">
        <f ca="1">IFERROR(__xludf.DUMMYFUNCTION("""COMPUTED_VALUE"""),"| 1 L NS % | 2 L PHP-CGM % | 3 P Python @ | 5 P PHP-CGM @ ")</f>
        <v xml:space="preserve">| 1 L NS % | 2 L PHP-CGM % | 3 P Python @ | 5 P PHP-CGM @ </v>
      </c>
      <c r="BY204" s="4" t="str">
        <f ca="1">IFERROR(__xludf.DUMMYFUNCTION("""COMPUTED_VALUE"""),"| 1 L CPT % | 2 L JAVA % | 3 P CPT % | 5 P JAVA % ")</f>
        <v xml:space="preserve">| 1 L CPT % | 2 L JAVA % | 3 P CPT % | 5 P JAVA % </v>
      </c>
      <c r="BZ204" s="4" t="str">
        <f ca="1">IFERROR(__xludf.DUMMYFUNCTION("""COMPUTED_VALUE"""),"| 1 L CPT % | 2 L JAVA % | 3 P NS % | 5 L INE % ")</f>
        <v xml:space="preserve">| 1 L CPT % | 2 L JAVA % | 3 P NS % | 5 L INE % </v>
      </c>
      <c r="CA204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204" s="4" t="str">
        <f ca="1">IFERROR(__xludf.DUMMYFUNCTION("""COMPUTED_VALUE"""),"| 2 L PHP-CGM @ | 3 P Python @ | 5 P JAVA @ | 1 L CPT @ ")</f>
        <v xml:space="preserve">| 2 L PHP-CGM @ | 3 P Python @ | 5 P JAVA @ | 1 L CPT @ </v>
      </c>
      <c r="CC204" s="4" t="str">
        <f ca="1">IFERROR(__xludf.DUMMYFUNCTION("""COMPUTED_VALUE"""),"| 1 L NS % | 2 L PHP-CGM % | 3 P Python % | 5 P PHP-CGM % ")</f>
        <v xml:space="preserve">| 1 L NS % | 2 L PHP-CGM % | 3 P Python % | 5 P PHP-CGM % </v>
      </c>
      <c r="CD204" s="4" t="str">
        <f ca="1">IFERROR(__xludf.DUMMYFUNCTION("""COMPUTED_VALUE"""),"| 1 L CPT @ | 2 L JAVA @ | 3 P CPT @ | 5 P JAVA @ ")</f>
        <v xml:space="preserve">| 1 L CPT @ | 2 L JAVA @ | 3 P CPT @ | 5 P JAVA @ </v>
      </c>
      <c r="CE204" s="4" t="str">
        <f ca="1">IFERROR(__xludf.DUMMYFUNCTION("""COMPUTED_VALUE"""),"| 1 L CPT % | 2 L JAVA % | 3 P NS @ | 5 L INE % ")</f>
        <v xml:space="preserve">| 1 L CPT % | 2 L JAVA % | 3 P NS @ | 5 L INE % </v>
      </c>
      <c r="CF204" s="4" t="str">
        <f ca="1">IFERROR(__xludf.DUMMYFUNCTION("""COMPUTED_VALUE"""),"| 1 L NS % | 2 L PHP-CGM % | 5 L NS @ | 6 L JAVA @ ")</f>
        <v xml:space="preserve">| 1 L NS % | 2 L PHP-CGM % | 5 L NS @ | 6 L JAVA @ </v>
      </c>
      <c r="CG204" s="4" t="str">
        <f ca="1">IFERROR(__xludf.DUMMYFUNCTION("""COMPUTED_VALUE"""),"| 1 L CPT % | 2 L PHP-CGM % | 3 P Python % | 5 P JAVA % ")</f>
        <v xml:space="preserve">| 1 L CPT % | 2 L PHP-CGM % | 3 P Python % | 5 P JAVA % </v>
      </c>
      <c r="CH204" s="4" t="str">
        <f ca="1">IFERROR(__xludf.DUMMYFUNCTION("""COMPUTED_VALUE"""),"| 1 L NS @ | 2 L PHP-CGM @ | 3 P Python @ | 5 P PHP-CGM % ")</f>
        <v xml:space="preserve">| 1 L NS @ | 2 L PHP-CGM @ | 3 P Python @ | 5 P PHP-CGM % </v>
      </c>
      <c r="CI204" s="4" t="str">
        <f ca="1">IFERROR(__xludf.DUMMYFUNCTION("""COMPUTED_VALUE"""),"| 1 L CPT @ | 2 L JAVA @ ")</f>
        <v xml:space="preserve">| 1 L CPT @ | 2 L JAVA @ </v>
      </c>
      <c r="CJ204" s="4" t="str">
        <f ca="1">IFERROR(__xludf.DUMMYFUNCTION("""COMPUTED_VALUE"""),"| 1 L CPT @ | 3 P NS % ")</f>
        <v xml:space="preserve">| 1 L CPT @ | 3 P NS % </v>
      </c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</row>
    <row r="205" spans="1:102" ht="12.5" x14ac:dyDescent="0.25">
      <c r="A205" s="3">
        <f ca="1">IFERROR(__xludf.DUMMYFUNCTION("""COMPUTED_VALUE"""),2)</f>
        <v>2</v>
      </c>
      <c r="B205" s="3" t="str">
        <f ca="1">IFERROR(__xludf.DUMMYFUNCTION("""COMPUTED_VALUE"""),"C")</f>
        <v>C</v>
      </c>
      <c r="C205" s="32" t="str">
        <f ca="1">IFERROR(__xludf.DUMMYFUNCTION("""COMPUTED_VALUE"""),"23171341094")</f>
        <v>23171341094</v>
      </c>
      <c r="D205" s="4" t="str">
        <f ca="1">IFERROR(__xludf.DUMMYFUNCTION("""COMPUTED_VALUE"""),"PATEL JIL ARVINDBHAI")</f>
        <v>PATEL JIL ARVINDBHAI</v>
      </c>
      <c r="E205" s="3" t="str">
        <f ca="1">IFERROR(__xludf.DUMMYFUNCTION("""COMPUTED_VALUE"""),"PKN/PAP-Mor")</f>
        <v>PKN/PAP-Mor</v>
      </c>
      <c r="F205" s="3">
        <f ca="1">IFERROR(__xludf.DUMMYFUNCTION("""COMPUTED_VALUE"""),6353477158)</f>
        <v>6353477158</v>
      </c>
      <c r="G205" s="3">
        <f ca="1">IFERROR(__xludf.DUMMYFUNCTION("""COMPUTED_VALUE"""),8849165058)</f>
        <v>8849165058</v>
      </c>
      <c r="H205" s="33">
        <f ca="1">IFERROR(__xludf.DUMMYFUNCTION("""COMPUTED_VALUE"""),0.707317073170731)</f>
        <v>0.707317073170731</v>
      </c>
      <c r="I205" s="25">
        <f ca="1">IFERROR(__xludf.DUMMYFUNCTION("""COMPUTED_VALUE"""),0.657894736842105)</f>
        <v>0.65789473684210498</v>
      </c>
      <c r="J205" s="25">
        <f ca="1">IFERROR(__xludf.DUMMYFUNCTION("""COMPUTED_VALUE"""),0.666666666666666)</f>
        <v>0.66666666666666596</v>
      </c>
      <c r="K205" s="25">
        <f ca="1">IFERROR(__xludf.DUMMYFUNCTION("""COMPUTED_VALUE"""),0.75)</f>
        <v>0.75</v>
      </c>
      <c r="L205" s="25">
        <f ca="1">IFERROR(__xludf.DUMMYFUNCTION("""COMPUTED_VALUE"""),0.833333333333333)</f>
        <v>0.83333333333333304</v>
      </c>
      <c r="M205" s="25">
        <f ca="1">IFERROR(__xludf.DUMMYFUNCTION("""COMPUTED_VALUE"""),0.777777777777777)</f>
        <v>0.77777777777777701</v>
      </c>
      <c r="N205" s="25">
        <f ca="1">IFERROR(__xludf.DUMMYFUNCTION("""COMPUTED_VALUE"""),0.8)</f>
        <v>0.8</v>
      </c>
      <c r="O205" s="25">
        <f ca="1">IFERROR(__xludf.DUMMYFUNCTION("""COMPUTED_VALUE"""),0.714285714285714)</f>
        <v>0.71428571428571397</v>
      </c>
      <c r="P205" s="25">
        <f ca="1">IFERROR(__xludf.DUMMYFUNCTION("""COMPUTED_VALUE"""),0.739130434782608)</f>
        <v>0.73913043478260798</v>
      </c>
      <c r="Q205" s="25">
        <f ca="1">IFERROR(__xludf.DUMMYFUNCTION("""COMPUTED_VALUE"""),0)</f>
        <v>0</v>
      </c>
      <c r="R205" s="25">
        <f ca="1">IFERROR(__xludf.DUMMYFUNCTION("""COMPUTED_VALUE"""),0.625)</f>
        <v>0.625</v>
      </c>
      <c r="S205" s="25">
        <f ca="1">IFERROR(__xludf.DUMMYFUNCTION("""COMPUTED_VALUE"""),0)</f>
        <v>0</v>
      </c>
      <c r="T205" s="25">
        <f ca="1">IFERROR(__xludf.DUMMYFUNCTION("""COMPUTED_VALUE"""),0.666666666666666)</f>
        <v>0.66666666666666596</v>
      </c>
      <c r="U205" s="25">
        <f ca="1">IFERROR(__xludf.DUMMYFUNCTION("""COMPUTED_VALUE"""),0.375)</f>
        <v>0.375</v>
      </c>
      <c r="V205" s="25">
        <f ca="1">IFERROR(__xludf.DUMMYFUNCTION("""COMPUTED_VALUE"""),0)</f>
        <v>0</v>
      </c>
      <c r="W205" s="4"/>
      <c r="X205" s="4" t="str">
        <f ca="1">IFERROR(__xludf.DUMMYFUNCTION("""COMPUTED_VALUE"""),"| 1 L NS % | 2 L PHP-CGM % | 3 P PRO % | 5 L JAVA @ | 6 L NS % ")</f>
        <v xml:space="preserve">| 1 L NS % | 2 L PHP-CGM % | 3 P PRO % | 5 L JAVA @ | 6 L NS % </v>
      </c>
      <c r="Y205" s="4" t="str">
        <f ca="1">IFERROR(__xludf.DUMMYFUNCTION("""COMPUTED_VALUE"""),"| 1 L CPT % | 5 L PHP-CGM % | 3 P Python % | 5 P JAVA % ")</f>
        <v xml:space="preserve">| 1 L CPT % | 5 L PHP-CGM % | 3 P Python % | 5 P JAVA % </v>
      </c>
      <c r="Z205" s="4" t="str">
        <f ca="1">IFERROR(__xludf.DUMMYFUNCTION("""COMPUTED_VALUE"""),"| 1 L CPT % | 2 L PHP-CGM % | 3 P Python % | 5 P PHP-CGM % ")</f>
        <v xml:space="preserve">| 1 L CPT % | 2 L PHP-CGM % | 3 P Python % | 5 P PHP-CGM % </v>
      </c>
      <c r="AA205" s="4" t="str">
        <f ca="1">IFERROR(__xludf.DUMMYFUNCTION("""COMPUTED_VALUE"""),"| 1 L NS % | 2 L JAVA % | 3 P CPT % | 5 P JAVA % ")</f>
        <v xml:space="preserve">| 1 L NS % | 2 L JAVA % | 3 P CPT % | 5 P JAVA % </v>
      </c>
      <c r="AB205" s="4" t="str">
        <f ca="1">IFERROR(__xludf.DUMMYFUNCTION("""COMPUTED_VALUE"""),"| 1 L CPT % | 2 L JAVA % | 3 P NS % ")</f>
        <v xml:space="preserve">| 1 L CPT % | 2 L JAVA % | 3 P NS % </v>
      </c>
      <c r="AC205" s="4" t="str">
        <f ca="1">IFERROR(__xludf.DUMMYFUNCTION("""COMPUTED_VALUE"""),"| 1 L NS % | 2 L PHP-CGM % | 3 P PRO @ | 5 L JAVA @ | 6 L NS @ ")</f>
        <v xml:space="preserve">| 1 L NS % | 2 L PHP-CGM % | 3 P PRO @ | 5 L JAVA @ | 6 L NS @ </v>
      </c>
      <c r="AD205" s="4" t="str">
        <f ca="1">IFERROR(__xludf.DUMMYFUNCTION("""COMPUTED_VALUE"""),"| 1 L CPT % | 2 L PHP-CGM % | 3 P Python % | 5 P JAVA % ")</f>
        <v xml:space="preserve">| 1 L CPT % | 2 L PHP-CGM % | 3 P Python % | 5 P JAVA % </v>
      </c>
      <c r="AE205" s="4" t="str">
        <f ca="1">IFERROR(__xludf.DUMMYFUNCTION("""COMPUTED_VALUE"""),"| 1 L CPT % | 3 P Python % | 5 P PHP-CGM % | 2 L PHP-CGM % ")</f>
        <v xml:space="preserve">| 1 L CPT % | 3 P Python % | 5 P PHP-CGM % | 2 L PHP-CGM % </v>
      </c>
      <c r="AF205" s="4" t="str">
        <f ca="1">IFERROR(__xludf.DUMMYFUNCTION("""COMPUTED_VALUE"""),"| 1 L NS @ | 2 L CPT @ | 3 P CPT @ | 5 P JAVA @ ")</f>
        <v xml:space="preserve">| 1 L NS @ | 2 L CPT @ | 3 P CPT @ | 5 P JAVA @ </v>
      </c>
      <c r="AG205" s="4" t="str">
        <f ca="1">IFERROR(__xludf.DUMMYFUNCTION("""COMPUTED_VALUE"""),"| 1 L CPT % | 2 L JAVA % | 3 P NS % ")</f>
        <v xml:space="preserve">| 1 L CPT % | 2 L JAVA % | 3 P NS % </v>
      </c>
      <c r="AH205" s="4" t="str">
        <f ca="1">IFERROR(__xludf.DUMMYFUNCTION("""COMPUTED_VALUE"""),"| 2 L JAVA % | 1 L NS % | 3 P CPT % | 5 P JAVA % ")</f>
        <v xml:space="preserve">| 2 L JAVA % | 1 L NS % | 3 P CPT % | 5 P JAVA % </v>
      </c>
      <c r="AI205" s="4" t="str">
        <f ca="1">IFERROR(__xludf.DUMMYFUNCTION("""COMPUTED_VALUE"""),"| 1 L CPT % | 2 L JAVA % | 3 P NS % ")</f>
        <v xml:space="preserve">| 1 L CPT % | 2 L JAVA % | 3 P NS % </v>
      </c>
      <c r="AJ20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5" s="4" t="str">
        <f ca="1">IFERROR(__xludf.DUMMYFUNCTION("""COMPUTED_VALUE"""),"| 1 L CPT % | 3 P Python % | 2 L PHP-CGM % | 5 P JAVA % ")</f>
        <v xml:space="preserve">| 1 L CPT % | 3 P Python % | 2 L PHP-CGM % | 5 P JAVA % </v>
      </c>
      <c r="AL205" s="4" t="str">
        <f ca="1">IFERROR(__xludf.DUMMYFUNCTION("""COMPUTED_VALUE"""),"| 1 L CPT % | 2 L PHP-CGM % | 3 P Python % | 5 P PHP-CGM % ")</f>
        <v xml:space="preserve">| 1 L CPT % | 2 L PHP-CGM % | 3 P Python % | 5 P PHP-CGM % </v>
      </c>
      <c r="AM205" s="4" t="str">
        <f ca="1">IFERROR(__xludf.DUMMYFUNCTION("""COMPUTED_VALUE"""),"| 2 L JAVA % | 3 P CPT % | 5 P JAVA % | 1 L NS % ")</f>
        <v xml:space="preserve">| 2 L JAVA % | 3 P CPT % | 5 P JAVA % | 1 L NS % </v>
      </c>
      <c r="AN205" s="4" t="str">
        <f ca="1">IFERROR(__xludf.DUMMYFUNCTION("""COMPUTED_VALUE"""),"| 1 L CPT % | 2 L JAVA % | 3 P NS % | 5 L INE @ ")</f>
        <v xml:space="preserve">| 1 L CPT % | 2 L JAVA % | 3 P NS % | 5 L INE @ </v>
      </c>
      <c r="AO205" s="4" t="str">
        <f ca="1">IFERROR(__xludf.DUMMYFUNCTION("""COMPUTED_VALUE"""),"| 1 L NS @ | 2 L PHP-CGM % | 3 P PRO @ | 5 L NS @ | 5 L JAVA @ ")</f>
        <v xml:space="preserve">| 1 L NS @ | 2 L PHP-CGM % | 3 P PRO @ | 5 L NS @ | 5 L JAVA @ </v>
      </c>
      <c r="AP205" s="4" t="str">
        <f ca="1">IFERROR(__xludf.DUMMYFUNCTION("""COMPUTED_VALUE"""),"| 1 L CPT % | 2 L PHP-CGM % | 3 P Python @ | 5 P JAVA % ")</f>
        <v xml:space="preserve">| 1 L CPT % | 2 L PHP-CGM % | 3 P Python @ | 5 P JAVA % </v>
      </c>
      <c r="AQ205" s="4" t="str">
        <f ca="1">IFERROR(__xludf.DUMMYFUNCTION("""COMPUTED_VALUE"""),"| 2 L PHP-CGM % | 3 P Python % | 5 P PHP-CGM % | 1 L NS % ")</f>
        <v xml:space="preserve">| 2 L PHP-CGM % | 3 P Python % | 5 P PHP-CGM % | 1 L NS % </v>
      </c>
      <c r="AR205" s="4" t="str">
        <f ca="1">IFERROR(__xludf.DUMMYFUNCTION("""COMPUTED_VALUE"""),"| 1 L CPT @ | 2 L JAVA @ | 3 P CPT @ | 5 P JAVA @ ")</f>
        <v xml:space="preserve">| 1 L CPT @ | 2 L JAVA @ | 3 P CPT @ | 5 P JAVA @ </v>
      </c>
      <c r="AS20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05" s="4" t="str">
        <f ca="1">IFERROR(__xludf.DUMMYFUNCTION("""COMPUTED_VALUE"""),"| 1 L CPT % | 2 L PHP-CGM % | 3 P Python % | 5 P JAVA % ")</f>
        <v xml:space="preserve">| 1 L CPT % | 2 L PHP-CGM % | 3 P Python % | 5 P JAVA % </v>
      </c>
      <c r="AU205" s="4" t="str">
        <f ca="1">IFERROR(__xludf.DUMMYFUNCTION("""COMPUTED_VALUE"""),"| 1 L NS % | 2 L PHP-CGM % | 3 P Python @ | 5 P PHP-CGM % ")</f>
        <v xml:space="preserve">| 1 L NS % | 2 L PHP-CGM % | 3 P Python @ | 5 P PHP-CGM % </v>
      </c>
      <c r="AV205" s="4" t="str">
        <f ca="1">IFERROR(__xludf.DUMMYFUNCTION("""COMPUTED_VALUE"""),"| 1 L CPT % | 2 L JAVA % | 5 P JAVA % | 3 P CPT % ")</f>
        <v xml:space="preserve">| 1 L CPT % | 2 L JAVA % | 5 P JAVA % | 3 P CPT % </v>
      </c>
      <c r="AW205" s="4" t="str">
        <f ca="1">IFERROR(__xludf.DUMMYFUNCTION("""COMPUTED_VALUE"""),"| 1 L CPT @ | 2 L JAVA @ | 3 P NS @ | 5 L INE @ | 6 L INE @ ")</f>
        <v xml:space="preserve">| 1 L CPT @ | 2 L JAVA @ | 3 P NS @ | 5 L INE @ | 6 L INE @ </v>
      </c>
      <c r="AX20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205" s="4" t="str">
        <f ca="1">IFERROR(__xludf.DUMMYFUNCTION("""COMPUTED_VALUE"""),"| 1 L CPT % | 2 L PHP-CGM % | 3 P Python % | 5 P JAVA % ")</f>
        <v xml:space="preserve">| 1 L CPT % | 2 L PHP-CGM % | 3 P Python % | 5 P JAVA % </v>
      </c>
      <c r="AZ205" s="4" t="str">
        <f ca="1">IFERROR(__xludf.DUMMYFUNCTION("""COMPUTED_VALUE"""),"| 1 L CPT % | 2 L JAVA % | 3 P CPT % | 5 P JAVA % ")</f>
        <v xml:space="preserve">| 1 L CPT % | 2 L JAVA % | 3 P CPT % | 5 P JAVA % </v>
      </c>
      <c r="BA205" s="4" t="str">
        <f ca="1">IFERROR(__xludf.DUMMYFUNCTION("""COMPUTED_VALUE"""),"| 1 L CPT % | 2 L JAVA % | 3 P NS % | 5 L INE @ ")</f>
        <v xml:space="preserve">| 1 L CPT % | 2 L JAVA % | 3 P NS % | 5 L INE @ </v>
      </c>
      <c r="BB20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5" s="4" t="str">
        <f ca="1">IFERROR(__xludf.DUMMYFUNCTION("""COMPUTED_VALUE"""),"| 1 L CPT @ | 2 L PHP-CGM @ | 3 P Python @ | 5 P JAVA @ ")</f>
        <v xml:space="preserve">| 1 L CPT @ | 2 L PHP-CGM @ | 3 P Python @ | 5 P JAVA @ </v>
      </c>
      <c r="BD205" s="4" t="str">
        <f ca="1">IFERROR(__xludf.DUMMYFUNCTION("""COMPUTED_VALUE"""),"| 1 L NS % | 2 L PHP-CGM % | 3 P Python % | 5 P PHP-CGM @ ")</f>
        <v xml:space="preserve">| 1 L NS % | 2 L PHP-CGM % | 3 P Python % | 5 P PHP-CGM @ </v>
      </c>
      <c r="BE205" s="4" t="str">
        <f ca="1">IFERROR(__xludf.DUMMYFUNCTION("""COMPUTED_VALUE"""),"| 1 L CPT % | 2 L JAVA % | 3 P CPT % | 5 P JAVA % ")</f>
        <v xml:space="preserve">| 1 L CPT % | 2 L JAVA % | 3 P CPT % | 5 P JAVA % </v>
      </c>
      <c r="BF205" s="4" t="str">
        <f ca="1">IFERROR(__xludf.DUMMYFUNCTION("""COMPUTED_VALUE"""),"| 1 L CPT % | 2 L JAVA % | 3 P NS % ")</f>
        <v xml:space="preserve">| 1 L CPT % | 2 L JAVA % | 3 P NS % </v>
      </c>
      <c r="BG205" s="4" t="str">
        <f ca="1">IFERROR(__xludf.DUMMYFUNCTION("""COMPUTED_VALUE"""),"| 2 L PHP-CGM @ | 1 L CPT @ | 3 P Python @ | 5 P JAVA @ ")</f>
        <v xml:space="preserve">| 2 L PHP-CGM @ | 1 L CPT @ | 3 P Python @ | 5 P JAVA @ </v>
      </c>
      <c r="BH205" s="4" t="str">
        <f ca="1">IFERROR(__xludf.DUMMYFUNCTION("""COMPUTED_VALUE"""),"| 1 L NS @ | 2 L PHP-CGM @ | 3 P Python @ | 5 P PHP-CGM @ ")</f>
        <v xml:space="preserve">| 1 L NS @ | 2 L PHP-CGM @ | 3 P Python @ | 5 P PHP-CGM @ </v>
      </c>
      <c r="BI205" s="4" t="str">
        <f ca="1">IFERROR(__xludf.DUMMYFUNCTION("""COMPUTED_VALUE"""),"| 1 L CPT % | 2 L JAVA % | 3 P CPT % | 5 P JAVA % ")</f>
        <v xml:space="preserve">| 1 L CPT % | 2 L JAVA % | 3 P CPT % | 5 P JAVA % </v>
      </c>
      <c r="BJ205" s="4" t="str">
        <f ca="1">IFERROR(__xludf.DUMMYFUNCTION("""COMPUTED_VALUE"""),"| 1 L CPT @ | 2 L JAVA @ | 3 P NS @ | 5 L INE @ ")</f>
        <v xml:space="preserve">| 1 L CPT @ | 2 L JAVA @ | 3 P NS @ | 5 L INE @ </v>
      </c>
      <c r="BK205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BL205" s="4" t="str">
        <f ca="1">IFERROR(__xludf.DUMMYFUNCTION("""COMPUTED_VALUE"""),"| 1 L CPT % | 2 L PHP-CGM % | 3 P Python % | 5 P JAVA % ")</f>
        <v xml:space="preserve">| 1 L CPT % | 2 L PHP-CGM % | 3 P Python % | 5 P JAVA % </v>
      </c>
      <c r="BM205" s="4" t="str">
        <f ca="1">IFERROR(__xludf.DUMMYFUNCTION("""COMPUTED_VALUE"""),"| 1 L NS @ | 2 L PHP-CGM @ | 3 P Python @ ")</f>
        <v xml:space="preserve">| 1 L NS @ | 2 L PHP-CGM @ | 3 P Python @ </v>
      </c>
      <c r="BN205" s="4" t="str">
        <f ca="1">IFERROR(__xludf.DUMMYFUNCTION("""COMPUTED_VALUE"""),"| 2 L JAVA @ | 1 L CPT @ | 3 P CPT @ | 5 P JAVA @ ")</f>
        <v xml:space="preserve">| 2 L JAVA @ | 1 L CPT @ | 3 P CPT @ | 5 P JAVA @ </v>
      </c>
      <c r="BO205" s="4" t="str">
        <f ca="1">IFERROR(__xludf.DUMMYFUNCTION("""COMPUTED_VALUE"""),"| 2 L JAVA % | 1 L CPT % | 3 P NS % | 5 L INE % ")</f>
        <v xml:space="preserve">| 2 L JAVA % | 1 L CPT % | 3 P NS % | 5 L INE % </v>
      </c>
      <c r="BP20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05" s="4"/>
      <c r="BR205" s="4"/>
      <c r="BS205" s="4"/>
      <c r="BT205" s="4" t="str">
        <f ca="1">IFERROR(__xludf.DUMMYFUNCTION("""COMPUTED_VALUE"""),"| 1 L NS % | 2 L PHP-CGM % | 3 P PRO @ ")</f>
        <v xml:space="preserve">| 1 L NS % | 2 L PHP-CGM % | 3 P PRO @ </v>
      </c>
      <c r="BU205" s="4" t="str">
        <f ca="1">IFERROR(__xludf.DUMMYFUNCTION("""COMPUTED_VALUE"""),"| 1 L CPT @ | 3 P Python @ ")</f>
        <v xml:space="preserve">| 1 L CPT @ | 3 P Python @ </v>
      </c>
      <c r="BV205" s="4" t="str">
        <f ca="1">IFERROR(__xludf.DUMMYFUNCTION("""COMPUTED_VALUE"""),"| 1 L NS % | 2 L PHP-CGM % | 3 P PRO % | 6 L JAVA % ")</f>
        <v xml:space="preserve">| 1 L NS % | 2 L PHP-CGM % | 3 P PRO % | 6 L JAVA % </v>
      </c>
      <c r="BW205" s="4" t="str">
        <f ca="1">IFERROR(__xludf.DUMMYFUNCTION("""COMPUTED_VALUE"""),"| 1 L CPT % | 2 L PHP-CGM % | 3 P Python % ")</f>
        <v xml:space="preserve">| 1 L CPT % | 2 L PHP-CGM % | 3 P Python % </v>
      </c>
      <c r="BX205" s="4" t="str">
        <f ca="1">IFERROR(__xludf.DUMMYFUNCTION("""COMPUTED_VALUE"""),"| 1 L NS % | 2 L PHP-CGM % | 3 P Python % | 5 P PHP-CGM % ")</f>
        <v xml:space="preserve">| 1 L NS % | 2 L PHP-CGM % | 3 P Python % | 5 P PHP-CGM % </v>
      </c>
      <c r="BY205" s="4" t="str">
        <f ca="1">IFERROR(__xludf.DUMMYFUNCTION("""COMPUTED_VALUE"""),"| 1 L CPT % | 2 L JAVA % | 3 P CPT % | 5 P JAVA % ")</f>
        <v xml:space="preserve">| 1 L CPT % | 2 L JAVA % | 3 P CPT % | 5 P JAVA % </v>
      </c>
      <c r="BZ205" s="4" t="str">
        <f ca="1">IFERROR(__xludf.DUMMYFUNCTION("""COMPUTED_VALUE"""),"| 1 L CPT % | 2 L JAVA % | 3 P NS % | 5 L INE % ")</f>
        <v xml:space="preserve">| 1 L CPT % | 2 L JAVA % | 3 P NS % | 5 L INE % </v>
      </c>
      <c r="CA20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205" s="4" t="str">
        <f ca="1">IFERROR(__xludf.DUMMYFUNCTION("""COMPUTED_VALUE"""),"| 2 L PHP-CGM @ | 3 P Python @ | 5 P JAVA % | 1 L CPT @ ")</f>
        <v xml:space="preserve">| 2 L PHP-CGM @ | 3 P Python @ | 5 P JAVA % | 1 L CPT @ </v>
      </c>
      <c r="CC205" s="4" t="str">
        <f ca="1">IFERROR(__xludf.DUMMYFUNCTION("""COMPUTED_VALUE"""),"| 1 L NS % | 2 L PHP-CGM % | 3 P Python % | 5 P PHP-CGM % ")</f>
        <v xml:space="preserve">| 1 L NS % | 2 L PHP-CGM % | 3 P Python % | 5 P PHP-CGM % </v>
      </c>
      <c r="CD205" s="4" t="str">
        <f ca="1">IFERROR(__xludf.DUMMYFUNCTION("""COMPUTED_VALUE"""),"| 1 L CPT @ | 2 L JAVA @ | 3 P CPT @ | 5 P JAVA @ ")</f>
        <v xml:space="preserve">| 1 L CPT @ | 2 L JAVA @ | 3 P CPT @ | 5 P JAVA @ </v>
      </c>
      <c r="CE205" s="4" t="str">
        <f ca="1">IFERROR(__xludf.DUMMYFUNCTION("""COMPUTED_VALUE"""),"| 1 L CPT % | 2 L JAVA % | 3 P NS % | 5 L INE % ")</f>
        <v xml:space="preserve">| 1 L CPT % | 2 L JAVA % | 3 P NS % | 5 L INE % </v>
      </c>
      <c r="CF205" s="4" t="str">
        <f ca="1">IFERROR(__xludf.DUMMYFUNCTION("""COMPUTED_VALUE"""),"| 1 L NS @ | 2 L PHP-CGM @ | 5 L NS @ | 6 L JAVA @ ")</f>
        <v xml:space="preserve">| 1 L NS @ | 2 L PHP-CGM @ | 5 L NS @ | 6 L JAVA @ </v>
      </c>
      <c r="CG205" s="4" t="str">
        <f ca="1">IFERROR(__xludf.DUMMYFUNCTION("""COMPUTED_VALUE"""),"| 1 L CPT @ | 2 L PHP-CGM @ | 3 P Python % | 5 P JAVA % ")</f>
        <v xml:space="preserve">| 1 L CPT @ | 2 L PHP-CGM @ | 3 P Python % | 5 P JAVA % </v>
      </c>
      <c r="CH205" s="4" t="str">
        <f ca="1">IFERROR(__xludf.DUMMYFUNCTION("""COMPUTED_VALUE"""),"| 1 L NS @ | 2 L PHP-CGM @ | 3 P Python @ | 5 P PHP-CGM % ")</f>
        <v xml:space="preserve">| 1 L NS @ | 2 L PHP-CGM @ | 3 P Python @ | 5 P PHP-CGM % </v>
      </c>
      <c r="CI205" s="4" t="str">
        <f ca="1">IFERROR(__xludf.DUMMYFUNCTION("""COMPUTED_VALUE"""),"| 1 L CPT @ | 2 L JAVA @ ")</f>
        <v xml:space="preserve">| 1 L CPT @ | 2 L JAVA @ </v>
      </c>
      <c r="CJ205" s="4" t="str">
        <f ca="1">IFERROR(__xludf.DUMMYFUNCTION("""COMPUTED_VALUE"""),"| 1 L CPT @ | 3 P NS % ")</f>
        <v xml:space="preserve">| 1 L CPT @ | 3 P NS % </v>
      </c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</row>
    <row r="206" spans="1:102" ht="12.5" x14ac:dyDescent="0.25">
      <c r="A206" s="3">
        <f ca="1">IFERROR(__xludf.DUMMYFUNCTION("""COMPUTED_VALUE"""),2)</f>
        <v>2</v>
      </c>
      <c r="B206" s="3" t="str">
        <f ca="1">IFERROR(__xludf.DUMMYFUNCTION("""COMPUTED_VALUE"""),"C")</f>
        <v>C</v>
      </c>
      <c r="C206" s="32" t="str">
        <f ca="1">IFERROR(__xludf.DUMMYFUNCTION("""COMPUTED_VALUE"""),"23171341096")</f>
        <v>23171341096</v>
      </c>
      <c r="D206" s="4" t="str">
        <f ca="1">IFERROR(__xludf.DUMMYFUNCTION("""COMPUTED_VALUE"""),"PATEL KARTAVI DHARMESHBHAI")</f>
        <v>PATEL KARTAVI DHARMESHBHAI</v>
      </c>
      <c r="E206" s="3" t="str">
        <f ca="1">IFERROR(__xludf.DUMMYFUNCTION("""COMPUTED_VALUE"""),"PKN/PAP-Mor")</f>
        <v>PKN/PAP-Mor</v>
      </c>
      <c r="F206" s="3">
        <f ca="1">IFERROR(__xludf.DUMMYFUNCTION("""COMPUTED_VALUE"""),8866524886)</f>
        <v>8866524886</v>
      </c>
      <c r="G206" s="3">
        <f ca="1">IFERROR(__xludf.DUMMYFUNCTION("""COMPUTED_VALUE"""),9601045363)</f>
        <v>9601045363</v>
      </c>
      <c r="H206" s="33">
        <f ca="1">IFERROR(__xludf.DUMMYFUNCTION("""COMPUTED_VALUE"""),0.837398373983739)</f>
        <v>0.83739837398373895</v>
      </c>
      <c r="I206" s="25">
        <f ca="1">IFERROR(__xludf.DUMMYFUNCTION("""COMPUTED_VALUE"""),0.842105263157894)</f>
        <v>0.84210526315789402</v>
      </c>
      <c r="J206" s="25">
        <f ca="1">IFERROR(__xludf.DUMMYFUNCTION("""COMPUTED_VALUE"""),0.833333333333333)</f>
        <v>0.83333333333333304</v>
      </c>
      <c r="K206" s="25">
        <f ca="1">IFERROR(__xludf.DUMMYFUNCTION("""COMPUTED_VALUE"""),0.805555555555555)</f>
        <v>0.80555555555555503</v>
      </c>
      <c r="L206" s="25">
        <f ca="1">IFERROR(__xludf.DUMMYFUNCTION("""COMPUTED_VALUE"""),0.916666666666666)</f>
        <v>0.91666666666666596</v>
      </c>
      <c r="M206" s="25">
        <f ca="1">IFERROR(__xludf.DUMMYFUNCTION("""COMPUTED_VALUE"""),0.888888888888888)</f>
        <v>0.88888888888888795</v>
      </c>
      <c r="N206" s="25">
        <f ca="1">IFERROR(__xludf.DUMMYFUNCTION("""COMPUTED_VALUE"""),0.9)</f>
        <v>0.9</v>
      </c>
      <c r="O206" s="25">
        <f ca="1">IFERROR(__xludf.DUMMYFUNCTION("""COMPUTED_VALUE"""),0.8)</f>
        <v>0.8</v>
      </c>
      <c r="P206" s="25">
        <f ca="1">IFERROR(__xludf.DUMMYFUNCTION("""COMPUTED_VALUE"""),0.826086956521739)</f>
        <v>0.82608695652173902</v>
      </c>
      <c r="Q206" s="25">
        <f ca="1">IFERROR(__xludf.DUMMYFUNCTION("""COMPUTED_VALUE"""),0)</f>
        <v>0</v>
      </c>
      <c r="R206" s="25">
        <f ca="1">IFERROR(__xludf.DUMMYFUNCTION("""COMPUTED_VALUE"""),0.875)</f>
        <v>0.875</v>
      </c>
      <c r="S206" s="25">
        <f ca="1">IFERROR(__xludf.DUMMYFUNCTION("""COMPUTED_VALUE"""),0)</f>
        <v>0</v>
      </c>
      <c r="T206" s="25">
        <f ca="1">IFERROR(__xludf.DUMMYFUNCTION("""COMPUTED_VALUE"""),0.75)</f>
        <v>0.75</v>
      </c>
      <c r="U206" s="25">
        <f ca="1">IFERROR(__xludf.DUMMYFUNCTION("""COMPUTED_VALUE"""),0.75)</f>
        <v>0.75</v>
      </c>
      <c r="V206" s="25">
        <f ca="1">IFERROR(__xludf.DUMMYFUNCTION("""COMPUTED_VALUE"""),0)</f>
        <v>0</v>
      </c>
      <c r="W206" s="4"/>
      <c r="X206" s="4" t="str">
        <f ca="1">IFERROR(__xludf.DUMMYFUNCTION("""COMPUTED_VALUE"""),"| 1 L NS % | 2 L PHP-CGM % | 3 P PRO % | 5 L JAVA @ | 6 L NS % ")</f>
        <v xml:space="preserve">| 1 L NS % | 2 L PHP-CGM % | 3 P PRO % | 5 L JAVA @ | 6 L NS % </v>
      </c>
      <c r="Y206" s="4" t="str">
        <f ca="1">IFERROR(__xludf.DUMMYFUNCTION("""COMPUTED_VALUE"""),"| 1 L CPT % | 5 L PHP-CGM % | 3 P Python % | 5 P JAVA % ")</f>
        <v xml:space="preserve">| 1 L CPT % | 5 L PHP-CGM % | 3 P Python % | 5 P JAVA % </v>
      </c>
      <c r="Z206" s="4" t="str">
        <f ca="1">IFERROR(__xludf.DUMMYFUNCTION("""COMPUTED_VALUE"""),"| 1 L CPT % | 2 L PHP-CGM % | 3 P Python % | 5 P PHP-CGM % ")</f>
        <v xml:space="preserve">| 1 L CPT % | 2 L PHP-CGM % | 3 P Python % | 5 P PHP-CGM % </v>
      </c>
      <c r="AA206" s="4" t="str">
        <f ca="1">IFERROR(__xludf.DUMMYFUNCTION("""COMPUTED_VALUE"""),"| 1 L NS % | 2 L JAVA % | 3 P CPT % | 5 P JAVA % ")</f>
        <v xml:space="preserve">| 1 L NS % | 2 L JAVA % | 3 P CPT % | 5 P JAVA % </v>
      </c>
      <c r="AB206" s="4" t="str">
        <f ca="1">IFERROR(__xludf.DUMMYFUNCTION("""COMPUTED_VALUE"""),"| 1 L CPT % | 2 L JAVA % | 3 P NS % ")</f>
        <v xml:space="preserve">| 1 L CPT % | 2 L JAVA % | 3 P NS % </v>
      </c>
      <c r="AC206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AD206" s="4" t="str">
        <f ca="1">IFERROR(__xludf.DUMMYFUNCTION("""COMPUTED_VALUE"""),"| 1 L CPT % | 2 L PHP-CGM % | 3 P Python % | 5 P JAVA @ ")</f>
        <v xml:space="preserve">| 1 L CPT % | 2 L PHP-CGM % | 3 P Python % | 5 P JAVA @ </v>
      </c>
      <c r="AE206" s="4" t="str">
        <f ca="1">IFERROR(__xludf.DUMMYFUNCTION("""COMPUTED_VALUE"""),"| 1 L CPT % | 3 P Python % | 5 P PHP-CGM % | 2 L PHP-CGM % ")</f>
        <v xml:space="preserve">| 1 L CPT % | 3 P Python % | 5 P PHP-CGM % | 2 L PHP-CGM % </v>
      </c>
      <c r="AF206" s="4" t="str">
        <f ca="1">IFERROR(__xludf.DUMMYFUNCTION("""COMPUTED_VALUE"""),"| 1 L NS % | 2 L CPT % | 3 P CPT % | 5 P JAVA % ")</f>
        <v xml:space="preserve">| 1 L NS % | 2 L CPT % | 3 P CPT % | 5 P JAVA % </v>
      </c>
      <c r="AG206" s="4" t="str">
        <f ca="1">IFERROR(__xludf.DUMMYFUNCTION("""COMPUTED_VALUE"""),"| 1 L CPT % | 2 L JAVA % | 3 P NS % ")</f>
        <v xml:space="preserve">| 1 L CPT % | 2 L JAVA % | 3 P NS % </v>
      </c>
      <c r="AH206" s="4" t="str">
        <f ca="1">IFERROR(__xludf.DUMMYFUNCTION("""COMPUTED_VALUE"""),"| 2 L JAVA % | 1 L NS % | 3 P CPT % | 5 P JAVA % ")</f>
        <v xml:space="preserve">| 2 L JAVA % | 1 L NS % | 3 P CPT % | 5 P JAVA % </v>
      </c>
      <c r="AI206" s="4" t="str">
        <f ca="1">IFERROR(__xludf.DUMMYFUNCTION("""COMPUTED_VALUE"""),"| 1 L CPT % | 2 L JAVA % | 3 P NS % ")</f>
        <v xml:space="preserve">| 1 L CPT % | 2 L JAVA % | 3 P NS % </v>
      </c>
      <c r="AJ20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6" s="4" t="str">
        <f ca="1">IFERROR(__xludf.DUMMYFUNCTION("""COMPUTED_VALUE"""),"| 1 L CPT % | 3 P Python % | 2 L PHP-CGM % | 5 P JAVA % ")</f>
        <v xml:space="preserve">| 1 L CPT % | 3 P Python % | 2 L PHP-CGM % | 5 P JAVA % </v>
      </c>
      <c r="AL206" s="4" t="str">
        <f ca="1">IFERROR(__xludf.DUMMYFUNCTION("""COMPUTED_VALUE"""),"| 1 L CPT % | 2 L PHP-CGM % | 3 P Python % | 5 P PHP-CGM % ")</f>
        <v xml:space="preserve">| 1 L CPT % | 2 L PHP-CGM % | 3 P Python % | 5 P PHP-CGM % </v>
      </c>
      <c r="AM206" s="4" t="str">
        <f ca="1">IFERROR(__xludf.DUMMYFUNCTION("""COMPUTED_VALUE"""),"| 2 L JAVA % | 3 P CPT % | 5 P JAVA % | 1 L NS % ")</f>
        <v xml:space="preserve">| 2 L JAVA % | 3 P CPT % | 5 P JAVA % | 1 L NS % </v>
      </c>
      <c r="AN206" s="4" t="str">
        <f ca="1">IFERROR(__xludf.DUMMYFUNCTION("""COMPUTED_VALUE"""),"| 1 L CPT % | 2 L JAVA % | 3 P NS % | 5 L INE @ ")</f>
        <v xml:space="preserve">| 1 L CPT % | 2 L JAVA % | 3 P NS % | 5 L INE @ </v>
      </c>
      <c r="AO206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06" s="4" t="str">
        <f ca="1">IFERROR(__xludf.DUMMYFUNCTION("""COMPUTED_VALUE"""),"| 1 L CPT % | 2 L PHP-CGM % | 3 P Python % | 5 P JAVA % ")</f>
        <v xml:space="preserve">| 1 L CPT % | 2 L PHP-CGM % | 3 P Python % | 5 P JAVA % </v>
      </c>
      <c r="AQ206" s="4" t="str">
        <f ca="1">IFERROR(__xludf.DUMMYFUNCTION("""COMPUTED_VALUE"""),"| 2 L PHP-CGM @ | 3 P Python % | 5 P PHP-CGM @ | 1 L NS @ ")</f>
        <v xml:space="preserve">| 2 L PHP-CGM @ | 3 P Python % | 5 P PHP-CGM @ | 1 L NS @ </v>
      </c>
      <c r="AR206" s="4" t="str">
        <f ca="1">IFERROR(__xludf.DUMMYFUNCTION("""COMPUTED_VALUE"""),"| 1 L CPT @ | 2 L JAVA @ | 3 P CPT @ | 5 P JAVA @ ")</f>
        <v xml:space="preserve">| 1 L CPT @ | 2 L JAVA @ | 3 P CPT @ | 5 P JAVA @ </v>
      </c>
      <c r="AS20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06" s="4" t="str">
        <f ca="1">IFERROR(__xludf.DUMMYFUNCTION("""COMPUTED_VALUE"""),"| 1 L CPT % | 2 L PHP-CGM % | 3 P Python % | 5 P JAVA % ")</f>
        <v xml:space="preserve">| 1 L CPT % | 2 L PHP-CGM % | 3 P Python % | 5 P JAVA % </v>
      </c>
      <c r="AU206" s="4" t="str">
        <f ca="1">IFERROR(__xludf.DUMMYFUNCTION("""COMPUTED_VALUE"""),"| 1 L NS % | 2 L PHP-CGM % | 3 P Python % | 5 P PHP-CGM % ")</f>
        <v xml:space="preserve">| 1 L NS % | 2 L PHP-CGM % | 3 P Python % | 5 P PHP-CGM % </v>
      </c>
      <c r="AV206" s="4" t="str">
        <f ca="1">IFERROR(__xludf.DUMMYFUNCTION("""COMPUTED_VALUE"""),"| 1 L CPT % | 2 L JAVA % | 5 P JAVA % | 3 P CPT % ")</f>
        <v xml:space="preserve">| 1 L CPT % | 2 L JAVA % | 5 P JAVA % | 3 P CPT % </v>
      </c>
      <c r="AW206" s="4" t="str">
        <f ca="1">IFERROR(__xludf.DUMMYFUNCTION("""COMPUTED_VALUE"""),"| 1 L CPT % | 2 L JAVA % | 3 P NS % | 5 L INE % | 6 L INE % ")</f>
        <v xml:space="preserve">| 1 L CPT % | 2 L JAVA % | 3 P NS % | 5 L INE % | 6 L INE % </v>
      </c>
      <c r="AX206" s="4" t="str">
        <f ca="1">IFERROR(__xludf.DUMMYFUNCTION("""COMPUTED_VALUE"""),"| 1 L NS % | 2 L PHP-CGM % | 3 P PRO % | 5 L NS @ | 5 L JAVA @ ")</f>
        <v xml:space="preserve">| 1 L NS % | 2 L PHP-CGM % | 3 P PRO % | 5 L NS @ | 5 L JAVA @ </v>
      </c>
      <c r="AY206" s="4" t="str">
        <f ca="1">IFERROR(__xludf.DUMMYFUNCTION("""COMPUTED_VALUE"""),"| 1 L CPT @ | 2 L PHP-CGM % | 3 P Python % | 5 P JAVA % ")</f>
        <v xml:space="preserve">| 1 L CPT @ | 2 L PHP-CGM % | 3 P Python % | 5 P JAVA % </v>
      </c>
      <c r="AZ206" s="4" t="str">
        <f ca="1">IFERROR(__xludf.DUMMYFUNCTION("""COMPUTED_VALUE"""),"| 1 L CPT % | 2 L JAVA % | 3 P CPT % | 5 P JAVA % ")</f>
        <v xml:space="preserve">| 1 L CPT % | 2 L JAVA % | 3 P CPT % | 5 P JAVA % </v>
      </c>
      <c r="BA206" s="4" t="str">
        <f ca="1">IFERROR(__xludf.DUMMYFUNCTION("""COMPUTED_VALUE"""),"| 1 L CPT % | 2 L JAVA % | 3 P NS % | 5 L INE @ ")</f>
        <v xml:space="preserve">| 1 L CPT % | 2 L JAVA % | 3 P NS % | 5 L INE @ </v>
      </c>
      <c r="BB20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6" s="4" t="str">
        <f ca="1">IFERROR(__xludf.DUMMYFUNCTION("""COMPUTED_VALUE"""),"| 1 L CPT % | 2 L PHP-CGM % | 3 P Python % | 5 P JAVA % ")</f>
        <v xml:space="preserve">| 1 L CPT % | 2 L PHP-CGM % | 3 P Python % | 5 P JAVA % </v>
      </c>
      <c r="BD206" s="4" t="str">
        <f ca="1">IFERROR(__xludf.DUMMYFUNCTION("""COMPUTED_VALUE"""),"| 1 L NS % | 2 L PHP-CGM % | 3 P Python % | 5 P PHP-CGM % ")</f>
        <v xml:space="preserve">| 1 L NS % | 2 L PHP-CGM % | 3 P Python % | 5 P PHP-CGM % </v>
      </c>
      <c r="BE206" s="4" t="str">
        <f ca="1">IFERROR(__xludf.DUMMYFUNCTION("""COMPUTED_VALUE"""),"| 1 L CPT % | 2 L JAVA % | 3 P CPT % | 5 P JAVA % ")</f>
        <v xml:space="preserve">| 1 L CPT % | 2 L JAVA % | 3 P CPT % | 5 P JAVA % </v>
      </c>
      <c r="BF206" s="4" t="str">
        <f ca="1">IFERROR(__xludf.DUMMYFUNCTION("""COMPUTED_VALUE"""),"| 1 L CPT % | 2 L JAVA % | 3 P NS % ")</f>
        <v xml:space="preserve">| 1 L CPT % | 2 L JAVA % | 3 P NS % </v>
      </c>
      <c r="BG206" s="4" t="str">
        <f ca="1">IFERROR(__xludf.DUMMYFUNCTION("""COMPUTED_VALUE"""),"| 2 L PHP-CGM % | 1 L CPT % | 3 P Python % | 5 P JAVA % ")</f>
        <v xml:space="preserve">| 2 L PHP-CGM % | 1 L CPT % | 3 P Python % | 5 P JAVA % </v>
      </c>
      <c r="BH206" s="4" t="str">
        <f ca="1">IFERROR(__xludf.DUMMYFUNCTION("""COMPUTED_VALUE"""),"| 1 L NS % | 2 L PHP-CGM % | 3 P Python % | 5 P PHP-CGM % ")</f>
        <v xml:space="preserve">| 1 L NS % | 2 L PHP-CGM % | 3 P Python % | 5 P PHP-CGM % </v>
      </c>
      <c r="BI206" s="4" t="str">
        <f ca="1">IFERROR(__xludf.DUMMYFUNCTION("""COMPUTED_VALUE"""),"| 1 L CPT % | 2 L JAVA % | 3 P CPT % | 5 P JAVA @ ")</f>
        <v xml:space="preserve">| 1 L CPT % | 2 L JAVA % | 3 P CPT % | 5 P JAVA @ </v>
      </c>
      <c r="BJ206" s="4" t="str">
        <f ca="1">IFERROR(__xludf.DUMMYFUNCTION("""COMPUTED_VALUE"""),"| 1 L CPT % | 2 L JAVA % | 3 P NS % | 5 L INE % ")</f>
        <v xml:space="preserve">| 1 L CPT % | 2 L JAVA % | 3 P NS % | 5 L INE % </v>
      </c>
      <c r="BK20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206" s="4" t="str">
        <f ca="1">IFERROR(__xludf.DUMMYFUNCTION("""COMPUTED_VALUE"""),"| 1 L CPT % | 2 L PHP-CGM % | 3 P Python % | 5 P JAVA % ")</f>
        <v xml:space="preserve">| 1 L CPT % | 2 L PHP-CGM % | 3 P Python % | 5 P JAVA % </v>
      </c>
      <c r="BM206" s="4" t="str">
        <f ca="1">IFERROR(__xludf.DUMMYFUNCTION("""COMPUTED_VALUE"""),"| 1 L NS % | 2 L PHP-CGM % | 3 P Python @ ")</f>
        <v xml:space="preserve">| 1 L NS % | 2 L PHP-CGM % | 3 P Python @ </v>
      </c>
      <c r="BN206" s="4" t="str">
        <f ca="1">IFERROR(__xludf.DUMMYFUNCTION("""COMPUTED_VALUE"""),"| 2 L JAVA % | 1 L CPT % | 3 P CPT % | 5 P JAVA % ")</f>
        <v xml:space="preserve">| 2 L JAVA % | 1 L CPT % | 3 P CPT % | 5 P JAVA % </v>
      </c>
      <c r="BO206" s="4" t="str">
        <f ca="1">IFERROR(__xludf.DUMMYFUNCTION("""COMPUTED_VALUE"""),"| 2 L JAVA % | 1 L CPT % | 3 P NS % | 5 L INE % ")</f>
        <v xml:space="preserve">| 2 L JAVA % | 1 L CPT % | 3 P NS % | 5 L INE % </v>
      </c>
      <c r="BP206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Q206" s="4"/>
      <c r="BR206" s="4"/>
      <c r="BS206" s="4"/>
      <c r="BT206" s="4" t="str">
        <f ca="1">IFERROR(__xludf.DUMMYFUNCTION("""COMPUTED_VALUE"""),"| 1 L NS @ | 2 L PHP-CGM @ | 3 P PRO @ ")</f>
        <v xml:space="preserve">| 1 L NS @ | 2 L PHP-CGM @ | 3 P PRO @ </v>
      </c>
      <c r="BU206" s="4" t="str">
        <f ca="1">IFERROR(__xludf.DUMMYFUNCTION("""COMPUTED_VALUE"""),"| 1 L CPT @ | 3 P Python @ ")</f>
        <v xml:space="preserve">| 1 L CPT @ | 3 P Python @ </v>
      </c>
      <c r="BV206" s="4" t="str">
        <f ca="1">IFERROR(__xludf.DUMMYFUNCTION("""COMPUTED_VALUE"""),"| 1 L NS % | 2 L PHP-CGM % | 3 P PRO % | 6 L JAVA % ")</f>
        <v xml:space="preserve">| 1 L NS % | 2 L PHP-CGM % | 3 P PRO % | 6 L JAVA % </v>
      </c>
      <c r="BW206" s="4" t="str">
        <f ca="1">IFERROR(__xludf.DUMMYFUNCTION("""COMPUTED_VALUE"""),"| 1 L CPT % | 2 L PHP-CGM % | 3 P Python % ")</f>
        <v xml:space="preserve">| 1 L CPT % | 2 L PHP-CGM % | 3 P Python % </v>
      </c>
      <c r="BX206" s="4" t="str">
        <f ca="1">IFERROR(__xludf.DUMMYFUNCTION("""COMPUTED_VALUE"""),"| 1 L NS % | 2 L PHP-CGM % | 3 P Python % | 5 P PHP-CGM % ")</f>
        <v xml:space="preserve">| 1 L NS % | 2 L PHP-CGM % | 3 P Python % | 5 P PHP-CGM % </v>
      </c>
      <c r="BY206" s="4" t="str">
        <f ca="1">IFERROR(__xludf.DUMMYFUNCTION("""COMPUTED_VALUE"""),"| 1 L CPT % | 2 L JAVA % | 3 P CPT % | 5 P JAVA % ")</f>
        <v xml:space="preserve">| 1 L CPT % | 2 L JAVA % | 3 P CPT % | 5 P JAVA % </v>
      </c>
      <c r="BZ206" s="4" t="str">
        <f ca="1">IFERROR(__xludf.DUMMYFUNCTION("""COMPUTED_VALUE"""),"| 1 L CPT % | 2 L JAVA % | 3 P NS % | 5 L INE % ")</f>
        <v xml:space="preserve">| 1 L CPT % | 2 L JAVA % | 3 P NS % | 5 L INE % </v>
      </c>
      <c r="CA206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206" s="4" t="str">
        <f ca="1">IFERROR(__xludf.DUMMYFUNCTION("""COMPUTED_VALUE"""),"| 2 L PHP-CGM % | 3 P Python % | 5 P JAVA % | 1 L CPT % ")</f>
        <v xml:space="preserve">| 2 L PHP-CGM % | 3 P Python % | 5 P JAVA % | 1 L CPT % </v>
      </c>
      <c r="CC206" s="4" t="str">
        <f ca="1">IFERROR(__xludf.DUMMYFUNCTION("""COMPUTED_VALUE"""),"| 1 L NS % | 2 L PHP-CGM % | 3 P Python % | 5 P PHP-CGM % ")</f>
        <v xml:space="preserve">| 1 L NS % | 2 L PHP-CGM % | 3 P Python % | 5 P PHP-CGM % </v>
      </c>
      <c r="CD206" s="4" t="str">
        <f ca="1">IFERROR(__xludf.DUMMYFUNCTION("""COMPUTED_VALUE"""),"| 1 L CPT @ | 2 L JAVA @ | 3 P CPT @ | 5 P JAVA @ ")</f>
        <v xml:space="preserve">| 1 L CPT @ | 2 L JAVA @ | 3 P CPT @ | 5 P JAVA @ </v>
      </c>
      <c r="CE206" s="4" t="str">
        <f ca="1">IFERROR(__xludf.DUMMYFUNCTION("""COMPUTED_VALUE"""),"| 1 L CPT % | 2 L JAVA % | 3 P NS % | 5 L INE % ")</f>
        <v xml:space="preserve">| 1 L CPT % | 2 L JAVA % | 3 P NS % | 5 L INE % </v>
      </c>
      <c r="CF206" s="4" t="str">
        <f ca="1">IFERROR(__xludf.DUMMYFUNCTION("""COMPUTED_VALUE"""),"| 1 L NS % | 2 L PHP-CGM % | 5 L NS % | 6 L JAVA % ")</f>
        <v xml:space="preserve">| 1 L NS % | 2 L PHP-CGM % | 5 L NS % | 6 L JAVA % </v>
      </c>
      <c r="CG206" s="4" t="str">
        <f ca="1">IFERROR(__xludf.DUMMYFUNCTION("""COMPUTED_VALUE"""),"| 1 L CPT % | 2 L PHP-CGM % | 3 P Python % | 5 P JAVA % ")</f>
        <v xml:space="preserve">| 1 L CPT % | 2 L PHP-CGM % | 3 P Python % | 5 P JAVA % </v>
      </c>
      <c r="CH206" s="4" t="str">
        <f ca="1">IFERROR(__xludf.DUMMYFUNCTION("""COMPUTED_VALUE"""),"| 1 L NS @ | 2 L PHP-CGM @ | 3 P Python @ | 5 P PHP-CGM % ")</f>
        <v xml:space="preserve">| 1 L NS @ | 2 L PHP-CGM @ | 3 P Python @ | 5 P PHP-CGM % </v>
      </c>
      <c r="CI206" s="4" t="str">
        <f ca="1">IFERROR(__xludf.DUMMYFUNCTION("""COMPUTED_VALUE"""),"| 1 L CPT @ | 2 L JAVA @ ")</f>
        <v xml:space="preserve">| 1 L CPT @ | 2 L JAVA @ </v>
      </c>
      <c r="CJ206" s="4" t="str">
        <f ca="1">IFERROR(__xludf.DUMMYFUNCTION("""COMPUTED_VALUE"""),"| 1 L CPT @ | 3 P NS @ ")</f>
        <v xml:space="preserve">| 1 L CPT @ | 3 P NS @ </v>
      </c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</row>
    <row r="207" spans="1:102" ht="12.5" x14ac:dyDescent="0.25">
      <c r="A207" s="3">
        <f ca="1">IFERROR(__xludf.DUMMYFUNCTION("""COMPUTED_VALUE"""),2)</f>
        <v>2</v>
      </c>
      <c r="B207" s="3" t="str">
        <f ca="1">IFERROR(__xludf.DUMMYFUNCTION("""COMPUTED_VALUE"""),"C")</f>
        <v>C</v>
      </c>
      <c r="C207" s="32" t="str">
        <f ca="1">IFERROR(__xludf.DUMMYFUNCTION("""COMPUTED_VALUE"""),"23171341098")</f>
        <v>23171341098</v>
      </c>
      <c r="D207" s="4" t="str">
        <f ca="1">IFERROR(__xludf.DUMMYFUNCTION("""COMPUTED_VALUE"""),"PATEL KRISH MAHESHBHAI")</f>
        <v>PATEL KRISH MAHESHBHAI</v>
      </c>
      <c r="E207" s="3" t="str">
        <f ca="1">IFERROR(__xludf.DUMMYFUNCTION("""COMPUTED_VALUE"""),"PKN/PAP-Mor")</f>
        <v>PKN/PAP-Mor</v>
      </c>
      <c r="F207" s="3">
        <f ca="1">IFERROR(__xludf.DUMMYFUNCTION("""COMPUTED_VALUE"""),6355622577)</f>
        <v>6355622577</v>
      </c>
      <c r="G207" s="3">
        <f ca="1">IFERROR(__xludf.DUMMYFUNCTION("""COMPUTED_VALUE"""),9726410880)</f>
        <v>9726410880</v>
      </c>
      <c r="H207" s="33">
        <f ca="1">IFERROR(__xludf.DUMMYFUNCTION("""COMPUTED_VALUE"""),0.727642276422764)</f>
        <v>0.72764227642276402</v>
      </c>
      <c r="I207" s="25">
        <f ca="1">IFERROR(__xludf.DUMMYFUNCTION("""COMPUTED_VALUE"""),0.710526315789473)</f>
        <v>0.71052631578947301</v>
      </c>
      <c r="J207" s="25">
        <f ca="1">IFERROR(__xludf.DUMMYFUNCTION("""COMPUTED_VALUE"""),0.75)</f>
        <v>0.75</v>
      </c>
      <c r="K207" s="25">
        <f ca="1">IFERROR(__xludf.DUMMYFUNCTION("""COMPUTED_VALUE"""),0.722222222222222)</f>
        <v>0.72222222222222199</v>
      </c>
      <c r="L207" s="25">
        <f ca="1">IFERROR(__xludf.DUMMYFUNCTION("""COMPUTED_VALUE"""),0.416666666666666)</f>
        <v>0.41666666666666602</v>
      </c>
      <c r="M207" s="25">
        <f ca="1">IFERROR(__xludf.DUMMYFUNCTION("""COMPUTED_VALUE"""),0.805555555555555)</f>
        <v>0.80555555555555503</v>
      </c>
      <c r="N207" s="25">
        <f ca="1">IFERROR(__xludf.DUMMYFUNCTION("""COMPUTED_VALUE"""),0.9)</f>
        <v>0.9</v>
      </c>
      <c r="O207" s="25">
        <f ca="1">IFERROR(__xludf.DUMMYFUNCTION("""COMPUTED_VALUE"""),0.628571428571428)</f>
        <v>0.628571428571428</v>
      </c>
      <c r="P207" s="25">
        <f ca="1">IFERROR(__xludf.DUMMYFUNCTION("""COMPUTED_VALUE"""),0.826086956521739)</f>
        <v>0.82608695652173902</v>
      </c>
      <c r="Q207" s="25">
        <f ca="1">IFERROR(__xludf.DUMMYFUNCTION("""COMPUTED_VALUE"""),0)</f>
        <v>0</v>
      </c>
      <c r="R207" s="25">
        <f ca="1">IFERROR(__xludf.DUMMYFUNCTION("""COMPUTED_VALUE"""),0.875)</f>
        <v>0.875</v>
      </c>
      <c r="S207" s="25">
        <f ca="1">IFERROR(__xludf.DUMMYFUNCTION("""COMPUTED_VALUE"""),0)</f>
        <v>0</v>
      </c>
      <c r="T207" s="25">
        <f ca="1">IFERROR(__xludf.DUMMYFUNCTION("""COMPUTED_VALUE"""),0.75)</f>
        <v>0.75</v>
      </c>
      <c r="U207" s="25">
        <f ca="1">IFERROR(__xludf.DUMMYFUNCTION("""COMPUTED_VALUE"""),0.375)</f>
        <v>0.375</v>
      </c>
      <c r="V207" s="25">
        <f ca="1">IFERROR(__xludf.DUMMYFUNCTION("""COMPUTED_VALUE"""),0)</f>
        <v>0</v>
      </c>
      <c r="W207" s="4"/>
      <c r="X207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207" s="4" t="str">
        <f ca="1">IFERROR(__xludf.DUMMYFUNCTION("""COMPUTED_VALUE"""),"| 1 L CPT % | 5 L PHP-CGM % | 3 P Python % | 5 P JAVA % ")</f>
        <v xml:space="preserve">| 1 L CPT % | 5 L PHP-CGM % | 3 P Python % | 5 P JAVA % </v>
      </c>
      <c r="Z207" s="4" t="str">
        <f ca="1">IFERROR(__xludf.DUMMYFUNCTION("""COMPUTED_VALUE"""),"| 1 L CPT % | 2 L PHP-CGM % | 3 P Python % | 5 P PHP-CGM % ")</f>
        <v xml:space="preserve">| 1 L CPT % | 2 L PHP-CGM % | 3 P Python % | 5 P PHP-CGM % </v>
      </c>
      <c r="AA207" s="4" t="str">
        <f ca="1">IFERROR(__xludf.DUMMYFUNCTION("""COMPUTED_VALUE"""),"| 1 L NS % | 2 L JAVA % | 3 P CPT % | 5 P JAVA % ")</f>
        <v xml:space="preserve">| 1 L NS % | 2 L JAVA % | 3 P CPT % | 5 P JAVA % </v>
      </c>
      <c r="AB207" s="4" t="str">
        <f ca="1">IFERROR(__xludf.DUMMYFUNCTION("""COMPUTED_VALUE"""),"| 1 L CPT % | 2 L JAVA % | 3 P NS % ")</f>
        <v xml:space="preserve">| 1 L CPT % | 2 L JAVA % | 3 P NS % </v>
      </c>
      <c r="AC207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07" s="4" t="str">
        <f ca="1">IFERROR(__xludf.DUMMYFUNCTION("""COMPUTED_VALUE"""),"| 1 L CPT % | 2 L PHP-CGM % | 3 P Python % | 5 P JAVA % ")</f>
        <v xml:space="preserve">| 1 L CPT % | 2 L PHP-CGM % | 3 P Python % | 5 P JAVA % </v>
      </c>
      <c r="AE207" s="4" t="str">
        <f ca="1">IFERROR(__xludf.DUMMYFUNCTION("""COMPUTED_VALUE"""),"| 1 L CPT % | 3 P Python % | 5 P PHP-CGM % | 2 L PHP-CGM % ")</f>
        <v xml:space="preserve">| 1 L CPT % | 3 P Python % | 5 P PHP-CGM % | 2 L PHP-CGM % </v>
      </c>
      <c r="AF207" s="4" t="str">
        <f ca="1">IFERROR(__xludf.DUMMYFUNCTION("""COMPUTED_VALUE"""),"| 1 L NS @ | 2 L CPT % | 3 P CPT @ | 5 P JAVA @ ")</f>
        <v xml:space="preserve">| 1 L NS @ | 2 L CPT % | 3 P CPT @ | 5 P JAVA @ </v>
      </c>
      <c r="AG207" s="4" t="str">
        <f ca="1">IFERROR(__xludf.DUMMYFUNCTION("""COMPUTED_VALUE"""),"| 1 L CPT @ | 2 L JAVA @ | 3 P NS @ ")</f>
        <v xml:space="preserve">| 1 L CPT @ | 2 L JAVA @ | 3 P NS @ </v>
      </c>
      <c r="AH207" s="4" t="str">
        <f ca="1">IFERROR(__xludf.DUMMYFUNCTION("""COMPUTED_VALUE"""),"| 2 L JAVA % | 1 L NS % | 3 P CPT % | 5 P JAVA % ")</f>
        <v xml:space="preserve">| 2 L JAVA % | 1 L NS % | 3 P CPT % | 5 P JAVA % </v>
      </c>
      <c r="AI207" s="4" t="str">
        <f ca="1">IFERROR(__xludf.DUMMYFUNCTION("""COMPUTED_VALUE"""),"| 1 L CPT % | 2 L JAVA % | 3 P NS % ")</f>
        <v xml:space="preserve">| 1 L CPT % | 2 L JAVA % | 3 P NS % </v>
      </c>
      <c r="AJ207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7" s="4" t="str">
        <f ca="1">IFERROR(__xludf.DUMMYFUNCTION("""COMPUTED_VALUE"""),"| 1 L CPT % | 3 P Python % | 2 L PHP-CGM % | 5 P JAVA % ")</f>
        <v xml:space="preserve">| 1 L CPT % | 3 P Python % | 2 L PHP-CGM % | 5 P JAVA % </v>
      </c>
      <c r="AL207" s="4" t="str">
        <f ca="1">IFERROR(__xludf.DUMMYFUNCTION("""COMPUTED_VALUE"""),"| 1 L CPT % | 2 L PHP-CGM % | 3 P Python % | 5 P PHP-CGM % ")</f>
        <v xml:space="preserve">| 1 L CPT % | 2 L PHP-CGM % | 3 P Python % | 5 P PHP-CGM % </v>
      </c>
      <c r="AM207" s="4" t="str">
        <f ca="1">IFERROR(__xludf.DUMMYFUNCTION("""COMPUTED_VALUE"""),"| 2 L JAVA % | 3 P CPT % | 5 P JAVA % | 1 L NS % ")</f>
        <v xml:space="preserve">| 2 L JAVA % | 3 P CPT % | 5 P JAVA % | 1 L NS % </v>
      </c>
      <c r="AN207" s="4" t="str">
        <f ca="1">IFERROR(__xludf.DUMMYFUNCTION("""COMPUTED_VALUE"""),"| 1 L CPT % | 2 L JAVA % | 3 P NS % | 5 L INE % ")</f>
        <v xml:space="preserve">| 1 L CPT % | 2 L JAVA % | 3 P NS % | 5 L INE % </v>
      </c>
      <c r="AO207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07" s="4" t="str">
        <f ca="1">IFERROR(__xludf.DUMMYFUNCTION("""COMPUTED_VALUE"""),"| 1 L CPT % | 2 L PHP-CGM % | 3 P Python % | 5 P JAVA % ")</f>
        <v xml:space="preserve">| 1 L CPT % | 2 L PHP-CGM % | 3 P Python % | 5 P JAVA % </v>
      </c>
      <c r="AQ207" s="4" t="str">
        <f ca="1">IFERROR(__xludf.DUMMYFUNCTION("""COMPUTED_VALUE"""),"| 2 L PHP-CGM % | 3 P Python % | 5 P PHP-CGM % | 1 L NS % ")</f>
        <v xml:space="preserve">| 2 L PHP-CGM % | 3 P Python % | 5 P PHP-CGM % | 1 L NS % </v>
      </c>
      <c r="AR207" s="4" t="str">
        <f ca="1">IFERROR(__xludf.DUMMYFUNCTION("""COMPUTED_VALUE"""),"| 1 L CPT @ | 2 L JAVA @ | 3 P CPT @ | 5 P JAVA @ ")</f>
        <v xml:space="preserve">| 1 L CPT @ | 2 L JAVA @ | 3 P CPT @ | 5 P JAVA @ </v>
      </c>
      <c r="AS207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AT207" s="4" t="str">
        <f ca="1">IFERROR(__xludf.DUMMYFUNCTION("""COMPUTED_VALUE"""),"| 1 L CPT % | 2 L PHP-CGM % | 3 P Python % | 5 P JAVA % ")</f>
        <v xml:space="preserve">| 1 L CPT % | 2 L PHP-CGM % | 3 P Python % | 5 P JAVA % </v>
      </c>
      <c r="AU207" s="4" t="str">
        <f ca="1">IFERROR(__xludf.DUMMYFUNCTION("""COMPUTED_VALUE"""),"| 1 L NS % | 2 L PHP-CGM % | 3 P Python % | 5 P PHP-CGM % ")</f>
        <v xml:space="preserve">| 1 L NS % | 2 L PHP-CGM % | 3 P Python % | 5 P PHP-CGM % </v>
      </c>
      <c r="AV207" s="4" t="str">
        <f ca="1">IFERROR(__xludf.DUMMYFUNCTION("""COMPUTED_VALUE"""),"| 1 L CPT % | 2 L JAVA % | 5 P JAVA % | 3 P CPT % ")</f>
        <v xml:space="preserve">| 1 L CPT % | 2 L JAVA % | 5 P JAVA % | 3 P CPT % </v>
      </c>
      <c r="AW207" s="4" t="str">
        <f ca="1">IFERROR(__xludf.DUMMYFUNCTION("""COMPUTED_VALUE"""),"| 1 L CPT @ | 2 L JAVA @ | 3 P NS @ | 5 L INE @ | 6 L INE @ ")</f>
        <v xml:space="preserve">| 1 L CPT @ | 2 L JAVA @ | 3 P NS @ | 5 L INE @ | 6 L INE @ </v>
      </c>
      <c r="AX207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207" s="4" t="str">
        <f ca="1">IFERROR(__xludf.DUMMYFUNCTION("""COMPUTED_VALUE"""),"| 1 L CPT % | 2 L PHP-CGM % | 3 P Python % | 5 P JAVA % ")</f>
        <v xml:space="preserve">| 1 L CPT % | 2 L PHP-CGM % | 3 P Python % | 5 P JAVA % </v>
      </c>
      <c r="AZ207" s="4" t="str">
        <f ca="1">IFERROR(__xludf.DUMMYFUNCTION("""COMPUTED_VALUE"""),"| 1 L CPT % | 2 L JAVA % | 3 P CPT % | 5 P JAVA % ")</f>
        <v xml:space="preserve">| 1 L CPT % | 2 L JAVA % | 3 P CPT % | 5 P JAVA % </v>
      </c>
      <c r="BA207" s="4" t="str">
        <f ca="1">IFERROR(__xludf.DUMMYFUNCTION("""COMPUTED_VALUE"""),"| 1 L CPT % | 2 L JAVA @ | 3 P NS @ | 5 L INE @ ")</f>
        <v xml:space="preserve">| 1 L CPT % | 2 L JAVA @ | 3 P NS @ | 5 L INE @ </v>
      </c>
      <c r="BB207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7" s="4" t="str">
        <f ca="1">IFERROR(__xludf.DUMMYFUNCTION("""COMPUTED_VALUE"""),"| 1 L CPT % | 2 L PHP-CGM % | 3 P Python % | 5 P JAVA % ")</f>
        <v xml:space="preserve">| 1 L CPT % | 2 L PHP-CGM % | 3 P Python % | 5 P JAVA % </v>
      </c>
      <c r="BD207" s="4" t="str">
        <f ca="1">IFERROR(__xludf.DUMMYFUNCTION("""COMPUTED_VALUE"""),"| 1 L NS % | 2 L PHP-CGM % | 3 P Python % | 5 P PHP-CGM % ")</f>
        <v xml:space="preserve">| 1 L NS % | 2 L PHP-CGM % | 3 P Python % | 5 P PHP-CGM % </v>
      </c>
      <c r="BE207" s="4" t="str">
        <f ca="1">IFERROR(__xludf.DUMMYFUNCTION("""COMPUTED_VALUE"""),"| 1 L CPT % | 2 L JAVA % | 3 P CPT % | 5 P JAVA % ")</f>
        <v xml:space="preserve">| 1 L CPT % | 2 L JAVA % | 3 P CPT % | 5 P JAVA % </v>
      </c>
      <c r="BF207" s="4" t="str">
        <f ca="1">IFERROR(__xludf.DUMMYFUNCTION("""COMPUTED_VALUE"""),"| 1 L CPT % | 2 L JAVA % | 3 P NS @ ")</f>
        <v xml:space="preserve">| 1 L CPT % | 2 L JAVA % | 3 P NS @ </v>
      </c>
      <c r="BG207" s="4" t="str">
        <f ca="1">IFERROR(__xludf.DUMMYFUNCTION("""COMPUTED_VALUE"""),"| 2 L PHP-CGM % | 1 L CPT % | 3 P Python % | 5 P JAVA % ")</f>
        <v xml:space="preserve">| 2 L PHP-CGM % | 1 L CPT % | 3 P Python % | 5 P JAVA % </v>
      </c>
      <c r="BH207" s="4" t="str">
        <f ca="1">IFERROR(__xludf.DUMMYFUNCTION("""COMPUTED_VALUE"""),"| 1 L NS % | 2 L PHP-CGM % | 3 P Python % | 5 P PHP-CGM % ")</f>
        <v xml:space="preserve">| 1 L NS % | 2 L PHP-CGM % | 3 P Python % | 5 P PHP-CGM % </v>
      </c>
      <c r="BI207" s="4" t="str">
        <f ca="1">IFERROR(__xludf.DUMMYFUNCTION("""COMPUTED_VALUE"""),"| 1 L CPT % | 2 L JAVA % | 3 P CPT % | 5 P JAVA % ")</f>
        <v xml:space="preserve">| 1 L CPT % | 2 L JAVA % | 3 P CPT % | 5 P JAVA % </v>
      </c>
      <c r="BJ207" s="4" t="str">
        <f ca="1">IFERROR(__xludf.DUMMYFUNCTION("""COMPUTED_VALUE"""),"| 1 L CPT % | 2 L JAVA % | 3 P NS @ | 5 L INE % ")</f>
        <v xml:space="preserve">| 1 L CPT % | 2 L JAVA % | 3 P NS @ | 5 L INE % </v>
      </c>
      <c r="BK207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207" s="4" t="str">
        <f ca="1">IFERROR(__xludf.DUMMYFUNCTION("""COMPUTED_VALUE"""),"| 1 L CPT @ | 2 L PHP-CGM @ | 3 P Python @ | 5 P JAVA @ ")</f>
        <v xml:space="preserve">| 1 L CPT @ | 2 L PHP-CGM @ | 3 P Python @ | 5 P JAVA @ </v>
      </c>
      <c r="BM207" s="4" t="str">
        <f ca="1">IFERROR(__xludf.DUMMYFUNCTION("""COMPUTED_VALUE"""),"| 1 L NS @ | 2 L PHP-CGM @ | 3 P Python @ ")</f>
        <v xml:space="preserve">| 1 L NS @ | 2 L PHP-CGM @ | 3 P Python @ </v>
      </c>
      <c r="BN207" s="4" t="str">
        <f ca="1">IFERROR(__xludf.DUMMYFUNCTION("""COMPUTED_VALUE"""),"| 2 L JAVA @ | 1 L CPT @ | 3 P CPT @ | 5 P JAVA @ ")</f>
        <v xml:space="preserve">| 2 L JAVA @ | 1 L CPT @ | 3 P CPT @ | 5 P JAVA @ </v>
      </c>
      <c r="BO207" s="4" t="str">
        <f ca="1">IFERROR(__xludf.DUMMYFUNCTION("""COMPUTED_VALUE"""),"| 2 L JAVA @ | 1 L CPT @ | 3 P NS @ | 5 L INE @ ")</f>
        <v xml:space="preserve">| 2 L JAVA @ | 1 L CPT @ | 3 P NS @ | 5 L INE @ </v>
      </c>
      <c r="BP207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07" s="4"/>
      <c r="BR207" s="4"/>
      <c r="BS207" s="4"/>
      <c r="BT207" s="4" t="str">
        <f ca="1">IFERROR(__xludf.DUMMYFUNCTION("""COMPUTED_VALUE"""),"| 1 L NS % | 2 L PHP-CGM % | 3 P PRO @ ")</f>
        <v xml:space="preserve">| 1 L NS % | 2 L PHP-CGM % | 3 P PRO @ </v>
      </c>
      <c r="BU207" s="4" t="str">
        <f ca="1">IFERROR(__xludf.DUMMYFUNCTION("""COMPUTED_VALUE"""),"| 1 L CPT @ | 3 P Python @ ")</f>
        <v xml:space="preserve">| 1 L CPT @ | 3 P Python @ </v>
      </c>
      <c r="BV207" s="4" t="str">
        <f ca="1">IFERROR(__xludf.DUMMYFUNCTION("""COMPUTED_VALUE"""),"| 1 L NS % | 2 L PHP-CGM % | 3 P PRO % | 6 L JAVA % ")</f>
        <v xml:space="preserve">| 1 L NS % | 2 L PHP-CGM % | 3 P PRO % | 6 L JAVA % </v>
      </c>
      <c r="BW207" s="4" t="str">
        <f ca="1">IFERROR(__xludf.DUMMYFUNCTION("""COMPUTED_VALUE"""),"| 1 L CPT % | 2 L PHP-CGM % | 3 P Python % ")</f>
        <v xml:space="preserve">| 1 L CPT % | 2 L PHP-CGM % | 3 P Python % </v>
      </c>
      <c r="BX207" s="4" t="str">
        <f ca="1">IFERROR(__xludf.DUMMYFUNCTION("""COMPUTED_VALUE"""),"| 1 L NS % | 2 L PHP-CGM % | 3 P Python % | 5 P PHP-CGM @ ")</f>
        <v xml:space="preserve">| 1 L NS % | 2 L PHP-CGM % | 3 P Python % | 5 P PHP-CGM @ </v>
      </c>
      <c r="BY207" s="4" t="str">
        <f ca="1">IFERROR(__xludf.DUMMYFUNCTION("""COMPUTED_VALUE"""),"| 1 L CPT % | 2 L JAVA % | 3 P CPT % | 5 P JAVA % ")</f>
        <v xml:space="preserve">| 1 L CPT % | 2 L JAVA % | 3 P CPT % | 5 P JAVA % </v>
      </c>
      <c r="BZ207" s="4" t="str">
        <f ca="1">IFERROR(__xludf.DUMMYFUNCTION("""COMPUTED_VALUE"""),"| 1 L CPT @ | 2 L JAVA @ | 3 P NS @ | 5 L INE @ ")</f>
        <v xml:space="preserve">| 1 L CPT @ | 2 L JAVA @ | 3 P NS @ | 5 L INE @ </v>
      </c>
      <c r="CA207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207" s="4" t="str">
        <f ca="1">IFERROR(__xludf.DUMMYFUNCTION("""COMPUTED_VALUE"""),"| 2 L PHP-CGM % | 3 P Python % | 5 P JAVA % | 1 L CPT % ")</f>
        <v xml:space="preserve">| 2 L PHP-CGM % | 3 P Python % | 5 P JAVA % | 1 L CPT % </v>
      </c>
      <c r="CC207" s="4" t="str">
        <f ca="1">IFERROR(__xludf.DUMMYFUNCTION("""COMPUTED_VALUE"""),"| 1 L NS % | 2 L PHP-CGM % | 3 P Python % | 5 P PHP-CGM % ")</f>
        <v xml:space="preserve">| 1 L NS % | 2 L PHP-CGM % | 3 P Python % | 5 P PHP-CGM % </v>
      </c>
      <c r="CD207" s="4" t="str">
        <f ca="1">IFERROR(__xludf.DUMMYFUNCTION("""COMPUTED_VALUE"""),"| 1 L CPT @ | 2 L JAVA @ | 3 P CPT % | 5 P JAVA % ")</f>
        <v xml:space="preserve">| 1 L CPT @ | 2 L JAVA @ | 3 P CPT % | 5 P JAVA % </v>
      </c>
      <c r="CE207" s="4" t="str">
        <f ca="1">IFERROR(__xludf.DUMMYFUNCTION("""COMPUTED_VALUE"""),"| 1 L CPT % | 2 L JAVA % | 3 P NS % | 5 L INE % ")</f>
        <v xml:space="preserve">| 1 L CPT % | 2 L JAVA % | 3 P NS % | 5 L INE % </v>
      </c>
      <c r="CF207" s="4" t="str">
        <f ca="1">IFERROR(__xludf.DUMMYFUNCTION("""COMPUTED_VALUE"""),"| 1 L NS % | 2 L PHP-CGM @ | 5 L NS @ | 6 L JAVA @ ")</f>
        <v xml:space="preserve">| 1 L NS % | 2 L PHP-CGM @ | 5 L NS @ | 6 L JAVA @ </v>
      </c>
      <c r="CG207" s="4" t="str">
        <f ca="1">IFERROR(__xludf.DUMMYFUNCTION("""COMPUTED_VALUE"""),"| 1 L CPT @ | 2 L PHP-CGM @ | 3 P Python % | 5 P JAVA % ")</f>
        <v xml:space="preserve">| 1 L CPT @ | 2 L PHP-CGM @ | 3 P Python % | 5 P JAVA % </v>
      </c>
      <c r="CH207" s="4" t="str">
        <f ca="1">IFERROR(__xludf.DUMMYFUNCTION("""COMPUTED_VALUE"""),"| 1 L NS @ | 2 L PHP-CGM @ | 3 P Python % | 5 P PHP-CGM % ")</f>
        <v xml:space="preserve">| 1 L NS @ | 2 L PHP-CGM @ | 3 P Python % | 5 P PHP-CGM % </v>
      </c>
      <c r="CI207" s="4" t="str">
        <f ca="1">IFERROR(__xludf.DUMMYFUNCTION("""COMPUTED_VALUE"""),"| 1 L CPT % | 2 L JAVA % ")</f>
        <v xml:space="preserve">| 1 L CPT % | 2 L JAVA % </v>
      </c>
      <c r="CJ207" s="4" t="str">
        <f ca="1">IFERROR(__xludf.DUMMYFUNCTION("""COMPUTED_VALUE"""),"| 1 L CPT @ | 3 P NS % ")</f>
        <v xml:space="preserve">| 1 L CPT @ | 3 P NS % </v>
      </c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</row>
    <row r="208" spans="1:102" ht="12.5" x14ac:dyDescent="0.25">
      <c r="A208" s="3">
        <f ca="1">IFERROR(__xludf.DUMMYFUNCTION("""COMPUTED_VALUE"""),2)</f>
        <v>2</v>
      </c>
      <c r="B208" s="3" t="str">
        <f ca="1">IFERROR(__xludf.DUMMYFUNCTION("""COMPUTED_VALUE"""),"C")</f>
        <v>C</v>
      </c>
      <c r="C208" s="32" t="str">
        <f ca="1">IFERROR(__xludf.DUMMYFUNCTION("""COMPUTED_VALUE"""),"23171341099")</f>
        <v>23171341099</v>
      </c>
      <c r="D208" s="4" t="str">
        <f ca="1">IFERROR(__xludf.DUMMYFUNCTION("""COMPUTED_VALUE"""),"PATEL KRISH MAHESHKUMAR")</f>
        <v>PATEL KRISH MAHESHKUMAR</v>
      </c>
      <c r="E208" s="3" t="str">
        <f ca="1">IFERROR(__xludf.DUMMYFUNCTION("""COMPUTED_VALUE"""),"PKN/PAP-Mor")</f>
        <v>PKN/PAP-Mor</v>
      </c>
      <c r="F208" s="3">
        <f ca="1">IFERROR(__xludf.DUMMYFUNCTION("""COMPUTED_VALUE"""),9879088098)</f>
        <v>9879088098</v>
      </c>
      <c r="G208" s="3">
        <f ca="1">IFERROR(__xludf.DUMMYFUNCTION("""COMPUTED_VALUE"""),9879088098)</f>
        <v>9879088098</v>
      </c>
      <c r="H208" s="33">
        <f ca="1">IFERROR(__xludf.DUMMYFUNCTION("""COMPUTED_VALUE"""),0.634146341463414)</f>
        <v>0.63414634146341398</v>
      </c>
      <c r="I208" s="25">
        <f ca="1">IFERROR(__xludf.DUMMYFUNCTION("""COMPUTED_VALUE"""),0.631578947368421)</f>
        <v>0.63157894736842102</v>
      </c>
      <c r="J208" s="25">
        <f ca="1">IFERROR(__xludf.DUMMYFUNCTION("""COMPUTED_VALUE"""),0.75)</f>
        <v>0.75</v>
      </c>
      <c r="K208" s="25">
        <f ca="1">IFERROR(__xludf.DUMMYFUNCTION("""COMPUTED_VALUE"""),0.611111111111111)</f>
        <v>0.61111111111111105</v>
      </c>
      <c r="L208" s="25">
        <f ca="1">IFERROR(__xludf.DUMMYFUNCTION("""COMPUTED_VALUE"""),0.583333333333333)</f>
        <v>0.58333333333333304</v>
      </c>
      <c r="M208" s="25">
        <f ca="1">IFERROR(__xludf.DUMMYFUNCTION("""COMPUTED_VALUE"""),0.666666666666666)</f>
        <v>0.66666666666666596</v>
      </c>
      <c r="N208" s="25">
        <f ca="1">IFERROR(__xludf.DUMMYFUNCTION("""COMPUTED_VALUE"""),0.8)</f>
        <v>0.8</v>
      </c>
      <c r="O208" s="25">
        <f ca="1">IFERROR(__xludf.DUMMYFUNCTION("""COMPUTED_VALUE"""),0.571428571428571)</f>
        <v>0.57142857142857095</v>
      </c>
      <c r="P208" s="25">
        <f ca="1">IFERROR(__xludf.DUMMYFUNCTION("""COMPUTED_VALUE"""),0.695652173913043)</f>
        <v>0.69565217391304301</v>
      </c>
      <c r="Q208" s="25">
        <f ca="1">IFERROR(__xludf.DUMMYFUNCTION("""COMPUTED_VALUE"""),0)</f>
        <v>0</v>
      </c>
      <c r="R208" s="25">
        <f ca="1">IFERROR(__xludf.DUMMYFUNCTION("""COMPUTED_VALUE"""),0.708333333333333)</f>
        <v>0.70833333333333304</v>
      </c>
      <c r="S208" s="25">
        <f ca="1">IFERROR(__xludf.DUMMYFUNCTION("""COMPUTED_VALUE"""),0)</f>
        <v>0</v>
      </c>
      <c r="T208" s="25">
        <f ca="1">IFERROR(__xludf.DUMMYFUNCTION("""COMPUTED_VALUE"""),0.666666666666666)</f>
        <v>0.66666666666666596</v>
      </c>
      <c r="U208" s="25">
        <f ca="1">IFERROR(__xludf.DUMMYFUNCTION("""COMPUTED_VALUE"""),0.125)</f>
        <v>0.125</v>
      </c>
      <c r="V208" s="25">
        <f ca="1">IFERROR(__xludf.DUMMYFUNCTION("""COMPUTED_VALUE"""),0)</f>
        <v>0</v>
      </c>
      <c r="W208" s="4"/>
      <c r="X208" s="4" t="str">
        <f ca="1">IFERROR(__xludf.DUMMYFUNCTION("""COMPUTED_VALUE"""),"| 1 L NS @ | 2 L PHP-CGM % | 3 P PRO % | 5 L JAVA % | 6 L NS % ")</f>
        <v xml:space="preserve">| 1 L NS @ | 2 L PHP-CGM % | 3 P PRO % | 5 L JAVA % | 6 L NS % </v>
      </c>
      <c r="Y208" s="4" t="str">
        <f ca="1">IFERROR(__xludf.DUMMYFUNCTION("""COMPUTED_VALUE"""),"| 1 L CPT % | 5 L PHP-CGM % | 3 P Python % | 5 P JAVA % ")</f>
        <v xml:space="preserve">| 1 L CPT % | 5 L PHP-CGM % | 3 P Python % | 5 P JAVA % </v>
      </c>
      <c r="Z208" s="4" t="str">
        <f ca="1">IFERROR(__xludf.DUMMYFUNCTION("""COMPUTED_VALUE"""),"| 1 L CPT % | 2 L PHP-CGM % | 3 P Python % | 5 P PHP-CGM % ")</f>
        <v xml:space="preserve">| 1 L CPT % | 2 L PHP-CGM % | 3 P Python % | 5 P PHP-CGM % </v>
      </c>
      <c r="AA208" s="4" t="str">
        <f ca="1">IFERROR(__xludf.DUMMYFUNCTION("""COMPUTED_VALUE"""),"| 1 L NS % | 2 L JAVA % | 3 P CPT % | 5 P JAVA % ")</f>
        <v xml:space="preserve">| 1 L NS % | 2 L JAVA % | 3 P CPT % | 5 P JAVA % </v>
      </c>
      <c r="AB208" s="4" t="str">
        <f ca="1">IFERROR(__xludf.DUMMYFUNCTION("""COMPUTED_VALUE"""),"| 1 L CPT % | 2 L JAVA % | 3 P NS % ")</f>
        <v xml:space="preserve">| 1 L CPT % | 2 L JAVA % | 3 P NS % </v>
      </c>
      <c r="AC208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08" s="4" t="str">
        <f ca="1">IFERROR(__xludf.DUMMYFUNCTION("""COMPUTED_VALUE"""),"| 1 L CPT % | 2 L PHP-CGM % | 3 P Python % | 5 P JAVA % ")</f>
        <v xml:space="preserve">| 1 L CPT % | 2 L PHP-CGM % | 3 P Python % | 5 P JAVA % </v>
      </c>
      <c r="AE208" s="4" t="str">
        <f ca="1">IFERROR(__xludf.DUMMYFUNCTION("""COMPUTED_VALUE"""),"| 1 L CPT % | 3 P Python % | 5 P PHP-CGM % | 2 L PHP-CGM % ")</f>
        <v xml:space="preserve">| 1 L CPT % | 3 P Python % | 5 P PHP-CGM % | 2 L PHP-CGM % </v>
      </c>
      <c r="AF208" s="4" t="str">
        <f ca="1">IFERROR(__xludf.DUMMYFUNCTION("""COMPUTED_VALUE"""),"| 1 L NS % | 2 L CPT % | 3 P CPT % | 5 P JAVA % ")</f>
        <v xml:space="preserve">| 1 L NS % | 2 L CPT % | 3 P CPT % | 5 P JAVA % </v>
      </c>
      <c r="AG208" s="4" t="str">
        <f ca="1">IFERROR(__xludf.DUMMYFUNCTION("""COMPUTED_VALUE"""),"| 1 L CPT % | 2 L JAVA % | 3 P NS % ")</f>
        <v xml:space="preserve">| 1 L CPT % | 2 L JAVA % | 3 P NS % </v>
      </c>
      <c r="AH208" s="4" t="str">
        <f ca="1">IFERROR(__xludf.DUMMYFUNCTION("""COMPUTED_VALUE"""),"| 2 L JAVA % | 1 L NS % | 3 P CPT % | 5 P JAVA % ")</f>
        <v xml:space="preserve">| 2 L JAVA % | 1 L NS % | 3 P CPT % | 5 P JAVA % </v>
      </c>
      <c r="AI208" s="4" t="str">
        <f ca="1">IFERROR(__xludf.DUMMYFUNCTION("""COMPUTED_VALUE"""),"| 1 L CPT % | 2 L JAVA % | 3 P NS % ")</f>
        <v xml:space="preserve">| 1 L CPT % | 2 L JAVA % | 3 P NS % </v>
      </c>
      <c r="AJ208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8" s="4" t="str">
        <f ca="1">IFERROR(__xludf.DUMMYFUNCTION("""COMPUTED_VALUE"""),"| 1 L CPT % | 3 P Python % | 2 L PHP-CGM % | 5 P JAVA % ")</f>
        <v xml:space="preserve">| 1 L CPT % | 3 P Python % | 2 L PHP-CGM % | 5 P JAVA % </v>
      </c>
      <c r="AL208" s="4" t="str">
        <f ca="1">IFERROR(__xludf.DUMMYFUNCTION("""COMPUTED_VALUE"""),"| 1 L CPT % | 2 L PHP-CGM % | 3 P Python % | 5 P PHP-CGM % ")</f>
        <v xml:space="preserve">| 1 L CPT % | 2 L PHP-CGM % | 3 P Python % | 5 P PHP-CGM % </v>
      </c>
      <c r="AM208" s="4" t="str">
        <f ca="1">IFERROR(__xludf.DUMMYFUNCTION("""COMPUTED_VALUE"""),"| 2 L JAVA % | 3 P CPT % | 5 P JAVA % | 1 L NS % ")</f>
        <v xml:space="preserve">| 2 L JAVA % | 3 P CPT % | 5 P JAVA % | 1 L NS % </v>
      </c>
      <c r="AN208" s="4" t="str">
        <f ca="1">IFERROR(__xludf.DUMMYFUNCTION("""COMPUTED_VALUE"""),"| 1 L CPT % | 2 L JAVA % | 3 P NS % | 5 L INE @ ")</f>
        <v xml:space="preserve">| 1 L CPT % | 2 L JAVA % | 3 P NS % | 5 L INE @ </v>
      </c>
      <c r="AO208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08" s="4" t="str">
        <f ca="1">IFERROR(__xludf.DUMMYFUNCTION("""COMPUTED_VALUE"""),"| 1 L CPT % | 2 L PHP-CGM % | 3 P Python % | 5 P JAVA % ")</f>
        <v xml:space="preserve">| 1 L CPT % | 2 L PHP-CGM % | 3 P Python % | 5 P JAVA % </v>
      </c>
      <c r="AQ208" s="4" t="str">
        <f ca="1">IFERROR(__xludf.DUMMYFUNCTION("""COMPUTED_VALUE"""),"| 2 L PHP-CGM % | 3 P Python % | 5 P PHP-CGM % | 1 L NS % ")</f>
        <v xml:space="preserve">| 2 L PHP-CGM % | 3 P Python % | 5 P PHP-CGM % | 1 L NS % </v>
      </c>
      <c r="AR208" s="4" t="str">
        <f ca="1">IFERROR(__xludf.DUMMYFUNCTION("""COMPUTED_VALUE"""),"| 1 L CPT % | 2 L JAVA % | 3 P CPT % | 5 P JAVA @ ")</f>
        <v xml:space="preserve">| 1 L CPT % | 2 L JAVA % | 3 P CPT % | 5 P JAVA @ </v>
      </c>
      <c r="AS208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AT208" s="4" t="str">
        <f ca="1">IFERROR(__xludf.DUMMYFUNCTION("""COMPUTED_VALUE"""),"| 1 L CPT @ | 2 L PHP-CGM @ | 3 P Python @ | 5 P JAVA @ ")</f>
        <v xml:space="preserve">| 1 L CPT @ | 2 L PHP-CGM @ | 3 P Python @ | 5 P JAVA @ </v>
      </c>
      <c r="AU208" s="4" t="str">
        <f ca="1">IFERROR(__xludf.DUMMYFUNCTION("""COMPUTED_VALUE"""),"| 1 L NS @ | 2 L PHP-CGM % | 3 P Python @ | 5 P PHP-CGM @ ")</f>
        <v xml:space="preserve">| 1 L NS @ | 2 L PHP-CGM % | 3 P Python @ | 5 P PHP-CGM @ </v>
      </c>
      <c r="AV208" s="4" t="str">
        <f ca="1">IFERROR(__xludf.DUMMYFUNCTION("""COMPUTED_VALUE"""),"| 1 L CPT @ | 2 L JAVA @ | 5 P JAVA @ | 3 P CPT @ ")</f>
        <v xml:space="preserve">| 1 L CPT @ | 2 L JAVA @ | 5 P JAVA @ | 3 P CPT @ </v>
      </c>
      <c r="AW208" s="4" t="str">
        <f ca="1">IFERROR(__xludf.DUMMYFUNCTION("""COMPUTED_VALUE"""),"| 1 L CPT @ | 2 L JAVA @ | 3 P NS @ | 5 L INE @ | 6 L INE @ ")</f>
        <v xml:space="preserve">| 1 L CPT @ | 2 L JAVA @ | 3 P NS @ | 5 L INE @ | 6 L INE @ </v>
      </c>
      <c r="AX208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208" s="4" t="str">
        <f ca="1">IFERROR(__xludf.DUMMYFUNCTION("""COMPUTED_VALUE"""),"| 1 L CPT % | 2 L PHP-CGM % | 3 P Python % | 5 P JAVA % ")</f>
        <v xml:space="preserve">| 1 L CPT % | 2 L PHP-CGM % | 3 P Python % | 5 P JAVA % </v>
      </c>
      <c r="AZ208" s="4" t="str">
        <f ca="1">IFERROR(__xludf.DUMMYFUNCTION("""COMPUTED_VALUE"""),"| 1 L CPT % | 2 L JAVA % | 3 P CPT % | 5 P JAVA % ")</f>
        <v xml:space="preserve">| 1 L CPT % | 2 L JAVA % | 3 P CPT % | 5 P JAVA % </v>
      </c>
      <c r="BA208" s="4" t="str">
        <f ca="1">IFERROR(__xludf.DUMMYFUNCTION("""COMPUTED_VALUE"""),"| 1 L CPT % | 2 L JAVA % | 3 P NS % | 5 L INE @ ")</f>
        <v xml:space="preserve">| 1 L CPT % | 2 L JAVA % | 3 P NS % | 5 L INE @ </v>
      </c>
      <c r="BB20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8" s="4" t="str">
        <f ca="1">IFERROR(__xludf.DUMMYFUNCTION("""COMPUTED_VALUE"""),"| 1 L CPT % | 2 L PHP-CGM % | 3 P Python % | 5 P JAVA % ")</f>
        <v xml:space="preserve">| 1 L CPT % | 2 L PHP-CGM % | 3 P Python % | 5 P JAVA % </v>
      </c>
      <c r="BD208" s="4" t="str">
        <f ca="1">IFERROR(__xludf.DUMMYFUNCTION("""COMPUTED_VALUE"""),"| 1 L NS % | 2 L PHP-CGM % | 3 P Python % | 5 P PHP-CGM % ")</f>
        <v xml:space="preserve">| 1 L NS % | 2 L PHP-CGM % | 3 P Python % | 5 P PHP-CGM % </v>
      </c>
      <c r="BE208" s="4" t="str">
        <f ca="1">IFERROR(__xludf.DUMMYFUNCTION("""COMPUTED_VALUE"""),"| 1 L CPT % | 2 L JAVA % | 3 P CPT % | 5 P JAVA % ")</f>
        <v xml:space="preserve">| 1 L CPT % | 2 L JAVA % | 3 P CPT % | 5 P JAVA % </v>
      </c>
      <c r="BF208" s="4" t="str">
        <f ca="1">IFERROR(__xludf.DUMMYFUNCTION("""COMPUTED_VALUE"""),"| 1 L CPT @ | 2 L JAVA @ | 3 P NS @ ")</f>
        <v xml:space="preserve">| 1 L CPT @ | 2 L JAVA @ | 3 P NS @ </v>
      </c>
      <c r="BG208" s="4" t="str">
        <f ca="1">IFERROR(__xludf.DUMMYFUNCTION("""COMPUTED_VALUE"""),"| 2 L PHP-CGM @ | 1 L CPT @ | 3 P Python @ | 5 P JAVA @ ")</f>
        <v xml:space="preserve">| 2 L PHP-CGM @ | 1 L CPT @ | 3 P Python @ | 5 P JAVA @ </v>
      </c>
      <c r="BH208" s="4" t="str">
        <f ca="1">IFERROR(__xludf.DUMMYFUNCTION("""COMPUTED_VALUE"""),"| 1 L NS @ | 2 L PHP-CGM @ | 3 P Python @ | 5 P PHP-CGM @ ")</f>
        <v xml:space="preserve">| 1 L NS @ | 2 L PHP-CGM @ | 3 P Python @ | 5 P PHP-CGM @ </v>
      </c>
      <c r="BI208" s="4" t="str">
        <f ca="1">IFERROR(__xludf.DUMMYFUNCTION("""COMPUTED_VALUE"""),"| 1 L CPT @ | 2 L JAVA @ | 3 P CPT @ | 5 P JAVA @ ")</f>
        <v xml:space="preserve">| 1 L CPT @ | 2 L JAVA @ | 3 P CPT @ | 5 P JAVA @ </v>
      </c>
      <c r="BJ208" s="4" t="str">
        <f ca="1">IFERROR(__xludf.DUMMYFUNCTION("""COMPUTED_VALUE"""),"| 1 L CPT @ | 2 L JAVA @ | 3 P NS @ | 5 L INE @ ")</f>
        <v xml:space="preserve">| 1 L CPT @ | 2 L JAVA @ | 3 P NS @ | 5 L INE @ </v>
      </c>
      <c r="BK208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208" s="4" t="str">
        <f ca="1">IFERROR(__xludf.DUMMYFUNCTION("""COMPUTED_VALUE"""),"| 1 L CPT @ | 2 L PHP-CGM @ | 3 P Python @ | 5 P JAVA @ ")</f>
        <v xml:space="preserve">| 1 L CPT @ | 2 L PHP-CGM @ | 3 P Python @ | 5 P JAVA @ </v>
      </c>
      <c r="BM208" s="4" t="str">
        <f ca="1">IFERROR(__xludf.DUMMYFUNCTION("""COMPUTED_VALUE"""),"| 1 L NS @ | 2 L PHP-CGM @ | 3 P Python @ ")</f>
        <v xml:space="preserve">| 1 L NS @ | 2 L PHP-CGM @ | 3 P Python @ </v>
      </c>
      <c r="BN208" s="4" t="str">
        <f ca="1">IFERROR(__xludf.DUMMYFUNCTION("""COMPUTED_VALUE"""),"| 2 L JAVA @ | 1 L CPT @ | 3 P CPT @ | 5 P JAVA @ ")</f>
        <v xml:space="preserve">| 2 L JAVA @ | 1 L CPT @ | 3 P CPT @ | 5 P JAVA @ </v>
      </c>
      <c r="BO208" s="4" t="str">
        <f ca="1">IFERROR(__xludf.DUMMYFUNCTION("""COMPUTED_VALUE"""),"| 2 L JAVA @ | 1 L CPT @ | 3 P NS @ | 5 L INE @ ")</f>
        <v xml:space="preserve">| 2 L JAVA @ | 1 L CPT @ | 3 P NS @ | 5 L INE @ </v>
      </c>
      <c r="BP208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08" s="4"/>
      <c r="BR208" s="4"/>
      <c r="BS208" s="4"/>
      <c r="BT208" s="4" t="str">
        <f ca="1">IFERROR(__xludf.DUMMYFUNCTION("""COMPUTED_VALUE"""),"| 1 L NS % | 2 L PHP-CGM % | 3 P PRO % ")</f>
        <v xml:space="preserve">| 1 L NS % | 2 L PHP-CGM % | 3 P PRO % </v>
      </c>
      <c r="BU208" s="4" t="str">
        <f ca="1">IFERROR(__xludf.DUMMYFUNCTION("""COMPUTED_VALUE"""),"| 1 L CPT @ | 3 P Python @ ")</f>
        <v xml:space="preserve">| 1 L CPT @ | 3 P Python @ </v>
      </c>
      <c r="BV208" s="4" t="str">
        <f ca="1">IFERROR(__xludf.DUMMYFUNCTION("""COMPUTED_VALUE"""),"| 1 L NS @ | 2 L PHP-CGM @ | 3 P PRO @ | 6 L JAVA @ ")</f>
        <v xml:space="preserve">| 1 L NS @ | 2 L PHP-CGM @ | 3 P PRO @ | 6 L JAVA @ </v>
      </c>
      <c r="BW208" s="4" t="str">
        <f ca="1">IFERROR(__xludf.DUMMYFUNCTION("""COMPUTED_VALUE"""),"| 1 L CPT % | 2 L PHP-CGM % | 3 P Python % ")</f>
        <v xml:space="preserve">| 1 L CPT % | 2 L PHP-CGM % | 3 P Python % </v>
      </c>
      <c r="BX208" s="4" t="str">
        <f ca="1">IFERROR(__xludf.DUMMYFUNCTION("""COMPUTED_VALUE"""),"| 1 L NS % | 2 L PHP-CGM % | 3 P Python % | 5 P PHP-CGM % ")</f>
        <v xml:space="preserve">| 1 L NS % | 2 L PHP-CGM % | 3 P Python % | 5 P PHP-CGM % </v>
      </c>
      <c r="BY208" s="4" t="str">
        <f ca="1">IFERROR(__xludf.DUMMYFUNCTION("""COMPUTED_VALUE"""),"| 1 L CPT % | 2 L JAVA % | 3 P CPT % | 5 P JAVA % ")</f>
        <v xml:space="preserve">| 1 L CPT % | 2 L JAVA % | 3 P CPT % | 5 P JAVA % </v>
      </c>
      <c r="BZ208" s="4" t="str">
        <f ca="1">IFERROR(__xludf.DUMMYFUNCTION("""COMPUTED_VALUE"""),"| 1 L CPT % | 2 L JAVA % | 3 P NS % | 5 L INE @ ")</f>
        <v xml:space="preserve">| 1 L CPT % | 2 L JAVA % | 3 P NS % | 5 L INE @ </v>
      </c>
      <c r="CA208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CB208" s="4" t="str">
        <f ca="1">IFERROR(__xludf.DUMMYFUNCTION("""COMPUTED_VALUE"""),"| 2 L PHP-CGM % | 3 P Python % | 5 P JAVA % | 1 L CPT % ")</f>
        <v xml:space="preserve">| 2 L PHP-CGM % | 3 P Python % | 5 P JAVA % | 1 L CPT % </v>
      </c>
      <c r="CC208" s="4" t="str">
        <f ca="1">IFERROR(__xludf.DUMMYFUNCTION("""COMPUTED_VALUE"""),"| 1 L NS % | 2 L PHP-CGM % | 3 P Python % | 5 P PHP-CGM % ")</f>
        <v xml:space="preserve">| 1 L NS % | 2 L PHP-CGM % | 3 P Python % | 5 P PHP-CGM % </v>
      </c>
      <c r="CD208" s="4" t="str">
        <f ca="1">IFERROR(__xludf.DUMMYFUNCTION("""COMPUTED_VALUE"""),"| 1 L CPT % | 2 L JAVA @ | 3 P CPT % | 5 P JAVA % ")</f>
        <v xml:space="preserve">| 1 L CPT % | 2 L JAVA @ | 3 P CPT % | 5 P JAVA % </v>
      </c>
      <c r="CE208" s="4" t="str">
        <f ca="1">IFERROR(__xludf.DUMMYFUNCTION("""COMPUTED_VALUE"""),"| 1 L CPT @ | 2 L JAVA @ | 3 P NS @ | 5 L INE % ")</f>
        <v xml:space="preserve">| 1 L CPT @ | 2 L JAVA @ | 3 P NS @ | 5 L INE % </v>
      </c>
      <c r="CF208" s="4" t="str">
        <f ca="1">IFERROR(__xludf.DUMMYFUNCTION("""COMPUTED_VALUE"""),"| 1 L NS % | 2 L PHP-CGM @ | 5 L NS @ | 6 L JAVA @ ")</f>
        <v xml:space="preserve">| 1 L NS % | 2 L PHP-CGM @ | 5 L NS @ | 6 L JAVA @ </v>
      </c>
      <c r="CG208" s="4" t="str">
        <f ca="1">IFERROR(__xludf.DUMMYFUNCTION("""COMPUTED_VALUE"""),"| 1 L CPT @ | 2 L PHP-CGM @ | 3 P Python % | 5 P JAVA % ")</f>
        <v xml:space="preserve">| 1 L CPT @ | 2 L PHP-CGM @ | 3 P Python % | 5 P JAVA % </v>
      </c>
      <c r="CH208" s="4" t="str">
        <f ca="1">IFERROR(__xludf.DUMMYFUNCTION("""COMPUTED_VALUE"""),"| 1 L NS @ | 2 L PHP-CGM @ | 3 P Python % | 5 P PHP-CGM % ")</f>
        <v xml:space="preserve">| 1 L NS @ | 2 L PHP-CGM @ | 3 P Python % | 5 P PHP-CGM % </v>
      </c>
      <c r="CI208" s="4" t="str">
        <f ca="1">IFERROR(__xludf.DUMMYFUNCTION("""COMPUTED_VALUE"""),"| 1 L CPT % | 2 L JAVA % ")</f>
        <v xml:space="preserve">| 1 L CPT % | 2 L JAVA % </v>
      </c>
      <c r="CJ208" s="4" t="str">
        <f ca="1">IFERROR(__xludf.DUMMYFUNCTION("""COMPUTED_VALUE"""),"| 1 L CPT @ | 3 P NS % ")</f>
        <v xml:space="preserve">| 1 L CPT @ | 3 P NS % </v>
      </c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</row>
    <row r="209" spans="1:102" ht="12.5" x14ac:dyDescent="0.25">
      <c r="A209" s="3">
        <f ca="1">IFERROR(__xludf.DUMMYFUNCTION("""COMPUTED_VALUE"""),2)</f>
        <v>2</v>
      </c>
      <c r="B209" s="3" t="str">
        <f ca="1">IFERROR(__xludf.DUMMYFUNCTION("""COMPUTED_VALUE"""),"C")</f>
        <v>C</v>
      </c>
      <c r="C209" s="32" t="str">
        <f ca="1">IFERROR(__xludf.DUMMYFUNCTION("""COMPUTED_VALUE"""),"23171341100")</f>
        <v>23171341100</v>
      </c>
      <c r="D209" s="4" t="str">
        <f ca="1">IFERROR(__xludf.DUMMYFUNCTION("""COMPUTED_VALUE"""),"PATEL KRISHKUMAR")</f>
        <v>PATEL KRISHKUMAR</v>
      </c>
      <c r="E209" s="3" t="str">
        <f ca="1">IFERROR(__xludf.DUMMYFUNCTION("""COMPUTED_VALUE"""),"PKN/PAP-Mor")</f>
        <v>PKN/PAP-Mor</v>
      </c>
      <c r="F209" s="3">
        <f ca="1">IFERROR(__xludf.DUMMYFUNCTION("""COMPUTED_VALUE"""),8487834345)</f>
        <v>8487834345</v>
      </c>
      <c r="G209" s="3">
        <f ca="1">IFERROR(__xludf.DUMMYFUNCTION("""COMPUTED_VALUE"""),9925005150)</f>
        <v>9925005150</v>
      </c>
      <c r="H209" s="33">
        <f ca="1">IFERROR(__xludf.DUMMYFUNCTION("""COMPUTED_VALUE"""),0.601626016260162)</f>
        <v>0.60162601626016199</v>
      </c>
      <c r="I209" s="25">
        <f ca="1">IFERROR(__xludf.DUMMYFUNCTION("""COMPUTED_VALUE"""),0.631578947368421)</f>
        <v>0.63157894736842102</v>
      </c>
      <c r="J209" s="25">
        <f ca="1">IFERROR(__xludf.DUMMYFUNCTION("""COMPUTED_VALUE"""),0.583333333333333)</f>
        <v>0.58333333333333304</v>
      </c>
      <c r="K209" s="25">
        <f ca="1">IFERROR(__xludf.DUMMYFUNCTION("""COMPUTED_VALUE"""),0.555555555555555)</f>
        <v>0.55555555555555503</v>
      </c>
      <c r="L209" s="25">
        <f ca="1">IFERROR(__xludf.DUMMYFUNCTION("""COMPUTED_VALUE"""),0.583333333333333)</f>
        <v>0.58333333333333304</v>
      </c>
      <c r="M209" s="25">
        <f ca="1">IFERROR(__xludf.DUMMYFUNCTION("""COMPUTED_VALUE"""),0.527777777777777)</f>
        <v>0.52777777777777701</v>
      </c>
      <c r="N209" s="25">
        <f ca="1">IFERROR(__xludf.DUMMYFUNCTION("""COMPUTED_VALUE"""),0.8)</f>
        <v>0.8</v>
      </c>
      <c r="O209" s="25">
        <f ca="1">IFERROR(__xludf.DUMMYFUNCTION("""COMPUTED_VALUE"""),0.657142857142857)</f>
        <v>0.65714285714285703</v>
      </c>
      <c r="P209" s="25">
        <f ca="1">IFERROR(__xludf.DUMMYFUNCTION("""COMPUTED_VALUE"""),0.652173913043478)</f>
        <v>0.65217391304347805</v>
      </c>
      <c r="Q209" s="25">
        <f ca="1">IFERROR(__xludf.DUMMYFUNCTION("""COMPUTED_VALUE"""),0)</f>
        <v>0</v>
      </c>
      <c r="R209" s="25">
        <f ca="1">IFERROR(__xludf.DUMMYFUNCTION("""COMPUTED_VALUE"""),0.666666666666666)</f>
        <v>0.66666666666666596</v>
      </c>
      <c r="S209" s="25">
        <f ca="1">IFERROR(__xludf.DUMMYFUNCTION("""COMPUTED_VALUE"""),0)</f>
        <v>0</v>
      </c>
      <c r="T209" s="25">
        <f ca="1">IFERROR(__xludf.DUMMYFUNCTION("""COMPUTED_VALUE"""),0.416666666666666)</f>
        <v>0.41666666666666602</v>
      </c>
      <c r="U209" s="25">
        <f ca="1">IFERROR(__xludf.DUMMYFUNCTION("""COMPUTED_VALUE"""),0.5)</f>
        <v>0.5</v>
      </c>
      <c r="V209" s="25">
        <f ca="1">IFERROR(__xludf.DUMMYFUNCTION("""COMPUTED_VALUE"""),0)</f>
        <v>0</v>
      </c>
      <c r="W209" s="4"/>
      <c r="X209" s="4" t="str">
        <f ca="1">IFERROR(__xludf.DUMMYFUNCTION("""COMPUTED_VALUE"""),"| 1 L NS % | 2 L PHP-CGM % | 3 P PRO @ | 5 L JAVA % | 6 L NS @ ")</f>
        <v xml:space="preserve">| 1 L NS % | 2 L PHP-CGM % | 3 P PRO @ | 5 L JAVA % | 6 L NS @ </v>
      </c>
      <c r="Y209" s="4" t="str">
        <f ca="1">IFERROR(__xludf.DUMMYFUNCTION("""COMPUTED_VALUE"""),"| 1 L CPT % | 5 L PHP-CGM % | 3 P Python % | 5 P JAVA % ")</f>
        <v xml:space="preserve">| 1 L CPT % | 5 L PHP-CGM % | 3 P Python % | 5 P JAVA % </v>
      </c>
      <c r="Z209" s="4" t="str">
        <f ca="1">IFERROR(__xludf.DUMMYFUNCTION("""COMPUTED_VALUE"""),"| 1 L CPT % | 2 L PHP-CGM % | 3 P Python % | 5 P PHP-CGM % ")</f>
        <v xml:space="preserve">| 1 L CPT % | 2 L PHP-CGM % | 3 P Python % | 5 P PHP-CGM % </v>
      </c>
      <c r="AA209" s="4" t="str">
        <f ca="1">IFERROR(__xludf.DUMMYFUNCTION("""COMPUTED_VALUE"""),"| 1 L NS % | 2 L JAVA % | 3 P CPT % | 5 P JAVA % ")</f>
        <v xml:space="preserve">| 1 L NS % | 2 L JAVA % | 3 P CPT % | 5 P JAVA % </v>
      </c>
      <c r="AB209" s="4" t="str">
        <f ca="1">IFERROR(__xludf.DUMMYFUNCTION("""COMPUTED_VALUE"""),"| 1 L CPT % | 2 L JAVA % | 3 P NS % ")</f>
        <v xml:space="preserve">| 1 L CPT % | 2 L JAVA % | 3 P NS % </v>
      </c>
      <c r="AC209" s="4" t="str">
        <f ca="1">IFERROR(__xludf.DUMMYFUNCTION("""COMPUTED_VALUE"""),"| 1 L NS @ | 2 L PHP-CGM @ | 3 P PRO % | 5 L JAVA % | 6 L NS % ")</f>
        <v xml:space="preserve">| 1 L NS @ | 2 L PHP-CGM @ | 3 P PRO % | 5 L JAVA % | 6 L NS % </v>
      </c>
      <c r="AD209" s="4" t="str">
        <f ca="1">IFERROR(__xludf.DUMMYFUNCTION("""COMPUTED_VALUE"""),"| 1 L CPT % | 2 L PHP-CGM % | 3 P Python % | 5 P JAVA % ")</f>
        <v xml:space="preserve">| 1 L CPT % | 2 L PHP-CGM % | 3 P Python % | 5 P JAVA % </v>
      </c>
      <c r="AE209" s="4" t="str">
        <f ca="1">IFERROR(__xludf.DUMMYFUNCTION("""COMPUTED_VALUE"""),"| 1 L CPT % | 3 P Python % | 5 P PHP-CGM % | 2 L PHP-CGM % ")</f>
        <v xml:space="preserve">| 1 L CPT % | 3 P Python % | 5 P PHP-CGM % | 2 L PHP-CGM % </v>
      </c>
      <c r="AF209" s="4" t="str">
        <f ca="1">IFERROR(__xludf.DUMMYFUNCTION("""COMPUTED_VALUE"""),"| 1 L NS % | 2 L CPT % | 3 P CPT % | 5 P JAVA @ ")</f>
        <v xml:space="preserve">| 1 L NS % | 2 L CPT % | 3 P CPT % | 5 P JAVA @ </v>
      </c>
      <c r="AG209" s="4" t="str">
        <f ca="1">IFERROR(__xludf.DUMMYFUNCTION("""COMPUTED_VALUE"""),"| 1 L CPT % | 2 L JAVA % | 3 P NS % ")</f>
        <v xml:space="preserve">| 1 L CPT % | 2 L JAVA % | 3 P NS % </v>
      </c>
      <c r="AH209" s="4" t="str">
        <f ca="1">IFERROR(__xludf.DUMMYFUNCTION("""COMPUTED_VALUE"""),"| 2 L JAVA % | 1 L NS % | 3 P CPT % | 5 P JAVA % ")</f>
        <v xml:space="preserve">| 2 L JAVA % | 1 L NS % | 3 P CPT % | 5 P JAVA % </v>
      </c>
      <c r="AI209" s="4" t="str">
        <f ca="1">IFERROR(__xludf.DUMMYFUNCTION("""COMPUTED_VALUE"""),"| 1 L CPT % | 2 L JAVA % | 3 P NS % ")</f>
        <v xml:space="preserve">| 1 L CPT % | 2 L JAVA % | 3 P NS % </v>
      </c>
      <c r="AJ209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09" s="4" t="str">
        <f ca="1">IFERROR(__xludf.DUMMYFUNCTION("""COMPUTED_VALUE"""),"| 1 L CPT % | 3 P Python % | 2 L PHP-CGM % | 5 P JAVA % ")</f>
        <v xml:space="preserve">| 1 L CPT % | 3 P Python % | 2 L PHP-CGM % | 5 P JAVA % </v>
      </c>
      <c r="AL209" s="4" t="str">
        <f ca="1">IFERROR(__xludf.DUMMYFUNCTION("""COMPUTED_VALUE"""),"| 1 L CPT % | 2 L PHP-CGM % | 3 P Python @ | 5 P PHP-CGM % ")</f>
        <v xml:space="preserve">| 1 L CPT % | 2 L PHP-CGM % | 3 P Python @ | 5 P PHP-CGM % </v>
      </c>
      <c r="AM209" s="4" t="str">
        <f ca="1">IFERROR(__xludf.DUMMYFUNCTION("""COMPUTED_VALUE"""),"| 2 L JAVA @ | 3 P CPT % | 5 P JAVA % | 1 L NS @ ")</f>
        <v xml:space="preserve">| 2 L JAVA @ | 3 P CPT % | 5 P JAVA % | 1 L NS @ </v>
      </c>
      <c r="AN209" s="4" t="str">
        <f ca="1">IFERROR(__xludf.DUMMYFUNCTION("""COMPUTED_VALUE"""),"| 1 L CPT % | 2 L JAVA % | 3 P NS % | 5 L INE @ ")</f>
        <v xml:space="preserve">| 1 L CPT % | 2 L JAVA % | 3 P NS % | 5 L INE @ </v>
      </c>
      <c r="AO209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209" s="4" t="str">
        <f ca="1">IFERROR(__xludf.DUMMYFUNCTION("""COMPUTED_VALUE"""),"| 1 L CPT % | 2 L PHP-CGM % | 3 P Python % | 5 P JAVA @ ")</f>
        <v xml:space="preserve">| 1 L CPT % | 2 L PHP-CGM % | 3 P Python % | 5 P JAVA @ </v>
      </c>
      <c r="AQ209" s="4" t="str">
        <f ca="1">IFERROR(__xludf.DUMMYFUNCTION("""COMPUTED_VALUE"""),"| 2 L PHP-CGM % | 3 P Python % | 5 P PHP-CGM % | 1 L NS % ")</f>
        <v xml:space="preserve">| 2 L PHP-CGM % | 3 P Python % | 5 P PHP-CGM % | 1 L NS % </v>
      </c>
      <c r="AR209" s="4" t="str">
        <f ca="1">IFERROR(__xludf.DUMMYFUNCTION("""COMPUTED_VALUE"""),"| 1 L CPT @ | 2 L JAVA @ | 3 P CPT % | 5 P JAVA % ")</f>
        <v xml:space="preserve">| 1 L CPT @ | 2 L JAVA @ | 3 P CPT % | 5 P JAVA % </v>
      </c>
      <c r="AS20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09" s="4" t="str">
        <f ca="1">IFERROR(__xludf.DUMMYFUNCTION("""COMPUTED_VALUE"""),"| 1 L CPT % | 2 L PHP-CGM % | 3 P Python % | 5 P JAVA @ ")</f>
        <v xml:space="preserve">| 1 L CPT % | 2 L PHP-CGM % | 3 P Python % | 5 P JAVA @ </v>
      </c>
      <c r="AU209" s="4" t="str">
        <f ca="1">IFERROR(__xludf.DUMMYFUNCTION("""COMPUTED_VALUE"""),"| 1 L NS @ | 2 L PHP-CGM @ | 3 P Python % | 5 P PHP-CGM % ")</f>
        <v xml:space="preserve">| 1 L NS @ | 2 L PHP-CGM @ | 3 P Python % | 5 P PHP-CGM % </v>
      </c>
      <c r="AV209" s="4" t="str">
        <f ca="1">IFERROR(__xludf.DUMMYFUNCTION("""COMPUTED_VALUE"""),"| 1 L CPT % | 2 L JAVA % | 5 P JAVA % | 3 P CPT % ")</f>
        <v xml:space="preserve">| 1 L CPT % | 2 L JAVA % | 5 P JAVA % | 3 P CPT % </v>
      </c>
      <c r="AW209" s="4" t="str">
        <f ca="1">IFERROR(__xludf.DUMMYFUNCTION("""COMPUTED_VALUE"""),"| 1 L CPT % | 2 L JAVA % | 3 P NS @ | 5 L INE % | 6 L INE % ")</f>
        <v xml:space="preserve">| 1 L CPT % | 2 L JAVA % | 3 P NS @ | 5 L INE % | 6 L INE % </v>
      </c>
      <c r="AX209" s="4" t="str">
        <f ca="1">IFERROR(__xludf.DUMMYFUNCTION("""COMPUTED_VALUE"""),"| 1 L NS @ | 2 L PHP-CGM @ | 3 P PRO % | 5 L NS % | 5 L JAVA % ")</f>
        <v xml:space="preserve">| 1 L NS @ | 2 L PHP-CGM @ | 3 P PRO % | 5 L NS % | 5 L JAVA % </v>
      </c>
      <c r="AY209" s="4" t="str">
        <f ca="1">IFERROR(__xludf.DUMMYFUNCTION("""COMPUTED_VALUE"""),"| 1 L CPT % | 2 L PHP-CGM % | 3 P Python % | 5 P JAVA % ")</f>
        <v xml:space="preserve">| 1 L CPT % | 2 L PHP-CGM % | 3 P Python % | 5 P JAVA % </v>
      </c>
      <c r="AZ209" s="4" t="str">
        <f ca="1">IFERROR(__xludf.DUMMYFUNCTION("""COMPUTED_VALUE"""),"| 1 L CPT % | 2 L JAVA % | 3 P CPT @ | 5 P JAVA % ")</f>
        <v xml:space="preserve">| 1 L CPT % | 2 L JAVA % | 3 P CPT @ | 5 P JAVA % </v>
      </c>
      <c r="BA209" s="4" t="str">
        <f ca="1">IFERROR(__xludf.DUMMYFUNCTION("""COMPUTED_VALUE"""),"| 1 L CPT % | 2 L JAVA % | 3 P NS % | 5 L INE @ ")</f>
        <v xml:space="preserve">| 1 L CPT % | 2 L JAVA % | 3 P NS % | 5 L INE @ </v>
      </c>
      <c r="BB209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09" s="4" t="str">
        <f ca="1">IFERROR(__xludf.DUMMYFUNCTION("""COMPUTED_VALUE"""),"| 1 L CPT % | 2 L PHP-CGM % | 3 P Python @ | 5 P JAVA % ")</f>
        <v xml:space="preserve">| 1 L CPT % | 2 L PHP-CGM % | 3 P Python @ | 5 P JAVA % </v>
      </c>
      <c r="BD209" s="4" t="str">
        <f ca="1">IFERROR(__xludf.DUMMYFUNCTION("""COMPUTED_VALUE"""),"| 1 L NS % | 2 L PHP-CGM % | 3 P Python % | 5 P PHP-CGM % ")</f>
        <v xml:space="preserve">| 1 L NS % | 2 L PHP-CGM % | 3 P Python % | 5 P PHP-CGM % </v>
      </c>
      <c r="BE209" s="4" t="str">
        <f ca="1">IFERROR(__xludf.DUMMYFUNCTION("""COMPUTED_VALUE"""),"| 1 L CPT % | 2 L JAVA % | 3 P CPT @ | 5 P JAVA % ")</f>
        <v xml:space="preserve">| 1 L CPT % | 2 L JAVA % | 3 P CPT @ | 5 P JAVA % </v>
      </c>
      <c r="BF209" s="4" t="str">
        <f ca="1">IFERROR(__xludf.DUMMYFUNCTION("""COMPUTED_VALUE"""),"| 1 L CPT % | 2 L JAVA % | 3 P NS % ")</f>
        <v xml:space="preserve">| 1 L CPT % | 2 L JAVA % | 3 P NS % </v>
      </c>
      <c r="BG209" s="4" t="str">
        <f ca="1">IFERROR(__xludf.DUMMYFUNCTION("""COMPUTED_VALUE"""),"| 2 L PHP-CGM @ | 1 L CPT @ | 3 P Python % | 5 P JAVA % ")</f>
        <v xml:space="preserve">| 2 L PHP-CGM @ | 1 L CPT @ | 3 P Python % | 5 P JAVA % </v>
      </c>
      <c r="BH209" s="4" t="str">
        <f ca="1">IFERROR(__xludf.DUMMYFUNCTION("""COMPUTED_VALUE"""),"| 1 L NS % | 2 L PHP-CGM % | 3 P Python % | 5 P PHP-CGM % ")</f>
        <v xml:space="preserve">| 1 L NS % | 2 L PHP-CGM % | 3 P Python % | 5 P PHP-CGM % </v>
      </c>
      <c r="BI209" s="4" t="str">
        <f ca="1">IFERROR(__xludf.DUMMYFUNCTION("""COMPUTED_VALUE"""),"| 1 L CPT % | 2 L JAVA % | 3 P CPT % | 5 P JAVA @ ")</f>
        <v xml:space="preserve">| 1 L CPT % | 2 L JAVA % | 3 P CPT % | 5 P JAVA @ </v>
      </c>
      <c r="BJ209" s="4" t="str">
        <f ca="1">IFERROR(__xludf.DUMMYFUNCTION("""COMPUTED_VALUE"""),"| 1 L CPT % | 2 L JAVA % | 3 P NS @ | 5 L INE % ")</f>
        <v xml:space="preserve">| 1 L CPT % | 2 L JAVA % | 3 P NS @ | 5 L INE % </v>
      </c>
      <c r="BK209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BL209" s="4" t="str">
        <f ca="1">IFERROR(__xludf.DUMMYFUNCTION("""COMPUTED_VALUE"""),"| 1 L CPT @ | 2 L PHP-CGM @ | 3 P Python % | 5 P JAVA % ")</f>
        <v xml:space="preserve">| 1 L CPT @ | 2 L PHP-CGM @ | 3 P Python % | 5 P JAVA % </v>
      </c>
      <c r="BM209" s="4" t="str">
        <f ca="1">IFERROR(__xludf.DUMMYFUNCTION("""COMPUTED_VALUE"""),"| 1 L NS @ | 2 L PHP-CGM @ | 3 P Python @ ")</f>
        <v xml:space="preserve">| 1 L NS @ | 2 L PHP-CGM @ | 3 P Python @ </v>
      </c>
      <c r="BN209" s="4" t="str">
        <f ca="1">IFERROR(__xludf.DUMMYFUNCTION("""COMPUTED_VALUE"""),"| 2 L JAVA @ | 1 L CPT @ | 3 P CPT @ | 5 P JAVA @ ")</f>
        <v xml:space="preserve">| 2 L JAVA @ | 1 L CPT @ | 3 P CPT @ | 5 P JAVA @ </v>
      </c>
      <c r="BO209" s="4" t="str">
        <f ca="1">IFERROR(__xludf.DUMMYFUNCTION("""COMPUTED_VALUE"""),"| 2 L JAVA @ | 1 L CPT @ | 3 P NS @ | 5 L INE @ ")</f>
        <v xml:space="preserve">| 2 L JAVA @ | 1 L CPT @ | 3 P NS @ | 5 L INE @ </v>
      </c>
      <c r="BP209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BQ209" s="4"/>
      <c r="BR209" s="4"/>
      <c r="BS209" s="4"/>
      <c r="BT209" s="4" t="str">
        <f ca="1">IFERROR(__xludf.DUMMYFUNCTION("""COMPUTED_VALUE"""),"| 1 L NS @ | 2 L PHP-CGM @ | 3 P PRO @ ")</f>
        <v xml:space="preserve">| 1 L NS @ | 2 L PHP-CGM @ | 3 P PRO @ </v>
      </c>
      <c r="BU209" s="4" t="str">
        <f ca="1">IFERROR(__xludf.DUMMYFUNCTION("""COMPUTED_VALUE"""),"| 1 L CPT @ | 3 P Python @ ")</f>
        <v xml:space="preserve">| 1 L CPT @ | 3 P Python @ </v>
      </c>
      <c r="BV209" s="4" t="str">
        <f ca="1">IFERROR(__xludf.DUMMYFUNCTION("""COMPUTED_VALUE"""),"| 1 L NS @ | 2 L PHP-CGM @ | 3 P PRO @ | 6 L JAVA @ ")</f>
        <v xml:space="preserve">| 1 L NS @ | 2 L PHP-CGM @ | 3 P PRO @ | 6 L JAVA @ </v>
      </c>
      <c r="BW209" s="4" t="str">
        <f ca="1">IFERROR(__xludf.DUMMYFUNCTION("""COMPUTED_VALUE"""),"| 1 L CPT @ | 2 L PHP-CGM @ | 3 P Python @ ")</f>
        <v xml:space="preserve">| 1 L CPT @ | 2 L PHP-CGM @ | 3 P Python @ </v>
      </c>
      <c r="BX209" s="4" t="str">
        <f ca="1">IFERROR(__xludf.DUMMYFUNCTION("""COMPUTED_VALUE"""),"| 1 L NS @ | 2 L PHP-CGM @ | 3 P Python @ | 5 P PHP-CGM @ ")</f>
        <v xml:space="preserve">| 1 L NS @ | 2 L PHP-CGM @ | 3 P Python @ | 5 P PHP-CGM @ </v>
      </c>
      <c r="BY209" s="4" t="str">
        <f ca="1">IFERROR(__xludf.DUMMYFUNCTION("""COMPUTED_VALUE"""),"| 1 L CPT @ | 2 L JAVA @ | 3 P CPT @ | 5 P JAVA @ ")</f>
        <v xml:space="preserve">| 1 L CPT @ | 2 L JAVA @ | 3 P CPT @ | 5 P JAVA @ </v>
      </c>
      <c r="BZ209" s="4" t="str">
        <f ca="1">IFERROR(__xludf.DUMMYFUNCTION("""COMPUTED_VALUE"""),"| 1 L CPT @ | 2 L JAVA @ | 3 P NS @ | 5 L INE @ ")</f>
        <v xml:space="preserve">| 1 L CPT @ | 2 L JAVA @ | 3 P NS @ | 5 L INE @ </v>
      </c>
      <c r="CA209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209" s="4" t="str">
        <f ca="1">IFERROR(__xludf.DUMMYFUNCTION("""COMPUTED_VALUE"""),"| 2 L PHP-CGM @ | 3 P Python @ | 5 P JAVA @ | 1 L CPT @ ")</f>
        <v xml:space="preserve">| 2 L PHP-CGM @ | 3 P Python @ | 5 P JAVA @ | 1 L CPT @ </v>
      </c>
      <c r="CC209" s="4" t="str">
        <f ca="1">IFERROR(__xludf.DUMMYFUNCTION("""COMPUTED_VALUE"""),"| 1 L NS @ | 2 L PHP-CGM @ | 3 P Python @ | 5 P PHP-CGM @ ")</f>
        <v xml:space="preserve">| 1 L NS @ | 2 L PHP-CGM @ | 3 P Python @ | 5 P PHP-CGM @ </v>
      </c>
      <c r="CD209" s="4" t="str">
        <f ca="1">IFERROR(__xludf.DUMMYFUNCTION("""COMPUTED_VALUE"""),"| 1 L CPT @ | 2 L JAVA @ | 3 P CPT @ | 5 P JAVA @ ")</f>
        <v xml:space="preserve">| 1 L CPT @ | 2 L JAVA @ | 3 P CPT @ | 5 P JAVA @ </v>
      </c>
      <c r="CE209" s="4" t="str">
        <f ca="1">IFERROR(__xludf.DUMMYFUNCTION("""COMPUTED_VALUE"""),"| 1 L CPT @ | 2 L JAVA @ | 3 P NS @ | 5 L INE % ")</f>
        <v xml:space="preserve">| 1 L CPT @ | 2 L JAVA @ | 3 P NS @ | 5 L INE % </v>
      </c>
      <c r="CF209" s="4" t="str">
        <f ca="1">IFERROR(__xludf.DUMMYFUNCTION("""COMPUTED_VALUE"""),"| 1 L NS @ | 2 L PHP-CGM @ | 5 L NS % | 6 L JAVA % ")</f>
        <v xml:space="preserve">| 1 L NS @ | 2 L PHP-CGM @ | 5 L NS % | 6 L JAVA % </v>
      </c>
      <c r="CG209" s="4" t="str">
        <f ca="1">IFERROR(__xludf.DUMMYFUNCTION("""COMPUTED_VALUE"""),"| 1 L CPT @ | 2 L PHP-CGM @ | 3 P Python % | 5 P JAVA % ")</f>
        <v xml:space="preserve">| 1 L CPT @ | 2 L PHP-CGM @ | 3 P Python % | 5 P JAVA % </v>
      </c>
      <c r="CH209" s="4" t="str">
        <f ca="1">IFERROR(__xludf.DUMMYFUNCTION("""COMPUTED_VALUE"""),"| 1 L NS @ | 2 L PHP-CGM @ | 3 P Python % | 5 P PHP-CGM % ")</f>
        <v xml:space="preserve">| 1 L NS @ | 2 L PHP-CGM @ | 3 P Python % | 5 P PHP-CGM % </v>
      </c>
      <c r="CI209" s="4" t="str">
        <f ca="1">IFERROR(__xludf.DUMMYFUNCTION("""COMPUTED_VALUE"""),"| 1 L CPT @ | 2 L JAVA @ ")</f>
        <v xml:space="preserve">| 1 L CPT @ | 2 L JAVA @ </v>
      </c>
      <c r="CJ209" s="4" t="str">
        <f ca="1">IFERROR(__xludf.DUMMYFUNCTION("""COMPUTED_VALUE"""),"| 1 L CPT % | 3 P NS % ")</f>
        <v xml:space="preserve">| 1 L CPT % | 3 P NS % </v>
      </c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</row>
    <row r="210" spans="1:102" ht="12.5" x14ac:dyDescent="0.25">
      <c r="A210" s="3">
        <f ca="1">IFERROR(__xludf.DUMMYFUNCTION("""COMPUTED_VALUE"""),2)</f>
        <v>2</v>
      </c>
      <c r="B210" s="3" t="str">
        <f ca="1">IFERROR(__xludf.DUMMYFUNCTION("""COMPUTED_VALUE"""),"C")</f>
        <v>C</v>
      </c>
      <c r="C210" s="32" t="str">
        <f ca="1">IFERROR(__xludf.DUMMYFUNCTION("""COMPUTED_VALUE"""),"23171341101")</f>
        <v>23171341101</v>
      </c>
      <c r="D210" s="4" t="str">
        <f ca="1">IFERROR(__xludf.DUMMYFUNCTION("""COMPUTED_VALUE"""),"PATEL KUSH NILESH")</f>
        <v>PATEL KUSH NILESH</v>
      </c>
      <c r="E210" s="3" t="str">
        <f ca="1">IFERROR(__xludf.DUMMYFUNCTION("""COMPUTED_VALUE"""),"PKN/PAP-Mor")</f>
        <v>PKN/PAP-Mor</v>
      </c>
      <c r="F210" s="3">
        <f ca="1">IFERROR(__xludf.DUMMYFUNCTION("""COMPUTED_VALUE"""),9427528387)</f>
        <v>9427528387</v>
      </c>
      <c r="G210" s="3">
        <f ca="1">IFERROR(__xludf.DUMMYFUNCTION("""COMPUTED_VALUE"""),9725642919)</f>
        <v>9725642919</v>
      </c>
      <c r="H210" s="33">
        <f ca="1">IFERROR(__xludf.DUMMYFUNCTION("""COMPUTED_VALUE"""),0.853658536585365)</f>
        <v>0.85365853658536495</v>
      </c>
      <c r="I210" s="25">
        <f ca="1">IFERROR(__xludf.DUMMYFUNCTION("""COMPUTED_VALUE"""),0.842105263157894)</f>
        <v>0.84210526315789402</v>
      </c>
      <c r="J210" s="25">
        <f ca="1">IFERROR(__xludf.DUMMYFUNCTION("""COMPUTED_VALUE"""),0.833333333333333)</f>
        <v>0.83333333333333304</v>
      </c>
      <c r="K210" s="25">
        <f ca="1">IFERROR(__xludf.DUMMYFUNCTION("""COMPUTED_VALUE"""),0.888888888888888)</f>
        <v>0.88888888888888795</v>
      </c>
      <c r="L210" s="25">
        <f ca="1">IFERROR(__xludf.DUMMYFUNCTION("""COMPUTED_VALUE"""),0.75)</f>
        <v>0.75</v>
      </c>
      <c r="M210" s="25">
        <f ca="1">IFERROR(__xludf.DUMMYFUNCTION("""COMPUTED_VALUE"""),0.888888888888888)</f>
        <v>0.88888888888888795</v>
      </c>
      <c r="N210" s="25">
        <f ca="1">IFERROR(__xludf.DUMMYFUNCTION("""COMPUTED_VALUE"""),0.9)</f>
        <v>0.9</v>
      </c>
      <c r="O210" s="25">
        <f ca="1">IFERROR(__xludf.DUMMYFUNCTION("""COMPUTED_VALUE"""),0.828571428571428)</f>
        <v>0.82857142857142796</v>
      </c>
      <c r="P210" s="25">
        <f ca="1">IFERROR(__xludf.DUMMYFUNCTION("""COMPUTED_VALUE"""),0.869565217391304)</f>
        <v>0.86956521739130399</v>
      </c>
      <c r="Q210" s="25">
        <f ca="1">IFERROR(__xludf.DUMMYFUNCTION("""COMPUTED_VALUE"""),0)</f>
        <v>0</v>
      </c>
      <c r="R210" s="25">
        <f ca="1">IFERROR(__xludf.DUMMYFUNCTION("""COMPUTED_VALUE"""),0.875)</f>
        <v>0.875</v>
      </c>
      <c r="S210" s="25">
        <f ca="1">IFERROR(__xludf.DUMMYFUNCTION("""COMPUTED_VALUE"""),0)</f>
        <v>0</v>
      </c>
      <c r="T210" s="25">
        <f ca="1">IFERROR(__xludf.DUMMYFUNCTION("""COMPUTED_VALUE"""),1)</f>
        <v>1</v>
      </c>
      <c r="U210" s="25">
        <f ca="1">IFERROR(__xludf.DUMMYFUNCTION("""COMPUTED_VALUE"""),0.5)</f>
        <v>0.5</v>
      </c>
      <c r="V210" s="25">
        <f ca="1">IFERROR(__xludf.DUMMYFUNCTION("""COMPUTED_VALUE"""),0)</f>
        <v>0</v>
      </c>
      <c r="W210" s="4"/>
      <c r="X21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210" s="4" t="str">
        <f ca="1">IFERROR(__xludf.DUMMYFUNCTION("""COMPUTED_VALUE"""),"| 1 L CPT % | 5 L PHP-CGM % | 3 P Python % | 5 P JAVA % ")</f>
        <v xml:space="preserve">| 1 L CPT % | 5 L PHP-CGM % | 3 P Python % | 5 P JAVA % </v>
      </c>
      <c r="Z210" s="4" t="str">
        <f ca="1">IFERROR(__xludf.DUMMYFUNCTION("""COMPUTED_VALUE"""),"| 1 L CPT % | 2 L PHP-CGM % | 3 P Python % | 5 P PHP-CGM % ")</f>
        <v xml:space="preserve">| 1 L CPT % | 2 L PHP-CGM % | 3 P Python % | 5 P PHP-CGM % </v>
      </c>
      <c r="AA210" s="4" t="str">
        <f ca="1">IFERROR(__xludf.DUMMYFUNCTION("""COMPUTED_VALUE"""),"| 1 L NS % | 2 L JAVA % | 3 P CPT % | 5 P JAVA % ")</f>
        <v xml:space="preserve">| 1 L NS % | 2 L JAVA % | 3 P CPT % | 5 P JAVA % </v>
      </c>
      <c r="AB210" s="4" t="str">
        <f ca="1">IFERROR(__xludf.DUMMYFUNCTION("""COMPUTED_VALUE"""),"| 1 L CPT % | 2 L JAVA % | 3 P NS % ")</f>
        <v xml:space="preserve">| 1 L CPT % | 2 L JAVA % | 3 P NS % </v>
      </c>
      <c r="AC21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10" s="4" t="str">
        <f ca="1">IFERROR(__xludf.DUMMYFUNCTION("""COMPUTED_VALUE"""),"| 1 L CPT % | 2 L PHP-CGM % | 3 P Python % | 5 P JAVA % ")</f>
        <v xml:space="preserve">| 1 L CPT % | 2 L PHP-CGM % | 3 P Python % | 5 P JAVA % </v>
      </c>
      <c r="AE210" s="4" t="str">
        <f ca="1">IFERROR(__xludf.DUMMYFUNCTION("""COMPUTED_VALUE"""),"| 1 L CPT % | 3 P Python % | 5 P PHP-CGM % | 2 L PHP-CGM % ")</f>
        <v xml:space="preserve">| 1 L CPT % | 3 P Python % | 5 P PHP-CGM % | 2 L PHP-CGM % </v>
      </c>
      <c r="AF210" s="4" t="str">
        <f ca="1">IFERROR(__xludf.DUMMYFUNCTION("""COMPUTED_VALUE"""),"| 1 L NS % | 2 L CPT % | 3 P CPT % | 5 P JAVA % ")</f>
        <v xml:space="preserve">| 1 L NS % | 2 L CPT % | 3 P CPT % | 5 P JAVA % </v>
      </c>
      <c r="AG210" s="4" t="str">
        <f ca="1">IFERROR(__xludf.DUMMYFUNCTION("""COMPUTED_VALUE"""),"| 1 L CPT % | 2 L JAVA % | 3 P NS % ")</f>
        <v xml:space="preserve">| 1 L CPT % | 2 L JAVA % | 3 P NS % </v>
      </c>
      <c r="AH210" s="4" t="str">
        <f ca="1">IFERROR(__xludf.DUMMYFUNCTION("""COMPUTED_VALUE"""),"| 2 L JAVA % | 1 L NS % | 3 P CPT % | 5 P JAVA % ")</f>
        <v xml:space="preserve">| 2 L JAVA % | 1 L NS % | 3 P CPT % | 5 P JAVA % </v>
      </c>
      <c r="AI210" s="4" t="str">
        <f ca="1">IFERROR(__xludf.DUMMYFUNCTION("""COMPUTED_VALUE"""),"| 1 L CPT % | 2 L JAVA % | 3 P NS % ")</f>
        <v xml:space="preserve">| 1 L CPT % | 2 L JAVA % | 3 P NS % </v>
      </c>
      <c r="AJ210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10" s="4" t="str">
        <f ca="1">IFERROR(__xludf.DUMMYFUNCTION("""COMPUTED_VALUE"""),"| 1 L CPT % | 3 P Python % | 2 L PHP-CGM % | 5 P JAVA % ")</f>
        <v xml:space="preserve">| 1 L CPT % | 3 P Python % | 2 L PHP-CGM % | 5 P JAVA % </v>
      </c>
      <c r="AL210" s="4" t="str">
        <f ca="1">IFERROR(__xludf.DUMMYFUNCTION("""COMPUTED_VALUE"""),"| 1 L CPT % | 2 L PHP-CGM % | 3 P Python % | 5 P PHP-CGM % ")</f>
        <v xml:space="preserve">| 1 L CPT % | 2 L PHP-CGM % | 3 P Python % | 5 P PHP-CGM % </v>
      </c>
      <c r="AM210" s="4" t="str">
        <f ca="1">IFERROR(__xludf.DUMMYFUNCTION("""COMPUTED_VALUE"""),"| 2 L JAVA % | 3 P CPT % | 5 P JAVA % | 1 L NS % ")</f>
        <v xml:space="preserve">| 2 L JAVA % | 3 P CPT % | 5 P JAVA % | 1 L NS % </v>
      </c>
      <c r="AN210" s="4" t="str">
        <f ca="1">IFERROR(__xludf.DUMMYFUNCTION("""COMPUTED_VALUE"""),"| 1 L CPT % | 2 L JAVA % | 3 P NS % | 5 L INE % ")</f>
        <v xml:space="preserve">| 1 L CPT % | 2 L JAVA % | 3 P NS % | 5 L INE % </v>
      </c>
      <c r="AO210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10" s="4" t="str">
        <f ca="1">IFERROR(__xludf.DUMMYFUNCTION("""COMPUTED_VALUE"""),"| 1 L CPT % | 2 L PHP-CGM % | 3 P Python % | 5 P JAVA % ")</f>
        <v xml:space="preserve">| 1 L CPT % | 2 L PHP-CGM % | 3 P Python % | 5 P JAVA % </v>
      </c>
      <c r="AQ210" s="4" t="str">
        <f ca="1">IFERROR(__xludf.DUMMYFUNCTION("""COMPUTED_VALUE"""),"| 2 L PHP-CGM % | 3 P Python % | 5 P PHP-CGM % | 1 L NS % ")</f>
        <v xml:space="preserve">| 2 L PHP-CGM % | 3 P Python % | 5 P PHP-CGM % | 1 L NS % </v>
      </c>
      <c r="AR210" s="4" t="str">
        <f ca="1">IFERROR(__xludf.DUMMYFUNCTION("""COMPUTED_VALUE"""),"| 1 L CPT % | 2 L JAVA % | 3 P CPT % | 5 P JAVA % ")</f>
        <v xml:space="preserve">| 1 L CPT % | 2 L JAVA % | 3 P CPT % | 5 P JAVA % </v>
      </c>
      <c r="AS21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10" s="4" t="str">
        <f ca="1">IFERROR(__xludf.DUMMYFUNCTION("""COMPUTED_VALUE"""),"| 1 L CPT % | 2 L PHP-CGM % | 3 P Python % | 5 P JAVA % ")</f>
        <v xml:space="preserve">| 1 L CPT % | 2 L PHP-CGM % | 3 P Python % | 5 P JAVA % </v>
      </c>
      <c r="AU210" s="4" t="str">
        <f ca="1">IFERROR(__xludf.DUMMYFUNCTION("""COMPUTED_VALUE"""),"| 1 L NS % | 2 L PHP-CGM % | 3 P Python % | 5 P PHP-CGM % ")</f>
        <v xml:space="preserve">| 1 L NS % | 2 L PHP-CGM % | 3 P Python % | 5 P PHP-CGM % </v>
      </c>
      <c r="AV210" s="4" t="str">
        <f ca="1">IFERROR(__xludf.DUMMYFUNCTION("""COMPUTED_VALUE"""),"| 1 L CPT % | 2 L JAVA % | 5 P JAVA % | 3 P CPT % ")</f>
        <v xml:space="preserve">| 1 L CPT % | 2 L JAVA % | 5 P JAVA % | 3 P CPT % </v>
      </c>
      <c r="AW210" s="4" t="str">
        <f ca="1">IFERROR(__xludf.DUMMYFUNCTION("""COMPUTED_VALUE"""),"| 1 L CPT % | 2 L JAVA % | 3 P NS % | 5 L INE % | 6 L INE % ")</f>
        <v xml:space="preserve">| 1 L CPT % | 2 L JAVA % | 3 P NS % | 5 L INE % | 6 L INE % </v>
      </c>
      <c r="AX210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210" s="4" t="str">
        <f ca="1">IFERROR(__xludf.DUMMYFUNCTION("""COMPUTED_VALUE"""),"| 1 L CPT % | 2 L PHP-CGM % | 3 P Python % | 5 P JAVA % ")</f>
        <v xml:space="preserve">| 1 L CPT % | 2 L PHP-CGM % | 3 P Python % | 5 P JAVA % </v>
      </c>
      <c r="AZ210" s="4" t="str">
        <f ca="1">IFERROR(__xludf.DUMMYFUNCTION("""COMPUTED_VALUE"""),"| 1 L CPT % | 2 L JAVA % | 3 P CPT % | 5 P JAVA % ")</f>
        <v xml:space="preserve">| 1 L CPT % | 2 L JAVA % | 3 P CPT % | 5 P JAVA % </v>
      </c>
      <c r="BA210" s="4" t="str">
        <f ca="1">IFERROR(__xludf.DUMMYFUNCTION("""COMPUTED_VALUE"""),"| 1 L CPT % | 2 L JAVA % | 3 P NS % | 5 L INE @ ")</f>
        <v xml:space="preserve">| 1 L CPT % | 2 L JAVA % | 3 P NS % | 5 L INE @ </v>
      </c>
      <c r="BB21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10" s="4" t="str">
        <f ca="1">IFERROR(__xludf.DUMMYFUNCTION("""COMPUTED_VALUE"""),"| 1 L CPT % | 2 L PHP-CGM % | 3 P Python % | 5 P JAVA % ")</f>
        <v xml:space="preserve">| 1 L CPT % | 2 L PHP-CGM % | 3 P Python % | 5 P JAVA % </v>
      </c>
      <c r="BD210" s="4" t="str">
        <f ca="1">IFERROR(__xludf.DUMMYFUNCTION("""COMPUTED_VALUE"""),"| 1 L NS % | 2 L PHP-CGM % | 3 P Python % | 5 P PHP-CGM % ")</f>
        <v xml:space="preserve">| 1 L NS % | 2 L PHP-CGM % | 3 P Python % | 5 P PHP-CGM % </v>
      </c>
      <c r="BE210" s="4" t="str">
        <f ca="1">IFERROR(__xludf.DUMMYFUNCTION("""COMPUTED_VALUE"""),"| 1 L CPT % | 2 L JAVA % | 3 P CPT % | 5 P JAVA % ")</f>
        <v xml:space="preserve">| 1 L CPT % | 2 L JAVA % | 3 P CPT % | 5 P JAVA % </v>
      </c>
      <c r="BF210" s="4" t="str">
        <f ca="1">IFERROR(__xludf.DUMMYFUNCTION("""COMPUTED_VALUE"""),"| 1 L CPT % | 2 L JAVA % | 3 P NS % ")</f>
        <v xml:space="preserve">| 1 L CPT % | 2 L JAVA % | 3 P NS % </v>
      </c>
      <c r="BG210" s="4" t="str">
        <f ca="1">IFERROR(__xludf.DUMMYFUNCTION("""COMPUTED_VALUE"""),"| 2 L PHP-CGM % | 1 L CPT % | 3 P Python % | 5 P JAVA % ")</f>
        <v xml:space="preserve">| 2 L PHP-CGM % | 1 L CPT % | 3 P Python % | 5 P JAVA % </v>
      </c>
      <c r="BH210" s="4" t="str">
        <f ca="1">IFERROR(__xludf.DUMMYFUNCTION("""COMPUTED_VALUE"""),"| 1 L NS % | 2 L PHP-CGM % | 3 P Python % | 5 P PHP-CGM % ")</f>
        <v xml:space="preserve">| 1 L NS % | 2 L PHP-CGM % | 3 P Python % | 5 P PHP-CGM % </v>
      </c>
      <c r="BI210" s="4" t="str">
        <f ca="1">IFERROR(__xludf.DUMMYFUNCTION("""COMPUTED_VALUE"""),"| 1 L CPT % | 2 L JAVA % | 3 P CPT % | 5 P JAVA % ")</f>
        <v xml:space="preserve">| 1 L CPT % | 2 L JAVA % | 3 P CPT % | 5 P JAVA % </v>
      </c>
      <c r="BJ210" s="4" t="str">
        <f ca="1">IFERROR(__xludf.DUMMYFUNCTION("""COMPUTED_VALUE"""),"| 1 L CPT @ | 2 L JAVA @ | 3 P NS @ | 5 L INE @ ")</f>
        <v xml:space="preserve">| 1 L CPT @ | 2 L JAVA @ | 3 P NS @ | 5 L INE @ </v>
      </c>
      <c r="BK21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210" s="4" t="str">
        <f ca="1">IFERROR(__xludf.DUMMYFUNCTION("""COMPUTED_VALUE"""),"| 1 L CPT % | 2 L PHP-CGM % | 3 P Python % | 5 P JAVA % ")</f>
        <v xml:space="preserve">| 1 L CPT % | 2 L PHP-CGM % | 3 P Python % | 5 P JAVA % </v>
      </c>
      <c r="BM210" s="4" t="str">
        <f ca="1">IFERROR(__xludf.DUMMYFUNCTION("""COMPUTED_VALUE"""),"| 1 L NS % | 2 L PHP-CGM % | 3 P Python @ ")</f>
        <v xml:space="preserve">| 1 L NS % | 2 L PHP-CGM % | 3 P Python @ </v>
      </c>
      <c r="BN210" s="4" t="str">
        <f ca="1">IFERROR(__xludf.DUMMYFUNCTION("""COMPUTED_VALUE"""),"| 2 L JAVA @ | 1 L CPT @ | 3 P CPT @ | 5 P JAVA @ ")</f>
        <v xml:space="preserve">| 2 L JAVA @ | 1 L CPT @ | 3 P CPT @ | 5 P JAVA @ </v>
      </c>
      <c r="BO210" s="4" t="str">
        <f ca="1">IFERROR(__xludf.DUMMYFUNCTION("""COMPUTED_VALUE"""),"| 2 L JAVA @ | 1 L CPT @ | 3 P NS @ | 5 L INE @ ")</f>
        <v xml:space="preserve">| 2 L JAVA @ | 1 L CPT @ | 3 P NS @ | 5 L INE @ </v>
      </c>
      <c r="BP21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10" s="4"/>
      <c r="BR210" s="4"/>
      <c r="BS210" s="4"/>
      <c r="BT210" s="4" t="str">
        <f ca="1">IFERROR(__xludf.DUMMYFUNCTION("""COMPUTED_VALUE"""),"| 1 L NS % | 2 L PHP-CGM % | 3 P PRO % ")</f>
        <v xml:space="preserve">| 1 L NS % | 2 L PHP-CGM % | 3 P PRO % </v>
      </c>
      <c r="BU210" s="4" t="str">
        <f ca="1">IFERROR(__xludf.DUMMYFUNCTION("""COMPUTED_VALUE"""),"| 1 L CPT % | 3 P Python % ")</f>
        <v xml:space="preserve">| 1 L CPT % | 3 P Python % </v>
      </c>
      <c r="BV210" s="4" t="str">
        <f ca="1">IFERROR(__xludf.DUMMYFUNCTION("""COMPUTED_VALUE"""),"| 1 L NS % | 2 L PHP-CGM % | 3 P PRO % | 6 L JAVA % ")</f>
        <v xml:space="preserve">| 1 L NS % | 2 L PHP-CGM % | 3 P PRO % | 6 L JAVA % </v>
      </c>
      <c r="BW210" s="4" t="str">
        <f ca="1">IFERROR(__xludf.DUMMYFUNCTION("""COMPUTED_VALUE"""),"| 1 L CPT % | 2 L PHP-CGM % | 3 P Python % ")</f>
        <v xml:space="preserve">| 1 L CPT % | 2 L PHP-CGM % | 3 P Python % </v>
      </c>
      <c r="BX210" s="4" t="str">
        <f ca="1">IFERROR(__xludf.DUMMYFUNCTION("""COMPUTED_VALUE"""),"| 1 L NS @ | 2 L PHP-CGM @ | 3 P Python @ | 5 P PHP-CGM @ ")</f>
        <v xml:space="preserve">| 1 L NS @ | 2 L PHP-CGM @ | 3 P Python @ | 5 P PHP-CGM @ </v>
      </c>
      <c r="BY210" s="4" t="str">
        <f ca="1">IFERROR(__xludf.DUMMYFUNCTION("""COMPUTED_VALUE"""),"| 1 L CPT @ | 2 L JAVA @ | 3 P CPT @ | 5 P JAVA @ ")</f>
        <v xml:space="preserve">| 1 L CPT @ | 2 L JAVA @ | 3 P CPT @ | 5 P JAVA @ </v>
      </c>
      <c r="BZ210" s="4" t="str">
        <f ca="1">IFERROR(__xludf.DUMMYFUNCTION("""COMPUTED_VALUE"""),"| 1 L CPT % | 2 L JAVA % | 3 P NS % | 5 L INE @ ")</f>
        <v xml:space="preserve">| 1 L CPT % | 2 L JAVA % | 3 P NS % | 5 L INE @ </v>
      </c>
      <c r="CA210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210" s="4" t="str">
        <f ca="1">IFERROR(__xludf.DUMMYFUNCTION("""COMPUTED_VALUE"""),"| 2 L PHP-CGM @ | 3 P Python @ | 5 P JAVA @ | 1 L CPT @ ")</f>
        <v xml:space="preserve">| 2 L PHP-CGM @ | 3 P Python @ | 5 P JAVA @ | 1 L CPT @ </v>
      </c>
      <c r="CC210" s="4" t="str">
        <f ca="1">IFERROR(__xludf.DUMMYFUNCTION("""COMPUTED_VALUE"""),"| 1 L NS % | 2 L PHP-CGM % | 3 P Python % | 5 P PHP-CGM % ")</f>
        <v xml:space="preserve">| 1 L NS % | 2 L PHP-CGM % | 3 P Python % | 5 P PHP-CGM % </v>
      </c>
      <c r="CD210" s="4" t="str">
        <f ca="1">IFERROR(__xludf.DUMMYFUNCTION("""COMPUTED_VALUE"""),"| 1 L CPT % | 2 L JAVA @ | 3 P CPT % | 5 P JAVA % ")</f>
        <v xml:space="preserve">| 1 L CPT % | 2 L JAVA @ | 3 P CPT % | 5 P JAVA % </v>
      </c>
      <c r="CE210" s="4" t="str">
        <f ca="1">IFERROR(__xludf.DUMMYFUNCTION("""COMPUTED_VALUE"""),"| 1 L CPT % | 2 L JAVA % | 3 P NS % | 5 L INE % ")</f>
        <v xml:space="preserve">| 1 L CPT % | 2 L JAVA % | 3 P NS % | 5 L INE % </v>
      </c>
      <c r="CF210" s="4" t="str">
        <f ca="1">IFERROR(__xludf.DUMMYFUNCTION("""COMPUTED_VALUE"""),"| 1 L NS @ | 2 L PHP-CGM @ | 5 L NS @ | 6 L JAVA @ ")</f>
        <v xml:space="preserve">| 1 L NS @ | 2 L PHP-CGM @ | 5 L NS @ | 6 L JAVA @ </v>
      </c>
      <c r="CG210" s="4" t="str">
        <f ca="1">IFERROR(__xludf.DUMMYFUNCTION("""COMPUTED_VALUE"""),"| 1 L CPT % | 2 L PHP-CGM % | 3 P Python % | 5 P JAVA % ")</f>
        <v xml:space="preserve">| 1 L CPT % | 2 L PHP-CGM % | 3 P Python % | 5 P JAVA % </v>
      </c>
      <c r="CH210" s="4" t="str">
        <f ca="1">IFERROR(__xludf.DUMMYFUNCTION("""COMPUTED_VALUE"""),"| 1 L NS @ | 2 L PHP-CGM @ | 3 P Python % | 5 P PHP-CGM % ")</f>
        <v xml:space="preserve">| 1 L NS @ | 2 L PHP-CGM @ | 3 P Python % | 5 P PHP-CGM % </v>
      </c>
      <c r="CI210" s="4" t="str">
        <f ca="1">IFERROR(__xludf.DUMMYFUNCTION("""COMPUTED_VALUE"""),"| 1 L CPT % | 2 L JAVA % ")</f>
        <v xml:space="preserve">| 1 L CPT % | 2 L JAVA % </v>
      </c>
      <c r="CJ210" s="4" t="str">
        <f ca="1">IFERROR(__xludf.DUMMYFUNCTION("""COMPUTED_VALUE"""),"| 1 L CPT @ | 3 P NS @ ")</f>
        <v xml:space="preserve">| 1 L CPT @ | 3 P NS @ </v>
      </c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</row>
    <row r="211" spans="1:102" ht="12.5" x14ac:dyDescent="0.25">
      <c r="A211" s="3">
        <f ca="1">IFERROR(__xludf.DUMMYFUNCTION("""COMPUTED_VALUE"""),2)</f>
        <v>2</v>
      </c>
      <c r="B211" s="3" t="str">
        <f ca="1">IFERROR(__xludf.DUMMYFUNCTION("""COMPUTED_VALUE"""),"C")</f>
        <v>C</v>
      </c>
      <c r="C211" s="32" t="str">
        <f ca="1">IFERROR(__xludf.DUMMYFUNCTION("""COMPUTED_VALUE"""),"23171341103")</f>
        <v>23171341103</v>
      </c>
      <c r="D211" s="4" t="str">
        <f ca="1">IFERROR(__xludf.DUMMYFUNCTION("""COMPUTED_VALUE"""),"PATEL MAHIR SANJAYKUMAR")</f>
        <v>PATEL MAHIR SANJAYKUMAR</v>
      </c>
      <c r="E211" s="3" t="str">
        <f ca="1">IFERROR(__xludf.DUMMYFUNCTION("""COMPUTED_VALUE"""),"PKN/PAP-Mor")</f>
        <v>PKN/PAP-Mor</v>
      </c>
      <c r="F211" s="3">
        <f ca="1">IFERROR(__xludf.DUMMYFUNCTION("""COMPUTED_VALUE"""),9104820061)</f>
        <v>9104820061</v>
      </c>
      <c r="G211" s="3">
        <f ca="1">IFERROR(__xludf.DUMMYFUNCTION("""COMPUTED_VALUE"""),7284830061)</f>
        <v>7284830061</v>
      </c>
      <c r="H211" s="33">
        <f ca="1">IFERROR(__xludf.DUMMYFUNCTION("""COMPUTED_VALUE"""),0.654471544715447)</f>
        <v>0.654471544715447</v>
      </c>
      <c r="I211" s="25">
        <f ca="1">IFERROR(__xludf.DUMMYFUNCTION("""COMPUTED_VALUE"""),0.710526315789473)</f>
        <v>0.71052631578947301</v>
      </c>
      <c r="J211" s="25">
        <f ca="1">IFERROR(__xludf.DUMMYFUNCTION("""COMPUTED_VALUE"""),0.583333333333333)</f>
        <v>0.58333333333333304</v>
      </c>
      <c r="K211" s="25">
        <f ca="1">IFERROR(__xludf.DUMMYFUNCTION("""COMPUTED_VALUE"""),0.611111111111111)</f>
        <v>0.61111111111111105</v>
      </c>
      <c r="L211" s="25">
        <f ca="1">IFERROR(__xludf.DUMMYFUNCTION("""COMPUTED_VALUE"""),0.75)</f>
        <v>0.75</v>
      </c>
      <c r="M211" s="25">
        <f ca="1">IFERROR(__xludf.DUMMYFUNCTION("""COMPUTED_VALUE"""),0.805555555555555)</f>
        <v>0.80555555555555503</v>
      </c>
      <c r="N211" s="25">
        <f ca="1">IFERROR(__xludf.DUMMYFUNCTION("""COMPUTED_VALUE"""),0.6)</f>
        <v>0.6</v>
      </c>
      <c r="O211" s="25">
        <f ca="1">IFERROR(__xludf.DUMMYFUNCTION("""COMPUTED_VALUE"""),0.628571428571428)</f>
        <v>0.628571428571428</v>
      </c>
      <c r="P211" s="25">
        <f ca="1">IFERROR(__xludf.DUMMYFUNCTION("""COMPUTED_VALUE"""),0.521739130434782)</f>
        <v>0.52173913043478204</v>
      </c>
      <c r="Q211" s="25">
        <f ca="1">IFERROR(__xludf.DUMMYFUNCTION("""COMPUTED_VALUE"""),0)</f>
        <v>0</v>
      </c>
      <c r="R211" s="25">
        <f ca="1">IFERROR(__xludf.DUMMYFUNCTION("""COMPUTED_VALUE"""),0.666666666666666)</f>
        <v>0.66666666666666596</v>
      </c>
      <c r="S211" s="25">
        <f ca="1">IFERROR(__xludf.DUMMYFUNCTION("""COMPUTED_VALUE"""),0)</f>
        <v>0</v>
      </c>
      <c r="T211" s="25">
        <f ca="1">IFERROR(__xludf.DUMMYFUNCTION("""COMPUTED_VALUE"""),0.833333333333333)</f>
        <v>0.83333333333333304</v>
      </c>
      <c r="U211" s="25">
        <f ca="1">IFERROR(__xludf.DUMMYFUNCTION("""COMPUTED_VALUE"""),0.125)</f>
        <v>0.125</v>
      </c>
      <c r="V211" s="25">
        <f ca="1">IFERROR(__xludf.DUMMYFUNCTION("""COMPUTED_VALUE"""),0)</f>
        <v>0</v>
      </c>
      <c r="W211" s="4"/>
      <c r="X211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Y211" s="4" t="str">
        <f ca="1">IFERROR(__xludf.DUMMYFUNCTION("""COMPUTED_VALUE"""),"| 1 L CPT % | 5 L PHP-CGM % | 3 P Python % | 5 P JAVA @ ")</f>
        <v xml:space="preserve">| 1 L CPT % | 5 L PHP-CGM % | 3 P Python % | 5 P JAVA @ </v>
      </c>
      <c r="Z211" s="4" t="str">
        <f ca="1">IFERROR(__xludf.DUMMYFUNCTION("""COMPUTED_VALUE"""),"| 1 L CPT % | 2 L PHP-CGM % | 3 P Python % | 5 P PHP-CGM % ")</f>
        <v xml:space="preserve">| 1 L CPT % | 2 L PHP-CGM % | 3 P Python % | 5 P PHP-CGM % </v>
      </c>
      <c r="AA211" s="4" t="str">
        <f ca="1">IFERROR(__xludf.DUMMYFUNCTION("""COMPUTED_VALUE"""),"| 1 L NS % | 2 L JAVA % | 3 P CPT % | 5 P JAVA @ ")</f>
        <v xml:space="preserve">| 1 L NS % | 2 L JAVA % | 3 P CPT % | 5 P JAVA @ </v>
      </c>
      <c r="AB211" s="4" t="str">
        <f ca="1">IFERROR(__xludf.DUMMYFUNCTION("""COMPUTED_VALUE"""),"| 1 L CPT % | 2 L JAVA % | 3 P NS % ")</f>
        <v xml:space="preserve">| 1 L CPT % | 2 L JAVA % | 3 P NS % </v>
      </c>
      <c r="AC211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11" s="4" t="str">
        <f ca="1">IFERROR(__xludf.DUMMYFUNCTION("""COMPUTED_VALUE"""),"| 1 L CPT % | 2 L PHP-CGM % | 3 P Python @ | 5 P JAVA @ ")</f>
        <v xml:space="preserve">| 1 L CPT % | 2 L PHP-CGM % | 3 P Python @ | 5 P JAVA @ </v>
      </c>
      <c r="AE211" s="4" t="str">
        <f ca="1">IFERROR(__xludf.DUMMYFUNCTION("""COMPUTED_VALUE"""),"| 1 L CPT % | 3 P Python % | 5 P PHP-CGM % | 2 L PHP-CGM % ")</f>
        <v xml:space="preserve">| 1 L CPT % | 3 P Python % | 5 P PHP-CGM % | 2 L PHP-CGM % </v>
      </c>
      <c r="AF211" s="4" t="str">
        <f ca="1">IFERROR(__xludf.DUMMYFUNCTION("""COMPUTED_VALUE"""),"| 1 L NS % | 2 L CPT % | 3 P CPT % | 5 P JAVA % ")</f>
        <v xml:space="preserve">| 1 L NS % | 2 L CPT % | 3 P CPT % | 5 P JAVA % </v>
      </c>
      <c r="AG211" s="4" t="str">
        <f ca="1">IFERROR(__xludf.DUMMYFUNCTION("""COMPUTED_VALUE"""),"| 1 L CPT % | 2 L JAVA % | 3 P NS % ")</f>
        <v xml:space="preserve">| 1 L CPT % | 2 L JAVA % | 3 P NS % </v>
      </c>
      <c r="AH211" s="4" t="str">
        <f ca="1">IFERROR(__xludf.DUMMYFUNCTION("""COMPUTED_VALUE"""),"| 2 L JAVA % | 1 L NS % | 3 P CPT % | 5 P JAVA @ ")</f>
        <v xml:space="preserve">| 2 L JAVA % | 1 L NS % | 3 P CPT % | 5 P JAVA @ </v>
      </c>
      <c r="AI211" s="4" t="str">
        <f ca="1">IFERROR(__xludf.DUMMYFUNCTION("""COMPUTED_VALUE"""),"| 1 L CPT % | 2 L JAVA % | 3 P NS % ")</f>
        <v xml:space="preserve">| 1 L CPT % | 2 L JAVA % | 3 P NS % </v>
      </c>
      <c r="AJ211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11" s="4" t="str">
        <f ca="1">IFERROR(__xludf.DUMMYFUNCTION("""COMPUTED_VALUE"""),"| 1 L CPT % | 3 P Python % | 2 L PHP-CGM % | 5 P JAVA % ")</f>
        <v xml:space="preserve">| 1 L CPT % | 3 P Python % | 2 L PHP-CGM % | 5 P JAVA % </v>
      </c>
      <c r="AL211" s="4" t="str">
        <f ca="1">IFERROR(__xludf.DUMMYFUNCTION("""COMPUTED_VALUE"""),"| 1 L CPT % | 2 L PHP-CGM % | 3 P Python % | 5 P PHP-CGM % ")</f>
        <v xml:space="preserve">| 1 L CPT % | 2 L PHP-CGM % | 3 P Python % | 5 P PHP-CGM % </v>
      </c>
      <c r="AM211" s="4" t="str">
        <f ca="1">IFERROR(__xludf.DUMMYFUNCTION("""COMPUTED_VALUE"""),"| 2 L JAVA % | 3 P CPT % | 5 P JAVA @ | 1 L NS % ")</f>
        <v xml:space="preserve">| 2 L JAVA % | 3 P CPT % | 5 P JAVA @ | 1 L NS % </v>
      </c>
      <c r="AN211" s="4" t="str">
        <f ca="1">IFERROR(__xludf.DUMMYFUNCTION("""COMPUTED_VALUE"""),"| 1 L CPT % | 2 L JAVA % | 3 P NS % | 5 L INE @ ")</f>
        <v xml:space="preserve">| 1 L CPT % | 2 L JAVA % | 3 P NS % | 5 L INE @ </v>
      </c>
      <c r="AO211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11" s="4" t="str">
        <f ca="1">IFERROR(__xludf.DUMMYFUNCTION("""COMPUTED_VALUE"""),"| 1 L CPT % | 2 L PHP-CGM % | 3 P Python % | 5 P JAVA % ")</f>
        <v xml:space="preserve">| 1 L CPT % | 2 L PHP-CGM % | 3 P Python % | 5 P JAVA % </v>
      </c>
      <c r="AQ211" s="4" t="str">
        <f ca="1">IFERROR(__xludf.DUMMYFUNCTION("""COMPUTED_VALUE"""),"| 2 L PHP-CGM % | 3 P Python @ | 5 P PHP-CGM @ | 1 L NS % ")</f>
        <v xml:space="preserve">| 2 L PHP-CGM % | 3 P Python @ | 5 P PHP-CGM @ | 1 L NS % </v>
      </c>
      <c r="AR211" s="4" t="str">
        <f ca="1">IFERROR(__xludf.DUMMYFUNCTION("""COMPUTED_VALUE"""),"| 1 L CPT @ | 2 L JAVA @ | 3 P CPT @ | 5 P JAVA @ ")</f>
        <v xml:space="preserve">| 1 L CPT @ | 2 L JAVA @ | 3 P CPT @ | 5 P JAVA @ </v>
      </c>
      <c r="AS211" s="4" t="str">
        <f ca="1">IFERROR(__xludf.DUMMYFUNCTION("""COMPUTED_VALUE"""),"| 1 L NS @ | 2 L PHP-CGM % | 3 P PRO % | 5 L NS % | 6 L JAVA % ")</f>
        <v xml:space="preserve">| 1 L NS @ | 2 L PHP-CGM % | 3 P PRO % | 5 L NS % | 6 L JAVA % </v>
      </c>
      <c r="AT211" s="4" t="str">
        <f ca="1">IFERROR(__xludf.DUMMYFUNCTION("""COMPUTED_VALUE"""),"| 1 L CPT % | 2 L PHP-CGM % | 3 P Python % | 5 P JAVA % ")</f>
        <v xml:space="preserve">| 1 L CPT % | 2 L PHP-CGM % | 3 P Python % | 5 P JAVA % </v>
      </c>
      <c r="AU211" s="4" t="str">
        <f ca="1">IFERROR(__xludf.DUMMYFUNCTION("""COMPUTED_VALUE"""),"| 1 L NS % | 2 L PHP-CGM % | 3 P Python % | 5 P PHP-CGM % ")</f>
        <v xml:space="preserve">| 1 L NS % | 2 L PHP-CGM % | 3 P Python % | 5 P PHP-CGM % </v>
      </c>
      <c r="AV211" s="4" t="str">
        <f ca="1">IFERROR(__xludf.DUMMYFUNCTION("""COMPUTED_VALUE"""),"| 1 L CPT % | 2 L JAVA % | 5 P JAVA % | 3 P CPT % ")</f>
        <v xml:space="preserve">| 1 L CPT % | 2 L JAVA % | 5 P JAVA % | 3 P CPT % </v>
      </c>
      <c r="AW211" s="4" t="str">
        <f ca="1">IFERROR(__xludf.DUMMYFUNCTION("""COMPUTED_VALUE"""),"| 1 L CPT % | 2 L JAVA % | 3 P NS % | 5 L INE @ | 6 L INE @ ")</f>
        <v xml:space="preserve">| 1 L CPT % | 2 L JAVA % | 3 P NS % | 5 L INE @ | 6 L INE @ </v>
      </c>
      <c r="AX211" s="4" t="str">
        <f ca="1">IFERROR(__xludf.DUMMYFUNCTION("""COMPUTED_VALUE"""),"| 1 L NS @ | 2 L PHP-CGM % | 3 P PRO % | 5 L NS % | 5 L JAVA % ")</f>
        <v xml:space="preserve">| 1 L NS @ | 2 L PHP-CGM % | 3 P PRO % | 5 L NS % | 5 L JAVA % </v>
      </c>
      <c r="AY211" s="4" t="str">
        <f ca="1">IFERROR(__xludf.DUMMYFUNCTION("""COMPUTED_VALUE"""),"| 1 L CPT % | 2 L PHP-CGM % | 3 P Python @ | 5 P JAVA @ ")</f>
        <v xml:space="preserve">| 1 L CPT % | 2 L PHP-CGM % | 3 P Python @ | 5 P JAVA @ </v>
      </c>
      <c r="AZ211" s="4" t="str">
        <f ca="1">IFERROR(__xludf.DUMMYFUNCTION("""COMPUTED_VALUE"""),"| 1 L CPT % | 2 L JAVA % | 3 P CPT @ | 5 P JAVA % ")</f>
        <v xml:space="preserve">| 1 L CPT % | 2 L JAVA % | 3 P CPT @ | 5 P JAVA % </v>
      </c>
      <c r="BA211" s="4" t="str">
        <f ca="1">IFERROR(__xludf.DUMMYFUNCTION("""COMPUTED_VALUE"""),"| 1 L CPT @ | 2 L JAVA @ | 3 P NS @ | 5 L INE @ ")</f>
        <v xml:space="preserve">| 1 L CPT @ | 2 L JAVA @ | 3 P NS @ | 5 L INE @ </v>
      </c>
      <c r="BB211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C211" s="4" t="str">
        <f ca="1">IFERROR(__xludf.DUMMYFUNCTION("""COMPUTED_VALUE"""),"| 1 L CPT % | 2 L PHP-CGM % | 3 P Python % | 5 P JAVA % ")</f>
        <v xml:space="preserve">| 1 L CPT % | 2 L PHP-CGM % | 3 P Python % | 5 P JAVA % </v>
      </c>
      <c r="BD211" s="4" t="str">
        <f ca="1">IFERROR(__xludf.DUMMYFUNCTION("""COMPUTED_VALUE"""),"| 1 L NS % | 2 L PHP-CGM % | 3 P Python @ | 5 P PHP-CGM % ")</f>
        <v xml:space="preserve">| 1 L NS % | 2 L PHP-CGM % | 3 P Python @ | 5 P PHP-CGM % </v>
      </c>
      <c r="BE211" s="4" t="str">
        <f ca="1">IFERROR(__xludf.DUMMYFUNCTION("""COMPUTED_VALUE"""),"| 1 L CPT % | 2 L JAVA % | 3 P CPT @ | 5 P JAVA % ")</f>
        <v xml:space="preserve">| 1 L CPT % | 2 L JAVA % | 3 P CPT @ | 5 P JAVA % </v>
      </c>
      <c r="BF211" s="4" t="str">
        <f ca="1">IFERROR(__xludf.DUMMYFUNCTION("""COMPUTED_VALUE"""),"| 1 L CPT % | 2 L JAVA % | 3 P NS % ")</f>
        <v xml:space="preserve">| 1 L CPT % | 2 L JAVA % | 3 P NS % </v>
      </c>
      <c r="BG211" s="4" t="str">
        <f ca="1">IFERROR(__xludf.DUMMYFUNCTION("""COMPUTED_VALUE"""),"| 2 L PHP-CGM % | 1 L CPT % | 3 P Python % | 5 P JAVA % ")</f>
        <v xml:space="preserve">| 2 L PHP-CGM % | 1 L CPT % | 3 P Python % | 5 P JAVA % </v>
      </c>
      <c r="BH211" s="4" t="str">
        <f ca="1">IFERROR(__xludf.DUMMYFUNCTION("""COMPUTED_VALUE"""),"| 1 L NS @ | 2 L PHP-CGM % | 3 P Python @ | 5 P PHP-CGM @ ")</f>
        <v xml:space="preserve">| 1 L NS @ | 2 L PHP-CGM % | 3 P Python @ | 5 P PHP-CGM @ </v>
      </c>
      <c r="BI211" s="4" t="str">
        <f ca="1">IFERROR(__xludf.DUMMYFUNCTION("""COMPUTED_VALUE"""),"| 1 L CPT % | 2 L JAVA % | 3 P CPT % | 5 P JAVA @ ")</f>
        <v xml:space="preserve">| 1 L CPT % | 2 L JAVA % | 3 P CPT % | 5 P JAVA @ </v>
      </c>
      <c r="BJ211" s="4" t="str">
        <f ca="1">IFERROR(__xludf.DUMMYFUNCTION("""COMPUTED_VALUE"""),"| 1 L CPT % | 2 L JAVA % | 3 P NS @ | 5 L INE @ ")</f>
        <v xml:space="preserve">| 1 L CPT % | 2 L JAVA % | 3 P NS @ | 5 L INE @ </v>
      </c>
      <c r="BK211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BL211" s="4" t="str">
        <f ca="1">IFERROR(__xludf.DUMMYFUNCTION("""COMPUTED_VALUE"""),"| 1 L CPT % | 2 L PHP-CGM % | 3 P Python % | 5 P JAVA @ ")</f>
        <v xml:space="preserve">| 1 L CPT % | 2 L PHP-CGM % | 3 P Python % | 5 P JAVA @ </v>
      </c>
      <c r="BM211" s="4" t="str">
        <f ca="1">IFERROR(__xludf.DUMMYFUNCTION("""COMPUTED_VALUE"""),"| 1 L NS % | 2 L PHP-CGM % | 3 P Python @ ")</f>
        <v xml:space="preserve">| 1 L NS % | 2 L PHP-CGM % | 3 P Python @ </v>
      </c>
      <c r="BN211" s="4" t="str">
        <f ca="1">IFERROR(__xludf.DUMMYFUNCTION("""COMPUTED_VALUE"""),"| 2 L JAVA @ | 1 L CPT @ | 3 P CPT @ | 5 P JAVA @ ")</f>
        <v xml:space="preserve">| 2 L JAVA @ | 1 L CPT @ | 3 P CPT @ | 5 P JAVA @ </v>
      </c>
      <c r="BO211" s="4" t="str">
        <f ca="1">IFERROR(__xludf.DUMMYFUNCTION("""COMPUTED_VALUE"""),"| 2 L JAVA % | 1 L CPT @ | 3 P NS % | 5 L INE @ ")</f>
        <v xml:space="preserve">| 2 L JAVA % | 1 L CPT @ | 3 P NS % | 5 L INE @ </v>
      </c>
      <c r="BP211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Q211" s="4"/>
      <c r="BR211" s="4"/>
      <c r="BS211" s="4"/>
      <c r="BT211" s="4" t="str">
        <f ca="1">IFERROR(__xludf.DUMMYFUNCTION("""COMPUTED_VALUE"""),"| 1 L NS @ | 2 L PHP-CGM @ | 3 P PRO % ")</f>
        <v xml:space="preserve">| 1 L NS @ | 2 L PHP-CGM @ | 3 P PRO % </v>
      </c>
      <c r="BU211" s="4" t="str">
        <f ca="1">IFERROR(__xludf.DUMMYFUNCTION("""COMPUTED_VALUE"""),"| 1 L CPT @ | 3 P Python @ ")</f>
        <v xml:space="preserve">| 1 L CPT @ | 3 P Python @ </v>
      </c>
      <c r="BV211" s="4" t="str">
        <f ca="1">IFERROR(__xludf.DUMMYFUNCTION("""COMPUTED_VALUE"""),"| 1 L NS @ | 2 L PHP-CGM % | 3 P PRO @ | 6 L JAVA @ ")</f>
        <v xml:space="preserve">| 1 L NS @ | 2 L PHP-CGM % | 3 P PRO @ | 6 L JAVA @ </v>
      </c>
      <c r="BW211" s="4" t="str">
        <f ca="1">IFERROR(__xludf.DUMMYFUNCTION("""COMPUTED_VALUE"""),"| 1 L CPT % | 2 L PHP-CGM % | 3 P Python % ")</f>
        <v xml:space="preserve">| 1 L CPT % | 2 L PHP-CGM % | 3 P Python % </v>
      </c>
      <c r="BX211" s="4" t="str">
        <f ca="1">IFERROR(__xludf.DUMMYFUNCTION("""COMPUTED_VALUE"""),"| 1 L NS % | 2 L PHP-CGM % | 3 P Python % | 5 P PHP-CGM @ ")</f>
        <v xml:space="preserve">| 1 L NS % | 2 L PHP-CGM % | 3 P Python % | 5 P PHP-CGM @ </v>
      </c>
      <c r="BY211" s="4" t="str">
        <f ca="1">IFERROR(__xludf.DUMMYFUNCTION("""COMPUTED_VALUE"""),"| 1 L CPT % | 2 L JAVA % | 3 P CPT @ | 5 P JAVA @ ")</f>
        <v xml:space="preserve">| 1 L CPT % | 2 L JAVA % | 3 P CPT @ | 5 P JAVA @ </v>
      </c>
      <c r="BZ211" s="4" t="str">
        <f ca="1">IFERROR(__xludf.DUMMYFUNCTION("""COMPUTED_VALUE"""),"| 1 L CPT @ | 2 L JAVA @ | 3 P NS @ | 5 L INE @ ")</f>
        <v xml:space="preserve">| 1 L CPT @ | 2 L JAVA @ | 3 P NS @ | 5 L INE @ </v>
      </c>
      <c r="CA211" s="4" t="str">
        <f ca="1">IFERROR(__xludf.DUMMYFUNCTION("""COMPUTED_VALUE"""),"| 1 L NS @ | 2 L PHP-CGM @ | 3 P PRO % | 5 L NS @ | 6 L JAVA @ ")</f>
        <v xml:space="preserve">| 1 L NS @ | 2 L PHP-CGM @ | 3 P PRO % | 5 L NS @ | 6 L JAVA @ </v>
      </c>
      <c r="CB211" s="4" t="str">
        <f ca="1">IFERROR(__xludf.DUMMYFUNCTION("""COMPUTED_VALUE"""),"| 2 L PHP-CGM @ | 3 P Python @ | 5 P JAVA % | 1 L CPT @ ")</f>
        <v xml:space="preserve">| 2 L PHP-CGM @ | 3 P Python @ | 5 P JAVA % | 1 L CPT @ </v>
      </c>
      <c r="CC211" s="4" t="str">
        <f ca="1">IFERROR(__xludf.DUMMYFUNCTION("""COMPUTED_VALUE"""),"| 1 L NS @ | 2 L PHP-CGM @ | 3 P Python % | 5 P PHP-CGM @ ")</f>
        <v xml:space="preserve">| 1 L NS @ | 2 L PHP-CGM @ | 3 P Python % | 5 P PHP-CGM @ </v>
      </c>
      <c r="CD211" s="4" t="str">
        <f ca="1">IFERROR(__xludf.DUMMYFUNCTION("""COMPUTED_VALUE"""),"| 1 L CPT @ | 2 L JAVA @ | 3 P CPT % | 5 P JAVA % ")</f>
        <v xml:space="preserve">| 1 L CPT @ | 2 L JAVA @ | 3 P CPT % | 5 P JAVA % </v>
      </c>
      <c r="CE211" s="4" t="str">
        <f ca="1">IFERROR(__xludf.DUMMYFUNCTION("""COMPUTED_VALUE"""),"| 1 L CPT % | 2 L JAVA % | 3 P NS % | 5 L INE % ")</f>
        <v xml:space="preserve">| 1 L CPT % | 2 L JAVA % | 3 P NS % | 5 L INE % </v>
      </c>
      <c r="CF211" s="4" t="str">
        <f ca="1">IFERROR(__xludf.DUMMYFUNCTION("""COMPUTED_VALUE"""),"| 1 L NS % | 2 L PHP-CGM @ | 5 L NS @ | 6 L JAVA @ ")</f>
        <v xml:space="preserve">| 1 L NS % | 2 L PHP-CGM @ | 5 L NS @ | 6 L JAVA @ </v>
      </c>
      <c r="CG211" s="4" t="str">
        <f ca="1">IFERROR(__xludf.DUMMYFUNCTION("""COMPUTED_VALUE"""),"| 1 L CPT @ | 2 L PHP-CGM @ | 3 P Python % | 5 P JAVA % ")</f>
        <v xml:space="preserve">| 1 L CPT @ | 2 L PHP-CGM @ | 3 P Python % | 5 P JAVA % </v>
      </c>
      <c r="CH211" s="4" t="str">
        <f ca="1">IFERROR(__xludf.DUMMYFUNCTION("""COMPUTED_VALUE"""),"| 1 L NS @ | 2 L PHP-CGM @ | 3 P Python % | 5 P PHP-CGM % ")</f>
        <v xml:space="preserve">| 1 L NS @ | 2 L PHP-CGM @ | 3 P Python % | 5 P PHP-CGM % </v>
      </c>
      <c r="CI211" s="4" t="str">
        <f ca="1">IFERROR(__xludf.DUMMYFUNCTION("""COMPUTED_VALUE"""),"| 1 L CPT @ | 2 L JAVA @ ")</f>
        <v xml:space="preserve">| 1 L CPT @ | 2 L JAVA @ </v>
      </c>
      <c r="CJ211" s="4" t="str">
        <f ca="1">IFERROR(__xludf.DUMMYFUNCTION("""COMPUTED_VALUE"""),"| 1 L CPT @ | 3 P NS % ")</f>
        <v xml:space="preserve">| 1 L CPT @ | 3 P NS % </v>
      </c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</row>
    <row r="212" spans="1:102" ht="12.5" x14ac:dyDescent="0.25">
      <c r="A212" s="3">
        <f ca="1">IFERROR(__xludf.DUMMYFUNCTION("""COMPUTED_VALUE"""),2)</f>
        <v>2</v>
      </c>
      <c r="B212" s="3" t="str">
        <f ca="1">IFERROR(__xludf.DUMMYFUNCTION("""COMPUTED_VALUE"""),"C")</f>
        <v>C</v>
      </c>
      <c r="C212" s="32" t="str">
        <f ca="1">IFERROR(__xludf.DUMMYFUNCTION("""COMPUTED_VALUE"""),"23171341105")</f>
        <v>23171341105</v>
      </c>
      <c r="D212" s="4" t="str">
        <f ca="1">IFERROR(__xludf.DUMMYFUNCTION("""COMPUTED_VALUE"""),"PATEL MEETKUMAR VASANTKUMAR")</f>
        <v>PATEL MEETKUMAR VASANTKUMAR</v>
      </c>
      <c r="E212" s="3" t="str">
        <f ca="1">IFERROR(__xludf.DUMMYFUNCTION("""COMPUTED_VALUE"""),"PKN/PAP-Mor")</f>
        <v>PKN/PAP-Mor</v>
      </c>
      <c r="F212" s="3">
        <f ca="1">IFERROR(__xludf.DUMMYFUNCTION("""COMPUTED_VALUE"""),6352217551)</f>
        <v>6352217551</v>
      </c>
      <c r="G212" s="3" t="str">
        <f ca="1">IFERROR(__xludf.DUMMYFUNCTION("""COMPUTED_VALUE"""),"9265357593, 9913193073")</f>
        <v>9265357593, 9913193073</v>
      </c>
      <c r="H212" s="33">
        <f ca="1">IFERROR(__xludf.DUMMYFUNCTION("""COMPUTED_VALUE"""),0.849593495934959)</f>
        <v>0.84959349593495903</v>
      </c>
      <c r="I212" s="25">
        <f ca="1">IFERROR(__xludf.DUMMYFUNCTION("""COMPUTED_VALUE"""),0.894736842105263)</f>
        <v>0.89473684210526305</v>
      </c>
      <c r="J212" s="25">
        <f ca="1">IFERROR(__xludf.DUMMYFUNCTION("""COMPUTED_VALUE"""),1)</f>
        <v>1</v>
      </c>
      <c r="K212" s="25">
        <f ca="1">IFERROR(__xludf.DUMMYFUNCTION("""COMPUTED_VALUE"""),0.833333333333333)</f>
        <v>0.83333333333333304</v>
      </c>
      <c r="L212" s="25">
        <f ca="1">IFERROR(__xludf.DUMMYFUNCTION("""COMPUTED_VALUE"""),0.833333333333333)</f>
        <v>0.83333333333333304</v>
      </c>
      <c r="M212" s="25">
        <f ca="1">IFERROR(__xludf.DUMMYFUNCTION("""COMPUTED_VALUE"""),0.888888888888888)</f>
        <v>0.88888888888888795</v>
      </c>
      <c r="N212" s="25">
        <f ca="1">IFERROR(__xludf.DUMMYFUNCTION("""COMPUTED_VALUE"""),0.9)</f>
        <v>0.9</v>
      </c>
      <c r="O212" s="25">
        <f ca="1">IFERROR(__xludf.DUMMYFUNCTION("""COMPUTED_VALUE"""),0.8)</f>
        <v>0.8</v>
      </c>
      <c r="P212" s="25">
        <f ca="1">IFERROR(__xludf.DUMMYFUNCTION("""COMPUTED_VALUE"""),0.826086956521739)</f>
        <v>0.82608695652173902</v>
      </c>
      <c r="Q212" s="25">
        <f ca="1">IFERROR(__xludf.DUMMYFUNCTION("""COMPUTED_VALUE"""),0)</f>
        <v>0</v>
      </c>
      <c r="R212" s="25">
        <f ca="1">IFERROR(__xludf.DUMMYFUNCTION("""COMPUTED_VALUE"""),0.916666666666666)</f>
        <v>0.91666666666666596</v>
      </c>
      <c r="S212" s="25">
        <f ca="1">IFERROR(__xludf.DUMMYFUNCTION("""COMPUTED_VALUE"""),0)</f>
        <v>0</v>
      </c>
      <c r="T212" s="25">
        <f ca="1">IFERROR(__xludf.DUMMYFUNCTION("""COMPUTED_VALUE"""),0.833333333333333)</f>
        <v>0.83333333333333304</v>
      </c>
      <c r="U212" s="25">
        <f ca="1">IFERROR(__xludf.DUMMYFUNCTION("""COMPUTED_VALUE"""),0.375)</f>
        <v>0.375</v>
      </c>
      <c r="V212" s="25">
        <f ca="1">IFERROR(__xludf.DUMMYFUNCTION("""COMPUTED_VALUE"""),0)</f>
        <v>0</v>
      </c>
      <c r="W212" s="4"/>
      <c r="X212" s="4" t="str">
        <f ca="1">IFERROR(__xludf.DUMMYFUNCTION("""COMPUTED_VALUE"""),"| 1 L NS % | 2 L PHP-CGM % | 3 P PRO @ | 5 L JAVA @ | 6 L NS % ")</f>
        <v xml:space="preserve">| 1 L NS % | 2 L PHP-CGM % | 3 P PRO @ | 5 L JAVA @ | 6 L NS % </v>
      </c>
      <c r="Y212" s="4" t="str">
        <f ca="1">IFERROR(__xludf.DUMMYFUNCTION("""COMPUTED_VALUE"""),"| 1 L CPT % | 5 L PHP-CGM @ | 3 P Python @ | 5 P JAVA @ ")</f>
        <v xml:space="preserve">| 1 L CPT % | 5 L PHP-CGM @ | 3 P Python @ | 5 P JAVA @ </v>
      </c>
      <c r="Z212" s="4" t="str">
        <f ca="1">IFERROR(__xludf.DUMMYFUNCTION("""COMPUTED_VALUE"""),"| 1 L CPT % | 2 L PHP-CGM % | 3 P Python % | 5 P PHP-CGM % ")</f>
        <v xml:space="preserve">| 1 L CPT % | 2 L PHP-CGM % | 3 P Python % | 5 P PHP-CGM % </v>
      </c>
      <c r="AA212" s="4" t="str">
        <f ca="1">IFERROR(__xludf.DUMMYFUNCTION("""COMPUTED_VALUE"""),"| 1 L NS % | 2 L JAVA % | 3 P CPT % | 5 P JAVA % ")</f>
        <v xml:space="preserve">| 1 L NS % | 2 L JAVA % | 3 P CPT % | 5 P JAVA % </v>
      </c>
      <c r="AB212" s="4" t="str">
        <f ca="1">IFERROR(__xludf.DUMMYFUNCTION("""COMPUTED_VALUE"""),"| 1 L CPT % | 2 L JAVA % | 3 P NS % ")</f>
        <v xml:space="preserve">| 1 L CPT % | 2 L JAVA % | 3 P NS % </v>
      </c>
      <c r="AC212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12" s="4" t="str">
        <f ca="1">IFERROR(__xludf.DUMMYFUNCTION("""COMPUTED_VALUE"""),"| 1 L CPT % | 2 L PHP-CGM % | 3 P Python % | 5 P JAVA % ")</f>
        <v xml:space="preserve">| 1 L CPT % | 2 L PHP-CGM % | 3 P Python % | 5 P JAVA % </v>
      </c>
      <c r="AE212" s="4" t="str">
        <f ca="1">IFERROR(__xludf.DUMMYFUNCTION("""COMPUTED_VALUE"""),"| 1 L CPT % | 3 P Python % | 5 P PHP-CGM % | 2 L PHP-CGM % ")</f>
        <v xml:space="preserve">| 1 L CPT % | 3 P Python % | 5 P PHP-CGM % | 2 L PHP-CGM % </v>
      </c>
      <c r="AF212" s="4" t="str">
        <f ca="1">IFERROR(__xludf.DUMMYFUNCTION("""COMPUTED_VALUE"""),"| 1 L NS % | 2 L CPT % | 3 P CPT % | 5 P JAVA % ")</f>
        <v xml:space="preserve">| 1 L NS % | 2 L CPT % | 3 P CPT % | 5 P JAVA % </v>
      </c>
      <c r="AG212" s="4" t="str">
        <f ca="1">IFERROR(__xludf.DUMMYFUNCTION("""COMPUTED_VALUE"""),"| 1 L CPT % | 2 L JAVA % | 3 P NS % ")</f>
        <v xml:space="preserve">| 1 L CPT % | 2 L JAVA % | 3 P NS % </v>
      </c>
      <c r="AH212" s="4" t="str">
        <f ca="1">IFERROR(__xludf.DUMMYFUNCTION("""COMPUTED_VALUE"""),"| 2 L JAVA % | 1 L NS % | 3 P CPT % | 5 P JAVA % ")</f>
        <v xml:space="preserve">| 2 L JAVA % | 1 L NS % | 3 P CPT % | 5 P JAVA % </v>
      </c>
      <c r="AI212" s="4" t="str">
        <f ca="1">IFERROR(__xludf.DUMMYFUNCTION("""COMPUTED_VALUE"""),"| 1 L CPT % | 2 L JAVA % | 3 P NS % ")</f>
        <v xml:space="preserve">| 1 L CPT % | 2 L JAVA % | 3 P NS % </v>
      </c>
      <c r="AJ212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12" s="4" t="str">
        <f ca="1">IFERROR(__xludf.DUMMYFUNCTION("""COMPUTED_VALUE"""),"| 1 L CPT % | 3 P Python % | 2 L PHP-CGM % | 5 P JAVA % ")</f>
        <v xml:space="preserve">| 1 L CPT % | 3 P Python % | 2 L PHP-CGM % | 5 P JAVA % </v>
      </c>
      <c r="AL212" s="4" t="str">
        <f ca="1">IFERROR(__xludf.DUMMYFUNCTION("""COMPUTED_VALUE"""),"| 1 L CPT % | 2 L PHP-CGM % | 3 P Python % | 5 P PHP-CGM % ")</f>
        <v xml:space="preserve">| 1 L CPT % | 2 L PHP-CGM % | 3 P Python % | 5 P PHP-CGM % </v>
      </c>
      <c r="AM212" s="4" t="str">
        <f ca="1">IFERROR(__xludf.DUMMYFUNCTION("""COMPUTED_VALUE"""),"| 2 L JAVA % | 3 P CPT % | 5 P JAVA % | 1 L NS % ")</f>
        <v xml:space="preserve">| 2 L JAVA % | 3 P CPT % | 5 P JAVA % | 1 L NS % </v>
      </c>
      <c r="AN212" s="4" t="str">
        <f ca="1">IFERROR(__xludf.DUMMYFUNCTION("""COMPUTED_VALUE"""),"| 1 L CPT % | 2 L JAVA % | 3 P NS % | 5 L INE @ ")</f>
        <v xml:space="preserve">| 1 L CPT % | 2 L JAVA % | 3 P NS % | 5 L INE @ </v>
      </c>
      <c r="AO212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12" s="4" t="str">
        <f ca="1">IFERROR(__xludf.DUMMYFUNCTION("""COMPUTED_VALUE"""),"| 1 L CPT % | 2 L PHP-CGM % | 3 P Python % | 5 P JAVA % ")</f>
        <v xml:space="preserve">| 1 L CPT % | 2 L PHP-CGM % | 3 P Python % | 5 P JAVA % </v>
      </c>
      <c r="AQ212" s="4" t="str">
        <f ca="1">IFERROR(__xludf.DUMMYFUNCTION("""COMPUTED_VALUE"""),"| 2 L PHP-CGM % | 3 P Python % | 5 P PHP-CGM % | 1 L NS % ")</f>
        <v xml:space="preserve">| 2 L PHP-CGM % | 3 P Python % | 5 P PHP-CGM % | 1 L NS % </v>
      </c>
      <c r="AR212" s="4" t="str">
        <f ca="1">IFERROR(__xludf.DUMMYFUNCTION("""COMPUTED_VALUE"""),"| 1 L CPT % | 2 L JAVA % | 3 P CPT % | 5 P JAVA % ")</f>
        <v xml:space="preserve">| 1 L CPT % | 2 L JAVA % | 3 P CPT % | 5 P JAVA % </v>
      </c>
      <c r="AS21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12" s="4" t="str">
        <f ca="1">IFERROR(__xludf.DUMMYFUNCTION("""COMPUTED_VALUE"""),"| 1 L CPT % | 2 L PHP-CGM % | 3 P Python % | 5 P JAVA % ")</f>
        <v xml:space="preserve">| 1 L CPT % | 2 L PHP-CGM % | 3 P Python % | 5 P JAVA % </v>
      </c>
      <c r="AU212" s="4" t="str">
        <f ca="1">IFERROR(__xludf.DUMMYFUNCTION("""COMPUTED_VALUE"""),"| 1 L NS % | 2 L PHP-CGM % | 3 P Python % | 5 P PHP-CGM % ")</f>
        <v xml:space="preserve">| 1 L NS % | 2 L PHP-CGM % | 3 P Python % | 5 P PHP-CGM % </v>
      </c>
      <c r="AV212" s="4" t="str">
        <f ca="1">IFERROR(__xludf.DUMMYFUNCTION("""COMPUTED_VALUE"""),"| 1 L CPT % | 2 L JAVA % | 5 P JAVA % | 3 P CPT % ")</f>
        <v xml:space="preserve">| 1 L CPT % | 2 L JAVA % | 5 P JAVA % | 3 P CPT % </v>
      </c>
      <c r="AW212" s="4" t="str">
        <f ca="1">IFERROR(__xludf.DUMMYFUNCTION("""COMPUTED_VALUE"""),"| 1 L CPT % | 2 L JAVA % | 3 P NS % | 5 L INE @ | 6 L INE @ ")</f>
        <v xml:space="preserve">| 1 L CPT % | 2 L JAVA % | 3 P NS % | 5 L INE @ | 6 L INE @ </v>
      </c>
      <c r="AX212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212" s="4" t="str">
        <f ca="1">IFERROR(__xludf.DUMMYFUNCTION("""COMPUTED_VALUE"""),"| 1 L CPT % | 2 L PHP-CGM % | 3 P Python % | 5 P JAVA % ")</f>
        <v xml:space="preserve">| 1 L CPT % | 2 L PHP-CGM % | 3 P Python % | 5 P JAVA % </v>
      </c>
      <c r="AZ212" s="4" t="str">
        <f ca="1">IFERROR(__xludf.DUMMYFUNCTION("""COMPUTED_VALUE"""),"| 1 L CPT % | 2 L JAVA @ | 3 P CPT % | 5 P JAVA @ ")</f>
        <v xml:space="preserve">| 1 L CPT % | 2 L JAVA @ | 3 P CPT % | 5 P JAVA @ </v>
      </c>
      <c r="BA212" s="4" t="str">
        <f ca="1">IFERROR(__xludf.DUMMYFUNCTION("""COMPUTED_VALUE"""),"| 1 L CPT @ | 2 L JAVA @ | 3 P NS % | 5 L INE @ ")</f>
        <v xml:space="preserve">| 1 L CPT @ | 2 L JAVA @ | 3 P NS % | 5 L INE @ </v>
      </c>
      <c r="BB212" s="4" t="str">
        <f ca="1">IFERROR(__xludf.DUMMYFUNCTION("""COMPUTED_VALUE"""),"| 1 L NS % | 2 L PHP-CGM % | 3 P PRO % | 5 L NS @ | 6 L JAVA % ")</f>
        <v xml:space="preserve">| 1 L NS % | 2 L PHP-CGM % | 3 P PRO % | 5 L NS @ | 6 L JAVA % </v>
      </c>
      <c r="BC212" s="4" t="str">
        <f ca="1">IFERROR(__xludf.DUMMYFUNCTION("""COMPUTED_VALUE"""),"| 1 L CPT % | 2 L PHP-CGM % | 3 P Python % | 5 P JAVA % ")</f>
        <v xml:space="preserve">| 1 L CPT % | 2 L PHP-CGM % | 3 P Python % | 5 P JAVA % </v>
      </c>
      <c r="BD212" s="4" t="str">
        <f ca="1">IFERROR(__xludf.DUMMYFUNCTION("""COMPUTED_VALUE"""),"| 1 L NS % | 2 L PHP-CGM % | 3 P Python % | 5 P PHP-CGM % ")</f>
        <v xml:space="preserve">| 1 L NS % | 2 L PHP-CGM % | 3 P Python % | 5 P PHP-CGM % </v>
      </c>
      <c r="BE212" s="4" t="str">
        <f ca="1">IFERROR(__xludf.DUMMYFUNCTION("""COMPUTED_VALUE"""),"| 1 L CPT % | 2 L JAVA % | 3 P CPT % | 5 P JAVA @ ")</f>
        <v xml:space="preserve">| 1 L CPT % | 2 L JAVA % | 3 P CPT % | 5 P JAVA @ </v>
      </c>
      <c r="BF212" s="4" t="str">
        <f ca="1">IFERROR(__xludf.DUMMYFUNCTION("""COMPUTED_VALUE"""),"| 1 L CPT % | 2 L JAVA % | 3 P NS @ ")</f>
        <v xml:space="preserve">| 1 L CPT % | 2 L JAVA % | 3 P NS @ </v>
      </c>
      <c r="BG212" s="4" t="str">
        <f ca="1">IFERROR(__xludf.DUMMYFUNCTION("""COMPUTED_VALUE"""),"| 2 L PHP-CGM % | 1 L CPT % | 3 P Python % | 5 P JAVA % ")</f>
        <v xml:space="preserve">| 2 L PHP-CGM % | 1 L CPT % | 3 P Python % | 5 P JAVA % </v>
      </c>
      <c r="BH212" s="4" t="str">
        <f ca="1">IFERROR(__xludf.DUMMYFUNCTION("""COMPUTED_VALUE"""),"| 1 L NS @ | 2 L PHP-CGM % | 3 P Python % | 5 P PHP-CGM % ")</f>
        <v xml:space="preserve">| 1 L NS @ | 2 L PHP-CGM % | 3 P Python % | 5 P PHP-CGM % </v>
      </c>
      <c r="BI212" s="4" t="str">
        <f ca="1">IFERROR(__xludf.DUMMYFUNCTION("""COMPUTED_VALUE"""),"| 1 L CPT % | 2 L JAVA % | 3 P CPT % | 5 P JAVA % ")</f>
        <v xml:space="preserve">| 1 L CPT % | 2 L JAVA % | 3 P CPT % | 5 P JAVA % </v>
      </c>
      <c r="BJ212" s="4" t="str">
        <f ca="1">IFERROR(__xludf.DUMMYFUNCTION("""COMPUTED_VALUE"""),"| 1 L CPT % | 2 L JAVA % | 3 P NS @ | 5 L INE @ ")</f>
        <v xml:space="preserve">| 1 L CPT % | 2 L JAVA % | 3 P NS @ | 5 L INE @ </v>
      </c>
      <c r="BK21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212" s="4" t="str">
        <f ca="1">IFERROR(__xludf.DUMMYFUNCTION("""COMPUTED_VALUE"""),"| 1 L CPT % | 2 L PHP-CGM % | 3 P Python % | 5 P JAVA % ")</f>
        <v xml:space="preserve">| 1 L CPT % | 2 L PHP-CGM % | 3 P Python % | 5 P JAVA % </v>
      </c>
      <c r="BM212" s="4" t="str">
        <f ca="1">IFERROR(__xludf.DUMMYFUNCTION("""COMPUTED_VALUE"""),"| 1 L NS % | 2 L PHP-CGM % | 3 P Python @ ")</f>
        <v xml:space="preserve">| 1 L NS % | 2 L PHP-CGM % | 3 P Python @ </v>
      </c>
      <c r="BN212" s="4" t="str">
        <f ca="1">IFERROR(__xludf.DUMMYFUNCTION("""COMPUTED_VALUE"""),"| 2 L JAVA % | 1 L CPT % | 3 P CPT % | 5 P JAVA % ")</f>
        <v xml:space="preserve">| 2 L JAVA % | 1 L CPT % | 3 P CPT % | 5 P JAVA % </v>
      </c>
      <c r="BO212" s="4" t="str">
        <f ca="1">IFERROR(__xludf.DUMMYFUNCTION("""COMPUTED_VALUE"""),"| 2 L JAVA % | 1 L CPT % | 3 P NS % | 5 L INE % ")</f>
        <v xml:space="preserve">| 2 L JAVA % | 1 L CPT % | 3 P NS % | 5 L INE % </v>
      </c>
      <c r="BP21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12" s="4"/>
      <c r="BR212" s="4"/>
      <c r="BS212" s="4"/>
      <c r="BT212" s="4" t="str">
        <f ca="1">IFERROR(__xludf.DUMMYFUNCTION("""COMPUTED_VALUE"""),"| 1 L NS % | 2 L PHP-CGM % | 3 P PRO % ")</f>
        <v xml:space="preserve">| 1 L NS % | 2 L PHP-CGM % | 3 P PRO % </v>
      </c>
      <c r="BU212" s="4" t="str">
        <f ca="1">IFERROR(__xludf.DUMMYFUNCTION("""COMPUTED_VALUE"""),"| 1 L CPT % | 3 P Python % ")</f>
        <v xml:space="preserve">| 1 L CPT % | 3 P Python % </v>
      </c>
      <c r="BV212" s="4" t="str">
        <f ca="1">IFERROR(__xludf.DUMMYFUNCTION("""COMPUTED_VALUE"""),"| 1 L NS % | 2 L PHP-CGM % | 3 P PRO % | 6 L JAVA % ")</f>
        <v xml:space="preserve">| 1 L NS % | 2 L PHP-CGM % | 3 P PRO % | 6 L JAVA % </v>
      </c>
      <c r="BW212" s="4" t="str">
        <f ca="1">IFERROR(__xludf.DUMMYFUNCTION("""COMPUTED_VALUE"""),"| 1 L CPT % | 2 L PHP-CGM % | 3 P Python % ")</f>
        <v xml:space="preserve">| 1 L CPT % | 2 L PHP-CGM % | 3 P Python % </v>
      </c>
      <c r="BX212" s="4" t="str">
        <f ca="1">IFERROR(__xludf.DUMMYFUNCTION("""COMPUTED_VALUE"""),"| 1 L NS % | 2 L PHP-CGM % | 3 P Python % | 5 P PHP-CGM @ ")</f>
        <v xml:space="preserve">| 1 L NS % | 2 L PHP-CGM % | 3 P Python % | 5 P PHP-CGM @ </v>
      </c>
      <c r="BY212" s="4" t="str">
        <f ca="1">IFERROR(__xludf.DUMMYFUNCTION("""COMPUTED_VALUE"""),"| 1 L CPT % | 2 L JAVA % | 3 P CPT % | 5 P JAVA @ ")</f>
        <v xml:space="preserve">| 1 L CPT % | 2 L JAVA % | 3 P CPT % | 5 P JAVA @ </v>
      </c>
      <c r="BZ212" s="4" t="str">
        <f ca="1">IFERROR(__xludf.DUMMYFUNCTION("""COMPUTED_VALUE"""),"| 1 L CPT % | 2 L JAVA % | 3 P NS % | 5 L INE % ")</f>
        <v xml:space="preserve">| 1 L CPT % | 2 L JAVA % | 3 P NS % | 5 L INE % </v>
      </c>
      <c r="CA212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212" s="4" t="str">
        <f ca="1">IFERROR(__xludf.DUMMYFUNCTION("""COMPUTED_VALUE"""),"| 2 L PHP-CGM % | 3 P Python % | 5 P JAVA % | 1 L CPT % ")</f>
        <v xml:space="preserve">| 2 L PHP-CGM % | 3 P Python % | 5 P JAVA % | 1 L CPT % </v>
      </c>
      <c r="CC212" s="4" t="str">
        <f ca="1">IFERROR(__xludf.DUMMYFUNCTION("""COMPUTED_VALUE"""),"| 1 L NS % | 2 L PHP-CGM % | 3 P Python % | 5 P PHP-CGM % ")</f>
        <v xml:space="preserve">| 1 L NS % | 2 L PHP-CGM % | 3 P Python % | 5 P PHP-CGM % </v>
      </c>
      <c r="CD212" s="4" t="str">
        <f ca="1">IFERROR(__xludf.DUMMYFUNCTION("""COMPUTED_VALUE"""),"| 1 L CPT % | 2 L JAVA @ | 3 P CPT % | 5 P JAVA % ")</f>
        <v xml:space="preserve">| 1 L CPT % | 2 L JAVA @ | 3 P CPT % | 5 P JAVA % </v>
      </c>
      <c r="CE212" s="4" t="str">
        <f ca="1">IFERROR(__xludf.DUMMYFUNCTION("""COMPUTED_VALUE"""),"| 1 L CPT % | 2 L JAVA % | 3 P NS % | 5 L INE % ")</f>
        <v xml:space="preserve">| 1 L CPT % | 2 L JAVA % | 3 P NS % | 5 L INE % </v>
      </c>
      <c r="CF212" s="4" t="str">
        <f ca="1">IFERROR(__xludf.DUMMYFUNCTION("""COMPUTED_VALUE"""),"| 1 L NS % | 2 L PHP-CGM % | 5 L NS @ | 6 L JAVA @ ")</f>
        <v xml:space="preserve">| 1 L NS % | 2 L PHP-CGM % | 5 L NS @ | 6 L JAVA @ </v>
      </c>
      <c r="CG212" s="4" t="str">
        <f ca="1">IFERROR(__xludf.DUMMYFUNCTION("""COMPUTED_VALUE"""),"| 1 L CPT @ | 2 L PHP-CGM @ | 3 P Python % | 5 P JAVA % ")</f>
        <v xml:space="preserve">| 1 L CPT @ | 2 L PHP-CGM @ | 3 P Python % | 5 P JAVA % </v>
      </c>
      <c r="CH212" s="4" t="str">
        <f ca="1">IFERROR(__xludf.DUMMYFUNCTION("""COMPUTED_VALUE"""),"| 1 L NS @ | 2 L PHP-CGM @ | 3 P Python % | 5 P PHP-CGM % ")</f>
        <v xml:space="preserve">| 1 L NS @ | 2 L PHP-CGM @ | 3 P Python % | 5 P PHP-CGM % </v>
      </c>
      <c r="CI212" s="4" t="str">
        <f ca="1">IFERROR(__xludf.DUMMYFUNCTION("""COMPUTED_VALUE"""),"| 1 L CPT @ | 2 L JAVA @ ")</f>
        <v xml:space="preserve">| 1 L CPT @ | 2 L JAVA @ </v>
      </c>
      <c r="CJ212" s="4" t="str">
        <f ca="1">IFERROR(__xludf.DUMMYFUNCTION("""COMPUTED_VALUE"""),"| 1 L CPT @ | 3 P NS % ")</f>
        <v xml:space="preserve">| 1 L CPT @ | 3 P NS % </v>
      </c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</row>
    <row r="213" spans="1:102" ht="12.5" x14ac:dyDescent="0.25">
      <c r="A213" s="3">
        <f ca="1">IFERROR(__xludf.DUMMYFUNCTION("""COMPUTED_VALUE"""),2)</f>
        <v>2</v>
      </c>
      <c r="B213" s="3" t="str">
        <f ca="1">IFERROR(__xludf.DUMMYFUNCTION("""COMPUTED_VALUE"""),"C")</f>
        <v>C</v>
      </c>
      <c r="C213" s="32" t="str">
        <f ca="1">IFERROR(__xludf.DUMMYFUNCTION("""COMPUTED_VALUE"""),"23171341106")</f>
        <v>23171341106</v>
      </c>
      <c r="D213" s="4" t="str">
        <f ca="1">IFERROR(__xludf.DUMMYFUNCTION("""COMPUTED_VALUE"""),"PATEL NIJ YOGESHKUMAR")</f>
        <v>PATEL NIJ YOGESHKUMAR</v>
      </c>
      <c r="E213" s="3" t="str">
        <f ca="1">IFERROR(__xludf.DUMMYFUNCTION("""COMPUTED_VALUE"""),"PKN/PAP-Mor")</f>
        <v>PKN/PAP-Mor</v>
      </c>
      <c r="F213" s="3">
        <f ca="1">IFERROR(__xludf.DUMMYFUNCTION("""COMPUTED_VALUE"""),9265141558)</f>
        <v>9265141558</v>
      </c>
      <c r="G213" s="3">
        <f ca="1">IFERROR(__xludf.DUMMYFUNCTION("""COMPUTED_VALUE"""),9427038081)</f>
        <v>9427038081</v>
      </c>
      <c r="H213" s="33">
        <f ca="1">IFERROR(__xludf.DUMMYFUNCTION("""COMPUTED_VALUE"""),0.739837398373983)</f>
        <v>0.73983739837398299</v>
      </c>
      <c r="I213" s="25">
        <f ca="1">IFERROR(__xludf.DUMMYFUNCTION("""COMPUTED_VALUE"""),0.736842105263157)</f>
        <v>0.73684210526315697</v>
      </c>
      <c r="J213" s="25">
        <f ca="1">IFERROR(__xludf.DUMMYFUNCTION("""COMPUTED_VALUE"""),0.666666666666666)</f>
        <v>0.66666666666666596</v>
      </c>
      <c r="K213" s="25">
        <f ca="1">IFERROR(__xludf.DUMMYFUNCTION("""COMPUTED_VALUE"""),0.75)</f>
        <v>0.75</v>
      </c>
      <c r="L213" s="25">
        <f ca="1">IFERROR(__xludf.DUMMYFUNCTION("""COMPUTED_VALUE"""),0.666666666666666)</f>
        <v>0.66666666666666596</v>
      </c>
      <c r="M213" s="25">
        <f ca="1">IFERROR(__xludf.DUMMYFUNCTION("""COMPUTED_VALUE"""),0.805555555555555)</f>
        <v>0.80555555555555503</v>
      </c>
      <c r="N213" s="25">
        <f ca="1">IFERROR(__xludf.DUMMYFUNCTION("""COMPUTED_VALUE"""),0.9)</f>
        <v>0.9</v>
      </c>
      <c r="O213" s="25">
        <f ca="1">IFERROR(__xludf.DUMMYFUNCTION("""COMPUTED_VALUE"""),0.685714285714285)</f>
        <v>0.68571428571428505</v>
      </c>
      <c r="P213" s="25">
        <f ca="1">IFERROR(__xludf.DUMMYFUNCTION("""COMPUTED_VALUE"""),0.782608695652174)</f>
        <v>0.78260869565217395</v>
      </c>
      <c r="Q213" s="25">
        <f ca="1">IFERROR(__xludf.DUMMYFUNCTION("""COMPUTED_VALUE"""),0)</f>
        <v>0</v>
      </c>
      <c r="R213" s="25">
        <f ca="1">IFERROR(__xludf.DUMMYFUNCTION("""COMPUTED_VALUE"""),0.833333333333333)</f>
        <v>0.83333333333333304</v>
      </c>
      <c r="S213" s="25">
        <f ca="1">IFERROR(__xludf.DUMMYFUNCTION("""COMPUTED_VALUE"""),0)</f>
        <v>0</v>
      </c>
      <c r="T213" s="25">
        <f ca="1">IFERROR(__xludf.DUMMYFUNCTION("""COMPUTED_VALUE"""),0.666666666666666)</f>
        <v>0.66666666666666596</v>
      </c>
      <c r="U213" s="25">
        <f ca="1">IFERROR(__xludf.DUMMYFUNCTION("""COMPUTED_VALUE"""),0.375)</f>
        <v>0.375</v>
      </c>
      <c r="V213" s="25">
        <f ca="1">IFERROR(__xludf.DUMMYFUNCTION("""COMPUTED_VALUE"""),0)</f>
        <v>0</v>
      </c>
      <c r="W213" s="4"/>
      <c r="X21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213" s="4" t="str">
        <f ca="1">IFERROR(__xludf.DUMMYFUNCTION("""COMPUTED_VALUE"""),"| 1 L CPT % | 5 L PHP-CGM % | 3 P Python % | 5 P JAVA % ")</f>
        <v xml:space="preserve">| 1 L CPT % | 5 L PHP-CGM % | 3 P Python % | 5 P JAVA % </v>
      </c>
      <c r="Z213" s="4" t="str">
        <f ca="1">IFERROR(__xludf.DUMMYFUNCTION("""COMPUTED_VALUE"""),"| 1 L CPT % | 2 L PHP-CGM % | 3 P Python % | 5 P PHP-CGM % ")</f>
        <v xml:space="preserve">| 1 L CPT % | 2 L PHP-CGM % | 3 P Python % | 5 P PHP-CGM % </v>
      </c>
      <c r="AA213" s="4" t="str">
        <f ca="1">IFERROR(__xludf.DUMMYFUNCTION("""COMPUTED_VALUE"""),"| 1 L NS % | 2 L JAVA % | 3 P CPT % | 5 P JAVA % ")</f>
        <v xml:space="preserve">| 1 L NS % | 2 L JAVA % | 3 P CPT % | 5 P JAVA % </v>
      </c>
      <c r="AB213" s="4" t="str">
        <f ca="1">IFERROR(__xludf.DUMMYFUNCTION("""COMPUTED_VALUE"""),"| 1 L CPT % | 2 L JAVA % | 3 P NS % ")</f>
        <v xml:space="preserve">| 1 L CPT % | 2 L JAVA % | 3 P NS % </v>
      </c>
      <c r="AC21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13" s="4" t="str">
        <f ca="1">IFERROR(__xludf.DUMMYFUNCTION("""COMPUTED_VALUE"""),"| 1 L CPT % | 2 L PHP-CGM % | 3 P Python % | 5 P JAVA % ")</f>
        <v xml:space="preserve">| 1 L CPT % | 2 L PHP-CGM % | 3 P Python % | 5 P JAVA % </v>
      </c>
      <c r="AE213" s="4" t="str">
        <f ca="1">IFERROR(__xludf.DUMMYFUNCTION("""COMPUTED_VALUE"""),"| 1 L CPT % | 3 P Python % | 5 P PHP-CGM % | 2 L PHP-CGM % ")</f>
        <v xml:space="preserve">| 1 L CPT % | 3 P Python % | 5 P PHP-CGM % | 2 L PHP-CGM % </v>
      </c>
      <c r="AF213" s="4" t="str">
        <f ca="1">IFERROR(__xludf.DUMMYFUNCTION("""COMPUTED_VALUE"""),"| 1 L NS % | 2 L CPT % | 3 P CPT % | 5 P JAVA % ")</f>
        <v xml:space="preserve">| 1 L NS % | 2 L CPT % | 3 P CPT % | 5 P JAVA % </v>
      </c>
      <c r="AG213" s="4" t="str">
        <f ca="1">IFERROR(__xludf.DUMMYFUNCTION("""COMPUTED_VALUE"""),"| 1 L CPT % | 2 L JAVA % | 3 P NS % ")</f>
        <v xml:space="preserve">| 1 L CPT % | 2 L JAVA % | 3 P NS % </v>
      </c>
      <c r="AH213" s="4" t="str">
        <f ca="1">IFERROR(__xludf.DUMMYFUNCTION("""COMPUTED_VALUE"""),"| 2 L JAVA % | 1 L NS % | 3 P CPT % | 5 P JAVA % ")</f>
        <v xml:space="preserve">| 2 L JAVA % | 1 L NS % | 3 P CPT % | 5 P JAVA % </v>
      </c>
      <c r="AI213" s="4" t="str">
        <f ca="1">IFERROR(__xludf.DUMMYFUNCTION("""COMPUTED_VALUE"""),"| 1 L CPT % | 2 L JAVA % | 3 P NS % ")</f>
        <v xml:space="preserve">| 1 L CPT % | 2 L JAVA % | 3 P NS % </v>
      </c>
      <c r="AJ213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13" s="4" t="str">
        <f ca="1">IFERROR(__xludf.DUMMYFUNCTION("""COMPUTED_VALUE"""),"| 1 L CPT % | 3 P Python % | 2 L PHP-CGM % | 5 P JAVA % ")</f>
        <v xml:space="preserve">| 1 L CPT % | 3 P Python % | 2 L PHP-CGM % | 5 P JAVA % </v>
      </c>
      <c r="AL213" s="4" t="str">
        <f ca="1">IFERROR(__xludf.DUMMYFUNCTION("""COMPUTED_VALUE"""),"| 1 L CPT % | 2 L PHP-CGM % | 3 P Python % | 5 P PHP-CGM % ")</f>
        <v xml:space="preserve">| 1 L CPT % | 2 L PHP-CGM % | 3 P Python % | 5 P PHP-CGM % </v>
      </c>
      <c r="AM213" s="4" t="str">
        <f ca="1">IFERROR(__xludf.DUMMYFUNCTION("""COMPUTED_VALUE"""),"| 2 L JAVA % | 3 P CPT % | 5 P JAVA % | 1 L NS % ")</f>
        <v xml:space="preserve">| 2 L JAVA % | 3 P CPT % | 5 P JAVA % | 1 L NS % </v>
      </c>
      <c r="AN213" s="4" t="str">
        <f ca="1">IFERROR(__xludf.DUMMYFUNCTION("""COMPUTED_VALUE"""),"| 1 L CPT @ | 2 L JAVA @ | 3 P NS @ | 5 L INE @ ")</f>
        <v xml:space="preserve">| 1 L CPT @ | 2 L JAVA @ | 3 P NS @ | 5 L INE @ </v>
      </c>
      <c r="AO213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213" s="4" t="str">
        <f ca="1">IFERROR(__xludf.DUMMYFUNCTION("""COMPUTED_VALUE"""),"| 1 L CPT @ | 2 L PHP-CGM @ | 3 P Python @ | 5 P JAVA @ ")</f>
        <v xml:space="preserve">| 1 L CPT @ | 2 L PHP-CGM @ | 3 P Python @ | 5 P JAVA @ </v>
      </c>
      <c r="AQ213" s="4" t="str">
        <f ca="1">IFERROR(__xludf.DUMMYFUNCTION("""COMPUTED_VALUE"""),"| 2 L PHP-CGM @ | 3 P Python @ | 5 P PHP-CGM @ | 1 L NS @ ")</f>
        <v xml:space="preserve">| 2 L PHP-CGM @ | 3 P Python @ | 5 P PHP-CGM @ | 1 L NS @ </v>
      </c>
      <c r="AR213" s="4" t="str">
        <f ca="1">IFERROR(__xludf.DUMMYFUNCTION("""COMPUTED_VALUE"""),"| 1 L CPT @ | 2 L JAVA @ | 3 P CPT @ | 5 P JAVA @ ")</f>
        <v xml:space="preserve">| 1 L CPT @ | 2 L JAVA @ | 3 P CPT @ | 5 P JAVA @ </v>
      </c>
      <c r="AS21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13" s="4" t="str">
        <f ca="1">IFERROR(__xludf.DUMMYFUNCTION("""COMPUTED_VALUE"""),"| 1 L CPT % | 2 L PHP-CGM % | 3 P Python % | 5 P JAVA % ")</f>
        <v xml:space="preserve">| 1 L CPT % | 2 L PHP-CGM % | 3 P Python % | 5 P JAVA % </v>
      </c>
      <c r="AU213" s="4" t="str">
        <f ca="1">IFERROR(__xludf.DUMMYFUNCTION("""COMPUTED_VALUE"""),"| 1 L NS % | 2 L PHP-CGM % | 3 P Python % | 5 P PHP-CGM % ")</f>
        <v xml:space="preserve">| 1 L NS % | 2 L PHP-CGM % | 3 P Python % | 5 P PHP-CGM % </v>
      </c>
      <c r="AV213" s="4" t="str">
        <f ca="1">IFERROR(__xludf.DUMMYFUNCTION("""COMPUTED_VALUE"""),"| 1 L CPT % | 2 L JAVA % | 5 P JAVA % | 3 P CPT % ")</f>
        <v xml:space="preserve">| 1 L CPT % | 2 L JAVA % | 5 P JAVA % | 3 P CPT % </v>
      </c>
      <c r="AW213" s="4" t="str">
        <f ca="1">IFERROR(__xludf.DUMMYFUNCTION("""COMPUTED_VALUE"""),"| 1 L CPT % | 2 L JAVA % | 3 P NS % | 5 L INE % | 6 L INE % ")</f>
        <v xml:space="preserve">| 1 L CPT % | 2 L JAVA % | 3 P NS % | 5 L INE % | 6 L INE % </v>
      </c>
      <c r="AX213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213" s="4" t="str">
        <f ca="1">IFERROR(__xludf.DUMMYFUNCTION("""COMPUTED_VALUE"""),"| 1 L CPT % | 2 L PHP-CGM % | 3 P Python % | 5 P JAVA % ")</f>
        <v xml:space="preserve">| 1 L CPT % | 2 L PHP-CGM % | 3 P Python % | 5 P JAVA % </v>
      </c>
      <c r="AZ213" s="4" t="str">
        <f ca="1">IFERROR(__xludf.DUMMYFUNCTION("""COMPUTED_VALUE"""),"| 1 L CPT % | 2 L JAVA % | 3 P CPT % | 5 P JAVA % ")</f>
        <v xml:space="preserve">| 1 L CPT % | 2 L JAVA % | 3 P CPT % | 5 P JAVA % </v>
      </c>
      <c r="BA213" s="4" t="str">
        <f ca="1">IFERROR(__xludf.DUMMYFUNCTION("""COMPUTED_VALUE"""),"| 1 L CPT % | 2 L JAVA % | 3 P NS % | 5 L INE @ ")</f>
        <v xml:space="preserve">| 1 L CPT % | 2 L JAVA % | 3 P NS % | 5 L INE @ </v>
      </c>
      <c r="BB21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13" s="4" t="str">
        <f ca="1">IFERROR(__xludf.DUMMYFUNCTION("""COMPUTED_VALUE"""),"| 1 L CPT % | 2 L PHP-CGM % | 3 P Python % | 5 P JAVA % ")</f>
        <v xml:space="preserve">| 1 L CPT % | 2 L PHP-CGM % | 3 P Python % | 5 P JAVA % </v>
      </c>
      <c r="BD213" s="4" t="str">
        <f ca="1">IFERROR(__xludf.DUMMYFUNCTION("""COMPUTED_VALUE"""),"| 1 L NS % | 2 L PHP-CGM % | 3 P Python % | 5 P PHP-CGM % ")</f>
        <v xml:space="preserve">| 1 L NS % | 2 L PHP-CGM % | 3 P Python % | 5 P PHP-CGM % </v>
      </c>
      <c r="BE213" s="4" t="str">
        <f ca="1">IFERROR(__xludf.DUMMYFUNCTION("""COMPUTED_VALUE"""),"| 1 L CPT @ | 2 L JAVA @ | 3 P CPT @ | 5 P JAVA @ ")</f>
        <v xml:space="preserve">| 1 L CPT @ | 2 L JAVA @ | 3 P CPT @ | 5 P JAVA @ </v>
      </c>
      <c r="BF213" s="4" t="str">
        <f ca="1">IFERROR(__xludf.DUMMYFUNCTION("""COMPUTED_VALUE"""),"| 1 L CPT @ | 2 L JAVA @ | 3 P NS @ ")</f>
        <v xml:space="preserve">| 1 L CPT @ | 2 L JAVA @ | 3 P NS @ </v>
      </c>
      <c r="BG213" s="4" t="str">
        <f ca="1">IFERROR(__xludf.DUMMYFUNCTION("""COMPUTED_VALUE"""),"| 2 L PHP-CGM % | 1 L CPT % | 3 P Python % | 5 P JAVA % ")</f>
        <v xml:space="preserve">| 2 L PHP-CGM % | 1 L CPT % | 3 P Python % | 5 P JAVA % </v>
      </c>
      <c r="BH213" s="4" t="str">
        <f ca="1">IFERROR(__xludf.DUMMYFUNCTION("""COMPUTED_VALUE"""),"| 1 L NS % | 2 L PHP-CGM % | 3 P Python % | 5 P PHP-CGM % ")</f>
        <v xml:space="preserve">| 1 L NS % | 2 L PHP-CGM % | 3 P Python % | 5 P PHP-CGM % </v>
      </c>
      <c r="BI213" s="4" t="str">
        <f ca="1">IFERROR(__xludf.DUMMYFUNCTION("""COMPUTED_VALUE"""),"| 1 L CPT % | 2 L JAVA % | 3 P CPT % | 5 P JAVA % ")</f>
        <v xml:space="preserve">| 1 L CPT % | 2 L JAVA % | 3 P CPT % | 5 P JAVA % </v>
      </c>
      <c r="BJ213" s="4" t="str">
        <f ca="1">IFERROR(__xludf.DUMMYFUNCTION("""COMPUTED_VALUE"""),"| 1 L CPT @ | 2 L JAVA @ | 3 P NS @ | 5 L INE @ ")</f>
        <v xml:space="preserve">| 1 L CPT @ | 2 L JAVA @ | 3 P NS @ | 5 L INE @ </v>
      </c>
      <c r="BK21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L213" s="4" t="str">
        <f ca="1">IFERROR(__xludf.DUMMYFUNCTION("""COMPUTED_VALUE"""),"| 1 L CPT % | 2 L PHP-CGM % | 3 P Python % | 5 P JAVA % ")</f>
        <v xml:space="preserve">| 1 L CPT % | 2 L PHP-CGM % | 3 P Python % | 5 P JAVA % </v>
      </c>
      <c r="BM213" s="4" t="str">
        <f ca="1">IFERROR(__xludf.DUMMYFUNCTION("""COMPUTED_VALUE"""),"| 1 L NS % | 2 L PHP-CGM % | 3 P Python @ ")</f>
        <v xml:space="preserve">| 1 L NS % | 2 L PHP-CGM % | 3 P Python @ </v>
      </c>
      <c r="BN213" s="4" t="str">
        <f ca="1">IFERROR(__xludf.DUMMYFUNCTION("""COMPUTED_VALUE"""),"| 2 L JAVA % | 1 L CPT % | 3 P CPT @ | 5 P JAVA @ ")</f>
        <v xml:space="preserve">| 2 L JAVA % | 1 L CPT % | 3 P CPT @ | 5 P JAVA @ </v>
      </c>
      <c r="BO213" s="4" t="str">
        <f ca="1">IFERROR(__xludf.DUMMYFUNCTION("""COMPUTED_VALUE"""),"| 2 L JAVA @ | 1 L CPT @ | 3 P NS @ | 5 L INE @ ")</f>
        <v xml:space="preserve">| 2 L JAVA @ | 1 L CPT @ | 3 P NS @ | 5 L INE @ </v>
      </c>
      <c r="BP21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13" s="4"/>
      <c r="BR213" s="4"/>
      <c r="BS213" s="4"/>
      <c r="BT213" s="4" t="str">
        <f ca="1">IFERROR(__xludf.DUMMYFUNCTION("""COMPUTED_VALUE"""),"| 1 L NS @ | 2 L PHP-CGM @ | 3 P PRO @ ")</f>
        <v xml:space="preserve">| 1 L NS @ | 2 L PHP-CGM @ | 3 P PRO @ </v>
      </c>
      <c r="BU213" s="4" t="str">
        <f ca="1">IFERROR(__xludf.DUMMYFUNCTION("""COMPUTED_VALUE"""),"| 1 L CPT @ | 3 P Python @ ")</f>
        <v xml:space="preserve">| 1 L CPT @ | 3 P Python @ </v>
      </c>
      <c r="BV213" s="4" t="str">
        <f ca="1">IFERROR(__xludf.DUMMYFUNCTION("""COMPUTED_VALUE"""),"| 1 L NS @ | 2 L PHP-CGM @ | 3 P PRO @ | 6 L JAVA @ ")</f>
        <v xml:space="preserve">| 1 L NS @ | 2 L PHP-CGM @ | 3 P PRO @ | 6 L JAVA @ </v>
      </c>
      <c r="BW213" s="4" t="str">
        <f ca="1">IFERROR(__xludf.DUMMYFUNCTION("""COMPUTED_VALUE"""),"| 1 L CPT % | 2 L PHP-CGM % | 3 P Python % ")</f>
        <v xml:space="preserve">| 1 L CPT % | 2 L PHP-CGM % | 3 P Python % </v>
      </c>
      <c r="BX213" s="4" t="str">
        <f ca="1">IFERROR(__xludf.DUMMYFUNCTION("""COMPUTED_VALUE"""),"| 1 L NS % | 2 L PHP-CGM % | 3 P Python % | 5 P PHP-CGM % ")</f>
        <v xml:space="preserve">| 1 L NS % | 2 L PHP-CGM % | 3 P Python % | 5 P PHP-CGM % </v>
      </c>
      <c r="BY213" s="4" t="str">
        <f ca="1">IFERROR(__xludf.DUMMYFUNCTION("""COMPUTED_VALUE"""),"| 1 L CPT % | 2 L JAVA % | 3 P CPT % | 5 P JAVA % ")</f>
        <v xml:space="preserve">| 1 L CPT % | 2 L JAVA % | 3 P CPT % | 5 P JAVA % </v>
      </c>
      <c r="BZ213" s="4" t="str">
        <f ca="1">IFERROR(__xludf.DUMMYFUNCTION("""COMPUTED_VALUE"""),"| 1 L CPT % | 2 L JAVA % | 3 P NS % | 5 L INE @ ")</f>
        <v xml:space="preserve">| 1 L CPT % | 2 L JAVA % | 3 P NS % | 5 L INE @ </v>
      </c>
      <c r="CA213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213" s="4" t="str">
        <f ca="1">IFERROR(__xludf.DUMMYFUNCTION("""COMPUTED_VALUE"""),"| 2 L PHP-CGM % | 3 P Python % | 5 P JAVA % | 1 L CPT % ")</f>
        <v xml:space="preserve">| 2 L PHP-CGM % | 3 P Python % | 5 P JAVA % | 1 L CPT % </v>
      </c>
      <c r="CC213" s="4" t="str">
        <f ca="1">IFERROR(__xludf.DUMMYFUNCTION("""COMPUTED_VALUE"""),"| 1 L NS % | 2 L PHP-CGM % | 3 P Python % | 5 P PHP-CGM % ")</f>
        <v xml:space="preserve">| 1 L NS % | 2 L PHP-CGM % | 3 P Python % | 5 P PHP-CGM % </v>
      </c>
      <c r="CD213" s="4" t="str">
        <f ca="1">IFERROR(__xludf.DUMMYFUNCTION("""COMPUTED_VALUE"""),"| 1 L CPT @ | 2 L JAVA @ | 3 P CPT @ | 5 P JAVA @ ")</f>
        <v xml:space="preserve">| 1 L CPT @ | 2 L JAVA @ | 3 P CPT @ | 5 P JAVA @ </v>
      </c>
      <c r="CE213" s="4" t="str">
        <f ca="1">IFERROR(__xludf.DUMMYFUNCTION("""COMPUTED_VALUE"""),"| 1 L CPT % | 2 L JAVA % | 3 P NS % | 5 L INE % ")</f>
        <v xml:space="preserve">| 1 L CPT % | 2 L JAVA % | 3 P NS % | 5 L INE % </v>
      </c>
      <c r="CF213" s="4" t="str">
        <f ca="1">IFERROR(__xludf.DUMMYFUNCTION("""COMPUTED_VALUE"""),"| 1 L NS @ | 2 L PHP-CGM @ | 5 L NS @ | 6 L JAVA @ ")</f>
        <v xml:space="preserve">| 1 L NS @ | 2 L PHP-CGM @ | 5 L NS @ | 6 L JAVA @ </v>
      </c>
      <c r="CG213" s="4" t="str">
        <f ca="1">IFERROR(__xludf.DUMMYFUNCTION("""COMPUTED_VALUE"""),"| 1 L CPT % | 2 L PHP-CGM % | 3 P Python % | 5 P JAVA % ")</f>
        <v xml:space="preserve">| 1 L CPT % | 2 L PHP-CGM % | 3 P Python % | 5 P JAVA % </v>
      </c>
      <c r="CH213" s="4" t="str">
        <f ca="1">IFERROR(__xludf.DUMMYFUNCTION("""COMPUTED_VALUE"""),"| 1 L NS % | 2 L PHP-CGM % | 3 P Python % | 5 P PHP-CGM % ")</f>
        <v xml:space="preserve">| 1 L NS % | 2 L PHP-CGM % | 3 P Python % | 5 P PHP-CGM % </v>
      </c>
      <c r="CI213" s="4" t="str">
        <f ca="1">IFERROR(__xludf.DUMMYFUNCTION("""COMPUTED_VALUE"""),"| 1 L CPT % | 2 L JAVA % ")</f>
        <v xml:space="preserve">| 1 L CPT % | 2 L JAVA % </v>
      </c>
      <c r="CJ213" s="4" t="str">
        <f ca="1">IFERROR(__xludf.DUMMYFUNCTION("""COMPUTED_VALUE"""),"| 1 L CPT @ | 3 P NS % ")</f>
        <v xml:space="preserve">| 1 L CPT @ | 3 P NS % </v>
      </c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</row>
    <row r="214" spans="1:102" ht="12.5" x14ac:dyDescent="0.25">
      <c r="A214" s="3">
        <f ca="1">IFERROR(__xludf.DUMMYFUNCTION("""COMPUTED_VALUE"""),2)</f>
        <v>2</v>
      </c>
      <c r="B214" s="3" t="str">
        <f ca="1">IFERROR(__xludf.DUMMYFUNCTION("""COMPUTED_VALUE"""),"C")</f>
        <v>C</v>
      </c>
      <c r="C214" s="32" t="str">
        <f ca="1">IFERROR(__xludf.DUMMYFUNCTION("""COMPUTED_VALUE"""),"23171341108")</f>
        <v>23171341108</v>
      </c>
      <c r="D214" s="4" t="str">
        <f ca="1">IFERROR(__xludf.DUMMYFUNCTION("""COMPUTED_VALUE"""),"PATEL NIRMAL RAJESHKUMAR")</f>
        <v>PATEL NIRMAL RAJESHKUMAR</v>
      </c>
      <c r="E214" s="3" t="str">
        <f ca="1">IFERROR(__xludf.DUMMYFUNCTION("""COMPUTED_VALUE"""),"PKN/PAP-Mor")</f>
        <v>PKN/PAP-Mor</v>
      </c>
      <c r="F214" s="3">
        <f ca="1">IFERROR(__xludf.DUMMYFUNCTION("""COMPUTED_VALUE"""),9825925464)</f>
        <v>9825925464</v>
      </c>
      <c r="G214" s="3">
        <f ca="1">IFERROR(__xludf.DUMMYFUNCTION("""COMPUTED_VALUE"""),9375862121)</f>
        <v>9375862121</v>
      </c>
      <c r="H214" s="33">
        <f ca="1">IFERROR(__xludf.DUMMYFUNCTION("""COMPUTED_VALUE"""),0.58130081300813)</f>
        <v>0.58130081300812997</v>
      </c>
      <c r="I214" s="25">
        <f ca="1">IFERROR(__xludf.DUMMYFUNCTION("""COMPUTED_VALUE"""),0.631578947368421)</f>
        <v>0.63157894736842102</v>
      </c>
      <c r="J214" s="25">
        <f ca="1">IFERROR(__xludf.DUMMYFUNCTION("""COMPUTED_VALUE"""),0.75)</f>
        <v>0.75</v>
      </c>
      <c r="K214" s="25">
        <f ca="1">IFERROR(__xludf.DUMMYFUNCTION("""COMPUTED_VALUE"""),0.527777777777777)</f>
        <v>0.52777777777777701</v>
      </c>
      <c r="L214" s="25">
        <f ca="1">IFERROR(__xludf.DUMMYFUNCTION("""COMPUTED_VALUE"""),0.666666666666666)</f>
        <v>0.66666666666666596</v>
      </c>
      <c r="M214" s="25">
        <f ca="1">IFERROR(__xludf.DUMMYFUNCTION("""COMPUTED_VALUE"""),0.638888888888888)</f>
        <v>0.63888888888888795</v>
      </c>
      <c r="N214" s="25">
        <f ca="1">IFERROR(__xludf.DUMMYFUNCTION("""COMPUTED_VALUE"""),0.5)</f>
        <v>0.5</v>
      </c>
      <c r="O214" s="25">
        <f ca="1">IFERROR(__xludf.DUMMYFUNCTION("""COMPUTED_VALUE"""),0.485714285714285)</f>
        <v>0.48571428571428499</v>
      </c>
      <c r="P214" s="25">
        <f ca="1">IFERROR(__xludf.DUMMYFUNCTION("""COMPUTED_VALUE"""),0.608695652173913)</f>
        <v>0.60869565217391297</v>
      </c>
      <c r="Q214" s="25">
        <f ca="1">IFERROR(__xludf.DUMMYFUNCTION("""COMPUTED_VALUE"""),0)</f>
        <v>0</v>
      </c>
      <c r="R214" s="25">
        <f ca="1">IFERROR(__xludf.DUMMYFUNCTION("""COMPUTED_VALUE"""),0.625)</f>
        <v>0.625</v>
      </c>
      <c r="S214" s="25">
        <f ca="1">IFERROR(__xludf.DUMMYFUNCTION("""COMPUTED_VALUE"""),0)</f>
        <v>0</v>
      </c>
      <c r="T214" s="25">
        <f ca="1">IFERROR(__xludf.DUMMYFUNCTION("""COMPUTED_VALUE"""),0.5)</f>
        <v>0.5</v>
      </c>
      <c r="U214" s="25">
        <f ca="1">IFERROR(__xludf.DUMMYFUNCTION("""COMPUTED_VALUE"""),0.375)</f>
        <v>0.375</v>
      </c>
      <c r="V214" s="25">
        <f ca="1">IFERROR(__xludf.DUMMYFUNCTION("""COMPUTED_VALUE"""),0)</f>
        <v>0</v>
      </c>
      <c r="W214" s="4"/>
      <c r="X214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Y214" s="4" t="str">
        <f ca="1">IFERROR(__xludf.DUMMYFUNCTION("""COMPUTED_VALUE"""),"| 1 L CPT % | 5 L PHP-CGM % | 3 P Python % | 5 P JAVA % ")</f>
        <v xml:space="preserve">| 1 L CPT % | 5 L PHP-CGM % | 3 P Python % | 5 P JAVA % </v>
      </c>
      <c r="Z214" s="4" t="str">
        <f ca="1">IFERROR(__xludf.DUMMYFUNCTION("""COMPUTED_VALUE"""),"| 1 L CPT % | 2 L PHP-CGM % | 3 P Python % | 5 P PHP-CGM @ ")</f>
        <v xml:space="preserve">| 1 L CPT % | 2 L PHP-CGM % | 3 P Python % | 5 P PHP-CGM @ </v>
      </c>
      <c r="AA214" s="4" t="str">
        <f ca="1">IFERROR(__xludf.DUMMYFUNCTION("""COMPUTED_VALUE"""),"| 1 L NS % | 2 L JAVA % | 3 P CPT % | 5 P JAVA % ")</f>
        <v xml:space="preserve">| 1 L NS % | 2 L JAVA % | 3 P CPT % | 5 P JAVA % </v>
      </c>
      <c r="AB214" s="4" t="str">
        <f ca="1">IFERROR(__xludf.DUMMYFUNCTION("""COMPUTED_VALUE"""),"| 1 L CPT % | 2 L JAVA % | 3 P NS % ")</f>
        <v xml:space="preserve">| 1 L CPT % | 2 L JAVA % | 3 P NS % </v>
      </c>
      <c r="AC214" s="4" t="str">
        <f ca="1">IFERROR(__xludf.DUMMYFUNCTION("""COMPUTED_VALUE"""),"| 1 L NS % | 2 L PHP-CGM % | 3 P PRO % | 5 L JAVA @ | 6 L NS @ ")</f>
        <v xml:space="preserve">| 1 L NS % | 2 L PHP-CGM % | 3 P PRO % | 5 L JAVA @ | 6 L NS @ </v>
      </c>
      <c r="AD214" s="4" t="str">
        <f ca="1">IFERROR(__xludf.DUMMYFUNCTION("""COMPUTED_VALUE"""),"| 1 L CPT % | 2 L PHP-CGM % | 3 P Python % | 5 P JAVA % ")</f>
        <v xml:space="preserve">| 1 L CPT % | 2 L PHP-CGM % | 3 P Python % | 5 P JAVA % </v>
      </c>
      <c r="AE214" s="4" t="str">
        <f ca="1">IFERROR(__xludf.DUMMYFUNCTION("""COMPUTED_VALUE"""),"| 1 L CPT % | 3 P Python % | 5 P PHP-CGM @ | 2 L PHP-CGM % ")</f>
        <v xml:space="preserve">| 1 L CPT % | 3 P Python % | 5 P PHP-CGM @ | 2 L PHP-CGM % </v>
      </c>
      <c r="AF214" s="4" t="str">
        <f ca="1">IFERROR(__xludf.DUMMYFUNCTION("""COMPUTED_VALUE"""),"| 1 L NS % | 2 L CPT % | 3 P CPT % | 5 P JAVA % ")</f>
        <v xml:space="preserve">| 1 L NS % | 2 L CPT % | 3 P CPT % | 5 P JAVA % </v>
      </c>
      <c r="AG214" s="4" t="str">
        <f ca="1">IFERROR(__xludf.DUMMYFUNCTION("""COMPUTED_VALUE"""),"| 1 L CPT % | 2 L JAVA % | 3 P NS % ")</f>
        <v xml:space="preserve">| 1 L CPT % | 2 L JAVA % | 3 P NS % </v>
      </c>
      <c r="AH214" s="4" t="str">
        <f ca="1">IFERROR(__xludf.DUMMYFUNCTION("""COMPUTED_VALUE"""),"| 2 L JAVA % | 1 L NS % | 3 P CPT % | 5 P JAVA % ")</f>
        <v xml:space="preserve">| 2 L JAVA % | 1 L NS % | 3 P CPT % | 5 P JAVA % </v>
      </c>
      <c r="AI214" s="4" t="str">
        <f ca="1">IFERROR(__xludf.DUMMYFUNCTION("""COMPUTED_VALUE"""),"| 1 L CPT % | 2 L JAVA % | 3 P NS % ")</f>
        <v xml:space="preserve">| 1 L CPT % | 2 L JAVA % | 3 P NS % </v>
      </c>
      <c r="AJ214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14" s="4" t="str">
        <f ca="1">IFERROR(__xludf.DUMMYFUNCTION("""COMPUTED_VALUE"""),"| 1 L CPT % | 3 P Python @ | 2 L PHP-CGM % | 5 P JAVA @ ")</f>
        <v xml:space="preserve">| 1 L CPT % | 3 P Python @ | 2 L PHP-CGM % | 5 P JAVA @ </v>
      </c>
      <c r="AL214" s="4" t="str">
        <f ca="1">IFERROR(__xludf.DUMMYFUNCTION("""COMPUTED_VALUE"""),"| 1 L CPT % | 2 L PHP-CGM % | 3 P Python @ | 5 P PHP-CGM @ ")</f>
        <v xml:space="preserve">| 1 L CPT % | 2 L PHP-CGM % | 3 P Python @ | 5 P PHP-CGM @ </v>
      </c>
      <c r="AM214" s="4" t="str">
        <f ca="1">IFERROR(__xludf.DUMMYFUNCTION("""COMPUTED_VALUE"""),"| 2 L JAVA @ | 3 P CPT @ | 5 P JAVA @ | 1 L NS @ ")</f>
        <v xml:space="preserve">| 2 L JAVA @ | 3 P CPT @ | 5 P JAVA @ | 1 L NS @ </v>
      </c>
      <c r="AN214" s="4" t="str">
        <f ca="1">IFERROR(__xludf.DUMMYFUNCTION("""COMPUTED_VALUE"""),"| 1 L CPT @ | 2 L JAVA @ | 3 P NS @ | 5 L INE @ ")</f>
        <v xml:space="preserve">| 1 L CPT @ | 2 L JAVA @ | 3 P NS @ | 5 L INE @ </v>
      </c>
      <c r="AO214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P214" s="4" t="str">
        <f ca="1">IFERROR(__xludf.DUMMYFUNCTION("""COMPUTED_VALUE"""),"| 1 L CPT % | 2 L PHP-CGM % | 3 P Python % | 5 P JAVA % ")</f>
        <v xml:space="preserve">| 1 L CPT % | 2 L PHP-CGM % | 3 P Python % | 5 P JAVA % </v>
      </c>
      <c r="AQ214" s="4" t="str">
        <f ca="1">IFERROR(__xludf.DUMMYFUNCTION("""COMPUTED_VALUE"""),"| 2 L PHP-CGM % | 3 P Python % | 5 P PHP-CGM % | 1 L NS % ")</f>
        <v xml:space="preserve">| 2 L PHP-CGM % | 3 P Python % | 5 P PHP-CGM % | 1 L NS % </v>
      </c>
      <c r="AR214" s="4" t="str">
        <f ca="1">IFERROR(__xludf.DUMMYFUNCTION("""COMPUTED_VALUE"""),"| 1 L CPT @ | 2 L JAVA @ | 3 P CPT @ | 5 P JAVA @ ")</f>
        <v xml:space="preserve">| 1 L CPT @ | 2 L JAVA @ | 3 P CPT @ | 5 P JAVA @ </v>
      </c>
      <c r="AS21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AT214" s="4" t="str">
        <f ca="1">IFERROR(__xludf.DUMMYFUNCTION("""COMPUTED_VALUE"""),"| 1 L CPT % | 2 L PHP-CGM % | 3 P Python % | 5 P JAVA @ ")</f>
        <v xml:space="preserve">| 1 L CPT % | 2 L PHP-CGM % | 3 P Python % | 5 P JAVA @ </v>
      </c>
      <c r="AU214" s="4" t="str">
        <f ca="1">IFERROR(__xludf.DUMMYFUNCTION("""COMPUTED_VALUE"""),"| 1 L NS @ | 2 L PHP-CGM % | 3 P Python @ | 5 P PHP-CGM @ ")</f>
        <v xml:space="preserve">| 1 L NS @ | 2 L PHP-CGM % | 3 P Python @ | 5 P PHP-CGM @ </v>
      </c>
      <c r="AV214" s="4" t="str">
        <f ca="1">IFERROR(__xludf.DUMMYFUNCTION("""COMPUTED_VALUE"""),"| 1 L CPT % | 2 L JAVA % | 5 P JAVA % | 3 P CPT % ")</f>
        <v xml:space="preserve">| 1 L CPT % | 2 L JAVA % | 5 P JAVA % | 3 P CPT % </v>
      </c>
      <c r="AW214" s="4" t="str">
        <f ca="1">IFERROR(__xludf.DUMMYFUNCTION("""COMPUTED_VALUE"""),"| 1 L CPT % | 2 L JAVA % | 3 P NS % | 5 L INE % | 6 L INE % ")</f>
        <v xml:space="preserve">| 1 L CPT % | 2 L JAVA % | 3 P NS % | 5 L INE % | 6 L INE % </v>
      </c>
      <c r="AX214" s="4" t="str">
        <f ca="1">IFERROR(__xludf.DUMMYFUNCTION("""COMPUTED_VALUE"""),"| 1 L NS @ | 2 L PHP-CGM @ | 3 P PRO @ | 5 L NS @ | 5 L JAVA @ ")</f>
        <v xml:space="preserve">| 1 L NS @ | 2 L PHP-CGM @ | 3 P PRO @ | 5 L NS @ | 5 L JAVA @ </v>
      </c>
      <c r="AY214" s="4" t="str">
        <f ca="1">IFERROR(__xludf.DUMMYFUNCTION("""COMPUTED_VALUE"""),"| 1 L CPT % | 2 L PHP-CGM % | 3 P Python % | 5 P JAVA % ")</f>
        <v xml:space="preserve">| 1 L CPT % | 2 L PHP-CGM % | 3 P Python % | 5 P JAVA % </v>
      </c>
      <c r="AZ214" s="4" t="str">
        <f ca="1">IFERROR(__xludf.DUMMYFUNCTION("""COMPUTED_VALUE"""),"| 1 L CPT % | 2 L JAVA % | 3 P CPT % | 5 P JAVA % ")</f>
        <v xml:space="preserve">| 1 L CPT % | 2 L JAVA % | 3 P CPT % | 5 P JAVA % </v>
      </c>
      <c r="BA214" s="4" t="str">
        <f ca="1">IFERROR(__xludf.DUMMYFUNCTION("""COMPUTED_VALUE"""),"| 1 L CPT % | 2 L JAVA % | 3 P NS % | 5 L INE @ ")</f>
        <v xml:space="preserve">| 1 L CPT % | 2 L JAVA % | 3 P NS % | 5 L INE @ </v>
      </c>
      <c r="BB214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14" s="4" t="str">
        <f ca="1">IFERROR(__xludf.DUMMYFUNCTION("""COMPUTED_VALUE"""),"| 1 L CPT % | 2 L PHP-CGM % | 3 P Python % | 5 P JAVA % ")</f>
        <v xml:space="preserve">| 1 L CPT % | 2 L PHP-CGM % | 3 P Python % | 5 P JAVA % </v>
      </c>
      <c r="BD214" s="4" t="str">
        <f ca="1">IFERROR(__xludf.DUMMYFUNCTION("""COMPUTED_VALUE"""),"| 1 L NS % | 2 L PHP-CGM % | 3 P Python % | 5 P PHP-CGM % ")</f>
        <v xml:space="preserve">| 1 L NS % | 2 L PHP-CGM % | 3 P Python % | 5 P PHP-CGM % </v>
      </c>
      <c r="BE214" s="4" t="str">
        <f ca="1">IFERROR(__xludf.DUMMYFUNCTION("""COMPUTED_VALUE"""),"| 1 L CPT % | 2 L JAVA % | 3 P CPT % | 5 P JAVA @ ")</f>
        <v xml:space="preserve">| 1 L CPT % | 2 L JAVA % | 3 P CPT % | 5 P JAVA @ </v>
      </c>
      <c r="BF214" s="4" t="str">
        <f ca="1">IFERROR(__xludf.DUMMYFUNCTION("""COMPUTED_VALUE"""),"| 1 L CPT % | 2 L JAVA % | 3 P NS % ")</f>
        <v xml:space="preserve">| 1 L CPT % | 2 L JAVA % | 3 P NS % </v>
      </c>
      <c r="BG214" s="4" t="str">
        <f ca="1">IFERROR(__xludf.DUMMYFUNCTION("""COMPUTED_VALUE"""),"| 2 L PHP-CGM @ | 1 L CPT % | 3 P Python @ | 5 P JAVA @ ")</f>
        <v xml:space="preserve">| 2 L PHP-CGM @ | 1 L CPT % | 3 P Python @ | 5 P JAVA @ </v>
      </c>
      <c r="BH214" s="4" t="str">
        <f ca="1">IFERROR(__xludf.DUMMYFUNCTION("""COMPUTED_VALUE"""),"| 1 L NS % | 2 L PHP-CGM % | 3 P Python % | 5 P PHP-CGM % ")</f>
        <v xml:space="preserve">| 1 L NS % | 2 L PHP-CGM % | 3 P Python % | 5 P PHP-CGM % </v>
      </c>
      <c r="BI214" s="4" t="str">
        <f ca="1">IFERROR(__xludf.DUMMYFUNCTION("""COMPUTED_VALUE"""),"| 1 L CPT % | 2 L JAVA % | 3 P CPT % | 5 P JAVA % ")</f>
        <v xml:space="preserve">| 1 L CPT % | 2 L JAVA % | 3 P CPT % | 5 P JAVA % </v>
      </c>
      <c r="BJ214" s="4" t="str">
        <f ca="1">IFERROR(__xludf.DUMMYFUNCTION("""COMPUTED_VALUE"""),"| 1 L CPT @ | 2 L JAVA @ | 3 P NS @ | 5 L INE @ ")</f>
        <v xml:space="preserve">| 1 L CPT @ | 2 L JAVA @ | 3 P NS @ | 5 L INE @ </v>
      </c>
      <c r="BK214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214" s="4" t="str">
        <f ca="1">IFERROR(__xludf.DUMMYFUNCTION("""COMPUTED_VALUE"""),"| 1 L CPT @ | 2 L PHP-CGM @ | 3 P Python @ | 5 P JAVA @ ")</f>
        <v xml:space="preserve">| 1 L CPT @ | 2 L PHP-CGM @ | 3 P Python @ | 5 P JAVA @ </v>
      </c>
      <c r="BM214" s="4" t="str">
        <f ca="1">IFERROR(__xludf.DUMMYFUNCTION("""COMPUTED_VALUE"""),"| 1 L NS % | 2 L PHP-CGM % | 3 P Python @ ")</f>
        <v xml:space="preserve">| 1 L NS % | 2 L PHP-CGM % | 3 P Python @ </v>
      </c>
      <c r="BN214" s="4" t="str">
        <f ca="1">IFERROR(__xludf.DUMMYFUNCTION("""COMPUTED_VALUE"""),"| 2 L JAVA @ | 1 L CPT @ | 3 P CPT @ | 5 P JAVA @ ")</f>
        <v xml:space="preserve">| 2 L JAVA @ | 1 L CPT @ | 3 P CPT @ | 5 P JAVA @ </v>
      </c>
      <c r="BO214" s="4" t="str">
        <f ca="1">IFERROR(__xludf.DUMMYFUNCTION("""COMPUTED_VALUE"""),"| 2 L JAVA @ | 1 L CPT @ | 3 P NS @ | 5 L INE @ ")</f>
        <v xml:space="preserve">| 2 L JAVA @ | 1 L CPT @ | 3 P NS @ | 5 L INE @ </v>
      </c>
      <c r="BP214" s="4" t="str">
        <f ca="1">IFERROR(__xludf.DUMMYFUNCTION("""COMPUTED_VALUE"""),"| 1 L NS % | 2 L PHP-CGM % | 3 P PRO % | 5 L NS @ | 6 L JAVA @ ")</f>
        <v xml:space="preserve">| 1 L NS % | 2 L PHP-CGM % | 3 P PRO % | 5 L NS @ | 6 L JAVA @ </v>
      </c>
      <c r="BQ214" s="4"/>
      <c r="BR214" s="4"/>
      <c r="BS214" s="4"/>
      <c r="BT214" s="4" t="str">
        <f ca="1">IFERROR(__xludf.DUMMYFUNCTION("""COMPUTED_VALUE"""),"| 1 L NS @ | 2 L PHP-CGM @ | 3 P PRO % ")</f>
        <v xml:space="preserve">| 1 L NS @ | 2 L PHP-CGM @ | 3 P PRO % </v>
      </c>
      <c r="BU214" s="4" t="str">
        <f ca="1">IFERROR(__xludf.DUMMYFUNCTION("""COMPUTED_VALUE"""),"| 1 L CPT @ | 3 P Python @ ")</f>
        <v xml:space="preserve">| 1 L CPT @ | 3 P Python @ </v>
      </c>
      <c r="BV214" s="4" t="str">
        <f ca="1">IFERROR(__xludf.DUMMYFUNCTION("""COMPUTED_VALUE"""),"| 1 L NS @ | 2 L PHP-CGM @ | 3 P PRO @ | 6 L JAVA @ ")</f>
        <v xml:space="preserve">| 1 L NS @ | 2 L PHP-CGM @ | 3 P PRO @ | 6 L JAVA @ </v>
      </c>
      <c r="BW214" s="4" t="str">
        <f ca="1">IFERROR(__xludf.DUMMYFUNCTION("""COMPUTED_VALUE"""),"| 1 L CPT @ | 2 L PHP-CGM @ | 3 P Python @ ")</f>
        <v xml:space="preserve">| 1 L CPT @ | 2 L PHP-CGM @ | 3 P Python @ </v>
      </c>
      <c r="BX214" s="4" t="str">
        <f ca="1">IFERROR(__xludf.DUMMYFUNCTION("""COMPUTED_VALUE"""),"| 1 L NS @ | 2 L PHP-CGM @ | 3 P Python @ | 5 P PHP-CGM @ ")</f>
        <v xml:space="preserve">| 1 L NS @ | 2 L PHP-CGM @ | 3 P Python @ | 5 P PHP-CGM @ </v>
      </c>
      <c r="BY214" s="4" t="str">
        <f ca="1">IFERROR(__xludf.DUMMYFUNCTION("""COMPUTED_VALUE"""),"| 1 L CPT @ | 2 L JAVA @ | 3 P CPT % | 5 P JAVA @ ")</f>
        <v xml:space="preserve">| 1 L CPT @ | 2 L JAVA @ | 3 P CPT % | 5 P JAVA @ </v>
      </c>
      <c r="BZ214" s="4" t="str">
        <f ca="1">IFERROR(__xludf.DUMMYFUNCTION("""COMPUTED_VALUE"""),"| 1 L CPT @ | 2 L JAVA @ | 3 P NS @ | 5 L INE @ ")</f>
        <v xml:space="preserve">| 1 L CPT @ | 2 L JAVA @ | 3 P NS @ | 5 L INE @ </v>
      </c>
      <c r="CA214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CB214" s="4" t="str">
        <f ca="1">IFERROR(__xludf.DUMMYFUNCTION("""COMPUTED_VALUE"""),"| 2 L PHP-CGM @ | 3 P Python % | 5 P JAVA % | 1 L CPT @ ")</f>
        <v xml:space="preserve">| 2 L PHP-CGM @ | 3 P Python % | 5 P JAVA % | 1 L CPT @ </v>
      </c>
      <c r="CC214" s="4" t="str">
        <f ca="1">IFERROR(__xludf.DUMMYFUNCTION("""COMPUTED_VALUE"""),"| 1 L NS @ | 2 L PHP-CGM @ | 3 P Python % | 5 P PHP-CGM % ")</f>
        <v xml:space="preserve">| 1 L NS @ | 2 L PHP-CGM @ | 3 P Python % | 5 P PHP-CGM % </v>
      </c>
      <c r="CD214" s="4" t="str">
        <f ca="1">IFERROR(__xludf.DUMMYFUNCTION("""COMPUTED_VALUE"""),"| 1 L CPT @ | 2 L JAVA @ | 3 P CPT % | 5 P JAVA % ")</f>
        <v xml:space="preserve">| 1 L CPT @ | 2 L JAVA @ | 3 P CPT % | 5 P JAVA % </v>
      </c>
      <c r="CE214" s="4" t="str">
        <f ca="1">IFERROR(__xludf.DUMMYFUNCTION("""COMPUTED_VALUE"""),"| 1 L CPT % | 2 L JAVA % | 3 P NS % | 5 L INE % ")</f>
        <v xml:space="preserve">| 1 L CPT % | 2 L JAVA % | 3 P NS % | 5 L INE % </v>
      </c>
      <c r="CF214" s="4" t="str">
        <f ca="1">IFERROR(__xludf.DUMMYFUNCTION("""COMPUTED_VALUE"""),"| 1 L NS @ | 2 L PHP-CGM @ | 5 L NS % | 6 L JAVA @ ")</f>
        <v xml:space="preserve">| 1 L NS @ | 2 L PHP-CGM @ | 5 L NS % | 6 L JAVA @ </v>
      </c>
      <c r="CG214" s="4" t="str">
        <f ca="1">IFERROR(__xludf.DUMMYFUNCTION("""COMPUTED_VALUE"""),"| 1 L CPT % | 2 L PHP-CGM % | 3 P Python % | 5 P JAVA % ")</f>
        <v xml:space="preserve">| 1 L CPT % | 2 L PHP-CGM % | 3 P Python % | 5 P JAVA % </v>
      </c>
      <c r="CH214" s="4" t="str">
        <f ca="1">IFERROR(__xludf.DUMMYFUNCTION("""COMPUTED_VALUE"""),"| 1 L NS % | 2 L PHP-CGM % | 3 P Python % | 5 P PHP-CGM % ")</f>
        <v xml:space="preserve">| 1 L NS % | 2 L PHP-CGM % | 3 P Python % | 5 P PHP-CGM % </v>
      </c>
      <c r="CI214" s="4" t="str">
        <f ca="1">IFERROR(__xludf.DUMMYFUNCTION("""COMPUTED_VALUE"""),"| 1 L CPT @ | 2 L JAVA @ ")</f>
        <v xml:space="preserve">| 1 L CPT @ | 2 L JAVA @ </v>
      </c>
      <c r="CJ214" s="4" t="str">
        <f ca="1">IFERROR(__xludf.DUMMYFUNCTION("""COMPUTED_VALUE"""),"| 1 L CPT @ | 3 P NS % ")</f>
        <v xml:space="preserve">| 1 L CPT @ | 3 P NS % </v>
      </c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</row>
    <row r="215" spans="1:102" ht="12.5" x14ac:dyDescent="0.25">
      <c r="A215" s="3">
        <f ca="1">IFERROR(__xludf.DUMMYFUNCTION("""COMPUTED_VALUE"""),2)</f>
        <v>2</v>
      </c>
      <c r="B215" s="3" t="str">
        <f ca="1">IFERROR(__xludf.DUMMYFUNCTION("""COMPUTED_VALUE"""),"C")</f>
        <v>C</v>
      </c>
      <c r="C215" s="32" t="str">
        <f ca="1">IFERROR(__xludf.DUMMYFUNCTION("""COMPUTED_VALUE"""),"23171341111")</f>
        <v>23171341111</v>
      </c>
      <c r="D215" s="4" t="str">
        <f ca="1">IFERROR(__xludf.DUMMYFUNCTION("""COMPUTED_VALUE"""),"PATEL PREYASI NILESHKUMAR")</f>
        <v>PATEL PREYASI NILESHKUMAR</v>
      </c>
      <c r="E215" s="3" t="str">
        <f ca="1">IFERROR(__xludf.DUMMYFUNCTION("""COMPUTED_VALUE"""),"PKN/PAP-Mor")</f>
        <v>PKN/PAP-Mor</v>
      </c>
      <c r="F215" s="3">
        <f ca="1">IFERROR(__xludf.DUMMYFUNCTION("""COMPUTED_VALUE"""),9924456788)</f>
        <v>9924456788</v>
      </c>
      <c r="G215" s="3">
        <f ca="1">IFERROR(__xludf.DUMMYFUNCTION("""COMPUTED_VALUE"""),9924456788)</f>
        <v>9924456788</v>
      </c>
      <c r="H215" s="33">
        <f ca="1">IFERROR(__xludf.DUMMYFUNCTION("""COMPUTED_VALUE"""),0.711382113821138)</f>
        <v>0.71138211382113803</v>
      </c>
      <c r="I215" s="25">
        <f ca="1">IFERROR(__xludf.DUMMYFUNCTION("""COMPUTED_VALUE"""),0.657894736842105)</f>
        <v>0.65789473684210498</v>
      </c>
      <c r="J215" s="25">
        <f ca="1">IFERROR(__xludf.DUMMYFUNCTION("""COMPUTED_VALUE"""),0.666666666666666)</f>
        <v>0.66666666666666596</v>
      </c>
      <c r="K215" s="25">
        <f ca="1">IFERROR(__xludf.DUMMYFUNCTION("""COMPUTED_VALUE"""),0.75)</f>
        <v>0.75</v>
      </c>
      <c r="L215" s="25">
        <f ca="1">IFERROR(__xludf.DUMMYFUNCTION("""COMPUTED_VALUE"""),0.916666666666666)</f>
        <v>0.91666666666666596</v>
      </c>
      <c r="M215" s="25">
        <f ca="1">IFERROR(__xludf.DUMMYFUNCTION("""COMPUTED_VALUE"""),0.722222222222222)</f>
        <v>0.72222222222222199</v>
      </c>
      <c r="N215" s="25">
        <f ca="1">IFERROR(__xludf.DUMMYFUNCTION("""COMPUTED_VALUE"""),0.8)</f>
        <v>0.8</v>
      </c>
      <c r="O215" s="25">
        <f ca="1">IFERROR(__xludf.DUMMYFUNCTION("""COMPUTED_VALUE"""),0.742857142857142)</f>
        <v>0.74285714285714199</v>
      </c>
      <c r="P215" s="25">
        <f ca="1">IFERROR(__xludf.DUMMYFUNCTION("""COMPUTED_VALUE"""),0.695652173913043)</f>
        <v>0.69565217391304301</v>
      </c>
      <c r="Q215" s="25">
        <f ca="1">IFERROR(__xludf.DUMMYFUNCTION("""COMPUTED_VALUE"""),0)</f>
        <v>0</v>
      </c>
      <c r="R215" s="25">
        <f ca="1">IFERROR(__xludf.DUMMYFUNCTION("""COMPUTED_VALUE"""),0.583333333333333)</f>
        <v>0.58333333333333304</v>
      </c>
      <c r="S215" s="25">
        <f ca="1">IFERROR(__xludf.DUMMYFUNCTION("""COMPUTED_VALUE"""),0)</f>
        <v>0</v>
      </c>
      <c r="T215" s="25">
        <f ca="1">IFERROR(__xludf.DUMMYFUNCTION("""COMPUTED_VALUE"""),0.666666666666666)</f>
        <v>0.66666666666666596</v>
      </c>
      <c r="U215" s="25">
        <f ca="1">IFERROR(__xludf.DUMMYFUNCTION("""COMPUTED_VALUE"""),0.75)</f>
        <v>0.75</v>
      </c>
      <c r="V215" s="25">
        <f ca="1">IFERROR(__xludf.DUMMYFUNCTION("""COMPUTED_VALUE"""),0)</f>
        <v>0</v>
      </c>
      <c r="W215" s="4"/>
      <c r="X21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Y215" s="4" t="str">
        <f ca="1">IFERROR(__xludf.DUMMYFUNCTION("""COMPUTED_VALUE"""),"| 1 L CPT % | 5 L PHP-CGM % | 3 P Python % | 5 P JAVA % ")</f>
        <v xml:space="preserve">| 1 L CPT % | 5 L PHP-CGM % | 3 P Python % | 5 P JAVA % </v>
      </c>
      <c r="Z215" s="4" t="str">
        <f ca="1">IFERROR(__xludf.DUMMYFUNCTION("""COMPUTED_VALUE"""),"| 1 L CPT % | 2 L PHP-CGM % | 3 P Python % | 5 P PHP-CGM % ")</f>
        <v xml:space="preserve">| 1 L CPT % | 2 L PHP-CGM % | 3 P Python % | 5 P PHP-CGM % </v>
      </c>
      <c r="AA215" s="4" t="str">
        <f ca="1">IFERROR(__xludf.DUMMYFUNCTION("""COMPUTED_VALUE"""),"| 1 L NS % | 2 L JAVA % | 3 P CPT % | 5 P JAVA % ")</f>
        <v xml:space="preserve">| 1 L NS % | 2 L JAVA % | 3 P CPT % | 5 P JAVA % </v>
      </c>
      <c r="AB215" s="4" t="str">
        <f ca="1">IFERROR(__xludf.DUMMYFUNCTION("""COMPUTED_VALUE"""),"| 1 L CPT @ | 2 L JAVA @ | 3 P NS @ ")</f>
        <v xml:space="preserve">| 1 L CPT @ | 2 L JAVA @ | 3 P NS @ </v>
      </c>
      <c r="AC215" s="4" t="str">
        <f ca="1">IFERROR(__xludf.DUMMYFUNCTION("""COMPUTED_VALUE"""),"| 1 L NS % | 2 L PHP-CGM % | 3 P PRO @ | 5 L JAVA @ | 6 L NS @ ")</f>
        <v xml:space="preserve">| 1 L NS % | 2 L PHP-CGM % | 3 P PRO @ | 5 L JAVA @ | 6 L NS @ </v>
      </c>
      <c r="AD215" s="4" t="str">
        <f ca="1">IFERROR(__xludf.DUMMYFUNCTION("""COMPUTED_VALUE"""),"| 1 L CPT % | 2 L PHP-CGM % | 3 P Python % | 5 P JAVA % ")</f>
        <v xml:space="preserve">| 1 L CPT % | 2 L PHP-CGM % | 3 P Python % | 5 P JAVA % </v>
      </c>
      <c r="AE215" s="4" t="str">
        <f ca="1">IFERROR(__xludf.DUMMYFUNCTION("""COMPUTED_VALUE"""),"| 1 L CPT % | 3 P Python % | 5 P PHP-CGM % | 2 L PHP-CGM % ")</f>
        <v xml:space="preserve">| 1 L CPT % | 3 P Python % | 5 P PHP-CGM % | 2 L PHP-CGM % </v>
      </c>
      <c r="AF215" s="4" t="str">
        <f ca="1">IFERROR(__xludf.DUMMYFUNCTION("""COMPUTED_VALUE"""),"| 1 L NS @ | 2 L CPT @ | 3 P CPT @ | 5 P JAVA @ ")</f>
        <v xml:space="preserve">| 1 L NS @ | 2 L CPT @ | 3 P CPT @ | 5 P JAVA @ </v>
      </c>
      <c r="AG215" s="4" t="str">
        <f ca="1">IFERROR(__xludf.DUMMYFUNCTION("""COMPUTED_VALUE"""),"| 1 L CPT % | 2 L JAVA % | 3 P NS % ")</f>
        <v xml:space="preserve">| 1 L CPT % | 2 L JAVA % | 3 P NS % </v>
      </c>
      <c r="AH215" s="4" t="str">
        <f ca="1">IFERROR(__xludf.DUMMYFUNCTION("""COMPUTED_VALUE"""),"| 2 L JAVA @ | 1 L NS % | 3 P CPT % | 5 P JAVA % ")</f>
        <v xml:space="preserve">| 2 L JAVA @ | 1 L NS % | 3 P CPT % | 5 P JAVA % </v>
      </c>
      <c r="AI215" s="4" t="str">
        <f ca="1">IFERROR(__xludf.DUMMYFUNCTION("""COMPUTED_VALUE"""),"| 1 L CPT % | 2 L JAVA % | 3 P NS % ")</f>
        <v xml:space="preserve">| 1 L CPT % | 2 L JAVA % | 3 P NS % </v>
      </c>
      <c r="AJ215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15" s="4" t="str">
        <f ca="1">IFERROR(__xludf.DUMMYFUNCTION("""COMPUTED_VALUE"""),"| 1 L CPT % | 3 P Python % | 2 L PHP-CGM % | 5 P JAVA % ")</f>
        <v xml:space="preserve">| 1 L CPT % | 3 P Python % | 2 L PHP-CGM % | 5 P JAVA % </v>
      </c>
      <c r="AL215" s="4" t="str">
        <f ca="1">IFERROR(__xludf.DUMMYFUNCTION("""COMPUTED_VALUE"""),"| 1 L CPT % | 2 L PHP-CGM % | 3 P Python % | 5 P PHP-CGM % ")</f>
        <v xml:space="preserve">| 1 L CPT % | 2 L PHP-CGM % | 3 P Python % | 5 P PHP-CGM % </v>
      </c>
      <c r="AM215" s="4" t="str">
        <f ca="1">IFERROR(__xludf.DUMMYFUNCTION("""COMPUTED_VALUE"""),"| 2 L JAVA % | 3 P CPT % | 5 P JAVA % | 1 L NS % ")</f>
        <v xml:space="preserve">| 2 L JAVA % | 3 P CPT % | 5 P JAVA % | 1 L NS % </v>
      </c>
      <c r="AN215" s="4" t="str">
        <f ca="1">IFERROR(__xludf.DUMMYFUNCTION("""COMPUTED_VALUE"""),"| 1 L CPT % | 2 L JAVA % | 3 P NS % | 5 L INE @ ")</f>
        <v xml:space="preserve">| 1 L CPT % | 2 L JAVA % | 3 P NS % | 5 L INE @ </v>
      </c>
      <c r="AO21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P215" s="4" t="str">
        <f ca="1">IFERROR(__xludf.DUMMYFUNCTION("""COMPUTED_VALUE"""),"| 1 L CPT % | 2 L PHP-CGM % | 3 P Python @ | 5 P JAVA % ")</f>
        <v xml:space="preserve">| 1 L CPT % | 2 L PHP-CGM % | 3 P Python @ | 5 P JAVA % </v>
      </c>
      <c r="AQ215" s="4" t="str">
        <f ca="1">IFERROR(__xludf.DUMMYFUNCTION("""COMPUTED_VALUE"""),"| 2 L PHP-CGM % | 3 P Python % | 5 P PHP-CGM % | 1 L NS % ")</f>
        <v xml:space="preserve">| 2 L PHP-CGM % | 3 P Python % | 5 P PHP-CGM % | 1 L NS % </v>
      </c>
      <c r="AR215" s="4" t="str">
        <f ca="1">IFERROR(__xludf.DUMMYFUNCTION("""COMPUTED_VALUE"""),"| 1 L CPT @ | 2 L JAVA @ | 3 P CPT @ | 5 P JAVA @ ")</f>
        <v xml:space="preserve">| 1 L CPT @ | 2 L JAVA @ | 3 P CPT @ | 5 P JAVA @ </v>
      </c>
      <c r="AS215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AT215" s="4" t="str">
        <f ca="1">IFERROR(__xludf.DUMMYFUNCTION("""COMPUTED_VALUE"""),"| 1 L CPT @ | 2 L PHP-CGM @ | 3 P Python @ | 5 P JAVA @ ")</f>
        <v xml:space="preserve">| 1 L CPT @ | 2 L PHP-CGM @ | 3 P Python @ | 5 P JAVA @ </v>
      </c>
      <c r="AU215" s="4" t="str">
        <f ca="1">IFERROR(__xludf.DUMMYFUNCTION("""COMPUTED_VALUE"""),"| 1 L NS % | 2 L PHP-CGM % | 3 P Python @ | 5 P PHP-CGM % ")</f>
        <v xml:space="preserve">| 1 L NS % | 2 L PHP-CGM % | 3 P Python @ | 5 P PHP-CGM % </v>
      </c>
      <c r="AV215" s="4" t="str">
        <f ca="1">IFERROR(__xludf.DUMMYFUNCTION("""COMPUTED_VALUE"""),"| 1 L CPT % | 2 L JAVA % | 5 P JAVA % | 3 P CPT % ")</f>
        <v xml:space="preserve">| 1 L CPT % | 2 L JAVA % | 5 P JAVA % | 3 P CPT % </v>
      </c>
      <c r="AW215" s="4" t="str">
        <f ca="1">IFERROR(__xludf.DUMMYFUNCTION("""COMPUTED_VALUE"""),"| 1 L CPT % | 2 L JAVA % | 3 P NS % | 5 L INE % | 6 L INE % ")</f>
        <v xml:space="preserve">| 1 L CPT % | 2 L JAVA % | 3 P NS % | 5 L INE % | 6 L INE % </v>
      </c>
      <c r="AX215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215" s="4" t="str">
        <f ca="1">IFERROR(__xludf.DUMMYFUNCTION("""COMPUTED_VALUE"""),"| 1 L CPT % | 2 L PHP-CGM % | 3 P Python % | 5 P JAVA % ")</f>
        <v xml:space="preserve">| 1 L CPT % | 2 L PHP-CGM % | 3 P Python % | 5 P JAVA % </v>
      </c>
      <c r="AZ215" s="4" t="str">
        <f ca="1">IFERROR(__xludf.DUMMYFUNCTION("""COMPUTED_VALUE"""),"| 1 L CPT % | 2 L JAVA % | 3 P CPT % | 5 P JAVA % ")</f>
        <v xml:space="preserve">| 1 L CPT % | 2 L JAVA % | 3 P CPT % | 5 P JAVA % </v>
      </c>
      <c r="BA215" s="4" t="str">
        <f ca="1">IFERROR(__xludf.DUMMYFUNCTION("""COMPUTED_VALUE"""),"| 1 L CPT % | 2 L JAVA % | 3 P NS % | 5 L INE @ ")</f>
        <v xml:space="preserve">| 1 L CPT % | 2 L JAVA % | 3 P NS % | 5 L INE @ </v>
      </c>
      <c r="BB21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C215" s="4" t="str">
        <f ca="1">IFERROR(__xludf.DUMMYFUNCTION("""COMPUTED_VALUE"""),"| 1 L CPT @ | 2 L PHP-CGM @ | 3 P Python @ | 5 P JAVA @ ")</f>
        <v xml:space="preserve">| 1 L CPT @ | 2 L PHP-CGM @ | 3 P Python @ | 5 P JAVA @ </v>
      </c>
      <c r="BD215" s="4" t="str">
        <f ca="1">IFERROR(__xludf.DUMMYFUNCTION("""COMPUTED_VALUE"""),"| 1 L NS % | 2 L PHP-CGM % | 3 P Python % | 5 P PHP-CGM @ ")</f>
        <v xml:space="preserve">| 1 L NS % | 2 L PHP-CGM % | 3 P Python % | 5 P PHP-CGM @ </v>
      </c>
      <c r="BE215" s="4" t="str">
        <f ca="1">IFERROR(__xludf.DUMMYFUNCTION("""COMPUTED_VALUE"""),"| 1 L CPT % | 2 L JAVA % | 3 P CPT % | 5 P JAVA % ")</f>
        <v xml:space="preserve">| 1 L CPT % | 2 L JAVA % | 3 P CPT % | 5 P JAVA % </v>
      </c>
      <c r="BF215" s="4" t="str">
        <f ca="1">IFERROR(__xludf.DUMMYFUNCTION("""COMPUTED_VALUE"""),"| 1 L CPT % | 2 L JAVA % | 3 P NS % ")</f>
        <v xml:space="preserve">| 1 L CPT % | 2 L JAVA % | 3 P NS % </v>
      </c>
      <c r="BG215" s="4" t="str">
        <f ca="1">IFERROR(__xludf.DUMMYFUNCTION("""COMPUTED_VALUE"""),"| 2 L PHP-CGM @ | 1 L CPT @ | 3 P Python @ | 5 P JAVA @ ")</f>
        <v xml:space="preserve">| 2 L PHP-CGM @ | 1 L CPT @ | 3 P Python @ | 5 P JAVA @ </v>
      </c>
      <c r="BH215" s="4" t="str">
        <f ca="1">IFERROR(__xludf.DUMMYFUNCTION("""COMPUTED_VALUE"""),"| 1 L NS @ | 2 L PHP-CGM @ | 3 P Python @ | 5 P PHP-CGM @ ")</f>
        <v xml:space="preserve">| 1 L NS @ | 2 L PHP-CGM @ | 3 P Python @ | 5 P PHP-CGM @ </v>
      </c>
      <c r="BI215" s="4" t="str">
        <f ca="1">IFERROR(__xludf.DUMMYFUNCTION("""COMPUTED_VALUE"""),"| 1 L CPT % | 2 L JAVA % | 3 P CPT % | 5 P JAVA % ")</f>
        <v xml:space="preserve">| 1 L CPT % | 2 L JAVA % | 3 P CPT % | 5 P JAVA % </v>
      </c>
      <c r="BJ215" s="4" t="str">
        <f ca="1">IFERROR(__xludf.DUMMYFUNCTION("""COMPUTED_VALUE"""),"| 1 L CPT % | 2 L JAVA % | 3 P NS % | 5 L INE % ")</f>
        <v xml:space="preserve">| 1 L CPT % | 2 L JAVA % | 3 P NS % | 5 L INE % </v>
      </c>
      <c r="BK215" s="4" t="str">
        <f ca="1">IFERROR(__xludf.DUMMYFUNCTION("""COMPUTED_VALUE"""),"| 1 L NS % | 2 L PHP-CGM % | 3 P PRO @ | 5 L NS % | 6 L JAVA % ")</f>
        <v xml:space="preserve">| 1 L NS % | 2 L PHP-CGM % | 3 P PRO @ | 5 L NS % | 6 L JAVA % </v>
      </c>
      <c r="BL215" s="4" t="str">
        <f ca="1">IFERROR(__xludf.DUMMYFUNCTION("""COMPUTED_VALUE"""),"| 1 L CPT % | 2 L PHP-CGM % | 3 P Python % | 5 P JAVA % ")</f>
        <v xml:space="preserve">| 1 L CPT % | 2 L PHP-CGM % | 3 P Python % | 5 P JAVA % </v>
      </c>
      <c r="BM215" s="4" t="str">
        <f ca="1">IFERROR(__xludf.DUMMYFUNCTION("""COMPUTED_VALUE"""),"| 1 L NS @ | 2 L PHP-CGM @ | 3 P Python @ ")</f>
        <v xml:space="preserve">| 1 L NS @ | 2 L PHP-CGM @ | 3 P Python @ </v>
      </c>
      <c r="BN215" s="4" t="str">
        <f ca="1">IFERROR(__xludf.DUMMYFUNCTION("""COMPUTED_VALUE"""),"| 2 L JAVA @ | 1 L CPT @ | 3 P CPT @ | 5 P JAVA @ ")</f>
        <v xml:space="preserve">| 2 L JAVA @ | 1 L CPT @ | 3 P CPT @ | 5 P JAVA @ </v>
      </c>
      <c r="BO215" s="4" t="str">
        <f ca="1">IFERROR(__xludf.DUMMYFUNCTION("""COMPUTED_VALUE"""),"| 2 L JAVA % | 1 L CPT % | 3 P NS % | 5 L INE % ")</f>
        <v xml:space="preserve">| 2 L JAVA % | 1 L CPT % | 3 P NS % | 5 L INE % </v>
      </c>
      <c r="BP21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BQ215" s="4"/>
      <c r="BR215" s="4"/>
      <c r="BS215" s="4"/>
      <c r="BT215" s="4" t="str">
        <f ca="1">IFERROR(__xludf.DUMMYFUNCTION("""COMPUTED_VALUE"""),"| 1 L NS % | 2 L PHP-CGM % | 3 P PRO @ ")</f>
        <v xml:space="preserve">| 1 L NS % | 2 L PHP-CGM % | 3 P PRO @ </v>
      </c>
      <c r="BU215" s="4" t="str">
        <f ca="1">IFERROR(__xludf.DUMMYFUNCTION("""COMPUTED_VALUE"""),"| 1 L CPT @ | 3 P Python @ ")</f>
        <v xml:space="preserve">| 1 L CPT @ | 3 P Python @ </v>
      </c>
      <c r="BV215" s="4" t="str">
        <f ca="1">IFERROR(__xludf.DUMMYFUNCTION("""COMPUTED_VALUE"""),"| 1 L NS % | 2 L PHP-CGM % | 3 P PRO % | 6 L JAVA % ")</f>
        <v xml:space="preserve">| 1 L NS % | 2 L PHP-CGM % | 3 P PRO % | 6 L JAVA % </v>
      </c>
      <c r="BW215" s="4" t="str">
        <f ca="1">IFERROR(__xludf.DUMMYFUNCTION("""COMPUTED_VALUE"""),"| 1 L CPT % | 2 L PHP-CGM % | 3 P Python % ")</f>
        <v xml:space="preserve">| 1 L CPT % | 2 L PHP-CGM % | 3 P Python % </v>
      </c>
      <c r="BX215" s="4" t="str">
        <f ca="1">IFERROR(__xludf.DUMMYFUNCTION("""COMPUTED_VALUE"""),"| 1 L NS % | 2 L PHP-CGM % | 3 P Python % | 5 P PHP-CGM % ")</f>
        <v xml:space="preserve">| 1 L NS % | 2 L PHP-CGM % | 3 P Python % | 5 P PHP-CGM % </v>
      </c>
      <c r="BY215" s="4" t="str">
        <f ca="1">IFERROR(__xludf.DUMMYFUNCTION("""COMPUTED_VALUE"""),"| 1 L CPT % | 2 L JAVA % | 3 P CPT % | 5 P JAVA % ")</f>
        <v xml:space="preserve">| 1 L CPT % | 2 L JAVA % | 3 P CPT % | 5 P JAVA % </v>
      </c>
      <c r="BZ215" s="4" t="str">
        <f ca="1">IFERROR(__xludf.DUMMYFUNCTION("""COMPUTED_VALUE"""),"| 1 L CPT % | 2 L JAVA % | 3 P NS % | 5 L INE % ")</f>
        <v xml:space="preserve">| 1 L CPT % | 2 L JAVA % | 3 P NS % | 5 L INE % </v>
      </c>
      <c r="CA215" s="4" t="str">
        <f ca="1">IFERROR(__xludf.DUMMYFUNCTION("""COMPUTED_VALUE"""),"| 1 L NS % | 2 L PHP-CGM % | 3 P PRO % | 5 L NS % | 6 L JAVA % ")</f>
        <v xml:space="preserve">| 1 L NS % | 2 L PHP-CGM % | 3 P PRO % | 5 L NS % | 6 L JAVA % </v>
      </c>
      <c r="CB215" s="4" t="str">
        <f ca="1">IFERROR(__xludf.DUMMYFUNCTION("""COMPUTED_VALUE"""),"| 2 L PHP-CGM @ | 3 P Python @ | 5 P JAVA % | 1 L CPT @ ")</f>
        <v xml:space="preserve">| 2 L PHP-CGM @ | 3 P Python @ | 5 P JAVA % | 1 L CPT @ </v>
      </c>
      <c r="CC215" s="4" t="str">
        <f ca="1">IFERROR(__xludf.DUMMYFUNCTION("""COMPUTED_VALUE"""),"| 1 L NS % | 2 L PHP-CGM % | 3 P Python % | 5 P PHP-CGM % ")</f>
        <v xml:space="preserve">| 1 L NS % | 2 L PHP-CGM % | 3 P Python % | 5 P PHP-CGM % </v>
      </c>
      <c r="CD215" s="4" t="str">
        <f ca="1">IFERROR(__xludf.DUMMYFUNCTION("""COMPUTED_VALUE"""),"| 1 L CPT @ | 2 L JAVA @ | 3 P CPT @ | 5 P JAVA @ ")</f>
        <v xml:space="preserve">| 1 L CPT @ | 2 L JAVA @ | 3 P CPT @ | 5 P JAVA @ </v>
      </c>
      <c r="CE215" s="4" t="str">
        <f ca="1">IFERROR(__xludf.DUMMYFUNCTION("""COMPUTED_VALUE"""),"| 1 L CPT % | 2 L JAVA % | 3 P NS % | 5 L INE % ")</f>
        <v xml:space="preserve">| 1 L CPT % | 2 L JAVA % | 3 P NS % | 5 L INE % </v>
      </c>
      <c r="CF215" s="4" t="str">
        <f ca="1">IFERROR(__xludf.DUMMYFUNCTION("""COMPUTED_VALUE"""),"| 1 L NS @ | 2 L PHP-CGM @ | 5 L NS @ | 6 L JAVA @ ")</f>
        <v xml:space="preserve">| 1 L NS @ | 2 L PHP-CGM @ | 5 L NS @ | 6 L JAVA @ </v>
      </c>
      <c r="CG215" s="4" t="str">
        <f ca="1">IFERROR(__xludf.DUMMYFUNCTION("""COMPUTED_VALUE"""),"| 1 L CPT @ | 2 L PHP-CGM @ | 3 P Python % | 5 P JAVA % ")</f>
        <v xml:space="preserve">| 1 L CPT @ | 2 L PHP-CGM @ | 3 P Python % | 5 P JAVA % </v>
      </c>
      <c r="CH215" s="4" t="str">
        <f ca="1">IFERROR(__xludf.DUMMYFUNCTION("""COMPUTED_VALUE"""),"| 1 L NS @ | 2 L PHP-CGM @ | 3 P Python @ | 5 P PHP-CGM % ")</f>
        <v xml:space="preserve">| 1 L NS @ | 2 L PHP-CGM @ | 3 P Python @ | 5 P PHP-CGM % </v>
      </c>
      <c r="CI215" s="4" t="str">
        <f ca="1">IFERROR(__xludf.DUMMYFUNCTION("""COMPUTED_VALUE"""),"| 1 L CPT @ | 2 L JAVA @ ")</f>
        <v xml:space="preserve">| 1 L CPT @ | 2 L JAVA @ </v>
      </c>
      <c r="CJ215" s="4" t="str">
        <f ca="1">IFERROR(__xludf.DUMMYFUNCTION("""COMPUTED_VALUE"""),"| 1 L CPT @ | 3 P NS % ")</f>
        <v xml:space="preserve">| 1 L CPT @ | 3 P NS % </v>
      </c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</row>
    <row r="216" spans="1:102" ht="12.5" x14ac:dyDescent="0.25">
      <c r="A216" s="3">
        <f ca="1">IFERROR(__xludf.DUMMYFUNCTION("""COMPUTED_VALUE"""),2)</f>
        <v>2</v>
      </c>
      <c r="B216" s="3" t="str">
        <f ca="1">IFERROR(__xludf.DUMMYFUNCTION("""COMPUTED_VALUE"""),"C")</f>
        <v>C</v>
      </c>
      <c r="C216" s="32" t="str">
        <f ca="1">IFERROR(__xludf.DUMMYFUNCTION("""COMPUTED_VALUE"""),"23171341113")</f>
        <v>23171341113</v>
      </c>
      <c r="D216" s="4" t="str">
        <f ca="1">IFERROR(__xludf.DUMMYFUNCTION("""COMPUTED_VALUE"""),"PATEL PRINCE PRAKASHBHAI")</f>
        <v>PATEL PRINCE PRAKASHBHAI</v>
      </c>
      <c r="E216" s="3" t="str">
        <f ca="1">IFERROR(__xludf.DUMMYFUNCTION("""COMPUTED_VALUE"""),"PKN/PAP-Mor")</f>
        <v>PKN/PAP-Mor</v>
      </c>
      <c r="F216" s="3">
        <f ca="1">IFERROR(__xludf.DUMMYFUNCTION("""COMPUTED_VALUE"""),9909329821)</f>
        <v>9909329821</v>
      </c>
      <c r="G216" s="3">
        <f ca="1">IFERROR(__xludf.DUMMYFUNCTION("""COMPUTED_VALUE"""),9377714196)</f>
        <v>9377714196</v>
      </c>
      <c r="H216" s="33">
        <f ca="1">IFERROR(__xludf.DUMMYFUNCTION("""COMPUTED_VALUE"""),0.439024390243902)</f>
        <v>0.439024390243902</v>
      </c>
      <c r="I216" s="25">
        <f ca="1">IFERROR(__xludf.DUMMYFUNCTION("""COMPUTED_VALUE"""),0.5)</f>
        <v>0.5</v>
      </c>
      <c r="J216" s="25">
        <f ca="1">IFERROR(__xludf.DUMMYFUNCTION("""COMPUTED_VALUE"""),0.416666666666666)</f>
        <v>0.41666666666666602</v>
      </c>
      <c r="K216" s="25">
        <f ca="1">IFERROR(__xludf.DUMMYFUNCTION("""COMPUTED_VALUE"""),0.416666666666666)</f>
        <v>0.41666666666666602</v>
      </c>
      <c r="L216" s="25">
        <f ca="1">IFERROR(__xludf.DUMMYFUNCTION("""COMPUTED_VALUE"""),0.333333333333333)</f>
        <v>0.33333333333333298</v>
      </c>
      <c r="M216" s="25">
        <f ca="1">IFERROR(__xludf.DUMMYFUNCTION("""COMPUTED_VALUE"""),0.527777777777777)</f>
        <v>0.52777777777777701</v>
      </c>
      <c r="N216" s="25">
        <f ca="1">IFERROR(__xludf.DUMMYFUNCTION("""COMPUTED_VALUE"""),0.8)</f>
        <v>0.8</v>
      </c>
      <c r="O216" s="25">
        <f ca="1">IFERROR(__xludf.DUMMYFUNCTION("""COMPUTED_VALUE"""),0.4)</f>
        <v>0.4</v>
      </c>
      <c r="P216" s="25">
        <f ca="1">IFERROR(__xludf.DUMMYFUNCTION("""COMPUTED_VALUE"""),0.347826086956521)</f>
        <v>0.34782608695652101</v>
      </c>
      <c r="Q216" s="25">
        <f ca="1">IFERROR(__xludf.DUMMYFUNCTION("""COMPUTED_VALUE"""),0)</f>
        <v>0</v>
      </c>
      <c r="R216" s="25">
        <f ca="1">IFERROR(__xludf.DUMMYFUNCTION("""COMPUTED_VALUE"""),0.5)</f>
        <v>0.5</v>
      </c>
      <c r="S216" s="25">
        <f ca="1">IFERROR(__xludf.DUMMYFUNCTION("""COMPUTED_VALUE"""),0)</f>
        <v>0</v>
      </c>
      <c r="T216" s="25">
        <f ca="1">IFERROR(__xludf.DUMMYFUNCTION("""COMPUTED_VALUE"""),0.25)</f>
        <v>0.25</v>
      </c>
      <c r="U216" s="25">
        <f ca="1">IFERROR(__xludf.DUMMYFUNCTION("""COMPUTED_VALUE"""),0.125)</f>
        <v>0.125</v>
      </c>
      <c r="V216" s="25">
        <f ca="1">IFERROR(__xludf.DUMMYFUNCTION("""COMPUTED_VALUE"""),0)</f>
        <v>0</v>
      </c>
      <c r="W216" s="4"/>
      <c r="X216" s="4" t="str">
        <f ca="1">IFERROR(__xludf.DUMMYFUNCTION("""COMPUTED_VALUE"""),"| 1 L NS @ | 2 L PHP-CGM @ | 3 P PRO @ | 5 L JAVA @ | 6 L NS @ ")</f>
        <v xml:space="preserve">| 1 L NS @ | 2 L PHP-CGM @ | 3 P PRO @ | 5 L JAVA @ | 6 L NS @ </v>
      </c>
      <c r="Y216" s="4" t="str">
        <f ca="1">IFERROR(__xludf.DUMMYFUNCTION("""COMPUTED_VALUE"""),"| 1 L CPT % | 5 L PHP-CGM % | 3 P Python % | 5 P JAVA % ")</f>
        <v xml:space="preserve">| 1 L CPT % | 5 L PHP-CGM % | 3 P Python % | 5 P JAVA % </v>
      </c>
      <c r="Z216" s="4" t="str">
        <f ca="1">IFERROR(__xludf.DUMMYFUNCTION("""COMPUTED_VALUE"""),"| 1 L CPT % | 2 L PHP-CGM % | 3 P Python % | 5 P PHP-CGM % ")</f>
        <v xml:space="preserve">| 1 L CPT % | 2 L PHP-CGM % | 3 P Python % | 5 P PHP-CGM % </v>
      </c>
      <c r="AA216" s="4" t="str">
        <f ca="1">IFERROR(__xludf.DUMMYFUNCTION("""COMPUTED_VALUE"""),"| 1 L NS % | 2 L JAVA % | 3 P CPT @ | 5 P JAVA @ ")</f>
        <v xml:space="preserve">| 1 L NS % | 2 L JAVA % | 3 P CPT @ | 5 P JAVA @ </v>
      </c>
      <c r="AB216" s="4" t="str">
        <f ca="1">IFERROR(__xludf.DUMMYFUNCTION("""COMPUTED_VALUE"""),"| 1 L CPT % | 2 L JAVA % | 3 P NS @ ")</f>
        <v xml:space="preserve">| 1 L CPT % | 2 L JAVA % | 3 P NS @ </v>
      </c>
      <c r="AC21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D216" s="4" t="str">
        <f ca="1">IFERROR(__xludf.DUMMYFUNCTION("""COMPUTED_VALUE"""),"| 1 L CPT % | 2 L PHP-CGM % | 3 P Python % | 5 P JAVA @ ")</f>
        <v xml:space="preserve">| 1 L CPT % | 2 L PHP-CGM % | 3 P Python % | 5 P JAVA @ </v>
      </c>
      <c r="AE216" s="4" t="str">
        <f ca="1">IFERROR(__xludf.DUMMYFUNCTION("""COMPUTED_VALUE"""),"| 1 L CPT % | 3 P Python % | 5 P PHP-CGM % | 2 L PHP-CGM % ")</f>
        <v xml:space="preserve">| 1 L CPT % | 3 P Python % | 5 P PHP-CGM % | 2 L PHP-CGM % </v>
      </c>
      <c r="AF216" s="4" t="str">
        <f ca="1">IFERROR(__xludf.DUMMYFUNCTION("""COMPUTED_VALUE"""),"| 1 L NS % | 2 L CPT % | 3 P CPT % | 5 P JAVA % ")</f>
        <v xml:space="preserve">| 1 L NS % | 2 L CPT % | 3 P CPT % | 5 P JAVA % </v>
      </c>
      <c r="AG216" s="4" t="str">
        <f ca="1">IFERROR(__xludf.DUMMYFUNCTION("""COMPUTED_VALUE"""),"| 1 L CPT % | 2 L JAVA % | 3 P NS % ")</f>
        <v xml:space="preserve">| 1 L CPT % | 2 L JAVA % | 3 P NS % </v>
      </c>
      <c r="AH216" s="4" t="str">
        <f ca="1">IFERROR(__xludf.DUMMYFUNCTION("""COMPUTED_VALUE"""),"| 2 L JAVA % | 1 L NS % | 3 P CPT % | 5 P JAVA % ")</f>
        <v xml:space="preserve">| 2 L JAVA % | 1 L NS % | 3 P CPT % | 5 P JAVA % </v>
      </c>
      <c r="AI216" s="4" t="str">
        <f ca="1">IFERROR(__xludf.DUMMYFUNCTION("""COMPUTED_VALUE"""),"| 1 L CPT % | 2 L JAVA % | 3 P NS @ ")</f>
        <v xml:space="preserve">| 1 L CPT % | 2 L JAVA % | 3 P NS @ </v>
      </c>
      <c r="AJ216" s="4" t="str">
        <f ca="1">IFERROR(__xludf.DUMMYFUNCTION("""COMPUTED_VALUE"""),"| 1 L NS % | 2 L PHP-CGM % | 3 P PRO % | 5 L JAVA % | 6 L NS % ")</f>
        <v xml:space="preserve">| 1 L NS % | 2 L PHP-CGM % | 3 P PRO % | 5 L JAVA % | 6 L NS % </v>
      </c>
      <c r="AK216" s="4" t="str">
        <f ca="1">IFERROR(__xludf.DUMMYFUNCTION("""COMPUTED_VALUE"""),"| 1 L CPT % | 3 P Python % | 2 L PHP-CGM % | 5 P JAVA % ")</f>
        <v xml:space="preserve">| 1 L CPT % | 3 P Python % | 2 L PHP-CGM % | 5 P JAVA % </v>
      </c>
      <c r="AL216" s="4" t="str">
        <f ca="1">IFERROR(__xludf.DUMMYFUNCTION("""COMPUTED_VALUE"""),"| 1 L CPT % | 2 L PHP-CGM % | 3 P Python % | 5 P PHP-CGM % ")</f>
        <v xml:space="preserve">| 1 L CPT % | 2 L PHP-CGM % | 3 P Python % | 5 P PHP-CGM % </v>
      </c>
      <c r="AM216" s="4" t="str">
        <f ca="1">IFERROR(__xludf.DUMMYFUNCTION("""COMPUTED_VALUE"""),"| 2 L JAVA % | 3 P CPT % | 5 P JAVA @ | 1 L NS % ")</f>
        <v xml:space="preserve">| 2 L JAVA % | 3 P CPT % | 5 P JAVA @ | 1 L NS % </v>
      </c>
      <c r="AN216" s="4" t="str">
        <f ca="1">IFERROR(__xludf.DUMMYFUNCTION("""COMPUTED_VALUE"""),"| 1 L CPT % | 2 L JAVA % | 3 P NS % | 5 L INE @ ")</f>
        <v xml:space="preserve">| 1 L CPT % | 2 L JAVA % | 3 P NS % | 5 L INE @ </v>
      </c>
      <c r="AO216" s="4" t="str">
        <f ca="1">IFERROR(__xludf.DUMMYFUNCTION("""COMPUTED_VALUE"""),"| 1 L NS @ | 2 L PHP-CGM % | 3 P PRO @ | 5 L NS @ | 5 L JAVA @ ")</f>
        <v xml:space="preserve">| 1 L NS @ | 2 L PHP-CGM % | 3 P PRO @ | 5 L NS @ | 5 L JAVA @ </v>
      </c>
      <c r="AP216" s="4" t="str">
        <f ca="1">IFERROR(__xludf.DUMMYFUNCTION("""COMPUTED_VALUE"""),"| 1 L CPT % | 2 L PHP-CGM % | 3 P Python % | 5 P JAVA % ")</f>
        <v xml:space="preserve">| 1 L CPT % | 2 L PHP-CGM % | 3 P Python % | 5 P JAVA % </v>
      </c>
      <c r="AQ216" s="4" t="str">
        <f ca="1">IFERROR(__xludf.DUMMYFUNCTION("""COMPUTED_VALUE"""),"| 2 L PHP-CGM % | 3 P Python % | 5 P PHP-CGM % | 1 L NS % ")</f>
        <v xml:space="preserve">| 2 L PHP-CGM % | 3 P Python % | 5 P PHP-CGM % | 1 L NS % </v>
      </c>
      <c r="AR216" s="4" t="str">
        <f ca="1">IFERROR(__xludf.DUMMYFUNCTION("""COMPUTED_VALUE"""),"| 1 L CPT % | 2 L JAVA % | 3 P CPT % | 5 P JAVA % ")</f>
        <v xml:space="preserve">| 1 L CPT % | 2 L JAVA % | 3 P CPT % | 5 P JAVA % </v>
      </c>
      <c r="AS216" s="4" t="str">
        <f ca="1">IFERROR(__xludf.DUMMYFUNCTION("""COMPUTED_VALUE"""),"| 1 L NS % | 2 L PHP-CGM % | 3 P PRO @ | 5 L NS @ | 6 L JAVA @ ")</f>
        <v xml:space="preserve">| 1 L NS % | 2 L PHP-CGM % | 3 P PRO @ | 5 L NS @ | 6 L JAVA @ </v>
      </c>
      <c r="AT216" s="4" t="str">
        <f ca="1">IFERROR(__xludf.DUMMYFUNCTION("""COMPUTED_VALUE"""),"| 1 L CPT % | 2 L PHP-CGM % | 3 P Python @ | 5 P JAVA @ ")</f>
        <v xml:space="preserve">| 1 L CPT % | 2 L PHP-CGM % | 3 P Python @ | 5 P JAVA @ </v>
      </c>
      <c r="AU216" s="4" t="str">
        <f ca="1">IFERROR(__xludf.DUMMYFUNCTION("""COMPUTED_VALUE"""),"| 1 L NS % | 2 L PHP-CGM % | 3 P Python % | 5 P PHP-CGM % ")</f>
        <v xml:space="preserve">| 1 L NS % | 2 L PHP-CGM % | 3 P Python % | 5 P PHP-CGM % </v>
      </c>
      <c r="AV216" s="4" t="str">
        <f ca="1">IFERROR(__xludf.DUMMYFUNCTION("""COMPUTED_VALUE"""),"| 1 L CPT % | 2 L JAVA % | 5 P JAVA % | 3 P CPT % ")</f>
        <v xml:space="preserve">| 1 L CPT % | 2 L JAVA % | 5 P JAVA % | 3 P CPT % </v>
      </c>
      <c r="AW216" s="4" t="str">
        <f ca="1">IFERROR(__xludf.DUMMYFUNCTION("""COMPUTED_VALUE"""),"| 1 L CPT % | 2 L JAVA % | 3 P NS % | 5 L INE @ | 6 L INE @ ")</f>
        <v xml:space="preserve">| 1 L CPT % | 2 L JAVA % | 3 P NS % | 5 L INE @ | 6 L INE @ </v>
      </c>
      <c r="AX216" s="4" t="str">
        <f ca="1">IFERROR(__xludf.DUMMYFUNCTION("""COMPUTED_VALUE"""),"| 1 L NS % | 2 L PHP-CGM % | 3 P PRO % | 5 L NS % | 5 L JAVA % ")</f>
        <v xml:space="preserve">| 1 L NS % | 2 L PHP-CGM % | 3 P PRO % | 5 L NS % | 5 L JAVA % </v>
      </c>
      <c r="AY216" s="4" t="str">
        <f ca="1">IFERROR(__xludf.DUMMYFUNCTION("""COMPUTED_VALUE"""),"| 1 L CPT % | 2 L PHP-CGM % | 3 P Python @ | 5 P JAVA @ ")</f>
        <v xml:space="preserve">| 1 L CPT % | 2 L PHP-CGM % | 3 P Python @ | 5 P JAVA @ </v>
      </c>
      <c r="AZ216" s="4" t="str">
        <f ca="1">IFERROR(__xludf.DUMMYFUNCTION("""COMPUTED_VALUE"""),"| 1 L CPT @ | 2 L JAVA @ | 3 P CPT @ | 5 P JAVA @ ")</f>
        <v xml:space="preserve">| 1 L CPT @ | 2 L JAVA @ | 3 P CPT @ | 5 P JAVA @ </v>
      </c>
      <c r="BA216" s="4" t="str">
        <f ca="1">IFERROR(__xludf.DUMMYFUNCTION("""COMPUTED_VALUE"""),"| 1 L CPT @ | 2 L JAVA % | 3 P NS @ | 5 L INE @ ")</f>
        <v xml:space="preserve">| 1 L CPT @ | 2 L JAVA % | 3 P NS @ | 5 L INE @ </v>
      </c>
      <c r="BB21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C216" s="4" t="str">
        <f ca="1">IFERROR(__xludf.DUMMYFUNCTION("""COMPUTED_VALUE"""),"| 1 L CPT % | 2 L PHP-CGM % | 3 P Python % | 5 P JAVA @ ")</f>
        <v xml:space="preserve">| 1 L CPT % | 2 L PHP-CGM % | 3 P Python % | 5 P JAVA @ </v>
      </c>
      <c r="BD216" s="4" t="str">
        <f ca="1">IFERROR(__xludf.DUMMYFUNCTION("""COMPUTED_VALUE"""),"| 1 L NS % | 2 L PHP-CGM % | 3 P Python @ | 5 P PHP-CGM @ ")</f>
        <v xml:space="preserve">| 1 L NS % | 2 L PHP-CGM % | 3 P Python @ | 5 P PHP-CGM @ </v>
      </c>
      <c r="BE216" s="4" t="str">
        <f ca="1">IFERROR(__xludf.DUMMYFUNCTION("""COMPUTED_VALUE"""),"| 1 L CPT @ | 2 L JAVA @ | 3 P CPT @ | 5 P JAVA @ ")</f>
        <v xml:space="preserve">| 1 L CPT @ | 2 L JAVA @ | 3 P CPT @ | 5 P JAVA @ </v>
      </c>
      <c r="BF216" s="4" t="str">
        <f ca="1">IFERROR(__xludf.DUMMYFUNCTION("""COMPUTED_VALUE"""),"| 1 L CPT @ | 2 L JAVA @ | 3 P NS @ ")</f>
        <v xml:space="preserve">| 1 L CPT @ | 2 L JAVA @ | 3 P NS @ </v>
      </c>
      <c r="BG216" s="4" t="str">
        <f ca="1">IFERROR(__xludf.DUMMYFUNCTION("""COMPUTED_VALUE"""),"| 2 L PHP-CGM @ | 1 L CPT @ | 3 P Python @ | 5 P JAVA @ ")</f>
        <v xml:space="preserve">| 2 L PHP-CGM @ | 1 L CPT @ | 3 P Python @ | 5 P JAVA @ </v>
      </c>
      <c r="BH216" s="4" t="str">
        <f ca="1">IFERROR(__xludf.DUMMYFUNCTION("""COMPUTED_VALUE"""),"| 1 L NS % | 2 L PHP-CGM % | 3 P Python @ | 5 P PHP-CGM % ")</f>
        <v xml:space="preserve">| 1 L NS % | 2 L PHP-CGM % | 3 P Python @ | 5 P PHP-CGM % </v>
      </c>
      <c r="BI216" s="4" t="str">
        <f ca="1">IFERROR(__xludf.DUMMYFUNCTION("""COMPUTED_VALUE"""),"| 1 L CPT @ | 2 L JAVA @ | 3 P CPT @ | 5 P JAVA @ ")</f>
        <v xml:space="preserve">| 1 L CPT @ | 2 L JAVA @ | 3 P CPT @ | 5 P JAVA @ </v>
      </c>
      <c r="BJ216" s="4" t="str">
        <f ca="1">IFERROR(__xludf.DUMMYFUNCTION("""COMPUTED_VALUE"""),"| 1 L CPT @ | 2 L JAVA @ | 3 P NS @ | 5 L INE @ ")</f>
        <v xml:space="preserve">| 1 L CPT @ | 2 L JAVA @ | 3 P NS @ | 5 L INE @ </v>
      </c>
      <c r="BK21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L216" s="4" t="str">
        <f ca="1">IFERROR(__xludf.DUMMYFUNCTION("""COMPUTED_VALUE"""),"| 1 L CPT @ | 2 L PHP-CGM @ | 3 P Python @ | 5 P JAVA @ ")</f>
        <v xml:space="preserve">| 1 L CPT @ | 2 L PHP-CGM @ | 3 P Python @ | 5 P JAVA @ </v>
      </c>
      <c r="BM216" s="4" t="str">
        <f ca="1">IFERROR(__xludf.DUMMYFUNCTION("""COMPUTED_VALUE"""),"| 1 L NS @ | 2 L PHP-CGM @ | 3 P Python @ ")</f>
        <v xml:space="preserve">| 1 L NS @ | 2 L PHP-CGM @ | 3 P Python @ </v>
      </c>
      <c r="BN216" s="4" t="str">
        <f ca="1">IFERROR(__xludf.DUMMYFUNCTION("""COMPUTED_VALUE"""),"| 2 L JAVA @ | 1 L CPT @ | 3 P CPT @ | 5 P JAVA @ ")</f>
        <v xml:space="preserve">| 2 L JAVA @ | 1 L CPT @ | 3 P CPT @ | 5 P JAVA @ </v>
      </c>
      <c r="BO216" s="4" t="str">
        <f ca="1">IFERROR(__xludf.DUMMYFUNCTION("""COMPUTED_VALUE"""),"| 2 L JAVA @ | 1 L CPT @ | 3 P NS @ | 5 L INE @ ")</f>
        <v xml:space="preserve">| 2 L JAVA @ | 1 L CPT @ | 3 P NS @ | 5 L INE @ </v>
      </c>
      <c r="BP21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BQ216" s="4"/>
      <c r="BR216" s="4"/>
      <c r="BS216" s="4"/>
      <c r="BT216" s="4" t="str">
        <f ca="1">IFERROR(__xludf.DUMMYFUNCTION("""COMPUTED_VALUE"""),"| 1 L NS @ | 2 L PHP-CGM @ | 3 P PRO @ ")</f>
        <v xml:space="preserve">| 1 L NS @ | 2 L PHP-CGM @ | 3 P PRO @ </v>
      </c>
      <c r="BU216" s="4" t="str">
        <f ca="1">IFERROR(__xludf.DUMMYFUNCTION("""COMPUTED_VALUE"""),"| 1 L CPT @ | 3 P Python @ ")</f>
        <v xml:space="preserve">| 1 L CPT @ | 3 P Python @ </v>
      </c>
      <c r="BV216" s="4" t="str">
        <f ca="1">IFERROR(__xludf.DUMMYFUNCTION("""COMPUTED_VALUE"""),"| 1 L NS @ | 2 L PHP-CGM @ | 3 P PRO @ | 6 L JAVA @ ")</f>
        <v xml:space="preserve">| 1 L NS @ | 2 L PHP-CGM @ | 3 P PRO @ | 6 L JAVA @ </v>
      </c>
      <c r="BW216" s="4" t="str">
        <f ca="1">IFERROR(__xludf.DUMMYFUNCTION("""COMPUTED_VALUE"""),"| 1 L CPT @ | 2 L PHP-CGM @ | 3 P Python @ ")</f>
        <v xml:space="preserve">| 1 L CPT @ | 2 L PHP-CGM @ | 3 P Python @ </v>
      </c>
      <c r="BX216" s="4" t="str">
        <f ca="1">IFERROR(__xludf.DUMMYFUNCTION("""COMPUTED_VALUE"""),"| 1 L NS @ | 2 L PHP-CGM @ | 3 P Python @ | 5 P PHP-CGM @ ")</f>
        <v xml:space="preserve">| 1 L NS @ | 2 L PHP-CGM @ | 3 P Python @ | 5 P PHP-CGM @ </v>
      </c>
      <c r="BY216" s="4" t="str">
        <f ca="1">IFERROR(__xludf.DUMMYFUNCTION("""COMPUTED_VALUE"""),"| 1 L CPT % | 2 L JAVA @ | 3 P CPT @ | 5 P JAVA @ ")</f>
        <v xml:space="preserve">| 1 L CPT % | 2 L JAVA @ | 3 P CPT @ | 5 P JAVA @ </v>
      </c>
      <c r="BZ216" s="4" t="str">
        <f ca="1">IFERROR(__xludf.DUMMYFUNCTION("""COMPUTED_VALUE"""),"| 1 L CPT @ | 2 L JAVA @ | 3 P NS @ | 5 L INE @ ")</f>
        <v xml:space="preserve">| 1 L CPT @ | 2 L JAVA @ | 3 P NS @ | 5 L INE @ </v>
      </c>
      <c r="CA216" s="4" t="str">
        <f ca="1">IFERROR(__xludf.DUMMYFUNCTION("""COMPUTED_VALUE"""),"| 1 L NS @ | 2 L PHP-CGM @ | 3 P PRO @ | 5 L NS @ | 6 L JAVA @ ")</f>
        <v xml:space="preserve">| 1 L NS @ | 2 L PHP-CGM @ | 3 P PRO @ | 5 L NS @ | 6 L JAVA @ </v>
      </c>
      <c r="CB216" s="4" t="str">
        <f ca="1">IFERROR(__xludf.DUMMYFUNCTION("""COMPUTED_VALUE"""),"| 2 L PHP-CGM @ | 3 P Python @ | 5 P JAVA @ | 1 L CPT @ ")</f>
        <v xml:space="preserve">| 2 L PHP-CGM @ | 3 P Python @ | 5 P JAVA @ | 1 L CPT @ </v>
      </c>
      <c r="CC216" s="4" t="str">
        <f ca="1">IFERROR(__xludf.DUMMYFUNCTION("""COMPUTED_VALUE"""),"| 1 L NS @ | 2 L PHP-CGM @ | 3 P Python @ | 5 P PHP-CGM % ")</f>
        <v xml:space="preserve">| 1 L NS @ | 2 L PHP-CGM @ | 3 P Python @ | 5 P PHP-CGM % </v>
      </c>
      <c r="CD216" s="4" t="str">
        <f ca="1">IFERROR(__xludf.DUMMYFUNCTION("""COMPUTED_VALUE"""),"| 1 L CPT @ | 2 L JAVA @ | 3 P CPT @ | 5 P JAVA @ ")</f>
        <v xml:space="preserve">| 1 L CPT @ | 2 L JAVA @ | 3 P CPT @ | 5 P JAVA @ </v>
      </c>
      <c r="CE216" s="4" t="str">
        <f ca="1">IFERROR(__xludf.DUMMYFUNCTION("""COMPUTED_VALUE"""),"| 1 L CPT @ | 2 L JAVA @ | 3 P NS @ | 5 L INE % ")</f>
        <v xml:space="preserve">| 1 L CPT @ | 2 L JAVA @ | 3 P NS @ | 5 L INE % </v>
      </c>
      <c r="CF216" s="4" t="str">
        <f ca="1">IFERROR(__xludf.DUMMYFUNCTION("""COMPUTED_VALUE"""),"| 1 L NS @ | 2 L PHP-CGM @ | 5 L NS @ | 6 L JAVA @ ")</f>
        <v xml:space="preserve">| 1 L NS @ | 2 L PHP-CGM @ | 5 L NS @ | 6 L JAVA @ </v>
      </c>
      <c r="CG216" s="4" t="str">
        <f ca="1">IFERROR(__xludf.DUMMYFUNCTION("""COMPUTED_VALUE"""),"| 1 L CPT @ | 2 L PHP-CGM @ | 3 P Python % | 5 P JAVA % ")</f>
        <v xml:space="preserve">| 1 L CPT @ | 2 L PHP-CGM @ | 3 P Python % | 5 P JAVA % </v>
      </c>
      <c r="CH216" s="4" t="str">
        <f ca="1">IFERROR(__xludf.DUMMYFUNCTION("""COMPUTED_VALUE"""),"| 1 L NS @ | 2 L PHP-CGM @ | 3 P Python % | 5 P PHP-CGM % ")</f>
        <v xml:space="preserve">| 1 L NS @ | 2 L PHP-CGM @ | 3 P Python % | 5 P PHP-CGM % </v>
      </c>
      <c r="CI216" s="4" t="str">
        <f ca="1">IFERROR(__xludf.DUMMYFUNCTION("""COMPUTED_VALUE"""),"| 1 L CPT @ | 2 L JAVA @ ")</f>
        <v xml:space="preserve">| 1 L CPT @ | 2 L JAVA @ </v>
      </c>
      <c r="CJ216" s="4" t="str">
        <f ca="1">IFERROR(__xludf.DUMMYFUNCTION("""COMPUTED_VALUE"""),"| 1 L CPT @ | 3 P NS % ")</f>
        <v xml:space="preserve">| 1 L CPT @ | 3 P NS % </v>
      </c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</row>
    <row r="217" spans="1:102" ht="12.5" x14ac:dyDescent="0.25">
      <c r="A217" s="3">
        <f ca="1">IFERROR(__xludf.DUMMYFUNCTION("""COMPUTED_VALUE"""),3)</f>
        <v>3</v>
      </c>
      <c r="B217" s="3" t="str">
        <f ca="1">IFERROR(__xludf.DUMMYFUNCTION("""COMPUTED_VALUE"""),"C")</f>
        <v>C</v>
      </c>
      <c r="C217" s="32" t="str">
        <f ca="1">IFERROR(__xludf.DUMMYFUNCTION("""COMPUTED_VALUE"""),"23171341115")</f>
        <v>23171341115</v>
      </c>
      <c r="D217" s="4" t="str">
        <f ca="1">IFERROR(__xludf.DUMMYFUNCTION("""COMPUTED_VALUE"""),"PATEL PURVAM ASHISHKUMAR")</f>
        <v>PATEL PURVAM ASHISHKUMAR</v>
      </c>
      <c r="E217" s="3" t="str">
        <f ca="1">IFERROR(__xludf.DUMMYFUNCTION("""COMPUTED_VALUE"""),"PKN/PAP-Mor")</f>
        <v>PKN/PAP-Mor</v>
      </c>
      <c r="F217" s="3">
        <f ca="1">IFERROR(__xludf.DUMMYFUNCTION("""COMPUTED_VALUE"""),9825044427)</f>
        <v>9825044427</v>
      </c>
      <c r="G217" s="3">
        <f ca="1">IFERROR(__xludf.DUMMYFUNCTION("""COMPUTED_VALUE"""),9825083906)</f>
        <v>9825083906</v>
      </c>
      <c r="H217" s="33">
        <f ca="1">IFERROR(__xludf.DUMMYFUNCTION("""COMPUTED_VALUE"""),0.695473251028806)</f>
        <v>0.69547325102880597</v>
      </c>
      <c r="I217" s="25">
        <f ca="1">IFERROR(__xludf.DUMMYFUNCTION("""COMPUTED_VALUE"""),0.657894736842105)</f>
        <v>0.65789473684210498</v>
      </c>
      <c r="J217" s="25">
        <f ca="1">IFERROR(__xludf.DUMMYFUNCTION("""COMPUTED_VALUE"""),0.818181818181818)</f>
        <v>0.81818181818181801</v>
      </c>
      <c r="K217" s="25">
        <f ca="1">IFERROR(__xludf.DUMMYFUNCTION("""COMPUTED_VALUE"""),0.722222222222222)</f>
        <v>0.72222222222222199</v>
      </c>
      <c r="L217" s="25">
        <f ca="1">IFERROR(__xludf.DUMMYFUNCTION("""COMPUTED_VALUE"""),0.384615384615384)</f>
        <v>0.38461538461538403</v>
      </c>
      <c r="M217" s="25">
        <f ca="1">IFERROR(__xludf.DUMMYFUNCTION("""COMPUTED_VALUE"""),0.833333333333333)</f>
        <v>0.83333333333333304</v>
      </c>
      <c r="N217" s="25">
        <f ca="1">IFERROR(__xludf.DUMMYFUNCTION("""COMPUTED_VALUE"""),0.615384615384615)</f>
        <v>0.61538461538461497</v>
      </c>
      <c r="O217" s="25">
        <f ca="1">IFERROR(__xludf.DUMMYFUNCTION("""COMPUTED_VALUE"""),0.628571428571428)</f>
        <v>0.628571428571428</v>
      </c>
      <c r="P217" s="25">
        <f ca="1">IFERROR(__xludf.DUMMYFUNCTION("""COMPUTED_VALUE"""),0.727272727272727)</f>
        <v>0.72727272727272696</v>
      </c>
      <c r="Q217" s="25">
        <f ca="1">IFERROR(__xludf.DUMMYFUNCTION("""COMPUTED_VALUE"""),0)</f>
        <v>0</v>
      </c>
      <c r="R217" s="25">
        <f ca="1">IFERROR(__xludf.DUMMYFUNCTION("""COMPUTED_VALUE"""),0.7)</f>
        <v>0.7</v>
      </c>
      <c r="S217" s="25">
        <f ca="1">IFERROR(__xludf.DUMMYFUNCTION("""COMPUTED_VALUE"""),0)</f>
        <v>0</v>
      </c>
      <c r="T217" s="25">
        <f ca="1">IFERROR(__xludf.DUMMYFUNCTION("""COMPUTED_VALUE"""),0.909090909090909)</f>
        <v>0.90909090909090895</v>
      </c>
      <c r="U217" s="25">
        <f ca="1">IFERROR(__xludf.DUMMYFUNCTION("""COMPUTED_VALUE"""),0.5)</f>
        <v>0.5</v>
      </c>
      <c r="V217" s="25">
        <f ca="1">IFERROR(__xludf.DUMMYFUNCTION("""COMPUTED_VALUE"""),0)</f>
        <v>0</v>
      </c>
      <c r="W217" s="4"/>
      <c r="X217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17" s="4" t="str">
        <f ca="1">IFERROR(__xludf.DUMMYFUNCTION("""COMPUTED_VALUE"""),"| 1 L CPT % | 5 L PHP-CGM % | 3 P PRO % | 5 P Python % ")</f>
        <v xml:space="preserve">| 1 L CPT % | 5 L PHP-CGM % | 3 P PRO % | 5 P Python % </v>
      </c>
      <c r="Z217" s="4" t="str">
        <f ca="1">IFERROR(__xludf.DUMMYFUNCTION("""COMPUTED_VALUE"""),"| 1 L CPT % | 2 L PHP-CGM % | 3 P CPT % | 5 P JAVA @ ")</f>
        <v xml:space="preserve">| 1 L CPT % | 2 L PHP-CGM % | 3 P CPT % | 5 P JAVA @ </v>
      </c>
      <c r="AA217" s="4" t="str">
        <f ca="1">IFERROR(__xludf.DUMMYFUNCTION("""COMPUTED_VALUE"""),"| 1 L NS % | 2 L JAVA % | 3 P PHP-CGM % | 5 P NS % ")</f>
        <v xml:space="preserve">| 1 L NS % | 2 L JAVA % | 3 P PHP-CGM % | 5 P NS % </v>
      </c>
      <c r="AB217" s="4" t="str">
        <f ca="1">IFERROR(__xludf.DUMMYFUNCTION("""COMPUTED_VALUE"""),"| 1 L CPT % | 2 L JAVA % | 3 P Python % ")</f>
        <v xml:space="preserve">| 1 L CPT % | 2 L JAVA % | 3 P Python % </v>
      </c>
      <c r="AC217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17" s="4" t="str">
        <f ca="1">IFERROR(__xludf.DUMMYFUNCTION("""COMPUTED_VALUE"""),"| 1 L CPT % | 2 L PHP-CGM % | 3 P PRO % | 5 P Python % ")</f>
        <v xml:space="preserve">| 1 L CPT % | 2 L PHP-CGM % | 3 P PRO % | 5 P Python % </v>
      </c>
      <c r="AE217" s="4" t="str">
        <f ca="1">IFERROR(__xludf.DUMMYFUNCTION("""COMPUTED_VALUE"""),"| 1 L CPT % | 3 P CPT % | 5 P JAVA @ | 2 L PHP-CGM % ")</f>
        <v xml:space="preserve">| 1 L CPT % | 3 P CPT % | 5 P JAVA @ | 2 L PHP-CGM % </v>
      </c>
      <c r="AF217" s="4" t="str">
        <f ca="1">IFERROR(__xludf.DUMMYFUNCTION("""COMPUTED_VALUE"""),"| 1 L NS % | 2 L CPT % | 3 P PHP-CGM % | 5 P NS @ ")</f>
        <v xml:space="preserve">| 1 L NS % | 2 L CPT % | 3 P PHP-CGM % | 5 P NS @ </v>
      </c>
      <c r="AG217" s="4" t="str">
        <f ca="1">IFERROR(__xludf.DUMMYFUNCTION("""COMPUTED_VALUE"""),"| 1 L CPT % | 2 L JAVA % | 3 P Python % ")</f>
        <v xml:space="preserve">| 1 L CPT % | 2 L JAVA % | 3 P Python % </v>
      </c>
      <c r="AH217" s="4" t="str">
        <f ca="1">IFERROR(__xludf.DUMMYFUNCTION("""COMPUTED_VALUE"""),"| 2 L JAVA % | 1 L NS % | 3 P PHP-CGM @ | 5 P NS @ ")</f>
        <v xml:space="preserve">| 2 L JAVA % | 1 L NS % | 3 P PHP-CGM @ | 5 P NS @ </v>
      </c>
      <c r="AI217" s="4" t="str">
        <f ca="1">IFERROR(__xludf.DUMMYFUNCTION("""COMPUTED_VALUE"""),"| 1 L CPT % | 2 L JAVA % | 3 P Python % ")</f>
        <v xml:space="preserve">| 1 L CPT % | 2 L JAVA % | 3 P Python % </v>
      </c>
      <c r="AJ217" s="4" t="str">
        <f ca="1">IFERROR(__xludf.DUMMYFUNCTION("""COMPUTED_VALUE"""),"| 1 L NS @ | 2 L PHP-CGM @ | 3 P JAVA % | 5 L JAVA % | 6 L NS % ")</f>
        <v xml:space="preserve">| 1 L NS @ | 2 L PHP-CGM @ | 3 P JAVA % | 5 L JAVA % | 6 L NS % </v>
      </c>
      <c r="AK217" s="4" t="str">
        <f ca="1">IFERROR(__xludf.DUMMYFUNCTION("""COMPUTED_VALUE"""),"| 1 L CPT % | 3 P PRO % | 2 L PHP-CGM % | 5 P Python @ ")</f>
        <v xml:space="preserve">| 1 L CPT % | 3 P PRO % | 2 L PHP-CGM % | 5 P Python @ </v>
      </c>
      <c r="AL217" s="4" t="str">
        <f ca="1">IFERROR(__xludf.DUMMYFUNCTION("""COMPUTED_VALUE"""),"| 1 L CPT % | 2 L PHP-CGM % | 3 P CPT % | 5 P JAVA % ")</f>
        <v xml:space="preserve">| 1 L CPT % | 2 L PHP-CGM % | 3 P CPT % | 5 P JAVA % </v>
      </c>
      <c r="AM217" s="4" t="str">
        <f ca="1">IFERROR(__xludf.DUMMYFUNCTION("""COMPUTED_VALUE"""),"| 2 L JAVA % | 3 P PHP-CGM % | 1 L NS % | 5 P NS % ")</f>
        <v xml:space="preserve">| 2 L JAVA % | 3 P PHP-CGM % | 1 L NS % | 5 P NS % </v>
      </c>
      <c r="AN217" s="4" t="str">
        <f ca="1">IFERROR(__xludf.DUMMYFUNCTION("""COMPUTED_VALUE"""),"| 1 L CPT @ | 2 L JAVA @ | 3 P Python @ | 5 L INE @ ")</f>
        <v xml:space="preserve">| 1 L CPT @ | 2 L JAVA @ | 3 P Python @ | 5 L INE @ </v>
      </c>
      <c r="AO217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17" s="4" t="str">
        <f ca="1">IFERROR(__xludf.DUMMYFUNCTION("""COMPUTED_VALUE"""),"| 1 L CPT % | 2 L PHP-CGM % | 3 P PRO % | 5 P Python % ")</f>
        <v xml:space="preserve">| 1 L CPT % | 2 L PHP-CGM % | 3 P PRO % | 5 P Python % </v>
      </c>
      <c r="AQ217" s="4" t="str">
        <f ca="1">IFERROR(__xludf.DUMMYFUNCTION("""COMPUTED_VALUE"""),"| 2 L PHP-CGM % | 3 P CPT % | 1 L NS % | 5 P JAVA % ")</f>
        <v xml:space="preserve">| 2 L PHP-CGM % | 3 P CPT % | 1 L NS % | 5 P JAVA % </v>
      </c>
      <c r="AR217" s="4" t="str">
        <f ca="1">IFERROR(__xludf.DUMMYFUNCTION("""COMPUTED_VALUE"""),"| 1 L CPT @ | 2 L JAVA @ | 3 P PHP-CGM @ | 5 P NS @ ")</f>
        <v xml:space="preserve">| 1 L CPT @ | 2 L JAVA @ | 3 P PHP-CGM @ | 5 P NS @ </v>
      </c>
      <c r="AS217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AT217" s="4" t="str">
        <f ca="1">IFERROR(__xludf.DUMMYFUNCTION("""COMPUTED_VALUE"""),"| 1 L CPT % | 2 L PHP-CGM % | 3 P PRO % | 5 P Python % ")</f>
        <v xml:space="preserve">| 1 L CPT % | 2 L PHP-CGM % | 3 P PRO % | 5 P Python % </v>
      </c>
      <c r="AU217" s="4" t="str">
        <f ca="1">IFERROR(__xludf.DUMMYFUNCTION("""COMPUTED_VALUE"""),"| 1 L NS % | 2 L PHP-CGM % | 3 P CPT % | 5 P JAVA % ")</f>
        <v xml:space="preserve">| 1 L NS % | 2 L PHP-CGM % | 3 P CPT % | 5 P JAVA % </v>
      </c>
      <c r="AV217" s="4" t="str">
        <f ca="1">IFERROR(__xludf.DUMMYFUNCTION("""COMPUTED_VALUE"""),"| 1 L CPT % | 2 L JAVA % | 3 P PHP-CGM % | 5 P NS % ")</f>
        <v xml:space="preserve">| 1 L CPT % | 2 L JAVA % | 3 P PHP-CGM % | 5 P NS % </v>
      </c>
      <c r="AW217" s="4" t="str">
        <f ca="1">IFERROR(__xludf.DUMMYFUNCTION("""COMPUTED_VALUE"""),"| 1 L CPT % | 2 L JAVA % | 3 P Python @ | 5 L INE % | 6 L INE % ")</f>
        <v xml:space="preserve">| 1 L CPT % | 2 L JAVA % | 3 P Python @ | 5 L INE % | 6 L INE % </v>
      </c>
      <c r="AX217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17" s="4" t="str">
        <f ca="1">IFERROR(__xludf.DUMMYFUNCTION("""COMPUTED_VALUE"""),"| 1 L CPT % | 2 L PHP-CGM % | 3 P PRO % | 5 P Python % ")</f>
        <v xml:space="preserve">| 1 L CPT % | 2 L PHP-CGM % | 3 P PRO % | 5 P Python % </v>
      </c>
      <c r="AZ217" s="4" t="str">
        <f ca="1">IFERROR(__xludf.DUMMYFUNCTION("""COMPUTED_VALUE"""),"| 1 L CPT @ | 2 L JAVA @ | 3 P PHP-CGM @ | 5 P NS @ ")</f>
        <v xml:space="preserve">| 1 L CPT @ | 2 L JAVA @ | 3 P PHP-CGM @ | 5 P NS @ </v>
      </c>
      <c r="BA217" s="4" t="str">
        <f ca="1">IFERROR(__xludf.DUMMYFUNCTION("""COMPUTED_VALUE"""),"| 1 L CPT @ | 2 L JAVA @ | 3 P Python @ | 5 L INE @ ")</f>
        <v xml:space="preserve">| 1 L CPT @ | 2 L JAVA @ | 3 P Python @ | 5 L INE @ </v>
      </c>
      <c r="BB217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17" s="4" t="str">
        <f ca="1">IFERROR(__xludf.DUMMYFUNCTION("""COMPUTED_VALUE"""),"| 1 L CPT % | 2 L PHP-CGM % | 3 P PRO % | 5 P Python % ")</f>
        <v xml:space="preserve">| 1 L CPT % | 2 L PHP-CGM % | 3 P PRO % | 5 P Python % </v>
      </c>
      <c r="BD217" s="4" t="str">
        <f ca="1">IFERROR(__xludf.DUMMYFUNCTION("""COMPUTED_VALUE"""),"| 1 L NS % | 2 L PHP-CGM % | 3 P CPT % | 5 P JAVA % ")</f>
        <v xml:space="preserve">| 1 L NS % | 2 L PHP-CGM % | 3 P CPT % | 5 P JAVA % </v>
      </c>
      <c r="BE217" s="4" t="str">
        <f ca="1">IFERROR(__xludf.DUMMYFUNCTION("""COMPUTED_VALUE"""),"| 1 L CPT % | 2 L JAVA % | 3 P PHP-CGM % | 5 P NS % ")</f>
        <v xml:space="preserve">| 1 L CPT % | 2 L JAVA % | 3 P PHP-CGM % | 5 P NS % </v>
      </c>
      <c r="BF217" s="4" t="str">
        <f ca="1">IFERROR(__xludf.DUMMYFUNCTION("""COMPUTED_VALUE"""),"| 1 L CPT % | 2 L JAVA % | 3 P Python % ")</f>
        <v xml:space="preserve">| 1 L CPT % | 2 L JAVA % | 3 P Python % </v>
      </c>
      <c r="BG217" s="4" t="str">
        <f ca="1">IFERROR(__xludf.DUMMYFUNCTION("""COMPUTED_VALUE"""),"| 2 L PHP-CGM % | 1 L CPT % | 3 P PRO % | 5 P Python % ")</f>
        <v xml:space="preserve">| 2 L PHP-CGM % | 1 L CPT % | 3 P PRO % | 5 P Python % </v>
      </c>
      <c r="BH217" s="4" t="str">
        <f ca="1">IFERROR(__xludf.DUMMYFUNCTION("""COMPUTED_VALUE"""),"| 1 L NS % | 2 L PHP-CGM % | 3 P CPT % | 5 P JAVA % ")</f>
        <v xml:space="preserve">| 1 L NS % | 2 L PHP-CGM % | 3 P CPT % | 5 P JAVA % </v>
      </c>
      <c r="BI217" s="4" t="str">
        <f ca="1">IFERROR(__xludf.DUMMYFUNCTION("""COMPUTED_VALUE"""),"| 1 L CPT % | 2 L JAVA % | 3 P PHP-CGM @ | 5 P NS @ ")</f>
        <v xml:space="preserve">| 1 L CPT % | 2 L JAVA % | 3 P PHP-CGM @ | 5 P NS @ </v>
      </c>
      <c r="BJ217" s="4" t="str">
        <f ca="1">IFERROR(__xludf.DUMMYFUNCTION("""COMPUTED_VALUE"""),"| 1 L CPT % | 2 L JAVA % | 3 P Python % | 5 L INE % ")</f>
        <v xml:space="preserve">| 1 L CPT % | 2 L JAVA % | 3 P Python % | 5 L INE % </v>
      </c>
      <c r="BK217" s="4" t="str">
        <f ca="1">IFERROR(__xludf.DUMMYFUNCTION("""COMPUTED_VALUE"""),"| 1 L NS @ | 2 L PHP-CGM @ | 5 L NS @ | 6 L JAVA @ ")</f>
        <v xml:space="preserve">| 1 L NS @ | 2 L PHP-CGM @ | 5 L NS @ | 6 L JAVA @ </v>
      </c>
      <c r="BL217" s="4" t="str">
        <f ca="1">IFERROR(__xludf.DUMMYFUNCTION("""COMPUTED_VALUE"""),"| 1 L CPT @ | 2 L PHP-CGM @ | 3 P PRO @ ")</f>
        <v xml:space="preserve">| 1 L CPT @ | 2 L PHP-CGM @ | 3 P PRO @ </v>
      </c>
      <c r="BM217" s="4" t="str">
        <f ca="1">IFERROR(__xludf.DUMMYFUNCTION("""COMPUTED_VALUE"""),"| 1 L NS @ | 2 L PHP-CGM % | 3 P CPT @ | 5 P JAVA @ ")</f>
        <v xml:space="preserve">| 1 L NS @ | 2 L PHP-CGM % | 3 P CPT @ | 5 P JAVA @ </v>
      </c>
      <c r="BN217" s="4" t="str">
        <f ca="1">IFERROR(__xludf.DUMMYFUNCTION("""COMPUTED_VALUE"""),"| 2 L JAVA @ | 1 L CPT @ | 3 P PHP-CGM @ | 5 P NS @ ")</f>
        <v xml:space="preserve">| 2 L JAVA @ | 1 L CPT @ | 3 P PHP-CGM @ | 5 P NS @ </v>
      </c>
      <c r="BO217" s="4" t="str">
        <f ca="1">IFERROR(__xludf.DUMMYFUNCTION("""COMPUTED_VALUE"""),"| 2 L JAVA @ | 1 L CPT @ | 3 P Python @ | 5 L INE @ ")</f>
        <v xml:space="preserve">| 2 L JAVA @ | 1 L CPT @ | 3 P Python @ | 5 L INE @ </v>
      </c>
      <c r="BP217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17" s="4"/>
      <c r="BR217" s="4"/>
      <c r="BS217" s="4"/>
      <c r="BT217" s="4" t="str">
        <f ca="1">IFERROR(__xludf.DUMMYFUNCTION("""COMPUTED_VALUE"""),"| 1 L NS @ | 2 L PHP-CGM % | 3 P JAVA % ")</f>
        <v xml:space="preserve">| 1 L NS @ | 2 L PHP-CGM % | 3 P JAVA % </v>
      </c>
      <c r="BU217" s="4" t="str">
        <f ca="1">IFERROR(__xludf.DUMMYFUNCTION("""COMPUTED_VALUE"""),"| 1 L CPT @ ")</f>
        <v xml:space="preserve">| 1 L CPT @ </v>
      </c>
      <c r="BV217" s="4" t="str">
        <f ca="1">IFERROR(__xludf.DUMMYFUNCTION("""COMPUTED_VALUE"""),"| 1 L NS % | 2 L PHP-CGM % | 3 P JAVA @ | 6 L JAVA @ ")</f>
        <v xml:space="preserve">| 1 L NS % | 2 L PHP-CGM % | 3 P JAVA @ | 6 L JAVA @ </v>
      </c>
      <c r="BW217" s="4" t="str">
        <f ca="1">IFERROR(__xludf.DUMMYFUNCTION("""COMPUTED_VALUE"""),"| 1 L CPT @ | 2 L PHP-CGM @ | 3 P PRO % ")</f>
        <v xml:space="preserve">| 1 L CPT @ | 2 L PHP-CGM @ | 3 P PRO % </v>
      </c>
      <c r="BX217" s="4" t="str">
        <f ca="1">IFERROR(__xludf.DUMMYFUNCTION("""COMPUTED_VALUE"""),"| 1 L NS @ | 2 L PHP-CGM @ | 3 P CPT @ | 5 P JAVA @ ")</f>
        <v xml:space="preserve">| 1 L NS @ | 2 L PHP-CGM @ | 3 P CPT @ | 5 P JAVA @ </v>
      </c>
      <c r="BY217" s="4" t="str">
        <f ca="1">IFERROR(__xludf.DUMMYFUNCTION("""COMPUTED_VALUE"""),"| 1 L CPT % | 2 L JAVA % | 3 P PHP-CGM % | 5 P NS @ ")</f>
        <v xml:space="preserve">| 1 L CPT % | 2 L JAVA % | 3 P PHP-CGM % | 5 P NS @ </v>
      </c>
      <c r="BZ217" s="4" t="str">
        <f ca="1">IFERROR(__xludf.DUMMYFUNCTION("""COMPUTED_VALUE"""),"| 1 L CPT @ | 2 L JAVA @ | 5 L INE @ ")</f>
        <v xml:space="preserve">| 1 L CPT @ | 2 L JAVA @ | 5 L INE @ </v>
      </c>
      <c r="CA217" s="4" t="str">
        <f ca="1">IFERROR(__xludf.DUMMYFUNCTION("""COMPUTED_VALUE"""),"| 1 L NS % | 2 L PHP-CGM % | 3 P JAVA % | 5 L NS @ | 6 L JAVA % ")</f>
        <v xml:space="preserve">| 1 L NS % | 2 L PHP-CGM % | 3 P JAVA % | 5 L NS @ | 6 L JAVA % </v>
      </c>
      <c r="CB217" s="4" t="str">
        <f ca="1">IFERROR(__xludf.DUMMYFUNCTION("""COMPUTED_VALUE"""),"| 2 L PHP-CGM % | 3 P PRO % | 5 P Python % | 1 L CPT % ")</f>
        <v xml:space="preserve">| 2 L PHP-CGM % | 3 P PRO % | 5 P Python % | 1 L CPT % </v>
      </c>
      <c r="CC217" s="4" t="str">
        <f ca="1">IFERROR(__xludf.DUMMYFUNCTION("""COMPUTED_VALUE"""),"| 1 L NS % | 2 L PHP-CGM % | 3 P CPT % | 5 P JAVA @ ")</f>
        <v xml:space="preserve">| 1 L NS % | 2 L PHP-CGM % | 3 P CPT % | 5 P JAVA @ </v>
      </c>
      <c r="CD217" s="4" t="str">
        <f ca="1">IFERROR(__xludf.DUMMYFUNCTION("""COMPUTED_VALUE"""),"| 1 L CPT % | 2 L JAVA @ | 3 P PHP-CGM % | 5 P NS @ ")</f>
        <v xml:space="preserve">| 1 L CPT % | 2 L JAVA @ | 3 P PHP-CGM % | 5 P NS @ </v>
      </c>
      <c r="CE217" s="4" t="str">
        <f ca="1">IFERROR(__xludf.DUMMYFUNCTION("""COMPUTED_VALUE"""),"| 1 L CPT % | 2 L JAVA % | 3 P Python @ | 5 L INE % ")</f>
        <v xml:space="preserve">| 1 L CPT % | 2 L JAVA % | 3 P Python @ | 5 L INE % </v>
      </c>
      <c r="CF217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G217" s="4" t="str">
        <f ca="1">IFERROR(__xludf.DUMMYFUNCTION("""COMPUTED_VALUE"""),"| 1 L CPT @ | 2 L PHP-CGM % | 5 P Python % ")</f>
        <v xml:space="preserve">| 1 L CPT @ | 2 L PHP-CGM % | 5 P Python % </v>
      </c>
      <c r="CH217" s="4" t="str">
        <f ca="1">IFERROR(__xludf.DUMMYFUNCTION("""COMPUTED_VALUE"""),"| 1 L NS @ | 2 L PHP-CGM @ | 3 P CPT % ")</f>
        <v xml:space="preserve">| 1 L NS @ | 2 L PHP-CGM @ | 3 P CPT % </v>
      </c>
      <c r="CI217" s="4" t="str">
        <f ca="1">IFERROR(__xludf.DUMMYFUNCTION("""COMPUTED_VALUE"""),"| 1 L CPT @ | 2 L JAVA @ | 3 P PHP-CGM % | 5 P NS % ")</f>
        <v xml:space="preserve">| 1 L CPT @ | 2 L JAVA @ | 3 P PHP-CGM % | 5 P NS % </v>
      </c>
      <c r="CJ217" s="4" t="str">
        <f ca="1">IFERROR(__xludf.DUMMYFUNCTION("""COMPUTED_VALUE"""),"| 1 L CPT @ ")</f>
        <v xml:space="preserve">| 1 L CPT @ </v>
      </c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</row>
    <row r="218" spans="1:102" ht="12.5" x14ac:dyDescent="0.25">
      <c r="A218" s="3">
        <f ca="1">IFERROR(__xludf.DUMMYFUNCTION("""COMPUTED_VALUE"""),3)</f>
        <v>3</v>
      </c>
      <c r="B218" s="3" t="str">
        <f ca="1">IFERROR(__xludf.DUMMYFUNCTION("""COMPUTED_VALUE"""),"C")</f>
        <v>C</v>
      </c>
      <c r="C218" s="32" t="str">
        <f ca="1">IFERROR(__xludf.DUMMYFUNCTION("""COMPUTED_VALUE"""),"23171341116")</f>
        <v>23171341116</v>
      </c>
      <c r="D218" s="4" t="str">
        <f ca="1">IFERROR(__xludf.DUMMYFUNCTION("""COMPUTED_VALUE"""),"PATEL RIYABEN VINODKUMAR")</f>
        <v>PATEL RIYABEN VINODKUMAR</v>
      </c>
      <c r="E218" s="3" t="str">
        <f ca="1">IFERROR(__xludf.DUMMYFUNCTION("""COMPUTED_VALUE"""),"PKN/PAP-Mor")</f>
        <v>PKN/PAP-Mor</v>
      </c>
      <c r="F218" s="3">
        <f ca="1">IFERROR(__xludf.DUMMYFUNCTION("""COMPUTED_VALUE"""),7863081356)</f>
        <v>7863081356</v>
      </c>
      <c r="G218" s="3">
        <f ca="1">IFERROR(__xludf.DUMMYFUNCTION("""COMPUTED_VALUE"""),9879947286)</f>
        <v>9879947286</v>
      </c>
      <c r="H218" s="33">
        <f ca="1">IFERROR(__xludf.DUMMYFUNCTION("""COMPUTED_VALUE"""),0.835390946502057)</f>
        <v>0.83539094650205703</v>
      </c>
      <c r="I218" s="25">
        <f ca="1">IFERROR(__xludf.DUMMYFUNCTION("""COMPUTED_VALUE"""),0.842105263157894)</f>
        <v>0.84210526315789402</v>
      </c>
      <c r="J218" s="25">
        <f ca="1">IFERROR(__xludf.DUMMYFUNCTION("""COMPUTED_VALUE"""),0.818181818181818)</f>
        <v>0.81818181818181801</v>
      </c>
      <c r="K218" s="25">
        <f ca="1">IFERROR(__xludf.DUMMYFUNCTION("""COMPUTED_VALUE"""),0.75)</f>
        <v>0.75</v>
      </c>
      <c r="L218" s="25">
        <f ca="1">IFERROR(__xludf.DUMMYFUNCTION("""COMPUTED_VALUE"""),0.923076923076923)</f>
        <v>0.92307692307692302</v>
      </c>
      <c r="M218" s="25">
        <f ca="1">IFERROR(__xludf.DUMMYFUNCTION("""COMPUTED_VALUE"""),0.833333333333333)</f>
        <v>0.83333333333333304</v>
      </c>
      <c r="N218" s="25">
        <f ca="1">IFERROR(__xludf.DUMMYFUNCTION("""COMPUTED_VALUE"""),0.923076923076923)</f>
        <v>0.92307692307692302</v>
      </c>
      <c r="O218" s="25">
        <f ca="1">IFERROR(__xludf.DUMMYFUNCTION("""COMPUTED_VALUE"""),0.771428571428571)</f>
        <v>0.77142857142857102</v>
      </c>
      <c r="P218" s="25">
        <f ca="1">IFERROR(__xludf.DUMMYFUNCTION("""COMPUTED_VALUE"""),0.863636363636363)</f>
        <v>0.86363636363636298</v>
      </c>
      <c r="Q218" s="25">
        <f ca="1">IFERROR(__xludf.DUMMYFUNCTION("""COMPUTED_VALUE"""),0)</f>
        <v>0</v>
      </c>
      <c r="R218" s="25">
        <f ca="1">IFERROR(__xludf.DUMMYFUNCTION("""COMPUTED_VALUE"""),0.95)</f>
        <v>0.95</v>
      </c>
      <c r="S218" s="25">
        <f ca="1">IFERROR(__xludf.DUMMYFUNCTION("""COMPUTED_VALUE"""),0)</f>
        <v>0</v>
      </c>
      <c r="T218" s="25">
        <f ca="1">IFERROR(__xludf.DUMMYFUNCTION("""COMPUTED_VALUE"""),0.909090909090909)</f>
        <v>0.90909090909090895</v>
      </c>
      <c r="U218" s="25">
        <f ca="1">IFERROR(__xludf.DUMMYFUNCTION("""COMPUTED_VALUE"""),0.75)</f>
        <v>0.75</v>
      </c>
      <c r="V218" s="25">
        <f ca="1">IFERROR(__xludf.DUMMYFUNCTION("""COMPUTED_VALUE"""),0)</f>
        <v>0</v>
      </c>
      <c r="W218" s="4"/>
      <c r="X21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18" s="4" t="str">
        <f ca="1">IFERROR(__xludf.DUMMYFUNCTION("""COMPUTED_VALUE"""),"| 1 L CPT % | 5 L PHP-CGM % | 3 P PRO % | 5 P Python % ")</f>
        <v xml:space="preserve">| 1 L CPT % | 5 L PHP-CGM % | 3 P PRO % | 5 P Python % </v>
      </c>
      <c r="Z218" s="4" t="str">
        <f ca="1">IFERROR(__xludf.DUMMYFUNCTION("""COMPUTED_VALUE"""),"| 1 L CPT % | 2 L PHP-CGM % | 3 P CPT % | 5 P JAVA % ")</f>
        <v xml:space="preserve">| 1 L CPT % | 2 L PHP-CGM % | 3 P CPT % | 5 P JAVA % </v>
      </c>
      <c r="AA218" s="4" t="str">
        <f ca="1">IFERROR(__xludf.DUMMYFUNCTION("""COMPUTED_VALUE"""),"| 1 L NS % | 2 L JAVA % | 3 P PHP-CGM % | 5 P NS % ")</f>
        <v xml:space="preserve">| 1 L NS % | 2 L JAVA % | 3 P PHP-CGM % | 5 P NS % </v>
      </c>
      <c r="AB218" s="4" t="str">
        <f ca="1">IFERROR(__xludf.DUMMYFUNCTION("""COMPUTED_VALUE"""),"| 1 L CPT % | 2 L JAVA % | 3 P Python % ")</f>
        <v xml:space="preserve">| 1 L CPT % | 2 L JAVA % | 3 P Python % </v>
      </c>
      <c r="AC21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18" s="4" t="str">
        <f ca="1">IFERROR(__xludf.DUMMYFUNCTION("""COMPUTED_VALUE"""),"| 1 L CPT % | 2 L PHP-CGM % | 3 P PRO % | 5 P Python % ")</f>
        <v xml:space="preserve">| 1 L CPT % | 2 L PHP-CGM % | 3 P PRO % | 5 P Python % </v>
      </c>
      <c r="AE218" s="4" t="str">
        <f ca="1">IFERROR(__xludf.DUMMYFUNCTION("""COMPUTED_VALUE"""),"| 1 L CPT % | 3 P CPT % | 5 P JAVA % | 2 L PHP-CGM % ")</f>
        <v xml:space="preserve">| 1 L CPT % | 3 P CPT % | 5 P JAVA % | 2 L PHP-CGM % </v>
      </c>
      <c r="AF218" s="4" t="str">
        <f ca="1">IFERROR(__xludf.DUMMYFUNCTION("""COMPUTED_VALUE"""),"| 1 L NS % | 2 L CPT % | 3 P PHP-CGM % | 5 P NS % ")</f>
        <v xml:space="preserve">| 1 L NS % | 2 L CPT % | 3 P PHP-CGM % | 5 P NS % </v>
      </c>
      <c r="AG218" s="4" t="str">
        <f ca="1">IFERROR(__xludf.DUMMYFUNCTION("""COMPUTED_VALUE"""),"| 1 L CPT % | 2 L JAVA % | 3 P Python % ")</f>
        <v xml:space="preserve">| 1 L CPT % | 2 L JAVA % | 3 P Python % </v>
      </c>
      <c r="AH218" s="4" t="str">
        <f ca="1">IFERROR(__xludf.DUMMYFUNCTION("""COMPUTED_VALUE"""),"| 2 L JAVA % | 1 L NS % | 3 P PHP-CGM % | 5 P NS % ")</f>
        <v xml:space="preserve">| 2 L JAVA % | 1 L NS % | 3 P PHP-CGM % | 5 P NS % </v>
      </c>
      <c r="AI218" s="4" t="str">
        <f ca="1">IFERROR(__xludf.DUMMYFUNCTION("""COMPUTED_VALUE"""),"| 1 L CPT % | 2 L JAVA % | 3 P Python % ")</f>
        <v xml:space="preserve">| 1 L CPT % | 2 L JAVA % | 3 P Python % </v>
      </c>
      <c r="AJ21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18" s="4" t="str">
        <f ca="1">IFERROR(__xludf.DUMMYFUNCTION("""COMPUTED_VALUE"""),"| 1 L CPT % | 3 P PRO % | 2 L PHP-CGM % | 5 P Python % ")</f>
        <v xml:space="preserve">| 1 L CPT % | 3 P PRO % | 2 L PHP-CGM % | 5 P Python % </v>
      </c>
      <c r="AL218" s="4" t="str">
        <f ca="1">IFERROR(__xludf.DUMMYFUNCTION("""COMPUTED_VALUE"""),"| 1 L CPT % | 2 L PHP-CGM % | 3 P CPT % | 5 P JAVA % ")</f>
        <v xml:space="preserve">| 1 L CPT % | 2 L PHP-CGM % | 3 P CPT % | 5 P JAVA % </v>
      </c>
      <c r="AM218" s="4" t="str">
        <f ca="1">IFERROR(__xludf.DUMMYFUNCTION("""COMPUTED_VALUE"""),"| 2 L JAVA % | 3 P PHP-CGM % | 1 L NS % | 5 P NS % ")</f>
        <v xml:space="preserve">| 2 L JAVA % | 3 P PHP-CGM % | 1 L NS % | 5 P NS % </v>
      </c>
      <c r="AN218" s="4" t="str">
        <f ca="1">IFERROR(__xludf.DUMMYFUNCTION("""COMPUTED_VALUE"""),"| 1 L CPT % | 2 L JAVA % | 3 P Python % | 5 L INE @ ")</f>
        <v xml:space="preserve">| 1 L CPT % | 2 L JAVA % | 3 P Python % | 5 L INE @ </v>
      </c>
      <c r="AO21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18" s="4" t="str">
        <f ca="1">IFERROR(__xludf.DUMMYFUNCTION("""COMPUTED_VALUE"""),"| 1 L CPT % | 2 L PHP-CGM % | 3 P PRO % | 5 P Python % ")</f>
        <v xml:space="preserve">| 1 L CPT % | 2 L PHP-CGM % | 3 P PRO % | 5 P Python % </v>
      </c>
      <c r="AQ218" s="4" t="str">
        <f ca="1">IFERROR(__xludf.DUMMYFUNCTION("""COMPUTED_VALUE"""),"| 2 L PHP-CGM % | 3 P CPT % | 1 L NS % | 5 P JAVA % ")</f>
        <v xml:space="preserve">| 2 L PHP-CGM % | 3 P CPT % | 1 L NS % | 5 P JAVA % </v>
      </c>
      <c r="AR218" s="4" t="str">
        <f ca="1">IFERROR(__xludf.DUMMYFUNCTION("""COMPUTED_VALUE"""),"| 1 L CPT % | 2 L JAVA % | 3 P PHP-CGM % | 5 P NS % ")</f>
        <v xml:space="preserve">| 1 L CPT % | 2 L JAVA % | 3 P PHP-CGM % | 5 P NS % </v>
      </c>
      <c r="AS21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18" s="4" t="str">
        <f ca="1">IFERROR(__xludf.DUMMYFUNCTION("""COMPUTED_VALUE"""),"| 1 L CPT % | 2 L PHP-CGM % | 3 P PRO % | 5 P Python % ")</f>
        <v xml:space="preserve">| 1 L CPT % | 2 L PHP-CGM % | 3 P PRO % | 5 P Python % </v>
      </c>
      <c r="AU218" s="4" t="str">
        <f ca="1">IFERROR(__xludf.DUMMYFUNCTION("""COMPUTED_VALUE"""),"| 1 L NS % | 2 L PHP-CGM % | 3 P CPT % | 5 P JAVA % ")</f>
        <v xml:space="preserve">| 1 L NS % | 2 L PHP-CGM % | 3 P CPT % | 5 P JAVA % </v>
      </c>
      <c r="AV218" s="4" t="str">
        <f ca="1">IFERROR(__xludf.DUMMYFUNCTION("""COMPUTED_VALUE"""),"| 1 L CPT % | 2 L JAVA % | 3 P PHP-CGM % | 5 P NS % ")</f>
        <v xml:space="preserve">| 1 L CPT % | 2 L JAVA % | 3 P PHP-CGM % | 5 P NS % </v>
      </c>
      <c r="AW218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1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18" s="4" t="str">
        <f ca="1">IFERROR(__xludf.DUMMYFUNCTION("""COMPUTED_VALUE"""),"| 1 L CPT % | 2 L PHP-CGM % | 3 P PRO % | 5 P Python % ")</f>
        <v xml:space="preserve">| 1 L CPT % | 2 L PHP-CGM % | 3 P PRO % | 5 P Python % </v>
      </c>
      <c r="AZ218" s="4" t="str">
        <f ca="1">IFERROR(__xludf.DUMMYFUNCTION("""COMPUTED_VALUE"""),"| 1 L CPT % | 2 L JAVA % | 3 P PHP-CGM % | 5 P NS % ")</f>
        <v xml:space="preserve">| 1 L CPT % | 2 L JAVA % | 3 P PHP-CGM % | 5 P NS % </v>
      </c>
      <c r="BA218" s="4" t="str">
        <f ca="1">IFERROR(__xludf.DUMMYFUNCTION("""COMPUTED_VALUE"""),"| 1 L CPT % | 2 L JAVA @ | 3 P Python % | 5 L INE @ ")</f>
        <v xml:space="preserve">| 1 L CPT % | 2 L JAVA @ | 3 P Python % | 5 L INE @ </v>
      </c>
      <c r="BB21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18" s="4" t="str">
        <f ca="1">IFERROR(__xludf.DUMMYFUNCTION("""COMPUTED_VALUE"""),"| 1 L CPT % | 2 L PHP-CGM % | 3 P PRO % | 5 P Python % ")</f>
        <v xml:space="preserve">| 1 L CPT % | 2 L PHP-CGM % | 3 P PRO % | 5 P Python % </v>
      </c>
      <c r="BD218" s="4" t="str">
        <f ca="1">IFERROR(__xludf.DUMMYFUNCTION("""COMPUTED_VALUE"""),"| 1 L NS % | 2 L PHP-CGM % | 3 P CPT % | 5 P JAVA % ")</f>
        <v xml:space="preserve">| 1 L NS % | 2 L PHP-CGM % | 3 P CPT % | 5 P JAVA % </v>
      </c>
      <c r="BE218" s="4" t="str">
        <f ca="1">IFERROR(__xludf.DUMMYFUNCTION("""COMPUTED_VALUE"""),"| 1 L CPT % | 2 L JAVA % | 3 P PHP-CGM % | 5 P NS % ")</f>
        <v xml:space="preserve">| 1 L CPT % | 2 L JAVA % | 3 P PHP-CGM % | 5 P NS % </v>
      </c>
      <c r="BF218" s="4" t="str">
        <f ca="1">IFERROR(__xludf.DUMMYFUNCTION("""COMPUTED_VALUE"""),"| 1 L CPT % | 2 L JAVA % | 3 P Python % ")</f>
        <v xml:space="preserve">| 1 L CPT % | 2 L JAVA % | 3 P Python % </v>
      </c>
      <c r="BG218" s="4" t="str">
        <f ca="1">IFERROR(__xludf.DUMMYFUNCTION("""COMPUTED_VALUE"""),"| 2 L PHP-CGM % | 1 L CPT % | 3 P PRO % | 5 P Python % ")</f>
        <v xml:space="preserve">| 2 L PHP-CGM % | 1 L CPT % | 3 P PRO % | 5 P Python % </v>
      </c>
      <c r="BH218" s="4" t="str">
        <f ca="1">IFERROR(__xludf.DUMMYFUNCTION("""COMPUTED_VALUE"""),"| 1 L NS % | 2 L PHP-CGM % | 3 P CPT @ | 5 P JAVA @ ")</f>
        <v xml:space="preserve">| 1 L NS % | 2 L PHP-CGM % | 3 P CPT @ | 5 P JAVA @ </v>
      </c>
      <c r="BI218" s="4" t="str">
        <f ca="1">IFERROR(__xludf.DUMMYFUNCTION("""COMPUTED_VALUE"""),"| 1 L CPT % | 2 L JAVA % | 3 P PHP-CGM % | 5 P NS % ")</f>
        <v xml:space="preserve">| 1 L CPT % | 2 L JAVA % | 3 P PHP-CGM % | 5 P NS % </v>
      </c>
      <c r="BJ218" s="4" t="str">
        <f ca="1">IFERROR(__xludf.DUMMYFUNCTION("""COMPUTED_VALUE"""),"| 1 L CPT % | 2 L JAVA % | 3 P Python % | 5 L INE % ")</f>
        <v xml:space="preserve">| 1 L CPT % | 2 L JAVA % | 3 P Python % | 5 L INE % </v>
      </c>
      <c r="BK218" s="4" t="str">
        <f ca="1">IFERROR(__xludf.DUMMYFUNCTION("""COMPUTED_VALUE"""),"| 1 L NS @ | 2 L PHP-CGM @ | 5 L NS @ | 6 L JAVA @ ")</f>
        <v xml:space="preserve">| 1 L NS @ | 2 L PHP-CGM @ | 5 L NS @ | 6 L JAVA @ </v>
      </c>
      <c r="BL218" s="4" t="str">
        <f ca="1">IFERROR(__xludf.DUMMYFUNCTION("""COMPUTED_VALUE"""),"| 1 L CPT % | 2 L PHP-CGM % | 3 P PRO % ")</f>
        <v xml:space="preserve">| 1 L CPT % | 2 L PHP-CGM % | 3 P PRO % </v>
      </c>
      <c r="BM218" s="4" t="str">
        <f ca="1">IFERROR(__xludf.DUMMYFUNCTION("""COMPUTED_VALUE"""),"| 1 L NS % | 2 L PHP-CGM % | 3 P CPT @ | 5 P JAVA @ ")</f>
        <v xml:space="preserve">| 1 L NS % | 2 L PHP-CGM % | 3 P CPT @ | 5 P JAVA @ </v>
      </c>
      <c r="BN218" s="4" t="str">
        <f ca="1">IFERROR(__xludf.DUMMYFUNCTION("""COMPUTED_VALUE"""),"| 2 L JAVA % | 1 L CPT % | 3 P PHP-CGM % | 5 P NS % ")</f>
        <v xml:space="preserve">| 2 L JAVA % | 1 L CPT % | 3 P PHP-CGM % | 5 P NS % </v>
      </c>
      <c r="BO218" s="4" t="str">
        <f ca="1">IFERROR(__xludf.DUMMYFUNCTION("""COMPUTED_VALUE"""),"| 2 L JAVA % | 1 L CPT % | 3 P Python % | 5 L INE % ")</f>
        <v xml:space="preserve">| 2 L JAVA % | 1 L CPT % | 3 P Python % | 5 L INE % </v>
      </c>
      <c r="BP218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18" s="4"/>
      <c r="BR218" s="4"/>
      <c r="BS218" s="4"/>
      <c r="BT218" s="4" t="str">
        <f ca="1">IFERROR(__xludf.DUMMYFUNCTION("""COMPUTED_VALUE"""),"| 1 L NS @ | 2 L PHP-CGM % | 3 P JAVA % ")</f>
        <v xml:space="preserve">| 1 L NS @ | 2 L PHP-CGM % | 3 P JAVA % </v>
      </c>
      <c r="BU218" s="4" t="str">
        <f ca="1">IFERROR(__xludf.DUMMYFUNCTION("""COMPUTED_VALUE"""),"| 1 L CPT @ ")</f>
        <v xml:space="preserve">| 1 L CPT @ </v>
      </c>
      <c r="BV218" s="4" t="str">
        <f ca="1">IFERROR(__xludf.DUMMYFUNCTION("""COMPUTED_VALUE"""),"| 1 L NS % | 2 L PHP-CGM % | 3 P JAVA % | 6 L JAVA % ")</f>
        <v xml:space="preserve">| 1 L NS % | 2 L PHP-CGM % | 3 P JAVA % | 6 L JAVA % </v>
      </c>
      <c r="BW218" s="4" t="str">
        <f ca="1">IFERROR(__xludf.DUMMYFUNCTION("""COMPUTED_VALUE"""),"| 1 L CPT % | 2 L PHP-CGM % | 3 P PRO % ")</f>
        <v xml:space="preserve">| 1 L CPT % | 2 L PHP-CGM % | 3 P PRO % </v>
      </c>
      <c r="BX218" s="4" t="str">
        <f ca="1">IFERROR(__xludf.DUMMYFUNCTION("""COMPUTED_VALUE"""),"| 1 L NS % | 2 L PHP-CGM % | 3 P CPT % | 5 P JAVA % ")</f>
        <v xml:space="preserve">| 1 L NS % | 2 L PHP-CGM % | 3 P CPT % | 5 P JAVA % </v>
      </c>
      <c r="BY218" s="4" t="str">
        <f ca="1">IFERROR(__xludf.DUMMYFUNCTION("""COMPUTED_VALUE"""),"| 1 L CPT % | 2 L JAVA % | 3 P PHP-CGM % | 5 P NS % ")</f>
        <v xml:space="preserve">| 1 L CPT % | 2 L JAVA % | 3 P PHP-CGM % | 5 P NS % </v>
      </c>
      <c r="BZ218" s="4" t="str">
        <f ca="1">IFERROR(__xludf.DUMMYFUNCTION("""COMPUTED_VALUE"""),"| 1 L CPT % | 2 L JAVA @ | 5 L INE % ")</f>
        <v xml:space="preserve">| 1 L CPT % | 2 L JAVA @ | 5 L INE % </v>
      </c>
      <c r="CA218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B218" s="4" t="str">
        <f ca="1">IFERROR(__xludf.DUMMYFUNCTION("""COMPUTED_VALUE"""),"| 2 L PHP-CGM @ | 3 P PRO @ | 5 P Python @ | 1 L CPT @ ")</f>
        <v xml:space="preserve">| 2 L PHP-CGM @ | 3 P PRO @ | 5 P Python @ | 1 L CPT @ </v>
      </c>
      <c r="CC218" s="4" t="str">
        <f ca="1">IFERROR(__xludf.DUMMYFUNCTION("""COMPUTED_VALUE"""),"| 1 L NS @ | 2 L PHP-CGM @ | 3 P CPT % | 5 P JAVA @ ")</f>
        <v xml:space="preserve">| 1 L NS @ | 2 L PHP-CGM @ | 3 P CPT % | 5 P JAVA @ </v>
      </c>
      <c r="CD218" s="4" t="str">
        <f ca="1">IFERROR(__xludf.DUMMYFUNCTION("""COMPUTED_VALUE"""),"| 1 L CPT @ | 2 L JAVA @ | 3 P PHP-CGM @ | 5 P NS @ ")</f>
        <v xml:space="preserve">| 1 L CPT @ | 2 L JAVA @ | 3 P PHP-CGM @ | 5 P NS @ </v>
      </c>
      <c r="CE218" s="4" t="str">
        <f ca="1">IFERROR(__xludf.DUMMYFUNCTION("""COMPUTED_VALUE"""),"| 1 L CPT % | 2 L JAVA % | 3 P Python % | 5 L INE % ")</f>
        <v xml:space="preserve">| 1 L CPT % | 2 L JAVA % | 3 P Python % | 5 L INE % </v>
      </c>
      <c r="CF218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18" s="4" t="str">
        <f ca="1">IFERROR(__xludf.DUMMYFUNCTION("""COMPUTED_VALUE"""),"| 1 L CPT @ | 2 L PHP-CGM @ | 5 P Python % ")</f>
        <v xml:space="preserve">| 1 L CPT @ | 2 L PHP-CGM @ | 5 P Python % </v>
      </c>
      <c r="CH218" s="4" t="str">
        <f ca="1">IFERROR(__xludf.DUMMYFUNCTION("""COMPUTED_VALUE"""),"| 1 L NS @ | 2 L PHP-CGM @ | 3 P CPT % ")</f>
        <v xml:space="preserve">| 1 L NS @ | 2 L PHP-CGM @ | 3 P CPT % </v>
      </c>
      <c r="CI218" s="4" t="str">
        <f ca="1">IFERROR(__xludf.DUMMYFUNCTION("""COMPUTED_VALUE"""),"| 1 L CPT @ | 2 L JAVA @ | 3 P PHP-CGM % | 5 P NS % ")</f>
        <v xml:space="preserve">| 1 L CPT @ | 2 L JAVA @ | 3 P PHP-CGM % | 5 P NS % </v>
      </c>
      <c r="CJ218" s="4" t="str">
        <f ca="1">IFERROR(__xludf.DUMMYFUNCTION("""COMPUTED_VALUE"""),"| 1 L CPT @ ")</f>
        <v xml:space="preserve">| 1 L CPT @ </v>
      </c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</row>
    <row r="219" spans="1:102" ht="12.5" x14ac:dyDescent="0.25">
      <c r="A219" s="3">
        <f ca="1">IFERROR(__xludf.DUMMYFUNCTION("""COMPUTED_VALUE"""),3)</f>
        <v>3</v>
      </c>
      <c r="B219" s="3" t="str">
        <f ca="1">IFERROR(__xludf.DUMMYFUNCTION("""COMPUTED_VALUE"""),"C")</f>
        <v>C</v>
      </c>
      <c r="C219" s="32" t="str">
        <f ca="1">IFERROR(__xludf.DUMMYFUNCTION("""COMPUTED_VALUE"""),"23171341117")</f>
        <v>23171341117</v>
      </c>
      <c r="D219" s="4" t="str">
        <f ca="1">IFERROR(__xludf.DUMMYFUNCTION("""COMPUTED_VALUE"""),"PATEL RUDRA CHAITANYAKUMAR")</f>
        <v>PATEL RUDRA CHAITANYAKUMAR</v>
      </c>
      <c r="E219" s="3" t="str">
        <f ca="1">IFERROR(__xludf.DUMMYFUNCTION("""COMPUTED_VALUE"""),"PKN/PAP-Mor")</f>
        <v>PKN/PAP-Mor</v>
      </c>
      <c r="F219" s="37">
        <f ca="1">IFERROR(__xludf.DUMMYFUNCTION("""COMPUTED_VALUE"""),6352469145)</f>
        <v>6352469145</v>
      </c>
      <c r="G219" s="3">
        <f ca="1">IFERROR(__xludf.DUMMYFUNCTION("""COMPUTED_VALUE"""),7802986300)</f>
        <v>7802986300</v>
      </c>
      <c r="H219" s="33">
        <f ca="1">IFERROR(__xludf.DUMMYFUNCTION("""COMPUTED_VALUE"""),0.625514403292181)</f>
        <v>0.625514403292181</v>
      </c>
      <c r="I219" s="25">
        <f ca="1">IFERROR(__xludf.DUMMYFUNCTION("""COMPUTED_VALUE"""),0.631578947368421)</f>
        <v>0.63157894736842102</v>
      </c>
      <c r="J219" s="25">
        <f ca="1">IFERROR(__xludf.DUMMYFUNCTION("""COMPUTED_VALUE"""),0.818181818181818)</f>
        <v>0.81818181818181801</v>
      </c>
      <c r="K219" s="25">
        <f ca="1">IFERROR(__xludf.DUMMYFUNCTION("""COMPUTED_VALUE"""),0.666666666666666)</f>
        <v>0.66666666666666596</v>
      </c>
      <c r="L219" s="25">
        <f ca="1">IFERROR(__xludf.DUMMYFUNCTION("""COMPUTED_VALUE"""),0.461538461538461)</f>
        <v>0.46153846153846101</v>
      </c>
      <c r="M219" s="25">
        <f ca="1">IFERROR(__xludf.DUMMYFUNCTION("""COMPUTED_VALUE"""),0.833333333333333)</f>
        <v>0.83333333333333304</v>
      </c>
      <c r="N219" s="25">
        <f ca="1">IFERROR(__xludf.DUMMYFUNCTION("""COMPUTED_VALUE"""),0.461538461538461)</f>
        <v>0.46153846153846101</v>
      </c>
      <c r="O219" s="25">
        <f ca="1">IFERROR(__xludf.DUMMYFUNCTION("""COMPUTED_VALUE"""),0.514285714285714)</f>
        <v>0.51428571428571401</v>
      </c>
      <c r="P219" s="25">
        <f ca="1">IFERROR(__xludf.DUMMYFUNCTION("""COMPUTED_VALUE"""),0.636363636363636)</f>
        <v>0.63636363636363602</v>
      </c>
      <c r="Q219" s="25">
        <f ca="1">IFERROR(__xludf.DUMMYFUNCTION("""COMPUTED_VALUE"""),0)</f>
        <v>0</v>
      </c>
      <c r="R219" s="25">
        <f ca="1">IFERROR(__xludf.DUMMYFUNCTION("""COMPUTED_VALUE"""),0.6)</f>
        <v>0.6</v>
      </c>
      <c r="S219" s="25">
        <f ca="1">IFERROR(__xludf.DUMMYFUNCTION("""COMPUTED_VALUE"""),0)</f>
        <v>0</v>
      </c>
      <c r="T219" s="25">
        <f ca="1">IFERROR(__xludf.DUMMYFUNCTION("""COMPUTED_VALUE"""),0.636363636363636)</f>
        <v>0.63636363636363602</v>
      </c>
      <c r="U219" s="25">
        <f ca="1">IFERROR(__xludf.DUMMYFUNCTION("""COMPUTED_VALUE"""),0.25)</f>
        <v>0.25</v>
      </c>
      <c r="V219" s="25">
        <f ca="1">IFERROR(__xludf.DUMMYFUNCTION("""COMPUTED_VALUE"""),0)</f>
        <v>0</v>
      </c>
      <c r="W219" s="4"/>
      <c r="X21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19" s="4" t="str">
        <f ca="1">IFERROR(__xludf.DUMMYFUNCTION("""COMPUTED_VALUE"""),"| 1 L CPT % | 5 L PHP-CGM % | 3 P PRO % | 5 P Python @ ")</f>
        <v xml:space="preserve">| 1 L CPT % | 5 L PHP-CGM % | 3 P PRO % | 5 P Python @ </v>
      </c>
      <c r="Z219" s="4" t="str">
        <f ca="1">IFERROR(__xludf.DUMMYFUNCTION("""COMPUTED_VALUE"""),"| 1 L CPT % | 2 L PHP-CGM % | 3 P CPT % | 5 P JAVA @ ")</f>
        <v xml:space="preserve">| 1 L CPT % | 2 L PHP-CGM % | 3 P CPT % | 5 P JAVA @ </v>
      </c>
      <c r="AA219" s="4" t="str">
        <f ca="1">IFERROR(__xludf.DUMMYFUNCTION("""COMPUTED_VALUE"""),"| 1 L NS % | 2 L JAVA % | 3 P PHP-CGM % | 5 P NS @ ")</f>
        <v xml:space="preserve">| 1 L NS % | 2 L JAVA % | 3 P PHP-CGM % | 5 P NS @ </v>
      </c>
      <c r="AB219" s="4" t="str">
        <f ca="1">IFERROR(__xludf.DUMMYFUNCTION("""COMPUTED_VALUE"""),"| 1 L CPT % | 2 L JAVA % | 3 P Python % ")</f>
        <v xml:space="preserve">| 1 L CPT % | 2 L JAVA % | 3 P Python % </v>
      </c>
      <c r="AC219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19" s="4" t="str">
        <f ca="1">IFERROR(__xludf.DUMMYFUNCTION("""COMPUTED_VALUE"""),"| 1 L CPT % | 2 L PHP-CGM % | 3 P PRO % | 5 P Python % ")</f>
        <v xml:space="preserve">| 1 L CPT % | 2 L PHP-CGM % | 3 P PRO % | 5 P Python % </v>
      </c>
      <c r="AE219" s="4" t="str">
        <f ca="1">IFERROR(__xludf.DUMMYFUNCTION("""COMPUTED_VALUE"""),"| 1 L CPT % | 3 P CPT % | 5 P JAVA % | 2 L PHP-CGM % ")</f>
        <v xml:space="preserve">| 1 L CPT % | 3 P CPT % | 5 P JAVA % | 2 L PHP-CGM % </v>
      </c>
      <c r="AF219" s="4" t="str">
        <f ca="1">IFERROR(__xludf.DUMMYFUNCTION("""COMPUTED_VALUE"""),"| 1 L NS % | 2 L CPT % | 3 P PHP-CGM % | 5 P NS % ")</f>
        <v xml:space="preserve">| 1 L NS % | 2 L CPT % | 3 P PHP-CGM % | 5 P NS % </v>
      </c>
      <c r="AG219" s="4" t="str">
        <f ca="1">IFERROR(__xludf.DUMMYFUNCTION("""COMPUTED_VALUE"""),"| 1 L CPT % | 2 L JAVA % | 3 P Python @ ")</f>
        <v xml:space="preserve">| 1 L CPT % | 2 L JAVA % | 3 P Python @ </v>
      </c>
      <c r="AH219" s="4" t="str">
        <f ca="1">IFERROR(__xludf.DUMMYFUNCTION("""COMPUTED_VALUE"""),"| 2 L JAVA % | 1 L NS % | 3 P PHP-CGM @ | 5 P NS @ ")</f>
        <v xml:space="preserve">| 2 L JAVA % | 1 L NS % | 3 P PHP-CGM @ | 5 P NS @ </v>
      </c>
      <c r="AI219" s="4" t="str">
        <f ca="1">IFERROR(__xludf.DUMMYFUNCTION("""COMPUTED_VALUE"""),"| 1 L CPT % | 2 L JAVA % | 3 P Python % ")</f>
        <v xml:space="preserve">| 1 L CPT % | 2 L JAVA % | 3 P Python % </v>
      </c>
      <c r="AJ21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19" s="4" t="str">
        <f ca="1">IFERROR(__xludf.DUMMYFUNCTION("""COMPUTED_VALUE"""),"| 1 L CPT % | 3 P PRO @ | 2 L PHP-CGM % | 5 P Python @ ")</f>
        <v xml:space="preserve">| 1 L CPT % | 3 P PRO @ | 2 L PHP-CGM % | 5 P Python @ </v>
      </c>
      <c r="AL219" s="4" t="str">
        <f ca="1">IFERROR(__xludf.DUMMYFUNCTION("""COMPUTED_VALUE"""),"| 1 L CPT % | 2 L PHP-CGM % | 3 P CPT % | 5 P JAVA % ")</f>
        <v xml:space="preserve">| 1 L CPT % | 2 L PHP-CGM % | 3 P CPT % | 5 P JAVA % </v>
      </c>
      <c r="AM219" s="4" t="str">
        <f ca="1">IFERROR(__xludf.DUMMYFUNCTION("""COMPUTED_VALUE"""),"| 2 L JAVA % | 3 P PHP-CGM @ | 1 L NS % | 5 P NS @ ")</f>
        <v xml:space="preserve">| 2 L JAVA % | 3 P PHP-CGM @ | 1 L NS % | 5 P NS @ </v>
      </c>
      <c r="AN219" s="4" t="str">
        <f ca="1">IFERROR(__xludf.DUMMYFUNCTION("""COMPUTED_VALUE"""),"| 1 L CPT % | 2 L JAVA % | 3 P Python % | 5 L INE @ ")</f>
        <v xml:space="preserve">| 1 L CPT % | 2 L JAVA % | 3 P Python % | 5 L INE @ </v>
      </c>
      <c r="AO219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19" s="4" t="str">
        <f ca="1">IFERROR(__xludf.DUMMYFUNCTION("""COMPUTED_VALUE"""),"| 1 L CPT % | 2 L PHP-CGM % | 3 P PRO % | 5 P Python % ")</f>
        <v xml:space="preserve">| 1 L CPT % | 2 L PHP-CGM % | 3 P PRO % | 5 P Python % </v>
      </c>
      <c r="AQ219" s="4" t="str">
        <f ca="1">IFERROR(__xludf.DUMMYFUNCTION("""COMPUTED_VALUE"""),"| 2 L PHP-CGM % | 3 P CPT % | 1 L NS % | 5 P JAVA % ")</f>
        <v xml:space="preserve">| 2 L PHP-CGM % | 3 P CPT % | 1 L NS % | 5 P JAVA % </v>
      </c>
      <c r="AR219" s="4" t="str">
        <f ca="1">IFERROR(__xludf.DUMMYFUNCTION("""COMPUTED_VALUE"""),"| 1 L CPT @ | 2 L JAVA @ | 3 P PHP-CGM @ | 5 P NS @ ")</f>
        <v xml:space="preserve">| 1 L CPT @ | 2 L JAVA @ | 3 P PHP-CGM @ | 5 P NS @ </v>
      </c>
      <c r="AS219" s="4" t="str">
        <f ca="1">IFERROR(__xludf.DUMMYFUNCTION("""COMPUTED_VALUE"""),"| 1 L NS % | 2 L PHP-CGM % | 3 P JAVA % | 5 L NS @ | 6 L JAVA % ")</f>
        <v xml:space="preserve">| 1 L NS % | 2 L PHP-CGM % | 3 P JAVA % | 5 L NS @ | 6 L JAVA % </v>
      </c>
      <c r="AT219" s="4" t="str">
        <f ca="1">IFERROR(__xludf.DUMMYFUNCTION("""COMPUTED_VALUE"""),"| 1 L CPT % | 2 L PHP-CGM % | 3 P PRO % | 5 P Python % ")</f>
        <v xml:space="preserve">| 1 L CPT % | 2 L PHP-CGM % | 3 P PRO % | 5 P Python % </v>
      </c>
      <c r="AU219" s="4" t="str">
        <f ca="1">IFERROR(__xludf.DUMMYFUNCTION("""COMPUTED_VALUE"""),"| 1 L NS @ | 2 L PHP-CGM @ | 3 P CPT @ | 5 P JAVA @ ")</f>
        <v xml:space="preserve">| 1 L NS @ | 2 L PHP-CGM @ | 3 P CPT @ | 5 P JAVA @ </v>
      </c>
      <c r="AV219" s="4" t="str">
        <f ca="1">IFERROR(__xludf.DUMMYFUNCTION("""COMPUTED_VALUE"""),"| 1 L CPT % | 2 L JAVA @ | 3 P PHP-CGM @ | 5 P NS % ")</f>
        <v xml:space="preserve">| 1 L CPT % | 2 L JAVA @ | 3 P PHP-CGM @ | 5 P NS % </v>
      </c>
      <c r="AW219" s="4" t="str">
        <f ca="1">IFERROR(__xludf.DUMMYFUNCTION("""COMPUTED_VALUE"""),"| 1 L CPT % | 2 L JAVA % | 3 P Python @ | 5 L INE @ | 6 L INE @ ")</f>
        <v xml:space="preserve">| 1 L CPT % | 2 L JAVA % | 3 P Python @ | 5 L INE @ | 6 L INE @ </v>
      </c>
      <c r="AX219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19" s="4" t="str">
        <f ca="1">IFERROR(__xludf.DUMMYFUNCTION("""COMPUTED_VALUE"""),"| 1 L CPT % | 2 L PHP-CGM % | 3 P PRO @ | 5 P Python @ ")</f>
        <v xml:space="preserve">| 1 L CPT % | 2 L PHP-CGM % | 3 P PRO @ | 5 P Python @ </v>
      </c>
      <c r="AZ219" s="4" t="str">
        <f ca="1">IFERROR(__xludf.DUMMYFUNCTION("""COMPUTED_VALUE"""),"| 1 L CPT @ | 2 L JAVA @ | 3 P PHP-CGM @ | 5 P NS @ ")</f>
        <v xml:space="preserve">| 1 L CPT @ | 2 L JAVA @ | 3 P PHP-CGM @ | 5 P NS @ </v>
      </c>
      <c r="BA219" s="4" t="str">
        <f ca="1">IFERROR(__xludf.DUMMYFUNCTION("""COMPUTED_VALUE"""),"| 1 L CPT % | 2 L JAVA % | 3 P Python % | 5 L INE @ ")</f>
        <v xml:space="preserve">| 1 L CPT % | 2 L JAVA % | 3 P Python % | 5 L INE @ </v>
      </c>
      <c r="BB219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19" s="4" t="str">
        <f ca="1">IFERROR(__xludf.DUMMYFUNCTION("""COMPUTED_VALUE"""),"| 1 L CPT % | 2 L PHP-CGM % | 3 P PRO % | 5 P Python % ")</f>
        <v xml:space="preserve">| 1 L CPT % | 2 L PHP-CGM % | 3 P PRO % | 5 P Python % </v>
      </c>
      <c r="BD219" s="4" t="str">
        <f ca="1">IFERROR(__xludf.DUMMYFUNCTION("""COMPUTED_VALUE"""),"| 1 L NS % | 2 L PHP-CGM % | 3 P CPT % | 5 P JAVA % ")</f>
        <v xml:space="preserve">| 1 L NS % | 2 L PHP-CGM % | 3 P CPT % | 5 P JAVA % </v>
      </c>
      <c r="BE219" s="4" t="str">
        <f ca="1">IFERROR(__xludf.DUMMYFUNCTION("""COMPUTED_VALUE"""),"| 1 L CPT % | 2 L JAVA % | 3 P PHP-CGM % | 5 P NS % ")</f>
        <v xml:space="preserve">| 1 L CPT % | 2 L JAVA % | 3 P PHP-CGM % | 5 P NS % </v>
      </c>
      <c r="BF219" s="4" t="str">
        <f ca="1">IFERROR(__xludf.DUMMYFUNCTION("""COMPUTED_VALUE"""),"| 1 L CPT % | 2 L JAVA % | 3 P Python % ")</f>
        <v xml:space="preserve">| 1 L CPT % | 2 L JAVA % | 3 P Python % </v>
      </c>
      <c r="BG219" s="4" t="str">
        <f ca="1">IFERROR(__xludf.DUMMYFUNCTION("""COMPUTED_VALUE"""),"| 2 L PHP-CGM % | 1 L CPT % | 3 P PRO % | 5 P Python % ")</f>
        <v xml:space="preserve">| 2 L PHP-CGM % | 1 L CPT % | 3 P PRO % | 5 P Python % </v>
      </c>
      <c r="BH219" s="4" t="str">
        <f ca="1">IFERROR(__xludf.DUMMYFUNCTION("""COMPUTED_VALUE"""),"| 1 L NS @ | 2 L PHP-CGM % | 3 P CPT @ | 5 P JAVA @ ")</f>
        <v xml:space="preserve">| 1 L NS @ | 2 L PHP-CGM % | 3 P CPT @ | 5 P JAVA @ </v>
      </c>
      <c r="BI219" s="4" t="str">
        <f ca="1">IFERROR(__xludf.DUMMYFUNCTION("""COMPUTED_VALUE"""),"| 1 L CPT % | 2 L JAVA % | 3 P PHP-CGM @ | 5 P NS % ")</f>
        <v xml:space="preserve">| 1 L CPT % | 2 L JAVA % | 3 P PHP-CGM @ | 5 P NS % </v>
      </c>
      <c r="BJ219" s="4" t="str">
        <f ca="1">IFERROR(__xludf.DUMMYFUNCTION("""COMPUTED_VALUE"""),"| 1 L CPT @ | 2 L JAVA @ | 3 P Python @ | 5 L INE % ")</f>
        <v xml:space="preserve">| 1 L CPT @ | 2 L JAVA @ | 3 P Python @ | 5 L INE % </v>
      </c>
      <c r="BK219" s="4" t="str">
        <f ca="1">IFERROR(__xludf.DUMMYFUNCTION("""COMPUTED_VALUE"""),"| 1 L NS @ | 2 L PHP-CGM @ | 5 L NS @ | 6 L JAVA @ ")</f>
        <v xml:space="preserve">| 1 L NS @ | 2 L PHP-CGM @ | 5 L NS @ | 6 L JAVA @ </v>
      </c>
      <c r="BL219" s="4" t="str">
        <f ca="1">IFERROR(__xludf.DUMMYFUNCTION("""COMPUTED_VALUE"""),"| 1 L CPT @ | 2 L PHP-CGM @ | 3 P PRO @ ")</f>
        <v xml:space="preserve">| 1 L CPT @ | 2 L PHP-CGM @ | 3 P PRO @ </v>
      </c>
      <c r="BM219" s="4" t="str">
        <f ca="1">IFERROR(__xludf.DUMMYFUNCTION("""COMPUTED_VALUE"""),"| 1 L NS % | 2 L PHP-CGM % | 3 P CPT % | 5 P JAVA % ")</f>
        <v xml:space="preserve">| 1 L NS % | 2 L PHP-CGM % | 3 P CPT % | 5 P JAVA % </v>
      </c>
      <c r="BN219" s="4" t="str">
        <f ca="1">IFERROR(__xludf.DUMMYFUNCTION("""COMPUTED_VALUE"""),"| 2 L JAVA @ | 1 L CPT @ | 3 P PHP-CGM @ | 5 P NS @ ")</f>
        <v xml:space="preserve">| 2 L JAVA @ | 1 L CPT @ | 3 P PHP-CGM @ | 5 P NS @ </v>
      </c>
      <c r="BO219" s="4" t="str">
        <f ca="1">IFERROR(__xludf.DUMMYFUNCTION("""COMPUTED_VALUE"""),"| 2 L JAVA @ | 1 L CPT @ | 3 P Python @ | 5 L INE @ ")</f>
        <v xml:space="preserve">| 2 L JAVA @ | 1 L CPT @ | 3 P Python @ | 5 L INE @ </v>
      </c>
      <c r="BP219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19" s="4"/>
      <c r="BR219" s="4"/>
      <c r="BS219" s="4"/>
      <c r="BT219" s="4" t="str">
        <f ca="1">IFERROR(__xludf.DUMMYFUNCTION("""COMPUTED_VALUE"""),"| 1 L NS % | 2 L PHP-CGM % | 3 P JAVA % ")</f>
        <v xml:space="preserve">| 1 L NS % | 2 L PHP-CGM % | 3 P JAVA % </v>
      </c>
      <c r="BU219" s="4" t="str">
        <f ca="1">IFERROR(__xludf.DUMMYFUNCTION("""COMPUTED_VALUE"""),"| 1 L CPT @ ")</f>
        <v xml:space="preserve">| 1 L CPT @ </v>
      </c>
      <c r="BV219" s="4" t="str">
        <f ca="1">IFERROR(__xludf.DUMMYFUNCTION("""COMPUTED_VALUE"""),"| 1 L NS % | 2 L PHP-CGM % | 3 P JAVA @ | 6 L JAVA @ ")</f>
        <v xml:space="preserve">| 1 L NS % | 2 L PHP-CGM % | 3 P JAVA @ | 6 L JAVA @ </v>
      </c>
      <c r="BW219" s="4" t="str">
        <f ca="1">IFERROR(__xludf.DUMMYFUNCTION("""COMPUTED_VALUE"""),"| 1 L CPT @ | 2 L PHP-CGM % | 3 P PRO @ ")</f>
        <v xml:space="preserve">| 1 L CPT @ | 2 L PHP-CGM % | 3 P PRO @ </v>
      </c>
      <c r="BX219" s="4" t="str">
        <f ca="1">IFERROR(__xludf.DUMMYFUNCTION("""COMPUTED_VALUE"""),"| 1 L NS % | 2 L PHP-CGM % | 3 P CPT % | 5 P JAVA @ ")</f>
        <v xml:space="preserve">| 1 L NS % | 2 L PHP-CGM % | 3 P CPT % | 5 P JAVA @ </v>
      </c>
      <c r="BY219" s="4" t="str">
        <f ca="1">IFERROR(__xludf.DUMMYFUNCTION("""COMPUTED_VALUE"""),"| 1 L CPT @ | 2 L JAVA @ | 3 P PHP-CGM % | 5 P NS % ")</f>
        <v xml:space="preserve">| 1 L CPT @ | 2 L JAVA @ | 3 P PHP-CGM % | 5 P NS % </v>
      </c>
      <c r="BZ219" s="4" t="str">
        <f ca="1">IFERROR(__xludf.DUMMYFUNCTION("""COMPUTED_VALUE"""),"| 1 L CPT @ | 2 L JAVA @ | 5 L INE @ ")</f>
        <v xml:space="preserve">| 1 L CPT @ | 2 L JAVA @ | 5 L INE @ </v>
      </c>
      <c r="CA219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B219" s="4" t="str">
        <f ca="1">IFERROR(__xludf.DUMMYFUNCTION("""COMPUTED_VALUE"""),"| 2 L PHP-CGM % | 3 P PRO % | 5 P Python % | 1 L CPT % ")</f>
        <v xml:space="preserve">| 2 L PHP-CGM % | 3 P PRO % | 5 P Python % | 1 L CPT % </v>
      </c>
      <c r="CC219" s="4" t="str">
        <f ca="1">IFERROR(__xludf.DUMMYFUNCTION("""COMPUTED_VALUE"""),"| 1 L NS % | 2 L PHP-CGM % | 3 P CPT % | 5 P JAVA @ ")</f>
        <v xml:space="preserve">| 1 L NS % | 2 L PHP-CGM % | 3 P CPT % | 5 P JAVA @ </v>
      </c>
      <c r="CD219" s="4" t="str">
        <f ca="1">IFERROR(__xludf.DUMMYFUNCTION("""COMPUTED_VALUE"""),"| 1 L CPT @ | 2 L JAVA @ | 3 P PHP-CGM % | 5 P NS @ ")</f>
        <v xml:space="preserve">| 1 L CPT @ | 2 L JAVA @ | 3 P PHP-CGM % | 5 P NS @ </v>
      </c>
      <c r="CE219" s="4" t="str">
        <f ca="1">IFERROR(__xludf.DUMMYFUNCTION("""COMPUTED_VALUE"""),"| 1 L CPT @ | 2 L JAVA @ | 3 P Python @ | 5 L INE % ")</f>
        <v xml:space="preserve">| 1 L CPT @ | 2 L JAVA @ | 3 P Python @ | 5 L INE % </v>
      </c>
      <c r="CF21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19" s="4" t="str">
        <f ca="1">IFERROR(__xludf.DUMMYFUNCTION("""COMPUTED_VALUE"""),"| 1 L CPT % | 2 L PHP-CGM % | 5 P Python % ")</f>
        <v xml:space="preserve">| 1 L CPT % | 2 L PHP-CGM % | 5 P Python % </v>
      </c>
      <c r="CH219" s="4" t="str">
        <f ca="1">IFERROR(__xludf.DUMMYFUNCTION("""COMPUTED_VALUE"""),"| 1 L NS @ | 2 L PHP-CGM @ | 3 P CPT % ")</f>
        <v xml:space="preserve">| 1 L NS @ | 2 L PHP-CGM @ | 3 P CPT % </v>
      </c>
      <c r="CI219" s="4" t="str">
        <f ca="1">IFERROR(__xludf.DUMMYFUNCTION("""COMPUTED_VALUE"""),"| 1 L CPT @ | 2 L JAVA @ | 3 P PHP-CGM % | 5 P NS % ")</f>
        <v xml:space="preserve">| 1 L CPT @ | 2 L JAVA @ | 3 P PHP-CGM % | 5 P NS % </v>
      </c>
      <c r="CJ219" s="4" t="str">
        <f ca="1">IFERROR(__xludf.DUMMYFUNCTION("""COMPUTED_VALUE"""),"| 1 L CPT @ ")</f>
        <v xml:space="preserve">| 1 L CPT @ </v>
      </c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</row>
    <row r="220" spans="1:102" ht="12.5" x14ac:dyDescent="0.25">
      <c r="A220" s="3">
        <f ca="1">IFERROR(__xludf.DUMMYFUNCTION("""COMPUTED_VALUE"""),3)</f>
        <v>3</v>
      </c>
      <c r="B220" s="3" t="str">
        <f ca="1">IFERROR(__xludf.DUMMYFUNCTION("""COMPUTED_VALUE"""),"C")</f>
        <v>C</v>
      </c>
      <c r="C220" s="32" t="str">
        <f ca="1">IFERROR(__xludf.DUMMYFUNCTION("""COMPUTED_VALUE"""),"23171341124")</f>
        <v>23171341124</v>
      </c>
      <c r="D220" s="4" t="str">
        <f ca="1">IFERROR(__xludf.DUMMYFUNCTION("""COMPUTED_VALUE"""),"PATEL SMIT JAGDISHBHAI")</f>
        <v>PATEL SMIT JAGDISHBHAI</v>
      </c>
      <c r="E220" s="3" t="str">
        <f ca="1">IFERROR(__xludf.DUMMYFUNCTION("""COMPUTED_VALUE"""),"PKN/PAP-Mor")</f>
        <v>PKN/PAP-Mor</v>
      </c>
      <c r="F220" s="3">
        <f ca="1">IFERROR(__xludf.DUMMYFUNCTION("""COMPUTED_VALUE"""),9664824959)</f>
        <v>9664824959</v>
      </c>
      <c r="G220" s="3">
        <f ca="1">IFERROR(__xludf.DUMMYFUNCTION("""COMPUTED_VALUE"""),9662474493)</f>
        <v>9662474493</v>
      </c>
      <c r="H220" s="33">
        <f ca="1">IFERROR(__xludf.DUMMYFUNCTION("""COMPUTED_VALUE"""),0.333333333333333)</f>
        <v>0.33333333333333298</v>
      </c>
      <c r="I220" s="25">
        <f ca="1">IFERROR(__xludf.DUMMYFUNCTION("""COMPUTED_VALUE"""),0.473684210526315)</f>
        <v>0.47368421052631499</v>
      </c>
      <c r="J220" s="25">
        <f ca="1">IFERROR(__xludf.DUMMYFUNCTION("""COMPUTED_VALUE"""),0)</f>
        <v>0</v>
      </c>
      <c r="K220" s="25">
        <f ca="1">IFERROR(__xludf.DUMMYFUNCTION("""COMPUTED_VALUE"""),0.583333333333333)</f>
        <v>0.58333333333333304</v>
      </c>
      <c r="L220" s="25">
        <f ca="1">IFERROR(__xludf.DUMMYFUNCTION("""COMPUTED_VALUE"""),0)</f>
        <v>0</v>
      </c>
      <c r="M220" s="25">
        <f ca="1">IFERROR(__xludf.DUMMYFUNCTION("""COMPUTED_VALUE"""),0.777777777777777)</f>
        <v>0.77777777777777701</v>
      </c>
      <c r="N220" s="25">
        <f ca="1">IFERROR(__xludf.DUMMYFUNCTION("""COMPUTED_VALUE"""),0)</f>
        <v>0</v>
      </c>
      <c r="O220" s="25">
        <f ca="1">IFERROR(__xludf.DUMMYFUNCTION("""COMPUTED_VALUE"""),0.371428571428571)</f>
        <v>0.371428571428571</v>
      </c>
      <c r="P220" s="25">
        <f ca="1">IFERROR(__xludf.DUMMYFUNCTION("""COMPUTED_VALUE"""),0)</f>
        <v>0</v>
      </c>
      <c r="Q220" s="25">
        <f ca="1">IFERROR(__xludf.DUMMYFUNCTION("""COMPUTED_VALUE"""),0)</f>
        <v>0</v>
      </c>
      <c r="R220" s="25">
        <f ca="1">IFERROR(__xludf.DUMMYFUNCTION("""COMPUTED_VALUE"""),0)</f>
        <v>0</v>
      </c>
      <c r="S220" s="25">
        <f ca="1">IFERROR(__xludf.DUMMYFUNCTION("""COMPUTED_VALUE"""),0)</f>
        <v>0</v>
      </c>
      <c r="T220" s="25">
        <f ca="1">IFERROR(__xludf.DUMMYFUNCTION("""COMPUTED_VALUE"""),0)</f>
        <v>0</v>
      </c>
      <c r="U220" s="25">
        <f ca="1">IFERROR(__xludf.DUMMYFUNCTION("""COMPUTED_VALUE"""),0.125)</f>
        <v>0.125</v>
      </c>
      <c r="V220" s="25">
        <f ca="1">IFERROR(__xludf.DUMMYFUNCTION("""COMPUTED_VALUE"""),0)</f>
        <v>0</v>
      </c>
      <c r="W220" s="4"/>
      <c r="X220" s="4" t="str">
        <f ca="1">IFERROR(__xludf.DUMMYFUNCTION("""COMPUTED_VALUE"""),"| 1 L NS % | 2 L PHP-CGM % | 3 P JAVA @ | 5 L JAVA @ | 6 L NS @ ")</f>
        <v xml:space="preserve">| 1 L NS % | 2 L PHP-CGM % | 3 P JAVA @ | 5 L JAVA @ | 6 L NS @ </v>
      </c>
      <c r="Y220" s="4" t="str">
        <f ca="1">IFERROR(__xludf.DUMMYFUNCTION("""COMPUTED_VALUE"""),"| 1 L CPT % | 5 L PHP-CGM % | 3 P PRO @ | 5 P Python @ ")</f>
        <v xml:space="preserve">| 1 L CPT % | 5 L PHP-CGM % | 3 P PRO @ | 5 P Python @ </v>
      </c>
      <c r="Z220" s="4" t="str">
        <f ca="1">IFERROR(__xludf.DUMMYFUNCTION("""COMPUTED_VALUE"""),"| 1 L CPT % | 2 L PHP-CGM % | 3 P CPT @ | 5 P JAVA @ ")</f>
        <v xml:space="preserve">| 1 L CPT % | 2 L PHP-CGM % | 3 P CPT @ | 5 P JAVA @ </v>
      </c>
      <c r="AA220" s="4" t="str">
        <f ca="1">IFERROR(__xludf.DUMMYFUNCTION("""COMPUTED_VALUE"""),"| 1 L NS @ | 2 L JAVA @ | 3 P PHP-CGM @ | 5 P NS @ ")</f>
        <v xml:space="preserve">| 1 L NS @ | 2 L JAVA @ | 3 P PHP-CGM @ | 5 P NS @ </v>
      </c>
      <c r="AB220" s="4" t="str">
        <f ca="1">IFERROR(__xludf.DUMMYFUNCTION("""COMPUTED_VALUE"""),"| 1 L CPT @ | 2 L JAVA @ | 3 P Python @ ")</f>
        <v xml:space="preserve">| 1 L CPT @ | 2 L JAVA @ | 3 P Python @ </v>
      </c>
      <c r="AC220" s="4" t="str">
        <f ca="1">IFERROR(__xludf.DUMMYFUNCTION("""COMPUTED_VALUE"""),"| 1 L NS % | 2 L PHP-CGM % | 3 P JAVA @ | 5 L JAVA @ | 6 L NS @ ")</f>
        <v xml:space="preserve">| 1 L NS % | 2 L PHP-CGM % | 3 P JAVA @ | 5 L JAVA @ | 6 L NS @ </v>
      </c>
      <c r="AD220" s="4" t="str">
        <f ca="1">IFERROR(__xludf.DUMMYFUNCTION("""COMPUTED_VALUE"""),"| 1 L CPT % | 2 L PHP-CGM % | 3 P PRO @ | 5 P Python @ ")</f>
        <v xml:space="preserve">| 1 L CPT % | 2 L PHP-CGM % | 3 P PRO @ | 5 P Python @ </v>
      </c>
      <c r="AE220" s="4" t="str">
        <f ca="1">IFERROR(__xludf.DUMMYFUNCTION("""COMPUTED_VALUE"""),"| 1 L CPT % | 3 P CPT @ | 5 P JAVA @ | 2 L PHP-CGM % ")</f>
        <v xml:space="preserve">| 1 L CPT % | 3 P CPT @ | 5 P JAVA @ | 2 L PHP-CGM % </v>
      </c>
      <c r="AF220" s="4" t="str">
        <f ca="1">IFERROR(__xludf.DUMMYFUNCTION("""COMPUTED_VALUE"""),"| 1 L NS @ | 2 L CPT @ | 3 P PHP-CGM @ | 5 P NS @ ")</f>
        <v xml:space="preserve">| 1 L NS @ | 2 L CPT @ | 3 P PHP-CGM @ | 5 P NS @ </v>
      </c>
      <c r="AG220" s="4" t="str">
        <f ca="1">IFERROR(__xludf.DUMMYFUNCTION("""COMPUTED_VALUE"""),"| 1 L CPT % | 2 L JAVA % | 3 P Python @ ")</f>
        <v xml:space="preserve">| 1 L CPT % | 2 L JAVA % | 3 P Python @ </v>
      </c>
      <c r="AH220" s="4" t="str">
        <f ca="1">IFERROR(__xludf.DUMMYFUNCTION("""COMPUTED_VALUE"""),"| 2 L JAVA % | 1 L NS % | 3 P PHP-CGM @ | 5 P NS @ ")</f>
        <v xml:space="preserve">| 2 L JAVA % | 1 L NS % | 3 P PHP-CGM @ | 5 P NS @ </v>
      </c>
      <c r="AI220" s="4" t="str">
        <f ca="1">IFERROR(__xludf.DUMMYFUNCTION("""COMPUTED_VALUE"""),"| 1 L CPT % | 2 L JAVA % | 3 P Python @ ")</f>
        <v xml:space="preserve">| 1 L CPT % | 2 L JAVA % | 3 P Python @ </v>
      </c>
      <c r="AJ220" s="4" t="str">
        <f ca="1">IFERROR(__xludf.DUMMYFUNCTION("""COMPUTED_VALUE"""),"| 1 L NS % | 2 L PHP-CGM % | 3 P JAVA @ | 5 L JAVA % | 6 L NS % ")</f>
        <v xml:space="preserve">| 1 L NS % | 2 L PHP-CGM % | 3 P JAVA @ | 5 L JAVA % | 6 L NS % </v>
      </c>
      <c r="AK220" s="4" t="str">
        <f ca="1">IFERROR(__xludf.DUMMYFUNCTION("""COMPUTED_VALUE"""),"| 1 L CPT % | 3 P PRO @ | 2 L PHP-CGM % | 5 P Python @ ")</f>
        <v xml:space="preserve">| 1 L CPT % | 3 P PRO @ | 2 L PHP-CGM % | 5 P Python @ </v>
      </c>
      <c r="AL220" s="4" t="str">
        <f ca="1">IFERROR(__xludf.DUMMYFUNCTION("""COMPUTED_VALUE"""),"| 1 L CPT % | 2 L PHP-CGM % | 3 P CPT @ | 5 P JAVA @ ")</f>
        <v xml:space="preserve">| 1 L CPT % | 2 L PHP-CGM % | 3 P CPT @ | 5 P JAVA @ </v>
      </c>
      <c r="AM220" s="4" t="str">
        <f ca="1">IFERROR(__xludf.DUMMYFUNCTION("""COMPUTED_VALUE"""),"| 2 L JAVA % | 3 P PHP-CGM @ | 1 L NS % | 5 P NS @ ")</f>
        <v xml:space="preserve">| 2 L JAVA % | 3 P PHP-CGM @ | 1 L NS % | 5 P NS @ </v>
      </c>
      <c r="AN220" s="4" t="str">
        <f ca="1">IFERROR(__xludf.DUMMYFUNCTION("""COMPUTED_VALUE"""),"| 1 L CPT % | 2 L JAVA % | 3 P Python @ | 5 L INE @ ")</f>
        <v xml:space="preserve">| 1 L CPT % | 2 L JAVA % | 3 P Python @ | 5 L INE @ </v>
      </c>
      <c r="AO220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P220" s="4" t="str">
        <f ca="1">IFERROR(__xludf.DUMMYFUNCTION("""COMPUTED_VALUE"""),"| 1 L CPT % | 2 L PHP-CGM % | 3 P PRO @ | 5 P Python @ ")</f>
        <v xml:space="preserve">| 1 L CPT % | 2 L PHP-CGM % | 3 P PRO @ | 5 P Python @ </v>
      </c>
      <c r="AQ220" s="4" t="str">
        <f ca="1">IFERROR(__xludf.DUMMYFUNCTION("""COMPUTED_VALUE"""),"| 2 L PHP-CGM % | 3 P CPT @ | 1 L NS % | 5 P JAVA @ ")</f>
        <v xml:space="preserve">| 2 L PHP-CGM % | 3 P CPT @ | 1 L NS % | 5 P JAVA @ </v>
      </c>
      <c r="AR220" s="4" t="str">
        <f ca="1">IFERROR(__xludf.DUMMYFUNCTION("""COMPUTED_VALUE"""),"| 1 L CPT @ | 2 L JAVA @ | 3 P PHP-CGM @ | 5 P NS @ ")</f>
        <v xml:space="preserve">| 1 L CPT @ | 2 L JAVA @ | 3 P PHP-CGM @ | 5 P NS @ </v>
      </c>
      <c r="AS220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AT220" s="4" t="str">
        <f ca="1">IFERROR(__xludf.DUMMYFUNCTION("""COMPUTED_VALUE"""),"| 1 L CPT % | 2 L PHP-CGM % | 3 P PRO @ | 5 P Python @ ")</f>
        <v xml:space="preserve">| 1 L CPT % | 2 L PHP-CGM % | 3 P PRO @ | 5 P Python @ </v>
      </c>
      <c r="AU220" s="4" t="str">
        <f ca="1">IFERROR(__xludf.DUMMYFUNCTION("""COMPUTED_VALUE"""),"| 1 L NS % | 2 L PHP-CGM % | 3 P CPT @ | 5 P JAVA @ ")</f>
        <v xml:space="preserve">| 1 L NS % | 2 L PHP-CGM % | 3 P CPT @ | 5 P JAVA @ </v>
      </c>
      <c r="AV220" s="4" t="str">
        <f ca="1">IFERROR(__xludf.DUMMYFUNCTION("""COMPUTED_VALUE"""),"| 1 L CPT % | 2 L JAVA % | 3 P PHP-CGM @ | 5 P NS @ ")</f>
        <v xml:space="preserve">| 1 L CPT % | 2 L JAVA % | 3 P PHP-CGM @ | 5 P NS @ </v>
      </c>
      <c r="AW220" s="4" t="str">
        <f ca="1">IFERROR(__xludf.DUMMYFUNCTION("""COMPUTED_VALUE"""),"| 1 L CPT % | 2 L JAVA % | 3 P Python @ | 5 L INE @ | 6 L INE @ ")</f>
        <v xml:space="preserve">| 1 L CPT % | 2 L JAVA % | 3 P Python @ | 5 L INE @ | 6 L INE @ </v>
      </c>
      <c r="AX220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Y220" s="4" t="str">
        <f ca="1">IFERROR(__xludf.DUMMYFUNCTION("""COMPUTED_VALUE"""),"| 1 L CPT % | 2 L PHP-CGM % | 3 P PRO @ | 5 P Python @ ")</f>
        <v xml:space="preserve">| 1 L CPT % | 2 L PHP-CGM % | 3 P PRO @ | 5 P Python @ </v>
      </c>
      <c r="AZ220" s="4" t="str">
        <f ca="1">IFERROR(__xludf.DUMMYFUNCTION("""COMPUTED_VALUE"""),"| 1 L CPT @ | 2 L JAVA @ | 3 P PHP-CGM @ | 5 P NS @ ")</f>
        <v xml:space="preserve">| 1 L CPT @ | 2 L JAVA @ | 3 P PHP-CGM @ | 5 P NS @ </v>
      </c>
      <c r="BA220" s="4" t="str">
        <f ca="1">IFERROR(__xludf.DUMMYFUNCTION("""COMPUTED_VALUE"""),"| 1 L CPT % | 2 L JAVA % | 3 P Python @ | 5 L INE @ ")</f>
        <v xml:space="preserve">| 1 L CPT % | 2 L JAVA % | 3 P Python @ | 5 L INE @ </v>
      </c>
      <c r="BB220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C220" s="4" t="str">
        <f ca="1">IFERROR(__xludf.DUMMYFUNCTION("""COMPUTED_VALUE"""),"| 1 L CPT @ | 2 L PHP-CGM @ | 3 P PRO @ | 5 P Python @ ")</f>
        <v xml:space="preserve">| 1 L CPT @ | 2 L PHP-CGM @ | 3 P PRO @ | 5 P Python @ </v>
      </c>
      <c r="BD220" s="4" t="str">
        <f ca="1">IFERROR(__xludf.DUMMYFUNCTION("""COMPUTED_VALUE"""),"| 1 L NS % | 2 L PHP-CGM % | 3 P CPT @ | 5 P JAVA @ ")</f>
        <v xml:space="preserve">| 1 L NS % | 2 L PHP-CGM % | 3 P CPT @ | 5 P JAVA @ </v>
      </c>
      <c r="BE220" s="4" t="str">
        <f ca="1">IFERROR(__xludf.DUMMYFUNCTION("""COMPUTED_VALUE"""),"| 1 L CPT @ | 2 L JAVA @ | 3 P PHP-CGM @ | 5 P NS @ ")</f>
        <v xml:space="preserve">| 1 L CPT @ | 2 L JAVA @ | 3 P PHP-CGM @ | 5 P NS @ </v>
      </c>
      <c r="BF220" s="4" t="str">
        <f ca="1">IFERROR(__xludf.DUMMYFUNCTION("""COMPUTED_VALUE"""),"| 1 L CPT @ | 2 L JAVA @ | 3 P Python @ ")</f>
        <v xml:space="preserve">| 1 L CPT @ | 2 L JAVA @ | 3 P Python @ </v>
      </c>
      <c r="BG220" s="4" t="str">
        <f ca="1">IFERROR(__xludf.DUMMYFUNCTION("""COMPUTED_VALUE"""),"| 2 L PHP-CGM % | 1 L CPT % | 3 P PRO @ | 5 P Python @ ")</f>
        <v xml:space="preserve">| 2 L PHP-CGM % | 1 L CPT % | 3 P PRO @ | 5 P Python @ </v>
      </c>
      <c r="BH220" s="4" t="str">
        <f ca="1">IFERROR(__xludf.DUMMYFUNCTION("""COMPUTED_VALUE"""),"| 1 L NS % | 2 L PHP-CGM % | 3 P CPT @ | 5 P JAVA @ ")</f>
        <v xml:space="preserve">| 1 L NS % | 2 L PHP-CGM % | 3 P CPT @ | 5 P JAVA @ </v>
      </c>
      <c r="BI220" s="4" t="str">
        <f ca="1">IFERROR(__xludf.DUMMYFUNCTION("""COMPUTED_VALUE"""),"| 1 L CPT @ | 2 L JAVA @ | 3 P PHP-CGM @ | 5 P NS @ ")</f>
        <v xml:space="preserve">| 1 L CPT @ | 2 L JAVA @ | 3 P PHP-CGM @ | 5 P NS @ </v>
      </c>
      <c r="BJ220" s="4" t="str">
        <f ca="1">IFERROR(__xludf.DUMMYFUNCTION("""COMPUTED_VALUE"""),"| 1 L CPT @ | 2 L JAVA % | 3 P Python @ | 5 L INE @ ")</f>
        <v xml:space="preserve">| 1 L CPT @ | 2 L JAVA % | 3 P Python @ | 5 L INE @ </v>
      </c>
      <c r="BK220" s="4" t="str">
        <f ca="1">IFERROR(__xludf.DUMMYFUNCTION("""COMPUTED_VALUE"""),"| 1 L NS @ | 2 L PHP-CGM @ | 5 L NS @ | 6 L JAVA @ ")</f>
        <v xml:space="preserve">| 1 L NS @ | 2 L PHP-CGM @ | 5 L NS @ | 6 L JAVA @ </v>
      </c>
      <c r="BL220" s="4" t="str">
        <f ca="1">IFERROR(__xludf.DUMMYFUNCTION("""COMPUTED_VALUE"""),"| 1 L CPT % | 2 L PHP-CGM % | 3 P PRO @ ")</f>
        <v xml:space="preserve">| 1 L CPT % | 2 L PHP-CGM % | 3 P PRO @ </v>
      </c>
      <c r="BM220" s="4" t="str">
        <f ca="1">IFERROR(__xludf.DUMMYFUNCTION("""COMPUTED_VALUE"""),"| 1 L NS % | 2 L PHP-CGM % | 3 P CPT @ | 5 P JAVA @ ")</f>
        <v xml:space="preserve">| 1 L NS % | 2 L PHP-CGM % | 3 P CPT @ | 5 P JAVA @ </v>
      </c>
      <c r="BN220" s="4" t="str">
        <f ca="1">IFERROR(__xludf.DUMMYFUNCTION("""COMPUTED_VALUE"""),"| 2 L JAVA @ | 1 L CPT @ | 3 P PHP-CGM @ | 5 P NS @ ")</f>
        <v xml:space="preserve">| 2 L JAVA @ | 1 L CPT @ | 3 P PHP-CGM @ | 5 P NS @ </v>
      </c>
      <c r="BO220" s="4" t="str">
        <f ca="1">IFERROR(__xludf.DUMMYFUNCTION("""COMPUTED_VALUE"""),"| 2 L JAVA @ | 1 L CPT @ | 3 P Python @ | 5 L INE @ ")</f>
        <v xml:space="preserve">| 2 L JAVA @ | 1 L CPT @ | 3 P Python @ | 5 L INE @ </v>
      </c>
      <c r="BP220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20" s="4"/>
      <c r="BR220" s="4"/>
      <c r="BS220" s="4"/>
      <c r="BT220" s="4" t="str">
        <f ca="1">IFERROR(__xludf.DUMMYFUNCTION("""COMPUTED_VALUE"""),"| 1 L NS @ | 2 L PHP-CGM @ | 3 P JAVA @ ")</f>
        <v xml:space="preserve">| 1 L NS @ | 2 L PHP-CGM @ | 3 P JAVA @ </v>
      </c>
      <c r="BU220" s="4" t="str">
        <f ca="1">IFERROR(__xludf.DUMMYFUNCTION("""COMPUTED_VALUE"""),"| 1 L CPT @ ")</f>
        <v xml:space="preserve">| 1 L CPT @ </v>
      </c>
      <c r="BV220" s="4" t="str">
        <f ca="1">IFERROR(__xludf.DUMMYFUNCTION("""COMPUTED_VALUE"""),"| 1 L NS % | 2 L PHP-CGM % | 3 P JAVA @ | 6 L JAVA % ")</f>
        <v xml:space="preserve">| 1 L NS % | 2 L PHP-CGM % | 3 P JAVA @ | 6 L JAVA % </v>
      </c>
      <c r="BW220" s="4" t="str">
        <f ca="1">IFERROR(__xludf.DUMMYFUNCTION("""COMPUTED_VALUE"""),"| 1 L CPT @ | 2 L PHP-CGM @ | 3 P PRO @ ")</f>
        <v xml:space="preserve">| 1 L CPT @ | 2 L PHP-CGM @ | 3 P PRO @ </v>
      </c>
      <c r="BX220" s="4" t="str">
        <f ca="1">IFERROR(__xludf.DUMMYFUNCTION("""COMPUTED_VALUE"""),"| 1 L NS % | 2 L PHP-CGM % | 3 P CPT @ | 5 P JAVA @ ")</f>
        <v xml:space="preserve">| 1 L NS % | 2 L PHP-CGM % | 3 P CPT @ | 5 P JAVA @ </v>
      </c>
      <c r="BY220" s="4" t="str">
        <f ca="1">IFERROR(__xludf.DUMMYFUNCTION("""COMPUTED_VALUE"""),"| 1 L CPT @ | 2 L JAVA @ | 3 P PHP-CGM @ | 5 P NS @ ")</f>
        <v xml:space="preserve">| 1 L CPT @ | 2 L JAVA @ | 3 P PHP-CGM @ | 5 P NS @ </v>
      </c>
      <c r="BZ220" s="4" t="str">
        <f ca="1">IFERROR(__xludf.DUMMYFUNCTION("""COMPUTED_VALUE"""),"| 1 L CPT @ | 2 L JAVA @ | 5 L INE @ ")</f>
        <v xml:space="preserve">| 1 L CPT @ | 2 L JAVA @ | 5 L INE @ </v>
      </c>
      <c r="CA220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CB220" s="4" t="str">
        <f ca="1">IFERROR(__xludf.DUMMYFUNCTION("""COMPUTED_VALUE"""),"| 2 L PHP-CGM % | 3 P PRO @ | 5 P Python @ | 1 L CPT % ")</f>
        <v xml:space="preserve">| 2 L PHP-CGM % | 3 P PRO @ | 5 P Python @ | 1 L CPT % </v>
      </c>
      <c r="CC220" s="4" t="str">
        <f ca="1">IFERROR(__xludf.DUMMYFUNCTION("""COMPUTED_VALUE"""),"| 1 L NS @ | 2 L PHP-CGM @ | 3 P CPT @ | 5 P JAVA @ ")</f>
        <v xml:space="preserve">| 1 L NS @ | 2 L PHP-CGM @ | 3 P CPT @ | 5 P JAVA @ </v>
      </c>
      <c r="CD220" s="4" t="str">
        <f ca="1">IFERROR(__xludf.DUMMYFUNCTION("""COMPUTED_VALUE"""),"| 1 L CPT @ | 2 L JAVA @ | 3 P PHP-CGM @ | 5 P NS @ ")</f>
        <v xml:space="preserve">| 1 L CPT @ | 2 L JAVA @ | 3 P PHP-CGM @ | 5 P NS @ </v>
      </c>
      <c r="CE220" s="4" t="str">
        <f ca="1">IFERROR(__xludf.DUMMYFUNCTION("""COMPUTED_VALUE"""),"| 1 L CPT @ | 2 L JAVA @ | 3 P Python @ | 5 L INE % ")</f>
        <v xml:space="preserve">| 1 L CPT @ | 2 L JAVA @ | 3 P Python @ | 5 L INE % </v>
      </c>
      <c r="CF22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20" s="4" t="str">
        <f ca="1">IFERROR(__xludf.DUMMYFUNCTION("""COMPUTED_VALUE"""),"| 1 L CPT @ | 2 L PHP-CGM @ | 5 P Python @ ")</f>
        <v xml:space="preserve">| 1 L CPT @ | 2 L PHP-CGM @ | 5 P Python @ </v>
      </c>
      <c r="CH220" s="4" t="str">
        <f ca="1">IFERROR(__xludf.DUMMYFUNCTION("""COMPUTED_VALUE"""),"| 1 L NS @ | 2 L PHP-CGM @ | 3 P CPT @ ")</f>
        <v xml:space="preserve">| 1 L NS @ | 2 L PHP-CGM @ | 3 P CPT @ </v>
      </c>
      <c r="CI220" s="4" t="str">
        <f ca="1">IFERROR(__xludf.DUMMYFUNCTION("""COMPUTED_VALUE"""),"| 1 L CPT @ | 2 L JAVA @ | 3 P PHP-CGM @ | 5 P NS @ ")</f>
        <v xml:space="preserve">| 1 L CPT @ | 2 L JAVA @ | 3 P PHP-CGM @ | 5 P NS @ </v>
      </c>
      <c r="CJ220" s="4" t="str">
        <f ca="1">IFERROR(__xludf.DUMMYFUNCTION("""COMPUTED_VALUE"""),"| 1 L CPT @ ")</f>
        <v xml:space="preserve">| 1 L CPT @ </v>
      </c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</row>
    <row r="221" spans="1:102" ht="12.5" x14ac:dyDescent="0.25">
      <c r="A221" s="3">
        <f ca="1">IFERROR(__xludf.DUMMYFUNCTION("""COMPUTED_VALUE"""),3)</f>
        <v>3</v>
      </c>
      <c r="B221" s="3" t="str">
        <f ca="1">IFERROR(__xludf.DUMMYFUNCTION("""COMPUTED_VALUE"""),"C")</f>
        <v>C</v>
      </c>
      <c r="C221" s="32" t="str">
        <f ca="1">IFERROR(__xludf.DUMMYFUNCTION("""COMPUTED_VALUE"""),"23171341125")</f>
        <v>23171341125</v>
      </c>
      <c r="D221" s="4" t="str">
        <f ca="1">IFERROR(__xludf.DUMMYFUNCTION("""COMPUTED_VALUE"""),"PATEL SMIT SANJAYKUMAR")</f>
        <v>PATEL SMIT SANJAYKUMAR</v>
      </c>
      <c r="E221" s="3" t="str">
        <f ca="1">IFERROR(__xludf.DUMMYFUNCTION("""COMPUTED_VALUE"""),"PKN/PAP-Mor")</f>
        <v>PKN/PAP-Mor</v>
      </c>
      <c r="F221" s="3">
        <f ca="1">IFERROR(__xludf.DUMMYFUNCTION("""COMPUTED_VALUE"""),8799334023)</f>
        <v>8799334023</v>
      </c>
      <c r="G221" s="3">
        <f ca="1">IFERROR(__xludf.DUMMYFUNCTION("""COMPUTED_VALUE"""),9898104023)</f>
        <v>9898104023</v>
      </c>
      <c r="H221" s="33">
        <f ca="1">IFERROR(__xludf.DUMMYFUNCTION("""COMPUTED_VALUE"""),0.604938271604938)</f>
        <v>0.60493827160493796</v>
      </c>
      <c r="I221" s="25">
        <f ca="1">IFERROR(__xludf.DUMMYFUNCTION("""COMPUTED_VALUE"""),0.631578947368421)</f>
        <v>0.63157894736842102</v>
      </c>
      <c r="J221" s="25">
        <f ca="1">IFERROR(__xludf.DUMMYFUNCTION("""COMPUTED_VALUE"""),0.727272727272727)</f>
        <v>0.72727272727272696</v>
      </c>
      <c r="K221" s="25">
        <f ca="1">IFERROR(__xludf.DUMMYFUNCTION("""COMPUTED_VALUE"""),0.5)</f>
        <v>0.5</v>
      </c>
      <c r="L221" s="25">
        <f ca="1">IFERROR(__xludf.DUMMYFUNCTION("""COMPUTED_VALUE"""),0.615384615384615)</f>
        <v>0.61538461538461497</v>
      </c>
      <c r="M221" s="25">
        <f ca="1">IFERROR(__xludf.DUMMYFUNCTION("""COMPUTED_VALUE"""),0.694444444444444)</f>
        <v>0.69444444444444398</v>
      </c>
      <c r="N221" s="25">
        <f ca="1">IFERROR(__xludf.DUMMYFUNCTION("""COMPUTED_VALUE"""),0.615384615384615)</f>
        <v>0.61538461538461497</v>
      </c>
      <c r="O221" s="25">
        <f ca="1">IFERROR(__xludf.DUMMYFUNCTION("""COMPUTED_VALUE"""),0.428571428571428)</f>
        <v>0.42857142857142799</v>
      </c>
      <c r="P221" s="25">
        <f ca="1">IFERROR(__xludf.DUMMYFUNCTION("""COMPUTED_VALUE"""),0.636363636363636)</f>
        <v>0.63636363636363602</v>
      </c>
      <c r="Q221" s="25">
        <f ca="1">IFERROR(__xludf.DUMMYFUNCTION("""COMPUTED_VALUE"""),0)</f>
        <v>0</v>
      </c>
      <c r="R221" s="25">
        <f ca="1">IFERROR(__xludf.DUMMYFUNCTION("""COMPUTED_VALUE"""),0.7)</f>
        <v>0.7</v>
      </c>
      <c r="S221" s="25">
        <f ca="1">IFERROR(__xludf.DUMMYFUNCTION("""COMPUTED_VALUE"""),0)</f>
        <v>0</v>
      </c>
      <c r="T221" s="25">
        <f ca="1">IFERROR(__xludf.DUMMYFUNCTION("""COMPUTED_VALUE"""),0.727272727272727)</f>
        <v>0.72727272727272696</v>
      </c>
      <c r="U221" s="25">
        <f ca="1">IFERROR(__xludf.DUMMYFUNCTION("""COMPUTED_VALUE"""),0.625)</f>
        <v>0.625</v>
      </c>
      <c r="V221" s="25">
        <f ca="1">IFERROR(__xludf.DUMMYFUNCTION("""COMPUTED_VALUE"""),0)</f>
        <v>0</v>
      </c>
      <c r="W221" s="4"/>
      <c r="X221" s="4" t="str">
        <f ca="1">IFERROR(__xludf.DUMMYFUNCTION("""COMPUTED_VALUE"""),"| 1 L NS @ | 2 L PHP-CGM % | 3 P JAVA @ | 5 L JAVA @ | 6 L NS @ ")</f>
        <v xml:space="preserve">| 1 L NS @ | 2 L PHP-CGM % | 3 P JAVA @ | 5 L JAVA @ | 6 L NS @ </v>
      </c>
      <c r="Y221" s="4" t="str">
        <f ca="1">IFERROR(__xludf.DUMMYFUNCTION("""COMPUTED_VALUE"""),"| 1 L CPT % | 5 L PHP-CGM % | 3 P PRO % | 5 P Python % ")</f>
        <v xml:space="preserve">| 1 L CPT % | 5 L PHP-CGM % | 3 P PRO % | 5 P Python % </v>
      </c>
      <c r="Z221" s="4" t="str">
        <f ca="1">IFERROR(__xludf.DUMMYFUNCTION("""COMPUTED_VALUE"""),"| 1 L CPT % | 2 L PHP-CGM % | 3 P CPT % | 5 P JAVA % ")</f>
        <v xml:space="preserve">| 1 L CPT % | 2 L PHP-CGM % | 3 P CPT % | 5 P JAVA % </v>
      </c>
      <c r="AA221" s="4" t="str">
        <f ca="1">IFERROR(__xludf.DUMMYFUNCTION("""COMPUTED_VALUE"""),"| 1 L NS % | 2 L JAVA % | 3 P PHP-CGM % | 5 P NS % ")</f>
        <v xml:space="preserve">| 1 L NS % | 2 L JAVA % | 3 P PHP-CGM % | 5 P NS % </v>
      </c>
      <c r="AB221" s="4" t="str">
        <f ca="1">IFERROR(__xludf.DUMMYFUNCTION("""COMPUTED_VALUE"""),"| 1 L CPT % | 2 L JAVA % | 3 P Python @ ")</f>
        <v xml:space="preserve">| 1 L CPT % | 2 L JAVA % | 3 P Python @ </v>
      </c>
      <c r="AC221" s="4" t="str">
        <f ca="1">IFERROR(__xludf.DUMMYFUNCTION("""COMPUTED_VALUE"""),"| 1 L NS % | 2 L PHP-CGM % | 3 P JAVA % | 5 L JAVA @ | 6 L NS % ")</f>
        <v xml:space="preserve">| 1 L NS % | 2 L PHP-CGM % | 3 P JAVA % | 5 L JAVA @ | 6 L NS % </v>
      </c>
      <c r="AD221" s="4" t="str">
        <f ca="1">IFERROR(__xludf.DUMMYFUNCTION("""COMPUTED_VALUE"""),"| 1 L CPT % | 2 L PHP-CGM % | 3 P PRO % | 5 P Python % ")</f>
        <v xml:space="preserve">| 1 L CPT % | 2 L PHP-CGM % | 3 P PRO % | 5 P Python % </v>
      </c>
      <c r="AE221" s="4" t="str">
        <f ca="1">IFERROR(__xludf.DUMMYFUNCTION("""COMPUTED_VALUE"""),"| 1 L CPT % | 3 P CPT % | 5 P JAVA % | 2 L PHP-CGM % ")</f>
        <v xml:space="preserve">| 1 L CPT % | 3 P CPT % | 5 P JAVA % | 2 L PHP-CGM % </v>
      </c>
      <c r="AF221" s="4" t="str">
        <f ca="1">IFERROR(__xludf.DUMMYFUNCTION("""COMPUTED_VALUE"""),"| 1 L NS % | 2 L CPT % | 3 P PHP-CGM % | 5 P NS % ")</f>
        <v xml:space="preserve">| 1 L NS % | 2 L CPT % | 3 P PHP-CGM % | 5 P NS % </v>
      </c>
      <c r="AG221" s="4" t="str">
        <f ca="1">IFERROR(__xludf.DUMMYFUNCTION("""COMPUTED_VALUE"""),"| 1 L CPT % | 2 L JAVA % | 3 P Python % ")</f>
        <v xml:space="preserve">| 1 L CPT % | 2 L JAVA % | 3 P Python % </v>
      </c>
      <c r="AH221" s="4" t="str">
        <f ca="1">IFERROR(__xludf.DUMMYFUNCTION("""COMPUTED_VALUE"""),"| 2 L JAVA % | 1 L NS % | 3 P PHP-CGM % | 5 P NS % ")</f>
        <v xml:space="preserve">| 2 L JAVA % | 1 L NS % | 3 P PHP-CGM % | 5 P NS % </v>
      </c>
      <c r="AI221" s="4" t="str">
        <f ca="1">IFERROR(__xludf.DUMMYFUNCTION("""COMPUTED_VALUE"""),"| 1 L CPT @ | 2 L JAVA @ | 3 P Python @ ")</f>
        <v xml:space="preserve">| 1 L CPT @ | 2 L JAVA @ | 3 P Python @ </v>
      </c>
      <c r="AJ22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21" s="4" t="str">
        <f ca="1">IFERROR(__xludf.DUMMYFUNCTION("""COMPUTED_VALUE"""),"| 1 L CPT % | 3 P PRO % | 2 L PHP-CGM % | 5 P Python % ")</f>
        <v xml:space="preserve">| 1 L CPT % | 3 P PRO % | 2 L PHP-CGM % | 5 P Python % </v>
      </c>
      <c r="AL221" s="4" t="str">
        <f ca="1">IFERROR(__xludf.DUMMYFUNCTION("""COMPUTED_VALUE"""),"| 1 L CPT % | 2 L PHP-CGM % | 3 P CPT % | 5 P JAVA % ")</f>
        <v xml:space="preserve">| 1 L CPT % | 2 L PHP-CGM % | 3 P CPT % | 5 P JAVA % </v>
      </c>
      <c r="AM221" s="4" t="str">
        <f ca="1">IFERROR(__xludf.DUMMYFUNCTION("""COMPUTED_VALUE"""),"| 2 L JAVA % | 3 P PHP-CGM % | 1 L NS % | 5 P NS % ")</f>
        <v xml:space="preserve">| 2 L JAVA % | 3 P PHP-CGM % | 1 L NS % | 5 P NS % </v>
      </c>
      <c r="AN221" s="4" t="str">
        <f ca="1">IFERROR(__xludf.DUMMYFUNCTION("""COMPUTED_VALUE"""),"| 1 L CPT % | 2 L JAVA % | 3 P Python % | 5 L INE @ ")</f>
        <v xml:space="preserve">| 1 L CPT % | 2 L JAVA % | 3 P Python % | 5 L INE @ </v>
      </c>
      <c r="AO221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P221" s="4" t="str">
        <f ca="1">IFERROR(__xludf.DUMMYFUNCTION("""COMPUTED_VALUE"""),"| 1 L CPT % | 2 L PHP-CGM % | 3 P PRO % | 5 P Python % ")</f>
        <v xml:space="preserve">| 1 L CPT % | 2 L PHP-CGM % | 3 P PRO % | 5 P Python % </v>
      </c>
      <c r="AQ221" s="4" t="str">
        <f ca="1">IFERROR(__xludf.DUMMYFUNCTION("""COMPUTED_VALUE"""),"| 2 L PHP-CGM % | 3 P CPT % | 1 L NS % | 5 P JAVA % ")</f>
        <v xml:space="preserve">| 2 L PHP-CGM % | 3 P CPT % | 1 L NS % | 5 P JAVA % </v>
      </c>
      <c r="AR221" s="4" t="str">
        <f ca="1">IFERROR(__xludf.DUMMYFUNCTION("""COMPUTED_VALUE"""),"| 1 L CPT % | 2 L JAVA % | 3 P PHP-CGM % | 5 P NS % ")</f>
        <v xml:space="preserve">| 1 L CPT % | 2 L JAVA % | 3 P PHP-CGM % | 5 P NS % </v>
      </c>
      <c r="AS221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AT221" s="4" t="str">
        <f ca="1">IFERROR(__xludf.DUMMYFUNCTION("""COMPUTED_VALUE"""),"| 1 L CPT % | 2 L PHP-CGM % | 3 P PRO @ | 5 P Python @ ")</f>
        <v xml:space="preserve">| 1 L CPT % | 2 L PHP-CGM % | 3 P PRO @ | 5 P Python @ </v>
      </c>
      <c r="AU221" s="4" t="str">
        <f ca="1">IFERROR(__xludf.DUMMYFUNCTION("""COMPUTED_VALUE"""),"| 1 L NS % | 2 L PHP-CGM % | 3 P CPT % | 5 P JAVA % ")</f>
        <v xml:space="preserve">| 1 L NS % | 2 L PHP-CGM % | 3 P CPT % | 5 P JAVA % </v>
      </c>
      <c r="AV221" s="4" t="str">
        <f ca="1">IFERROR(__xludf.DUMMYFUNCTION("""COMPUTED_VALUE"""),"| 1 L CPT % | 2 L JAVA % | 3 P PHP-CGM % | 5 P NS % ")</f>
        <v xml:space="preserve">| 1 L CPT % | 2 L JAVA % | 3 P PHP-CGM % | 5 P NS % </v>
      </c>
      <c r="AW221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21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21" s="4" t="str">
        <f ca="1">IFERROR(__xludf.DUMMYFUNCTION("""COMPUTED_VALUE"""),"| 1 L CPT % | 2 L PHP-CGM % | 3 P PRO % | 5 P Python % ")</f>
        <v xml:space="preserve">| 1 L CPT % | 2 L PHP-CGM % | 3 P PRO % | 5 P Python % </v>
      </c>
      <c r="AZ221" s="4" t="str">
        <f ca="1">IFERROR(__xludf.DUMMYFUNCTION("""COMPUTED_VALUE"""),"| 1 L CPT @ | 2 L JAVA @ | 3 P PHP-CGM @ | 5 P NS @ ")</f>
        <v xml:space="preserve">| 1 L CPT @ | 2 L JAVA @ | 3 P PHP-CGM @ | 5 P NS @ </v>
      </c>
      <c r="BA221" s="4" t="str">
        <f ca="1">IFERROR(__xludf.DUMMYFUNCTION("""COMPUTED_VALUE"""),"| 1 L CPT % | 2 L JAVA % | 3 P Python % | 5 L INE @ ")</f>
        <v xml:space="preserve">| 1 L CPT % | 2 L JAVA % | 3 P Python % | 5 L INE @ </v>
      </c>
      <c r="BB221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C221" s="4" t="str">
        <f ca="1">IFERROR(__xludf.DUMMYFUNCTION("""COMPUTED_VALUE"""),"| 1 L CPT % | 2 L PHP-CGM % | 3 P PRO % | 5 P Python @ ")</f>
        <v xml:space="preserve">| 1 L CPT % | 2 L PHP-CGM % | 3 P PRO % | 5 P Python @ </v>
      </c>
      <c r="BD221" s="4" t="str">
        <f ca="1">IFERROR(__xludf.DUMMYFUNCTION("""COMPUTED_VALUE"""),"| 1 L NS % | 2 L PHP-CGM % | 3 P CPT @ | 5 P JAVA @ ")</f>
        <v xml:space="preserve">| 1 L NS % | 2 L PHP-CGM % | 3 P CPT @ | 5 P JAVA @ </v>
      </c>
      <c r="BE221" s="4" t="str">
        <f ca="1">IFERROR(__xludf.DUMMYFUNCTION("""COMPUTED_VALUE"""),"| 1 L CPT @ | 2 L JAVA @ | 3 P PHP-CGM @ | 5 P NS @ ")</f>
        <v xml:space="preserve">| 1 L CPT @ | 2 L JAVA @ | 3 P PHP-CGM @ | 5 P NS @ </v>
      </c>
      <c r="BF221" s="4" t="str">
        <f ca="1">IFERROR(__xludf.DUMMYFUNCTION("""COMPUTED_VALUE"""),"| 1 L CPT @ | 2 L JAVA @ | 3 P Python % ")</f>
        <v xml:space="preserve">| 1 L CPT @ | 2 L JAVA @ | 3 P Python % </v>
      </c>
      <c r="BG221" s="4" t="str">
        <f ca="1">IFERROR(__xludf.DUMMYFUNCTION("""COMPUTED_VALUE"""),"| 2 L PHP-CGM % | 1 L CPT % | 3 P PRO @ | 5 P Python @ ")</f>
        <v xml:space="preserve">| 2 L PHP-CGM % | 1 L CPT % | 3 P PRO @ | 5 P Python @ </v>
      </c>
      <c r="BH221" s="4" t="str">
        <f ca="1">IFERROR(__xludf.DUMMYFUNCTION("""COMPUTED_VALUE"""),"| 1 L NS % | 2 L PHP-CGM % | 3 P CPT % | 5 P JAVA % ")</f>
        <v xml:space="preserve">| 1 L NS % | 2 L PHP-CGM % | 3 P CPT % | 5 P JAVA % </v>
      </c>
      <c r="BI221" s="4" t="str">
        <f ca="1">IFERROR(__xludf.DUMMYFUNCTION("""COMPUTED_VALUE"""),"| 1 L CPT % | 2 L JAVA % | 3 P PHP-CGM @ | 5 P NS @ ")</f>
        <v xml:space="preserve">| 1 L CPT % | 2 L JAVA % | 3 P PHP-CGM @ | 5 P NS @ </v>
      </c>
      <c r="BJ221" s="4" t="str">
        <f ca="1">IFERROR(__xludf.DUMMYFUNCTION("""COMPUTED_VALUE"""),"| 1 L CPT % | 2 L JAVA % | 3 P Python % | 5 L INE % ")</f>
        <v xml:space="preserve">| 1 L CPT % | 2 L JAVA % | 3 P Python % | 5 L INE % </v>
      </c>
      <c r="BK221" s="4" t="str">
        <f ca="1">IFERROR(__xludf.DUMMYFUNCTION("""COMPUTED_VALUE"""),"| 1 L NS @ | 2 L PHP-CGM @ | 5 L NS @ | 6 L JAVA @ ")</f>
        <v xml:space="preserve">| 1 L NS @ | 2 L PHP-CGM @ | 5 L NS @ | 6 L JAVA @ </v>
      </c>
      <c r="BL221" s="4" t="str">
        <f ca="1">IFERROR(__xludf.DUMMYFUNCTION("""COMPUTED_VALUE"""),"| 1 L CPT % | 2 L PHP-CGM % | 3 P PRO % ")</f>
        <v xml:space="preserve">| 1 L CPT % | 2 L PHP-CGM % | 3 P PRO % </v>
      </c>
      <c r="BM221" s="4" t="str">
        <f ca="1">IFERROR(__xludf.DUMMYFUNCTION("""COMPUTED_VALUE"""),"| 1 L NS @ | 2 L PHP-CGM @ | 3 P CPT @ | 5 P JAVA @ ")</f>
        <v xml:space="preserve">| 1 L NS @ | 2 L PHP-CGM @ | 3 P CPT @ | 5 P JAVA @ </v>
      </c>
      <c r="BN221" s="4" t="str">
        <f ca="1">IFERROR(__xludf.DUMMYFUNCTION("""COMPUTED_VALUE"""),"| 2 L JAVA @ | 1 L CPT @ | 3 P PHP-CGM @ | 5 P NS @ ")</f>
        <v xml:space="preserve">| 2 L JAVA @ | 1 L CPT @ | 3 P PHP-CGM @ | 5 P NS @ </v>
      </c>
      <c r="BO221" s="4" t="str">
        <f ca="1">IFERROR(__xludf.DUMMYFUNCTION("""COMPUTED_VALUE"""),"| 2 L JAVA % | 1 L CPT % | 3 P Python % | 5 L INE % ")</f>
        <v xml:space="preserve">| 2 L JAVA % | 1 L CPT % | 3 P Python % | 5 L INE % </v>
      </c>
      <c r="BP221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21" s="4"/>
      <c r="BR221" s="4"/>
      <c r="BS221" s="4"/>
      <c r="BT221" s="4" t="str">
        <f ca="1">IFERROR(__xludf.DUMMYFUNCTION("""COMPUTED_VALUE"""),"| 1 L NS @ | 2 L PHP-CGM @ | 3 P JAVA @ ")</f>
        <v xml:space="preserve">| 1 L NS @ | 2 L PHP-CGM @ | 3 P JAVA @ </v>
      </c>
      <c r="BU221" s="4" t="str">
        <f ca="1">IFERROR(__xludf.DUMMYFUNCTION("""COMPUTED_VALUE"""),"| 1 L CPT @ ")</f>
        <v xml:space="preserve">| 1 L CPT @ </v>
      </c>
      <c r="BV221" s="4" t="str">
        <f ca="1">IFERROR(__xludf.DUMMYFUNCTION("""COMPUTED_VALUE"""),"| 1 L NS @ | 2 L PHP-CGM @ | 3 P JAVA @ | 6 L JAVA @ ")</f>
        <v xml:space="preserve">| 1 L NS @ | 2 L PHP-CGM @ | 3 P JAVA @ | 6 L JAVA @ </v>
      </c>
      <c r="BW221" s="4" t="str">
        <f ca="1">IFERROR(__xludf.DUMMYFUNCTION("""COMPUTED_VALUE"""),"| 1 L CPT @ | 2 L PHP-CGM @ | 3 P PRO @ ")</f>
        <v xml:space="preserve">| 1 L CPT @ | 2 L PHP-CGM @ | 3 P PRO @ </v>
      </c>
      <c r="BX221" s="4" t="str">
        <f ca="1">IFERROR(__xludf.DUMMYFUNCTION("""COMPUTED_VALUE"""),"| 1 L NS @ | 2 L PHP-CGM @ | 3 P CPT @ | 5 P JAVA @ ")</f>
        <v xml:space="preserve">| 1 L NS @ | 2 L PHP-CGM @ | 3 P CPT @ | 5 P JAVA @ </v>
      </c>
      <c r="BY221" s="4" t="str">
        <f ca="1">IFERROR(__xludf.DUMMYFUNCTION("""COMPUTED_VALUE"""),"| 1 L CPT @ | 2 L JAVA @ | 3 P PHP-CGM @ | 5 P NS @ ")</f>
        <v xml:space="preserve">| 1 L CPT @ | 2 L JAVA @ | 3 P PHP-CGM @ | 5 P NS @ </v>
      </c>
      <c r="BZ221" s="4" t="str">
        <f ca="1">IFERROR(__xludf.DUMMYFUNCTION("""COMPUTED_VALUE"""),"| 1 L CPT @ | 2 L JAVA @ | 5 L INE @ ")</f>
        <v xml:space="preserve">| 1 L CPT @ | 2 L JAVA @ | 5 L INE @ </v>
      </c>
      <c r="CA221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B221" s="4" t="str">
        <f ca="1">IFERROR(__xludf.DUMMYFUNCTION("""COMPUTED_VALUE"""),"| 2 L PHP-CGM % | 3 P PRO % | 5 P Python @ | 1 L CPT % ")</f>
        <v xml:space="preserve">| 2 L PHP-CGM % | 3 P PRO % | 5 P Python @ | 1 L CPT % </v>
      </c>
      <c r="CC221" s="4" t="str">
        <f ca="1">IFERROR(__xludf.DUMMYFUNCTION("""COMPUTED_VALUE"""),"| 1 L NS @ | 2 L PHP-CGM @ | 3 P CPT % | 5 P JAVA @ ")</f>
        <v xml:space="preserve">| 1 L NS @ | 2 L PHP-CGM @ | 3 P CPT % | 5 P JAVA @ </v>
      </c>
      <c r="CD221" s="4" t="str">
        <f ca="1">IFERROR(__xludf.DUMMYFUNCTION("""COMPUTED_VALUE"""),"| 1 L CPT @ | 2 L JAVA @ | 3 P PHP-CGM % | 5 P NS % ")</f>
        <v xml:space="preserve">| 1 L CPT @ | 2 L JAVA @ | 3 P PHP-CGM % | 5 P NS % </v>
      </c>
      <c r="CE221" s="4" t="str">
        <f ca="1">IFERROR(__xludf.DUMMYFUNCTION("""COMPUTED_VALUE"""),"| 1 L CPT @ | 2 L JAVA @ | 3 P Python % | 5 L INE % ")</f>
        <v xml:space="preserve">| 1 L CPT @ | 2 L JAVA @ | 3 P Python % | 5 L INE % </v>
      </c>
      <c r="CF221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21" s="4" t="str">
        <f ca="1">IFERROR(__xludf.DUMMYFUNCTION("""COMPUTED_VALUE"""),"| 1 L CPT @ | 2 L PHP-CGM @ | 5 P Python % ")</f>
        <v xml:space="preserve">| 1 L CPT @ | 2 L PHP-CGM @ | 5 P Python % </v>
      </c>
      <c r="CH221" s="4" t="str">
        <f ca="1">IFERROR(__xludf.DUMMYFUNCTION("""COMPUTED_VALUE"""),"| 1 L NS @ | 2 L PHP-CGM @ | 3 P CPT % ")</f>
        <v xml:space="preserve">| 1 L NS @ | 2 L PHP-CGM @ | 3 P CPT % </v>
      </c>
      <c r="CI221" s="4" t="str">
        <f ca="1">IFERROR(__xludf.DUMMYFUNCTION("""COMPUTED_VALUE"""),"| 1 L CPT @ | 2 L JAVA @ | 3 P PHP-CGM % | 5 P NS % ")</f>
        <v xml:space="preserve">| 1 L CPT @ | 2 L JAVA @ | 3 P PHP-CGM % | 5 P NS % </v>
      </c>
      <c r="CJ221" s="4" t="str">
        <f ca="1">IFERROR(__xludf.DUMMYFUNCTION("""COMPUTED_VALUE"""),"| 1 L CPT @ ")</f>
        <v xml:space="preserve">| 1 L CPT @ </v>
      </c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</row>
    <row r="222" spans="1:102" ht="12.5" x14ac:dyDescent="0.25">
      <c r="A222" s="3">
        <f ca="1">IFERROR(__xludf.DUMMYFUNCTION("""COMPUTED_VALUE"""),3)</f>
        <v>3</v>
      </c>
      <c r="B222" s="3" t="str">
        <f ca="1">IFERROR(__xludf.DUMMYFUNCTION("""COMPUTED_VALUE"""),"C")</f>
        <v>C</v>
      </c>
      <c r="C222" s="32" t="str">
        <f ca="1">IFERROR(__xludf.DUMMYFUNCTION("""COMPUTED_VALUE"""),"23171341126")</f>
        <v>23171341126</v>
      </c>
      <c r="D222" s="4" t="str">
        <f ca="1">IFERROR(__xludf.DUMMYFUNCTION("""COMPUTED_VALUE"""),"PATEL SOHAMKUMAR MANISHKUMAR")</f>
        <v>PATEL SOHAMKUMAR MANISHKUMAR</v>
      </c>
      <c r="E222" s="3" t="str">
        <f ca="1">IFERROR(__xludf.DUMMYFUNCTION("""COMPUTED_VALUE"""),"PKN/PAP-Mor")</f>
        <v>PKN/PAP-Mor</v>
      </c>
      <c r="F222" s="3">
        <f ca="1">IFERROR(__xludf.DUMMYFUNCTION("""COMPUTED_VALUE"""),9081020835)</f>
        <v>9081020835</v>
      </c>
      <c r="G222" s="3">
        <f ca="1">IFERROR(__xludf.DUMMYFUNCTION("""COMPUTED_VALUE"""),9328031672)</f>
        <v>9328031672</v>
      </c>
      <c r="H222" s="33">
        <f ca="1">IFERROR(__xludf.DUMMYFUNCTION("""COMPUTED_VALUE"""),0.761316872427983)</f>
        <v>0.76131687242798296</v>
      </c>
      <c r="I222" s="25">
        <f ca="1">IFERROR(__xludf.DUMMYFUNCTION("""COMPUTED_VALUE"""),0.81578947368421)</f>
        <v>0.81578947368420995</v>
      </c>
      <c r="J222" s="25">
        <f ca="1">IFERROR(__xludf.DUMMYFUNCTION("""COMPUTED_VALUE"""),0.818181818181818)</f>
        <v>0.81818181818181801</v>
      </c>
      <c r="K222" s="25">
        <f ca="1">IFERROR(__xludf.DUMMYFUNCTION("""COMPUTED_VALUE"""),0.638888888888888)</f>
        <v>0.63888888888888795</v>
      </c>
      <c r="L222" s="25">
        <f ca="1">IFERROR(__xludf.DUMMYFUNCTION("""COMPUTED_VALUE"""),0.769230769230769)</f>
        <v>0.76923076923076905</v>
      </c>
      <c r="M222" s="25">
        <f ca="1">IFERROR(__xludf.DUMMYFUNCTION("""COMPUTED_VALUE"""),0.75)</f>
        <v>0.75</v>
      </c>
      <c r="N222" s="25">
        <f ca="1">IFERROR(__xludf.DUMMYFUNCTION("""COMPUTED_VALUE"""),0.846153846153846)</f>
        <v>0.84615384615384603</v>
      </c>
      <c r="O222" s="25">
        <f ca="1">IFERROR(__xludf.DUMMYFUNCTION("""COMPUTED_VALUE"""),0.6)</f>
        <v>0.6</v>
      </c>
      <c r="P222" s="25">
        <f ca="1">IFERROR(__xludf.DUMMYFUNCTION("""COMPUTED_VALUE"""),0.772727272727272)</f>
        <v>0.77272727272727204</v>
      </c>
      <c r="Q222" s="25">
        <f ca="1">IFERROR(__xludf.DUMMYFUNCTION("""COMPUTED_VALUE"""),0)</f>
        <v>0</v>
      </c>
      <c r="R222" s="25">
        <f ca="1">IFERROR(__xludf.DUMMYFUNCTION("""COMPUTED_VALUE"""),0.95)</f>
        <v>0.95</v>
      </c>
      <c r="S222" s="25">
        <f ca="1">IFERROR(__xludf.DUMMYFUNCTION("""COMPUTED_VALUE"""),0)</f>
        <v>0</v>
      </c>
      <c r="T222" s="25">
        <f ca="1">IFERROR(__xludf.DUMMYFUNCTION("""COMPUTED_VALUE"""),1)</f>
        <v>1</v>
      </c>
      <c r="U222" s="25">
        <f ca="1">IFERROR(__xludf.DUMMYFUNCTION("""COMPUTED_VALUE"""),0.75)</f>
        <v>0.75</v>
      </c>
      <c r="V222" s="25">
        <f ca="1">IFERROR(__xludf.DUMMYFUNCTION("""COMPUTED_VALUE"""),0)</f>
        <v>0</v>
      </c>
      <c r="W222" s="4"/>
      <c r="X222" s="4" t="str">
        <f ca="1">IFERROR(__xludf.DUMMYFUNCTION("""COMPUTED_VALUE"""),"| 1 L NS @ | 2 L PHP-CGM % | 3 P JAVA % | 5 L JAVA @ | 6 L NS @ ")</f>
        <v xml:space="preserve">| 1 L NS @ | 2 L PHP-CGM % | 3 P JAVA % | 5 L JAVA @ | 6 L NS @ </v>
      </c>
      <c r="Y222" s="4" t="str">
        <f ca="1">IFERROR(__xludf.DUMMYFUNCTION("""COMPUTED_VALUE"""),"| 1 L CPT % | 5 L PHP-CGM % | 3 P PRO % | 5 P Python % ")</f>
        <v xml:space="preserve">| 1 L CPT % | 5 L PHP-CGM % | 3 P PRO % | 5 P Python % </v>
      </c>
      <c r="Z222" s="4" t="str">
        <f ca="1">IFERROR(__xludf.DUMMYFUNCTION("""COMPUTED_VALUE"""),"| 1 L CPT % | 2 L PHP-CGM % | 3 P CPT % | 5 P JAVA % ")</f>
        <v xml:space="preserve">| 1 L CPT % | 2 L PHP-CGM % | 3 P CPT % | 5 P JAVA % </v>
      </c>
      <c r="AA222" s="4" t="str">
        <f ca="1">IFERROR(__xludf.DUMMYFUNCTION("""COMPUTED_VALUE"""),"| 1 L NS % | 2 L JAVA % | 3 P PHP-CGM % | 5 P NS % ")</f>
        <v xml:space="preserve">| 1 L NS % | 2 L JAVA % | 3 P PHP-CGM % | 5 P NS % </v>
      </c>
      <c r="AB222" s="4" t="str">
        <f ca="1">IFERROR(__xludf.DUMMYFUNCTION("""COMPUTED_VALUE"""),"| 1 L CPT % | 2 L JAVA % | 3 P Python % ")</f>
        <v xml:space="preserve">| 1 L CPT % | 2 L JAVA % | 3 P Python % </v>
      </c>
      <c r="AC222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22" s="4" t="str">
        <f ca="1">IFERROR(__xludf.DUMMYFUNCTION("""COMPUTED_VALUE"""),"| 1 L CPT % | 2 L PHP-CGM % | 3 P PRO % | 5 P Python % ")</f>
        <v xml:space="preserve">| 1 L CPT % | 2 L PHP-CGM % | 3 P PRO % | 5 P Python % </v>
      </c>
      <c r="AE222" s="4" t="str">
        <f ca="1">IFERROR(__xludf.DUMMYFUNCTION("""COMPUTED_VALUE"""),"| 1 L CPT % | 3 P CPT % | 5 P JAVA % | 2 L PHP-CGM % ")</f>
        <v xml:space="preserve">| 1 L CPT % | 3 P CPT % | 5 P JAVA % | 2 L PHP-CGM % </v>
      </c>
      <c r="AF222" s="4" t="str">
        <f ca="1">IFERROR(__xludf.DUMMYFUNCTION("""COMPUTED_VALUE"""),"| 1 L NS % | 2 L CPT % | 3 P PHP-CGM % | 5 P NS % ")</f>
        <v xml:space="preserve">| 1 L NS % | 2 L CPT % | 3 P PHP-CGM % | 5 P NS % </v>
      </c>
      <c r="AG222" s="4" t="str">
        <f ca="1">IFERROR(__xludf.DUMMYFUNCTION("""COMPUTED_VALUE"""),"| 1 L CPT % | 2 L JAVA % | 3 P Python % ")</f>
        <v xml:space="preserve">| 1 L CPT % | 2 L JAVA % | 3 P Python % </v>
      </c>
      <c r="AH222" s="4" t="str">
        <f ca="1">IFERROR(__xludf.DUMMYFUNCTION("""COMPUTED_VALUE"""),"| 2 L JAVA % | 1 L NS % | 3 P PHP-CGM % | 5 P NS % ")</f>
        <v xml:space="preserve">| 2 L JAVA % | 1 L NS % | 3 P PHP-CGM % | 5 P NS % </v>
      </c>
      <c r="AI222" s="4" t="str">
        <f ca="1">IFERROR(__xludf.DUMMYFUNCTION("""COMPUTED_VALUE"""),"| 1 L CPT % | 2 L JAVA % | 3 P Python % ")</f>
        <v xml:space="preserve">| 1 L CPT % | 2 L JAVA % | 3 P Python % </v>
      </c>
      <c r="AJ22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22" s="4" t="str">
        <f ca="1">IFERROR(__xludf.DUMMYFUNCTION("""COMPUTED_VALUE"""),"| 1 L CPT % | 3 P PRO % | 2 L PHP-CGM % | 5 P Python % ")</f>
        <v xml:space="preserve">| 1 L CPT % | 3 P PRO % | 2 L PHP-CGM % | 5 P Python % </v>
      </c>
      <c r="AL222" s="4" t="str">
        <f ca="1">IFERROR(__xludf.DUMMYFUNCTION("""COMPUTED_VALUE"""),"| 1 L CPT % | 2 L PHP-CGM % | 3 P CPT % | 5 P JAVA % ")</f>
        <v xml:space="preserve">| 1 L CPT % | 2 L PHP-CGM % | 3 P CPT % | 5 P JAVA % </v>
      </c>
      <c r="AM222" s="4" t="str">
        <f ca="1">IFERROR(__xludf.DUMMYFUNCTION("""COMPUTED_VALUE"""),"| 2 L JAVA % | 3 P PHP-CGM % | 1 L NS % | 5 P NS @ ")</f>
        <v xml:space="preserve">| 2 L JAVA % | 3 P PHP-CGM % | 1 L NS % | 5 P NS @ </v>
      </c>
      <c r="AN222" s="4" t="str">
        <f ca="1">IFERROR(__xludf.DUMMYFUNCTION("""COMPUTED_VALUE"""),"| 1 L CPT % | 2 L JAVA % | 3 P Python % | 5 L INE % ")</f>
        <v xml:space="preserve">| 1 L CPT % | 2 L JAVA % | 3 P Python % | 5 L INE % </v>
      </c>
      <c r="AO222" s="4" t="str">
        <f ca="1">IFERROR(__xludf.DUMMYFUNCTION("""COMPUTED_VALUE"""),"| 1 L NS % | 2 L PHP-CGM % | 3 P JAVA % | 5 L NS % | 5 L JAVA @ ")</f>
        <v xml:space="preserve">| 1 L NS % | 2 L PHP-CGM % | 3 P JAVA % | 5 L NS % | 5 L JAVA @ </v>
      </c>
      <c r="AP222" s="4" t="str">
        <f ca="1">IFERROR(__xludf.DUMMYFUNCTION("""COMPUTED_VALUE"""),"| 1 L CPT % | 2 L PHP-CGM % | 3 P PRO % | 5 P Python % ")</f>
        <v xml:space="preserve">| 1 L CPT % | 2 L PHP-CGM % | 3 P PRO % | 5 P Python % </v>
      </c>
      <c r="AQ222" s="4" t="str">
        <f ca="1">IFERROR(__xludf.DUMMYFUNCTION("""COMPUTED_VALUE"""),"| 2 L PHP-CGM % | 3 P CPT % | 1 L NS % | 5 P JAVA % ")</f>
        <v xml:space="preserve">| 2 L PHP-CGM % | 3 P CPT % | 1 L NS % | 5 P JAVA % </v>
      </c>
      <c r="AR222" s="4" t="str">
        <f ca="1">IFERROR(__xludf.DUMMYFUNCTION("""COMPUTED_VALUE"""),"| 1 L CPT @ | 2 L JAVA @ | 3 P PHP-CGM @ | 5 P NS @ ")</f>
        <v xml:space="preserve">| 1 L CPT @ | 2 L JAVA @ | 3 P PHP-CGM @ | 5 P NS @ </v>
      </c>
      <c r="AS222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22" s="4" t="str">
        <f ca="1">IFERROR(__xludf.DUMMYFUNCTION("""COMPUTED_VALUE"""),"| 1 L CPT % | 2 L PHP-CGM @ | 3 P PRO % | 5 P Python % ")</f>
        <v xml:space="preserve">| 1 L CPT % | 2 L PHP-CGM @ | 3 P PRO % | 5 P Python % </v>
      </c>
      <c r="AU222" s="4" t="str">
        <f ca="1">IFERROR(__xludf.DUMMYFUNCTION("""COMPUTED_VALUE"""),"| 1 L NS % | 2 L PHP-CGM % | 3 P CPT % | 5 P JAVA % ")</f>
        <v xml:space="preserve">| 1 L NS % | 2 L PHP-CGM % | 3 P CPT % | 5 P JAVA % </v>
      </c>
      <c r="AV222" s="4" t="str">
        <f ca="1">IFERROR(__xludf.DUMMYFUNCTION("""COMPUTED_VALUE"""),"| 1 L CPT % | 2 L JAVA % | 3 P PHP-CGM % | 5 P NS % ")</f>
        <v xml:space="preserve">| 1 L CPT % | 2 L JAVA % | 3 P PHP-CGM % | 5 P NS % </v>
      </c>
      <c r="AW222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22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22" s="4" t="str">
        <f ca="1">IFERROR(__xludf.DUMMYFUNCTION("""COMPUTED_VALUE"""),"| 1 L CPT % | 2 L PHP-CGM % | 3 P PRO % | 5 P Python % ")</f>
        <v xml:space="preserve">| 1 L CPT % | 2 L PHP-CGM % | 3 P PRO % | 5 P Python % </v>
      </c>
      <c r="AZ222" s="4" t="str">
        <f ca="1">IFERROR(__xludf.DUMMYFUNCTION("""COMPUTED_VALUE"""),"| 1 L CPT % | 2 L JAVA % | 3 P PHP-CGM % | 5 P NS % ")</f>
        <v xml:space="preserve">| 1 L CPT % | 2 L JAVA % | 3 P PHP-CGM % | 5 P NS % </v>
      </c>
      <c r="BA222" s="4" t="str">
        <f ca="1">IFERROR(__xludf.DUMMYFUNCTION("""COMPUTED_VALUE"""),"| 1 L CPT @ | 2 L JAVA @ | 3 P Python @ | 5 L INE @ ")</f>
        <v xml:space="preserve">| 1 L CPT @ | 2 L JAVA @ | 3 P Python @ | 5 L INE @ </v>
      </c>
      <c r="BB222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C222" s="4" t="str">
        <f ca="1">IFERROR(__xludf.DUMMYFUNCTION("""COMPUTED_VALUE"""),"| 1 L CPT % | 2 L PHP-CGM % | 3 P PRO % | 5 P Python % ")</f>
        <v xml:space="preserve">| 1 L CPT % | 2 L PHP-CGM % | 3 P PRO % | 5 P Python % </v>
      </c>
      <c r="BD222" s="4" t="str">
        <f ca="1">IFERROR(__xludf.DUMMYFUNCTION("""COMPUTED_VALUE"""),"| 1 L NS % | 2 L PHP-CGM % | 3 P CPT % | 5 P JAVA % ")</f>
        <v xml:space="preserve">| 1 L NS % | 2 L PHP-CGM % | 3 P CPT % | 5 P JAVA % </v>
      </c>
      <c r="BE222" s="4" t="str">
        <f ca="1">IFERROR(__xludf.DUMMYFUNCTION("""COMPUTED_VALUE"""),"| 1 L CPT % | 2 L JAVA % | 3 P PHP-CGM % | 5 P NS % ")</f>
        <v xml:space="preserve">| 1 L CPT % | 2 L JAVA % | 3 P PHP-CGM % | 5 P NS % </v>
      </c>
      <c r="BF222" s="4" t="str">
        <f ca="1">IFERROR(__xludf.DUMMYFUNCTION("""COMPUTED_VALUE"""),"| 1 L CPT % | 2 L JAVA % | 3 P Python % ")</f>
        <v xml:space="preserve">| 1 L CPT % | 2 L JAVA % | 3 P Python % </v>
      </c>
      <c r="BG222" s="4" t="str">
        <f ca="1">IFERROR(__xludf.DUMMYFUNCTION("""COMPUTED_VALUE"""),"| 2 L PHP-CGM % | 1 L CPT @ | 3 P PRO % | 5 P Python % ")</f>
        <v xml:space="preserve">| 2 L PHP-CGM % | 1 L CPT @ | 3 P PRO % | 5 P Python % </v>
      </c>
      <c r="BH222" s="4" t="str">
        <f ca="1">IFERROR(__xludf.DUMMYFUNCTION("""COMPUTED_VALUE"""),"| 1 L NS % | 2 L PHP-CGM % | 3 P CPT % | 5 P JAVA % ")</f>
        <v xml:space="preserve">| 1 L NS % | 2 L PHP-CGM % | 3 P CPT % | 5 P JAVA % </v>
      </c>
      <c r="BI222" s="4" t="str">
        <f ca="1">IFERROR(__xludf.DUMMYFUNCTION("""COMPUTED_VALUE"""),"| 1 L CPT @ | 2 L JAVA @ | 3 P PHP-CGM @ | 5 P NS @ ")</f>
        <v xml:space="preserve">| 1 L CPT @ | 2 L JAVA @ | 3 P PHP-CGM @ | 5 P NS @ </v>
      </c>
      <c r="BJ222" s="4" t="str">
        <f ca="1">IFERROR(__xludf.DUMMYFUNCTION("""COMPUTED_VALUE"""),"| 1 L CPT % | 2 L JAVA % | 3 P Python % | 5 L INE % ")</f>
        <v xml:space="preserve">| 1 L CPT % | 2 L JAVA % | 3 P Python % | 5 L INE % </v>
      </c>
      <c r="BK222" s="4" t="str">
        <f ca="1">IFERROR(__xludf.DUMMYFUNCTION("""COMPUTED_VALUE"""),"| 1 L NS @ | 2 L PHP-CGM @ | 5 L NS @ | 6 L JAVA @ ")</f>
        <v xml:space="preserve">| 1 L NS @ | 2 L PHP-CGM @ | 5 L NS @ | 6 L JAVA @ </v>
      </c>
      <c r="BL222" s="4" t="str">
        <f ca="1">IFERROR(__xludf.DUMMYFUNCTION("""COMPUTED_VALUE"""),"| 1 L CPT % | 2 L PHP-CGM % | 3 P PRO % ")</f>
        <v xml:space="preserve">| 1 L CPT % | 2 L PHP-CGM % | 3 P PRO % </v>
      </c>
      <c r="BM222" s="4" t="str">
        <f ca="1">IFERROR(__xludf.DUMMYFUNCTION("""COMPUTED_VALUE"""),"| 1 L NS % | 2 L PHP-CGM % | 3 P CPT % | 5 P JAVA % ")</f>
        <v xml:space="preserve">| 1 L NS % | 2 L PHP-CGM % | 3 P CPT % | 5 P JAVA % </v>
      </c>
      <c r="BN222" s="4" t="str">
        <f ca="1">IFERROR(__xludf.DUMMYFUNCTION("""COMPUTED_VALUE"""),"| 2 L JAVA % | 1 L CPT % | 3 P PHP-CGM % | 5 P NS % ")</f>
        <v xml:space="preserve">| 2 L JAVA % | 1 L CPT % | 3 P PHP-CGM % | 5 P NS % </v>
      </c>
      <c r="BO222" s="4" t="str">
        <f ca="1">IFERROR(__xludf.DUMMYFUNCTION("""COMPUTED_VALUE"""),"| 2 L JAVA @ | 1 L CPT % | 3 P Python % | 5 L INE % ")</f>
        <v xml:space="preserve">| 2 L JAVA @ | 1 L CPT % | 3 P Python % | 5 L INE % </v>
      </c>
      <c r="BP22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22" s="4"/>
      <c r="BR222" s="4"/>
      <c r="BS222" s="4"/>
      <c r="BT222" s="4" t="str">
        <f ca="1">IFERROR(__xludf.DUMMYFUNCTION("""COMPUTED_VALUE"""),"| 1 L NS % | 2 L PHP-CGM % | 3 P JAVA % ")</f>
        <v xml:space="preserve">| 1 L NS % | 2 L PHP-CGM % | 3 P JAVA % </v>
      </c>
      <c r="BU222" s="4" t="str">
        <f ca="1">IFERROR(__xludf.DUMMYFUNCTION("""COMPUTED_VALUE"""),"| 1 L CPT % ")</f>
        <v xml:space="preserve">| 1 L CPT % </v>
      </c>
      <c r="BV222" s="4" t="str">
        <f ca="1">IFERROR(__xludf.DUMMYFUNCTION("""COMPUTED_VALUE"""),"| 1 L NS @ | 2 L PHP-CGM @ | 3 P JAVA @ | 6 L JAVA @ ")</f>
        <v xml:space="preserve">| 1 L NS @ | 2 L PHP-CGM @ | 3 P JAVA @ | 6 L JAVA @ </v>
      </c>
      <c r="BW222" s="4" t="str">
        <f ca="1">IFERROR(__xludf.DUMMYFUNCTION("""COMPUTED_VALUE"""),"| 1 L CPT % | 2 L PHP-CGM % | 3 P PRO % ")</f>
        <v xml:space="preserve">| 1 L CPT % | 2 L PHP-CGM % | 3 P PRO % </v>
      </c>
      <c r="BX222" s="4" t="str">
        <f ca="1">IFERROR(__xludf.DUMMYFUNCTION("""COMPUTED_VALUE"""),"| 1 L NS @ | 2 L PHP-CGM @ | 3 P CPT @ | 5 P JAVA @ ")</f>
        <v xml:space="preserve">| 1 L NS @ | 2 L PHP-CGM @ | 3 P CPT @ | 5 P JAVA @ </v>
      </c>
      <c r="BY222" s="4" t="str">
        <f ca="1">IFERROR(__xludf.DUMMYFUNCTION("""COMPUTED_VALUE"""),"| 1 L CPT % | 2 L JAVA % | 3 P PHP-CGM % | 5 P NS % ")</f>
        <v xml:space="preserve">| 1 L CPT % | 2 L JAVA % | 3 P PHP-CGM % | 5 P NS % </v>
      </c>
      <c r="BZ222" s="4" t="str">
        <f ca="1">IFERROR(__xludf.DUMMYFUNCTION("""COMPUTED_VALUE"""),"| 1 L CPT @ | 2 L JAVA @ | 5 L INE @ ")</f>
        <v xml:space="preserve">| 1 L CPT @ | 2 L JAVA @ | 5 L INE @ </v>
      </c>
      <c r="CA22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22" s="4" t="str">
        <f ca="1">IFERROR(__xludf.DUMMYFUNCTION("""COMPUTED_VALUE"""),"| 2 L PHP-CGM % | 3 P PRO % | 5 P Python % | 1 L CPT % ")</f>
        <v xml:space="preserve">| 2 L PHP-CGM % | 3 P PRO % | 5 P Python % | 1 L CPT % </v>
      </c>
      <c r="CC222" s="4" t="str">
        <f ca="1">IFERROR(__xludf.DUMMYFUNCTION("""COMPUTED_VALUE"""),"| 1 L NS @ | 2 L PHP-CGM @ | 3 P CPT @ | 5 P JAVA @ ")</f>
        <v xml:space="preserve">| 1 L NS @ | 2 L PHP-CGM @ | 3 P CPT @ | 5 P JAVA @ </v>
      </c>
      <c r="CD222" s="4" t="str">
        <f ca="1">IFERROR(__xludf.DUMMYFUNCTION("""COMPUTED_VALUE"""),"| 1 L CPT % | 2 L JAVA @ | 3 P PHP-CGM % | 5 P NS % ")</f>
        <v xml:space="preserve">| 1 L CPT % | 2 L JAVA @ | 3 P PHP-CGM % | 5 P NS % </v>
      </c>
      <c r="CE222" s="4" t="str">
        <f ca="1">IFERROR(__xludf.DUMMYFUNCTION("""COMPUTED_VALUE"""),"| 1 L CPT % | 2 L JAVA % | 3 P Python % | 5 L INE % ")</f>
        <v xml:space="preserve">| 1 L CPT % | 2 L JAVA % | 3 P Python % | 5 L INE % </v>
      </c>
      <c r="CF222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G222" s="4" t="str">
        <f ca="1">IFERROR(__xludf.DUMMYFUNCTION("""COMPUTED_VALUE"""),"| 1 L CPT @ | 2 L PHP-CGM @ | 5 P Python % ")</f>
        <v xml:space="preserve">| 1 L CPT @ | 2 L PHP-CGM @ | 5 P Python % </v>
      </c>
      <c r="CH222" s="4" t="str">
        <f ca="1">IFERROR(__xludf.DUMMYFUNCTION("""COMPUTED_VALUE"""),"| 1 L NS % | 2 L PHP-CGM @ | 3 P CPT % ")</f>
        <v xml:space="preserve">| 1 L NS % | 2 L PHP-CGM @ | 3 P CPT % </v>
      </c>
      <c r="CI222" s="4" t="str">
        <f ca="1">IFERROR(__xludf.DUMMYFUNCTION("""COMPUTED_VALUE"""),"| 1 L CPT % | 2 L JAVA % | 3 P PHP-CGM % | 5 P NS % ")</f>
        <v xml:space="preserve">| 1 L CPT % | 2 L JAVA % | 3 P PHP-CGM % | 5 P NS % </v>
      </c>
      <c r="CJ222" s="4" t="str">
        <f ca="1">IFERROR(__xludf.DUMMYFUNCTION("""COMPUTED_VALUE"""),"| 1 L CPT @ ")</f>
        <v xml:space="preserve">| 1 L CPT @ </v>
      </c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</row>
    <row r="223" spans="1:102" ht="12.5" x14ac:dyDescent="0.25">
      <c r="A223" s="3">
        <f ca="1">IFERROR(__xludf.DUMMYFUNCTION("""COMPUTED_VALUE"""),3)</f>
        <v>3</v>
      </c>
      <c r="B223" s="3" t="str">
        <f ca="1">IFERROR(__xludf.DUMMYFUNCTION("""COMPUTED_VALUE"""),"C")</f>
        <v>C</v>
      </c>
      <c r="C223" s="32" t="str">
        <f ca="1">IFERROR(__xludf.DUMMYFUNCTION("""COMPUTED_VALUE"""),"23171341127")</f>
        <v>23171341127</v>
      </c>
      <c r="D223" s="4" t="str">
        <f ca="1">IFERROR(__xludf.DUMMYFUNCTION("""COMPUTED_VALUE"""),"PATEL SRUSHTI RASIKKUMAR")</f>
        <v>PATEL SRUSHTI RASIKKUMAR</v>
      </c>
      <c r="E223" s="3" t="str">
        <f ca="1">IFERROR(__xludf.DUMMYFUNCTION("""COMPUTED_VALUE"""),"PKN/PAP-Mor")</f>
        <v>PKN/PAP-Mor</v>
      </c>
      <c r="F223" s="3">
        <f ca="1">IFERROR(__xludf.DUMMYFUNCTION("""COMPUTED_VALUE"""),9724492646)</f>
        <v>9724492646</v>
      </c>
      <c r="G223" s="3">
        <f ca="1">IFERROR(__xludf.DUMMYFUNCTION("""COMPUTED_VALUE"""),6353664051)</f>
        <v>6353664051</v>
      </c>
      <c r="H223" s="33">
        <f ca="1">IFERROR(__xludf.DUMMYFUNCTION("""COMPUTED_VALUE"""),0.530864197530864)</f>
        <v>0.530864197530864</v>
      </c>
      <c r="I223" s="25">
        <f ca="1">IFERROR(__xludf.DUMMYFUNCTION("""COMPUTED_VALUE"""),0.526315789473684)</f>
        <v>0.52631578947368396</v>
      </c>
      <c r="J223" s="25">
        <f ca="1">IFERROR(__xludf.DUMMYFUNCTION("""COMPUTED_VALUE"""),0.636363636363636)</f>
        <v>0.63636363636363602</v>
      </c>
      <c r="K223" s="25">
        <f ca="1">IFERROR(__xludf.DUMMYFUNCTION("""COMPUTED_VALUE"""),0.583333333333333)</f>
        <v>0.58333333333333304</v>
      </c>
      <c r="L223" s="25">
        <f ca="1">IFERROR(__xludf.DUMMYFUNCTION("""COMPUTED_VALUE"""),0.538461538461538)</f>
        <v>0.53846153846153799</v>
      </c>
      <c r="M223" s="25">
        <f ca="1">IFERROR(__xludf.DUMMYFUNCTION("""COMPUTED_VALUE"""),0.5)</f>
        <v>0.5</v>
      </c>
      <c r="N223" s="25">
        <f ca="1">IFERROR(__xludf.DUMMYFUNCTION("""COMPUTED_VALUE"""),0.538461538461538)</f>
        <v>0.53846153846153799</v>
      </c>
      <c r="O223" s="25">
        <f ca="1">IFERROR(__xludf.DUMMYFUNCTION("""COMPUTED_VALUE"""),0.542857142857142)</f>
        <v>0.54285714285714204</v>
      </c>
      <c r="P223" s="25">
        <f ca="1">IFERROR(__xludf.DUMMYFUNCTION("""COMPUTED_VALUE"""),0.59090909090909)</f>
        <v>0.59090909090909005</v>
      </c>
      <c r="Q223" s="25">
        <f ca="1">IFERROR(__xludf.DUMMYFUNCTION("""COMPUTED_VALUE"""),0)</f>
        <v>0</v>
      </c>
      <c r="R223" s="25">
        <f ca="1">IFERROR(__xludf.DUMMYFUNCTION("""COMPUTED_VALUE"""),0.55)</f>
        <v>0.55000000000000004</v>
      </c>
      <c r="S223" s="25">
        <f ca="1">IFERROR(__xludf.DUMMYFUNCTION("""COMPUTED_VALUE"""),0)</f>
        <v>0</v>
      </c>
      <c r="T223" s="25">
        <f ca="1">IFERROR(__xludf.DUMMYFUNCTION("""COMPUTED_VALUE"""),0.454545454545454)</f>
        <v>0.45454545454545398</v>
      </c>
      <c r="U223" s="25">
        <f ca="1">IFERROR(__xludf.DUMMYFUNCTION("""COMPUTED_VALUE"""),0.125)</f>
        <v>0.125</v>
      </c>
      <c r="V223" s="25">
        <f ca="1">IFERROR(__xludf.DUMMYFUNCTION("""COMPUTED_VALUE"""),0)</f>
        <v>0</v>
      </c>
      <c r="W223" s="4"/>
      <c r="X22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23" s="4" t="str">
        <f ca="1">IFERROR(__xludf.DUMMYFUNCTION("""COMPUTED_VALUE"""),"| 1 L CPT % | 5 L PHP-CGM % | 3 P PRO % | 5 P Python % ")</f>
        <v xml:space="preserve">| 1 L CPT % | 5 L PHP-CGM % | 3 P PRO % | 5 P Python % </v>
      </c>
      <c r="Z223" s="4" t="str">
        <f ca="1">IFERROR(__xludf.DUMMYFUNCTION("""COMPUTED_VALUE"""),"| 1 L CPT % | 2 L PHP-CGM % | 3 P CPT % | 5 P JAVA % ")</f>
        <v xml:space="preserve">| 1 L CPT % | 2 L PHP-CGM % | 3 P CPT % | 5 P JAVA % </v>
      </c>
      <c r="AA223" s="4" t="str">
        <f ca="1">IFERROR(__xludf.DUMMYFUNCTION("""COMPUTED_VALUE"""),"| 1 L NS % | 2 L JAVA % | 3 P PHP-CGM % | 5 P NS % ")</f>
        <v xml:space="preserve">| 1 L NS % | 2 L JAVA % | 3 P PHP-CGM % | 5 P NS % </v>
      </c>
      <c r="AB223" s="4" t="str">
        <f ca="1">IFERROR(__xludf.DUMMYFUNCTION("""COMPUTED_VALUE"""),"| 1 L CPT % | 2 L JAVA % | 3 P Python % ")</f>
        <v xml:space="preserve">| 1 L CPT % | 2 L JAVA % | 3 P Python % </v>
      </c>
      <c r="AC22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23" s="4" t="str">
        <f ca="1">IFERROR(__xludf.DUMMYFUNCTION("""COMPUTED_VALUE"""),"| 1 L CPT % | 2 L PHP-CGM % | 3 P PRO % | 5 P Python % ")</f>
        <v xml:space="preserve">| 1 L CPT % | 2 L PHP-CGM % | 3 P PRO % | 5 P Python % </v>
      </c>
      <c r="AE223" s="4" t="str">
        <f ca="1">IFERROR(__xludf.DUMMYFUNCTION("""COMPUTED_VALUE"""),"| 1 L CPT % | 3 P CPT % | 5 P JAVA % | 2 L PHP-CGM % ")</f>
        <v xml:space="preserve">| 1 L CPT % | 3 P CPT % | 5 P JAVA % | 2 L PHP-CGM % </v>
      </c>
      <c r="AF223" s="4" t="str">
        <f ca="1">IFERROR(__xludf.DUMMYFUNCTION("""COMPUTED_VALUE"""),"| 1 L NS % | 2 L CPT % | 3 P PHP-CGM % | 5 P NS % ")</f>
        <v xml:space="preserve">| 1 L NS % | 2 L CPT % | 3 P PHP-CGM % | 5 P NS % </v>
      </c>
      <c r="AG223" s="4" t="str">
        <f ca="1">IFERROR(__xludf.DUMMYFUNCTION("""COMPUTED_VALUE"""),"| 1 L CPT % | 2 L JAVA % | 3 P Python % ")</f>
        <v xml:space="preserve">| 1 L CPT % | 2 L JAVA % | 3 P Python % </v>
      </c>
      <c r="AH223" s="4" t="str">
        <f ca="1">IFERROR(__xludf.DUMMYFUNCTION("""COMPUTED_VALUE"""),"| 2 L JAVA % | 1 L NS % | 3 P PHP-CGM % | 5 P NS % ")</f>
        <v xml:space="preserve">| 2 L JAVA % | 1 L NS % | 3 P PHP-CGM % | 5 P NS % </v>
      </c>
      <c r="AI223" s="4" t="str">
        <f ca="1">IFERROR(__xludf.DUMMYFUNCTION("""COMPUTED_VALUE"""),"| 1 L CPT % | 2 L JAVA % | 3 P Python % ")</f>
        <v xml:space="preserve">| 1 L CPT % | 2 L JAVA % | 3 P Python % </v>
      </c>
      <c r="AJ22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23" s="4" t="str">
        <f ca="1">IFERROR(__xludf.DUMMYFUNCTION("""COMPUTED_VALUE"""),"| 1 L CPT % | 3 P PRO % | 2 L PHP-CGM % | 5 P Python % ")</f>
        <v xml:space="preserve">| 1 L CPT % | 3 P PRO % | 2 L PHP-CGM % | 5 P Python % </v>
      </c>
      <c r="AL223" s="4" t="str">
        <f ca="1">IFERROR(__xludf.DUMMYFUNCTION("""COMPUTED_VALUE"""),"| 1 L CPT % | 2 L PHP-CGM % | 3 P CPT % | 5 P JAVA % ")</f>
        <v xml:space="preserve">| 1 L CPT % | 2 L PHP-CGM % | 3 P CPT % | 5 P JAVA % </v>
      </c>
      <c r="AM223" s="4" t="str">
        <f ca="1">IFERROR(__xludf.DUMMYFUNCTION("""COMPUTED_VALUE"""),"| 2 L JAVA % | 3 P PHP-CGM % | 1 L NS % | 5 P NS % ")</f>
        <v xml:space="preserve">| 2 L JAVA % | 3 P PHP-CGM % | 1 L NS % | 5 P NS % </v>
      </c>
      <c r="AN223" s="4" t="str">
        <f ca="1">IFERROR(__xludf.DUMMYFUNCTION("""COMPUTED_VALUE"""),"| 1 L CPT % | 2 L JAVA % | 3 P Python % | 5 L INE % ")</f>
        <v xml:space="preserve">| 1 L CPT % | 2 L JAVA % | 3 P Python % | 5 L INE % </v>
      </c>
      <c r="AO223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23" s="4" t="str">
        <f ca="1">IFERROR(__xludf.DUMMYFUNCTION("""COMPUTED_VALUE"""),"| 1 L CPT % | 2 L PHP-CGM % | 3 P PRO % | 5 P Python % ")</f>
        <v xml:space="preserve">| 1 L CPT % | 2 L PHP-CGM % | 3 P PRO % | 5 P Python % </v>
      </c>
      <c r="AQ223" s="4" t="str">
        <f ca="1">IFERROR(__xludf.DUMMYFUNCTION("""COMPUTED_VALUE"""),"| 2 L PHP-CGM % | 3 P CPT % | 1 L NS % | 5 P JAVA % ")</f>
        <v xml:space="preserve">| 2 L PHP-CGM % | 3 P CPT % | 1 L NS % | 5 P JAVA % </v>
      </c>
      <c r="AR223" s="4" t="str">
        <f ca="1">IFERROR(__xludf.DUMMYFUNCTION("""COMPUTED_VALUE"""),"| 1 L CPT % | 2 L JAVA % | 3 P PHP-CGM % | 5 P NS % ")</f>
        <v xml:space="preserve">| 1 L CPT % | 2 L JAVA % | 3 P PHP-CGM % | 5 P NS % </v>
      </c>
      <c r="AS223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23" s="4" t="str">
        <f ca="1">IFERROR(__xludf.DUMMYFUNCTION("""COMPUTED_VALUE"""),"| 1 L CPT @ | 2 L PHP-CGM @ | 3 P PRO @ | 5 P Python @ ")</f>
        <v xml:space="preserve">| 1 L CPT @ | 2 L PHP-CGM @ | 3 P PRO @ | 5 P Python @ </v>
      </c>
      <c r="AU223" s="4" t="str">
        <f ca="1">IFERROR(__xludf.DUMMYFUNCTION("""COMPUTED_VALUE"""),"| 1 L NS % | 2 L PHP-CGM % | 3 P CPT % | 5 P JAVA % ")</f>
        <v xml:space="preserve">| 1 L NS % | 2 L PHP-CGM % | 3 P CPT % | 5 P JAVA % </v>
      </c>
      <c r="AV223" s="4" t="str">
        <f ca="1">IFERROR(__xludf.DUMMYFUNCTION("""COMPUTED_VALUE"""),"| 1 L CPT % | 2 L JAVA % | 3 P PHP-CGM % | 5 P NS % ")</f>
        <v xml:space="preserve">| 1 L CPT % | 2 L JAVA % | 3 P PHP-CGM % | 5 P NS % </v>
      </c>
      <c r="AW223" s="4" t="str">
        <f ca="1">IFERROR(__xludf.DUMMYFUNCTION("""COMPUTED_VALUE"""),"| 1 L CPT % | 2 L JAVA % | 3 P Python % | 5 L INE @ | 6 L INE @ ")</f>
        <v xml:space="preserve">| 1 L CPT % | 2 L JAVA % | 3 P Python % | 5 L INE @ | 6 L INE @ </v>
      </c>
      <c r="AX223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23" s="4" t="str">
        <f ca="1">IFERROR(__xludf.DUMMYFUNCTION("""COMPUTED_VALUE"""),"| 1 L CPT @ | 2 L PHP-CGM @ | 3 P PRO @ | 5 P Python @ ")</f>
        <v xml:space="preserve">| 1 L CPT @ | 2 L PHP-CGM @ | 3 P PRO @ | 5 P Python @ </v>
      </c>
      <c r="AZ223" s="4" t="str">
        <f ca="1">IFERROR(__xludf.DUMMYFUNCTION("""COMPUTED_VALUE"""),"| 1 L CPT @ | 2 L JAVA @ | 3 P PHP-CGM @ | 5 P NS @ ")</f>
        <v xml:space="preserve">| 1 L CPT @ | 2 L JAVA @ | 3 P PHP-CGM @ | 5 P NS @ </v>
      </c>
      <c r="BA223" s="4" t="str">
        <f ca="1">IFERROR(__xludf.DUMMYFUNCTION("""COMPUTED_VALUE"""),"| 1 L CPT @ | 2 L JAVA @ | 3 P Python @ | 5 L INE @ ")</f>
        <v xml:space="preserve">| 1 L CPT @ | 2 L JAVA @ | 3 P Python @ | 5 L INE @ </v>
      </c>
      <c r="BB223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23" s="4" t="str">
        <f ca="1">IFERROR(__xludf.DUMMYFUNCTION("""COMPUTED_VALUE"""),"| 1 L CPT % | 2 L PHP-CGM % | 3 P PRO % | 5 P Python % ")</f>
        <v xml:space="preserve">| 1 L CPT % | 2 L PHP-CGM % | 3 P PRO % | 5 P Python % </v>
      </c>
      <c r="BD223" s="4" t="str">
        <f ca="1">IFERROR(__xludf.DUMMYFUNCTION("""COMPUTED_VALUE"""),"| 1 L NS % | 2 L PHP-CGM % | 3 P CPT % | 5 P JAVA % ")</f>
        <v xml:space="preserve">| 1 L NS % | 2 L PHP-CGM % | 3 P CPT % | 5 P JAVA % </v>
      </c>
      <c r="BE223" s="4" t="str">
        <f ca="1">IFERROR(__xludf.DUMMYFUNCTION("""COMPUTED_VALUE"""),"| 1 L CPT % | 2 L JAVA % | 3 P PHP-CGM % | 5 P NS % ")</f>
        <v xml:space="preserve">| 1 L CPT % | 2 L JAVA % | 3 P PHP-CGM % | 5 P NS % </v>
      </c>
      <c r="BF223" s="4" t="str">
        <f ca="1">IFERROR(__xludf.DUMMYFUNCTION("""COMPUTED_VALUE"""),"| 1 L CPT % | 2 L JAVA % | 3 P Python % ")</f>
        <v xml:space="preserve">| 1 L CPT % | 2 L JAVA % | 3 P Python % </v>
      </c>
      <c r="BG223" s="4" t="str">
        <f ca="1">IFERROR(__xludf.DUMMYFUNCTION("""COMPUTED_VALUE"""),"| 2 L PHP-CGM @ | 1 L CPT @ | 3 P PRO @ | 5 P Python @ ")</f>
        <v xml:space="preserve">| 2 L PHP-CGM @ | 1 L CPT @ | 3 P PRO @ | 5 P Python @ </v>
      </c>
      <c r="BH223" s="4" t="str">
        <f ca="1">IFERROR(__xludf.DUMMYFUNCTION("""COMPUTED_VALUE"""),"| 1 L NS @ | 2 L PHP-CGM @ | 3 P CPT @ | 5 P JAVA @ ")</f>
        <v xml:space="preserve">| 1 L NS @ | 2 L PHP-CGM @ | 3 P CPT @ | 5 P JAVA @ </v>
      </c>
      <c r="BI223" s="4" t="str">
        <f ca="1">IFERROR(__xludf.DUMMYFUNCTION("""COMPUTED_VALUE"""),"| 1 L CPT @ | 2 L JAVA @ | 3 P PHP-CGM @ | 5 P NS @ ")</f>
        <v xml:space="preserve">| 1 L CPT @ | 2 L JAVA @ | 3 P PHP-CGM @ | 5 P NS @ </v>
      </c>
      <c r="BJ223" s="4" t="str">
        <f ca="1">IFERROR(__xludf.DUMMYFUNCTION("""COMPUTED_VALUE"""),"| 1 L CPT @ | 2 L JAVA @ | 3 P Python @ | 5 L INE @ ")</f>
        <v xml:space="preserve">| 1 L CPT @ | 2 L JAVA @ | 3 P Python @ | 5 L INE @ </v>
      </c>
      <c r="BK223" s="4" t="str">
        <f ca="1">IFERROR(__xludf.DUMMYFUNCTION("""COMPUTED_VALUE"""),"| 1 L NS @ | 2 L PHP-CGM @ | 5 L NS @ | 6 L JAVA @ ")</f>
        <v xml:space="preserve">| 1 L NS @ | 2 L PHP-CGM @ | 5 L NS @ | 6 L JAVA @ </v>
      </c>
      <c r="BL223" s="4" t="str">
        <f ca="1">IFERROR(__xludf.DUMMYFUNCTION("""COMPUTED_VALUE"""),"| 1 L CPT % | 2 L PHP-CGM @ | 3 P PRO @ ")</f>
        <v xml:space="preserve">| 1 L CPT % | 2 L PHP-CGM @ | 3 P PRO @ </v>
      </c>
      <c r="BM223" s="4" t="str">
        <f ca="1">IFERROR(__xludf.DUMMYFUNCTION("""COMPUTED_VALUE"""),"| 1 L NS @ | 2 L PHP-CGM @ | 3 P CPT @ | 5 P JAVA @ ")</f>
        <v xml:space="preserve">| 1 L NS @ | 2 L PHP-CGM @ | 3 P CPT @ | 5 P JAVA @ </v>
      </c>
      <c r="BN223" s="4" t="str">
        <f ca="1">IFERROR(__xludf.DUMMYFUNCTION("""COMPUTED_VALUE"""),"| 2 L JAVA @ | 1 L CPT @ | 3 P PHP-CGM @ | 5 P NS @ ")</f>
        <v xml:space="preserve">| 2 L JAVA @ | 1 L CPT @ | 3 P PHP-CGM @ | 5 P NS @ </v>
      </c>
      <c r="BO223" s="4" t="str">
        <f ca="1">IFERROR(__xludf.DUMMYFUNCTION("""COMPUTED_VALUE"""),"| 2 L JAVA @ | 1 L CPT % | 3 P Python @ | 5 L INE @ ")</f>
        <v xml:space="preserve">| 2 L JAVA @ | 1 L CPT % | 3 P Python @ | 5 L INE @ </v>
      </c>
      <c r="BP22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23" s="4"/>
      <c r="BR223" s="4"/>
      <c r="BS223" s="4"/>
      <c r="BT223" s="4" t="str">
        <f ca="1">IFERROR(__xludf.DUMMYFUNCTION("""COMPUTED_VALUE"""),"| 1 L NS @ | 2 L PHP-CGM @ | 3 P JAVA @ ")</f>
        <v xml:space="preserve">| 1 L NS @ | 2 L PHP-CGM @ | 3 P JAVA @ </v>
      </c>
      <c r="BU223" s="4" t="str">
        <f ca="1">IFERROR(__xludf.DUMMYFUNCTION("""COMPUTED_VALUE"""),"| 1 L CPT @ ")</f>
        <v xml:space="preserve">| 1 L CPT @ </v>
      </c>
      <c r="BV223" s="4" t="str">
        <f ca="1">IFERROR(__xludf.DUMMYFUNCTION("""COMPUTED_VALUE"""),"| 1 L NS @ | 2 L PHP-CGM @ | 3 P JAVA @ | 6 L JAVA @ ")</f>
        <v xml:space="preserve">| 1 L NS @ | 2 L PHP-CGM @ | 3 P JAVA @ | 6 L JAVA @ </v>
      </c>
      <c r="BW223" s="4" t="str">
        <f ca="1">IFERROR(__xludf.DUMMYFUNCTION("""COMPUTED_VALUE"""),"| 1 L CPT @ | 2 L PHP-CGM @ | 3 P PRO @ ")</f>
        <v xml:space="preserve">| 1 L CPT @ | 2 L PHP-CGM @ | 3 P PRO @ </v>
      </c>
      <c r="BX223" s="4" t="str">
        <f ca="1">IFERROR(__xludf.DUMMYFUNCTION("""COMPUTED_VALUE"""),"| 1 L NS @ | 2 L PHP-CGM @ | 3 P CPT @ | 5 P JAVA @ ")</f>
        <v xml:space="preserve">| 1 L NS @ | 2 L PHP-CGM @ | 3 P CPT @ | 5 P JAVA @ </v>
      </c>
      <c r="BY223" s="4" t="str">
        <f ca="1">IFERROR(__xludf.DUMMYFUNCTION("""COMPUTED_VALUE"""),"| 1 L CPT @ | 2 L JAVA @ | 3 P PHP-CGM @ | 5 P NS @ ")</f>
        <v xml:space="preserve">| 1 L CPT @ | 2 L JAVA @ | 3 P PHP-CGM @ | 5 P NS @ </v>
      </c>
      <c r="BZ223" s="4" t="str">
        <f ca="1">IFERROR(__xludf.DUMMYFUNCTION("""COMPUTED_VALUE"""),"| 1 L CPT @ | 2 L JAVA @ | 5 L INE @ ")</f>
        <v xml:space="preserve">| 1 L CPT @ | 2 L JAVA @ | 5 L INE @ </v>
      </c>
      <c r="CA22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23" s="4" t="str">
        <f ca="1">IFERROR(__xludf.DUMMYFUNCTION("""COMPUTED_VALUE"""),"| 2 L PHP-CGM @ | 3 P PRO @ | 5 P Python @ | 1 L CPT @ ")</f>
        <v xml:space="preserve">| 2 L PHP-CGM @ | 3 P PRO @ | 5 P Python @ | 1 L CPT @ </v>
      </c>
      <c r="CC223" s="4" t="str">
        <f ca="1">IFERROR(__xludf.DUMMYFUNCTION("""COMPUTED_VALUE"""),"| 1 L NS @ | 2 L PHP-CGM @ | 3 P CPT @ | 5 P JAVA @ ")</f>
        <v xml:space="preserve">| 1 L NS @ | 2 L PHP-CGM @ | 3 P CPT @ | 5 P JAVA @ </v>
      </c>
      <c r="CD223" s="4" t="str">
        <f ca="1">IFERROR(__xludf.DUMMYFUNCTION("""COMPUTED_VALUE"""),"| 1 L CPT @ | 2 L JAVA @ | 3 P PHP-CGM @ | 5 P NS @ ")</f>
        <v xml:space="preserve">| 1 L CPT @ | 2 L JAVA @ | 3 P PHP-CGM @ | 5 P NS @ </v>
      </c>
      <c r="CE223" s="4" t="str">
        <f ca="1">IFERROR(__xludf.DUMMYFUNCTION("""COMPUTED_VALUE"""),"| 1 L CPT @ | 2 L JAVA @ | 3 P Python @ | 5 L INE @ ")</f>
        <v xml:space="preserve">| 1 L CPT @ | 2 L JAVA @ | 3 P Python @ | 5 L INE @ </v>
      </c>
      <c r="CF22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23" s="4" t="str">
        <f ca="1">IFERROR(__xludf.DUMMYFUNCTION("""COMPUTED_VALUE"""),"| 1 L CPT @ | 2 L PHP-CGM @ | 5 P Python @ ")</f>
        <v xml:space="preserve">| 1 L CPT @ | 2 L PHP-CGM @ | 5 P Python @ </v>
      </c>
      <c r="CH223" s="4" t="str">
        <f ca="1">IFERROR(__xludf.DUMMYFUNCTION("""COMPUTED_VALUE"""),"| 1 L NS @ | 2 L PHP-CGM @ | 3 P CPT % ")</f>
        <v xml:space="preserve">| 1 L NS @ | 2 L PHP-CGM @ | 3 P CPT % </v>
      </c>
      <c r="CI223" s="4" t="str">
        <f ca="1">IFERROR(__xludf.DUMMYFUNCTION("""COMPUTED_VALUE"""),"| 1 L CPT @ | 2 L JAVA @ | 3 P PHP-CGM @ | 5 P NS @ ")</f>
        <v xml:space="preserve">| 1 L CPT @ | 2 L JAVA @ | 3 P PHP-CGM @ | 5 P NS @ </v>
      </c>
      <c r="CJ223" s="4" t="str">
        <f ca="1">IFERROR(__xludf.DUMMYFUNCTION("""COMPUTED_VALUE"""),"| 1 L CPT @ ")</f>
        <v xml:space="preserve">| 1 L CPT @ </v>
      </c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</row>
    <row r="224" spans="1:102" ht="12.5" x14ac:dyDescent="0.25">
      <c r="A224" s="3">
        <f ca="1">IFERROR(__xludf.DUMMYFUNCTION("""COMPUTED_VALUE"""),3)</f>
        <v>3</v>
      </c>
      <c r="B224" s="3" t="str">
        <f ca="1">IFERROR(__xludf.DUMMYFUNCTION("""COMPUTED_VALUE"""),"C")</f>
        <v>C</v>
      </c>
      <c r="C224" s="32" t="str">
        <f ca="1">IFERROR(__xludf.DUMMYFUNCTION("""COMPUTED_VALUE"""),"23171341129")</f>
        <v>23171341129</v>
      </c>
      <c r="D224" s="4" t="str">
        <f ca="1">IFERROR(__xludf.DUMMYFUNCTION("""COMPUTED_VALUE"""),"PATEL TIRTH ALPESHKUMAR")</f>
        <v>PATEL TIRTH ALPESHKUMAR</v>
      </c>
      <c r="E224" s="3" t="str">
        <f ca="1">IFERROR(__xludf.DUMMYFUNCTION("""COMPUTED_VALUE"""),"PKN/PAP-Mor")</f>
        <v>PKN/PAP-Mor</v>
      </c>
      <c r="F224" s="3">
        <f ca="1">IFERROR(__xludf.DUMMYFUNCTION("""COMPUTED_VALUE"""),9428002003)</f>
        <v>9428002003</v>
      </c>
      <c r="G224" s="3">
        <f ca="1">IFERROR(__xludf.DUMMYFUNCTION("""COMPUTED_VALUE"""),9428002003)</f>
        <v>9428002003</v>
      </c>
      <c r="H224" s="33">
        <f ca="1">IFERROR(__xludf.DUMMYFUNCTION("""COMPUTED_VALUE"""),0.588477366255144)</f>
        <v>0.58847736625514402</v>
      </c>
      <c r="I224" s="25">
        <f ca="1">IFERROR(__xludf.DUMMYFUNCTION("""COMPUTED_VALUE"""),0.578947368421052)</f>
        <v>0.57894736842105199</v>
      </c>
      <c r="J224" s="25">
        <f ca="1">IFERROR(__xludf.DUMMYFUNCTION("""COMPUTED_VALUE"""),0.727272727272727)</f>
        <v>0.72727272727272696</v>
      </c>
      <c r="K224" s="25">
        <f ca="1">IFERROR(__xludf.DUMMYFUNCTION("""COMPUTED_VALUE"""),0.472222222222222)</f>
        <v>0.47222222222222199</v>
      </c>
      <c r="L224" s="25">
        <f ca="1">IFERROR(__xludf.DUMMYFUNCTION("""COMPUTED_VALUE"""),0.538461538461538)</f>
        <v>0.53846153846153799</v>
      </c>
      <c r="M224" s="25">
        <f ca="1">IFERROR(__xludf.DUMMYFUNCTION("""COMPUTED_VALUE"""),0.611111111111111)</f>
        <v>0.61111111111111105</v>
      </c>
      <c r="N224" s="25">
        <f ca="1">IFERROR(__xludf.DUMMYFUNCTION("""COMPUTED_VALUE"""),0.769230769230769)</f>
        <v>0.76923076923076905</v>
      </c>
      <c r="O224" s="25">
        <f ca="1">IFERROR(__xludf.DUMMYFUNCTION("""COMPUTED_VALUE"""),0.514285714285714)</f>
        <v>0.51428571428571401</v>
      </c>
      <c r="P224" s="25">
        <f ca="1">IFERROR(__xludf.DUMMYFUNCTION("""COMPUTED_VALUE"""),0.545454545454545)</f>
        <v>0.54545454545454497</v>
      </c>
      <c r="Q224" s="25">
        <f ca="1">IFERROR(__xludf.DUMMYFUNCTION("""COMPUTED_VALUE"""),0)</f>
        <v>0</v>
      </c>
      <c r="R224" s="25">
        <f ca="1">IFERROR(__xludf.DUMMYFUNCTION("""COMPUTED_VALUE"""),0.75)</f>
        <v>0.75</v>
      </c>
      <c r="S224" s="25">
        <f ca="1">IFERROR(__xludf.DUMMYFUNCTION("""COMPUTED_VALUE"""),0)</f>
        <v>0</v>
      </c>
      <c r="T224" s="25">
        <f ca="1">IFERROR(__xludf.DUMMYFUNCTION("""COMPUTED_VALUE"""),0.818181818181818)</f>
        <v>0.81818181818181801</v>
      </c>
      <c r="U224" s="25">
        <f ca="1">IFERROR(__xludf.DUMMYFUNCTION("""COMPUTED_VALUE"""),0.375)</f>
        <v>0.375</v>
      </c>
      <c r="V224" s="25">
        <f ca="1">IFERROR(__xludf.DUMMYFUNCTION("""COMPUTED_VALUE"""),0)</f>
        <v>0</v>
      </c>
      <c r="W224" s="4"/>
      <c r="X224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24" s="4" t="str">
        <f ca="1">IFERROR(__xludf.DUMMYFUNCTION("""COMPUTED_VALUE"""),"| 1 L CPT % | 5 L PHP-CGM % | 3 P PRO % | 5 P Python % ")</f>
        <v xml:space="preserve">| 1 L CPT % | 5 L PHP-CGM % | 3 P PRO % | 5 P Python % </v>
      </c>
      <c r="Z224" s="4" t="str">
        <f ca="1">IFERROR(__xludf.DUMMYFUNCTION("""COMPUTED_VALUE"""),"| 1 L CPT % | 2 L PHP-CGM % | 3 P CPT % | 5 P JAVA % ")</f>
        <v xml:space="preserve">| 1 L CPT % | 2 L PHP-CGM % | 3 P CPT % | 5 P JAVA % </v>
      </c>
      <c r="AA224" s="4" t="str">
        <f ca="1">IFERROR(__xludf.DUMMYFUNCTION("""COMPUTED_VALUE"""),"| 1 L NS @ | 2 L JAVA @ | 3 P PHP-CGM @ | 5 P NS @ ")</f>
        <v xml:space="preserve">| 1 L NS @ | 2 L JAVA @ | 3 P PHP-CGM @ | 5 P NS @ </v>
      </c>
      <c r="AB224" s="4" t="str">
        <f ca="1">IFERROR(__xludf.DUMMYFUNCTION("""COMPUTED_VALUE"""),"| 1 L CPT @ | 2 L JAVA @ | 3 P Python @ ")</f>
        <v xml:space="preserve">| 1 L CPT @ | 2 L JAVA @ | 3 P Python @ </v>
      </c>
      <c r="AC224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24" s="4" t="str">
        <f ca="1">IFERROR(__xludf.DUMMYFUNCTION("""COMPUTED_VALUE"""),"| 1 L CPT % | 2 L PHP-CGM % | 3 P PRO % | 5 P Python % ")</f>
        <v xml:space="preserve">| 1 L CPT % | 2 L PHP-CGM % | 3 P PRO % | 5 P Python % </v>
      </c>
      <c r="AE224" s="4" t="str">
        <f ca="1">IFERROR(__xludf.DUMMYFUNCTION("""COMPUTED_VALUE"""),"| 1 L CPT @ | 3 P CPT % | 5 P JAVA % | 2 L PHP-CGM @ ")</f>
        <v xml:space="preserve">| 1 L CPT @ | 3 P CPT % | 5 P JAVA % | 2 L PHP-CGM @ </v>
      </c>
      <c r="AF224" s="4" t="str">
        <f ca="1">IFERROR(__xludf.DUMMYFUNCTION("""COMPUTED_VALUE"""),"| 1 L NS % | 2 L CPT % | 3 P PHP-CGM % | 5 P NS % ")</f>
        <v xml:space="preserve">| 1 L NS % | 2 L CPT % | 3 P PHP-CGM % | 5 P NS % </v>
      </c>
      <c r="AG224" s="4" t="str">
        <f ca="1">IFERROR(__xludf.DUMMYFUNCTION("""COMPUTED_VALUE"""),"| 1 L CPT % | 2 L JAVA % | 3 P Python % ")</f>
        <v xml:space="preserve">| 1 L CPT % | 2 L JAVA % | 3 P Python % </v>
      </c>
      <c r="AH224" s="4" t="str">
        <f ca="1">IFERROR(__xludf.DUMMYFUNCTION("""COMPUTED_VALUE"""),"| 2 L JAVA % | 1 L NS % | 3 P PHP-CGM % | 5 P NS @ ")</f>
        <v xml:space="preserve">| 2 L JAVA % | 1 L NS % | 3 P PHP-CGM % | 5 P NS @ </v>
      </c>
      <c r="AI224" s="4" t="str">
        <f ca="1">IFERROR(__xludf.DUMMYFUNCTION("""COMPUTED_VALUE"""),"| 1 L CPT % | 2 L JAVA % | 3 P Python % ")</f>
        <v xml:space="preserve">| 1 L CPT % | 2 L JAVA % | 3 P Python % </v>
      </c>
      <c r="AJ224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24" s="4" t="str">
        <f ca="1">IFERROR(__xludf.DUMMYFUNCTION("""COMPUTED_VALUE"""),"| 1 L CPT % | 3 P PRO % | 2 L PHP-CGM % | 5 P Python % ")</f>
        <v xml:space="preserve">| 1 L CPT % | 3 P PRO % | 2 L PHP-CGM % | 5 P Python % </v>
      </c>
      <c r="AL224" s="4" t="str">
        <f ca="1">IFERROR(__xludf.DUMMYFUNCTION("""COMPUTED_VALUE"""),"| 1 L CPT % | 2 L PHP-CGM % | 3 P CPT % | 5 P JAVA @ ")</f>
        <v xml:space="preserve">| 1 L CPT % | 2 L PHP-CGM % | 3 P CPT % | 5 P JAVA @ </v>
      </c>
      <c r="AM224" s="4" t="str">
        <f ca="1">IFERROR(__xludf.DUMMYFUNCTION("""COMPUTED_VALUE"""),"| 2 L JAVA % | 3 P PHP-CGM % | 1 L NS % | 5 P NS % ")</f>
        <v xml:space="preserve">| 2 L JAVA % | 3 P PHP-CGM % | 1 L NS % | 5 P NS % </v>
      </c>
      <c r="AN224" s="4" t="str">
        <f ca="1">IFERROR(__xludf.DUMMYFUNCTION("""COMPUTED_VALUE"""),"| 1 L CPT @ | 2 L JAVA @ | 3 P Python @ | 5 L INE @ ")</f>
        <v xml:space="preserve">| 1 L CPT @ | 2 L JAVA @ | 3 P Python @ | 5 L INE @ </v>
      </c>
      <c r="AO224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24" s="4" t="str">
        <f ca="1">IFERROR(__xludf.DUMMYFUNCTION("""COMPUTED_VALUE"""),"| 1 L CPT @ | 2 L PHP-CGM % | 3 P PRO % | 5 P Python % ")</f>
        <v xml:space="preserve">| 1 L CPT @ | 2 L PHP-CGM % | 3 P PRO % | 5 P Python % </v>
      </c>
      <c r="AQ224" s="4" t="str">
        <f ca="1">IFERROR(__xludf.DUMMYFUNCTION("""COMPUTED_VALUE"""),"| 2 L PHP-CGM % | 3 P CPT % | 1 L NS % | 5 P JAVA % ")</f>
        <v xml:space="preserve">| 2 L PHP-CGM % | 3 P CPT % | 1 L NS % | 5 P JAVA % </v>
      </c>
      <c r="AR224" s="4" t="str">
        <f ca="1">IFERROR(__xludf.DUMMYFUNCTION("""COMPUTED_VALUE"""),"| 1 L CPT % | 2 L JAVA % | 3 P PHP-CGM % | 5 P NS @ ")</f>
        <v xml:space="preserve">| 1 L CPT % | 2 L JAVA % | 3 P PHP-CGM % | 5 P NS @ </v>
      </c>
      <c r="AS224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24" s="4" t="str">
        <f ca="1">IFERROR(__xludf.DUMMYFUNCTION("""COMPUTED_VALUE"""),"| 1 L CPT % | 2 L PHP-CGM % | 3 P PRO % | 5 P Python % ")</f>
        <v xml:space="preserve">| 1 L CPT % | 2 L PHP-CGM % | 3 P PRO % | 5 P Python % </v>
      </c>
      <c r="AU224" s="4" t="str">
        <f ca="1">IFERROR(__xludf.DUMMYFUNCTION("""COMPUTED_VALUE"""),"| 1 L NS % | 2 L PHP-CGM % | 3 P CPT % | 5 P JAVA @ ")</f>
        <v xml:space="preserve">| 1 L NS % | 2 L PHP-CGM % | 3 P CPT % | 5 P JAVA @ </v>
      </c>
      <c r="AV224" s="4" t="str">
        <f ca="1">IFERROR(__xludf.DUMMYFUNCTION("""COMPUTED_VALUE"""),"| 1 L CPT % | 2 L JAVA % | 3 P PHP-CGM % | 5 P NS % ")</f>
        <v xml:space="preserve">| 1 L CPT % | 2 L JAVA % | 3 P PHP-CGM % | 5 P NS % </v>
      </c>
      <c r="AW224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24" s="4" t="str">
        <f ca="1">IFERROR(__xludf.DUMMYFUNCTION("""COMPUTED_VALUE"""),"| 1 L NS @ | 2 L PHP-CGM % | 3 P JAVA @ | 5 L NS @ | 5 L JAVA @ ")</f>
        <v xml:space="preserve">| 1 L NS @ | 2 L PHP-CGM % | 3 P JAVA @ | 5 L NS @ | 5 L JAVA @ </v>
      </c>
      <c r="AY224" s="4" t="str">
        <f ca="1">IFERROR(__xludf.DUMMYFUNCTION("""COMPUTED_VALUE"""),"| 1 L CPT % | 2 L PHP-CGM % | 3 P PRO % | 5 P Python % ")</f>
        <v xml:space="preserve">| 1 L CPT % | 2 L PHP-CGM % | 3 P PRO % | 5 P Python % </v>
      </c>
      <c r="AZ224" s="4" t="str">
        <f ca="1">IFERROR(__xludf.DUMMYFUNCTION("""COMPUTED_VALUE"""),"| 1 L CPT @ | 2 L JAVA @ | 3 P PHP-CGM % | 5 P NS % ")</f>
        <v xml:space="preserve">| 1 L CPT @ | 2 L JAVA @ | 3 P PHP-CGM % | 5 P NS % </v>
      </c>
      <c r="BA224" s="4" t="str">
        <f ca="1">IFERROR(__xludf.DUMMYFUNCTION("""COMPUTED_VALUE"""),"| 1 L CPT % | 2 L JAVA % | 3 P Python % | 5 L INE @ ")</f>
        <v xml:space="preserve">| 1 L CPT % | 2 L JAVA % | 3 P Python % | 5 L INE @ </v>
      </c>
      <c r="BB224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24" s="4" t="str">
        <f ca="1">IFERROR(__xludf.DUMMYFUNCTION("""COMPUTED_VALUE"""),"| 1 L CPT % | 2 L PHP-CGM % | 3 P PRO % | 5 P Python % ")</f>
        <v xml:space="preserve">| 1 L CPT % | 2 L PHP-CGM % | 3 P PRO % | 5 P Python % </v>
      </c>
      <c r="BD224" s="4" t="str">
        <f ca="1">IFERROR(__xludf.DUMMYFUNCTION("""COMPUTED_VALUE"""),"| 1 L NS % | 2 L PHP-CGM % | 3 P CPT % | 5 P JAVA % ")</f>
        <v xml:space="preserve">| 1 L NS % | 2 L PHP-CGM % | 3 P CPT % | 5 P JAVA % </v>
      </c>
      <c r="BE224" s="4" t="str">
        <f ca="1">IFERROR(__xludf.DUMMYFUNCTION("""COMPUTED_VALUE"""),"| 1 L CPT % | 2 L JAVA % | 3 P PHP-CGM % | 5 P NS % ")</f>
        <v xml:space="preserve">| 1 L CPT % | 2 L JAVA % | 3 P PHP-CGM % | 5 P NS % </v>
      </c>
      <c r="BF224" s="4" t="str">
        <f ca="1">IFERROR(__xludf.DUMMYFUNCTION("""COMPUTED_VALUE"""),"| 1 L CPT % | 2 L JAVA % | 3 P Python % ")</f>
        <v xml:space="preserve">| 1 L CPT % | 2 L JAVA % | 3 P Python % </v>
      </c>
      <c r="BG224" s="4" t="str">
        <f ca="1">IFERROR(__xludf.DUMMYFUNCTION("""COMPUTED_VALUE"""),"| 2 L PHP-CGM % | 1 L CPT % | 3 P PRO % | 5 P Python % ")</f>
        <v xml:space="preserve">| 2 L PHP-CGM % | 1 L CPT % | 3 P PRO % | 5 P Python % </v>
      </c>
      <c r="BH224" s="4" t="str">
        <f ca="1">IFERROR(__xludf.DUMMYFUNCTION("""COMPUTED_VALUE"""),"| 1 L NS % | 2 L PHP-CGM % | 3 P CPT % | 5 P JAVA % ")</f>
        <v xml:space="preserve">| 1 L NS % | 2 L PHP-CGM % | 3 P CPT % | 5 P JAVA % </v>
      </c>
      <c r="BI224" s="4" t="str">
        <f ca="1">IFERROR(__xludf.DUMMYFUNCTION("""COMPUTED_VALUE"""),"| 1 L CPT % | 2 L JAVA % | 3 P PHP-CGM % | 5 P NS @ ")</f>
        <v xml:space="preserve">| 1 L CPT % | 2 L JAVA % | 3 P PHP-CGM % | 5 P NS @ </v>
      </c>
      <c r="BJ224" s="4" t="str">
        <f ca="1">IFERROR(__xludf.DUMMYFUNCTION("""COMPUTED_VALUE"""),"| 1 L CPT % | 2 L JAVA % | 3 P Python % | 5 L INE % ")</f>
        <v xml:space="preserve">| 1 L CPT % | 2 L JAVA % | 3 P Python % | 5 L INE % </v>
      </c>
      <c r="BK224" s="4" t="str">
        <f ca="1">IFERROR(__xludf.DUMMYFUNCTION("""COMPUTED_VALUE"""),"| 1 L NS @ | 2 L PHP-CGM @ | 5 L NS @ | 6 L JAVA @ ")</f>
        <v xml:space="preserve">| 1 L NS @ | 2 L PHP-CGM @ | 5 L NS @ | 6 L JAVA @ </v>
      </c>
      <c r="BL224" s="4" t="str">
        <f ca="1">IFERROR(__xludf.DUMMYFUNCTION("""COMPUTED_VALUE"""),"| 1 L CPT @ | 2 L PHP-CGM @ | 3 P PRO @ ")</f>
        <v xml:space="preserve">| 1 L CPT @ | 2 L PHP-CGM @ | 3 P PRO @ </v>
      </c>
      <c r="BM224" s="4" t="str">
        <f ca="1">IFERROR(__xludf.DUMMYFUNCTION("""COMPUTED_VALUE"""),"| 1 L NS @ | 2 L PHP-CGM @ | 3 P CPT @ | 5 P JAVA @ ")</f>
        <v xml:space="preserve">| 1 L NS @ | 2 L PHP-CGM @ | 3 P CPT @ | 5 P JAVA @ </v>
      </c>
      <c r="BN224" s="4" t="str">
        <f ca="1">IFERROR(__xludf.DUMMYFUNCTION("""COMPUTED_VALUE"""),"| 2 L JAVA @ | 1 L CPT @ | 3 P PHP-CGM @ | 5 P NS @ ")</f>
        <v xml:space="preserve">| 2 L JAVA @ | 1 L CPT @ | 3 P PHP-CGM @ | 5 P NS @ </v>
      </c>
      <c r="BO224" s="4" t="str">
        <f ca="1">IFERROR(__xludf.DUMMYFUNCTION("""COMPUTED_VALUE"""),"| 2 L JAVA @ | 1 L CPT @ | 3 P Python @ | 5 L INE @ ")</f>
        <v xml:space="preserve">| 2 L JAVA @ | 1 L CPT @ | 3 P Python @ | 5 L INE @ </v>
      </c>
      <c r="BP224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24" s="4"/>
      <c r="BR224" s="4"/>
      <c r="BS224" s="4"/>
      <c r="BT224" s="4" t="str">
        <f ca="1">IFERROR(__xludf.DUMMYFUNCTION("""COMPUTED_VALUE"""),"| 1 L NS @ | 2 L PHP-CGM @ | 3 P JAVA % ")</f>
        <v xml:space="preserve">| 1 L NS @ | 2 L PHP-CGM @ | 3 P JAVA % </v>
      </c>
      <c r="BU224" s="4" t="str">
        <f ca="1">IFERROR(__xludf.DUMMYFUNCTION("""COMPUTED_VALUE"""),"| 1 L CPT @ ")</f>
        <v xml:space="preserve">| 1 L CPT @ </v>
      </c>
      <c r="BV224" s="4" t="str">
        <f ca="1">IFERROR(__xludf.DUMMYFUNCTION("""COMPUTED_VALUE"""),"| 1 L NS @ | 2 L PHP-CGM @ | 3 P JAVA @ | 6 L JAVA @ ")</f>
        <v xml:space="preserve">| 1 L NS @ | 2 L PHP-CGM @ | 3 P JAVA @ | 6 L JAVA @ </v>
      </c>
      <c r="BW224" s="4" t="str">
        <f ca="1">IFERROR(__xludf.DUMMYFUNCTION("""COMPUTED_VALUE"""),"| 1 L CPT @ | 2 L PHP-CGM @ | 3 P PRO @ ")</f>
        <v xml:space="preserve">| 1 L CPT @ | 2 L PHP-CGM @ | 3 P PRO @ </v>
      </c>
      <c r="BX224" s="4" t="str">
        <f ca="1">IFERROR(__xludf.DUMMYFUNCTION("""COMPUTED_VALUE"""),"| 1 L NS % | 2 L PHP-CGM % | 3 P CPT % | 5 P JAVA @ ")</f>
        <v xml:space="preserve">| 1 L NS % | 2 L PHP-CGM % | 3 P CPT % | 5 P JAVA @ </v>
      </c>
      <c r="BY224" s="4" t="str">
        <f ca="1">IFERROR(__xludf.DUMMYFUNCTION("""COMPUTED_VALUE"""),"| 1 L CPT % | 2 L JAVA % | 3 P PHP-CGM % | 5 P NS % ")</f>
        <v xml:space="preserve">| 1 L CPT % | 2 L JAVA % | 3 P PHP-CGM % | 5 P NS % </v>
      </c>
      <c r="BZ224" s="4" t="str">
        <f ca="1">IFERROR(__xludf.DUMMYFUNCTION("""COMPUTED_VALUE"""),"| 1 L CPT % | 2 L JAVA % | 5 L INE @ ")</f>
        <v xml:space="preserve">| 1 L CPT % | 2 L JAVA % | 5 L INE @ </v>
      </c>
      <c r="CA224" s="4" t="str">
        <f ca="1">IFERROR(__xludf.DUMMYFUNCTION("""COMPUTED_VALUE"""),"| 1 L NS @ | 2 L PHP-CGM % | 3 P JAVA @ | 5 L NS @ | 6 L JAVA @ ")</f>
        <v xml:space="preserve">| 1 L NS @ | 2 L PHP-CGM % | 3 P JAVA @ | 5 L NS @ | 6 L JAVA @ </v>
      </c>
      <c r="CB224" s="4" t="str">
        <f ca="1">IFERROR(__xludf.DUMMYFUNCTION("""COMPUTED_VALUE"""),"| 2 L PHP-CGM @ | 3 P PRO % | 5 P Python @ | 1 L CPT @ ")</f>
        <v xml:space="preserve">| 2 L PHP-CGM @ | 3 P PRO % | 5 P Python @ | 1 L CPT @ </v>
      </c>
      <c r="CC224" s="4" t="str">
        <f ca="1">IFERROR(__xludf.DUMMYFUNCTION("""COMPUTED_VALUE"""),"| 1 L NS @ | 2 L PHP-CGM @ | 3 P CPT @ | 5 P JAVA @ ")</f>
        <v xml:space="preserve">| 1 L NS @ | 2 L PHP-CGM @ | 3 P CPT @ | 5 P JAVA @ </v>
      </c>
      <c r="CD224" s="4" t="str">
        <f ca="1">IFERROR(__xludf.DUMMYFUNCTION("""COMPUTED_VALUE"""),"| 1 L CPT @ | 2 L JAVA @ | 3 P PHP-CGM @ | 5 P NS @ ")</f>
        <v xml:space="preserve">| 1 L CPT @ | 2 L JAVA @ | 3 P PHP-CGM @ | 5 P NS @ </v>
      </c>
      <c r="CE224" s="4" t="str">
        <f ca="1">IFERROR(__xludf.DUMMYFUNCTION("""COMPUTED_VALUE"""),"| 1 L CPT @ | 2 L JAVA @ | 3 P Python @ | 5 L INE @ ")</f>
        <v xml:space="preserve">| 1 L CPT @ | 2 L JAVA @ | 3 P Python @ | 5 L INE @ </v>
      </c>
      <c r="CF224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24" s="4" t="str">
        <f ca="1">IFERROR(__xludf.DUMMYFUNCTION("""COMPUTED_VALUE"""),"| 1 L CPT @ | 2 L PHP-CGM @ | 5 P Python % ")</f>
        <v xml:space="preserve">| 1 L CPT @ | 2 L PHP-CGM @ | 5 P Python % </v>
      </c>
      <c r="CH224" s="4" t="str">
        <f ca="1">IFERROR(__xludf.DUMMYFUNCTION("""COMPUTED_VALUE"""),"| 1 L NS @ | 2 L PHP-CGM @ | 3 P CPT @ ")</f>
        <v xml:space="preserve">| 1 L NS @ | 2 L PHP-CGM @ | 3 P CPT @ </v>
      </c>
      <c r="CI224" s="4" t="str">
        <f ca="1">IFERROR(__xludf.DUMMYFUNCTION("""COMPUTED_VALUE"""),"| 1 L CPT @ | 2 L JAVA @ | 3 P PHP-CGM % | 5 P NS % ")</f>
        <v xml:space="preserve">| 1 L CPT @ | 2 L JAVA @ | 3 P PHP-CGM % | 5 P NS % </v>
      </c>
      <c r="CJ224" s="4" t="str">
        <f ca="1">IFERROR(__xludf.DUMMYFUNCTION("""COMPUTED_VALUE"""),"| 1 L CPT @ ")</f>
        <v xml:space="preserve">| 1 L CPT @ </v>
      </c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</row>
    <row r="225" spans="1:102" ht="12.5" x14ac:dyDescent="0.25">
      <c r="A225" s="3">
        <f ca="1">IFERROR(__xludf.DUMMYFUNCTION("""COMPUTED_VALUE"""),3)</f>
        <v>3</v>
      </c>
      <c r="B225" s="3" t="str">
        <f ca="1">IFERROR(__xludf.DUMMYFUNCTION("""COMPUTED_VALUE"""),"C")</f>
        <v>C</v>
      </c>
      <c r="C225" s="32" t="str">
        <f ca="1">IFERROR(__xludf.DUMMYFUNCTION("""COMPUTED_VALUE"""),"23171341133")</f>
        <v>23171341133</v>
      </c>
      <c r="D225" s="4" t="str">
        <f ca="1">IFERROR(__xludf.DUMMYFUNCTION("""COMPUTED_VALUE"""),"PATEL TUSHARKUMAR VASANTLAL")</f>
        <v>PATEL TUSHARKUMAR VASANTLAL</v>
      </c>
      <c r="E225" s="3" t="str">
        <f ca="1">IFERROR(__xludf.DUMMYFUNCTION("""COMPUTED_VALUE"""),"PKN/PAP-Mor")</f>
        <v>PKN/PAP-Mor</v>
      </c>
      <c r="F225" s="3">
        <f ca="1">IFERROR(__xludf.DUMMYFUNCTION("""COMPUTED_VALUE"""),9313481627)</f>
        <v>9313481627</v>
      </c>
      <c r="G225" s="3">
        <f ca="1">IFERROR(__xludf.DUMMYFUNCTION("""COMPUTED_VALUE"""),6354128022)</f>
        <v>6354128022</v>
      </c>
      <c r="H225" s="33">
        <f ca="1">IFERROR(__xludf.DUMMYFUNCTION("""COMPUTED_VALUE"""),0.337448559670781)</f>
        <v>0.33744855967078102</v>
      </c>
      <c r="I225" s="25">
        <f ca="1">IFERROR(__xludf.DUMMYFUNCTION("""COMPUTED_VALUE"""),0.552631578947368)</f>
        <v>0.55263157894736803</v>
      </c>
      <c r="J225" s="25">
        <f ca="1">IFERROR(__xludf.DUMMYFUNCTION("""COMPUTED_VALUE"""),0)</f>
        <v>0</v>
      </c>
      <c r="K225" s="25">
        <f ca="1">IFERROR(__xludf.DUMMYFUNCTION("""COMPUTED_VALUE"""),0.555555555555555)</f>
        <v>0.55555555555555503</v>
      </c>
      <c r="L225" s="25">
        <f ca="1">IFERROR(__xludf.DUMMYFUNCTION("""COMPUTED_VALUE"""),0)</f>
        <v>0</v>
      </c>
      <c r="M225" s="25">
        <f ca="1">IFERROR(__xludf.DUMMYFUNCTION("""COMPUTED_VALUE"""),0.777777777777777)</f>
        <v>0.77777777777777701</v>
      </c>
      <c r="N225" s="25">
        <f ca="1">IFERROR(__xludf.DUMMYFUNCTION("""COMPUTED_VALUE"""),0)</f>
        <v>0</v>
      </c>
      <c r="O225" s="25">
        <f ca="1">IFERROR(__xludf.DUMMYFUNCTION("""COMPUTED_VALUE"""),0.371428571428571)</f>
        <v>0.371428571428571</v>
      </c>
      <c r="P225" s="25">
        <f ca="1">IFERROR(__xludf.DUMMYFUNCTION("""COMPUTED_VALUE"""),0)</f>
        <v>0</v>
      </c>
      <c r="Q225" s="25">
        <f ca="1">IFERROR(__xludf.DUMMYFUNCTION("""COMPUTED_VALUE"""),0)</f>
        <v>0</v>
      </c>
      <c r="R225" s="25">
        <f ca="1">IFERROR(__xludf.DUMMYFUNCTION("""COMPUTED_VALUE"""),0)</f>
        <v>0</v>
      </c>
      <c r="S225" s="25">
        <f ca="1">IFERROR(__xludf.DUMMYFUNCTION("""COMPUTED_VALUE"""),0)</f>
        <v>0</v>
      </c>
      <c r="T225" s="25">
        <f ca="1">IFERROR(__xludf.DUMMYFUNCTION("""COMPUTED_VALUE"""),0)</f>
        <v>0</v>
      </c>
      <c r="U225" s="25">
        <f ca="1">IFERROR(__xludf.DUMMYFUNCTION("""COMPUTED_VALUE"""),0)</f>
        <v>0</v>
      </c>
      <c r="V225" s="25">
        <f ca="1">IFERROR(__xludf.DUMMYFUNCTION("""COMPUTED_VALUE"""),0)</f>
        <v>0</v>
      </c>
      <c r="W225" s="4"/>
      <c r="X225" s="4" t="str">
        <f ca="1">IFERROR(__xludf.DUMMYFUNCTION("""COMPUTED_VALUE"""),"| 1 L NS % | 2 L PHP-CGM % | 3 P JAVA @ | 5 L JAVA @ | 6 L NS @ ")</f>
        <v xml:space="preserve">| 1 L NS % | 2 L PHP-CGM % | 3 P JAVA @ | 5 L JAVA @ | 6 L NS @ </v>
      </c>
      <c r="Y225" s="4" t="str">
        <f ca="1">IFERROR(__xludf.DUMMYFUNCTION("""COMPUTED_VALUE"""),"| 1 L CPT % | 5 L PHP-CGM % | 3 P PRO @ | 5 P Python @ ")</f>
        <v xml:space="preserve">| 1 L CPT % | 5 L PHP-CGM % | 3 P PRO @ | 5 P Python @ </v>
      </c>
      <c r="Z225" s="4" t="str">
        <f ca="1">IFERROR(__xludf.DUMMYFUNCTION("""COMPUTED_VALUE"""),"| 1 L CPT % | 2 L PHP-CGM % | 3 P CPT @ | 5 P JAVA @ ")</f>
        <v xml:space="preserve">| 1 L CPT % | 2 L PHP-CGM % | 3 P CPT @ | 5 P JAVA @ </v>
      </c>
      <c r="AA225" s="4" t="str">
        <f ca="1">IFERROR(__xludf.DUMMYFUNCTION("""COMPUTED_VALUE"""),"| 1 L NS @ | 2 L JAVA @ | 3 P PHP-CGM @ | 5 P NS @ ")</f>
        <v xml:space="preserve">| 1 L NS @ | 2 L JAVA @ | 3 P PHP-CGM @ | 5 P NS @ </v>
      </c>
      <c r="AB225" s="4" t="str">
        <f ca="1">IFERROR(__xludf.DUMMYFUNCTION("""COMPUTED_VALUE"""),"| 1 L CPT @ | 2 L JAVA @ | 3 P Python @ ")</f>
        <v xml:space="preserve">| 1 L CPT @ | 2 L JAVA @ | 3 P Python @ </v>
      </c>
      <c r="AC225" s="4" t="str">
        <f ca="1">IFERROR(__xludf.DUMMYFUNCTION("""COMPUTED_VALUE"""),"| 1 L NS % | 2 L PHP-CGM % | 3 P JAVA @ | 5 L JAVA @ | 6 L NS @ ")</f>
        <v xml:space="preserve">| 1 L NS % | 2 L PHP-CGM % | 3 P JAVA @ | 5 L JAVA @ | 6 L NS @ </v>
      </c>
      <c r="AD225" s="4" t="str">
        <f ca="1">IFERROR(__xludf.DUMMYFUNCTION("""COMPUTED_VALUE"""),"| 1 L CPT % | 2 L PHP-CGM % | 3 P PRO @ | 5 P Python @ ")</f>
        <v xml:space="preserve">| 1 L CPT % | 2 L PHP-CGM % | 3 P PRO @ | 5 P Python @ </v>
      </c>
      <c r="AE225" s="4" t="str">
        <f ca="1">IFERROR(__xludf.DUMMYFUNCTION("""COMPUTED_VALUE"""),"| 1 L CPT % | 3 P CPT @ | 5 P JAVA @ | 2 L PHP-CGM % ")</f>
        <v xml:space="preserve">| 1 L CPT % | 3 P CPT @ | 5 P JAVA @ | 2 L PHP-CGM % </v>
      </c>
      <c r="AF225" s="4" t="str">
        <f ca="1">IFERROR(__xludf.DUMMYFUNCTION("""COMPUTED_VALUE"""),"| 1 L NS @ | 2 L CPT % | 3 P PHP-CGM @ | 5 P NS @ ")</f>
        <v xml:space="preserve">| 1 L NS @ | 2 L CPT % | 3 P PHP-CGM @ | 5 P NS @ </v>
      </c>
      <c r="AG225" s="4" t="str">
        <f ca="1">IFERROR(__xludf.DUMMYFUNCTION("""COMPUTED_VALUE"""),"| 1 L CPT % | 2 L JAVA % | 3 P Python @ ")</f>
        <v xml:space="preserve">| 1 L CPT % | 2 L JAVA % | 3 P Python @ </v>
      </c>
      <c r="AH225" s="4" t="str">
        <f ca="1">IFERROR(__xludf.DUMMYFUNCTION("""COMPUTED_VALUE"""),"| 2 L JAVA % | 1 L NS @ | 3 P PHP-CGM @ | 5 P NS @ ")</f>
        <v xml:space="preserve">| 2 L JAVA % | 1 L NS @ | 3 P PHP-CGM @ | 5 P NS @ </v>
      </c>
      <c r="AI225" s="4" t="str">
        <f ca="1">IFERROR(__xludf.DUMMYFUNCTION("""COMPUTED_VALUE"""),"| 1 L CPT % | 2 L JAVA % | 3 P Python @ ")</f>
        <v xml:space="preserve">| 1 L CPT % | 2 L JAVA % | 3 P Python @ </v>
      </c>
      <c r="AJ225" s="4" t="str">
        <f ca="1">IFERROR(__xludf.DUMMYFUNCTION("""COMPUTED_VALUE"""),"| 1 L NS % | 2 L PHP-CGM % | 3 P JAVA @ | 5 L JAVA % | 6 L NS % ")</f>
        <v xml:space="preserve">| 1 L NS % | 2 L PHP-CGM % | 3 P JAVA @ | 5 L JAVA % | 6 L NS % </v>
      </c>
      <c r="AK225" s="4" t="str">
        <f ca="1">IFERROR(__xludf.DUMMYFUNCTION("""COMPUTED_VALUE"""),"| 1 L CPT % | 3 P PRO @ | 2 L PHP-CGM % | 5 P Python @ ")</f>
        <v xml:space="preserve">| 1 L CPT % | 3 P PRO @ | 2 L PHP-CGM % | 5 P Python @ </v>
      </c>
      <c r="AL225" s="4" t="str">
        <f ca="1">IFERROR(__xludf.DUMMYFUNCTION("""COMPUTED_VALUE"""),"| 1 L CPT % | 2 L PHP-CGM % | 3 P CPT @ | 5 P JAVA @ ")</f>
        <v xml:space="preserve">| 1 L CPT % | 2 L PHP-CGM % | 3 P CPT @ | 5 P JAVA @ </v>
      </c>
      <c r="AM225" s="4" t="str">
        <f ca="1">IFERROR(__xludf.DUMMYFUNCTION("""COMPUTED_VALUE"""),"| 2 L JAVA % | 3 P PHP-CGM @ | 1 L NS % | 5 P NS @ ")</f>
        <v xml:space="preserve">| 2 L JAVA % | 3 P PHP-CGM @ | 1 L NS % | 5 P NS @ </v>
      </c>
      <c r="AN225" s="4" t="str">
        <f ca="1">IFERROR(__xludf.DUMMYFUNCTION("""COMPUTED_VALUE"""),"| 1 L CPT % | 2 L JAVA % | 3 P Python @ | 5 L INE @ ")</f>
        <v xml:space="preserve">| 1 L CPT % | 2 L JAVA % | 3 P Python @ | 5 L INE @ </v>
      </c>
      <c r="AO225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P225" s="4" t="str">
        <f ca="1">IFERROR(__xludf.DUMMYFUNCTION("""COMPUTED_VALUE"""),"| 1 L CPT % | 2 L PHP-CGM % | 3 P PRO @ | 5 P Python @ ")</f>
        <v xml:space="preserve">| 1 L CPT % | 2 L PHP-CGM % | 3 P PRO @ | 5 P Python @ </v>
      </c>
      <c r="AQ225" s="4" t="str">
        <f ca="1">IFERROR(__xludf.DUMMYFUNCTION("""COMPUTED_VALUE"""),"| 2 L PHP-CGM % | 3 P CPT @ | 1 L NS % | 5 P JAVA @ ")</f>
        <v xml:space="preserve">| 2 L PHP-CGM % | 3 P CPT @ | 1 L NS % | 5 P JAVA @ </v>
      </c>
      <c r="AR225" s="4" t="str">
        <f ca="1">IFERROR(__xludf.DUMMYFUNCTION("""COMPUTED_VALUE"""),"| 1 L CPT @ | 2 L JAVA @ | 3 P PHP-CGM @ | 5 P NS @ ")</f>
        <v xml:space="preserve">| 1 L CPT @ | 2 L JAVA @ | 3 P PHP-CGM @ | 5 P NS @ </v>
      </c>
      <c r="AS225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AT225" s="4" t="str">
        <f ca="1">IFERROR(__xludf.DUMMYFUNCTION("""COMPUTED_VALUE"""),"| 1 L CPT % | 2 L PHP-CGM % | 3 P PRO @ | 5 P Python @ ")</f>
        <v xml:space="preserve">| 1 L CPT % | 2 L PHP-CGM % | 3 P PRO @ | 5 P Python @ </v>
      </c>
      <c r="AU225" s="4" t="str">
        <f ca="1">IFERROR(__xludf.DUMMYFUNCTION("""COMPUTED_VALUE"""),"| 1 L NS % | 2 L PHP-CGM % | 3 P CPT @ | 5 P JAVA @ ")</f>
        <v xml:space="preserve">| 1 L NS % | 2 L PHP-CGM % | 3 P CPT @ | 5 P JAVA @ </v>
      </c>
      <c r="AV225" s="4" t="str">
        <f ca="1">IFERROR(__xludf.DUMMYFUNCTION("""COMPUTED_VALUE"""),"| 1 L CPT % | 2 L JAVA % | 3 P PHP-CGM @ | 5 P NS @ ")</f>
        <v xml:space="preserve">| 1 L CPT % | 2 L JAVA % | 3 P PHP-CGM @ | 5 P NS @ </v>
      </c>
      <c r="AW225" s="4" t="str">
        <f ca="1">IFERROR(__xludf.DUMMYFUNCTION("""COMPUTED_VALUE"""),"| 1 L CPT % | 2 L JAVA % | 3 P Python @ | 5 L INE @ | 6 L INE @ ")</f>
        <v xml:space="preserve">| 1 L CPT % | 2 L JAVA % | 3 P Python @ | 5 L INE @ | 6 L INE @ </v>
      </c>
      <c r="AX225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Y225" s="4" t="str">
        <f ca="1">IFERROR(__xludf.DUMMYFUNCTION("""COMPUTED_VALUE"""),"| 1 L CPT @ | 2 L PHP-CGM @ | 3 P PRO @ | 5 P Python @ ")</f>
        <v xml:space="preserve">| 1 L CPT @ | 2 L PHP-CGM @ | 3 P PRO @ | 5 P Python @ </v>
      </c>
      <c r="AZ225" s="4" t="str">
        <f ca="1">IFERROR(__xludf.DUMMYFUNCTION("""COMPUTED_VALUE"""),"| 1 L CPT % | 2 L JAVA % | 3 P PHP-CGM @ | 5 P NS @ ")</f>
        <v xml:space="preserve">| 1 L CPT % | 2 L JAVA % | 3 P PHP-CGM @ | 5 P NS @ </v>
      </c>
      <c r="BA225" s="4" t="str">
        <f ca="1">IFERROR(__xludf.DUMMYFUNCTION("""COMPUTED_VALUE"""),"| 1 L CPT % | 2 L JAVA % | 3 P Python @ | 5 L INE @ ")</f>
        <v xml:space="preserve">| 1 L CPT % | 2 L JAVA % | 3 P Python @ | 5 L INE @ </v>
      </c>
      <c r="BB225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C225" s="4" t="str">
        <f ca="1">IFERROR(__xludf.DUMMYFUNCTION("""COMPUTED_VALUE"""),"| 1 L CPT % | 2 L PHP-CGM % | 3 P PRO @ | 5 P Python @ ")</f>
        <v xml:space="preserve">| 1 L CPT % | 2 L PHP-CGM % | 3 P PRO @ | 5 P Python @ </v>
      </c>
      <c r="BD225" s="4" t="str">
        <f ca="1">IFERROR(__xludf.DUMMYFUNCTION("""COMPUTED_VALUE"""),"| 1 L NS % | 2 L PHP-CGM % | 3 P CPT @ | 5 P JAVA @ ")</f>
        <v xml:space="preserve">| 1 L NS % | 2 L PHP-CGM % | 3 P CPT @ | 5 P JAVA @ </v>
      </c>
      <c r="BE225" s="4" t="str">
        <f ca="1">IFERROR(__xludf.DUMMYFUNCTION("""COMPUTED_VALUE"""),"| 1 L CPT @ | 2 L JAVA @ | 3 P PHP-CGM @ | 5 P NS @ ")</f>
        <v xml:space="preserve">| 1 L CPT @ | 2 L JAVA @ | 3 P PHP-CGM @ | 5 P NS @ </v>
      </c>
      <c r="BF225" s="4" t="str">
        <f ca="1">IFERROR(__xludf.DUMMYFUNCTION("""COMPUTED_VALUE"""),"| 1 L CPT @ | 2 L JAVA @ | 3 P Python @ ")</f>
        <v xml:space="preserve">| 1 L CPT @ | 2 L JAVA @ | 3 P Python @ </v>
      </c>
      <c r="BG225" s="4" t="str">
        <f ca="1">IFERROR(__xludf.DUMMYFUNCTION("""COMPUTED_VALUE"""),"| 2 L PHP-CGM % | 1 L CPT % | 3 P PRO @ | 5 P Python @ ")</f>
        <v xml:space="preserve">| 2 L PHP-CGM % | 1 L CPT % | 3 P PRO @ | 5 P Python @ </v>
      </c>
      <c r="BH225" s="4" t="str">
        <f ca="1">IFERROR(__xludf.DUMMYFUNCTION("""COMPUTED_VALUE"""),"| 1 L NS % | 2 L PHP-CGM % | 3 P CPT @ | 5 P JAVA @ ")</f>
        <v xml:space="preserve">| 1 L NS % | 2 L PHP-CGM % | 3 P CPT @ | 5 P JAVA @ </v>
      </c>
      <c r="BI225" s="4" t="str">
        <f ca="1">IFERROR(__xludf.DUMMYFUNCTION("""COMPUTED_VALUE"""),"| 1 L CPT @ | 2 L JAVA @ | 3 P PHP-CGM @ | 5 P NS @ ")</f>
        <v xml:space="preserve">| 1 L CPT @ | 2 L JAVA @ | 3 P PHP-CGM @ | 5 P NS @ </v>
      </c>
      <c r="BJ225" s="4" t="str">
        <f ca="1">IFERROR(__xludf.DUMMYFUNCTION("""COMPUTED_VALUE"""),"| 1 L CPT % | 2 L JAVA % | 3 P Python @ | 5 L INE @ ")</f>
        <v xml:space="preserve">| 1 L CPT % | 2 L JAVA % | 3 P Python @ | 5 L INE @ </v>
      </c>
      <c r="BK225" s="4" t="str">
        <f ca="1">IFERROR(__xludf.DUMMYFUNCTION("""COMPUTED_VALUE"""),"| 1 L NS % | 2 L PHP-CGM % | 5 L NS @ | 6 L JAVA @ ")</f>
        <v xml:space="preserve">| 1 L NS % | 2 L PHP-CGM % | 5 L NS @ | 6 L JAVA @ </v>
      </c>
      <c r="BL225" s="4" t="str">
        <f ca="1">IFERROR(__xludf.DUMMYFUNCTION("""COMPUTED_VALUE"""),"| 1 L CPT % | 2 L PHP-CGM % | 3 P PRO @ ")</f>
        <v xml:space="preserve">| 1 L CPT % | 2 L PHP-CGM % | 3 P PRO @ </v>
      </c>
      <c r="BM225" s="4" t="str">
        <f ca="1">IFERROR(__xludf.DUMMYFUNCTION("""COMPUTED_VALUE"""),"| 1 L NS % | 2 L PHP-CGM % | 3 P CPT @ | 5 P JAVA @ ")</f>
        <v xml:space="preserve">| 1 L NS % | 2 L PHP-CGM % | 3 P CPT @ | 5 P JAVA @ </v>
      </c>
      <c r="BN225" s="4" t="str">
        <f ca="1">IFERROR(__xludf.DUMMYFUNCTION("""COMPUTED_VALUE"""),"| 2 L JAVA @ | 1 L CPT @ | 3 P PHP-CGM @ | 5 P NS @ ")</f>
        <v xml:space="preserve">| 2 L JAVA @ | 1 L CPT @ | 3 P PHP-CGM @ | 5 P NS @ </v>
      </c>
      <c r="BO225" s="4" t="str">
        <f ca="1">IFERROR(__xludf.DUMMYFUNCTION("""COMPUTED_VALUE"""),"| 2 L JAVA @ | 1 L CPT @ | 3 P Python @ | 5 L INE @ ")</f>
        <v xml:space="preserve">| 2 L JAVA @ | 1 L CPT @ | 3 P Python @ | 5 L INE @ </v>
      </c>
      <c r="BP225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25" s="4"/>
      <c r="BR225" s="4"/>
      <c r="BS225" s="4"/>
      <c r="BT225" s="4" t="str">
        <f ca="1">IFERROR(__xludf.DUMMYFUNCTION("""COMPUTED_VALUE"""),"| 1 L NS @ | 2 L PHP-CGM @ | 3 P JAVA @ ")</f>
        <v xml:space="preserve">| 1 L NS @ | 2 L PHP-CGM @ | 3 P JAVA @ </v>
      </c>
      <c r="BU225" s="4" t="str">
        <f ca="1">IFERROR(__xludf.DUMMYFUNCTION("""COMPUTED_VALUE"""),"| 1 L CPT @ ")</f>
        <v xml:space="preserve">| 1 L CPT @ </v>
      </c>
      <c r="BV225" s="4" t="str">
        <f ca="1">IFERROR(__xludf.DUMMYFUNCTION("""COMPUTED_VALUE"""),"| 1 L NS @ | 2 L PHP-CGM @ | 3 P JAVA @ | 6 L JAVA @ ")</f>
        <v xml:space="preserve">| 1 L NS @ | 2 L PHP-CGM @ | 3 P JAVA @ | 6 L JAVA @ </v>
      </c>
      <c r="BW225" s="4" t="str">
        <f ca="1">IFERROR(__xludf.DUMMYFUNCTION("""COMPUTED_VALUE"""),"| 1 L CPT @ | 2 L PHP-CGM @ | 3 P PRO @ ")</f>
        <v xml:space="preserve">| 1 L CPT @ | 2 L PHP-CGM @ | 3 P PRO @ </v>
      </c>
      <c r="BX225" s="4" t="str">
        <f ca="1">IFERROR(__xludf.DUMMYFUNCTION("""COMPUTED_VALUE"""),"| 1 L NS @ | 2 L PHP-CGM @ | 3 P CPT @ | 5 P JAVA @ ")</f>
        <v xml:space="preserve">| 1 L NS @ | 2 L PHP-CGM @ | 3 P CPT @ | 5 P JAVA @ </v>
      </c>
      <c r="BY225" s="4" t="str">
        <f ca="1">IFERROR(__xludf.DUMMYFUNCTION("""COMPUTED_VALUE"""),"| 1 L CPT @ | 2 L JAVA @ | 3 P PHP-CGM @ | 5 P NS @ ")</f>
        <v xml:space="preserve">| 1 L CPT @ | 2 L JAVA @ | 3 P PHP-CGM @ | 5 P NS @ </v>
      </c>
      <c r="BZ225" s="4" t="str">
        <f ca="1">IFERROR(__xludf.DUMMYFUNCTION("""COMPUTED_VALUE"""),"| 1 L CPT @ | 2 L JAVA @ | 5 L INE @ ")</f>
        <v xml:space="preserve">| 1 L CPT @ | 2 L JAVA @ | 5 L INE @ </v>
      </c>
      <c r="CA225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CB225" s="4" t="str">
        <f ca="1">IFERROR(__xludf.DUMMYFUNCTION("""COMPUTED_VALUE"""),"| 2 L PHP-CGM % | 3 P PRO @ | 5 P Python @ | 1 L CPT % ")</f>
        <v xml:space="preserve">| 2 L PHP-CGM % | 3 P PRO @ | 5 P Python @ | 1 L CPT % </v>
      </c>
      <c r="CC225" s="4" t="str">
        <f ca="1">IFERROR(__xludf.DUMMYFUNCTION("""COMPUTED_VALUE"""),"| 1 L NS % | 2 L PHP-CGM % | 3 P CPT @ | 5 P JAVA @ ")</f>
        <v xml:space="preserve">| 1 L NS % | 2 L PHP-CGM % | 3 P CPT @ | 5 P JAVA @ </v>
      </c>
      <c r="CD225" s="4" t="str">
        <f ca="1">IFERROR(__xludf.DUMMYFUNCTION("""COMPUTED_VALUE"""),"| 1 L CPT @ | 2 L JAVA @ | 3 P PHP-CGM @ | 5 P NS @ ")</f>
        <v xml:space="preserve">| 1 L CPT @ | 2 L JAVA @ | 3 P PHP-CGM @ | 5 P NS @ </v>
      </c>
      <c r="CE225" s="4" t="str">
        <f ca="1">IFERROR(__xludf.DUMMYFUNCTION("""COMPUTED_VALUE"""),"| 1 L CPT @ | 2 L JAVA @ | 3 P Python @ | 5 L INE @ ")</f>
        <v xml:space="preserve">| 1 L CPT @ | 2 L JAVA @ | 3 P Python @ | 5 L INE @ </v>
      </c>
      <c r="CF225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25" s="4" t="str">
        <f ca="1">IFERROR(__xludf.DUMMYFUNCTION("""COMPUTED_VALUE"""),"| 1 L CPT @ | 2 L PHP-CGM @ | 5 P Python @ ")</f>
        <v xml:space="preserve">| 1 L CPT @ | 2 L PHP-CGM @ | 5 P Python @ </v>
      </c>
      <c r="CH225" s="4" t="str">
        <f ca="1">IFERROR(__xludf.DUMMYFUNCTION("""COMPUTED_VALUE"""),"| 1 L NS @ | 2 L PHP-CGM @ | 3 P CPT @ ")</f>
        <v xml:space="preserve">| 1 L NS @ | 2 L PHP-CGM @ | 3 P CPT @ </v>
      </c>
      <c r="CI225" s="4" t="str">
        <f ca="1">IFERROR(__xludf.DUMMYFUNCTION("""COMPUTED_VALUE"""),"| 1 L CPT @ | 2 L JAVA @ | 3 P PHP-CGM @ | 5 P NS @ ")</f>
        <v xml:space="preserve">| 1 L CPT @ | 2 L JAVA @ | 3 P PHP-CGM @ | 5 P NS @ </v>
      </c>
      <c r="CJ225" s="4" t="str">
        <f ca="1">IFERROR(__xludf.DUMMYFUNCTION("""COMPUTED_VALUE"""),"| 1 L CPT @ ")</f>
        <v xml:space="preserve">| 1 L CPT @ </v>
      </c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</row>
    <row r="226" spans="1:102" ht="12.5" x14ac:dyDescent="0.25">
      <c r="A226" s="3">
        <f ca="1">IFERROR(__xludf.DUMMYFUNCTION("""COMPUTED_VALUE"""),3)</f>
        <v>3</v>
      </c>
      <c r="B226" s="3" t="str">
        <f ca="1">IFERROR(__xludf.DUMMYFUNCTION("""COMPUTED_VALUE"""),"C")</f>
        <v>C</v>
      </c>
      <c r="C226" s="32" t="str">
        <f ca="1">IFERROR(__xludf.DUMMYFUNCTION("""COMPUTED_VALUE"""),"23171341134")</f>
        <v>23171341134</v>
      </c>
      <c r="D226" s="4" t="str">
        <f ca="1">IFERROR(__xludf.DUMMYFUNCTION("""COMPUTED_VALUE"""),"PATEL URVAKUMAR DIPAKBHAI")</f>
        <v>PATEL URVAKUMAR DIPAKBHAI</v>
      </c>
      <c r="E226" s="3" t="str">
        <f ca="1">IFERROR(__xludf.DUMMYFUNCTION("""COMPUTED_VALUE"""),"PKN/PAP-Mor")</f>
        <v>PKN/PAP-Mor</v>
      </c>
      <c r="F226" s="3">
        <f ca="1">IFERROR(__xludf.DUMMYFUNCTION("""COMPUTED_VALUE"""),8000789655)</f>
        <v>8000789655</v>
      </c>
      <c r="G226" s="3">
        <f ca="1">IFERROR(__xludf.DUMMYFUNCTION("""COMPUTED_VALUE"""),9426234949)</f>
        <v>9426234949</v>
      </c>
      <c r="H226" s="33">
        <f ca="1">IFERROR(__xludf.DUMMYFUNCTION("""COMPUTED_VALUE"""),0.382716049382716)</f>
        <v>0.38271604938271597</v>
      </c>
      <c r="I226" s="25">
        <f ca="1">IFERROR(__xludf.DUMMYFUNCTION("""COMPUTED_VALUE"""),0.631578947368421)</f>
        <v>0.63157894736842102</v>
      </c>
      <c r="J226" s="25">
        <f ca="1">IFERROR(__xludf.DUMMYFUNCTION("""COMPUTED_VALUE"""),0)</f>
        <v>0</v>
      </c>
      <c r="K226" s="25">
        <f ca="1">IFERROR(__xludf.DUMMYFUNCTION("""COMPUTED_VALUE"""),0.472222222222222)</f>
        <v>0.47222222222222199</v>
      </c>
      <c r="L226" s="25">
        <f ca="1">IFERROR(__xludf.DUMMYFUNCTION("""COMPUTED_VALUE"""),0.23076923076923)</f>
        <v>0.23076923076923</v>
      </c>
      <c r="M226" s="25">
        <f ca="1">IFERROR(__xludf.DUMMYFUNCTION("""COMPUTED_VALUE"""),0.638888888888888)</f>
        <v>0.63888888888888795</v>
      </c>
      <c r="N226" s="25">
        <f ca="1">IFERROR(__xludf.DUMMYFUNCTION("""COMPUTED_VALUE"""),0.153846153846153)</f>
        <v>0.15384615384615299</v>
      </c>
      <c r="O226" s="25">
        <f ca="1">IFERROR(__xludf.DUMMYFUNCTION("""COMPUTED_VALUE"""),0.514285714285714)</f>
        <v>0.51428571428571401</v>
      </c>
      <c r="P226" s="25">
        <f ca="1">IFERROR(__xludf.DUMMYFUNCTION("""COMPUTED_VALUE"""),0.136363636363636)</f>
        <v>0.13636363636363599</v>
      </c>
      <c r="Q226" s="25">
        <f ca="1">IFERROR(__xludf.DUMMYFUNCTION("""COMPUTED_VALUE"""),0)</f>
        <v>0</v>
      </c>
      <c r="R226" s="25">
        <f ca="1">IFERROR(__xludf.DUMMYFUNCTION("""COMPUTED_VALUE"""),0.05)</f>
        <v>0.05</v>
      </c>
      <c r="S226" s="25">
        <f ca="1">IFERROR(__xludf.DUMMYFUNCTION("""COMPUTED_VALUE"""),0)</f>
        <v>0</v>
      </c>
      <c r="T226" s="25">
        <f ca="1">IFERROR(__xludf.DUMMYFUNCTION("""COMPUTED_VALUE"""),0.0909090909090909)</f>
        <v>9.0909090909090898E-2</v>
      </c>
      <c r="U226" s="25">
        <f ca="1">IFERROR(__xludf.DUMMYFUNCTION("""COMPUTED_VALUE"""),0.125)</f>
        <v>0.125</v>
      </c>
      <c r="V226" s="25">
        <f ca="1">IFERROR(__xludf.DUMMYFUNCTION("""COMPUTED_VALUE"""),0)</f>
        <v>0</v>
      </c>
      <c r="W226" s="4"/>
      <c r="X226" s="4" t="str">
        <f ca="1">IFERROR(__xludf.DUMMYFUNCTION("""COMPUTED_VALUE"""),"| 1 L NS % | 2 L PHP-CGM % | 3 P JAVA % | 5 L JAVA @ | 6 L NS @ ")</f>
        <v xml:space="preserve">| 1 L NS % | 2 L PHP-CGM % | 3 P JAVA % | 5 L JAVA @ | 6 L NS @ </v>
      </c>
      <c r="Y226" s="4" t="str">
        <f ca="1">IFERROR(__xludf.DUMMYFUNCTION("""COMPUTED_VALUE"""),"| 1 L CPT % | 5 L PHP-CGM % | 3 P PRO @ | 5 P Python @ ")</f>
        <v xml:space="preserve">| 1 L CPT % | 5 L PHP-CGM % | 3 P PRO @ | 5 P Python @ </v>
      </c>
      <c r="Z226" s="4" t="str">
        <f ca="1">IFERROR(__xludf.DUMMYFUNCTION("""COMPUTED_VALUE"""),"| 1 L CPT % | 2 L PHP-CGM % | 3 P CPT @ | 5 P JAVA @ ")</f>
        <v xml:space="preserve">| 1 L CPT % | 2 L PHP-CGM % | 3 P CPT @ | 5 P JAVA @ </v>
      </c>
      <c r="AA226" s="4" t="str">
        <f ca="1">IFERROR(__xludf.DUMMYFUNCTION("""COMPUTED_VALUE"""),"| 1 L NS % | 2 L JAVA % | 3 P PHP-CGM @ | 5 P NS % ")</f>
        <v xml:space="preserve">| 1 L NS % | 2 L JAVA % | 3 P PHP-CGM @ | 5 P NS % </v>
      </c>
      <c r="AB226" s="4" t="str">
        <f ca="1">IFERROR(__xludf.DUMMYFUNCTION("""COMPUTED_VALUE"""),"| 1 L CPT % | 2 L JAVA % | 3 P Python @ ")</f>
        <v xml:space="preserve">| 1 L CPT % | 2 L JAVA % | 3 P Python @ </v>
      </c>
      <c r="AC226" s="4" t="str">
        <f ca="1">IFERROR(__xludf.DUMMYFUNCTION("""COMPUTED_VALUE"""),"| 1 L NS % | 2 L PHP-CGM % | 3 P JAVA @ | 5 L JAVA @ | 6 L NS @ ")</f>
        <v xml:space="preserve">| 1 L NS % | 2 L PHP-CGM % | 3 P JAVA @ | 5 L JAVA @ | 6 L NS @ </v>
      </c>
      <c r="AD226" s="4" t="str">
        <f ca="1">IFERROR(__xludf.DUMMYFUNCTION("""COMPUTED_VALUE"""),"| 1 L CPT % | 2 L PHP-CGM % | 3 P PRO @ | 5 P Python % ")</f>
        <v xml:space="preserve">| 1 L CPT % | 2 L PHP-CGM % | 3 P PRO @ | 5 P Python % </v>
      </c>
      <c r="AE226" s="4" t="str">
        <f ca="1">IFERROR(__xludf.DUMMYFUNCTION("""COMPUTED_VALUE"""),"| 1 L CPT % | 3 P CPT @ | 5 P JAVA @ | 2 L PHP-CGM % ")</f>
        <v xml:space="preserve">| 1 L CPT % | 3 P CPT @ | 5 P JAVA @ | 2 L PHP-CGM % </v>
      </c>
      <c r="AF226" s="4" t="str">
        <f ca="1">IFERROR(__xludf.DUMMYFUNCTION("""COMPUTED_VALUE"""),"| 1 L NS % | 2 L CPT % | 3 P PHP-CGM @ | 5 P NS @ ")</f>
        <v xml:space="preserve">| 1 L NS % | 2 L CPT % | 3 P PHP-CGM @ | 5 P NS @ </v>
      </c>
      <c r="AG226" s="4" t="str">
        <f ca="1">IFERROR(__xludf.DUMMYFUNCTION("""COMPUTED_VALUE"""),"| 1 L CPT % | 2 L JAVA % | 3 P Python @ ")</f>
        <v xml:space="preserve">| 1 L CPT % | 2 L JAVA % | 3 P Python @ </v>
      </c>
      <c r="AH226" s="4" t="str">
        <f ca="1">IFERROR(__xludf.DUMMYFUNCTION("""COMPUTED_VALUE"""),"| 2 L JAVA % | 1 L NS % | 3 P PHP-CGM @ | 5 P NS @ ")</f>
        <v xml:space="preserve">| 2 L JAVA % | 1 L NS % | 3 P PHP-CGM @ | 5 P NS @ </v>
      </c>
      <c r="AI226" s="4" t="str">
        <f ca="1">IFERROR(__xludf.DUMMYFUNCTION("""COMPUTED_VALUE"""),"| 1 L CPT % | 2 L JAVA % | 3 P Python @ ")</f>
        <v xml:space="preserve">| 1 L CPT % | 2 L JAVA % | 3 P Python @ </v>
      </c>
      <c r="AJ226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26" s="4" t="str">
        <f ca="1">IFERROR(__xludf.DUMMYFUNCTION("""COMPUTED_VALUE"""),"| 1 L CPT % | 3 P PRO @ | 2 L PHP-CGM % | 5 P Python @ ")</f>
        <v xml:space="preserve">| 1 L CPT % | 3 P PRO @ | 2 L PHP-CGM % | 5 P Python @ </v>
      </c>
      <c r="AL226" s="4" t="str">
        <f ca="1">IFERROR(__xludf.DUMMYFUNCTION("""COMPUTED_VALUE"""),"| 1 L CPT % | 2 L PHP-CGM % | 3 P CPT @ | 5 P JAVA @ ")</f>
        <v xml:space="preserve">| 1 L CPT % | 2 L PHP-CGM % | 3 P CPT @ | 5 P JAVA @ </v>
      </c>
      <c r="AM226" s="4" t="str">
        <f ca="1">IFERROR(__xludf.DUMMYFUNCTION("""COMPUTED_VALUE"""),"| 2 L JAVA % | 3 P PHP-CGM @ | 1 L NS % | 5 P NS @ ")</f>
        <v xml:space="preserve">| 2 L JAVA % | 3 P PHP-CGM @ | 1 L NS % | 5 P NS @ </v>
      </c>
      <c r="AN226" s="4" t="str">
        <f ca="1">IFERROR(__xludf.DUMMYFUNCTION("""COMPUTED_VALUE"""),"| 1 L CPT % | 2 L JAVA % | 3 P Python @ | 5 L INE @ ")</f>
        <v xml:space="preserve">| 1 L CPT % | 2 L JAVA % | 3 P Python @ | 5 L INE @ </v>
      </c>
      <c r="AO226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P226" s="4" t="str">
        <f ca="1">IFERROR(__xludf.DUMMYFUNCTION("""COMPUTED_VALUE"""),"| 1 L CPT % | 2 L PHP-CGM % | 3 P PRO @ | 5 P Python @ ")</f>
        <v xml:space="preserve">| 1 L CPT % | 2 L PHP-CGM % | 3 P PRO @ | 5 P Python @ </v>
      </c>
      <c r="AQ226" s="4" t="str">
        <f ca="1">IFERROR(__xludf.DUMMYFUNCTION("""COMPUTED_VALUE"""),"| 2 L PHP-CGM @ | 3 P CPT @ | 1 L NS @ | 5 P JAVA @ ")</f>
        <v xml:space="preserve">| 2 L PHP-CGM @ | 3 P CPT @ | 1 L NS @ | 5 P JAVA @ </v>
      </c>
      <c r="AR226" s="4" t="str">
        <f ca="1">IFERROR(__xludf.DUMMYFUNCTION("""COMPUTED_VALUE"""),"| 1 L CPT % | 2 L JAVA % | 3 P PHP-CGM @ | 5 P NS @ ")</f>
        <v xml:space="preserve">| 1 L CPT % | 2 L JAVA % | 3 P PHP-CGM @ | 5 P NS @ </v>
      </c>
      <c r="AS226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AT226" s="4" t="str">
        <f ca="1">IFERROR(__xludf.DUMMYFUNCTION("""COMPUTED_VALUE"""),"| 1 L CPT % | 2 L PHP-CGM % | 3 P PRO % | 5 P Python @ ")</f>
        <v xml:space="preserve">| 1 L CPT % | 2 L PHP-CGM % | 3 P PRO % | 5 P Python @ </v>
      </c>
      <c r="AU226" s="4" t="str">
        <f ca="1">IFERROR(__xludf.DUMMYFUNCTION("""COMPUTED_VALUE"""),"| 1 L NS % | 2 L PHP-CGM % | 3 P CPT @ | 5 P JAVA @ ")</f>
        <v xml:space="preserve">| 1 L NS % | 2 L PHP-CGM % | 3 P CPT @ | 5 P JAVA @ </v>
      </c>
      <c r="AV226" s="4" t="str">
        <f ca="1">IFERROR(__xludf.DUMMYFUNCTION("""COMPUTED_VALUE"""),"| 1 L CPT % | 2 L JAVA % | 3 P PHP-CGM % | 5 P NS % ")</f>
        <v xml:space="preserve">| 1 L CPT % | 2 L JAVA % | 3 P PHP-CGM % | 5 P NS % </v>
      </c>
      <c r="AW226" s="4" t="str">
        <f ca="1">IFERROR(__xludf.DUMMYFUNCTION("""COMPUTED_VALUE"""),"| 1 L CPT % | 2 L JAVA % | 3 P Python @ | 5 L INE @ | 6 L INE @ ")</f>
        <v xml:space="preserve">| 1 L CPT % | 2 L JAVA % | 3 P Python @ | 5 L INE @ | 6 L INE @ </v>
      </c>
      <c r="AX226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26" s="4" t="str">
        <f ca="1">IFERROR(__xludf.DUMMYFUNCTION("""COMPUTED_VALUE"""),"| 1 L CPT % | 2 L PHP-CGM % | 3 P PRO @ | 5 P Python @ ")</f>
        <v xml:space="preserve">| 1 L CPT % | 2 L PHP-CGM % | 3 P PRO @ | 5 P Python @ </v>
      </c>
      <c r="AZ226" s="4" t="str">
        <f ca="1">IFERROR(__xludf.DUMMYFUNCTION("""COMPUTED_VALUE"""),"| 1 L CPT @ | 2 L JAVA % | 3 P PHP-CGM % | 5 P NS % ")</f>
        <v xml:space="preserve">| 1 L CPT @ | 2 L JAVA % | 3 P PHP-CGM % | 5 P NS % </v>
      </c>
      <c r="BA226" s="4" t="str">
        <f ca="1">IFERROR(__xludf.DUMMYFUNCTION("""COMPUTED_VALUE"""),"| 1 L CPT % | 2 L JAVA % | 3 P Python @ | 5 L INE @ ")</f>
        <v xml:space="preserve">| 1 L CPT % | 2 L JAVA % | 3 P Python @ | 5 L INE @ </v>
      </c>
      <c r="BB226" s="4" t="str">
        <f ca="1">IFERROR(__xludf.DUMMYFUNCTION("""COMPUTED_VALUE"""),"| 1 L NS @ | 2 L PHP-CGM % | 3 P JAVA % | 5 L NS % | 6 L JAVA % ")</f>
        <v xml:space="preserve">| 1 L NS @ | 2 L PHP-CGM % | 3 P JAVA % | 5 L NS % | 6 L JAVA % </v>
      </c>
      <c r="BC226" s="4" t="str">
        <f ca="1">IFERROR(__xludf.DUMMYFUNCTION("""COMPUTED_VALUE"""),"| 1 L CPT @ | 2 L PHP-CGM @ | 3 P PRO @ | 5 P Python @ ")</f>
        <v xml:space="preserve">| 1 L CPT @ | 2 L PHP-CGM @ | 3 P PRO @ | 5 P Python @ </v>
      </c>
      <c r="BD226" s="4" t="str">
        <f ca="1">IFERROR(__xludf.DUMMYFUNCTION("""COMPUTED_VALUE"""),"| 1 L NS @ | 2 L PHP-CGM % | 3 P CPT @ | 5 P JAVA @ ")</f>
        <v xml:space="preserve">| 1 L NS @ | 2 L PHP-CGM % | 3 P CPT @ | 5 P JAVA @ </v>
      </c>
      <c r="BE226" s="4" t="str">
        <f ca="1">IFERROR(__xludf.DUMMYFUNCTION("""COMPUTED_VALUE"""),"| 1 L CPT % | 2 L JAVA % | 3 P PHP-CGM @ | 5 P NS @ ")</f>
        <v xml:space="preserve">| 1 L CPT % | 2 L JAVA % | 3 P PHP-CGM @ | 5 P NS @ </v>
      </c>
      <c r="BF226" s="4" t="str">
        <f ca="1">IFERROR(__xludf.DUMMYFUNCTION("""COMPUTED_VALUE"""),"| 1 L CPT @ | 2 L JAVA @ | 3 P Python @ ")</f>
        <v xml:space="preserve">| 1 L CPT @ | 2 L JAVA @ | 3 P Python @ </v>
      </c>
      <c r="BG226" s="4" t="str">
        <f ca="1">IFERROR(__xludf.DUMMYFUNCTION("""COMPUTED_VALUE"""),"| 2 L PHP-CGM % | 1 L CPT % | 3 P PRO @ | 5 P Python @ ")</f>
        <v xml:space="preserve">| 2 L PHP-CGM % | 1 L CPT % | 3 P PRO @ | 5 P Python @ </v>
      </c>
      <c r="BH226" s="4" t="str">
        <f ca="1">IFERROR(__xludf.DUMMYFUNCTION("""COMPUTED_VALUE"""),"| 1 L NS @ | 2 L PHP-CGM @ | 3 P CPT @ | 5 P JAVA @ ")</f>
        <v xml:space="preserve">| 1 L NS @ | 2 L PHP-CGM @ | 3 P CPT @ | 5 P JAVA @ </v>
      </c>
      <c r="BI226" s="4" t="str">
        <f ca="1">IFERROR(__xludf.DUMMYFUNCTION("""COMPUTED_VALUE"""),"| 1 L CPT % | 2 L JAVA % | 3 P PHP-CGM @ | 5 P NS @ ")</f>
        <v xml:space="preserve">| 1 L CPT % | 2 L JAVA % | 3 P PHP-CGM @ | 5 P NS @ </v>
      </c>
      <c r="BJ226" s="4" t="str">
        <f ca="1">IFERROR(__xludf.DUMMYFUNCTION("""COMPUTED_VALUE"""),"| 1 L CPT % | 2 L JAVA % | 3 P Python @ | 5 L INE @ ")</f>
        <v xml:space="preserve">| 1 L CPT % | 2 L JAVA % | 3 P Python @ | 5 L INE @ </v>
      </c>
      <c r="BK226" s="4" t="str">
        <f ca="1">IFERROR(__xludf.DUMMYFUNCTION("""COMPUTED_VALUE"""),"| 1 L NS @ | 2 L PHP-CGM @ | 5 L NS @ | 6 L JAVA @ ")</f>
        <v xml:space="preserve">| 1 L NS @ | 2 L PHP-CGM @ | 5 L NS @ | 6 L JAVA @ </v>
      </c>
      <c r="BL226" s="4" t="str">
        <f ca="1">IFERROR(__xludf.DUMMYFUNCTION("""COMPUTED_VALUE"""),"| 1 L CPT % | 2 L PHP-CGM @ | 3 P PRO @ ")</f>
        <v xml:space="preserve">| 1 L CPT % | 2 L PHP-CGM @ | 3 P PRO @ </v>
      </c>
      <c r="BM226" s="4" t="str">
        <f ca="1">IFERROR(__xludf.DUMMYFUNCTION("""COMPUTED_VALUE"""),"| 1 L NS % | 2 L PHP-CGM @ | 3 P CPT @ | 5 P JAVA @ ")</f>
        <v xml:space="preserve">| 1 L NS % | 2 L PHP-CGM @ | 3 P CPT @ | 5 P JAVA @ </v>
      </c>
      <c r="BN226" s="4" t="str">
        <f ca="1">IFERROR(__xludf.DUMMYFUNCTION("""COMPUTED_VALUE"""),"| 2 L JAVA @ | 1 L CPT @ | 3 P PHP-CGM @ | 5 P NS @ ")</f>
        <v xml:space="preserve">| 2 L JAVA @ | 1 L CPT @ | 3 P PHP-CGM @ | 5 P NS @ </v>
      </c>
      <c r="BO226" s="4" t="str">
        <f ca="1">IFERROR(__xludf.DUMMYFUNCTION("""COMPUTED_VALUE"""),"| 2 L JAVA @ | 1 L CPT @ | 3 P Python @ | 5 L INE @ ")</f>
        <v xml:space="preserve">| 2 L JAVA @ | 1 L CPT @ | 3 P Python @ | 5 L INE @ </v>
      </c>
      <c r="BP226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26" s="4"/>
      <c r="BR226" s="4"/>
      <c r="BS226" s="4"/>
      <c r="BT226" s="4" t="str">
        <f ca="1">IFERROR(__xludf.DUMMYFUNCTION("""COMPUTED_VALUE"""),"| 1 L NS % | 2 L PHP-CGM % | 3 P JAVA @ ")</f>
        <v xml:space="preserve">| 1 L NS % | 2 L PHP-CGM % | 3 P JAVA @ </v>
      </c>
      <c r="BU226" s="4" t="str">
        <f ca="1">IFERROR(__xludf.DUMMYFUNCTION("""COMPUTED_VALUE"""),"| 1 L CPT @ ")</f>
        <v xml:space="preserve">| 1 L CPT @ </v>
      </c>
      <c r="BV226" s="4" t="str">
        <f ca="1">IFERROR(__xludf.DUMMYFUNCTION("""COMPUTED_VALUE"""),"| 1 L NS % | 2 L PHP-CGM % | 3 P JAVA @ | 6 L JAVA @ ")</f>
        <v xml:space="preserve">| 1 L NS % | 2 L PHP-CGM % | 3 P JAVA @ | 6 L JAVA @ </v>
      </c>
      <c r="BW226" s="4" t="str">
        <f ca="1">IFERROR(__xludf.DUMMYFUNCTION("""COMPUTED_VALUE"""),"| 1 L CPT @ | 2 L PHP-CGM @ | 3 P PRO @ ")</f>
        <v xml:space="preserve">| 1 L CPT @ | 2 L PHP-CGM @ | 3 P PRO @ </v>
      </c>
      <c r="BX226" s="4" t="str">
        <f ca="1">IFERROR(__xludf.DUMMYFUNCTION("""COMPUTED_VALUE"""),"| 1 L NS @ | 2 L PHP-CGM @ | 3 P CPT @ | 5 P JAVA @ ")</f>
        <v xml:space="preserve">| 1 L NS @ | 2 L PHP-CGM @ | 3 P CPT @ | 5 P JAVA @ </v>
      </c>
      <c r="BY226" s="4" t="str">
        <f ca="1">IFERROR(__xludf.DUMMYFUNCTION("""COMPUTED_VALUE"""),"| 1 L CPT @ | 2 L JAVA @ | 3 P PHP-CGM @ | 5 P NS @ ")</f>
        <v xml:space="preserve">| 1 L CPT @ | 2 L JAVA @ | 3 P PHP-CGM @ | 5 P NS @ </v>
      </c>
      <c r="BZ226" s="4" t="str">
        <f ca="1">IFERROR(__xludf.DUMMYFUNCTION("""COMPUTED_VALUE"""),"| 1 L CPT @ | 2 L JAVA @ | 5 L INE @ ")</f>
        <v xml:space="preserve">| 1 L CPT @ | 2 L JAVA @ | 5 L INE @ </v>
      </c>
      <c r="CA226" s="4" t="str">
        <f ca="1">IFERROR(__xludf.DUMMYFUNCTION("""COMPUTED_VALUE"""),"| 1 L NS @ | 2 L PHP-CGM % | 3 P JAVA @ | 5 L NS @ | 6 L JAVA @ ")</f>
        <v xml:space="preserve">| 1 L NS @ | 2 L PHP-CGM % | 3 P JAVA @ | 5 L NS @ | 6 L JAVA @ </v>
      </c>
      <c r="CB226" s="4" t="str">
        <f ca="1">IFERROR(__xludf.DUMMYFUNCTION("""COMPUTED_VALUE"""),"| 2 L PHP-CGM % | 3 P PRO @ | 5 P Python @ | 1 L CPT % ")</f>
        <v xml:space="preserve">| 2 L PHP-CGM % | 3 P PRO @ | 5 P Python @ | 1 L CPT % </v>
      </c>
      <c r="CC226" s="4" t="str">
        <f ca="1">IFERROR(__xludf.DUMMYFUNCTION("""COMPUTED_VALUE"""),"| 1 L NS @ | 2 L PHP-CGM @ | 3 P CPT @ | 5 P JAVA @ ")</f>
        <v xml:space="preserve">| 1 L NS @ | 2 L PHP-CGM @ | 3 P CPT @ | 5 P JAVA @ </v>
      </c>
      <c r="CD226" s="4" t="str">
        <f ca="1">IFERROR(__xludf.DUMMYFUNCTION("""COMPUTED_VALUE"""),"| 1 L CPT @ | 2 L JAVA @ | 3 P PHP-CGM @ | 5 P NS @ ")</f>
        <v xml:space="preserve">| 1 L CPT @ | 2 L JAVA @ | 3 P PHP-CGM @ | 5 P NS @ </v>
      </c>
      <c r="CE226" s="4" t="str">
        <f ca="1">IFERROR(__xludf.DUMMYFUNCTION("""COMPUTED_VALUE"""),"| 1 L CPT @ | 2 L JAVA @ | 3 P Python @ | 5 L INE % ")</f>
        <v xml:space="preserve">| 1 L CPT @ | 2 L JAVA @ | 3 P Python @ | 5 L INE % </v>
      </c>
      <c r="CF226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26" s="4" t="str">
        <f ca="1">IFERROR(__xludf.DUMMYFUNCTION("""COMPUTED_VALUE"""),"| 1 L CPT @ | 2 L PHP-CGM @ | 5 P Python @ ")</f>
        <v xml:space="preserve">| 1 L CPT @ | 2 L PHP-CGM @ | 5 P Python @ </v>
      </c>
      <c r="CH226" s="4" t="str">
        <f ca="1">IFERROR(__xludf.DUMMYFUNCTION("""COMPUTED_VALUE"""),"| 1 L NS @ | 2 L PHP-CGM @ | 3 P CPT @ ")</f>
        <v xml:space="preserve">| 1 L NS @ | 2 L PHP-CGM @ | 3 P CPT @ </v>
      </c>
      <c r="CI226" s="4" t="str">
        <f ca="1">IFERROR(__xludf.DUMMYFUNCTION("""COMPUTED_VALUE"""),"| 1 L CPT @ | 2 L JAVA @ | 3 P PHP-CGM @ | 5 P NS @ ")</f>
        <v xml:space="preserve">| 1 L CPT @ | 2 L JAVA @ | 3 P PHP-CGM @ | 5 P NS @ </v>
      </c>
      <c r="CJ226" s="4" t="str">
        <f ca="1">IFERROR(__xludf.DUMMYFUNCTION("""COMPUTED_VALUE"""),"| 1 L CPT @ ")</f>
        <v xml:space="preserve">| 1 L CPT @ </v>
      </c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</row>
    <row r="227" spans="1:102" ht="12.5" x14ac:dyDescent="0.25">
      <c r="A227" s="3">
        <f ca="1">IFERROR(__xludf.DUMMYFUNCTION("""COMPUTED_VALUE"""),3)</f>
        <v>3</v>
      </c>
      <c r="B227" s="3" t="str">
        <f ca="1">IFERROR(__xludf.DUMMYFUNCTION("""COMPUTED_VALUE"""),"C")</f>
        <v>C</v>
      </c>
      <c r="C227" s="32" t="str">
        <f ca="1">IFERROR(__xludf.DUMMYFUNCTION("""COMPUTED_VALUE"""),"23171341135")</f>
        <v>23171341135</v>
      </c>
      <c r="D227" s="4" t="str">
        <f ca="1">IFERROR(__xludf.DUMMYFUNCTION("""COMPUTED_VALUE"""),"PATEL VED SURESHBHAI")</f>
        <v>PATEL VED SURESHBHAI</v>
      </c>
      <c r="E227" s="3" t="str">
        <f ca="1">IFERROR(__xludf.DUMMYFUNCTION("""COMPUTED_VALUE"""),"PKN/PAP-Mor")</f>
        <v>PKN/PAP-Mor</v>
      </c>
      <c r="F227" s="37">
        <f ca="1">IFERROR(__xludf.DUMMYFUNCTION("""COMPUTED_VALUE"""),9408088537)</f>
        <v>9408088537</v>
      </c>
      <c r="G227" s="3">
        <f ca="1">IFERROR(__xludf.DUMMYFUNCTION("""COMPUTED_VALUE"""),9427442538)</f>
        <v>9427442538</v>
      </c>
      <c r="H227" s="33">
        <f ca="1">IFERROR(__xludf.DUMMYFUNCTION("""COMPUTED_VALUE"""),0.674897119341563)</f>
        <v>0.67489711934156305</v>
      </c>
      <c r="I227" s="25">
        <f ca="1">IFERROR(__xludf.DUMMYFUNCTION("""COMPUTED_VALUE"""),0.81578947368421)</f>
        <v>0.81578947368420995</v>
      </c>
      <c r="J227" s="25">
        <f ca="1">IFERROR(__xludf.DUMMYFUNCTION("""COMPUTED_VALUE"""),0.818181818181818)</f>
        <v>0.81818181818181801</v>
      </c>
      <c r="K227" s="25">
        <f ca="1">IFERROR(__xludf.DUMMYFUNCTION("""COMPUTED_VALUE"""),0.666666666666666)</f>
        <v>0.66666666666666596</v>
      </c>
      <c r="L227" s="25">
        <f ca="1">IFERROR(__xludf.DUMMYFUNCTION("""COMPUTED_VALUE"""),0.461538461538461)</f>
        <v>0.46153846153846101</v>
      </c>
      <c r="M227" s="25">
        <f ca="1">IFERROR(__xludf.DUMMYFUNCTION("""COMPUTED_VALUE"""),0.833333333333333)</f>
        <v>0.83333333333333304</v>
      </c>
      <c r="N227" s="25">
        <f ca="1">IFERROR(__xludf.DUMMYFUNCTION("""COMPUTED_VALUE"""),0.692307692307692)</f>
        <v>0.69230769230769196</v>
      </c>
      <c r="O227" s="25">
        <f ca="1">IFERROR(__xludf.DUMMYFUNCTION("""COMPUTED_VALUE"""),0.6)</f>
        <v>0.6</v>
      </c>
      <c r="P227" s="25">
        <f ca="1">IFERROR(__xludf.DUMMYFUNCTION("""COMPUTED_VALUE"""),0.59090909090909)</f>
        <v>0.59090909090909005</v>
      </c>
      <c r="Q227" s="25">
        <f ca="1">IFERROR(__xludf.DUMMYFUNCTION("""COMPUTED_VALUE"""),0)</f>
        <v>0</v>
      </c>
      <c r="R227" s="25">
        <f ca="1">IFERROR(__xludf.DUMMYFUNCTION("""COMPUTED_VALUE"""),0.6)</f>
        <v>0.6</v>
      </c>
      <c r="S227" s="25">
        <f ca="1">IFERROR(__xludf.DUMMYFUNCTION("""COMPUTED_VALUE"""),0)</f>
        <v>0</v>
      </c>
      <c r="T227" s="25">
        <f ca="1">IFERROR(__xludf.DUMMYFUNCTION("""COMPUTED_VALUE"""),0.636363636363636)</f>
        <v>0.63636363636363602</v>
      </c>
      <c r="U227" s="25">
        <f ca="1">IFERROR(__xludf.DUMMYFUNCTION("""COMPUTED_VALUE"""),0.25)</f>
        <v>0.25</v>
      </c>
      <c r="V227" s="25">
        <f ca="1">IFERROR(__xludf.DUMMYFUNCTION("""COMPUTED_VALUE"""),0)</f>
        <v>0</v>
      </c>
      <c r="W227" s="4"/>
      <c r="X227" s="4" t="str">
        <f ca="1">IFERROR(__xludf.DUMMYFUNCTION("""COMPUTED_VALUE"""),"| 1 L NS % | 2 L PHP-CGM % | 3 P JAVA @ | 5 L JAVA % | 6 L NS % ")</f>
        <v xml:space="preserve">| 1 L NS % | 2 L PHP-CGM % | 3 P JAVA @ | 5 L JAVA % | 6 L NS % </v>
      </c>
      <c r="Y227" s="4" t="str">
        <f ca="1">IFERROR(__xludf.DUMMYFUNCTION("""COMPUTED_VALUE"""),"| 1 L CPT @ | 5 L PHP-CGM @ | 3 P PRO @ | 5 P Python @ ")</f>
        <v xml:space="preserve">| 1 L CPT @ | 5 L PHP-CGM @ | 3 P PRO @ | 5 P Python @ </v>
      </c>
      <c r="Z227" s="4" t="str">
        <f ca="1">IFERROR(__xludf.DUMMYFUNCTION("""COMPUTED_VALUE"""),"| 1 L CPT % | 2 L PHP-CGM % | 3 P CPT % | 5 P JAVA % ")</f>
        <v xml:space="preserve">| 1 L CPT % | 2 L PHP-CGM % | 3 P CPT % | 5 P JAVA % </v>
      </c>
      <c r="AA227" s="4" t="str">
        <f ca="1">IFERROR(__xludf.DUMMYFUNCTION("""COMPUTED_VALUE"""),"| 1 L NS % | 2 L JAVA % | 3 P PHP-CGM % | 5 P NS % ")</f>
        <v xml:space="preserve">| 1 L NS % | 2 L JAVA % | 3 P PHP-CGM % | 5 P NS % </v>
      </c>
      <c r="AB227" s="4" t="str">
        <f ca="1">IFERROR(__xludf.DUMMYFUNCTION("""COMPUTED_VALUE"""),"| 1 L CPT % | 2 L JAVA % | 3 P Python % ")</f>
        <v xml:space="preserve">| 1 L CPT % | 2 L JAVA % | 3 P Python % </v>
      </c>
      <c r="AC227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27" s="4" t="str">
        <f ca="1">IFERROR(__xludf.DUMMYFUNCTION("""COMPUTED_VALUE"""),"| 1 L CPT % | 2 L PHP-CGM % | 3 P PRO % | 5 P Python % ")</f>
        <v xml:space="preserve">| 1 L CPT % | 2 L PHP-CGM % | 3 P PRO % | 5 P Python % </v>
      </c>
      <c r="AE227" s="4" t="str">
        <f ca="1">IFERROR(__xludf.DUMMYFUNCTION("""COMPUTED_VALUE"""),"| 1 L CPT % | 3 P CPT % | 5 P JAVA % | 2 L PHP-CGM % ")</f>
        <v xml:space="preserve">| 1 L CPT % | 3 P CPT % | 5 P JAVA % | 2 L PHP-CGM % </v>
      </c>
      <c r="AF227" s="4" t="str">
        <f ca="1">IFERROR(__xludf.DUMMYFUNCTION("""COMPUTED_VALUE"""),"| 1 L NS % | 2 L CPT % | 3 P PHP-CGM % | 5 P NS % ")</f>
        <v xml:space="preserve">| 1 L NS % | 2 L CPT % | 3 P PHP-CGM % | 5 P NS % </v>
      </c>
      <c r="AG227" s="4" t="str">
        <f ca="1">IFERROR(__xludf.DUMMYFUNCTION("""COMPUTED_VALUE"""),"| 1 L CPT % | 2 L JAVA % | 3 P Python % ")</f>
        <v xml:space="preserve">| 1 L CPT % | 2 L JAVA % | 3 P Python % </v>
      </c>
      <c r="AH227" s="4" t="str">
        <f ca="1">IFERROR(__xludf.DUMMYFUNCTION("""COMPUTED_VALUE"""),"| 2 L JAVA % | 1 L NS % | 3 P PHP-CGM % | 5 P NS @ ")</f>
        <v xml:space="preserve">| 2 L JAVA % | 1 L NS % | 3 P PHP-CGM % | 5 P NS @ </v>
      </c>
      <c r="AI227" s="4" t="str">
        <f ca="1">IFERROR(__xludf.DUMMYFUNCTION("""COMPUTED_VALUE"""),"| 1 L CPT % | 2 L JAVA % | 3 P Python @ ")</f>
        <v xml:space="preserve">| 1 L CPT % | 2 L JAVA % | 3 P Python @ </v>
      </c>
      <c r="AJ227" s="4" t="str">
        <f ca="1">IFERROR(__xludf.DUMMYFUNCTION("""COMPUTED_VALUE"""),"| 1 L NS % | 2 L PHP-CGM % | 3 P JAVA % | 5 L JAVA @ | 6 L NS @ ")</f>
        <v xml:space="preserve">| 1 L NS % | 2 L PHP-CGM % | 3 P JAVA % | 5 L JAVA @ | 6 L NS @ </v>
      </c>
      <c r="AK227" s="4" t="str">
        <f ca="1">IFERROR(__xludf.DUMMYFUNCTION("""COMPUTED_VALUE"""),"| 1 L CPT % | 3 P PRO % | 2 L PHP-CGM % | 5 P Python % ")</f>
        <v xml:space="preserve">| 1 L CPT % | 3 P PRO % | 2 L PHP-CGM % | 5 P Python % </v>
      </c>
      <c r="AL227" s="4" t="str">
        <f ca="1">IFERROR(__xludf.DUMMYFUNCTION("""COMPUTED_VALUE"""),"| 1 L CPT % | 2 L PHP-CGM % | 3 P CPT % | 5 P JAVA @ ")</f>
        <v xml:space="preserve">| 1 L CPT % | 2 L PHP-CGM % | 3 P CPT % | 5 P JAVA @ </v>
      </c>
      <c r="AM227" s="4" t="str">
        <f ca="1">IFERROR(__xludf.DUMMYFUNCTION("""COMPUTED_VALUE"""),"| 2 L JAVA % | 3 P PHP-CGM @ | 1 L NS % | 5 P NS % ")</f>
        <v xml:space="preserve">| 2 L JAVA % | 3 P PHP-CGM @ | 1 L NS % | 5 P NS % </v>
      </c>
      <c r="AN227" s="4" t="str">
        <f ca="1">IFERROR(__xludf.DUMMYFUNCTION("""COMPUTED_VALUE"""),"| 1 L CPT % | 2 L JAVA % | 3 P Python % | 5 L INE @ ")</f>
        <v xml:space="preserve">| 1 L CPT % | 2 L JAVA % | 3 P Python % | 5 L INE @ </v>
      </c>
      <c r="AO227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27" s="4" t="str">
        <f ca="1">IFERROR(__xludf.DUMMYFUNCTION("""COMPUTED_VALUE"""),"| 1 L CPT % | 2 L PHP-CGM % | 3 P PRO % | 5 P Python @ ")</f>
        <v xml:space="preserve">| 1 L CPT % | 2 L PHP-CGM % | 3 P PRO % | 5 P Python @ </v>
      </c>
      <c r="AQ227" s="4" t="str">
        <f ca="1">IFERROR(__xludf.DUMMYFUNCTION("""COMPUTED_VALUE"""),"| 2 L PHP-CGM % | 3 P CPT % | 1 L NS % | 5 P JAVA % ")</f>
        <v xml:space="preserve">| 2 L PHP-CGM % | 3 P CPT % | 1 L NS % | 5 P JAVA % </v>
      </c>
      <c r="AR227" s="4" t="str">
        <f ca="1">IFERROR(__xludf.DUMMYFUNCTION("""COMPUTED_VALUE"""),"| 1 L CPT % | 2 L JAVA % | 3 P PHP-CGM @ | 5 P NS @ ")</f>
        <v xml:space="preserve">| 1 L CPT % | 2 L JAVA % | 3 P PHP-CGM @ | 5 P NS @ </v>
      </c>
      <c r="AS227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27" s="4" t="str">
        <f ca="1">IFERROR(__xludf.DUMMYFUNCTION("""COMPUTED_VALUE"""),"| 1 L CPT % | 2 L PHP-CGM % | 3 P PRO @ | 5 P Python @ ")</f>
        <v xml:space="preserve">| 1 L CPT % | 2 L PHP-CGM % | 3 P PRO @ | 5 P Python @ </v>
      </c>
      <c r="AU227" s="4" t="str">
        <f ca="1">IFERROR(__xludf.DUMMYFUNCTION("""COMPUTED_VALUE"""),"| 1 L NS % | 2 L PHP-CGM % | 3 P CPT % | 5 P JAVA @ ")</f>
        <v xml:space="preserve">| 1 L NS % | 2 L PHP-CGM % | 3 P CPT % | 5 P JAVA @ </v>
      </c>
      <c r="AV227" s="4" t="str">
        <f ca="1">IFERROR(__xludf.DUMMYFUNCTION("""COMPUTED_VALUE"""),"| 1 L CPT % | 2 L JAVA % | 3 P PHP-CGM % | 5 P NS % ")</f>
        <v xml:space="preserve">| 1 L CPT % | 2 L JAVA % | 3 P PHP-CGM % | 5 P NS % </v>
      </c>
      <c r="AW227" s="4" t="str">
        <f ca="1">IFERROR(__xludf.DUMMYFUNCTION("""COMPUTED_VALUE"""),"| 1 L CPT % | 2 L JAVA % | 3 P Python % | 5 L INE @ | 6 L INE @ ")</f>
        <v xml:space="preserve">| 1 L CPT % | 2 L JAVA % | 3 P Python % | 5 L INE @ | 6 L INE @ </v>
      </c>
      <c r="AX227" s="4" t="str">
        <f ca="1">IFERROR(__xludf.DUMMYFUNCTION("""COMPUTED_VALUE"""),"| 1 L NS % | 2 L PHP-CGM % | 3 P JAVA % | 5 L NS % | 5 L JAVA @ ")</f>
        <v xml:space="preserve">| 1 L NS % | 2 L PHP-CGM % | 3 P JAVA % | 5 L NS % | 5 L JAVA @ </v>
      </c>
      <c r="AY227" s="4" t="str">
        <f ca="1">IFERROR(__xludf.DUMMYFUNCTION("""COMPUTED_VALUE"""),"| 1 L CPT % | 2 L PHP-CGM % | 3 P PRO % | 5 P Python @ ")</f>
        <v xml:space="preserve">| 1 L CPT % | 2 L PHP-CGM % | 3 P PRO % | 5 P Python @ </v>
      </c>
      <c r="AZ227" s="4" t="str">
        <f ca="1">IFERROR(__xludf.DUMMYFUNCTION("""COMPUTED_VALUE"""),"| 1 L CPT % | 2 L JAVA % | 3 P PHP-CGM % | 5 P NS @ ")</f>
        <v xml:space="preserve">| 1 L CPT % | 2 L JAVA % | 3 P PHP-CGM % | 5 P NS @ </v>
      </c>
      <c r="BA227" s="4" t="str">
        <f ca="1">IFERROR(__xludf.DUMMYFUNCTION("""COMPUTED_VALUE"""),"| 1 L CPT % | 2 L JAVA % | 3 P Python % | 5 L INE @ ")</f>
        <v xml:space="preserve">| 1 L CPT % | 2 L JAVA % | 3 P Python % | 5 L INE @ </v>
      </c>
      <c r="BB227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C227" s="4" t="str">
        <f ca="1">IFERROR(__xludf.DUMMYFUNCTION("""COMPUTED_VALUE"""),"| 1 L CPT % | 2 L PHP-CGM % | 3 P PRO % | 5 P Python @ ")</f>
        <v xml:space="preserve">| 1 L CPT % | 2 L PHP-CGM % | 3 P PRO % | 5 P Python @ </v>
      </c>
      <c r="BD227" s="4" t="str">
        <f ca="1">IFERROR(__xludf.DUMMYFUNCTION("""COMPUTED_VALUE"""),"| 1 L NS % | 2 L PHP-CGM % | 3 P CPT @ | 5 P JAVA @ ")</f>
        <v xml:space="preserve">| 1 L NS % | 2 L PHP-CGM % | 3 P CPT @ | 5 P JAVA @ </v>
      </c>
      <c r="BE227" s="4" t="str">
        <f ca="1">IFERROR(__xludf.DUMMYFUNCTION("""COMPUTED_VALUE"""),"| 1 L CPT % | 2 L JAVA @ | 3 P PHP-CGM @ | 5 P NS @ ")</f>
        <v xml:space="preserve">| 1 L CPT % | 2 L JAVA @ | 3 P PHP-CGM @ | 5 P NS @ </v>
      </c>
      <c r="BF227" s="4" t="str">
        <f ca="1">IFERROR(__xludf.DUMMYFUNCTION("""COMPUTED_VALUE"""),"| 1 L CPT @ | 2 L JAVA @ | 3 P Python @ ")</f>
        <v xml:space="preserve">| 1 L CPT @ | 2 L JAVA @ | 3 P Python @ </v>
      </c>
      <c r="BG227" s="4" t="str">
        <f ca="1">IFERROR(__xludf.DUMMYFUNCTION("""COMPUTED_VALUE"""),"| 2 L PHP-CGM % | 1 L CPT % | 3 P PRO % | 5 P Python @ ")</f>
        <v xml:space="preserve">| 2 L PHP-CGM % | 1 L CPT % | 3 P PRO % | 5 P Python @ </v>
      </c>
      <c r="BH227" s="4" t="str">
        <f ca="1">IFERROR(__xludf.DUMMYFUNCTION("""COMPUTED_VALUE"""),"| 1 L NS @ | 2 L PHP-CGM % | 3 P CPT % | 5 P JAVA @ ")</f>
        <v xml:space="preserve">| 1 L NS @ | 2 L PHP-CGM % | 3 P CPT % | 5 P JAVA @ </v>
      </c>
      <c r="BI227" s="4" t="str">
        <f ca="1">IFERROR(__xludf.DUMMYFUNCTION("""COMPUTED_VALUE"""),"| 1 L CPT % | 2 L JAVA % | 3 P PHP-CGM % | 5 P NS @ ")</f>
        <v xml:space="preserve">| 1 L CPT % | 2 L JAVA % | 3 P PHP-CGM % | 5 P NS @ </v>
      </c>
      <c r="BJ227" s="4" t="str">
        <f ca="1">IFERROR(__xludf.DUMMYFUNCTION("""COMPUTED_VALUE"""),"| 1 L CPT % | 2 L JAVA @ | 3 P Python % | 5 L INE % ")</f>
        <v xml:space="preserve">| 1 L CPT % | 2 L JAVA @ | 3 P Python % | 5 L INE % </v>
      </c>
      <c r="BK227" s="4" t="str">
        <f ca="1">IFERROR(__xludf.DUMMYFUNCTION("""COMPUTED_VALUE"""),"| 1 L NS % | 2 L PHP-CGM % | 5 L NS @ | 6 L JAVA @ ")</f>
        <v xml:space="preserve">| 1 L NS % | 2 L PHP-CGM % | 5 L NS @ | 6 L JAVA @ </v>
      </c>
      <c r="BL227" s="4" t="str">
        <f ca="1">IFERROR(__xludf.DUMMYFUNCTION("""COMPUTED_VALUE"""),"| 1 L CPT % | 2 L PHP-CGM % | 3 P PRO % ")</f>
        <v xml:space="preserve">| 1 L CPT % | 2 L PHP-CGM % | 3 P PRO % </v>
      </c>
      <c r="BM227" s="4" t="str">
        <f ca="1">IFERROR(__xludf.DUMMYFUNCTION("""COMPUTED_VALUE"""),"| 1 L NS % | 2 L PHP-CGM % | 3 P CPT @ | 5 P JAVA @ ")</f>
        <v xml:space="preserve">| 1 L NS % | 2 L PHP-CGM % | 3 P CPT @ | 5 P JAVA @ </v>
      </c>
      <c r="BN227" s="4" t="str">
        <f ca="1">IFERROR(__xludf.DUMMYFUNCTION("""COMPUTED_VALUE"""),"| 2 L JAVA @ | 1 L CPT @ | 3 P PHP-CGM @ | 5 P NS @ ")</f>
        <v xml:space="preserve">| 2 L JAVA @ | 1 L CPT @ | 3 P PHP-CGM @ | 5 P NS @ </v>
      </c>
      <c r="BO227" s="4" t="str">
        <f ca="1">IFERROR(__xludf.DUMMYFUNCTION("""COMPUTED_VALUE"""),"| 2 L JAVA % | 1 L CPT % | 3 P Python % | 5 L INE @ ")</f>
        <v xml:space="preserve">| 2 L JAVA % | 1 L CPT % | 3 P Python % | 5 L INE @ </v>
      </c>
      <c r="BP227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27" s="4"/>
      <c r="BR227" s="4"/>
      <c r="BS227" s="4"/>
      <c r="BT227" s="4" t="str">
        <f ca="1">IFERROR(__xludf.DUMMYFUNCTION("""COMPUTED_VALUE"""),"| 1 L NS % | 2 L PHP-CGM % | 3 P JAVA % ")</f>
        <v xml:space="preserve">| 1 L NS % | 2 L PHP-CGM % | 3 P JAVA % </v>
      </c>
      <c r="BU227" s="4" t="str">
        <f ca="1">IFERROR(__xludf.DUMMYFUNCTION("""COMPUTED_VALUE"""),"| 1 L CPT @ ")</f>
        <v xml:space="preserve">| 1 L CPT @ </v>
      </c>
      <c r="BV227" s="4" t="str">
        <f ca="1">IFERROR(__xludf.DUMMYFUNCTION("""COMPUTED_VALUE"""),"| 1 L NS @ | 2 L PHP-CGM @ | 3 P JAVA @ | 6 L JAVA @ ")</f>
        <v xml:space="preserve">| 1 L NS @ | 2 L PHP-CGM @ | 3 P JAVA @ | 6 L JAVA @ </v>
      </c>
      <c r="BW227" s="4" t="str">
        <f ca="1">IFERROR(__xludf.DUMMYFUNCTION("""COMPUTED_VALUE"""),"| 1 L CPT % | 2 L PHP-CGM % | 3 P PRO @ ")</f>
        <v xml:space="preserve">| 1 L CPT % | 2 L PHP-CGM % | 3 P PRO @ </v>
      </c>
      <c r="BX227" s="4" t="str">
        <f ca="1">IFERROR(__xludf.DUMMYFUNCTION("""COMPUTED_VALUE"""),"| 1 L NS % | 2 L PHP-CGM % | 3 P CPT % | 5 P JAVA @ ")</f>
        <v xml:space="preserve">| 1 L NS % | 2 L PHP-CGM % | 3 P CPT % | 5 P JAVA @ </v>
      </c>
      <c r="BY227" s="4" t="str">
        <f ca="1">IFERROR(__xludf.DUMMYFUNCTION("""COMPUTED_VALUE"""),"| 1 L CPT % | 2 L JAVA % | 3 P PHP-CGM % | 5 P NS @ ")</f>
        <v xml:space="preserve">| 1 L CPT % | 2 L JAVA % | 3 P PHP-CGM % | 5 P NS @ </v>
      </c>
      <c r="BZ227" s="4" t="str">
        <f ca="1">IFERROR(__xludf.DUMMYFUNCTION("""COMPUTED_VALUE"""),"| 1 L CPT % | 2 L JAVA % | 5 L INE @ ")</f>
        <v xml:space="preserve">| 1 L CPT % | 2 L JAVA % | 5 L INE @ </v>
      </c>
      <c r="CA227" s="4" t="str">
        <f ca="1">IFERROR(__xludf.DUMMYFUNCTION("""COMPUTED_VALUE"""),"| 1 L NS @ | 2 L PHP-CGM % | 3 P JAVA % | 5 L NS @ | 6 L JAVA @ ")</f>
        <v xml:space="preserve">| 1 L NS @ | 2 L PHP-CGM % | 3 P JAVA % | 5 L NS @ | 6 L JAVA @ </v>
      </c>
      <c r="CB227" s="4" t="str">
        <f ca="1">IFERROR(__xludf.DUMMYFUNCTION("""COMPUTED_VALUE"""),"| 2 L PHP-CGM % | 3 P PRO @ | 5 P Python % | 1 L CPT % ")</f>
        <v xml:space="preserve">| 2 L PHP-CGM % | 3 P PRO @ | 5 P Python % | 1 L CPT % </v>
      </c>
      <c r="CC227" s="4" t="str">
        <f ca="1">IFERROR(__xludf.DUMMYFUNCTION("""COMPUTED_VALUE"""),"| 1 L NS @ | 2 L PHP-CGM @ | 3 P CPT % | 5 P JAVA @ ")</f>
        <v xml:space="preserve">| 1 L NS @ | 2 L PHP-CGM @ | 3 P CPT % | 5 P JAVA @ </v>
      </c>
      <c r="CD227" s="4" t="str">
        <f ca="1">IFERROR(__xludf.DUMMYFUNCTION("""COMPUTED_VALUE"""),"| 1 L CPT % | 2 L JAVA @ | 3 P PHP-CGM % | 5 P NS % ")</f>
        <v xml:space="preserve">| 1 L CPT % | 2 L JAVA @ | 3 P PHP-CGM % | 5 P NS % </v>
      </c>
      <c r="CE227" s="4" t="str">
        <f ca="1">IFERROR(__xludf.DUMMYFUNCTION("""COMPUTED_VALUE"""),"| 1 L CPT % | 2 L JAVA % | 3 P Python % | 5 L INE % ")</f>
        <v xml:space="preserve">| 1 L CPT % | 2 L JAVA % | 3 P Python % | 5 L INE % </v>
      </c>
      <c r="CF227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27" s="4" t="str">
        <f ca="1">IFERROR(__xludf.DUMMYFUNCTION("""COMPUTED_VALUE"""),"| 1 L CPT @ | 2 L PHP-CGM @ | 5 P Python % ")</f>
        <v xml:space="preserve">| 1 L CPT @ | 2 L PHP-CGM @ | 5 P Python % </v>
      </c>
      <c r="CH227" s="4" t="str">
        <f ca="1">IFERROR(__xludf.DUMMYFUNCTION("""COMPUTED_VALUE"""),"| 1 L NS @ | 2 L PHP-CGM @ | 3 P CPT % ")</f>
        <v xml:space="preserve">| 1 L NS @ | 2 L PHP-CGM @ | 3 P CPT % </v>
      </c>
      <c r="CI227" s="4" t="str">
        <f ca="1">IFERROR(__xludf.DUMMYFUNCTION("""COMPUTED_VALUE"""),"| 1 L CPT @ | 2 L JAVA @ | 3 P PHP-CGM % | 5 P NS % ")</f>
        <v xml:space="preserve">| 1 L CPT @ | 2 L JAVA @ | 3 P PHP-CGM % | 5 P NS % </v>
      </c>
      <c r="CJ227" s="4" t="str">
        <f ca="1">IFERROR(__xludf.DUMMYFUNCTION("""COMPUTED_VALUE"""),"| 1 L CPT @ ")</f>
        <v xml:space="preserve">| 1 L CPT @ </v>
      </c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</row>
    <row r="228" spans="1:102" ht="12.5" x14ac:dyDescent="0.25">
      <c r="A228" s="3">
        <f ca="1">IFERROR(__xludf.DUMMYFUNCTION("""COMPUTED_VALUE"""),3)</f>
        <v>3</v>
      </c>
      <c r="B228" s="3" t="str">
        <f ca="1">IFERROR(__xludf.DUMMYFUNCTION("""COMPUTED_VALUE"""),"C")</f>
        <v>C</v>
      </c>
      <c r="C228" s="32" t="str">
        <f ca="1">IFERROR(__xludf.DUMMYFUNCTION("""COMPUTED_VALUE"""),"23171341136")</f>
        <v>23171341136</v>
      </c>
      <c r="D228" s="4" t="str">
        <f ca="1">IFERROR(__xludf.DUMMYFUNCTION("""COMPUTED_VALUE"""),"PATEL VEDANT SANJAYBHAI")</f>
        <v>PATEL VEDANT SANJAYBHAI</v>
      </c>
      <c r="E228" s="3" t="str">
        <f ca="1">IFERROR(__xludf.DUMMYFUNCTION("""COMPUTED_VALUE"""),"PKN/PAP-Mor")</f>
        <v>PKN/PAP-Mor</v>
      </c>
      <c r="F228" s="3">
        <f ca="1">IFERROR(__xludf.DUMMYFUNCTION("""COMPUTED_VALUE"""),9825268396)</f>
        <v>9825268396</v>
      </c>
      <c r="G228" s="3">
        <f ca="1">IFERROR(__xludf.DUMMYFUNCTION("""COMPUTED_VALUE"""),9825268396)</f>
        <v>9825268396</v>
      </c>
      <c r="H228" s="33">
        <f ca="1">IFERROR(__xludf.DUMMYFUNCTION("""COMPUTED_VALUE"""),0.658436213991769)</f>
        <v>0.65843621399176899</v>
      </c>
      <c r="I228" s="25">
        <f ca="1">IFERROR(__xludf.DUMMYFUNCTION("""COMPUTED_VALUE"""),0.657894736842105)</f>
        <v>0.65789473684210498</v>
      </c>
      <c r="J228" s="25">
        <f ca="1">IFERROR(__xludf.DUMMYFUNCTION("""COMPUTED_VALUE"""),0.636363636363636)</f>
        <v>0.63636363636363602</v>
      </c>
      <c r="K228" s="25">
        <f ca="1">IFERROR(__xludf.DUMMYFUNCTION("""COMPUTED_VALUE"""),0.638888888888888)</f>
        <v>0.63888888888888795</v>
      </c>
      <c r="L228" s="25">
        <f ca="1">IFERROR(__xludf.DUMMYFUNCTION("""COMPUTED_VALUE"""),0.846153846153846)</f>
        <v>0.84615384615384603</v>
      </c>
      <c r="M228" s="25">
        <f ca="1">IFERROR(__xludf.DUMMYFUNCTION("""COMPUTED_VALUE"""),0.666666666666666)</f>
        <v>0.66666666666666596</v>
      </c>
      <c r="N228" s="25">
        <f ca="1">IFERROR(__xludf.DUMMYFUNCTION("""COMPUTED_VALUE"""),0.692307692307692)</f>
        <v>0.69230769230769196</v>
      </c>
      <c r="O228" s="25">
        <f ca="1">IFERROR(__xludf.DUMMYFUNCTION("""COMPUTED_VALUE"""),0.685714285714285)</f>
        <v>0.68571428571428505</v>
      </c>
      <c r="P228" s="25">
        <f ca="1">IFERROR(__xludf.DUMMYFUNCTION("""COMPUTED_VALUE"""),0.545454545454545)</f>
        <v>0.54545454545454497</v>
      </c>
      <c r="Q228" s="25">
        <f ca="1">IFERROR(__xludf.DUMMYFUNCTION("""COMPUTED_VALUE"""),0)</f>
        <v>0</v>
      </c>
      <c r="R228" s="25">
        <f ca="1">IFERROR(__xludf.DUMMYFUNCTION("""COMPUTED_VALUE"""),0.55)</f>
        <v>0.55000000000000004</v>
      </c>
      <c r="S228" s="25">
        <f ca="1">IFERROR(__xludf.DUMMYFUNCTION("""COMPUTED_VALUE"""),0)</f>
        <v>0</v>
      </c>
      <c r="T228" s="25">
        <f ca="1">IFERROR(__xludf.DUMMYFUNCTION("""COMPUTED_VALUE"""),0.727272727272727)</f>
        <v>0.72727272727272696</v>
      </c>
      <c r="U228" s="25">
        <f ca="1">IFERROR(__xludf.DUMMYFUNCTION("""COMPUTED_VALUE"""),0.75)</f>
        <v>0.75</v>
      </c>
      <c r="V228" s="25">
        <f ca="1">IFERROR(__xludf.DUMMYFUNCTION("""COMPUTED_VALUE"""),0)</f>
        <v>0</v>
      </c>
      <c r="W228" s="4"/>
      <c r="X22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28" s="4" t="str">
        <f ca="1">IFERROR(__xludf.DUMMYFUNCTION("""COMPUTED_VALUE"""),"| 1 L CPT % | 5 L PHP-CGM % | 3 P PRO % | 5 P Python % ")</f>
        <v xml:space="preserve">| 1 L CPT % | 5 L PHP-CGM % | 3 P PRO % | 5 P Python % </v>
      </c>
      <c r="Z228" s="4" t="str">
        <f ca="1">IFERROR(__xludf.DUMMYFUNCTION("""COMPUTED_VALUE"""),"| 1 L CPT % | 2 L PHP-CGM % | 3 P CPT @ | 5 P JAVA @ ")</f>
        <v xml:space="preserve">| 1 L CPT % | 2 L PHP-CGM % | 3 P CPT @ | 5 P JAVA @ </v>
      </c>
      <c r="AA228" s="4" t="str">
        <f ca="1">IFERROR(__xludf.DUMMYFUNCTION("""COMPUTED_VALUE"""),"| 1 L NS % | 2 L JAVA % | 3 P PHP-CGM % | 5 P NS % ")</f>
        <v xml:space="preserve">| 1 L NS % | 2 L JAVA % | 3 P PHP-CGM % | 5 P NS % </v>
      </c>
      <c r="AB228" s="4" t="str">
        <f ca="1">IFERROR(__xludf.DUMMYFUNCTION("""COMPUTED_VALUE"""),"| 1 L CPT % | 2 L JAVA % | 3 P Python @ ")</f>
        <v xml:space="preserve">| 1 L CPT % | 2 L JAVA % | 3 P Python @ </v>
      </c>
      <c r="AC228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28" s="4" t="str">
        <f ca="1">IFERROR(__xludf.DUMMYFUNCTION("""COMPUTED_VALUE"""),"| 1 L CPT @ | 2 L PHP-CGM @ | 3 P PRO @ | 5 P Python @ ")</f>
        <v xml:space="preserve">| 1 L CPT @ | 2 L PHP-CGM @ | 3 P PRO @ | 5 P Python @ </v>
      </c>
      <c r="AE228" s="4" t="str">
        <f ca="1">IFERROR(__xludf.DUMMYFUNCTION("""COMPUTED_VALUE"""),"| 1 L CPT % | 3 P CPT % | 5 P JAVA % | 2 L PHP-CGM % ")</f>
        <v xml:space="preserve">| 1 L CPT % | 3 P CPT % | 5 P JAVA % | 2 L PHP-CGM % </v>
      </c>
      <c r="AF228" s="4" t="str">
        <f ca="1">IFERROR(__xludf.DUMMYFUNCTION("""COMPUTED_VALUE"""),"| 1 L NS % | 2 L CPT % | 3 P PHP-CGM % | 5 P NS % ")</f>
        <v xml:space="preserve">| 1 L NS % | 2 L CPT % | 3 P PHP-CGM % | 5 P NS % </v>
      </c>
      <c r="AG228" s="4" t="str">
        <f ca="1">IFERROR(__xludf.DUMMYFUNCTION("""COMPUTED_VALUE"""),"| 1 L CPT % | 2 L JAVA % | 3 P Python % ")</f>
        <v xml:space="preserve">| 1 L CPT % | 2 L JAVA % | 3 P Python % </v>
      </c>
      <c r="AH228" s="4" t="str">
        <f ca="1">IFERROR(__xludf.DUMMYFUNCTION("""COMPUTED_VALUE"""),"| 2 L JAVA @ | 1 L NS % | 3 P PHP-CGM % | 5 P NS % ")</f>
        <v xml:space="preserve">| 2 L JAVA @ | 1 L NS % | 3 P PHP-CGM % | 5 P NS % </v>
      </c>
      <c r="AI228" s="4" t="str">
        <f ca="1">IFERROR(__xludf.DUMMYFUNCTION("""COMPUTED_VALUE"""),"| 1 L CPT % | 2 L JAVA % | 3 P Python @ ")</f>
        <v xml:space="preserve">| 1 L CPT % | 2 L JAVA % | 3 P Python @ </v>
      </c>
      <c r="AJ22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28" s="4" t="str">
        <f ca="1">IFERROR(__xludf.DUMMYFUNCTION("""COMPUTED_VALUE"""),"| 1 L CPT % | 3 P PRO @ | 2 L PHP-CGM % | 5 P Python % ")</f>
        <v xml:space="preserve">| 1 L CPT % | 3 P PRO @ | 2 L PHP-CGM % | 5 P Python % </v>
      </c>
      <c r="AL228" s="4" t="str">
        <f ca="1">IFERROR(__xludf.DUMMYFUNCTION("""COMPUTED_VALUE"""),"| 1 L CPT % | 2 L PHP-CGM % | 3 P CPT % | 5 P JAVA % ")</f>
        <v xml:space="preserve">| 1 L CPT % | 2 L PHP-CGM % | 3 P CPT % | 5 P JAVA % </v>
      </c>
      <c r="AM228" s="4" t="str">
        <f ca="1">IFERROR(__xludf.DUMMYFUNCTION("""COMPUTED_VALUE"""),"| 2 L JAVA % | 3 P PHP-CGM % | 1 L NS % | 5 P NS % ")</f>
        <v xml:space="preserve">| 2 L JAVA % | 3 P PHP-CGM % | 1 L NS % | 5 P NS % </v>
      </c>
      <c r="AN228" s="4" t="str">
        <f ca="1">IFERROR(__xludf.DUMMYFUNCTION("""COMPUTED_VALUE"""),"| 1 L CPT % | 2 L JAVA % | 3 P Python % | 5 L INE @ ")</f>
        <v xml:space="preserve">| 1 L CPT % | 2 L JAVA % | 3 P Python % | 5 L INE @ </v>
      </c>
      <c r="AO22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28" s="4" t="str">
        <f ca="1">IFERROR(__xludf.DUMMYFUNCTION("""COMPUTED_VALUE"""),"| 1 L CPT @ | 2 L PHP-CGM % | 3 P PRO % | 5 P Python % ")</f>
        <v xml:space="preserve">| 1 L CPT @ | 2 L PHP-CGM % | 3 P PRO % | 5 P Python % </v>
      </c>
      <c r="AQ228" s="4" t="str">
        <f ca="1">IFERROR(__xludf.DUMMYFUNCTION("""COMPUTED_VALUE"""),"| 2 L PHP-CGM % | 3 P CPT @ | 1 L NS % | 5 P JAVA @ ")</f>
        <v xml:space="preserve">| 2 L PHP-CGM % | 3 P CPT @ | 1 L NS % | 5 P JAVA @ </v>
      </c>
      <c r="AR228" s="4" t="str">
        <f ca="1">IFERROR(__xludf.DUMMYFUNCTION("""COMPUTED_VALUE"""),"| 1 L CPT % | 2 L JAVA % | 3 P PHP-CGM % | 5 P NS % ")</f>
        <v xml:space="preserve">| 1 L CPT % | 2 L JAVA % | 3 P PHP-CGM % | 5 P NS % </v>
      </c>
      <c r="AS228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AT228" s="4" t="str">
        <f ca="1">IFERROR(__xludf.DUMMYFUNCTION("""COMPUTED_VALUE"""),"| 1 L CPT % | 2 L PHP-CGM % | 3 P PRO % | 5 P Python % ")</f>
        <v xml:space="preserve">| 1 L CPT % | 2 L PHP-CGM % | 3 P PRO % | 5 P Python % </v>
      </c>
      <c r="AU228" s="4" t="str">
        <f ca="1">IFERROR(__xludf.DUMMYFUNCTION("""COMPUTED_VALUE"""),"| 1 L NS % | 2 L PHP-CGM % | 3 P CPT % | 5 P JAVA % ")</f>
        <v xml:space="preserve">| 1 L NS % | 2 L PHP-CGM % | 3 P CPT % | 5 P JAVA % </v>
      </c>
      <c r="AV228" s="4" t="str">
        <f ca="1">IFERROR(__xludf.DUMMYFUNCTION("""COMPUTED_VALUE"""),"| 1 L CPT % | 2 L JAVA % | 3 P PHP-CGM % | 5 P NS % ")</f>
        <v xml:space="preserve">| 1 L CPT % | 2 L JAVA % | 3 P PHP-CGM % | 5 P NS % </v>
      </c>
      <c r="AW228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28" s="4" t="str">
        <f ca="1">IFERROR(__xludf.DUMMYFUNCTION("""COMPUTED_VALUE"""),"| 1 L NS % | 2 L PHP-CGM % | 3 P JAVA @ | 5 L NS % | 5 L JAVA % ")</f>
        <v xml:space="preserve">| 1 L NS % | 2 L PHP-CGM % | 3 P JAVA @ | 5 L NS % | 5 L JAVA % </v>
      </c>
      <c r="AY228" s="4" t="str">
        <f ca="1">IFERROR(__xludf.DUMMYFUNCTION("""COMPUTED_VALUE"""),"| 1 L CPT @ | 2 L PHP-CGM @ | 3 P PRO % | 5 P Python @ ")</f>
        <v xml:space="preserve">| 1 L CPT @ | 2 L PHP-CGM @ | 3 P PRO % | 5 P Python @ </v>
      </c>
      <c r="AZ228" s="4" t="str">
        <f ca="1">IFERROR(__xludf.DUMMYFUNCTION("""COMPUTED_VALUE"""),"| 1 L CPT % | 2 L JAVA % | 3 P PHP-CGM % | 5 P NS % ")</f>
        <v xml:space="preserve">| 1 L CPT % | 2 L JAVA % | 3 P PHP-CGM % | 5 P NS % </v>
      </c>
      <c r="BA228" s="4" t="str">
        <f ca="1">IFERROR(__xludf.DUMMYFUNCTION("""COMPUTED_VALUE"""),"| 1 L CPT % | 2 L JAVA % | 3 P Python % | 5 L INE @ ")</f>
        <v xml:space="preserve">| 1 L CPT % | 2 L JAVA % | 3 P Python % | 5 L INE @ </v>
      </c>
      <c r="BB22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28" s="4" t="str">
        <f ca="1">IFERROR(__xludf.DUMMYFUNCTION("""COMPUTED_VALUE"""),"| 1 L CPT % | 2 L PHP-CGM % | 3 P PRO % | 5 P Python @ ")</f>
        <v xml:space="preserve">| 1 L CPT % | 2 L PHP-CGM % | 3 P PRO % | 5 P Python @ </v>
      </c>
      <c r="BD228" s="4" t="str">
        <f ca="1">IFERROR(__xludf.DUMMYFUNCTION("""COMPUTED_VALUE"""),"| 1 L NS % | 2 L PHP-CGM % | 3 P CPT @ | 5 P JAVA @ ")</f>
        <v xml:space="preserve">| 1 L NS % | 2 L PHP-CGM % | 3 P CPT @ | 5 P JAVA @ </v>
      </c>
      <c r="BE228" s="4" t="str">
        <f ca="1">IFERROR(__xludf.DUMMYFUNCTION("""COMPUTED_VALUE"""),"| 1 L CPT % | 2 L JAVA % | 3 P PHP-CGM @ | 5 P NS @ ")</f>
        <v xml:space="preserve">| 1 L CPT % | 2 L JAVA % | 3 P PHP-CGM @ | 5 P NS @ </v>
      </c>
      <c r="BF228" s="4" t="str">
        <f ca="1">IFERROR(__xludf.DUMMYFUNCTION("""COMPUTED_VALUE"""),"| 1 L CPT @ | 2 L JAVA @ | 3 P Python % ")</f>
        <v xml:space="preserve">| 1 L CPT @ | 2 L JAVA @ | 3 P Python % </v>
      </c>
      <c r="BG228" s="4" t="str">
        <f ca="1">IFERROR(__xludf.DUMMYFUNCTION("""COMPUTED_VALUE"""),"| 2 L PHP-CGM % | 1 L CPT % | 3 P PRO % | 5 P Python @ ")</f>
        <v xml:space="preserve">| 2 L PHP-CGM % | 1 L CPT % | 3 P PRO % | 5 P Python @ </v>
      </c>
      <c r="BH228" s="4" t="str">
        <f ca="1">IFERROR(__xludf.DUMMYFUNCTION("""COMPUTED_VALUE"""),"| 1 L NS @ | 2 L PHP-CGM @ | 3 P CPT % | 5 P JAVA % ")</f>
        <v xml:space="preserve">| 1 L NS @ | 2 L PHP-CGM @ | 3 P CPT % | 5 P JAVA % </v>
      </c>
      <c r="BI228" s="4" t="str">
        <f ca="1">IFERROR(__xludf.DUMMYFUNCTION("""COMPUTED_VALUE"""),"| 1 L CPT % | 2 L JAVA % | 3 P PHP-CGM @ | 5 P NS % ")</f>
        <v xml:space="preserve">| 1 L CPT % | 2 L JAVA % | 3 P PHP-CGM @ | 5 P NS % </v>
      </c>
      <c r="BJ228" s="4" t="str">
        <f ca="1">IFERROR(__xludf.DUMMYFUNCTION("""COMPUTED_VALUE"""),"| 1 L CPT @ | 2 L JAVA @ | 3 P Python % | 5 L INE % ")</f>
        <v xml:space="preserve">| 1 L CPT @ | 2 L JAVA @ | 3 P Python % | 5 L INE % </v>
      </c>
      <c r="BK228" s="4" t="str">
        <f ca="1">IFERROR(__xludf.DUMMYFUNCTION("""COMPUTED_VALUE"""),"| 1 L NS @ | 2 L PHP-CGM @ | 5 L NS @ | 6 L JAVA @ ")</f>
        <v xml:space="preserve">| 1 L NS @ | 2 L PHP-CGM @ | 5 L NS @ | 6 L JAVA @ </v>
      </c>
      <c r="BL228" s="4" t="str">
        <f ca="1">IFERROR(__xludf.DUMMYFUNCTION("""COMPUTED_VALUE"""),"| 1 L CPT @ | 2 L PHP-CGM % | 3 P PRO % ")</f>
        <v xml:space="preserve">| 1 L CPT @ | 2 L PHP-CGM % | 3 P PRO % </v>
      </c>
      <c r="BM228" s="4" t="str">
        <f ca="1">IFERROR(__xludf.DUMMYFUNCTION("""COMPUTED_VALUE"""),"| 1 L NS % | 2 L PHP-CGM % | 3 P CPT % | 5 P JAVA % ")</f>
        <v xml:space="preserve">| 1 L NS % | 2 L PHP-CGM % | 3 P CPT % | 5 P JAVA % </v>
      </c>
      <c r="BN228" s="4" t="str">
        <f ca="1">IFERROR(__xludf.DUMMYFUNCTION("""COMPUTED_VALUE"""),"| 2 L JAVA % | 1 L CPT % | 3 P PHP-CGM % | 5 P NS % ")</f>
        <v xml:space="preserve">| 2 L JAVA % | 1 L CPT % | 3 P PHP-CGM % | 5 P NS % </v>
      </c>
      <c r="BO228" s="4" t="str">
        <f ca="1">IFERROR(__xludf.DUMMYFUNCTION("""COMPUTED_VALUE"""),"| 2 L JAVA % | 1 L CPT % | 3 P Python % | 5 L INE % ")</f>
        <v xml:space="preserve">| 2 L JAVA % | 1 L CPT % | 3 P Python % | 5 L INE % </v>
      </c>
      <c r="BP228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28" s="4"/>
      <c r="BR228" s="4"/>
      <c r="BS228" s="4"/>
      <c r="BT228" s="4" t="str">
        <f ca="1">IFERROR(__xludf.DUMMYFUNCTION("""COMPUTED_VALUE"""),"| 1 L NS % | 2 L PHP-CGM % | 3 P JAVA @ ")</f>
        <v xml:space="preserve">| 1 L NS % | 2 L PHP-CGM % | 3 P JAVA @ </v>
      </c>
      <c r="BU228" s="4" t="str">
        <f ca="1">IFERROR(__xludf.DUMMYFUNCTION("""COMPUTED_VALUE"""),"| 1 L CPT @ ")</f>
        <v xml:space="preserve">| 1 L CPT @ </v>
      </c>
      <c r="BV228" s="4" t="str">
        <f ca="1">IFERROR(__xludf.DUMMYFUNCTION("""COMPUTED_VALUE"""),"| 1 L NS @ | 2 L PHP-CGM @ | 3 P JAVA % | 6 L JAVA % ")</f>
        <v xml:space="preserve">| 1 L NS @ | 2 L PHP-CGM @ | 3 P JAVA % | 6 L JAVA % </v>
      </c>
      <c r="BW228" s="4" t="str">
        <f ca="1">IFERROR(__xludf.DUMMYFUNCTION("""COMPUTED_VALUE"""),"| 1 L CPT % | 2 L PHP-CGM % | 3 P PRO @ ")</f>
        <v xml:space="preserve">| 1 L CPT % | 2 L PHP-CGM % | 3 P PRO @ </v>
      </c>
      <c r="BX228" s="4" t="str">
        <f ca="1">IFERROR(__xludf.DUMMYFUNCTION("""COMPUTED_VALUE"""),"| 1 L NS % | 2 L PHP-CGM % | 3 P CPT % | 5 P JAVA @ ")</f>
        <v xml:space="preserve">| 1 L NS % | 2 L PHP-CGM % | 3 P CPT % | 5 P JAVA @ </v>
      </c>
      <c r="BY228" s="4" t="str">
        <f ca="1">IFERROR(__xludf.DUMMYFUNCTION("""COMPUTED_VALUE"""),"| 1 L CPT % | 2 L JAVA % | 3 P PHP-CGM @ | 5 P NS % ")</f>
        <v xml:space="preserve">| 1 L CPT % | 2 L JAVA % | 3 P PHP-CGM @ | 5 P NS % </v>
      </c>
      <c r="BZ228" s="4" t="str">
        <f ca="1">IFERROR(__xludf.DUMMYFUNCTION("""COMPUTED_VALUE"""),"| 1 L CPT % | 2 L JAVA % | 5 L INE % ")</f>
        <v xml:space="preserve">| 1 L CPT % | 2 L JAVA % | 5 L INE % </v>
      </c>
      <c r="CA22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28" s="4" t="str">
        <f ca="1">IFERROR(__xludf.DUMMYFUNCTION("""COMPUTED_VALUE"""),"| 2 L PHP-CGM @ | 3 P PRO % | 5 P Python @ | 1 L CPT @ ")</f>
        <v xml:space="preserve">| 2 L PHP-CGM @ | 3 P PRO % | 5 P Python @ | 1 L CPT @ </v>
      </c>
      <c r="CC228" s="4" t="str">
        <f ca="1">IFERROR(__xludf.DUMMYFUNCTION("""COMPUTED_VALUE"""),"| 1 L NS @ | 2 L PHP-CGM @ | 3 P CPT @ | 5 P JAVA % ")</f>
        <v xml:space="preserve">| 1 L NS @ | 2 L PHP-CGM @ | 3 P CPT @ | 5 P JAVA % </v>
      </c>
      <c r="CD228" s="4" t="str">
        <f ca="1">IFERROR(__xludf.DUMMYFUNCTION("""COMPUTED_VALUE"""),"| 1 L CPT @ | 2 L JAVA @ | 3 P PHP-CGM @ | 5 P NS @ ")</f>
        <v xml:space="preserve">| 1 L CPT @ | 2 L JAVA @ | 3 P PHP-CGM @ | 5 P NS @ </v>
      </c>
      <c r="CE228" s="4" t="str">
        <f ca="1">IFERROR(__xludf.DUMMYFUNCTION("""COMPUTED_VALUE"""),"| 1 L CPT @ | 2 L JAVA @ | 3 P Python @ | 5 L INE % ")</f>
        <v xml:space="preserve">| 1 L CPT @ | 2 L JAVA @ | 3 P Python @ | 5 L INE % </v>
      </c>
      <c r="CF228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28" s="4" t="str">
        <f ca="1">IFERROR(__xludf.DUMMYFUNCTION("""COMPUTED_VALUE"""),"| 1 L CPT @ | 2 L PHP-CGM @ | 5 P Python @ ")</f>
        <v xml:space="preserve">| 1 L CPT @ | 2 L PHP-CGM @ | 5 P Python @ </v>
      </c>
      <c r="CH228" s="4" t="str">
        <f ca="1">IFERROR(__xludf.DUMMYFUNCTION("""COMPUTED_VALUE"""),"| 1 L NS @ | 2 L PHP-CGM @ | 3 P CPT % ")</f>
        <v xml:space="preserve">| 1 L NS @ | 2 L PHP-CGM @ | 3 P CPT % </v>
      </c>
      <c r="CI228" s="4" t="str">
        <f ca="1">IFERROR(__xludf.DUMMYFUNCTION("""COMPUTED_VALUE"""),"| 1 L CPT @ | 2 L JAVA @ | 3 P PHP-CGM % | 5 P NS % ")</f>
        <v xml:space="preserve">| 1 L CPT @ | 2 L JAVA @ | 3 P PHP-CGM % | 5 P NS % </v>
      </c>
      <c r="CJ228" s="4" t="str">
        <f ca="1">IFERROR(__xludf.DUMMYFUNCTION("""COMPUTED_VALUE"""),"| 1 L CPT @ ")</f>
        <v xml:space="preserve">| 1 L CPT @ </v>
      </c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</row>
    <row r="229" spans="1:102" ht="12.5" x14ac:dyDescent="0.25">
      <c r="A229" s="3">
        <f ca="1">IFERROR(__xludf.DUMMYFUNCTION("""COMPUTED_VALUE"""),3)</f>
        <v>3</v>
      </c>
      <c r="B229" s="3" t="str">
        <f ca="1">IFERROR(__xludf.DUMMYFUNCTION("""COMPUTED_VALUE"""),"C")</f>
        <v>C</v>
      </c>
      <c r="C229" s="32" t="str">
        <f ca="1">IFERROR(__xludf.DUMMYFUNCTION("""COMPUTED_VALUE"""),"23171341137")</f>
        <v>23171341137</v>
      </c>
      <c r="D229" s="4" t="str">
        <f ca="1">IFERROR(__xludf.DUMMYFUNCTION("""COMPUTED_VALUE"""),"PATEL YASHIKA PRAKASHBHAI")</f>
        <v>PATEL YASHIKA PRAKASHBHAI</v>
      </c>
      <c r="E229" s="3" t="str">
        <f ca="1">IFERROR(__xludf.DUMMYFUNCTION("""COMPUTED_VALUE"""),"PKN/PAP-Mor")</f>
        <v>PKN/PAP-Mor</v>
      </c>
      <c r="F229" s="3">
        <f ca="1">IFERROR(__xludf.DUMMYFUNCTION("""COMPUTED_VALUE"""),9157935316)</f>
        <v>9157935316</v>
      </c>
      <c r="G229" s="3" t="str">
        <f ca="1">IFERROR(__xludf.DUMMYFUNCTION("""COMPUTED_VALUE"""),"9978786748, 9173612225")</f>
        <v>9978786748, 9173612225</v>
      </c>
      <c r="H229" s="33">
        <f ca="1">IFERROR(__xludf.DUMMYFUNCTION("""COMPUTED_VALUE"""),0.0987654320987654)</f>
        <v>9.8765432098765399E-2</v>
      </c>
      <c r="I229" s="25">
        <f ca="1">IFERROR(__xludf.DUMMYFUNCTION("""COMPUTED_VALUE"""),0.236842105263157)</f>
        <v>0.23684210526315699</v>
      </c>
      <c r="J229" s="25">
        <f ca="1">IFERROR(__xludf.DUMMYFUNCTION("""COMPUTED_VALUE"""),0)</f>
        <v>0</v>
      </c>
      <c r="K229" s="25">
        <f ca="1">IFERROR(__xludf.DUMMYFUNCTION("""COMPUTED_VALUE"""),0.0555555555555555)</f>
        <v>5.5555555555555497E-2</v>
      </c>
      <c r="L229" s="25">
        <f ca="1">IFERROR(__xludf.DUMMYFUNCTION("""COMPUTED_VALUE"""),0)</f>
        <v>0</v>
      </c>
      <c r="M229" s="25">
        <f ca="1">IFERROR(__xludf.DUMMYFUNCTION("""COMPUTED_VALUE"""),0.305555555555555)</f>
        <v>0.30555555555555503</v>
      </c>
      <c r="N229" s="25">
        <f ca="1">IFERROR(__xludf.DUMMYFUNCTION("""COMPUTED_VALUE"""),0)</f>
        <v>0</v>
      </c>
      <c r="O229" s="25">
        <f ca="1">IFERROR(__xludf.DUMMYFUNCTION("""COMPUTED_VALUE"""),0.0285714285714285)</f>
        <v>2.8571428571428501E-2</v>
      </c>
      <c r="P229" s="25">
        <f ca="1">IFERROR(__xludf.DUMMYFUNCTION("""COMPUTED_VALUE"""),0)</f>
        <v>0</v>
      </c>
      <c r="Q229" s="25">
        <f ca="1">IFERROR(__xludf.DUMMYFUNCTION("""COMPUTED_VALUE"""),0)</f>
        <v>0</v>
      </c>
      <c r="R229" s="25">
        <f ca="1">IFERROR(__xludf.DUMMYFUNCTION("""COMPUTED_VALUE"""),0.05)</f>
        <v>0.05</v>
      </c>
      <c r="S229" s="25">
        <f ca="1">IFERROR(__xludf.DUMMYFUNCTION("""COMPUTED_VALUE"""),0)</f>
        <v>0</v>
      </c>
      <c r="T229" s="25">
        <f ca="1">IFERROR(__xludf.DUMMYFUNCTION("""COMPUTED_VALUE"""),0)</f>
        <v>0</v>
      </c>
      <c r="U229" s="25">
        <f ca="1">IFERROR(__xludf.DUMMYFUNCTION("""COMPUTED_VALUE"""),0)</f>
        <v>0</v>
      </c>
      <c r="V229" s="25">
        <f ca="1">IFERROR(__xludf.DUMMYFUNCTION("""COMPUTED_VALUE"""),0)</f>
        <v>0</v>
      </c>
      <c r="W229" s="4"/>
      <c r="X229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29" s="4" t="str">
        <f ca="1">IFERROR(__xludf.DUMMYFUNCTION("""COMPUTED_VALUE"""),"| 1 L CPT % | 5 L PHP-CGM % | 3 P PRO @ | 5 P Python @ ")</f>
        <v xml:space="preserve">| 1 L CPT % | 5 L PHP-CGM % | 3 P PRO @ | 5 P Python @ </v>
      </c>
      <c r="Z229" s="4" t="str">
        <f ca="1">IFERROR(__xludf.DUMMYFUNCTION("""COMPUTED_VALUE"""),"| 1 L CPT @ | 2 L PHP-CGM % | 3 P CPT @ | 5 P JAVA @ ")</f>
        <v xml:space="preserve">| 1 L CPT @ | 2 L PHP-CGM % | 3 P CPT @ | 5 P JAVA @ </v>
      </c>
      <c r="AA229" s="4" t="str">
        <f ca="1">IFERROR(__xludf.DUMMYFUNCTION("""COMPUTED_VALUE"""),"| 1 L NS @ | 2 L JAVA @ | 3 P PHP-CGM @ | 5 P NS @ ")</f>
        <v xml:space="preserve">| 1 L NS @ | 2 L JAVA @ | 3 P PHP-CGM @ | 5 P NS @ </v>
      </c>
      <c r="AB229" s="4" t="str">
        <f ca="1">IFERROR(__xludf.DUMMYFUNCTION("""COMPUTED_VALUE"""),"| 1 L CPT @ | 2 L JAVA @ | 3 P Python @ ")</f>
        <v xml:space="preserve">| 1 L CPT @ | 2 L JAVA @ | 3 P Python @ </v>
      </c>
      <c r="AC229" s="4" t="str">
        <f ca="1">IFERROR(__xludf.DUMMYFUNCTION("""COMPUTED_VALUE"""),"| 1 L NS % | 2 L PHP-CGM % | 3 P JAVA @ | 5 L JAVA @ | 6 L NS @ ")</f>
        <v xml:space="preserve">| 1 L NS % | 2 L PHP-CGM % | 3 P JAVA @ | 5 L JAVA @ | 6 L NS @ </v>
      </c>
      <c r="AD229" s="4" t="str">
        <f ca="1">IFERROR(__xludf.DUMMYFUNCTION("""COMPUTED_VALUE"""),"| 1 L CPT % | 2 L PHP-CGM % | 3 P PRO @ | 5 P Python @ ")</f>
        <v xml:space="preserve">| 1 L CPT % | 2 L PHP-CGM % | 3 P PRO @ | 5 P Python @ </v>
      </c>
      <c r="AE229" s="4" t="str">
        <f ca="1">IFERROR(__xludf.DUMMYFUNCTION("""COMPUTED_VALUE"""),"| 1 L CPT @ | 3 P CPT @ | 5 P JAVA @ | 2 L PHP-CGM @ ")</f>
        <v xml:space="preserve">| 1 L CPT @ | 3 P CPT @ | 5 P JAVA @ | 2 L PHP-CGM @ </v>
      </c>
      <c r="AF229" s="4" t="str">
        <f ca="1">IFERROR(__xludf.DUMMYFUNCTION("""COMPUTED_VALUE"""),"| 1 L NS @ | 2 L CPT % | 3 P PHP-CGM @ | 5 P NS @ ")</f>
        <v xml:space="preserve">| 1 L NS @ | 2 L CPT % | 3 P PHP-CGM @ | 5 P NS @ </v>
      </c>
      <c r="AG229" s="4" t="str">
        <f ca="1">IFERROR(__xludf.DUMMYFUNCTION("""COMPUTED_VALUE"""),"| 1 L CPT @ | 2 L JAVA @ | 3 P Python % ")</f>
        <v xml:space="preserve">| 1 L CPT @ | 2 L JAVA @ | 3 P Python % </v>
      </c>
      <c r="AH229" s="4" t="str">
        <f ca="1">IFERROR(__xludf.DUMMYFUNCTION("""COMPUTED_VALUE"""),"| 2 L JAVA @ | 1 L NS @ | 3 P PHP-CGM @ | 5 P NS @ ")</f>
        <v xml:space="preserve">| 2 L JAVA @ | 1 L NS @ | 3 P PHP-CGM @ | 5 P NS @ </v>
      </c>
      <c r="AI229" s="4" t="str">
        <f ca="1">IFERROR(__xludf.DUMMYFUNCTION("""COMPUTED_VALUE"""),"| 1 L CPT @ | 2 L JAVA @ | 3 P Python @ ")</f>
        <v xml:space="preserve">| 1 L CPT @ | 2 L JAVA @ | 3 P Python @ </v>
      </c>
      <c r="AJ229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29" s="4" t="str">
        <f ca="1">IFERROR(__xludf.DUMMYFUNCTION("""COMPUTED_VALUE"""),"| 1 L CPT % | 3 P PRO @ | 2 L PHP-CGM % | 5 P Python @ ")</f>
        <v xml:space="preserve">| 1 L CPT % | 3 P PRO @ | 2 L PHP-CGM % | 5 P Python @ </v>
      </c>
      <c r="AL229" s="4" t="str">
        <f ca="1">IFERROR(__xludf.DUMMYFUNCTION("""COMPUTED_VALUE"""),"| 1 L CPT % | 2 L PHP-CGM % | 3 P CPT @ | 5 P JAVA @ ")</f>
        <v xml:space="preserve">| 1 L CPT % | 2 L PHP-CGM % | 3 P CPT @ | 5 P JAVA @ </v>
      </c>
      <c r="AM229" s="4" t="str">
        <f ca="1">IFERROR(__xludf.DUMMYFUNCTION("""COMPUTED_VALUE"""),"| 2 L JAVA @ | 3 P PHP-CGM @ | 1 L NS @ | 5 P NS @ ")</f>
        <v xml:space="preserve">| 2 L JAVA @ | 3 P PHP-CGM @ | 1 L NS @ | 5 P NS @ </v>
      </c>
      <c r="AN229" s="4" t="str">
        <f ca="1">IFERROR(__xludf.DUMMYFUNCTION("""COMPUTED_VALUE"""),"| 1 L CPT @ | 2 L JAVA @ | 3 P Python @ | 5 L INE @ ")</f>
        <v xml:space="preserve">| 1 L CPT @ | 2 L JAVA @ | 3 P Python @ | 5 L INE @ </v>
      </c>
      <c r="AO229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29" s="4" t="str">
        <f ca="1">IFERROR(__xludf.DUMMYFUNCTION("""COMPUTED_VALUE"""),"| 1 L CPT @ | 2 L PHP-CGM % | 3 P PRO @ | 5 P Python @ ")</f>
        <v xml:space="preserve">| 1 L CPT @ | 2 L PHP-CGM % | 3 P PRO @ | 5 P Python @ </v>
      </c>
      <c r="AQ229" s="4" t="str">
        <f ca="1">IFERROR(__xludf.DUMMYFUNCTION("""COMPUTED_VALUE"""),"| 2 L PHP-CGM @ | 3 P CPT @ | 1 L NS @ | 5 P JAVA @ ")</f>
        <v xml:space="preserve">| 2 L PHP-CGM @ | 3 P CPT @ | 1 L NS @ | 5 P JAVA @ </v>
      </c>
      <c r="AR229" s="4" t="str">
        <f ca="1">IFERROR(__xludf.DUMMYFUNCTION("""COMPUTED_VALUE"""),"| 1 L CPT @ | 2 L JAVA @ | 3 P PHP-CGM @ | 5 P NS @ ")</f>
        <v xml:space="preserve">| 1 L CPT @ | 2 L JAVA @ | 3 P PHP-CGM @ | 5 P NS @ </v>
      </c>
      <c r="AS22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29" s="4" t="str">
        <f ca="1">IFERROR(__xludf.DUMMYFUNCTION("""COMPUTED_VALUE"""),"| 1 L CPT @ | 2 L PHP-CGM % | 3 P PRO @ | 5 P Python @ ")</f>
        <v xml:space="preserve">| 1 L CPT @ | 2 L PHP-CGM % | 3 P PRO @ | 5 P Python @ </v>
      </c>
      <c r="AU229" s="4" t="str">
        <f ca="1">IFERROR(__xludf.DUMMYFUNCTION("""COMPUTED_VALUE"""),"| 1 L NS @ | 2 L PHP-CGM % | 3 P CPT @ | 5 P JAVA @ ")</f>
        <v xml:space="preserve">| 1 L NS @ | 2 L PHP-CGM % | 3 P CPT @ | 5 P JAVA @ </v>
      </c>
      <c r="AV229" s="4" t="str">
        <f ca="1">IFERROR(__xludf.DUMMYFUNCTION("""COMPUTED_VALUE"""),"| 1 L CPT % | 2 L JAVA @ | 3 P PHP-CGM @ | 5 P NS @ ")</f>
        <v xml:space="preserve">| 1 L CPT % | 2 L JAVA @ | 3 P PHP-CGM @ | 5 P NS @ </v>
      </c>
      <c r="AW229" s="4" t="str">
        <f ca="1">IFERROR(__xludf.DUMMYFUNCTION("""COMPUTED_VALUE"""),"| 1 L CPT @ | 2 L JAVA @ | 3 P Python @ | 5 L INE @ | 6 L INE @ ")</f>
        <v xml:space="preserve">| 1 L CPT @ | 2 L JAVA @ | 3 P Python @ | 5 L INE @ | 6 L INE @ </v>
      </c>
      <c r="AX229" s="4" t="str">
        <f ca="1">IFERROR(__xludf.DUMMYFUNCTION("""COMPUTED_VALUE"""),"| 1 L NS @ | 2 L PHP-CGM % | 3 P JAVA @ | 5 L NS @ | 5 L JAVA @ ")</f>
        <v xml:space="preserve">| 1 L NS @ | 2 L PHP-CGM % | 3 P JAVA @ | 5 L NS @ | 5 L JAVA @ </v>
      </c>
      <c r="AY229" s="4" t="str">
        <f ca="1">IFERROR(__xludf.DUMMYFUNCTION("""COMPUTED_VALUE"""),"| 1 L CPT @ | 2 L PHP-CGM @ | 3 P PRO @ | 5 P Python @ ")</f>
        <v xml:space="preserve">| 1 L CPT @ | 2 L PHP-CGM @ | 3 P PRO @ | 5 P Python @ </v>
      </c>
      <c r="AZ229" s="4" t="str">
        <f ca="1">IFERROR(__xludf.DUMMYFUNCTION("""COMPUTED_VALUE"""),"| 1 L CPT % | 2 L JAVA % | 3 P PHP-CGM @ | 5 P NS @ ")</f>
        <v xml:space="preserve">| 1 L CPT % | 2 L JAVA % | 3 P PHP-CGM @ | 5 P NS @ </v>
      </c>
      <c r="BA229" s="4" t="str">
        <f ca="1">IFERROR(__xludf.DUMMYFUNCTION("""COMPUTED_VALUE"""),"| 1 L CPT @ | 2 L JAVA @ | 3 P Python @ | 5 L INE @ ")</f>
        <v xml:space="preserve">| 1 L CPT @ | 2 L JAVA @ | 3 P Python @ | 5 L INE @ </v>
      </c>
      <c r="BB229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C229" s="4" t="str">
        <f ca="1">IFERROR(__xludf.DUMMYFUNCTION("""COMPUTED_VALUE"""),"| 1 L CPT @ | 2 L PHP-CGM @ | 3 P PRO @ | 5 P Python @ ")</f>
        <v xml:space="preserve">| 1 L CPT @ | 2 L PHP-CGM @ | 3 P PRO @ | 5 P Python @ </v>
      </c>
      <c r="BD229" s="4" t="str">
        <f ca="1">IFERROR(__xludf.DUMMYFUNCTION("""COMPUTED_VALUE"""),"| 1 L NS @ | 2 L PHP-CGM @ | 3 P CPT @ | 5 P JAVA @ ")</f>
        <v xml:space="preserve">| 1 L NS @ | 2 L PHP-CGM @ | 3 P CPT @ | 5 P JAVA @ </v>
      </c>
      <c r="BE229" s="4" t="str">
        <f ca="1">IFERROR(__xludf.DUMMYFUNCTION("""COMPUTED_VALUE"""),"| 1 L CPT @ | 2 L JAVA @ | 3 P PHP-CGM @ | 5 P NS @ ")</f>
        <v xml:space="preserve">| 1 L CPT @ | 2 L JAVA @ | 3 P PHP-CGM @ | 5 P NS @ </v>
      </c>
      <c r="BF229" s="4" t="str">
        <f ca="1">IFERROR(__xludf.DUMMYFUNCTION("""COMPUTED_VALUE"""),"| 1 L CPT @ | 2 L JAVA @ | 3 P Python @ ")</f>
        <v xml:space="preserve">| 1 L CPT @ | 2 L JAVA @ | 3 P Python @ </v>
      </c>
      <c r="BG229" s="4" t="str">
        <f ca="1">IFERROR(__xludf.DUMMYFUNCTION("""COMPUTED_VALUE"""),"| 2 L PHP-CGM @ | 1 L CPT % | 3 P PRO @ | 5 P Python @ ")</f>
        <v xml:space="preserve">| 2 L PHP-CGM @ | 1 L CPT % | 3 P PRO @ | 5 P Python @ </v>
      </c>
      <c r="BH229" s="4" t="str">
        <f ca="1">IFERROR(__xludf.DUMMYFUNCTION("""COMPUTED_VALUE"""),"| 1 L NS @ | 2 L PHP-CGM @ | 3 P CPT @ | 5 P JAVA @ ")</f>
        <v xml:space="preserve">| 1 L NS @ | 2 L PHP-CGM @ | 3 P CPT @ | 5 P JAVA @ </v>
      </c>
      <c r="BI229" s="4" t="str">
        <f ca="1">IFERROR(__xludf.DUMMYFUNCTION("""COMPUTED_VALUE"""),"| 1 L CPT @ | 2 L JAVA @ | 3 P PHP-CGM @ | 5 P NS @ ")</f>
        <v xml:space="preserve">| 1 L CPT @ | 2 L JAVA @ | 3 P PHP-CGM @ | 5 P NS @ </v>
      </c>
      <c r="BJ229" s="4" t="str">
        <f ca="1">IFERROR(__xludf.DUMMYFUNCTION("""COMPUTED_VALUE"""),"| 1 L CPT @ | 2 L JAVA @ | 3 P Python @ | 5 L INE @ ")</f>
        <v xml:space="preserve">| 1 L CPT @ | 2 L JAVA @ | 3 P Python @ | 5 L INE @ </v>
      </c>
      <c r="BK229" s="4" t="str">
        <f ca="1">IFERROR(__xludf.DUMMYFUNCTION("""COMPUTED_VALUE"""),"| 1 L NS @ | 2 L PHP-CGM @ | 5 L NS @ | 6 L JAVA @ ")</f>
        <v xml:space="preserve">| 1 L NS @ | 2 L PHP-CGM @ | 5 L NS @ | 6 L JAVA @ </v>
      </c>
      <c r="BL229" s="4" t="str">
        <f ca="1">IFERROR(__xludf.DUMMYFUNCTION("""COMPUTED_VALUE"""),"| 1 L CPT % | 2 L PHP-CGM @ | 3 P PRO @ ")</f>
        <v xml:space="preserve">| 1 L CPT % | 2 L PHP-CGM @ | 3 P PRO @ </v>
      </c>
      <c r="BM229" s="4" t="str">
        <f ca="1">IFERROR(__xludf.DUMMYFUNCTION("""COMPUTED_VALUE"""),"| 1 L NS @ | 2 L PHP-CGM @ | 3 P CPT @ | 5 P JAVA @ ")</f>
        <v xml:space="preserve">| 1 L NS @ | 2 L PHP-CGM @ | 3 P CPT @ | 5 P JAVA @ </v>
      </c>
      <c r="BN229" s="4" t="str">
        <f ca="1">IFERROR(__xludf.DUMMYFUNCTION("""COMPUTED_VALUE"""),"| 2 L JAVA @ | 1 L CPT @ | 3 P PHP-CGM @ | 5 P NS @ ")</f>
        <v xml:space="preserve">| 2 L JAVA @ | 1 L CPT @ | 3 P PHP-CGM @ | 5 P NS @ </v>
      </c>
      <c r="BO229" s="4" t="str">
        <f ca="1">IFERROR(__xludf.DUMMYFUNCTION("""COMPUTED_VALUE"""),"| 2 L JAVA @ | 1 L CPT @ | 3 P Python @ | 5 L INE @ ")</f>
        <v xml:space="preserve">| 2 L JAVA @ | 1 L CPT @ | 3 P Python @ | 5 L INE @ </v>
      </c>
      <c r="BP22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29" s="4"/>
      <c r="BR229" s="4"/>
      <c r="BS229" s="4"/>
      <c r="BT229" s="4" t="str">
        <f ca="1">IFERROR(__xludf.DUMMYFUNCTION("""COMPUTED_VALUE"""),"| 1 L NS @ | 2 L PHP-CGM @ | 3 P JAVA @ ")</f>
        <v xml:space="preserve">| 1 L NS @ | 2 L PHP-CGM @ | 3 P JAVA @ </v>
      </c>
      <c r="BU229" s="4" t="str">
        <f ca="1">IFERROR(__xludf.DUMMYFUNCTION("""COMPUTED_VALUE"""),"| 1 L CPT @ ")</f>
        <v xml:space="preserve">| 1 L CPT @ </v>
      </c>
      <c r="BV229" s="4" t="str">
        <f ca="1">IFERROR(__xludf.DUMMYFUNCTION("""COMPUTED_VALUE"""),"| 1 L NS @ | 2 L PHP-CGM @ | 3 P JAVA @ | 6 L JAVA @ ")</f>
        <v xml:space="preserve">| 1 L NS @ | 2 L PHP-CGM @ | 3 P JAVA @ | 6 L JAVA @ </v>
      </c>
      <c r="BW229" s="4" t="str">
        <f ca="1">IFERROR(__xludf.DUMMYFUNCTION("""COMPUTED_VALUE"""),"| 1 L CPT @ | 2 L PHP-CGM @ | 3 P PRO @ ")</f>
        <v xml:space="preserve">| 1 L CPT @ | 2 L PHP-CGM @ | 3 P PRO @ </v>
      </c>
      <c r="BX229" s="4" t="str">
        <f ca="1">IFERROR(__xludf.DUMMYFUNCTION("""COMPUTED_VALUE"""),"| 1 L NS @ | 2 L PHP-CGM @ | 3 P CPT @ | 5 P JAVA @ ")</f>
        <v xml:space="preserve">| 1 L NS @ | 2 L PHP-CGM @ | 3 P CPT @ | 5 P JAVA @ </v>
      </c>
      <c r="BY229" s="4" t="str">
        <f ca="1">IFERROR(__xludf.DUMMYFUNCTION("""COMPUTED_VALUE"""),"| 1 L CPT @ | 2 L JAVA @ | 3 P PHP-CGM @ | 5 P NS @ ")</f>
        <v xml:space="preserve">| 1 L CPT @ | 2 L JAVA @ | 3 P PHP-CGM @ | 5 P NS @ </v>
      </c>
      <c r="BZ229" s="4" t="str">
        <f ca="1">IFERROR(__xludf.DUMMYFUNCTION("""COMPUTED_VALUE"""),"| 1 L CPT @ | 2 L JAVA @ | 5 L INE @ ")</f>
        <v xml:space="preserve">| 1 L CPT @ | 2 L JAVA @ | 5 L INE @ </v>
      </c>
      <c r="CA22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29" s="4" t="str">
        <f ca="1">IFERROR(__xludf.DUMMYFUNCTION("""COMPUTED_VALUE"""),"| 2 L PHP-CGM @ | 3 P PRO @ | 5 P Python @ | 1 L CPT @ ")</f>
        <v xml:space="preserve">| 2 L PHP-CGM @ | 3 P PRO @ | 5 P Python @ | 1 L CPT @ </v>
      </c>
      <c r="CC229" s="4" t="str">
        <f ca="1">IFERROR(__xludf.DUMMYFUNCTION("""COMPUTED_VALUE"""),"| 1 L NS @ | 2 L PHP-CGM @ | 3 P CPT @ | 5 P JAVA @ ")</f>
        <v xml:space="preserve">| 1 L NS @ | 2 L PHP-CGM @ | 3 P CPT @ | 5 P JAVA @ </v>
      </c>
      <c r="CD229" s="4" t="str">
        <f ca="1">IFERROR(__xludf.DUMMYFUNCTION("""COMPUTED_VALUE"""),"| 1 L CPT @ | 2 L JAVA @ | 3 P PHP-CGM @ | 5 P NS @ ")</f>
        <v xml:space="preserve">| 1 L CPT @ | 2 L JAVA @ | 3 P PHP-CGM @ | 5 P NS @ </v>
      </c>
      <c r="CE229" s="4" t="str">
        <f ca="1">IFERROR(__xludf.DUMMYFUNCTION("""COMPUTED_VALUE"""),"| 1 L CPT @ | 2 L JAVA @ | 3 P Python @ | 5 L INE @ ")</f>
        <v xml:space="preserve">| 1 L CPT @ | 2 L JAVA @ | 3 P Python @ | 5 L INE @ </v>
      </c>
      <c r="CF22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29" s="4" t="str">
        <f ca="1">IFERROR(__xludf.DUMMYFUNCTION("""COMPUTED_VALUE"""),"| 1 L CPT @ | 2 L PHP-CGM @ | 5 P Python @ ")</f>
        <v xml:space="preserve">| 1 L CPT @ | 2 L PHP-CGM @ | 5 P Python @ </v>
      </c>
      <c r="CH229" s="4" t="str">
        <f ca="1">IFERROR(__xludf.DUMMYFUNCTION("""COMPUTED_VALUE"""),"| 1 L NS @ | 2 L PHP-CGM @ | 3 P CPT @ ")</f>
        <v xml:space="preserve">| 1 L NS @ | 2 L PHP-CGM @ | 3 P CPT @ </v>
      </c>
      <c r="CI229" s="4" t="str">
        <f ca="1">IFERROR(__xludf.DUMMYFUNCTION("""COMPUTED_VALUE"""),"| 1 L CPT @ | 2 L JAVA @ | 3 P PHP-CGM @ | 5 P NS @ ")</f>
        <v xml:space="preserve">| 1 L CPT @ | 2 L JAVA @ | 3 P PHP-CGM @ | 5 P NS @ </v>
      </c>
      <c r="CJ229" s="4" t="str">
        <f ca="1">IFERROR(__xludf.DUMMYFUNCTION("""COMPUTED_VALUE"""),"| 1 L CPT @ ")</f>
        <v xml:space="preserve">| 1 L CPT @ </v>
      </c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</row>
    <row r="230" spans="1:102" ht="12.5" x14ac:dyDescent="0.25">
      <c r="A230" s="3">
        <f ca="1">IFERROR(__xludf.DUMMYFUNCTION("""COMPUTED_VALUE"""),3)</f>
        <v>3</v>
      </c>
      <c r="B230" s="3" t="str">
        <f ca="1">IFERROR(__xludf.DUMMYFUNCTION("""COMPUTED_VALUE"""),"C")</f>
        <v>C</v>
      </c>
      <c r="C230" s="32" t="str">
        <f ca="1">IFERROR(__xludf.DUMMYFUNCTION("""COMPUTED_VALUE"""),"23171341140")</f>
        <v>23171341140</v>
      </c>
      <c r="D230" s="4" t="str">
        <f ca="1">IFERROR(__xludf.DUMMYFUNCTION("""COMPUTED_VALUE"""),"PRAJAPATI DHRUVI CHANDRAKANT")</f>
        <v>PRAJAPATI DHRUVI CHANDRAKANT</v>
      </c>
      <c r="E230" s="3" t="str">
        <f ca="1">IFERROR(__xludf.DUMMYFUNCTION("""COMPUTED_VALUE"""),"PKN/PAP-Mor")</f>
        <v>PKN/PAP-Mor</v>
      </c>
      <c r="F230" s="3">
        <f ca="1">IFERROR(__xludf.DUMMYFUNCTION("""COMPUTED_VALUE"""),9428310765)</f>
        <v>9428310765</v>
      </c>
      <c r="G230" s="3">
        <f ca="1">IFERROR(__xludf.DUMMYFUNCTION("""COMPUTED_VALUE"""),9664976410)</f>
        <v>9664976410</v>
      </c>
      <c r="H230" s="33">
        <f ca="1">IFERROR(__xludf.DUMMYFUNCTION("""COMPUTED_VALUE"""),0.818930041152263)</f>
        <v>0.81893004115226298</v>
      </c>
      <c r="I230" s="25">
        <f ca="1">IFERROR(__xludf.DUMMYFUNCTION("""COMPUTED_VALUE"""),0.789473684210526)</f>
        <v>0.78947368421052599</v>
      </c>
      <c r="J230" s="25">
        <f ca="1">IFERROR(__xludf.DUMMYFUNCTION("""COMPUTED_VALUE"""),0.727272727272727)</f>
        <v>0.72727272727272696</v>
      </c>
      <c r="K230" s="25">
        <f ca="1">IFERROR(__xludf.DUMMYFUNCTION("""COMPUTED_VALUE"""),0.777777777777777)</f>
        <v>0.77777777777777701</v>
      </c>
      <c r="L230" s="25">
        <f ca="1">IFERROR(__xludf.DUMMYFUNCTION("""COMPUTED_VALUE"""),0.923076923076923)</f>
        <v>0.92307692307692302</v>
      </c>
      <c r="M230" s="25">
        <f ca="1">IFERROR(__xludf.DUMMYFUNCTION("""COMPUTED_VALUE"""),0.833333333333333)</f>
        <v>0.83333333333333304</v>
      </c>
      <c r="N230" s="25">
        <f ca="1">IFERROR(__xludf.DUMMYFUNCTION("""COMPUTED_VALUE"""),0.846153846153846)</f>
        <v>0.84615384615384603</v>
      </c>
      <c r="O230" s="25">
        <f ca="1">IFERROR(__xludf.DUMMYFUNCTION("""COMPUTED_VALUE"""),0.771428571428571)</f>
        <v>0.77142857142857102</v>
      </c>
      <c r="P230" s="25">
        <f ca="1">IFERROR(__xludf.DUMMYFUNCTION("""COMPUTED_VALUE"""),0.863636363636363)</f>
        <v>0.86363636363636298</v>
      </c>
      <c r="Q230" s="25">
        <f ca="1">IFERROR(__xludf.DUMMYFUNCTION("""COMPUTED_VALUE"""),0)</f>
        <v>0</v>
      </c>
      <c r="R230" s="25">
        <f ca="1">IFERROR(__xludf.DUMMYFUNCTION("""COMPUTED_VALUE"""),0.95)</f>
        <v>0.95</v>
      </c>
      <c r="S230" s="25">
        <f ca="1">IFERROR(__xludf.DUMMYFUNCTION("""COMPUTED_VALUE"""),0)</f>
        <v>0</v>
      </c>
      <c r="T230" s="25">
        <f ca="1">IFERROR(__xludf.DUMMYFUNCTION("""COMPUTED_VALUE"""),0.909090909090909)</f>
        <v>0.90909090909090895</v>
      </c>
      <c r="U230" s="25">
        <f ca="1">IFERROR(__xludf.DUMMYFUNCTION("""COMPUTED_VALUE"""),0.625)</f>
        <v>0.625</v>
      </c>
      <c r="V230" s="25">
        <f ca="1">IFERROR(__xludf.DUMMYFUNCTION("""COMPUTED_VALUE"""),0)</f>
        <v>0</v>
      </c>
      <c r="W230" s="4"/>
      <c r="X230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30" s="4" t="str">
        <f ca="1">IFERROR(__xludf.DUMMYFUNCTION("""COMPUTED_VALUE"""),"| 1 L CPT % | 5 L PHP-CGM % | 3 P PRO % | 5 P Python % ")</f>
        <v xml:space="preserve">| 1 L CPT % | 5 L PHP-CGM % | 3 P PRO % | 5 P Python % </v>
      </c>
      <c r="Z230" s="4" t="str">
        <f ca="1">IFERROR(__xludf.DUMMYFUNCTION("""COMPUTED_VALUE"""),"| 1 L CPT % | 2 L PHP-CGM % | 3 P CPT % | 5 P JAVA % ")</f>
        <v xml:space="preserve">| 1 L CPT % | 2 L PHP-CGM % | 3 P CPT % | 5 P JAVA % </v>
      </c>
      <c r="AA230" s="4" t="str">
        <f ca="1">IFERROR(__xludf.DUMMYFUNCTION("""COMPUTED_VALUE"""),"| 1 L NS % | 2 L JAVA % | 3 P PHP-CGM % | 5 P NS % ")</f>
        <v xml:space="preserve">| 1 L NS % | 2 L JAVA % | 3 P PHP-CGM % | 5 P NS % </v>
      </c>
      <c r="AB230" s="4" t="str">
        <f ca="1">IFERROR(__xludf.DUMMYFUNCTION("""COMPUTED_VALUE"""),"| 1 L CPT % | 2 L JAVA % | 3 P Python % ")</f>
        <v xml:space="preserve">| 1 L CPT % | 2 L JAVA % | 3 P Python % </v>
      </c>
      <c r="AC230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0" s="4" t="str">
        <f ca="1">IFERROR(__xludf.DUMMYFUNCTION("""COMPUTED_VALUE"""),"| 1 L CPT % | 2 L PHP-CGM % | 3 P PRO % | 5 P Python % ")</f>
        <v xml:space="preserve">| 1 L CPT % | 2 L PHP-CGM % | 3 P PRO % | 5 P Python % </v>
      </c>
      <c r="AE230" s="4" t="str">
        <f ca="1">IFERROR(__xludf.DUMMYFUNCTION("""COMPUTED_VALUE"""),"| 1 L CPT % | 3 P CPT % | 5 P JAVA % | 2 L PHP-CGM % ")</f>
        <v xml:space="preserve">| 1 L CPT % | 3 P CPT % | 5 P JAVA % | 2 L PHP-CGM % </v>
      </c>
      <c r="AF230" s="4" t="str">
        <f ca="1">IFERROR(__xludf.DUMMYFUNCTION("""COMPUTED_VALUE"""),"| 1 L NS % | 2 L CPT % | 3 P PHP-CGM % | 5 P NS % ")</f>
        <v xml:space="preserve">| 1 L NS % | 2 L CPT % | 3 P PHP-CGM % | 5 P NS % </v>
      </c>
      <c r="AG230" s="4" t="str">
        <f ca="1">IFERROR(__xludf.DUMMYFUNCTION("""COMPUTED_VALUE"""),"| 1 L CPT % | 2 L JAVA % | 3 P Python % ")</f>
        <v xml:space="preserve">| 1 L CPT % | 2 L JAVA % | 3 P Python % </v>
      </c>
      <c r="AH230" s="4" t="str">
        <f ca="1">IFERROR(__xludf.DUMMYFUNCTION("""COMPUTED_VALUE"""),"| 2 L JAVA % | 1 L NS % | 3 P PHP-CGM % | 5 P NS % ")</f>
        <v xml:space="preserve">| 2 L JAVA % | 1 L NS % | 3 P PHP-CGM % | 5 P NS % </v>
      </c>
      <c r="AI230" s="4" t="str">
        <f ca="1">IFERROR(__xludf.DUMMYFUNCTION("""COMPUTED_VALUE"""),"| 1 L CPT % | 2 L JAVA % | 3 P Python % ")</f>
        <v xml:space="preserve">| 1 L CPT % | 2 L JAVA % | 3 P Python % </v>
      </c>
      <c r="AJ230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0" s="4" t="str">
        <f ca="1">IFERROR(__xludf.DUMMYFUNCTION("""COMPUTED_VALUE"""),"| 1 L CPT % | 3 P PRO % | 2 L PHP-CGM % | 5 P Python % ")</f>
        <v xml:space="preserve">| 1 L CPT % | 3 P PRO % | 2 L PHP-CGM % | 5 P Python % </v>
      </c>
      <c r="AL230" s="4" t="str">
        <f ca="1">IFERROR(__xludf.DUMMYFUNCTION("""COMPUTED_VALUE"""),"| 1 L CPT % | 2 L PHP-CGM % | 3 P CPT % | 5 P JAVA % ")</f>
        <v xml:space="preserve">| 1 L CPT % | 2 L PHP-CGM % | 3 P CPT % | 5 P JAVA % </v>
      </c>
      <c r="AM230" s="4" t="str">
        <f ca="1">IFERROR(__xludf.DUMMYFUNCTION("""COMPUTED_VALUE"""),"| 2 L JAVA % | 3 P PHP-CGM % | 1 L NS % | 5 P NS % ")</f>
        <v xml:space="preserve">| 2 L JAVA % | 3 P PHP-CGM % | 1 L NS % | 5 P NS % </v>
      </c>
      <c r="AN230" s="4" t="str">
        <f ca="1">IFERROR(__xludf.DUMMYFUNCTION("""COMPUTED_VALUE"""),"| 1 L CPT % | 2 L JAVA % | 3 P Python % | 5 L INE @ ")</f>
        <v xml:space="preserve">| 1 L CPT % | 2 L JAVA % | 3 P Python % | 5 L INE @ </v>
      </c>
      <c r="AO230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30" s="4" t="str">
        <f ca="1">IFERROR(__xludf.DUMMYFUNCTION("""COMPUTED_VALUE"""),"| 1 L CPT % | 2 L PHP-CGM % | 3 P PRO % | 5 P Python % ")</f>
        <v xml:space="preserve">| 1 L CPT % | 2 L PHP-CGM % | 3 P PRO % | 5 P Python % </v>
      </c>
      <c r="AQ230" s="4" t="str">
        <f ca="1">IFERROR(__xludf.DUMMYFUNCTION("""COMPUTED_VALUE"""),"| 2 L PHP-CGM % | 3 P CPT % | 1 L NS % | 5 P JAVA % ")</f>
        <v xml:space="preserve">| 2 L PHP-CGM % | 3 P CPT % | 1 L NS % | 5 P JAVA % </v>
      </c>
      <c r="AR230" s="4" t="str">
        <f ca="1">IFERROR(__xludf.DUMMYFUNCTION("""COMPUTED_VALUE"""),"| 1 L CPT % | 2 L JAVA % | 3 P PHP-CGM % | 5 P NS % ")</f>
        <v xml:space="preserve">| 1 L CPT % | 2 L JAVA % | 3 P PHP-CGM % | 5 P NS % </v>
      </c>
      <c r="AS230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30" s="4" t="str">
        <f ca="1">IFERROR(__xludf.DUMMYFUNCTION("""COMPUTED_VALUE"""),"| 1 L CPT % | 2 L PHP-CGM % | 3 P PRO % | 5 P Python % ")</f>
        <v xml:space="preserve">| 1 L CPT % | 2 L PHP-CGM % | 3 P PRO % | 5 P Python % </v>
      </c>
      <c r="AU230" s="4" t="str">
        <f ca="1">IFERROR(__xludf.DUMMYFUNCTION("""COMPUTED_VALUE"""),"| 1 L NS % | 2 L PHP-CGM % | 3 P CPT % | 5 P JAVA % ")</f>
        <v xml:space="preserve">| 1 L NS % | 2 L PHP-CGM % | 3 P CPT % | 5 P JAVA % </v>
      </c>
      <c r="AV230" s="4" t="str">
        <f ca="1">IFERROR(__xludf.DUMMYFUNCTION("""COMPUTED_VALUE"""),"| 1 L CPT @ | 2 L JAVA % | 3 P PHP-CGM % | 5 P NS % ")</f>
        <v xml:space="preserve">| 1 L CPT @ | 2 L JAVA % | 3 P PHP-CGM % | 5 P NS % </v>
      </c>
      <c r="AW230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30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30" s="4" t="str">
        <f ca="1">IFERROR(__xludf.DUMMYFUNCTION("""COMPUTED_VALUE"""),"| 1 L CPT % | 2 L PHP-CGM % | 3 P PRO % | 5 P Python % ")</f>
        <v xml:space="preserve">| 1 L CPT % | 2 L PHP-CGM % | 3 P PRO % | 5 P Python % </v>
      </c>
      <c r="AZ230" s="4" t="str">
        <f ca="1">IFERROR(__xludf.DUMMYFUNCTION("""COMPUTED_VALUE"""),"| 1 L CPT % | 2 L JAVA % | 3 P PHP-CGM % | 5 P NS % ")</f>
        <v xml:space="preserve">| 1 L CPT % | 2 L JAVA % | 3 P PHP-CGM % | 5 P NS % </v>
      </c>
      <c r="BA230" s="4" t="str">
        <f ca="1">IFERROR(__xludf.DUMMYFUNCTION("""COMPUTED_VALUE"""),"| 1 L CPT % | 2 L JAVA % | 3 P Python % | 5 L INE @ ")</f>
        <v xml:space="preserve">| 1 L CPT % | 2 L JAVA % | 3 P Python % | 5 L INE @ </v>
      </c>
      <c r="BB230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0" s="4" t="str">
        <f ca="1">IFERROR(__xludf.DUMMYFUNCTION("""COMPUTED_VALUE"""),"| 1 L CPT % | 2 L PHP-CGM % | 3 P PRO % | 5 P Python % ")</f>
        <v xml:space="preserve">| 1 L CPT % | 2 L PHP-CGM % | 3 P PRO % | 5 P Python % </v>
      </c>
      <c r="BD230" s="4" t="str">
        <f ca="1">IFERROR(__xludf.DUMMYFUNCTION("""COMPUTED_VALUE"""),"| 1 L NS % | 2 L PHP-CGM % | 3 P CPT @ | 5 P JAVA % ")</f>
        <v xml:space="preserve">| 1 L NS % | 2 L PHP-CGM % | 3 P CPT @ | 5 P JAVA % </v>
      </c>
      <c r="BE230" s="4" t="str">
        <f ca="1">IFERROR(__xludf.DUMMYFUNCTION("""COMPUTED_VALUE"""),"| 1 L CPT % | 2 L JAVA % | 3 P PHP-CGM @ | 5 P NS % ")</f>
        <v xml:space="preserve">| 1 L CPT % | 2 L JAVA % | 3 P PHP-CGM @ | 5 P NS % </v>
      </c>
      <c r="BF230" s="4" t="str">
        <f ca="1">IFERROR(__xludf.DUMMYFUNCTION("""COMPUTED_VALUE"""),"| 1 L CPT % | 2 L JAVA % | 3 P Python % ")</f>
        <v xml:space="preserve">| 1 L CPT % | 2 L JAVA % | 3 P Python % </v>
      </c>
      <c r="BG230" s="4" t="str">
        <f ca="1">IFERROR(__xludf.DUMMYFUNCTION("""COMPUTED_VALUE"""),"| 2 L PHP-CGM % | 1 L CPT % | 3 P PRO % | 5 P Python % ")</f>
        <v xml:space="preserve">| 2 L PHP-CGM % | 1 L CPT % | 3 P PRO % | 5 P Python % </v>
      </c>
      <c r="BH230" s="4" t="str">
        <f ca="1">IFERROR(__xludf.DUMMYFUNCTION("""COMPUTED_VALUE"""),"| 1 L NS % | 2 L PHP-CGM % | 3 P CPT @ | 5 P JAVA @ ")</f>
        <v xml:space="preserve">| 1 L NS % | 2 L PHP-CGM % | 3 P CPT @ | 5 P JAVA @ </v>
      </c>
      <c r="BI230" s="4" t="str">
        <f ca="1">IFERROR(__xludf.DUMMYFUNCTION("""COMPUTED_VALUE"""),"| 1 L CPT % | 2 L JAVA % | 3 P PHP-CGM % | 5 P NS % ")</f>
        <v xml:space="preserve">| 1 L CPT % | 2 L JAVA % | 3 P PHP-CGM % | 5 P NS % </v>
      </c>
      <c r="BJ230" s="4" t="str">
        <f ca="1">IFERROR(__xludf.DUMMYFUNCTION("""COMPUTED_VALUE"""),"| 1 L CPT % | 2 L JAVA % | 3 P Python % | 5 L INE % ")</f>
        <v xml:space="preserve">| 1 L CPT % | 2 L JAVA % | 3 P Python % | 5 L INE % </v>
      </c>
      <c r="BK230" s="4" t="str">
        <f ca="1">IFERROR(__xludf.DUMMYFUNCTION("""COMPUTED_VALUE"""),"| 1 L NS % | 2 L PHP-CGM % | 5 L NS @ | 6 L JAVA @ ")</f>
        <v xml:space="preserve">| 1 L NS % | 2 L PHP-CGM % | 5 L NS @ | 6 L JAVA @ </v>
      </c>
      <c r="BL230" s="4" t="str">
        <f ca="1">IFERROR(__xludf.DUMMYFUNCTION("""COMPUTED_VALUE"""),"| 1 L CPT % | 2 L PHP-CGM % | 3 P PRO % ")</f>
        <v xml:space="preserve">| 1 L CPT % | 2 L PHP-CGM % | 3 P PRO % </v>
      </c>
      <c r="BM230" s="4" t="str">
        <f ca="1">IFERROR(__xludf.DUMMYFUNCTION("""COMPUTED_VALUE"""),"| 1 L NS % | 2 L PHP-CGM % | 3 P CPT @ | 5 P JAVA @ ")</f>
        <v xml:space="preserve">| 1 L NS % | 2 L PHP-CGM % | 3 P CPT @ | 5 P JAVA @ </v>
      </c>
      <c r="BN230" s="4" t="str">
        <f ca="1">IFERROR(__xludf.DUMMYFUNCTION("""COMPUTED_VALUE"""),"| 2 L JAVA % | 1 L CPT % | 3 P PHP-CGM % | 5 P NS % ")</f>
        <v xml:space="preserve">| 2 L JAVA % | 1 L CPT % | 3 P PHP-CGM % | 5 P NS % </v>
      </c>
      <c r="BO230" s="4" t="str">
        <f ca="1">IFERROR(__xludf.DUMMYFUNCTION("""COMPUTED_VALUE"""),"| 2 L JAVA @ | 1 L CPT @ | 3 P Python @ | 5 L INE @ ")</f>
        <v xml:space="preserve">| 2 L JAVA @ | 1 L CPT @ | 3 P Python @ | 5 L INE @ </v>
      </c>
      <c r="BP230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30" s="4"/>
      <c r="BR230" s="4"/>
      <c r="BS230" s="4"/>
      <c r="BT230" s="4" t="str">
        <f ca="1">IFERROR(__xludf.DUMMYFUNCTION("""COMPUTED_VALUE"""),"| 1 L NS @ | 2 L PHP-CGM @ | 3 P JAVA % ")</f>
        <v xml:space="preserve">| 1 L NS @ | 2 L PHP-CGM @ | 3 P JAVA % </v>
      </c>
      <c r="BU230" s="4" t="str">
        <f ca="1">IFERROR(__xludf.DUMMYFUNCTION("""COMPUTED_VALUE"""),"| 1 L CPT @ ")</f>
        <v xml:space="preserve">| 1 L CPT @ </v>
      </c>
      <c r="BV230" s="4" t="str">
        <f ca="1">IFERROR(__xludf.DUMMYFUNCTION("""COMPUTED_VALUE"""),"| 1 L NS % | 2 L PHP-CGM % | 3 P JAVA @ | 6 L JAVA @ ")</f>
        <v xml:space="preserve">| 1 L NS % | 2 L PHP-CGM % | 3 P JAVA @ | 6 L JAVA @ </v>
      </c>
      <c r="BW230" s="4" t="str">
        <f ca="1">IFERROR(__xludf.DUMMYFUNCTION("""COMPUTED_VALUE"""),"| 1 L CPT % | 2 L PHP-CGM % | 3 P PRO % ")</f>
        <v xml:space="preserve">| 1 L CPT % | 2 L PHP-CGM % | 3 P PRO % </v>
      </c>
      <c r="BX230" s="4" t="str">
        <f ca="1">IFERROR(__xludf.DUMMYFUNCTION("""COMPUTED_VALUE"""),"| 1 L NS % | 2 L PHP-CGM % | 3 P CPT % | 5 P JAVA % ")</f>
        <v xml:space="preserve">| 1 L NS % | 2 L PHP-CGM % | 3 P CPT % | 5 P JAVA % </v>
      </c>
      <c r="BY230" s="4" t="str">
        <f ca="1">IFERROR(__xludf.DUMMYFUNCTION("""COMPUTED_VALUE"""),"| 1 L CPT % | 2 L JAVA % | 3 P PHP-CGM % | 5 P NS % ")</f>
        <v xml:space="preserve">| 1 L CPT % | 2 L JAVA % | 3 P PHP-CGM % | 5 P NS % </v>
      </c>
      <c r="BZ230" s="4" t="str">
        <f ca="1">IFERROR(__xludf.DUMMYFUNCTION("""COMPUTED_VALUE"""),"| 1 L CPT % | 2 L JAVA @ | 5 L INE % ")</f>
        <v xml:space="preserve">| 1 L CPT % | 2 L JAVA @ | 5 L INE % </v>
      </c>
      <c r="CA230" s="4" t="str">
        <f ca="1">IFERROR(__xludf.DUMMYFUNCTION("""COMPUTED_VALUE"""),"| 1 L NS @ | 2 L PHP-CGM % | 3 P JAVA % | 5 L NS @ | 6 L JAVA @ ")</f>
        <v xml:space="preserve">| 1 L NS @ | 2 L PHP-CGM % | 3 P JAVA % | 5 L NS @ | 6 L JAVA @ </v>
      </c>
      <c r="CB230" s="4" t="str">
        <f ca="1">IFERROR(__xludf.DUMMYFUNCTION("""COMPUTED_VALUE"""),"| 2 L PHP-CGM @ | 3 P PRO @ | 5 P Python % | 1 L CPT @ ")</f>
        <v xml:space="preserve">| 2 L PHP-CGM @ | 3 P PRO @ | 5 P Python % | 1 L CPT @ </v>
      </c>
      <c r="CC230" s="4" t="str">
        <f ca="1">IFERROR(__xludf.DUMMYFUNCTION("""COMPUTED_VALUE"""),"| 1 L NS @ | 2 L PHP-CGM @ | 3 P CPT % | 5 P JAVA % ")</f>
        <v xml:space="preserve">| 1 L NS @ | 2 L PHP-CGM @ | 3 P CPT % | 5 P JAVA % </v>
      </c>
      <c r="CD230" s="4" t="str">
        <f ca="1">IFERROR(__xludf.DUMMYFUNCTION("""COMPUTED_VALUE"""),"| 1 L CPT @ | 2 L JAVA @ | 3 P PHP-CGM @ | 5 P NS @ ")</f>
        <v xml:space="preserve">| 1 L CPT @ | 2 L JAVA @ | 3 P PHP-CGM @ | 5 P NS @ </v>
      </c>
      <c r="CE230" s="4" t="str">
        <f ca="1">IFERROR(__xludf.DUMMYFUNCTION("""COMPUTED_VALUE"""),"| 1 L CPT % | 2 L JAVA % | 3 P Python % | 5 L INE % ")</f>
        <v xml:space="preserve">| 1 L CPT % | 2 L JAVA % | 3 P Python % | 5 L INE % </v>
      </c>
      <c r="CF230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0" s="4" t="str">
        <f ca="1">IFERROR(__xludf.DUMMYFUNCTION("""COMPUTED_VALUE"""),"| 1 L CPT @ | 2 L PHP-CGM @ | 5 P Python % ")</f>
        <v xml:space="preserve">| 1 L CPT @ | 2 L PHP-CGM @ | 5 P Python % </v>
      </c>
      <c r="CH230" s="4" t="str">
        <f ca="1">IFERROR(__xludf.DUMMYFUNCTION("""COMPUTED_VALUE"""),"| 1 L NS @ | 2 L PHP-CGM @ | 3 P CPT % ")</f>
        <v xml:space="preserve">| 1 L NS @ | 2 L PHP-CGM @ | 3 P CPT % </v>
      </c>
      <c r="CI230" s="4" t="str">
        <f ca="1">IFERROR(__xludf.DUMMYFUNCTION("""COMPUTED_VALUE"""),"| 1 L CPT @ | 2 L JAVA @ | 3 P PHP-CGM % | 5 P NS % ")</f>
        <v xml:space="preserve">| 1 L CPT @ | 2 L JAVA @ | 3 P PHP-CGM % | 5 P NS % </v>
      </c>
      <c r="CJ230" s="4" t="str">
        <f ca="1">IFERROR(__xludf.DUMMYFUNCTION("""COMPUTED_VALUE"""),"| 1 L CPT @ ")</f>
        <v xml:space="preserve">| 1 L CPT @ </v>
      </c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</row>
    <row r="231" spans="1:102" ht="12.5" x14ac:dyDescent="0.25">
      <c r="A231" s="3">
        <f ca="1">IFERROR(__xludf.DUMMYFUNCTION("""COMPUTED_VALUE"""),3)</f>
        <v>3</v>
      </c>
      <c r="B231" s="3" t="str">
        <f ca="1">IFERROR(__xludf.DUMMYFUNCTION("""COMPUTED_VALUE"""),"C")</f>
        <v>C</v>
      </c>
      <c r="C231" s="32" t="str">
        <f ca="1">IFERROR(__xludf.DUMMYFUNCTION("""COMPUTED_VALUE"""),"23171341142")</f>
        <v>23171341142</v>
      </c>
      <c r="D231" s="4" t="str">
        <f ca="1">IFERROR(__xludf.DUMMYFUNCTION("""COMPUTED_VALUE"""),"PRAJAPATI DIPAKBHAI BHARATBHAI")</f>
        <v>PRAJAPATI DIPAKBHAI BHARATBHAI</v>
      </c>
      <c r="E231" s="3" t="str">
        <f ca="1">IFERROR(__xludf.DUMMYFUNCTION("""COMPUTED_VALUE"""),"PKN/PAP-Mor")</f>
        <v>PKN/PAP-Mor</v>
      </c>
      <c r="F231" s="3">
        <f ca="1">IFERROR(__xludf.DUMMYFUNCTION("""COMPUTED_VALUE"""),6352658600)</f>
        <v>6352658600</v>
      </c>
      <c r="G231" s="3">
        <f ca="1">IFERROR(__xludf.DUMMYFUNCTION("""COMPUTED_VALUE"""),9925942721)</f>
        <v>9925942721</v>
      </c>
      <c r="H231" s="33">
        <f ca="1">IFERROR(__xludf.DUMMYFUNCTION("""COMPUTED_VALUE"""),0.617283950617283)</f>
        <v>0.61728395061728303</v>
      </c>
      <c r="I231" s="25">
        <f ca="1">IFERROR(__xludf.DUMMYFUNCTION("""COMPUTED_VALUE"""),0.605263157894736)</f>
        <v>0.60526315789473595</v>
      </c>
      <c r="J231" s="25">
        <f ca="1">IFERROR(__xludf.DUMMYFUNCTION("""COMPUTED_VALUE"""),0.909090909090909)</f>
        <v>0.90909090909090895</v>
      </c>
      <c r="K231" s="25">
        <f ca="1">IFERROR(__xludf.DUMMYFUNCTION("""COMPUTED_VALUE"""),0.555555555555555)</f>
        <v>0.55555555555555503</v>
      </c>
      <c r="L231" s="25">
        <f ca="1">IFERROR(__xludf.DUMMYFUNCTION("""COMPUTED_VALUE"""),0.615384615384615)</f>
        <v>0.61538461538461497</v>
      </c>
      <c r="M231" s="25">
        <f ca="1">IFERROR(__xludf.DUMMYFUNCTION("""COMPUTED_VALUE"""),0.638888888888888)</f>
        <v>0.63888888888888795</v>
      </c>
      <c r="N231" s="25">
        <f ca="1">IFERROR(__xludf.DUMMYFUNCTION("""COMPUTED_VALUE"""),0.692307692307692)</f>
        <v>0.69230769230769196</v>
      </c>
      <c r="O231" s="25">
        <f ca="1">IFERROR(__xludf.DUMMYFUNCTION("""COMPUTED_VALUE"""),0.514285714285714)</f>
        <v>0.51428571428571401</v>
      </c>
      <c r="P231" s="25">
        <f ca="1">IFERROR(__xludf.DUMMYFUNCTION("""COMPUTED_VALUE"""),0.59090909090909)</f>
        <v>0.59090909090909005</v>
      </c>
      <c r="Q231" s="25">
        <f ca="1">IFERROR(__xludf.DUMMYFUNCTION("""COMPUTED_VALUE"""),0)</f>
        <v>0</v>
      </c>
      <c r="R231" s="25">
        <f ca="1">IFERROR(__xludf.DUMMYFUNCTION("""COMPUTED_VALUE"""),0.6)</f>
        <v>0.6</v>
      </c>
      <c r="S231" s="25">
        <f ca="1">IFERROR(__xludf.DUMMYFUNCTION("""COMPUTED_VALUE"""),0)</f>
        <v>0</v>
      </c>
      <c r="T231" s="25">
        <f ca="1">IFERROR(__xludf.DUMMYFUNCTION("""COMPUTED_VALUE"""),0.818181818181818)</f>
        <v>0.81818181818181801</v>
      </c>
      <c r="U231" s="25">
        <f ca="1">IFERROR(__xludf.DUMMYFUNCTION("""COMPUTED_VALUE"""),0.625)</f>
        <v>0.625</v>
      </c>
      <c r="V231" s="25">
        <f ca="1">IFERROR(__xludf.DUMMYFUNCTION("""COMPUTED_VALUE"""),0)</f>
        <v>0</v>
      </c>
      <c r="W231" s="4"/>
      <c r="X231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31" s="4" t="str">
        <f ca="1">IFERROR(__xludf.DUMMYFUNCTION("""COMPUTED_VALUE"""),"| 1 L CPT % | 5 L PHP-CGM % | 3 P PRO % | 5 P Python % ")</f>
        <v xml:space="preserve">| 1 L CPT % | 5 L PHP-CGM % | 3 P PRO % | 5 P Python % </v>
      </c>
      <c r="Z231" s="4" t="str">
        <f ca="1">IFERROR(__xludf.DUMMYFUNCTION("""COMPUTED_VALUE"""),"| 1 L CPT % | 2 L PHP-CGM % | 3 P CPT % | 5 P JAVA % ")</f>
        <v xml:space="preserve">| 1 L CPT % | 2 L PHP-CGM % | 3 P CPT % | 5 P JAVA % </v>
      </c>
      <c r="AA231" s="4" t="str">
        <f ca="1">IFERROR(__xludf.DUMMYFUNCTION("""COMPUTED_VALUE"""),"| 1 L NS % | 2 L JAVA % | 3 P PHP-CGM % | 5 P NS % ")</f>
        <v xml:space="preserve">| 1 L NS % | 2 L JAVA % | 3 P PHP-CGM % | 5 P NS % </v>
      </c>
      <c r="AB231" s="4" t="str">
        <f ca="1">IFERROR(__xludf.DUMMYFUNCTION("""COMPUTED_VALUE"""),"| 1 L CPT % | 2 L JAVA % | 3 P Python % ")</f>
        <v xml:space="preserve">| 1 L CPT % | 2 L JAVA % | 3 P Python % </v>
      </c>
      <c r="AC23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1" s="4" t="str">
        <f ca="1">IFERROR(__xludf.DUMMYFUNCTION("""COMPUTED_VALUE"""),"| 1 L CPT % | 2 L PHP-CGM % | 3 P PRO % | 5 P Python @ ")</f>
        <v xml:space="preserve">| 1 L CPT % | 2 L PHP-CGM % | 3 P PRO % | 5 P Python @ </v>
      </c>
      <c r="AE231" s="4" t="str">
        <f ca="1">IFERROR(__xludf.DUMMYFUNCTION("""COMPUTED_VALUE"""),"| 1 L CPT % | 3 P CPT % | 5 P JAVA % | 2 L PHP-CGM % ")</f>
        <v xml:space="preserve">| 1 L CPT % | 3 P CPT % | 5 P JAVA % | 2 L PHP-CGM % </v>
      </c>
      <c r="AF231" s="4" t="str">
        <f ca="1">IFERROR(__xludf.DUMMYFUNCTION("""COMPUTED_VALUE"""),"| 1 L NS % | 2 L CPT % | 3 P PHP-CGM % | 5 P NS % ")</f>
        <v xml:space="preserve">| 1 L NS % | 2 L CPT % | 3 P PHP-CGM % | 5 P NS % </v>
      </c>
      <c r="AG231" s="4" t="str">
        <f ca="1">IFERROR(__xludf.DUMMYFUNCTION("""COMPUTED_VALUE"""),"| 1 L CPT % | 2 L JAVA % | 3 P Python % ")</f>
        <v xml:space="preserve">| 1 L CPT % | 2 L JAVA % | 3 P Python % </v>
      </c>
      <c r="AH231" s="4" t="str">
        <f ca="1">IFERROR(__xludf.DUMMYFUNCTION("""COMPUTED_VALUE"""),"| 2 L JAVA % | 1 L NS % | 3 P PHP-CGM % | 5 P NS % ")</f>
        <v xml:space="preserve">| 2 L JAVA % | 1 L NS % | 3 P PHP-CGM % | 5 P NS % </v>
      </c>
      <c r="AI231" s="4" t="str">
        <f ca="1">IFERROR(__xludf.DUMMYFUNCTION("""COMPUTED_VALUE"""),"| 1 L CPT % | 2 L JAVA % | 3 P Python % ")</f>
        <v xml:space="preserve">| 1 L CPT % | 2 L JAVA % | 3 P Python % </v>
      </c>
      <c r="AJ23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1" s="4" t="str">
        <f ca="1">IFERROR(__xludf.DUMMYFUNCTION("""COMPUTED_VALUE"""),"| 1 L CPT @ | 3 P PRO % | 2 L PHP-CGM @ | 5 P Python % ")</f>
        <v xml:space="preserve">| 1 L CPT @ | 3 P PRO % | 2 L PHP-CGM @ | 5 P Python % </v>
      </c>
      <c r="AL231" s="4" t="str">
        <f ca="1">IFERROR(__xludf.DUMMYFUNCTION("""COMPUTED_VALUE"""),"| 1 L CPT % | 2 L PHP-CGM % | 3 P CPT % | 5 P JAVA % ")</f>
        <v xml:space="preserve">| 1 L CPT % | 2 L PHP-CGM % | 3 P CPT % | 5 P JAVA % </v>
      </c>
      <c r="AM231" s="4" t="str">
        <f ca="1">IFERROR(__xludf.DUMMYFUNCTION("""COMPUTED_VALUE"""),"| 2 L JAVA @ | 3 P PHP-CGM % | 1 L NS @ | 5 P NS % ")</f>
        <v xml:space="preserve">| 2 L JAVA @ | 3 P PHP-CGM % | 1 L NS @ | 5 P NS % </v>
      </c>
      <c r="AN231" s="4" t="str">
        <f ca="1">IFERROR(__xludf.DUMMYFUNCTION("""COMPUTED_VALUE"""),"| 1 L CPT @ | 2 L JAVA @ | 3 P Python @ | 5 L INE @ ")</f>
        <v xml:space="preserve">| 1 L CPT @ | 2 L JAVA @ | 3 P Python @ | 5 L INE @ </v>
      </c>
      <c r="AO231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31" s="4" t="str">
        <f ca="1">IFERROR(__xludf.DUMMYFUNCTION("""COMPUTED_VALUE"""),"| 1 L CPT @ | 2 L PHP-CGM % | 3 P PRO % | 5 P Python @ ")</f>
        <v xml:space="preserve">| 1 L CPT @ | 2 L PHP-CGM % | 3 P PRO % | 5 P Python @ </v>
      </c>
      <c r="AQ231" s="4" t="str">
        <f ca="1">IFERROR(__xludf.DUMMYFUNCTION("""COMPUTED_VALUE"""),"| 2 L PHP-CGM % | 3 P CPT % | 1 L NS % | 5 P JAVA @ ")</f>
        <v xml:space="preserve">| 2 L PHP-CGM % | 3 P CPT % | 1 L NS % | 5 P JAVA @ </v>
      </c>
      <c r="AR231" s="4" t="str">
        <f ca="1">IFERROR(__xludf.DUMMYFUNCTION("""COMPUTED_VALUE"""),"| 1 L CPT @ | 2 L JAVA @ | 3 P PHP-CGM @ | 5 P NS @ ")</f>
        <v xml:space="preserve">| 1 L CPT @ | 2 L JAVA @ | 3 P PHP-CGM @ | 5 P NS @ </v>
      </c>
      <c r="AS231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AT231" s="4" t="str">
        <f ca="1">IFERROR(__xludf.DUMMYFUNCTION("""COMPUTED_VALUE"""),"| 1 L CPT @ | 2 L PHP-CGM @ | 3 P PRO @ | 5 P Python @ ")</f>
        <v xml:space="preserve">| 1 L CPT @ | 2 L PHP-CGM @ | 3 P PRO @ | 5 P Python @ </v>
      </c>
      <c r="AU231" s="4" t="str">
        <f ca="1">IFERROR(__xludf.DUMMYFUNCTION("""COMPUTED_VALUE"""),"| 1 L NS % | 2 L PHP-CGM % | 3 P CPT % | 5 P JAVA @ ")</f>
        <v xml:space="preserve">| 1 L NS % | 2 L PHP-CGM % | 3 P CPT % | 5 P JAVA @ </v>
      </c>
      <c r="AV231" s="4" t="str">
        <f ca="1">IFERROR(__xludf.DUMMYFUNCTION("""COMPUTED_VALUE"""),"| 1 L CPT % | 2 L JAVA % | 3 P PHP-CGM % | 5 P NS % ")</f>
        <v xml:space="preserve">| 1 L CPT % | 2 L JAVA % | 3 P PHP-CGM % | 5 P NS % </v>
      </c>
      <c r="AW231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31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Y231" s="4" t="str">
        <f ca="1">IFERROR(__xludf.DUMMYFUNCTION("""COMPUTED_VALUE"""),"| 1 L CPT % | 2 L PHP-CGM % | 3 P PRO % | 5 P Python @ ")</f>
        <v xml:space="preserve">| 1 L CPT % | 2 L PHP-CGM % | 3 P PRO % | 5 P Python @ </v>
      </c>
      <c r="AZ231" s="4" t="str">
        <f ca="1">IFERROR(__xludf.DUMMYFUNCTION("""COMPUTED_VALUE"""),"| 1 L CPT % | 2 L JAVA % | 3 P PHP-CGM % | 5 P NS % ")</f>
        <v xml:space="preserve">| 1 L CPT % | 2 L JAVA % | 3 P PHP-CGM % | 5 P NS % </v>
      </c>
      <c r="BA231" s="4" t="str">
        <f ca="1">IFERROR(__xludf.DUMMYFUNCTION("""COMPUTED_VALUE"""),"| 1 L CPT % | 2 L JAVA % | 3 P Python % | 5 L INE @ ")</f>
        <v xml:space="preserve">| 1 L CPT % | 2 L JAVA % | 3 P Python % | 5 L INE @ </v>
      </c>
      <c r="BB23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1" s="4" t="str">
        <f ca="1">IFERROR(__xludf.DUMMYFUNCTION("""COMPUTED_VALUE"""),"| 1 L CPT % | 2 L PHP-CGM % | 3 P PRO % | 5 P Python @ ")</f>
        <v xml:space="preserve">| 1 L CPT % | 2 L PHP-CGM % | 3 P PRO % | 5 P Python @ </v>
      </c>
      <c r="BD231" s="4" t="str">
        <f ca="1">IFERROR(__xludf.DUMMYFUNCTION("""COMPUTED_VALUE"""),"| 1 L NS % | 2 L PHP-CGM % | 3 P CPT % | 5 P JAVA @ ")</f>
        <v xml:space="preserve">| 1 L NS % | 2 L PHP-CGM % | 3 P CPT % | 5 P JAVA @ </v>
      </c>
      <c r="BE231" s="4" t="str">
        <f ca="1">IFERROR(__xludf.DUMMYFUNCTION("""COMPUTED_VALUE"""),"| 1 L CPT % | 2 L JAVA % | 3 P PHP-CGM % | 5 P NS @ ")</f>
        <v xml:space="preserve">| 1 L CPT % | 2 L JAVA % | 3 P PHP-CGM % | 5 P NS @ </v>
      </c>
      <c r="BF231" s="4" t="str">
        <f ca="1">IFERROR(__xludf.DUMMYFUNCTION("""COMPUTED_VALUE"""),"| 1 L CPT % | 2 L JAVA % | 3 P Python % ")</f>
        <v xml:space="preserve">| 1 L CPT % | 2 L JAVA % | 3 P Python % </v>
      </c>
      <c r="BG231" s="4" t="str">
        <f ca="1">IFERROR(__xludf.DUMMYFUNCTION("""COMPUTED_VALUE"""),"| 2 L PHP-CGM % | 1 L CPT % | 3 P PRO % | 5 P Python @ ")</f>
        <v xml:space="preserve">| 2 L PHP-CGM % | 1 L CPT % | 3 P PRO % | 5 P Python @ </v>
      </c>
      <c r="BH231" s="4" t="str">
        <f ca="1">IFERROR(__xludf.DUMMYFUNCTION("""COMPUTED_VALUE"""),"| 1 L NS % | 2 L PHP-CGM % | 3 P CPT % | 5 P JAVA @ ")</f>
        <v xml:space="preserve">| 1 L NS % | 2 L PHP-CGM % | 3 P CPT % | 5 P JAVA @ </v>
      </c>
      <c r="BI231" s="4" t="str">
        <f ca="1">IFERROR(__xludf.DUMMYFUNCTION("""COMPUTED_VALUE"""),"| 1 L CPT % | 2 L JAVA % | 3 P PHP-CGM @ | 5 P NS @ ")</f>
        <v xml:space="preserve">| 1 L CPT % | 2 L JAVA % | 3 P PHP-CGM @ | 5 P NS @ </v>
      </c>
      <c r="BJ231" s="4" t="str">
        <f ca="1">IFERROR(__xludf.DUMMYFUNCTION("""COMPUTED_VALUE"""),"| 1 L CPT % | 2 L JAVA % | 3 P Python % | 5 L INE % ")</f>
        <v xml:space="preserve">| 1 L CPT % | 2 L JAVA % | 3 P Python % | 5 L INE % </v>
      </c>
      <c r="BK231" s="4" t="str">
        <f ca="1">IFERROR(__xludf.DUMMYFUNCTION("""COMPUTED_VALUE"""),"| 1 L NS @ | 2 L PHP-CGM @ | 5 L NS @ | 6 L JAVA @ ")</f>
        <v xml:space="preserve">| 1 L NS @ | 2 L PHP-CGM @ | 5 L NS @ | 6 L JAVA @ </v>
      </c>
      <c r="BL231" s="4" t="str">
        <f ca="1">IFERROR(__xludf.DUMMYFUNCTION("""COMPUTED_VALUE"""),"| 1 L CPT @ | 2 L PHP-CGM % | 3 P PRO % ")</f>
        <v xml:space="preserve">| 1 L CPT @ | 2 L PHP-CGM % | 3 P PRO % </v>
      </c>
      <c r="BM231" s="4" t="str">
        <f ca="1">IFERROR(__xludf.DUMMYFUNCTION("""COMPUTED_VALUE"""),"| 1 L NS % | 2 L PHP-CGM @ | 3 P CPT @ | 5 P JAVA @ ")</f>
        <v xml:space="preserve">| 1 L NS % | 2 L PHP-CGM @ | 3 P CPT @ | 5 P JAVA @ </v>
      </c>
      <c r="BN231" s="4" t="str">
        <f ca="1">IFERROR(__xludf.DUMMYFUNCTION("""COMPUTED_VALUE"""),"| 2 L JAVA @ | 1 L CPT @ | 3 P PHP-CGM @ | 5 P NS @ ")</f>
        <v xml:space="preserve">| 2 L JAVA @ | 1 L CPT @ | 3 P PHP-CGM @ | 5 P NS @ </v>
      </c>
      <c r="BO231" s="4" t="str">
        <f ca="1">IFERROR(__xludf.DUMMYFUNCTION("""COMPUTED_VALUE"""),"| 2 L JAVA % | 1 L CPT % | 3 P Python % | 5 L INE % ")</f>
        <v xml:space="preserve">| 2 L JAVA % | 1 L CPT % | 3 P Python % | 5 L INE % </v>
      </c>
      <c r="BP231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31" s="4"/>
      <c r="BR231" s="4"/>
      <c r="BS231" s="4"/>
      <c r="BT231" s="4" t="str">
        <f ca="1">IFERROR(__xludf.DUMMYFUNCTION("""COMPUTED_VALUE"""),"| 1 L NS % | 2 L PHP-CGM % | 3 P JAVA % ")</f>
        <v xml:space="preserve">| 1 L NS % | 2 L PHP-CGM % | 3 P JAVA % </v>
      </c>
      <c r="BU231" s="4" t="str">
        <f ca="1">IFERROR(__xludf.DUMMYFUNCTION("""COMPUTED_VALUE"""),"| 1 L CPT @ ")</f>
        <v xml:space="preserve">| 1 L CPT @ </v>
      </c>
      <c r="BV231" s="4" t="str">
        <f ca="1">IFERROR(__xludf.DUMMYFUNCTION("""COMPUTED_VALUE"""),"| 1 L NS % | 2 L PHP-CGM % | 3 P JAVA % | 6 L JAVA @ ")</f>
        <v xml:space="preserve">| 1 L NS % | 2 L PHP-CGM % | 3 P JAVA % | 6 L JAVA @ </v>
      </c>
      <c r="BW231" s="4" t="str">
        <f ca="1">IFERROR(__xludf.DUMMYFUNCTION("""COMPUTED_VALUE"""),"| 1 L CPT % | 2 L PHP-CGM @ | 3 P PRO % ")</f>
        <v xml:space="preserve">| 1 L CPT % | 2 L PHP-CGM @ | 3 P PRO % </v>
      </c>
      <c r="BX231" s="4" t="str">
        <f ca="1">IFERROR(__xludf.DUMMYFUNCTION("""COMPUTED_VALUE"""),"| 1 L NS @ | 2 L PHP-CGM @ | 3 P CPT % | 5 P JAVA % ")</f>
        <v xml:space="preserve">| 1 L NS @ | 2 L PHP-CGM @ | 3 P CPT % | 5 P JAVA % </v>
      </c>
      <c r="BY231" s="4" t="str">
        <f ca="1">IFERROR(__xludf.DUMMYFUNCTION("""COMPUTED_VALUE"""),"| 1 L CPT @ | 2 L JAVA @ | 3 P PHP-CGM @ | 5 P NS @ ")</f>
        <v xml:space="preserve">| 1 L CPT @ | 2 L JAVA @ | 3 P PHP-CGM @ | 5 P NS @ </v>
      </c>
      <c r="BZ231" s="4" t="str">
        <f ca="1">IFERROR(__xludf.DUMMYFUNCTION("""COMPUTED_VALUE"""),"| 1 L CPT @ | 2 L JAVA @ | 5 L INE @ ")</f>
        <v xml:space="preserve">| 1 L CPT @ | 2 L JAVA @ | 5 L INE @ </v>
      </c>
      <c r="CA23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31" s="4" t="str">
        <f ca="1">IFERROR(__xludf.DUMMYFUNCTION("""COMPUTED_VALUE"""),"| 2 L PHP-CGM % | 3 P PRO @ | 5 P Python @ | 1 L CPT % ")</f>
        <v xml:space="preserve">| 2 L PHP-CGM % | 3 P PRO @ | 5 P Python @ | 1 L CPT % </v>
      </c>
      <c r="CC231" s="4" t="str">
        <f ca="1">IFERROR(__xludf.DUMMYFUNCTION("""COMPUTED_VALUE"""),"| 1 L NS @ | 2 L PHP-CGM @ | 3 P CPT % | 5 P JAVA @ ")</f>
        <v xml:space="preserve">| 1 L NS @ | 2 L PHP-CGM @ | 3 P CPT % | 5 P JAVA @ </v>
      </c>
      <c r="CD231" s="4" t="str">
        <f ca="1">IFERROR(__xludf.DUMMYFUNCTION("""COMPUTED_VALUE"""),"| 1 L CPT @ | 2 L JAVA @ | 3 P PHP-CGM % | 5 P NS % ")</f>
        <v xml:space="preserve">| 1 L CPT @ | 2 L JAVA @ | 3 P PHP-CGM % | 5 P NS % </v>
      </c>
      <c r="CE231" s="4" t="str">
        <f ca="1">IFERROR(__xludf.DUMMYFUNCTION("""COMPUTED_VALUE"""),"| 1 L CPT @ | 2 L JAVA @ | 3 P Python % | 5 L INE % ")</f>
        <v xml:space="preserve">| 1 L CPT @ | 2 L JAVA @ | 3 P Python % | 5 L INE % </v>
      </c>
      <c r="CF231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1" s="4" t="str">
        <f ca="1">IFERROR(__xludf.DUMMYFUNCTION("""COMPUTED_VALUE"""),"| 1 L CPT @ | 2 L PHP-CGM @ | 5 P Python % ")</f>
        <v xml:space="preserve">| 1 L CPT @ | 2 L PHP-CGM @ | 5 P Python % </v>
      </c>
      <c r="CH231" s="4" t="str">
        <f ca="1">IFERROR(__xludf.DUMMYFUNCTION("""COMPUTED_VALUE"""),"| 1 L NS @ | 2 L PHP-CGM @ | 3 P CPT % ")</f>
        <v xml:space="preserve">| 1 L NS @ | 2 L PHP-CGM @ | 3 P CPT % </v>
      </c>
      <c r="CI231" s="4" t="str">
        <f ca="1">IFERROR(__xludf.DUMMYFUNCTION("""COMPUTED_VALUE"""),"| 1 L CPT @ | 2 L JAVA @ | 3 P PHP-CGM % | 5 P NS % ")</f>
        <v xml:space="preserve">| 1 L CPT @ | 2 L JAVA @ | 3 P PHP-CGM % | 5 P NS % </v>
      </c>
      <c r="CJ231" s="4" t="str">
        <f ca="1">IFERROR(__xludf.DUMMYFUNCTION("""COMPUTED_VALUE"""),"| 1 L CPT @ ")</f>
        <v xml:space="preserve">| 1 L CPT @ </v>
      </c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</row>
    <row r="232" spans="1:102" ht="12.5" x14ac:dyDescent="0.25">
      <c r="A232" s="3">
        <f ca="1">IFERROR(__xludf.DUMMYFUNCTION("""COMPUTED_VALUE"""),3)</f>
        <v>3</v>
      </c>
      <c r="B232" s="3" t="str">
        <f ca="1">IFERROR(__xludf.DUMMYFUNCTION("""COMPUTED_VALUE"""),"C")</f>
        <v>C</v>
      </c>
      <c r="C232" s="32" t="str">
        <f ca="1">IFERROR(__xludf.DUMMYFUNCTION("""COMPUTED_VALUE"""),"23171341147")</f>
        <v>23171341147</v>
      </c>
      <c r="D232" s="4" t="str">
        <f ca="1">IFERROR(__xludf.DUMMYFUNCTION("""COMPUTED_VALUE"""),"PRAJAPATI SUJAL MANISHKUMAR")</f>
        <v>PRAJAPATI SUJAL MANISHKUMAR</v>
      </c>
      <c r="E232" s="3" t="str">
        <f ca="1">IFERROR(__xludf.DUMMYFUNCTION("""COMPUTED_VALUE"""),"PKN/PAP-Mor")</f>
        <v>PKN/PAP-Mor</v>
      </c>
      <c r="F232" s="3">
        <f ca="1">IFERROR(__xludf.DUMMYFUNCTION("""COMPUTED_VALUE"""),9023132937)</f>
        <v>9023132937</v>
      </c>
      <c r="G232" s="3">
        <f ca="1">IFERROR(__xludf.DUMMYFUNCTION("""COMPUTED_VALUE"""),9898630780)</f>
        <v>9898630780</v>
      </c>
      <c r="H232" s="33">
        <f ca="1">IFERROR(__xludf.DUMMYFUNCTION("""COMPUTED_VALUE"""),0.794238683127572)</f>
        <v>0.79423868312757195</v>
      </c>
      <c r="I232" s="25">
        <f ca="1">IFERROR(__xludf.DUMMYFUNCTION("""COMPUTED_VALUE"""),0.81578947368421)</f>
        <v>0.81578947368420995</v>
      </c>
      <c r="J232" s="25">
        <f ca="1">IFERROR(__xludf.DUMMYFUNCTION("""COMPUTED_VALUE"""),0.909090909090909)</f>
        <v>0.90909090909090895</v>
      </c>
      <c r="K232" s="25">
        <f ca="1">IFERROR(__xludf.DUMMYFUNCTION("""COMPUTED_VALUE"""),0.694444444444444)</f>
        <v>0.69444444444444398</v>
      </c>
      <c r="L232" s="25">
        <f ca="1">IFERROR(__xludf.DUMMYFUNCTION("""COMPUTED_VALUE"""),0.769230769230769)</f>
        <v>0.76923076923076905</v>
      </c>
      <c r="M232" s="25">
        <f ca="1">IFERROR(__xludf.DUMMYFUNCTION("""COMPUTED_VALUE"""),0.833333333333333)</f>
        <v>0.83333333333333304</v>
      </c>
      <c r="N232" s="25">
        <f ca="1">IFERROR(__xludf.DUMMYFUNCTION("""COMPUTED_VALUE"""),0.769230769230769)</f>
        <v>0.76923076923076905</v>
      </c>
      <c r="O232" s="25">
        <f ca="1">IFERROR(__xludf.DUMMYFUNCTION("""COMPUTED_VALUE"""),0.742857142857142)</f>
        <v>0.74285714285714199</v>
      </c>
      <c r="P232" s="25">
        <f ca="1">IFERROR(__xludf.DUMMYFUNCTION("""COMPUTED_VALUE"""),0.772727272727272)</f>
        <v>0.77272727272727204</v>
      </c>
      <c r="Q232" s="25">
        <f ca="1">IFERROR(__xludf.DUMMYFUNCTION("""COMPUTED_VALUE"""),0)</f>
        <v>0</v>
      </c>
      <c r="R232" s="25">
        <f ca="1">IFERROR(__xludf.DUMMYFUNCTION("""COMPUTED_VALUE"""),0.9)</f>
        <v>0.9</v>
      </c>
      <c r="S232" s="25">
        <f ca="1">IFERROR(__xludf.DUMMYFUNCTION("""COMPUTED_VALUE"""),0)</f>
        <v>0</v>
      </c>
      <c r="T232" s="25">
        <f ca="1">IFERROR(__xludf.DUMMYFUNCTION("""COMPUTED_VALUE"""),1)</f>
        <v>1</v>
      </c>
      <c r="U232" s="25">
        <f ca="1">IFERROR(__xludf.DUMMYFUNCTION("""COMPUTED_VALUE"""),0.625)</f>
        <v>0.625</v>
      </c>
      <c r="V232" s="25">
        <f ca="1">IFERROR(__xludf.DUMMYFUNCTION("""COMPUTED_VALUE"""),0)</f>
        <v>0</v>
      </c>
      <c r="W232" s="4"/>
      <c r="X23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32" s="4" t="str">
        <f ca="1">IFERROR(__xludf.DUMMYFUNCTION("""COMPUTED_VALUE"""),"| 1 L CPT % | 5 L PHP-CGM % | 3 P PRO % | 5 P Python % ")</f>
        <v xml:space="preserve">| 1 L CPT % | 5 L PHP-CGM % | 3 P PRO % | 5 P Python % </v>
      </c>
      <c r="Z232" s="4" t="str">
        <f ca="1">IFERROR(__xludf.DUMMYFUNCTION("""COMPUTED_VALUE"""),"| 1 L CPT % | 2 L PHP-CGM % | 3 P CPT % | 5 P JAVA % ")</f>
        <v xml:space="preserve">| 1 L CPT % | 2 L PHP-CGM % | 3 P CPT % | 5 P JAVA % </v>
      </c>
      <c r="AA232" s="4" t="str">
        <f ca="1">IFERROR(__xludf.DUMMYFUNCTION("""COMPUTED_VALUE"""),"| 1 L NS % | 2 L JAVA % | 3 P PHP-CGM % | 5 P NS % ")</f>
        <v xml:space="preserve">| 1 L NS % | 2 L JAVA % | 3 P PHP-CGM % | 5 P NS % </v>
      </c>
      <c r="AB232" s="4" t="str">
        <f ca="1">IFERROR(__xludf.DUMMYFUNCTION("""COMPUTED_VALUE"""),"| 1 L CPT % | 2 L JAVA % | 3 P Python % ")</f>
        <v xml:space="preserve">| 1 L CPT % | 2 L JAVA % | 3 P Python % </v>
      </c>
      <c r="AC23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2" s="4" t="str">
        <f ca="1">IFERROR(__xludf.DUMMYFUNCTION("""COMPUTED_VALUE"""),"| 1 L CPT % | 2 L PHP-CGM % | 3 P PRO % | 5 P Python % ")</f>
        <v xml:space="preserve">| 1 L CPT % | 2 L PHP-CGM % | 3 P PRO % | 5 P Python % </v>
      </c>
      <c r="AE232" s="4" t="str">
        <f ca="1">IFERROR(__xludf.DUMMYFUNCTION("""COMPUTED_VALUE"""),"| 1 L CPT % | 3 P CPT % | 5 P JAVA % | 2 L PHP-CGM % ")</f>
        <v xml:space="preserve">| 1 L CPT % | 3 P CPT % | 5 P JAVA % | 2 L PHP-CGM % </v>
      </c>
      <c r="AF232" s="4" t="str">
        <f ca="1">IFERROR(__xludf.DUMMYFUNCTION("""COMPUTED_VALUE"""),"| 1 L NS % | 2 L CPT % | 3 P PHP-CGM % | 5 P NS % ")</f>
        <v xml:space="preserve">| 1 L NS % | 2 L CPT % | 3 P PHP-CGM % | 5 P NS % </v>
      </c>
      <c r="AG232" s="4" t="str">
        <f ca="1">IFERROR(__xludf.DUMMYFUNCTION("""COMPUTED_VALUE"""),"| 1 L CPT % | 2 L JAVA % | 3 P Python @ ")</f>
        <v xml:space="preserve">| 1 L CPT % | 2 L JAVA % | 3 P Python @ </v>
      </c>
      <c r="AH232" s="4" t="str">
        <f ca="1">IFERROR(__xludf.DUMMYFUNCTION("""COMPUTED_VALUE"""),"| 2 L JAVA % | 1 L NS % | 3 P PHP-CGM % | 5 P NS % ")</f>
        <v xml:space="preserve">| 2 L JAVA % | 1 L NS % | 3 P PHP-CGM % | 5 P NS % </v>
      </c>
      <c r="AI232" s="4" t="str">
        <f ca="1">IFERROR(__xludf.DUMMYFUNCTION("""COMPUTED_VALUE"""),"| 1 L CPT % | 2 L JAVA % | 3 P Python % ")</f>
        <v xml:space="preserve">| 1 L CPT % | 2 L JAVA % | 3 P Python % </v>
      </c>
      <c r="AJ23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2" s="4" t="str">
        <f ca="1">IFERROR(__xludf.DUMMYFUNCTION("""COMPUTED_VALUE"""),"| 1 L CPT % | 3 P PRO % | 2 L PHP-CGM % | 5 P Python % ")</f>
        <v xml:space="preserve">| 1 L CPT % | 3 P PRO % | 2 L PHP-CGM % | 5 P Python % </v>
      </c>
      <c r="AL232" s="4" t="str">
        <f ca="1">IFERROR(__xludf.DUMMYFUNCTION("""COMPUTED_VALUE"""),"| 1 L CPT % | 2 L PHP-CGM % | 3 P CPT % | 5 P JAVA % ")</f>
        <v xml:space="preserve">| 1 L CPT % | 2 L PHP-CGM % | 3 P CPT % | 5 P JAVA % </v>
      </c>
      <c r="AM232" s="4" t="str">
        <f ca="1">IFERROR(__xludf.DUMMYFUNCTION("""COMPUTED_VALUE"""),"| 2 L JAVA % | 3 P PHP-CGM % | 1 L NS % | 5 P NS % ")</f>
        <v xml:space="preserve">| 2 L JAVA % | 3 P PHP-CGM % | 1 L NS % | 5 P NS % </v>
      </c>
      <c r="AN232" s="4" t="str">
        <f ca="1">IFERROR(__xludf.DUMMYFUNCTION("""COMPUTED_VALUE"""),"| 1 L CPT % | 2 L JAVA % | 3 P Python % | 5 L INE @ ")</f>
        <v xml:space="preserve">| 1 L CPT % | 2 L JAVA % | 3 P Python % | 5 L INE @ </v>
      </c>
      <c r="AO232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32" s="4" t="str">
        <f ca="1">IFERROR(__xludf.DUMMYFUNCTION("""COMPUTED_VALUE"""),"| 1 L CPT % | 2 L PHP-CGM % | 3 P PRO % | 5 P Python % ")</f>
        <v xml:space="preserve">| 1 L CPT % | 2 L PHP-CGM % | 3 P PRO % | 5 P Python % </v>
      </c>
      <c r="AQ232" s="4" t="str">
        <f ca="1">IFERROR(__xludf.DUMMYFUNCTION("""COMPUTED_VALUE"""),"| 2 L PHP-CGM % | 3 P CPT % | 1 L NS % | 5 P JAVA % ")</f>
        <v xml:space="preserve">| 2 L PHP-CGM % | 3 P CPT % | 1 L NS % | 5 P JAVA % </v>
      </c>
      <c r="AR232" s="4" t="str">
        <f ca="1">IFERROR(__xludf.DUMMYFUNCTION("""COMPUTED_VALUE"""),"| 1 L CPT % | 2 L JAVA % | 3 P PHP-CGM % | 5 P NS % ")</f>
        <v xml:space="preserve">| 1 L CPT % | 2 L JAVA % | 3 P PHP-CGM % | 5 P NS % </v>
      </c>
      <c r="AS23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32" s="4" t="str">
        <f ca="1">IFERROR(__xludf.DUMMYFUNCTION("""COMPUTED_VALUE"""),"| 1 L CPT % | 2 L PHP-CGM % | 3 P PRO % | 5 P Python % ")</f>
        <v xml:space="preserve">| 1 L CPT % | 2 L PHP-CGM % | 3 P PRO % | 5 P Python % </v>
      </c>
      <c r="AU232" s="4" t="str">
        <f ca="1">IFERROR(__xludf.DUMMYFUNCTION("""COMPUTED_VALUE"""),"| 1 L NS % | 2 L PHP-CGM % | 3 P CPT % | 5 P JAVA @ ")</f>
        <v xml:space="preserve">| 1 L NS % | 2 L PHP-CGM % | 3 P CPT % | 5 P JAVA @ </v>
      </c>
      <c r="AV232" s="4" t="str">
        <f ca="1">IFERROR(__xludf.DUMMYFUNCTION("""COMPUTED_VALUE"""),"| 1 L CPT % | 2 L JAVA % | 3 P PHP-CGM % | 5 P NS % ")</f>
        <v xml:space="preserve">| 1 L CPT % | 2 L JAVA % | 3 P PHP-CGM % | 5 P NS % </v>
      </c>
      <c r="AW232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32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32" s="4" t="str">
        <f ca="1">IFERROR(__xludf.DUMMYFUNCTION("""COMPUTED_VALUE"""),"| 1 L CPT % | 2 L PHP-CGM % | 3 P PRO % | 5 P Python % ")</f>
        <v xml:space="preserve">| 1 L CPT % | 2 L PHP-CGM % | 3 P PRO % | 5 P Python % </v>
      </c>
      <c r="AZ232" s="4" t="str">
        <f ca="1">IFERROR(__xludf.DUMMYFUNCTION("""COMPUTED_VALUE"""),"| 1 L CPT % | 2 L JAVA % | 3 P PHP-CGM % | 5 P NS % ")</f>
        <v xml:space="preserve">| 1 L CPT % | 2 L JAVA % | 3 P PHP-CGM % | 5 P NS % </v>
      </c>
      <c r="BA232" s="4" t="str">
        <f ca="1">IFERROR(__xludf.DUMMYFUNCTION("""COMPUTED_VALUE"""),"| 1 L CPT % | 2 L JAVA % | 3 P Python % | 5 L INE @ ")</f>
        <v xml:space="preserve">| 1 L CPT % | 2 L JAVA % | 3 P Python % | 5 L INE @ </v>
      </c>
      <c r="BB23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2" s="4" t="str">
        <f ca="1">IFERROR(__xludf.DUMMYFUNCTION("""COMPUTED_VALUE"""),"| 1 L CPT % | 2 L PHP-CGM % | 3 P PRO % | 5 P Python % ")</f>
        <v xml:space="preserve">| 1 L CPT % | 2 L PHP-CGM % | 3 P PRO % | 5 P Python % </v>
      </c>
      <c r="BD232" s="4" t="str">
        <f ca="1">IFERROR(__xludf.DUMMYFUNCTION("""COMPUTED_VALUE"""),"| 1 L NS % | 2 L PHP-CGM % | 3 P CPT % | 5 P JAVA % ")</f>
        <v xml:space="preserve">| 1 L NS % | 2 L PHP-CGM % | 3 P CPT % | 5 P JAVA % </v>
      </c>
      <c r="BE232" s="4" t="str">
        <f ca="1">IFERROR(__xludf.DUMMYFUNCTION("""COMPUTED_VALUE"""),"| 1 L CPT % | 2 L JAVA % | 3 P PHP-CGM @ | 5 P NS @ ")</f>
        <v xml:space="preserve">| 1 L CPT % | 2 L JAVA % | 3 P PHP-CGM @ | 5 P NS @ </v>
      </c>
      <c r="BF232" s="4" t="str">
        <f ca="1">IFERROR(__xludf.DUMMYFUNCTION("""COMPUTED_VALUE"""),"| 1 L CPT % | 2 L JAVA % | 3 P Python % ")</f>
        <v xml:space="preserve">| 1 L CPT % | 2 L JAVA % | 3 P Python % </v>
      </c>
      <c r="BG232" s="4" t="str">
        <f ca="1">IFERROR(__xludf.DUMMYFUNCTION("""COMPUTED_VALUE"""),"| 2 L PHP-CGM % | 1 L CPT % | 3 P PRO % | 5 P Python % ")</f>
        <v xml:space="preserve">| 2 L PHP-CGM % | 1 L CPT % | 3 P PRO % | 5 P Python % </v>
      </c>
      <c r="BH232" s="4" t="str">
        <f ca="1">IFERROR(__xludf.DUMMYFUNCTION("""COMPUTED_VALUE"""),"| 1 L NS % | 2 L PHP-CGM % | 3 P CPT % | 5 P JAVA % ")</f>
        <v xml:space="preserve">| 1 L NS % | 2 L PHP-CGM % | 3 P CPT % | 5 P JAVA % </v>
      </c>
      <c r="BI232" s="4" t="str">
        <f ca="1">IFERROR(__xludf.DUMMYFUNCTION("""COMPUTED_VALUE"""),"| 1 L CPT % | 2 L JAVA % | 3 P PHP-CGM % | 5 P NS % ")</f>
        <v xml:space="preserve">| 1 L CPT % | 2 L JAVA % | 3 P PHP-CGM % | 5 P NS % </v>
      </c>
      <c r="BJ232" s="4" t="str">
        <f ca="1">IFERROR(__xludf.DUMMYFUNCTION("""COMPUTED_VALUE"""),"| 1 L CPT @ | 2 L JAVA @ | 3 P Python @ | 5 L INE % ")</f>
        <v xml:space="preserve">| 1 L CPT @ | 2 L JAVA @ | 3 P Python @ | 5 L INE % </v>
      </c>
      <c r="BK232" s="4" t="str">
        <f ca="1">IFERROR(__xludf.DUMMYFUNCTION("""COMPUTED_VALUE"""),"| 1 L NS @ | 2 L PHP-CGM @ | 5 L NS @ | 6 L JAVA @ ")</f>
        <v xml:space="preserve">| 1 L NS @ | 2 L PHP-CGM @ | 5 L NS @ | 6 L JAVA @ </v>
      </c>
      <c r="BL232" s="4" t="str">
        <f ca="1">IFERROR(__xludf.DUMMYFUNCTION("""COMPUTED_VALUE"""),"| 1 L CPT % | 2 L PHP-CGM % | 3 P PRO % ")</f>
        <v xml:space="preserve">| 1 L CPT % | 2 L PHP-CGM % | 3 P PRO % </v>
      </c>
      <c r="BM232" s="4" t="str">
        <f ca="1">IFERROR(__xludf.DUMMYFUNCTION("""COMPUTED_VALUE"""),"| 1 L NS % | 2 L PHP-CGM % | 3 P CPT % | 5 P JAVA % ")</f>
        <v xml:space="preserve">| 1 L NS % | 2 L PHP-CGM % | 3 P CPT % | 5 P JAVA % </v>
      </c>
      <c r="BN232" s="4" t="str">
        <f ca="1">IFERROR(__xludf.DUMMYFUNCTION("""COMPUTED_VALUE"""),"| 2 L JAVA % | 1 L CPT % | 3 P PHP-CGM % | 5 P NS % ")</f>
        <v xml:space="preserve">| 2 L JAVA % | 1 L CPT % | 3 P PHP-CGM % | 5 P NS % </v>
      </c>
      <c r="BO232" s="4" t="str">
        <f ca="1">IFERROR(__xludf.DUMMYFUNCTION("""COMPUTED_VALUE"""),"| 2 L JAVA % | 1 L CPT % | 3 P Python % | 5 L INE % ")</f>
        <v xml:space="preserve">| 2 L JAVA % | 1 L CPT % | 3 P Python % | 5 L INE % </v>
      </c>
      <c r="BP23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32" s="4"/>
      <c r="BR232" s="4"/>
      <c r="BS232" s="4"/>
      <c r="BT232" s="4" t="str">
        <f ca="1">IFERROR(__xludf.DUMMYFUNCTION("""COMPUTED_VALUE"""),"| 1 L NS % | 2 L PHP-CGM % | 3 P JAVA % ")</f>
        <v xml:space="preserve">| 1 L NS % | 2 L PHP-CGM % | 3 P JAVA % </v>
      </c>
      <c r="BU232" s="4" t="str">
        <f ca="1">IFERROR(__xludf.DUMMYFUNCTION("""COMPUTED_VALUE"""),"| 1 L CPT @ ")</f>
        <v xml:space="preserve">| 1 L CPT @ </v>
      </c>
      <c r="BV232" s="4" t="str">
        <f ca="1">IFERROR(__xludf.DUMMYFUNCTION("""COMPUTED_VALUE"""),"| 1 L NS @ | 2 L PHP-CGM @ | 3 P JAVA @ | 6 L JAVA @ ")</f>
        <v xml:space="preserve">| 1 L NS @ | 2 L PHP-CGM @ | 3 P JAVA @ | 6 L JAVA @ </v>
      </c>
      <c r="BW232" s="4" t="str">
        <f ca="1">IFERROR(__xludf.DUMMYFUNCTION("""COMPUTED_VALUE"""),"| 1 L CPT @ | 2 L PHP-CGM % | 3 P PRO % ")</f>
        <v xml:space="preserve">| 1 L CPT @ | 2 L PHP-CGM % | 3 P PRO % </v>
      </c>
      <c r="BX232" s="4" t="str">
        <f ca="1">IFERROR(__xludf.DUMMYFUNCTION("""COMPUTED_VALUE"""),"| 1 L NS @ | 2 L PHP-CGM @ | 3 P CPT @ | 5 P JAVA @ ")</f>
        <v xml:space="preserve">| 1 L NS @ | 2 L PHP-CGM @ | 3 P CPT @ | 5 P JAVA @ </v>
      </c>
      <c r="BY232" s="4" t="str">
        <f ca="1">IFERROR(__xludf.DUMMYFUNCTION("""COMPUTED_VALUE"""),"| 1 L CPT @ | 2 L JAVA @ | 3 P PHP-CGM @ | 5 P NS @ ")</f>
        <v xml:space="preserve">| 1 L CPT @ | 2 L JAVA @ | 3 P PHP-CGM @ | 5 P NS @ </v>
      </c>
      <c r="BZ232" s="4" t="str">
        <f ca="1">IFERROR(__xludf.DUMMYFUNCTION("""COMPUTED_VALUE"""),"| 1 L CPT @ | 2 L JAVA @ | 5 L INE @ ")</f>
        <v xml:space="preserve">| 1 L CPT @ | 2 L JAVA @ | 5 L INE @ </v>
      </c>
      <c r="CA232" s="4" t="str">
        <f ca="1">IFERROR(__xludf.DUMMYFUNCTION("""COMPUTED_VALUE"""),"| 1 L NS @ | 2 L PHP-CGM % | 3 P JAVA @ | 5 L NS @ | 6 L JAVA @ ")</f>
        <v xml:space="preserve">| 1 L NS @ | 2 L PHP-CGM % | 3 P JAVA @ | 5 L NS @ | 6 L JAVA @ </v>
      </c>
      <c r="CB232" s="4" t="str">
        <f ca="1">IFERROR(__xludf.DUMMYFUNCTION("""COMPUTED_VALUE"""),"| 2 L PHP-CGM % | 3 P PRO % | 5 P Python % | 1 L CPT % ")</f>
        <v xml:space="preserve">| 2 L PHP-CGM % | 3 P PRO % | 5 P Python % | 1 L CPT % </v>
      </c>
      <c r="CC232" s="4" t="str">
        <f ca="1">IFERROR(__xludf.DUMMYFUNCTION("""COMPUTED_VALUE"""),"| 1 L NS % | 2 L PHP-CGM % | 3 P CPT % | 5 P JAVA % ")</f>
        <v xml:space="preserve">| 1 L NS % | 2 L PHP-CGM % | 3 P CPT % | 5 P JAVA % </v>
      </c>
      <c r="CD232" s="4" t="str">
        <f ca="1">IFERROR(__xludf.DUMMYFUNCTION("""COMPUTED_VALUE"""),"| 1 L CPT @ | 2 L JAVA @ | 3 P PHP-CGM @ | 5 P NS @ ")</f>
        <v xml:space="preserve">| 1 L CPT @ | 2 L JAVA @ | 3 P PHP-CGM @ | 5 P NS @ </v>
      </c>
      <c r="CE232" s="4" t="str">
        <f ca="1">IFERROR(__xludf.DUMMYFUNCTION("""COMPUTED_VALUE"""),"| 1 L CPT % | 2 L JAVA % | 3 P Python % | 5 L INE % ")</f>
        <v xml:space="preserve">| 1 L CPT % | 2 L JAVA % | 3 P Python % | 5 L INE % </v>
      </c>
      <c r="CF232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2" s="4" t="str">
        <f ca="1">IFERROR(__xludf.DUMMYFUNCTION("""COMPUTED_VALUE"""),"| 1 L CPT % | 2 L PHP-CGM % | 5 P Python % ")</f>
        <v xml:space="preserve">| 1 L CPT % | 2 L PHP-CGM % | 5 P Python % </v>
      </c>
      <c r="CH232" s="4" t="str">
        <f ca="1">IFERROR(__xludf.DUMMYFUNCTION("""COMPUTED_VALUE"""),"| 1 L NS @ | 2 L PHP-CGM @ | 3 P CPT % ")</f>
        <v xml:space="preserve">| 1 L NS @ | 2 L PHP-CGM @ | 3 P CPT % </v>
      </c>
      <c r="CI232" s="4" t="str">
        <f ca="1">IFERROR(__xludf.DUMMYFUNCTION("""COMPUTED_VALUE"""),"| 1 L CPT % | 2 L JAVA % | 3 P PHP-CGM % | 5 P NS % ")</f>
        <v xml:space="preserve">| 1 L CPT % | 2 L JAVA % | 3 P PHP-CGM % | 5 P NS % </v>
      </c>
      <c r="CJ232" s="4" t="str">
        <f ca="1">IFERROR(__xludf.DUMMYFUNCTION("""COMPUTED_VALUE"""),"| 1 L CPT @ ")</f>
        <v xml:space="preserve">| 1 L CPT @ </v>
      </c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</row>
    <row r="233" spans="1:102" ht="12.5" x14ac:dyDescent="0.25">
      <c r="A233" s="3">
        <f ca="1">IFERROR(__xludf.DUMMYFUNCTION("""COMPUTED_VALUE"""),3)</f>
        <v>3</v>
      </c>
      <c r="B233" s="3" t="str">
        <f ca="1">IFERROR(__xludf.DUMMYFUNCTION("""COMPUTED_VALUE"""),"C")</f>
        <v>C</v>
      </c>
      <c r="C233" s="32" t="str">
        <f ca="1">IFERROR(__xludf.DUMMYFUNCTION("""COMPUTED_VALUE"""),"23171341150")</f>
        <v>23171341150</v>
      </c>
      <c r="D233" s="4" t="str">
        <f ca="1">IFERROR(__xludf.DUMMYFUNCTION("""COMPUTED_VALUE"""),"RATHOD NAYAN KANJIBHAI")</f>
        <v>RATHOD NAYAN KANJIBHAI</v>
      </c>
      <c r="E233" s="3" t="str">
        <f ca="1">IFERROR(__xludf.DUMMYFUNCTION("""COMPUTED_VALUE"""),"PKN/PAP-Mor")</f>
        <v>PKN/PAP-Mor</v>
      </c>
      <c r="F233" s="3">
        <f ca="1">IFERROR(__xludf.DUMMYFUNCTION("""COMPUTED_VALUE"""),7990831150)</f>
        <v>7990831150</v>
      </c>
      <c r="G233" s="3">
        <f ca="1">IFERROR(__xludf.DUMMYFUNCTION("""COMPUTED_VALUE"""),9712796988)</f>
        <v>9712796988</v>
      </c>
      <c r="H233" s="33">
        <f ca="1">IFERROR(__xludf.DUMMYFUNCTION("""COMPUTED_VALUE"""),0.609053497942386)</f>
        <v>0.60905349794238595</v>
      </c>
      <c r="I233" s="25">
        <f ca="1">IFERROR(__xludf.DUMMYFUNCTION("""COMPUTED_VALUE"""),0.605263157894736)</f>
        <v>0.60526315789473595</v>
      </c>
      <c r="J233" s="25">
        <f ca="1">IFERROR(__xludf.DUMMYFUNCTION("""COMPUTED_VALUE"""),0.545454545454545)</f>
        <v>0.54545454545454497</v>
      </c>
      <c r="K233" s="25">
        <f ca="1">IFERROR(__xludf.DUMMYFUNCTION("""COMPUTED_VALUE"""),0.583333333333333)</f>
        <v>0.58333333333333304</v>
      </c>
      <c r="L233" s="25">
        <f ca="1">IFERROR(__xludf.DUMMYFUNCTION("""COMPUTED_VALUE"""),0.615384615384615)</f>
        <v>0.61538461538461497</v>
      </c>
      <c r="M233" s="25">
        <f ca="1">IFERROR(__xludf.DUMMYFUNCTION("""COMPUTED_VALUE"""),0.666666666666666)</f>
        <v>0.66666666666666596</v>
      </c>
      <c r="N233" s="25">
        <f ca="1">IFERROR(__xludf.DUMMYFUNCTION("""COMPUTED_VALUE"""),0.692307692307692)</f>
        <v>0.69230769230769196</v>
      </c>
      <c r="O233" s="25">
        <f ca="1">IFERROR(__xludf.DUMMYFUNCTION("""COMPUTED_VALUE"""),0.542857142857142)</f>
        <v>0.54285714285714204</v>
      </c>
      <c r="P233" s="25">
        <f ca="1">IFERROR(__xludf.DUMMYFUNCTION("""COMPUTED_VALUE"""),0.59090909090909)</f>
        <v>0.59090909090909005</v>
      </c>
      <c r="Q233" s="25">
        <f ca="1">IFERROR(__xludf.DUMMYFUNCTION("""COMPUTED_VALUE"""),0)</f>
        <v>0</v>
      </c>
      <c r="R233" s="25">
        <f ca="1">IFERROR(__xludf.DUMMYFUNCTION("""COMPUTED_VALUE"""),0.7)</f>
        <v>0.7</v>
      </c>
      <c r="S233" s="25">
        <f ca="1">IFERROR(__xludf.DUMMYFUNCTION("""COMPUTED_VALUE"""),0)</f>
        <v>0</v>
      </c>
      <c r="T233" s="25">
        <f ca="1">IFERROR(__xludf.DUMMYFUNCTION("""COMPUTED_VALUE"""),0.727272727272727)</f>
        <v>0.72727272727272696</v>
      </c>
      <c r="U233" s="25">
        <f ca="1">IFERROR(__xludf.DUMMYFUNCTION("""COMPUTED_VALUE"""),0.375)</f>
        <v>0.375</v>
      </c>
      <c r="V233" s="25">
        <f ca="1">IFERROR(__xludf.DUMMYFUNCTION("""COMPUTED_VALUE"""),0)</f>
        <v>0</v>
      </c>
      <c r="W233" s="4"/>
      <c r="X233" s="4" t="str">
        <f ca="1">IFERROR(__xludf.DUMMYFUNCTION("""COMPUTED_VALUE"""),"| 1 L NS @ | 2 L PHP-CGM % | 3 P JAVA @ | 5 L JAVA @ | 6 L NS @ ")</f>
        <v xml:space="preserve">| 1 L NS @ | 2 L PHP-CGM % | 3 P JAVA @ | 5 L JAVA @ | 6 L NS @ </v>
      </c>
      <c r="Y233" s="4" t="str">
        <f ca="1">IFERROR(__xludf.DUMMYFUNCTION("""COMPUTED_VALUE"""),"| 1 L CPT % | 5 L PHP-CGM % | 3 P PRO % | 5 P Python % ")</f>
        <v xml:space="preserve">| 1 L CPT % | 5 L PHP-CGM % | 3 P PRO % | 5 P Python % </v>
      </c>
      <c r="Z233" s="4" t="str">
        <f ca="1">IFERROR(__xludf.DUMMYFUNCTION("""COMPUTED_VALUE"""),"| 1 L CPT % | 2 L PHP-CGM % | 3 P CPT % | 5 P JAVA % ")</f>
        <v xml:space="preserve">| 1 L CPT % | 2 L PHP-CGM % | 3 P CPT % | 5 P JAVA % </v>
      </c>
      <c r="AA233" s="4" t="str">
        <f ca="1">IFERROR(__xludf.DUMMYFUNCTION("""COMPUTED_VALUE"""),"| 1 L NS % | 2 L JAVA % | 3 P PHP-CGM % | 5 P NS % ")</f>
        <v xml:space="preserve">| 1 L NS % | 2 L JAVA % | 3 P PHP-CGM % | 5 P NS % </v>
      </c>
      <c r="AB233" s="4" t="str">
        <f ca="1">IFERROR(__xludf.DUMMYFUNCTION("""COMPUTED_VALUE"""),"| 1 L CPT % | 2 L JAVA % | 3 P Python % ")</f>
        <v xml:space="preserve">| 1 L CPT % | 2 L JAVA % | 3 P Python % </v>
      </c>
      <c r="AC233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33" s="4" t="str">
        <f ca="1">IFERROR(__xludf.DUMMYFUNCTION("""COMPUTED_VALUE"""),"| 1 L CPT @ | 2 L PHP-CGM @ | 3 P PRO @ | 5 P Python @ ")</f>
        <v xml:space="preserve">| 1 L CPT @ | 2 L PHP-CGM @ | 3 P PRO @ | 5 P Python @ </v>
      </c>
      <c r="AE233" s="4" t="str">
        <f ca="1">IFERROR(__xludf.DUMMYFUNCTION("""COMPUTED_VALUE"""),"| 1 L CPT % | 3 P CPT % | 5 P JAVA % | 2 L PHP-CGM % ")</f>
        <v xml:space="preserve">| 1 L CPT % | 3 P CPT % | 5 P JAVA % | 2 L PHP-CGM % </v>
      </c>
      <c r="AF233" s="4" t="str">
        <f ca="1">IFERROR(__xludf.DUMMYFUNCTION("""COMPUTED_VALUE"""),"| 1 L NS % | 2 L CPT % | 3 P PHP-CGM @ | 5 P NS @ ")</f>
        <v xml:space="preserve">| 1 L NS % | 2 L CPT % | 3 P PHP-CGM @ | 5 P NS @ </v>
      </c>
      <c r="AG233" s="4" t="str">
        <f ca="1">IFERROR(__xludf.DUMMYFUNCTION("""COMPUTED_VALUE"""),"| 1 L CPT @ | 2 L JAVA @ | 3 P Python @ ")</f>
        <v xml:space="preserve">| 1 L CPT @ | 2 L JAVA @ | 3 P Python @ </v>
      </c>
      <c r="AH233" s="4" t="str">
        <f ca="1">IFERROR(__xludf.DUMMYFUNCTION("""COMPUTED_VALUE"""),"| 2 L JAVA % | 1 L NS % | 3 P PHP-CGM % | 5 P NS % ")</f>
        <v xml:space="preserve">| 2 L JAVA % | 1 L NS % | 3 P PHP-CGM % | 5 P NS % </v>
      </c>
      <c r="AI233" s="4" t="str">
        <f ca="1">IFERROR(__xludf.DUMMYFUNCTION("""COMPUTED_VALUE"""),"| 1 L CPT % | 2 L JAVA % | 3 P Python % ")</f>
        <v xml:space="preserve">| 1 L CPT % | 2 L JAVA % | 3 P Python % </v>
      </c>
      <c r="AJ23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3" s="4" t="str">
        <f ca="1">IFERROR(__xludf.DUMMYFUNCTION("""COMPUTED_VALUE"""),"| 1 L CPT @ | 3 P PRO @ | 2 L PHP-CGM @ | 5 P Python @ ")</f>
        <v xml:space="preserve">| 1 L CPT @ | 3 P PRO @ | 2 L PHP-CGM @ | 5 P Python @ </v>
      </c>
      <c r="AL233" s="4" t="str">
        <f ca="1">IFERROR(__xludf.DUMMYFUNCTION("""COMPUTED_VALUE"""),"| 1 L CPT % | 2 L PHP-CGM % | 3 P CPT % | 5 P JAVA % ")</f>
        <v xml:space="preserve">| 1 L CPT % | 2 L PHP-CGM % | 3 P CPT % | 5 P JAVA % </v>
      </c>
      <c r="AM233" s="4" t="str">
        <f ca="1">IFERROR(__xludf.DUMMYFUNCTION("""COMPUTED_VALUE"""),"| 2 L JAVA % | 3 P PHP-CGM % | 1 L NS % | 5 P NS % ")</f>
        <v xml:space="preserve">| 2 L JAVA % | 3 P PHP-CGM % | 1 L NS % | 5 P NS % </v>
      </c>
      <c r="AN233" s="4" t="str">
        <f ca="1">IFERROR(__xludf.DUMMYFUNCTION("""COMPUTED_VALUE"""),"| 1 L CPT @ | 2 L JAVA @ | 3 P Python @ | 5 L INE @ ")</f>
        <v xml:space="preserve">| 1 L CPT @ | 2 L JAVA @ | 3 P Python @ | 5 L INE @ </v>
      </c>
      <c r="AO233" s="4" t="str">
        <f ca="1">IFERROR(__xludf.DUMMYFUNCTION("""COMPUTED_VALUE"""),"| 1 L NS % | 2 L PHP-CGM % | 3 P JAVA @ | 5 L NS % | 5 L JAVA % ")</f>
        <v xml:space="preserve">| 1 L NS % | 2 L PHP-CGM % | 3 P JAVA @ | 5 L NS % | 5 L JAVA % </v>
      </c>
      <c r="AP233" s="4" t="str">
        <f ca="1">IFERROR(__xludf.DUMMYFUNCTION("""COMPUTED_VALUE"""),"| 1 L CPT % | 2 L PHP-CGM % | 3 P PRO % | 5 P Python % ")</f>
        <v xml:space="preserve">| 1 L CPT % | 2 L PHP-CGM % | 3 P PRO % | 5 P Python % </v>
      </c>
      <c r="AQ233" s="4" t="str">
        <f ca="1">IFERROR(__xludf.DUMMYFUNCTION("""COMPUTED_VALUE"""),"| 2 L PHP-CGM % | 3 P CPT @ | 1 L NS % | 5 P JAVA @ ")</f>
        <v xml:space="preserve">| 2 L PHP-CGM % | 3 P CPT @ | 1 L NS % | 5 P JAVA @ </v>
      </c>
      <c r="AR233" s="4" t="str">
        <f ca="1">IFERROR(__xludf.DUMMYFUNCTION("""COMPUTED_VALUE"""),"| 1 L CPT @ | 2 L JAVA @ | 3 P PHP-CGM @ | 5 P NS @ ")</f>
        <v xml:space="preserve">| 1 L CPT @ | 2 L JAVA @ | 3 P PHP-CGM @ | 5 P NS @ </v>
      </c>
      <c r="AS23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33" s="4" t="str">
        <f ca="1">IFERROR(__xludf.DUMMYFUNCTION("""COMPUTED_VALUE"""),"| 1 L CPT @ | 2 L PHP-CGM @ | 3 P PRO @ | 5 P Python @ ")</f>
        <v xml:space="preserve">| 1 L CPT @ | 2 L PHP-CGM @ | 3 P PRO @ | 5 P Python @ </v>
      </c>
      <c r="AU233" s="4" t="str">
        <f ca="1">IFERROR(__xludf.DUMMYFUNCTION("""COMPUTED_VALUE"""),"| 1 L NS @ | 2 L PHP-CGM % | 3 P CPT @ | 5 P JAVA @ ")</f>
        <v xml:space="preserve">| 1 L NS @ | 2 L PHP-CGM % | 3 P CPT @ | 5 P JAVA @ </v>
      </c>
      <c r="AV233" s="4" t="str">
        <f ca="1">IFERROR(__xludf.DUMMYFUNCTION("""COMPUTED_VALUE"""),"| 1 L CPT @ | 2 L JAVA @ | 3 P PHP-CGM @ | 5 P NS @ ")</f>
        <v xml:space="preserve">| 1 L CPT @ | 2 L JAVA @ | 3 P PHP-CGM @ | 5 P NS @ </v>
      </c>
      <c r="AW233" s="4" t="str">
        <f ca="1">IFERROR(__xludf.DUMMYFUNCTION("""COMPUTED_VALUE"""),"| 1 L CPT % | 2 L JAVA % | 3 P Python % | 5 L INE @ | 6 L INE @ ")</f>
        <v xml:space="preserve">| 1 L CPT % | 2 L JAVA % | 3 P Python % | 5 L INE @ | 6 L INE @ </v>
      </c>
      <c r="AX233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33" s="4" t="str">
        <f ca="1">IFERROR(__xludf.DUMMYFUNCTION("""COMPUTED_VALUE"""),"| 1 L CPT % | 2 L PHP-CGM % | 3 P PRO % | 5 P Python % ")</f>
        <v xml:space="preserve">| 1 L CPT % | 2 L PHP-CGM % | 3 P PRO % | 5 P Python % </v>
      </c>
      <c r="AZ233" s="4" t="str">
        <f ca="1">IFERROR(__xludf.DUMMYFUNCTION("""COMPUTED_VALUE"""),"| 1 L CPT % | 2 L JAVA % | 3 P PHP-CGM % | 5 P NS % ")</f>
        <v xml:space="preserve">| 1 L CPT % | 2 L JAVA % | 3 P PHP-CGM % | 5 P NS % </v>
      </c>
      <c r="BA233" s="4" t="str">
        <f ca="1">IFERROR(__xludf.DUMMYFUNCTION("""COMPUTED_VALUE"""),"| 1 L CPT % | 2 L JAVA % | 3 P Python % | 5 L INE @ ")</f>
        <v xml:space="preserve">| 1 L CPT % | 2 L JAVA % | 3 P Python % | 5 L INE @ </v>
      </c>
      <c r="BB233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3" s="4" t="str">
        <f ca="1">IFERROR(__xludf.DUMMYFUNCTION("""COMPUTED_VALUE"""),"| 1 L CPT % | 2 L PHP-CGM % | 3 P PRO % | 5 P Python % ")</f>
        <v xml:space="preserve">| 1 L CPT % | 2 L PHP-CGM % | 3 P PRO % | 5 P Python % </v>
      </c>
      <c r="BD233" s="4" t="str">
        <f ca="1">IFERROR(__xludf.DUMMYFUNCTION("""COMPUTED_VALUE"""),"| 1 L NS % | 2 L PHP-CGM % | 3 P CPT % | 5 P JAVA % ")</f>
        <v xml:space="preserve">| 1 L NS % | 2 L PHP-CGM % | 3 P CPT % | 5 P JAVA % </v>
      </c>
      <c r="BE233" s="4" t="str">
        <f ca="1">IFERROR(__xludf.DUMMYFUNCTION("""COMPUTED_VALUE"""),"| 1 L CPT % | 2 L JAVA % | 3 P PHP-CGM % | 5 P NS % ")</f>
        <v xml:space="preserve">| 1 L CPT % | 2 L JAVA % | 3 P PHP-CGM % | 5 P NS % </v>
      </c>
      <c r="BF233" s="4" t="str">
        <f ca="1">IFERROR(__xludf.DUMMYFUNCTION("""COMPUTED_VALUE"""),"| 1 L CPT % | 2 L JAVA % | 3 P Python % ")</f>
        <v xml:space="preserve">| 1 L CPT % | 2 L JAVA % | 3 P Python % </v>
      </c>
      <c r="BG233" s="4" t="str">
        <f ca="1">IFERROR(__xludf.DUMMYFUNCTION("""COMPUTED_VALUE"""),"| 2 L PHP-CGM % | 1 L CPT % | 3 P PRO % | 5 P Python % ")</f>
        <v xml:space="preserve">| 2 L PHP-CGM % | 1 L CPT % | 3 P PRO % | 5 P Python % </v>
      </c>
      <c r="BH233" s="4" t="str">
        <f ca="1">IFERROR(__xludf.DUMMYFUNCTION("""COMPUTED_VALUE"""),"| 1 L NS @ | 2 L PHP-CGM @ | 3 P CPT @ | 5 P JAVA @ ")</f>
        <v xml:space="preserve">| 1 L NS @ | 2 L PHP-CGM @ | 3 P CPT @ | 5 P JAVA @ </v>
      </c>
      <c r="BI233" s="4" t="str">
        <f ca="1">IFERROR(__xludf.DUMMYFUNCTION("""COMPUTED_VALUE"""),"| 1 L CPT @ | 2 L JAVA @ | 3 P PHP-CGM % | 5 P NS @ ")</f>
        <v xml:space="preserve">| 1 L CPT @ | 2 L JAVA @ | 3 P PHP-CGM % | 5 P NS @ </v>
      </c>
      <c r="BJ233" s="4" t="str">
        <f ca="1">IFERROR(__xludf.DUMMYFUNCTION("""COMPUTED_VALUE"""),"| 1 L CPT % | 2 L JAVA % | 3 P Python % | 5 L INE % ")</f>
        <v xml:space="preserve">| 1 L CPT % | 2 L JAVA % | 3 P Python % | 5 L INE % </v>
      </c>
      <c r="BK233" s="4" t="str">
        <f ca="1">IFERROR(__xludf.DUMMYFUNCTION("""COMPUTED_VALUE"""),"| 1 L NS % | 2 L PHP-CGM % | 5 L NS @ | 6 L JAVA @ ")</f>
        <v xml:space="preserve">| 1 L NS % | 2 L PHP-CGM % | 5 L NS @ | 6 L JAVA @ </v>
      </c>
      <c r="BL233" s="4" t="str">
        <f ca="1">IFERROR(__xludf.DUMMYFUNCTION("""COMPUTED_VALUE"""),"| 1 L CPT % | 2 L PHP-CGM @ | 3 P PRO % ")</f>
        <v xml:space="preserve">| 1 L CPT % | 2 L PHP-CGM @ | 3 P PRO % </v>
      </c>
      <c r="BM233" s="4" t="str">
        <f ca="1">IFERROR(__xludf.DUMMYFUNCTION("""COMPUTED_VALUE"""),"| 1 L NS @ | 2 L PHP-CGM @ | 3 P CPT @ | 5 P JAVA @ ")</f>
        <v xml:space="preserve">| 1 L NS @ | 2 L PHP-CGM @ | 3 P CPT @ | 5 P JAVA @ </v>
      </c>
      <c r="BN233" s="4" t="str">
        <f ca="1">IFERROR(__xludf.DUMMYFUNCTION("""COMPUTED_VALUE"""),"| 2 L JAVA @ | 1 L CPT @ | 3 P PHP-CGM @ | 5 P NS @ ")</f>
        <v xml:space="preserve">| 2 L JAVA @ | 1 L CPT @ | 3 P PHP-CGM @ | 5 P NS @ </v>
      </c>
      <c r="BO233" s="4" t="str">
        <f ca="1">IFERROR(__xludf.DUMMYFUNCTION("""COMPUTED_VALUE"""),"| 2 L JAVA @ | 1 L CPT @ | 3 P Python @ | 5 L INE @ ")</f>
        <v xml:space="preserve">| 2 L JAVA @ | 1 L CPT @ | 3 P Python @ | 5 L INE @ </v>
      </c>
      <c r="BP233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33" s="4"/>
      <c r="BR233" s="4"/>
      <c r="BS233" s="4"/>
      <c r="BT233" s="4" t="str">
        <f ca="1">IFERROR(__xludf.DUMMYFUNCTION("""COMPUTED_VALUE"""),"| 1 L NS % | 2 L PHP-CGM % | 3 P JAVA % ")</f>
        <v xml:space="preserve">| 1 L NS % | 2 L PHP-CGM % | 3 P JAVA % </v>
      </c>
      <c r="BU233" s="4" t="str">
        <f ca="1">IFERROR(__xludf.DUMMYFUNCTION("""COMPUTED_VALUE"""),"| 1 L CPT % ")</f>
        <v xml:space="preserve">| 1 L CPT % </v>
      </c>
      <c r="BV233" s="4" t="str">
        <f ca="1">IFERROR(__xludf.DUMMYFUNCTION("""COMPUTED_VALUE"""),"| 1 L NS % | 2 L PHP-CGM % | 3 P JAVA % | 6 L JAVA % ")</f>
        <v xml:space="preserve">| 1 L NS % | 2 L PHP-CGM % | 3 P JAVA % | 6 L JAVA % </v>
      </c>
      <c r="BW233" s="4" t="str">
        <f ca="1">IFERROR(__xludf.DUMMYFUNCTION("""COMPUTED_VALUE"""),"| 1 L CPT % | 2 L PHP-CGM % | 3 P PRO % ")</f>
        <v xml:space="preserve">| 1 L CPT % | 2 L PHP-CGM % | 3 P PRO % </v>
      </c>
      <c r="BX233" s="4" t="str">
        <f ca="1">IFERROR(__xludf.DUMMYFUNCTION("""COMPUTED_VALUE"""),"| 1 L NS % | 2 L PHP-CGM % | 3 P CPT % | 5 P JAVA % ")</f>
        <v xml:space="preserve">| 1 L NS % | 2 L PHP-CGM % | 3 P CPT % | 5 P JAVA % </v>
      </c>
      <c r="BY233" s="4" t="str">
        <f ca="1">IFERROR(__xludf.DUMMYFUNCTION("""COMPUTED_VALUE"""),"| 1 L CPT % | 2 L JAVA % | 3 P PHP-CGM % | 5 P NS % ")</f>
        <v xml:space="preserve">| 1 L CPT % | 2 L JAVA % | 3 P PHP-CGM % | 5 P NS % </v>
      </c>
      <c r="BZ233" s="4" t="str">
        <f ca="1">IFERROR(__xludf.DUMMYFUNCTION("""COMPUTED_VALUE"""),"| 1 L CPT % | 2 L JAVA % | 5 L INE % ")</f>
        <v xml:space="preserve">| 1 L CPT % | 2 L JAVA % | 5 L INE % </v>
      </c>
      <c r="CA233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B233" s="4" t="str">
        <f ca="1">IFERROR(__xludf.DUMMYFUNCTION("""COMPUTED_VALUE"""),"| 2 L PHP-CGM % | 3 P PRO % | 5 P Python % | 1 L CPT % ")</f>
        <v xml:space="preserve">| 2 L PHP-CGM % | 3 P PRO % | 5 P Python % | 1 L CPT % </v>
      </c>
      <c r="CC233" s="4" t="str">
        <f ca="1">IFERROR(__xludf.DUMMYFUNCTION("""COMPUTED_VALUE"""),"| 1 L NS @ | 2 L PHP-CGM @ | 3 P CPT @ | 5 P JAVA @ ")</f>
        <v xml:space="preserve">| 1 L NS @ | 2 L PHP-CGM @ | 3 P CPT @ | 5 P JAVA @ </v>
      </c>
      <c r="CD233" s="4" t="str">
        <f ca="1">IFERROR(__xludf.DUMMYFUNCTION("""COMPUTED_VALUE"""),"| 1 L CPT @ | 2 L JAVA @ | 3 P PHP-CGM % | 5 P NS % ")</f>
        <v xml:space="preserve">| 1 L CPT @ | 2 L JAVA @ | 3 P PHP-CGM % | 5 P NS % </v>
      </c>
      <c r="CE233" s="4" t="str">
        <f ca="1">IFERROR(__xludf.DUMMYFUNCTION("""COMPUTED_VALUE"""),"| 1 L CPT @ | 2 L JAVA @ | 3 P Python % | 5 L INE % ")</f>
        <v xml:space="preserve">| 1 L CPT @ | 2 L JAVA @ | 3 P Python % | 5 L INE % </v>
      </c>
      <c r="CF233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3" s="4" t="str">
        <f ca="1">IFERROR(__xludf.DUMMYFUNCTION("""COMPUTED_VALUE"""),"| 1 L CPT @ | 2 L PHP-CGM @ | 5 P Python % ")</f>
        <v xml:space="preserve">| 1 L CPT @ | 2 L PHP-CGM @ | 5 P Python % </v>
      </c>
      <c r="CH233" s="4" t="str">
        <f ca="1">IFERROR(__xludf.DUMMYFUNCTION("""COMPUTED_VALUE"""),"| 1 L NS @ | 2 L PHP-CGM @ | 3 P CPT % ")</f>
        <v xml:space="preserve">| 1 L NS @ | 2 L PHP-CGM @ | 3 P CPT % </v>
      </c>
      <c r="CI233" s="4" t="str">
        <f ca="1">IFERROR(__xludf.DUMMYFUNCTION("""COMPUTED_VALUE"""),"| 1 L CPT @ | 2 L JAVA @ | 3 P PHP-CGM % | 5 P NS % ")</f>
        <v xml:space="preserve">| 1 L CPT @ | 2 L JAVA @ | 3 P PHP-CGM % | 5 P NS % </v>
      </c>
      <c r="CJ233" s="4" t="str">
        <f ca="1">IFERROR(__xludf.DUMMYFUNCTION("""COMPUTED_VALUE"""),"| 1 L CPT @ ")</f>
        <v xml:space="preserve">| 1 L CPT @ </v>
      </c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</row>
    <row r="234" spans="1:102" ht="12.5" x14ac:dyDescent="0.25">
      <c r="A234" s="3">
        <f ca="1">IFERROR(__xludf.DUMMYFUNCTION("""COMPUTED_VALUE"""),3)</f>
        <v>3</v>
      </c>
      <c r="B234" s="3" t="str">
        <f ca="1">IFERROR(__xludf.DUMMYFUNCTION("""COMPUTED_VALUE"""),"C")</f>
        <v>C</v>
      </c>
      <c r="C234" s="32" t="str">
        <f ca="1">IFERROR(__xludf.DUMMYFUNCTION("""COMPUTED_VALUE"""),"23171341152")</f>
        <v>23171341152</v>
      </c>
      <c r="D234" s="4" t="str">
        <f ca="1">IFERROR(__xludf.DUMMYFUNCTION("""COMPUTED_VALUE"""),"RATHOD NIYATI JITENDRABHAI")</f>
        <v>RATHOD NIYATI JITENDRABHAI</v>
      </c>
      <c r="E234" s="3" t="str">
        <f ca="1">IFERROR(__xludf.DUMMYFUNCTION("""COMPUTED_VALUE"""),"PKN/PAP-Mor")</f>
        <v>PKN/PAP-Mor</v>
      </c>
      <c r="F234" s="3">
        <f ca="1">IFERROR(__xludf.DUMMYFUNCTION("""COMPUTED_VALUE"""),8347848440)</f>
        <v>8347848440</v>
      </c>
      <c r="G234" s="3">
        <f ca="1">IFERROR(__xludf.DUMMYFUNCTION("""COMPUTED_VALUE"""),8347848440)</f>
        <v>8347848440</v>
      </c>
      <c r="H234" s="33">
        <f ca="1">IFERROR(__xludf.DUMMYFUNCTION("""COMPUTED_VALUE"""),0.625514403292181)</f>
        <v>0.625514403292181</v>
      </c>
      <c r="I234" s="25">
        <f ca="1">IFERROR(__xludf.DUMMYFUNCTION("""COMPUTED_VALUE"""),0.657894736842105)</f>
        <v>0.65789473684210498</v>
      </c>
      <c r="J234" s="25">
        <f ca="1">IFERROR(__xludf.DUMMYFUNCTION("""COMPUTED_VALUE"""),0.545454545454545)</f>
        <v>0.54545454545454497</v>
      </c>
      <c r="K234" s="25">
        <f ca="1">IFERROR(__xludf.DUMMYFUNCTION("""COMPUTED_VALUE"""),0.583333333333333)</f>
        <v>0.58333333333333304</v>
      </c>
      <c r="L234" s="25">
        <f ca="1">IFERROR(__xludf.DUMMYFUNCTION("""COMPUTED_VALUE"""),0.846153846153846)</f>
        <v>0.84615384615384603</v>
      </c>
      <c r="M234" s="25">
        <f ca="1">IFERROR(__xludf.DUMMYFUNCTION("""COMPUTED_VALUE"""),0.583333333333333)</f>
        <v>0.58333333333333304</v>
      </c>
      <c r="N234" s="25">
        <f ca="1">IFERROR(__xludf.DUMMYFUNCTION("""COMPUTED_VALUE"""),0.846153846153846)</f>
        <v>0.84615384615384603</v>
      </c>
      <c r="O234" s="25">
        <f ca="1">IFERROR(__xludf.DUMMYFUNCTION("""COMPUTED_VALUE"""),0.657142857142857)</f>
        <v>0.65714285714285703</v>
      </c>
      <c r="P234" s="25">
        <f ca="1">IFERROR(__xludf.DUMMYFUNCTION("""COMPUTED_VALUE"""),0.454545454545454)</f>
        <v>0.45454545454545398</v>
      </c>
      <c r="Q234" s="25">
        <f ca="1">IFERROR(__xludf.DUMMYFUNCTION("""COMPUTED_VALUE"""),0)</f>
        <v>0</v>
      </c>
      <c r="R234" s="25">
        <f ca="1">IFERROR(__xludf.DUMMYFUNCTION("""COMPUTED_VALUE"""),0.7)</f>
        <v>0.7</v>
      </c>
      <c r="S234" s="25">
        <f ca="1">IFERROR(__xludf.DUMMYFUNCTION("""COMPUTED_VALUE"""),0)</f>
        <v>0</v>
      </c>
      <c r="T234" s="25">
        <f ca="1">IFERROR(__xludf.DUMMYFUNCTION("""COMPUTED_VALUE"""),0.545454545454545)</f>
        <v>0.54545454545454497</v>
      </c>
      <c r="U234" s="25">
        <f ca="1">IFERROR(__xludf.DUMMYFUNCTION("""COMPUTED_VALUE"""),0.5)</f>
        <v>0.5</v>
      </c>
      <c r="V234" s="25">
        <f ca="1">IFERROR(__xludf.DUMMYFUNCTION("""COMPUTED_VALUE"""),0)</f>
        <v>0</v>
      </c>
      <c r="W234" s="4"/>
      <c r="X234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34" s="4" t="str">
        <f ca="1">IFERROR(__xludf.DUMMYFUNCTION("""COMPUTED_VALUE"""),"| 1 L CPT @ | 5 L PHP-CGM @ | 3 P PRO % | 5 P Python % ")</f>
        <v xml:space="preserve">| 1 L CPT @ | 5 L PHP-CGM @ | 3 P PRO % | 5 P Python % </v>
      </c>
      <c r="Z234" s="4" t="str">
        <f ca="1">IFERROR(__xludf.DUMMYFUNCTION("""COMPUTED_VALUE"""),"| 1 L CPT % | 2 L PHP-CGM % | 3 P CPT % | 5 P JAVA % ")</f>
        <v xml:space="preserve">| 1 L CPT % | 2 L PHP-CGM % | 3 P CPT % | 5 P JAVA % </v>
      </c>
      <c r="AA234" s="4" t="str">
        <f ca="1">IFERROR(__xludf.DUMMYFUNCTION("""COMPUTED_VALUE"""),"| 1 L NS % | 2 L JAVA % | 3 P PHP-CGM % | 5 P NS % ")</f>
        <v xml:space="preserve">| 1 L NS % | 2 L JAVA % | 3 P PHP-CGM % | 5 P NS % </v>
      </c>
      <c r="AB234" s="4" t="str">
        <f ca="1">IFERROR(__xludf.DUMMYFUNCTION("""COMPUTED_VALUE"""),"| 1 L CPT % | 2 L JAVA % | 3 P Python % ")</f>
        <v xml:space="preserve">| 1 L CPT % | 2 L JAVA % | 3 P Python % </v>
      </c>
      <c r="AC234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4" s="4" t="str">
        <f ca="1">IFERROR(__xludf.DUMMYFUNCTION("""COMPUTED_VALUE"""),"| 1 L CPT % | 2 L PHP-CGM % | 3 P PRO % | 5 P Python % ")</f>
        <v xml:space="preserve">| 1 L CPT % | 2 L PHP-CGM % | 3 P PRO % | 5 P Python % </v>
      </c>
      <c r="AE234" s="4" t="str">
        <f ca="1">IFERROR(__xludf.DUMMYFUNCTION("""COMPUTED_VALUE"""),"| 1 L CPT % | 3 P CPT % | 5 P JAVA % | 2 L PHP-CGM % ")</f>
        <v xml:space="preserve">| 1 L CPT % | 3 P CPT % | 5 P JAVA % | 2 L PHP-CGM % </v>
      </c>
      <c r="AF234" s="4" t="str">
        <f ca="1">IFERROR(__xludf.DUMMYFUNCTION("""COMPUTED_VALUE"""),"| 1 L NS % | 2 L CPT % | 3 P PHP-CGM % | 5 P NS % ")</f>
        <v xml:space="preserve">| 1 L NS % | 2 L CPT % | 3 P PHP-CGM % | 5 P NS % </v>
      </c>
      <c r="AG234" s="4" t="str">
        <f ca="1">IFERROR(__xludf.DUMMYFUNCTION("""COMPUTED_VALUE"""),"| 1 L CPT % | 2 L JAVA % | 3 P Python % ")</f>
        <v xml:space="preserve">| 1 L CPT % | 2 L JAVA % | 3 P Python % </v>
      </c>
      <c r="AH234" s="4" t="str">
        <f ca="1">IFERROR(__xludf.DUMMYFUNCTION("""COMPUTED_VALUE"""),"| 2 L JAVA % | 1 L NS % | 3 P PHP-CGM % | 5 P NS % ")</f>
        <v xml:space="preserve">| 2 L JAVA % | 1 L NS % | 3 P PHP-CGM % | 5 P NS % </v>
      </c>
      <c r="AI234" s="4" t="str">
        <f ca="1">IFERROR(__xludf.DUMMYFUNCTION("""COMPUTED_VALUE"""),"| 1 L CPT % | 2 L JAVA % | 3 P Python % ")</f>
        <v xml:space="preserve">| 1 L CPT % | 2 L JAVA % | 3 P Python % </v>
      </c>
      <c r="AJ234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4" s="4" t="str">
        <f ca="1">IFERROR(__xludf.DUMMYFUNCTION("""COMPUTED_VALUE"""),"| 1 L CPT % | 3 P PRO % | 2 L PHP-CGM % | 5 P Python % ")</f>
        <v xml:space="preserve">| 1 L CPT % | 3 P PRO % | 2 L PHP-CGM % | 5 P Python % </v>
      </c>
      <c r="AL234" s="4" t="str">
        <f ca="1">IFERROR(__xludf.DUMMYFUNCTION("""COMPUTED_VALUE"""),"| 1 L CPT % | 2 L PHP-CGM % | 3 P CPT % | 5 P JAVA % ")</f>
        <v xml:space="preserve">| 1 L CPT % | 2 L PHP-CGM % | 3 P CPT % | 5 P JAVA % </v>
      </c>
      <c r="AM234" s="4" t="str">
        <f ca="1">IFERROR(__xludf.DUMMYFUNCTION("""COMPUTED_VALUE"""),"| 2 L JAVA % | 3 P PHP-CGM % | 1 L NS % | 5 P NS % ")</f>
        <v xml:space="preserve">| 2 L JAVA % | 3 P PHP-CGM % | 1 L NS % | 5 P NS % </v>
      </c>
      <c r="AN234" s="4" t="str">
        <f ca="1">IFERROR(__xludf.DUMMYFUNCTION("""COMPUTED_VALUE"""),"| 1 L CPT @ | 2 L JAVA @ | 3 P Python @ | 5 L INE @ ")</f>
        <v xml:space="preserve">| 1 L CPT @ | 2 L JAVA @ | 3 P Python @ | 5 L INE @ </v>
      </c>
      <c r="AO234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34" s="4" t="str">
        <f ca="1">IFERROR(__xludf.DUMMYFUNCTION("""COMPUTED_VALUE"""),"| 1 L CPT @ | 2 L PHP-CGM @ | 3 P PRO @ | 5 P Python @ ")</f>
        <v xml:space="preserve">| 1 L CPT @ | 2 L PHP-CGM @ | 3 P PRO @ | 5 P Python @ </v>
      </c>
      <c r="AQ234" s="4" t="str">
        <f ca="1">IFERROR(__xludf.DUMMYFUNCTION("""COMPUTED_VALUE"""),"| 2 L PHP-CGM @ | 3 P CPT @ | 1 L NS @ | 5 P JAVA @ ")</f>
        <v xml:space="preserve">| 2 L PHP-CGM @ | 3 P CPT @ | 1 L NS @ | 5 P JAVA @ </v>
      </c>
      <c r="AR234" s="4" t="str">
        <f ca="1">IFERROR(__xludf.DUMMYFUNCTION("""COMPUTED_VALUE"""),"| 1 L CPT @ | 2 L JAVA @ | 3 P PHP-CGM @ | 5 P NS @ ")</f>
        <v xml:space="preserve">| 1 L CPT @ | 2 L JAVA @ | 3 P PHP-CGM @ | 5 P NS @ </v>
      </c>
      <c r="AS234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34" s="4" t="str">
        <f ca="1">IFERROR(__xludf.DUMMYFUNCTION("""COMPUTED_VALUE"""),"| 1 L CPT % | 2 L PHP-CGM % | 3 P PRO % | 5 P Python % ")</f>
        <v xml:space="preserve">| 1 L CPT % | 2 L PHP-CGM % | 3 P PRO % | 5 P Python % </v>
      </c>
      <c r="AU234" s="4" t="str">
        <f ca="1">IFERROR(__xludf.DUMMYFUNCTION("""COMPUTED_VALUE"""),"| 1 L NS % | 2 L PHP-CGM % | 3 P CPT % | 5 P JAVA % ")</f>
        <v xml:space="preserve">| 1 L NS % | 2 L PHP-CGM % | 3 P CPT % | 5 P JAVA % </v>
      </c>
      <c r="AV234" s="4" t="str">
        <f ca="1">IFERROR(__xludf.DUMMYFUNCTION("""COMPUTED_VALUE"""),"| 1 L CPT % | 2 L JAVA % | 3 P PHP-CGM % | 5 P NS % ")</f>
        <v xml:space="preserve">| 1 L CPT % | 2 L JAVA % | 3 P PHP-CGM % | 5 P NS % </v>
      </c>
      <c r="AW234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34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34" s="4" t="str">
        <f ca="1">IFERROR(__xludf.DUMMYFUNCTION("""COMPUTED_VALUE"""),"| 1 L CPT % | 2 L PHP-CGM % | 3 P PRO % | 5 P Python % ")</f>
        <v xml:space="preserve">| 1 L CPT % | 2 L PHP-CGM % | 3 P PRO % | 5 P Python % </v>
      </c>
      <c r="AZ234" s="4" t="str">
        <f ca="1">IFERROR(__xludf.DUMMYFUNCTION("""COMPUTED_VALUE"""),"| 1 L CPT % | 2 L JAVA % | 3 P PHP-CGM % | 5 P NS % ")</f>
        <v xml:space="preserve">| 1 L CPT % | 2 L JAVA % | 3 P PHP-CGM % | 5 P NS % </v>
      </c>
      <c r="BA234" s="4" t="str">
        <f ca="1">IFERROR(__xludf.DUMMYFUNCTION("""COMPUTED_VALUE"""),"| 1 L CPT % | 2 L JAVA % | 3 P Python % | 5 L INE @ ")</f>
        <v xml:space="preserve">| 1 L CPT % | 2 L JAVA % | 3 P Python % | 5 L INE @ </v>
      </c>
      <c r="BB234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BC234" s="4" t="str">
        <f ca="1">IFERROR(__xludf.DUMMYFUNCTION("""COMPUTED_VALUE"""),"| 1 L CPT % | 2 L PHP-CGM % | 3 P PRO @ | 5 P Python @ ")</f>
        <v xml:space="preserve">| 1 L CPT % | 2 L PHP-CGM % | 3 P PRO @ | 5 P Python @ </v>
      </c>
      <c r="BD234" s="4" t="str">
        <f ca="1">IFERROR(__xludf.DUMMYFUNCTION("""COMPUTED_VALUE"""),"| 1 L NS % | 2 L PHP-CGM % | 3 P CPT @ | 5 P JAVA @ ")</f>
        <v xml:space="preserve">| 1 L NS % | 2 L PHP-CGM % | 3 P CPT @ | 5 P JAVA @ </v>
      </c>
      <c r="BE234" s="4" t="str">
        <f ca="1">IFERROR(__xludf.DUMMYFUNCTION("""COMPUTED_VALUE"""),"| 1 L CPT % | 2 L JAVA % | 3 P PHP-CGM % | 5 P NS % ")</f>
        <v xml:space="preserve">| 1 L CPT % | 2 L JAVA % | 3 P PHP-CGM % | 5 P NS % </v>
      </c>
      <c r="BF234" s="4" t="str">
        <f ca="1">IFERROR(__xludf.DUMMYFUNCTION("""COMPUTED_VALUE"""),"| 1 L CPT % | 2 L JAVA % | 3 P Python @ ")</f>
        <v xml:space="preserve">| 1 L CPT % | 2 L JAVA % | 3 P Python @ </v>
      </c>
      <c r="BG234" s="4" t="str">
        <f ca="1">IFERROR(__xludf.DUMMYFUNCTION("""COMPUTED_VALUE"""),"| 2 L PHP-CGM @ | 1 L CPT @ | 3 P PRO @ | 5 P Python @ ")</f>
        <v xml:space="preserve">| 2 L PHP-CGM @ | 1 L CPT @ | 3 P PRO @ | 5 P Python @ </v>
      </c>
      <c r="BH234" s="4" t="str">
        <f ca="1">IFERROR(__xludf.DUMMYFUNCTION("""COMPUTED_VALUE"""),"| 1 L NS @ | 2 L PHP-CGM @ | 3 P CPT @ | 5 P JAVA @ ")</f>
        <v xml:space="preserve">| 1 L NS @ | 2 L PHP-CGM @ | 3 P CPT @ | 5 P JAVA @ </v>
      </c>
      <c r="BI234" s="4" t="str">
        <f ca="1">IFERROR(__xludf.DUMMYFUNCTION("""COMPUTED_VALUE"""),"| 1 L CPT % | 2 L JAVA % | 3 P PHP-CGM % | 5 P NS % ")</f>
        <v xml:space="preserve">| 1 L CPT % | 2 L JAVA % | 3 P PHP-CGM % | 5 P NS % </v>
      </c>
      <c r="BJ234" s="4" t="str">
        <f ca="1">IFERROR(__xludf.DUMMYFUNCTION("""COMPUTED_VALUE"""),"| 1 L CPT % | 2 L JAVA % | 3 P Python % | 5 L INE @ ")</f>
        <v xml:space="preserve">| 1 L CPT % | 2 L JAVA % | 3 P Python % | 5 L INE @ </v>
      </c>
      <c r="BK234" s="4" t="str">
        <f ca="1">IFERROR(__xludf.DUMMYFUNCTION("""COMPUTED_VALUE"""),"| 1 L NS % | 2 L PHP-CGM % | 5 L NS % | 6 L JAVA % ")</f>
        <v xml:space="preserve">| 1 L NS % | 2 L PHP-CGM % | 5 L NS % | 6 L JAVA % </v>
      </c>
      <c r="BL234" s="4" t="str">
        <f ca="1">IFERROR(__xludf.DUMMYFUNCTION("""COMPUTED_VALUE"""),"| 1 L CPT % | 2 L PHP-CGM % | 3 P PRO % ")</f>
        <v xml:space="preserve">| 1 L CPT % | 2 L PHP-CGM % | 3 P PRO % </v>
      </c>
      <c r="BM234" s="4" t="str">
        <f ca="1">IFERROR(__xludf.DUMMYFUNCTION("""COMPUTED_VALUE"""),"| 1 L NS % | 2 L PHP-CGM % | 3 P CPT @ | 5 P JAVA @ ")</f>
        <v xml:space="preserve">| 1 L NS % | 2 L PHP-CGM % | 3 P CPT @ | 5 P JAVA @ </v>
      </c>
      <c r="BN234" s="4" t="str">
        <f ca="1">IFERROR(__xludf.DUMMYFUNCTION("""COMPUTED_VALUE"""),"| 2 L JAVA @ | 1 L CPT @ | 3 P PHP-CGM @ | 5 P NS @ ")</f>
        <v xml:space="preserve">| 2 L JAVA @ | 1 L CPT @ | 3 P PHP-CGM @ | 5 P NS @ </v>
      </c>
      <c r="BO234" s="4" t="str">
        <f ca="1">IFERROR(__xludf.DUMMYFUNCTION("""COMPUTED_VALUE"""),"| 2 L JAVA @ | 1 L CPT @ | 3 P Python @ | 5 L INE @ ")</f>
        <v xml:space="preserve">| 2 L JAVA @ | 1 L CPT @ | 3 P Python @ | 5 L INE @ </v>
      </c>
      <c r="BP234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34" s="4"/>
      <c r="BR234" s="4"/>
      <c r="BS234" s="4"/>
      <c r="BT234" s="4" t="str">
        <f ca="1">IFERROR(__xludf.DUMMYFUNCTION("""COMPUTED_VALUE"""),"| 1 L NS @ | 2 L PHP-CGM @ | 3 P JAVA @ ")</f>
        <v xml:space="preserve">| 1 L NS @ | 2 L PHP-CGM @ | 3 P JAVA @ </v>
      </c>
      <c r="BU234" s="4" t="str">
        <f ca="1">IFERROR(__xludf.DUMMYFUNCTION("""COMPUTED_VALUE"""),"| 1 L CPT @ ")</f>
        <v xml:space="preserve">| 1 L CPT @ </v>
      </c>
      <c r="BV234" s="4" t="str">
        <f ca="1">IFERROR(__xludf.DUMMYFUNCTION("""COMPUTED_VALUE"""),"| 1 L NS @ | 2 L PHP-CGM @ | 3 P JAVA @ | 6 L JAVA @ ")</f>
        <v xml:space="preserve">| 1 L NS @ | 2 L PHP-CGM @ | 3 P JAVA @ | 6 L JAVA @ </v>
      </c>
      <c r="BW234" s="4" t="str">
        <f ca="1">IFERROR(__xludf.DUMMYFUNCTION("""COMPUTED_VALUE"""),"| 1 L CPT @ | 2 L PHP-CGM @ | 3 P PRO @ ")</f>
        <v xml:space="preserve">| 1 L CPT @ | 2 L PHP-CGM @ | 3 P PRO @ </v>
      </c>
      <c r="BX234" s="4" t="str">
        <f ca="1">IFERROR(__xludf.DUMMYFUNCTION("""COMPUTED_VALUE"""),"| 1 L NS @ | 2 L PHP-CGM @ | 3 P CPT @ | 5 P JAVA @ ")</f>
        <v xml:space="preserve">| 1 L NS @ | 2 L PHP-CGM @ | 3 P CPT @ | 5 P JAVA @ </v>
      </c>
      <c r="BY234" s="4" t="str">
        <f ca="1">IFERROR(__xludf.DUMMYFUNCTION("""COMPUTED_VALUE"""),"| 1 L CPT % | 2 L JAVA % | 3 P PHP-CGM % | 5 P NS % ")</f>
        <v xml:space="preserve">| 1 L CPT % | 2 L JAVA % | 3 P PHP-CGM % | 5 P NS % </v>
      </c>
      <c r="BZ234" s="4" t="str">
        <f ca="1">IFERROR(__xludf.DUMMYFUNCTION("""COMPUTED_VALUE"""),"| 1 L CPT % | 2 L JAVA % | 5 L INE % ")</f>
        <v xml:space="preserve">| 1 L CPT % | 2 L JAVA % | 5 L INE % </v>
      </c>
      <c r="CA234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B234" s="4" t="str">
        <f ca="1">IFERROR(__xludf.DUMMYFUNCTION("""COMPUTED_VALUE"""),"| 2 L PHP-CGM % | 3 P PRO @ | 5 P Python % | 1 L CPT % ")</f>
        <v xml:space="preserve">| 2 L PHP-CGM % | 3 P PRO @ | 5 P Python % | 1 L CPT % </v>
      </c>
      <c r="CC234" s="4" t="str">
        <f ca="1">IFERROR(__xludf.DUMMYFUNCTION("""COMPUTED_VALUE"""),"| 1 L NS % | 2 L PHP-CGM % | 3 P CPT % | 5 P JAVA @ ")</f>
        <v xml:space="preserve">| 1 L NS % | 2 L PHP-CGM % | 3 P CPT % | 5 P JAVA @ </v>
      </c>
      <c r="CD234" s="4" t="str">
        <f ca="1">IFERROR(__xludf.DUMMYFUNCTION("""COMPUTED_VALUE"""),"| 1 L CPT @ | 2 L JAVA @ | 3 P PHP-CGM % | 5 P NS % ")</f>
        <v xml:space="preserve">| 1 L CPT @ | 2 L JAVA @ | 3 P PHP-CGM % | 5 P NS % </v>
      </c>
      <c r="CE234" s="4" t="str">
        <f ca="1">IFERROR(__xludf.DUMMYFUNCTION("""COMPUTED_VALUE"""),"| 1 L CPT % | 2 L JAVA % | 3 P Python % | 5 L INE % ")</f>
        <v xml:space="preserve">| 1 L CPT % | 2 L JAVA % | 3 P Python % | 5 L INE % </v>
      </c>
      <c r="CF234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4" s="4" t="str">
        <f ca="1">IFERROR(__xludf.DUMMYFUNCTION("""COMPUTED_VALUE"""),"| 1 L CPT @ | 2 L PHP-CGM @ | 5 P Python % ")</f>
        <v xml:space="preserve">| 1 L CPT @ | 2 L PHP-CGM @ | 5 P Python % </v>
      </c>
      <c r="CH234" s="4" t="str">
        <f ca="1">IFERROR(__xludf.DUMMYFUNCTION("""COMPUTED_VALUE"""),"| 1 L NS @ | 2 L PHP-CGM @ | 3 P CPT % ")</f>
        <v xml:space="preserve">| 1 L NS @ | 2 L PHP-CGM @ | 3 P CPT % </v>
      </c>
      <c r="CI234" s="4" t="str">
        <f ca="1">IFERROR(__xludf.DUMMYFUNCTION("""COMPUTED_VALUE"""),"| 1 L CPT @ | 2 L JAVA @ | 3 P PHP-CGM % | 5 P NS % ")</f>
        <v xml:space="preserve">| 1 L CPT @ | 2 L JAVA @ | 3 P PHP-CGM % | 5 P NS % </v>
      </c>
      <c r="CJ234" s="4" t="str">
        <f ca="1">IFERROR(__xludf.DUMMYFUNCTION("""COMPUTED_VALUE"""),"| 1 L CPT @ ")</f>
        <v xml:space="preserve">| 1 L CPT @ </v>
      </c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</row>
    <row r="235" spans="1:102" ht="12.5" x14ac:dyDescent="0.25">
      <c r="A235" s="3">
        <f ca="1">IFERROR(__xludf.DUMMYFUNCTION("""COMPUTED_VALUE"""),3)</f>
        <v>3</v>
      </c>
      <c r="B235" s="3" t="str">
        <f ca="1">IFERROR(__xludf.DUMMYFUNCTION("""COMPUTED_VALUE"""),"C")</f>
        <v>C</v>
      </c>
      <c r="C235" s="32" t="str">
        <f ca="1">IFERROR(__xludf.DUMMYFUNCTION("""COMPUTED_VALUE"""),"23171341157")</f>
        <v>23171341157</v>
      </c>
      <c r="D235" s="4" t="str">
        <f ca="1">IFERROR(__xludf.DUMMYFUNCTION("""COMPUTED_VALUE"""),"RAVAL KARANKUMAR DASHARATHBHAI")</f>
        <v>RAVAL KARANKUMAR DASHARATHBHAI</v>
      </c>
      <c r="E235" s="3" t="str">
        <f ca="1">IFERROR(__xludf.DUMMYFUNCTION("""COMPUTED_VALUE"""),"PKN/PAP-Mor")</f>
        <v>PKN/PAP-Mor</v>
      </c>
      <c r="F235" s="3">
        <f ca="1">IFERROR(__xludf.DUMMYFUNCTION("""COMPUTED_VALUE"""),9173243289)</f>
        <v>9173243289</v>
      </c>
      <c r="G235" s="3">
        <f ca="1">IFERROR(__xludf.DUMMYFUNCTION("""COMPUTED_VALUE"""),7567711898)</f>
        <v>7567711898</v>
      </c>
      <c r="H235" s="33">
        <f ca="1">IFERROR(__xludf.DUMMYFUNCTION("""COMPUTED_VALUE"""),0.724279835390946)</f>
        <v>0.72427983539094598</v>
      </c>
      <c r="I235" s="25">
        <f ca="1">IFERROR(__xludf.DUMMYFUNCTION("""COMPUTED_VALUE"""),0.81578947368421)</f>
        <v>0.81578947368420995</v>
      </c>
      <c r="J235" s="25">
        <f ca="1">IFERROR(__xludf.DUMMYFUNCTION("""COMPUTED_VALUE"""),0.818181818181818)</f>
        <v>0.81818181818181801</v>
      </c>
      <c r="K235" s="25">
        <f ca="1">IFERROR(__xludf.DUMMYFUNCTION("""COMPUTED_VALUE"""),0.611111111111111)</f>
        <v>0.61111111111111105</v>
      </c>
      <c r="L235" s="25">
        <f ca="1">IFERROR(__xludf.DUMMYFUNCTION("""COMPUTED_VALUE"""),0.692307692307692)</f>
        <v>0.69230769230769196</v>
      </c>
      <c r="M235" s="25">
        <f ca="1">IFERROR(__xludf.DUMMYFUNCTION("""COMPUTED_VALUE"""),0.75)</f>
        <v>0.75</v>
      </c>
      <c r="N235" s="25">
        <f ca="1">IFERROR(__xludf.DUMMYFUNCTION("""COMPUTED_VALUE"""),0.846153846153846)</f>
        <v>0.84615384615384603</v>
      </c>
      <c r="O235" s="25">
        <f ca="1">IFERROR(__xludf.DUMMYFUNCTION("""COMPUTED_VALUE"""),0.657142857142857)</f>
        <v>0.65714285714285703</v>
      </c>
      <c r="P235" s="25">
        <f ca="1">IFERROR(__xludf.DUMMYFUNCTION("""COMPUTED_VALUE"""),0.727272727272727)</f>
        <v>0.72727272727272696</v>
      </c>
      <c r="Q235" s="25">
        <f ca="1">IFERROR(__xludf.DUMMYFUNCTION("""COMPUTED_VALUE"""),0)</f>
        <v>0</v>
      </c>
      <c r="R235" s="25">
        <f ca="1">IFERROR(__xludf.DUMMYFUNCTION("""COMPUTED_VALUE"""),0.8)</f>
        <v>0.8</v>
      </c>
      <c r="S235" s="25">
        <f ca="1">IFERROR(__xludf.DUMMYFUNCTION("""COMPUTED_VALUE"""),0)</f>
        <v>0</v>
      </c>
      <c r="T235" s="25">
        <f ca="1">IFERROR(__xludf.DUMMYFUNCTION("""COMPUTED_VALUE"""),0.636363636363636)</f>
        <v>0.63636363636363602</v>
      </c>
      <c r="U235" s="25">
        <f ca="1">IFERROR(__xludf.DUMMYFUNCTION("""COMPUTED_VALUE"""),0.625)</f>
        <v>0.625</v>
      </c>
      <c r="V235" s="25">
        <f ca="1">IFERROR(__xludf.DUMMYFUNCTION("""COMPUTED_VALUE"""),0)</f>
        <v>0</v>
      </c>
      <c r="W235" s="4"/>
      <c r="X23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35" s="4" t="str">
        <f ca="1">IFERROR(__xludf.DUMMYFUNCTION("""COMPUTED_VALUE"""),"| 1 L CPT @ | 5 L PHP-CGM @ | 3 P PRO @ | 5 P Python @ ")</f>
        <v xml:space="preserve">| 1 L CPT @ | 5 L PHP-CGM @ | 3 P PRO @ | 5 P Python @ </v>
      </c>
      <c r="Z235" s="4" t="str">
        <f ca="1">IFERROR(__xludf.DUMMYFUNCTION("""COMPUTED_VALUE"""),"| 1 L CPT % | 2 L PHP-CGM % | 3 P CPT % | 5 P JAVA % ")</f>
        <v xml:space="preserve">| 1 L CPT % | 2 L PHP-CGM % | 3 P CPT % | 5 P JAVA % </v>
      </c>
      <c r="AA235" s="4" t="str">
        <f ca="1">IFERROR(__xludf.DUMMYFUNCTION("""COMPUTED_VALUE"""),"| 1 L NS % | 2 L JAVA % | 3 P PHP-CGM % | 5 P NS % ")</f>
        <v xml:space="preserve">| 1 L NS % | 2 L JAVA % | 3 P PHP-CGM % | 5 P NS % </v>
      </c>
      <c r="AB235" s="4" t="str">
        <f ca="1">IFERROR(__xludf.DUMMYFUNCTION("""COMPUTED_VALUE"""),"| 1 L CPT % | 2 L JAVA % | 3 P Python % ")</f>
        <v xml:space="preserve">| 1 L CPT % | 2 L JAVA % | 3 P Python % </v>
      </c>
      <c r="AC23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5" s="4" t="str">
        <f ca="1">IFERROR(__xludf.DUMMYFUNCTION("""COMPUTED_VALUE"""),"| 1 L CPT % | 2 L PHP-CGM % | 3 P PRO % | 5 P Python % ")</f>
        <v xml:space="preserve">| 1 L CPT % | 2 L PHP-CGM % | 3 P PRO % | 5 P Python % </v>
      </c>
      <c r="AE235" s="4" t="str">
        <f ca="1">IFERROR(__xludf.DUMMYFUNCTION("""COMPUTED_VALUE"""),"| 1 L CPT % | 3 P CPT % | 5 P JAVA % | 2 L PHP-CGM % ")</f>
        <v xml:space="preserve">| 1 L CPT % | 3 P CPT % | 5 P JAVA % | 2 L PHP-CGM % </v>
      </c>
      <c r="AF235" s="4" t="str">
        <f ca="1">IFERROR(__xludf.DUMMYFUNCTION("""COMPUTED_VALUE"""),"| 1 L NS % | 2 L CPT % | 3 P PHP-CGM % | 5 P NS % ")</f>
        <v xml:space="preserve">| 1 L NS % | 2 L CPT % | 3 P PHP-CGM % | 5 P NS % </v>
      </c>
      <c r="AG235" s="4" t="str">
        <f ca="1">IFERROR(__xludf.DUMMYFUNCTION("""COMPUTED_VALUE"""),"| 1 L CPT % | 2 L JAVA % | 3 P Python % ")</f>
        <v xml:space="preserve">| 1 L CPT % | 2 L JAVA % | 3 P Python % </v>
      </c>
      <c r="AH235" s="4" t="str">
        <f ca="1">IFERROR(__xludf.DUMMYFUNCTION("""COMPUTED_VALUE"""),"| 2 L JAVA % | 1 L NS % | 3 P PHP-CGM % | 5 P NS % ")</f>
        <v xml:space="preserve">| 2 L JAVA % | 1 L NS % | 3 P PHP-CGM % | 5 P NS % </v>
      </c>
      <c r="AI235" s="4" t="str">
        <f ca="1">IFERROR(__xludf.DUMMYFUNCTION("""COMPUTED_VALUE"""),"| 1 L CPT % | 2 L JAVA % | 3 P Python % ")</f>
        <v xml:space="preserve">| 1 L CPT % | 2 L JAVA % | 3 P Python % </v>
      </c>
      <c r="AJ235" s="4" t="str">
        <f ca="1">IFERROR(__xludf.DUMMYFUNCTION("""COMPUTED_VALUE"""),"| 1 L NS @ | 2 L PHP-CGM @ | 3 P JAVA % | 5 L JAVA % | 6 L NS % ")</f>
        <v xml:space="preserve">| 1 L NS @ | 2 L PHP-CGM @ | 3 P JAVA % | 5 L JAVA % | 6 L NS % </v>
      </c>
      <c r="AK235" s="4" t="str">
        <f ca="1">IFERROR(__xludf.DUMMYFUNCTION("""COMPUTED_VALUE"""),"| 1 L CPT % | 3 P PRO % | 2 L PHP-CGM % | 5 P Python % ")</f>
        <v xml:space="preserve">| 1 L CPT % | 3 P PRO % | 2 L PHP-CGM % | 5 P Python % </v>
      </c>
      <c r="AL235" s="4" t="str">
        <f ca="1">IFERROR(__xludf.DUMMYFUNCTION("""COMPUTED_VALUE"""),"| 1 L CPT % | 2 L PHP-CGM % | 3 P CPT % | 5 P JAVA @ ")</f>
        <v xml:space="preserve">| 1 L CPT % | 2 L PHP-CGM % | 3 P CPT % | 5 P JAVA @ </v>
      </c>
      <c r="AM235" s="4" t="str">
        <f ca="1">IFERROR(__xludf.DUMMYFUNCTION("""COMPUTED_VALUE"""),"| 2 L JAVA % | 3 P PHP-CGM % | 1 L NS % | 5 P NS % ")</f>
        <v xml:space="preserve">| 2 L JAVA % | 3 P PHP-CGM % | 1 L NS % | 5 P NS % </v>
      </c>
      <c r="AN235" s="4" t="str">
        <f ca="1">IFERROR(__xludf.DUMMYFUNCTION("""COMPUTED_VALUE"""),"| 1 L CPT % | 2 L JAVA % | 3 P Python % | 5 L INE % ")</f>
        <v xml:space="preserve">| 1 L CPT % | 2 L JAVA % | 3 P Python % | 5 L INE % </v>
      </c>
      <c r="AO235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35" s="4" t="str">
        <f ca="1">IFERROR(__xludf.DUMMYFUNCTION("""COMPUTED_VALUE"""),"| 1 L CPT % | 2 L PHP-CGM % | 3 P PRO % | 5 P Python % ")</f>
        <v xml:space="preserve">| 1 L CPT % | 2 L PHP-CGM % | 3 P PRO % | 5 P Python % </v>
      </c>
      <c r="AQ235" s="4" t="str">
        <f ca="1">IFERROR(__xludf.DUMMYFUNCTION("""COMPUTED_VALUE"""),"| 2 L PHP-CGM % | 3 P CPT % | 1 L NS % | 5 P JAVA % ")</f>
        <v xml:space="preserve">| 2 L PHP-CGM % | 3 P CPT % | 1 L NS % | 5 P JAVA % </v>
      </c>
      <c r="AR235" s="4" t="str">
        <f ca="1">IFERROR(__xludf.DUMMYFUNCTION("""COMPUTED_VALUE"""),"| 1 L CPT % | 2 L JAVA % | 3 P PHP-CGM % | 5 P NS % ")</f>
        <v xml:space="preserve">| 1 L CPT % | 2 L JAVA % | 3 P PHP-CGM % | 5 P NS % </v>
      </c>
      <c r="AS235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AT235" s="4" t="str">
        <f ca="1">IFERROR(__xludf.DUMMYFUNCTION("""COMPUTED_VALUE"""),"| 1 L CPT % | 2 L PHP-CGM % | 3 P PRO % | 5 P Python % ")</f>
        <v xml:space="preserve">| 1 L CPT % | 2 L PHP-CGM % | 3 P PRO % | 5 P Python % </v>
      </c>
      <c r="AU235" s="4" t="str">
        <f ca="1">IFERROR(__xludf.DUMMYFUNCTION("""COMPUTED_VALUE"""),"| 1 L NS % | 2 L PHP-CGM % | 3 P CPT % | 5 P JAVA % ")</f>
        <v xml:space="preserve">| 1 L NS % | 2 L PHP-CGM % | 3 P CPT % | 5 P JAVA % </v>
      </c>
      <c r="AV235" s="4" t="str">
        <f ca="1">IFERROR(__xludf.DUMMYFUNCTION("""COMPUTED_VALUE"""),"| 1 L CPT % | 2 L JAVA % | 3 P PHP-CGM % | 5 P NS % ")</f>
        <v xml:space="preserve">| 1 L CPT % | 2 L JAVA % | 3 P PHP-CGM % | 5 P NS % </v>
      </c>
      <c r="AW235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35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35" s="4" t="str">
        <f ca="1">IFERROR(__xludf.DUMMYFUNCTION("""COMPUTED_VALUE"""),"| 1 L CPT % | 2 L PHP-CGM % | 3 P PRO % | 5 P Python % ")</f>
        <v xml:space="preserve">| 1 L CPT % | 2 L PHP-CGM % | 3 P PRO % | 5 P Python % </v>
      </c>
      <c r="AZ235" s="4" t="str">
        <f ca="1">IFERROR(__xludf.DUMMYFUNCTION("""COMPUTED_VALUE"""),"| 1 L CPT % | 2 L JAVA % | 3 P PHP-CGM % | 5 P NS % ")</f>
        <v xml:space="preserve">| 1 L CPT % | 2 L JAVA % | 3 P PHP-CGM % | 5 P NS % </v>
      </c>
      <c r="BA235" s="4" t="str">
        <f ca="1">IFERROR(__xludf.DUMMYFUNCTION("""COMPUTED_VALUE"""),"| 1 L CPT % | 2 L JAVA @ | 3 P Python @ | 5 L INE @ ")</f>
        <v xml:space="preserve">| 1 L CPT % | 2 L JAVA @ | 3 P Python @ | 5 L INE @ </v>
      </c>
      <c r="BB235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5" s="4" t="str">
        <f ca="1">IFERROR(__xludf.DUMMYFUNCTION("""COMPUTED_VALUE"""),"| 1 L CPT % | 2 L PHP-CGM % | 3 P PRO % | 5 P Python % ")</f>
        <v xml:space="preserve">| 1 L CPT % | 2 L PHP-CGM % | 3 P PRO % | 5 P Python % </v>
      </c>
      <c r="BD235" s="4" t="str">
        <f ca="1">IFERROR(__xludf.DUMMYFUNCTION("""COMPUTED_VALUE"""),"| 1 L NS % | 2 L PHP-CGM % | 3 P CPT % | 5 P JAVA % ")</f>
        <v xml:space="preserve">| 1 L NS % | 2 L PHP-CGM % | 3 P CPT % | 5 P JAVA % </v>
      </c>
      <c r="BE235" s="4" t="str">
        <f ca="1">IFERROR(__xludf.DUMMYFUNCTION("""COMPUTED_VALUE"""),"| 1 L CPT % | 2 L JAVA % | 3 P PHP-CGM % | 5 P NS @ ")</f>
        <v xml:space="preserve">| 1 L CPT % | 2 L JAVA % | 3 P PHP-CGM % | 5 P NS @ </v>
      </c>
      <c r="BF235" s="4" t="str">
        <f ca="1">IFERROR(__xludf.DUMMYFUNCTION("""COMPUTED_VALUE"""),"| 1 L CPT % | 2 L JAVA % | 3 P Python % ")</f>
        <v xml:space="preserve">| 1 L CPT % | 2 L JAVA % | 3 P Python % </v>
      </c>
      <c r="BG235" s="4" t="str">
        <f ca="1">IFERROR(__xludf.DUMMYFUNCTION("""COMPUTED_VALUE"""),"| 2 L PHP-CGM % | 1 L CPT % | 3 P PRO % | 5 P Python % ")</f>
        <v xml:space="preserve">| 2 L PHP-CGM % | 1 L CPT % | 3 P PRO % | 5 P Python % </v>
      </c>
      <c r="BH235" s="4" t="str">
        <f ca="1">IFERROR(__xludf.DUMMYFUNCTION("""COMPUTED_VALUE"""),"| 1 L NS % | 2 L PHP-CGM % | 3 P CPT % | 5 P JAVA % ")</f>
        <v xml:space="preserve">| 1 L NS % | 2 L PHP-CGM % | 3 P CPT % | 5 P JAVA % </v>
      </c>
      <c r="BI235" s="4" t="str">
        <f ca="1">IFERROR(__xludf.DUMMYFUNCTION("""COMPUTED_VALUE"""),"| 1 L CPT % | 2 L JAVA % | 3 P PHP-CGM % | 5 P NS @ ")</f>
        <v xml:space="preserve">| 1 L CPT % | 2 L JAVA % | 3 P PHP-CGM % | 5 P NS @ </v>
      </c>
      <c r="BJ235" s="4" t="str">
        <f ca="1">IFERROR(__xludf.DUMMYFUNCTION("""COMPUTED_VALUE"""),"| 1 L CPT % | 2 L JAVA % | 3 P Python % | 5 L INE % ")</f>
        <v xml:space="preserve">| 1 L CPT % | 2 L JAVA % | 3 P Python % | 5 L INE % </v>
      </c>
      <c r="BK235" s="4" t="str">
        <f ca="1">IFERROR(__xludf.DUMMYFUNCTION("""COMPUTED_VALUE"""),"| 1 L NS % | 2 L PHP-CGM % | 5 L NS @ | 6 L JAVA @ ")</f>
        <v xml:space="preserve">| 1 L NS % | 2 L PHP-CGM % | 5 L NS @ | 6 L JAVA @ </v>
      </c>
      <c r="BL235" s="4" t="str">
        <f ca="1">IFERROR(__xludf.DUMMYFUNCTION("""COMPUTED_VALUE"""),"| 1 L CPT % | 2 L PHP-CGM % | 3 P PRO @ ")</f>
        <v xml:space="preserve">| 1 L CPT % | 2 L PHP-CGM % | 3 P PRO @ </v>
      </c>
      <c r="BM235" s="4" t="str">
        <f ca="1">IFERROR(__xludf.DUMMYFUNCTION("""COMPUTED_VALUE"""),"| 1 L NS @ | 2 L PHP-CGM @ | 3 P CPT @ | 5 P JAVA @ ")</f>
        <v xml:space="preserve">| 1 L NS @ | 2 L PHP-CGM @ | 3 P CPT @ | 5 P JAVA @ </v>
      </c>
      <c r="BN235" s="4" t="str">
        <f ca="1">IFERROR(__xludf.DUMMYFUNCTION("""COMPUTED_VALUE"""),"| 2 L JAVA % | 1 L CPT % | 3 P PHP-CGM @ | 5 P NS @ ")</f>
        <v xml:space="preserve">| 2 L JAVA % | 1 L CPT % | 3 P PHP-CGM @ | 5 P NS @ </v>
      </c>
      <c r="BO235" s="4" t="str">
        <f ca="1">IFERROR(__xludf.DUMMYFUNCTION("""COMPUTED_VALUE"""),"| 2 L JAVA % | 1 L CPT % | 3 P Python % | 5 L INE @ ")</f>
        <v xml:space="preserve">| 2 L JAVA % | 1 L CPT % | 3 P Python % | 5 L INE @ </v>
      </c>
      <c r="BP235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35" s="4"/>
      <c r="BR235" s="4"/>
      <c r="BS235" s="4"/>
      <c r="BT235" s="4" t="str">
        <f ca="1">IFERROR(__xludf.DUMMYFUNCTION("""COMPUTED_VALUE"""),"| 1 L NS % | 2 L PHP-CGM % | 3 P JAVA % ")</f>
        <v xml:space="preserve">| 1 L NS % | 2 L PHP-CGM % | 3 P JAVA % </v>
      </c>
      <c r="BU235" s="4" t="str">
        <f ca="1">IFERROR(__xludf.DUMMYFUNCTION("""COMPUTED_VALUE"""),"| 1 L CPT @ ")</f>
        <v xml:space="preserve">| 1 L CPT @ </v>
      </c>
      <c r="BV235" s="4" t="str">
        <f ca="1">IFERROR(__xludf.DUMMYFUNCTION("""COMPUTED_VALUE"""),"| 1 L NS @ | 2 L PHP-CGM @ | 3 P JAVA @ | 6 L JAVA @ ")</f>
        <v xml:space="preserve">| 1 L NS @ | 2 L PHP-CGM @ | 3 P JAVA @ | 6 L JAVA @ </v>
      </c>
      <c r="BW235" s="4" t="str">
        <f ca="1">IFERROR(__xludf.DUMMYFUNCTION("""COMPUTED_VALUE"""),"| 1 L CPT % | 2 L PHP-CGM % | 3 P PRO @ ")</f>
        <v xml:space="preserve">| 1 L CPT % | 2 L PHP-CGM % | 3 P PRO @ </v>
      </c>
      <c r="BX235" s="4" t="str">
        <f ca="1">IFERROR(__xludf.DUMMYFUNCTION("""COMPUTED_VALUE"""),"| 1 L NS @ | 2 L PHP-CGM @ | 3 P CPT @ | 5 P JAVA @ ")</f>
        <v xml:space="preserve">| 1 L NS @ | 2 L PHP-CGM @ | 3 P CPT @ | 5 P JAVA @ </v>
      </c>
      <c r="BY235" s="4" t="str">
        <f ca="1">IFERROR(__xludf.DUMMYFUNCTION("""COMPUTED_VALUE"""),"| 1 L CPT % | 2 L JAVA @ | 3 P PHP-CGM @ | 5 P NS @ ")</f>
        <v xml:space="preserve">| 1 L CPT % | 2 L JAVA @ | 3 P PHP-CGM @ | 5 P NS @ </v>
      </c>
      <c r="BZ235" s="4" t="str">
        <f ca="1">IFERROR(__xludf.DUMMYFUNCTION("""COMPUTED_VALUE"""),"| 1 L CPT @ | 2 L JAVA @ | 5 L INE @ ")</f>
        <v xml:space="preserve">| 1 L CPT @ | 2 L JAVA @ | 5 L INE @ </v>
      </c>
      <c r="CA235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B235" s="4" t="str">
        <f ca="1">IFERROR(__xludf.DUMMYFUNCTION("""COMPUTED_VALUE"""),"| 2 L PHP-CGM % | 3 P PRO @ | 5 P Python @ | 1 L CPT % ")</f>
        <v xml:space="preserve">| 2 L PHP-CGM % | 3 P PRO @ | 5 P Python @ | 1 L CPT % </v>
      </c>
      <c r="CC235" s="4" t="str">
        <f ca="1">IFERROR(__xludf.DUMMYFUNCTION("""COMPUTED_VALUE"""),"| 1 L NS @ | 2 L PHP-CGM % | 3 P CPT % | 5 P JAVA % ")</f>
        <v xml:space="preserve">| 1 L NS @ | 2 L PHP-CGM % | 3 P CPT % | 5 P JAVA % </v>
      </c>
      <c r="CD235" s="4" t="str">
        <f ca="1">IFERROR(__xludf.DUMMYFUNCTION("""COMPUTED_VALUE"""),"| 1 L CPT @ | 2 L JAVA @ | 3 P PHP-CGM % | 5 P NS % ")</f>
        <v xml:space="preserve">| 1 L CPT @ | 2 L JAVA @ | 3 P PHP-CGM % | 5 P NS % </v>
      </c>
      <c r="CE235" s="4" t="str">
        <f ca="1">IFERROR(__xludf.DUMMYFUNCTION("""COMPUTED_VALUE"""),"| 1 L CPT % | 2 L JAVA % | 3 P Python % | 5 L INE % ")</f>
        <v xml:space="preserve">| 1 L CPT % | 2 L JAVA % | 3 P Python % | 5 L INE % </v>
      </c>
      <c r="CF235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5" s="4" t="str">
        <f ca="1">IFERROR(__xludf.DUMMYFUNCTION("""COMPUTED_VALUE"""),"| 1 L CPT @ | 2 L PHP-CGM @ | 5 P Python @ ")</f>
        <v xml:space="preserve">| 1 L CPT @ | 2 L PHP-CGM @ | 5 P Python @ </v>
      </c>
      <c r="CH235" s="4" t="str">
        <f ca="1">IFERROR(__xludf.DUMMYFUNCTION("""COMPUTED_VALUE"""),"| 1 L NS @ | 2 L PHP-CGM @ | 3 P CPT % ")</f>
        <v xml:space="preserve">| 1 L NS @ | 2 L PHP-CGM @ | 3 P CPT % </v>
      </c>
      <c r="CI235" s="4" t="str">
        <f ca="1">IFERROR(__xludf.DUMMYFUNCTION("""COMPUTED_VALUE"""),"| 1 L CPT @ | 2 L JAVA @ | 3 P PHP-CGM % | 5 P NS % ")</f>
        <v xml:space="preserve">| 1 L CPT @ | 2 L JAVA @ | 3 P PHP-CGM % | 5 P NS % </v>
      </c>
      <c r="CJ235" s="4" t="str">
        <f ca="1">IFERROR(__xludf.DUMMYFUNCTION("""COMPUTED_VALUE"""),"| 1 L CPT @ ")</f>
        <v xml:space="preserve">| 1 L CPT @ </v>
      </c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</row>
    <row r="236" spans="1:102" ht="12.5" x14ac:dyDescent="0.25">
      <c r="A236" s="3">
        <f ca="1">IFERROR(__xludf.DUMMYFUNCTION("""COMPUTED_VALUE"""),3)</f>
        <v>3</v>
      </c>
      <c r="B236" s="3" t="str">
        <f ca="1">IFERROR(__xludf.DUMMYFUNCTION("""COMPUTED_VALUE"""),"C")</f>
        <v>C</v>
      </c>
      <c r="C236" s="32" t="str">
        <f ca="1">IFERROR(__xludf.DUMMYFUNCTION("""COMPUTED_VALUE"""),"23171341159")</f>
        <v>23171341159</v>
      </c>
      <c r="D236" s="4" t="str">
        <f ca="1">IFERROR(__xludf.DUMMYFUNCTION("""COMPUTED_VALUE"""),"RAVAL NEEL MITESHRAY")</f>
        <v>RAVAL NEEL MITESHRAY</v>
      </c>
      <c r="E236" s="3" t="str">
        <f ca="1">IFERROR(__xludf.DUMMYFUNCTION("""COMPUTED_VALUE"""),"PKN/PAP-Mor")</f>
        <v>PKN/PAP-Mor</v>
      </c>
      <c r="F236" s="3">
        <f ca="1">IFERROR(__xludf.DUMMYFUNCTION("""COMPUTED_VALUE"""),9427039573)</f>
        <v>9427039573</v>
      </c>
      <c r="G236" s="3">
        <f ca="1">IFERROR(__xludf.DUMMYFUNCTION("""COMPUTED_VALUE"""),9099899261)</f>
        <v>9099899261</v>
      </c>
      <c r="H236" s="33">
        <f ca="1">IFERROR(__xludf.DUMMYFUNCTION("""COMPUTED_VALUE"""),0.580246913580246)</f>
        <v>0.58024691358024605</v>
      </c>
      <c r="I236" s="25">
        <f ca="1">IFERROR(__xludf.DUMMYFUNCTION("""COMPUTED_VALUE"""),0.552631578947368)</f>
        <v>0.55263157894736803</v>
      </c>
      <c r="J236" s="25">
        <f ca="1">IFERROR(__xludf.DUMMYFUNCTION("""COMPUTED_VALUE"""),0.636363636363636)</f>
        <v>0.63636363636363602</v>
      </c>
      <c r="K236" s="25">
        <f ca="1">IFERROR(__xludf.DUMMYFUNCTION("""COMPUTED_VALUE"""),0.611111111111111)</f>
        <v>0.61111111111111105</v>
      </c>
      <c r="L236" s="25">
        <f ca="1">IFERROR(__xludf.DUMMYFUNCTION("""COMPUTED_VALUE"""),0.615384615384615)</f>
        <v>0.61538461538461497</v>
      </c>
      <c r="M236" s="25">
        <f ca="1">IFERROR(__xludf.DUMMYFUNCTION("""COMPUTED_VALUE"""),0.805555555555555)</f>
        <v>0.80555555555555503</v>
      </c>
      <c r="N236" s="25">
        <f ca="1">IFERROR(__xludf.DUMMYFUNCTION("""COMPUTED_VALUE"""),0.384615384615384)</f>
        <v>0.38461538461538403</v>
      </c>
      <c r="O236" s="25">
        <f ca="1">IFERROR(__xludf.DUMMYFUNCTION("""COMPUTED_VALUE"""),0.485714285714285)</f>
        <v>0.48571428571428499</v>
      </c>
      <c r="P236" s="25">
        <f ca="1">IFERROR(__xludf.DUMMYFUNCTION("""COMPUTED_VALUE"""),0.545454545454545)</f>
        <v>0.54545454545454497</v>
      </c>
      <c r="Q236" s="25">
        <f ca="1">IFERROR(__xludf.DUMMYFUNCTION("""COMPUTED_VALUE"""),0)</f>
        <v>0</v>
      </c>
      <c r="R236" s="25">
        <f ca="1">IFERROR(__xludf.DUMMYFUNCTION("""COMPUTED_VALUE"""),0.4)</f>
        <v>0.4</v>
      </c>
      <c r="S236" s="25">
        <f ca="1">IFERROR(__xludf.DUMMYFUNCTION("""COMPUTED_VALUE"""),0)</f>
        <v>0</v>
      </c>
      <c r="T236" s="25">
        <f ca="1">IFERROR(__xludf.DUMMYFUNCTION("""COMPUTED_VALUE"""),0.909090909090909)</f>
        <v>0.90909090909090895</v>
      </c>
      <c r="U236" s="25">
        <f ca="1">IFERROR(__xludf.DUMMYFUNCTION("""COMPUTED_VALUE"""),0.25)</f>
        <v>0.25</v>
      </c>
      <c r="V236" s="25">
        <f ca="1">IFERROR(__xludf.DUMMYFUNCTION("""COMPUTED_VALUE"""),0)</f>
        <v>0</v>
      </c>
      <c r="W236" s="4"/>
      <c r="X236" s="4" t="str">
        <f ca="1">IFERROR(__xludf.DUMMYFUNCTION("""COMPUTED_VALUE"""),"| 1 L NS @ | 2 L PHP-CGM % | 3 P JAVA @ | 5 L JAVA @ | 6 L NS @ ")</f>
        <v xml:space="preserve">| 1 L NS @ | 2 L PHP-CGM % | 3 P JAVA @ | 5 L JAVA @ | 6 L NS @ </v>
      </c>
      <c r="Y236" s="4" t="str">
        <f ca="1">IFERROR(__xludf.DUMMYFUNCTION("""COMPUTED_VALUE"""),"| 1 L CPT % | 5 L PHP-CGM % | 3 P PRO % | 5 P Python % ")</f>
        <v xml:space="preserve">| 1 L CPT % | 5 L PHP-CGM % | 3 P PRO % | 5 P Python % </v>
      </c>
      <c r="Z236" s="4" t="str">
        <f ca="1">IFERROR(__xludf.DUMMYFUNCTION("""COMPUTED_VALUE"""),"| 1 L CPT % | 2 L PHP-CGM % | 3 P CPT % | 5 P JAVA @ ")</f>
        <v xml:space="preserve">| 1 L CPT % | 2 L PHP-CGM % | 3 P CPT % | 5 P JAVA @ </v>
      </c>
      <c r="AA236" s="4" t="str">
        <f ca="1">IFERROR(__xludf.DUMMYFUNCTION("""COMPUTED_VALUE"""),"| 1 L NS % | 2 L JAVA % | 3 P PHP-CGM % | 5 P NS % ")</f>
        <v xml:space="preserve">| 1 L NS % | 2 L JAVA % | 3 P PHP-CGM % | 5 P NS % </v>
      </c>
      <c r="AB236" s="4" t="str">
        <f ca="1">IFERROR(__xludf.DUMMYFUNCTION("""COMPUTED_VALUE"""),"| 1 L CPT % | 2 L JAVA % | 3 P Python @ ")</f>
        <v xml:space="preserve">| 1 L CPT % | 2 L JAVA % | 3 P Python @ </v>
      </c>
      <c r="AC236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6" s="4" t="str">
        <f ca="1">IFERROR(__xludf.DUMMYFUNCTION("""COMPUTED_VALUE"""),"| 1 L CPT % | 2 L PHP-CGM % | 3 P PRO % | 5 P Python % ")</f>
        <v xml:space="preserve">| 1 L CPT % | 2 L PHP-CGM % | 3 P PRO % | 5 P Python % </v>
      </c>
      <c r="AE236" s="4" t="str">
        <f ca="1">IFERROR(__xludf.DUMMYFUNCTION("""COMPUTED_VALUE"""),"| 1 L CPT % | 3 P CPT % | 5 P JAVA % | 2 L PHP-CGM % ")</f>
        <v xml:space="preserve">| 1 L CPT % | 3 P CPT % | 5 P JAVA % | 2 L PHP-CGM % </v>
      </c>
      <c r="AF236" s="4" t="str">
        <f ca="1">IFERROR(__xludf.DUMMYFUNCTION("""COMPUTED_VALUE"""),"| 1 L NS % | 2 L CPT % | 3 P PHP-CGM % | 5 P NS % ")</f>
        <v xml:space="preserve">| 1 L NS % | 2 L CPT % | 3 P PHP-CGM % | 5 P NS % </v>
      </c>
      <c r="AG236" s="4" t="str">
        <f ca="1">IFERROR(__xludf.DUMMYFUNCTION("""COMPUTED_VALUE"""),"| 1 L CPT % | 2 L JAVA % | 3 P Python % ")</f>
        <v xml:space="preserve">| 1 L CPT % | 2 L JAVA % | 3 P Python % </v>
      </c>
      <c r="AH236" s="4" t="str">
        <f ca="1">IFERROR(__xludf.DUMMYFUNCTION("""COMPUTED_VALUE"""),"| 2 L JAVA % | 1 L NS % | 3 P PHP-CGM % | 5 P NS % ")</f>
        <v xml:space="preserve">| 2 L JAVA % | 1 L NS % | 3 P PHP-CGM % | 5 P NS % </v>
      </c>
      <c r="AI236" s="4" t="str">
        <f ca="1">IFERROR(__xludf.DUMMYFUNCTION("""COMPUTED_VALUE"""),"| 1 L CPT % | 2 L JAVA % | 3 P Python % ")</f>
        <v xml:space="preserve">| 1 L CPT % | 2 L JAVA % | 3 P Python % </v>
      </c>
      <c r="AJ236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6" s="4" t="str">
        <f ca="1">IFERROR(__xludf.DUMMYFUNCTION("""COMPUTED_VALUE"""),"| 1 L CPT % | 3 P PRO % | 2 L PHP-CGM % | 5 P Python % ")</f>
        <v xml:space="preserve">| 1 L CPT % | 3 P PRO % | 2 L PHP-CGM % | 5 P Python % </v>
      </c>
      <c r="AL236" s="4" t="str">
        <f ca="1">IFERROR(__xludf.DUMMYFUNCTION("""COMPUTED_VALUE"""),"| 1 L CPT % | 2 L PHP-CGM % | 3 P CPT % | 5 P JAVA % ")</f>
        <v xml:space="preserve">| 1 L CPT % | 2 L PHP-CGM % | 3 P CPT % | 5 P JAVA % </v>
      </c>
      <c r="AM236" s="4" t="str">
        <f ca="1">IFERROR(__xludf.DUMMYFUNCTION("""COMPUTED_VALUE"""),"| 2 L JAVA @ | 3 P PHP-CGM @ | 1 L NS @ | 5 P NS % ")</f>
        <v xml:space="preserve">| 2 L JAVA @ | 3 P PHP-CGM @ | 1 L NS @ | 5 P NS % </v>
      </c>
      <c r="AN236" s="4" t="str">
        <f ca="1">IFERROR(__xludf.DUMMYFUNCTION("""COMPUTED_VALUE"""),"| 1 L CPT @ | 2 L JAVA @ | 3 P Python @ | 5 L INE @ ")</f>
        <v xml:space="preserve">| 1 L CPT @ | 2 L JAVA @ | 3 P Python @ | 5 L INE @ </v>
      </c>
      <c r="AO236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36" s="4" t="str">
        <f ca="1">IFERROR(__xludf.DUMMYFUNCTION("""COMPUTED_VALUE"""),"| 1 L CPT % | 2 L PHP-CGM % | 3 P PRO % | 5 P Python % ")</f>
        <v xml:space="preserve">| 1 L CPT % | 2 L PHP-CGM % | 3 P PRO % | 5 P Python % </v>
      </c>
      <c r="AQ236" s="4" t="str">
        <f ca="1">IFERROR(__xludf.DUMMYFUNCTION("""COMPUTED_VALUE"""),"| 2 L PHP-CGM % | 3 P CPT % | 1 L NS % | 5 P JAVA % ")</f>
        <v xml:space="preserve">| 2 L PHP-CGM % | 3 P CPT % | 1 L NS % | 5 P JAVA % </v>
      </c>
      <c r="AR236" s="4" t="str">
        <f ca="1">IFERROR(__xludf.DUMMYFUNCTION("""COMPUTED_VALUE"""),"| 1 L CPT @ | 2 L JAVA @ | 3 P PHP-CGM @ | 5 P NS @ ")</f>
        <v xml:space="preserve">| 1 L CPT @ | 2 L JAVA @ | 3 P PHP-CGM @ | 5 P NS @ </v>
      </c>
      <c r="AS236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AT236" s="4" t="str">
        <f ca="1">IFERROR(__xludf.DUMMYFUNCTION("""COMPUTED_VALUE"""),"| 1 L CPT % | 2 L PHP-CGM % | 3 P PRO % | 5 P Python % ")</f>
        <v xml:space="preserve">| 1 L CPT % | 2 L PHP-CGM % | 3 P PRO % | 5 P Python % </v>
      </c>
      <c r="AU236" s="4" t="str">
        <f ca="1">IFERROR(__xludf.DUMMYFUNCTION("""COMPUTED_VALUE"""),"| 1 L NS % | 2 L PHP-CGM % | 3 P CPT % | 5 P JAVA % ")</f>
        <v xml:space="preserve">| 1 L NS % | 2 L PHP-CGM % | 3 P CPT % | 5 P JAVA % </v>
      </c>
      <c r="AV236" s="4" t="str">
        <f ca="1">IFERROR(__xludf.DUMMYFUNCTION("""COMPUTED_VALUE"""),"| 1 L CPT % | 2 L JAVA % | 3 P PHP-CGM % | 5 P NS % ")</f>
        <v xml:space="preserve">| 1 L CPT % | 2 L JAVA % | 3 P PHP-CGM % | 5 P NS % </v>
      </c>
      <c r="AW236" s="4" t="str">
        <f ca="1">IFERROR(__xludf.DUMMYFUNCTION("""COMPUTED_VALUE"""),"| 1 L CPT @ | 2 L JAVA @ | 3 P Python @ | 5 L INE @ | 6 L INE @ ")</f>
        <v xml:space="preserve">| 1 L CPT @ | 2 L JAVA @ | 3 P Python @ | 5 L INE @ | 6 L INE @ </v>
      </c>
      <c r="AX236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36" s="4" t="str">
        <f ca="1">IFERROR(__xludf.DUMMYFUNCTION("""COMPUTED_VALUE"""),"| 1 L CPT % | 2 L PHP-CGM % | 3 P PRO % | 5 P Python % ")</f>
        <v xml:space="preserve">| 1 L CPT % | 2 L PHP-CGM % | 3 P PRO % | 5 P Python % </v>
      </c>
      <c r="AZ236" s="4" t="str">
        <f ca="1">IFERROR(__xludf.DUMMYFUNCTION("""COMPUTED_VALUE"""),"| 1 L CPT % | 2 L JAVA % | 3 P PHP-CGM % | 5 P NS % ")</f>
        <v xml:space="preserve">| 1 L CPT % | 2 L JAVA % | 3 P PHP-CGM % | 5 P NS % </v>
      </c>
      <c r="BA236" s="4" t="str">
        <f ca="1">IFERROR(__xludf.DUMMYFUNCTION("""COMPUTED_VALUE"""),"| 1 L CPT @ | 2 L JAVA @ | 3 P Python @ | 5 L INE @ ")</f>
        <v xml:space="preserve">| 1 L CPT @ | 2 L JAVA @ | 3 P Python @ | 5 L INE @ </v>
      </c>
      <c r="BB23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6" s="4" t="str">
        <f ca="1">IFERROR(__xludf.DUMMYFUNCTION("""COMPUTED_VALUE"""),"| 1 L CPT % | 2 L PHP-CGM % | 3 P PRO % | 5 P Python @ ")</f>
        <v xml:space="preserve">| 1 L CPT % | 2 L PHP-CGM % | 3 P PRO % | 5 P Python @ </v>
      </c>
      <c r="BD236" s="4" t="str">
        <f ca="1">IFERROR(__xludf.DUMMYFUNCTION("""COMPUTED_VALUE"""),"| 1 L NS % | 2 L PHP-CGM % | 3 P CPT @ | 5 P JAVA @ ")</f>
        <v xml:space="preserve">| 1 L NS % | 2 L PHP-CGM % | 3 P CPT @ | 5 P JAVA @ </v>
      </c>
      <c r="BE236" s="4" t="str">
        <f ca="1">IFERROR(__xludf.DUMMYFUNCTION("""COMPUTED_VALUE"""),"| 1 L CPT % | 2 L JAVA % | 3 P PHP-CGM @ | 5 P NS @ ")</f>
        <v xml:space="preserve">| 1 L CPT % | 2 L JAVA % | 3 P PHP-CGM @ | 5 P NS @ </v>
      </c>
      <c r="BF236" s="4" t="str">
        <f ca="1">IFERROR(__xludf.DUMMYFUNCTION("""COMPUTED_VALUE"""),"| 1 L CPT @ | 2 L JAVA @ | 3 P Python @ ")</f>
        <v xml:space="preserve">| 1 L CPT @ | 2 L JAVA @ | 3 P Python @ </v>
      </c>
      <c r="BG236" s="4" t="str">
        <f ca="1">IFERROR(__xludf.DUMMYFUNCTION("""COMPUTED_VALUE"""),"| 2 L PHP-CGM % | 1 L CPT % | 3 P PRO % | 5 P Python @ ")</f>
        <v xml:space="preserve">| 2 L PHP-CGM % | 1 L CPT % | 3 P PRO % | 5 P Python @ </v>
      </c>
      <c r="BH236" s="4" t="str">
        <f ca="1">IFERROR(__xludf.DUMMYFUNCTION("""COMPUTED_VALUE"""),"| 1 L NS @ | 2 L PHP-CGM % | 3 P CPT @ | 5 P JAVA @ ")</f>
        <v xml:space="preserve">| 1 L NS @ | 2 L PHP-CGM % | 3 P CPT @ | 5 P JAVA @ </v>
      </c>
      <c r="BI236" s="4" t="str">
        <f ca="1">IFERROR(__xludf.DUMMYFUNCTION("""COMPUTED_VALUE"""),"| 1 L CPT @ | 2 L JAVA @ | 3 P PHP-CGM @ | 5 P NS @ ")</f>
        <v xml:space="preserve">| 1 L CPT @ | 2 L JAVA @ | 3 P PHP-CGM @ | 5 P NS @ </v>
      </c>
      <c r="BJ236" s="4" t="str">
        <f ca="1">IFERROR(__xludf.DUMMYFUNCTION("""COMPUTED_VALUE"""),"| 1 L CPT @ | 2 L JAVA @ | 3 P Python @ | 5 L INE @ ")</f>
        <v xml:space="preserve">| 1 L CPT @ | 2 L JAVA @ | 3 P Python @ | 5 L INE @ </v>
      </c>
      <c r="BK236" s="4" t="str">
        <f ca="1">IFERROR(__xludf.DUMMYFUNCTION("""COMPUTED_VALUE"""),"| 1 L NS @ | 2 L PHP-CGM @ | 5 L NS @ | 6 L JAVA @ ")</f>
        <v xml:space="preserve">| 1 L NS @ | 2 L PHP-CGM @ | 5 L NS @ | 6 L JAVA @ </v>
      </c>
      <c r="BL236" s="4" t="str">
        <f ca="1">IFERROR(__xludf.DUMMYFUNCTION("""COMPUTED_VALUE"""),"| 1 L CPT @ | 2 L PHP-CGM @ | 3 P PRO @ ")</f>
        <v xml:space="preserve">| 1 L CPT @ | 2 L PHP-CGM @ | 3 P PRO @ </v>
      </c>
      <c r="BM236" s="4" t="str">
        <f ca="1">IFERROR(__xludf.DUMMYFUNCTION("""COMPUTED_VALUE"""),"| 1 L NS @ | 2 L PHP-CGM @ | 3 P CPT @ | 5 P JAVA @ ")</f>
        <v xml:space="preserve">| 1 L NS @ | 2 L PHP-CGM @ | 3 P CPT @ | 5 P JAVA @ </v>
      </c>
      <c r="BN236" s="4" t="str">
        <f ca="1">IFERROR(__xludf.DUMMYFUNCTION("""COMPUTED_VALUE"""),"| 2 L JAVA @ | 1 L CPT @ | 3 P PHP-CGM @ | 5 P NS @ ")</f>
        <v xml:space="preserve">| 2 L JAVA @ | 1 L CPT @ | 3 P PHP-CGM @ | 5 P NS @ </v>
      </c>
      <c r="BO236" s="4" t="str">
        <f ca="1">IFERROR(__xludf.DUMMYFUNCTION("""COMPUTED_VALUE"""),"| 2 L JAVA @ | 1 L CPT @ | 3 P Python @ | 5 L INE @ ")</f>
        <v xml:space="preserve">| 2 L JAVA @ | 1 L CPT @ | 3 P Python @ | 5 L INE @ </v>
      </c>
      <c r="BP236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36" s="4"/>
      <c r="BR236" s="4"/>
      <c r="BS236" s="4"/>
      <c r="BT236" s="4" t="str">
        <f ca="1">IFERROR(__xludf.DUMMYFUNCTION("""COMPUTED_VALUE"""),"| 1 L NS % | 2 L PHP-CGM % | 3 P JAVA @ ")</f>
        <v xml:space="preserve">| 1 L NS % | 2 L PHP-CGM % | 3 P JAVA @ </v>
      </c>
      <c r="BU236" s="4" t="str">
        <f ca="1">IFERROR(__xludf.DUMMYFUNCTION("""COMPUTED_VALUE"""),"| 1 L CPT @ ")</f>
        <v xml:space="preserve">| 1 L CPT @ </v>
      </c>
      <c r="BV236" s="4" t="str">
        <f ca="1">IFERROR(__xludf.DUMMYFUNCTION("""COMPUTED_VALUE"""),"| 1 L NS % | 2 L PHP-CGM % | 3 P JAVA % | 6 L JAVA % ")</f>
        <v xml:space="preserve">| 1 L NS % | 2 L PHP-CGM % | 3 P JAVA % | 6 L JAVA % </v>
      </c>
      <c r="BW236" s="4" t="str">
        <f ca="1">IFERROR(__xludf.DUMMYFUNCTION("""COMPUTED_VALUE"""),"| 1 L CPT @ | 2 L PHP-CGM % | 3 P PRO % ")</f>
        <v xml:space="preserve">| 1 L CPT @ | 2 L PHP-CGM % | 3 P PRO % </v>
      </c>
      <c r="BX236" s="4" t="str">
        <f ca="1">IFERROR(__xludf.DUMMYFUNCTION("""COMPUTED_VALUE"""),"| 1 L NS % | 2 L PHP-CGM % | 3 P CPT % | 5 P JAVA @ ")</f>
        <v xml:space="preserve">| 1 L NS % | 2 L PHP-CGM % | 3 P CPT % | 5 P JAVA @ </v>
      </c>
      <c r="BY236" s="4" t="str">
        <f ca="1">IFERROR(__xludf.DUMMYFUNCTION("""COMPUTED_VALUE"""),"| 1 L CPT % | 2 L JAVA % | 3 P PHP-CGM @ | 5 P NS % ")</f>
        <v xml:space="preserve">| 1 L CPT % | 2 L JAVA % | 3 P PHP-CGM @ | 5 P NS % </v>
      </c>
      <c r="BZ236" s="4" t="str">
        <f ca="1">IFERROR(__xludf.DUMMYFUNCTION("""COMPUTED_VALUE"""),"| 1 L CPT % | 2 L JAVA % | 5 L INE % ")</f>
        <v xml:space="preserve">| 1 L CPT % | 2 L JAVA % | 5 L INE % </v>
      </c>
      <c r="CA236" s="4" t="str">
        <f ca="1">IFERROR(__xludf.DUMMYFUNCTION("""COMPUTED_VALUE"""),"| 1 L NS @ | 2 L PHP-CGM % | 3 P JAVA @ | 5 L NS @ | 6 L JAVA @ ")</f>
        <v xml:space="preserve">| 1 L NS @ | 2 L PHP-CGM % | 3 P JAVA @ | 5 L NS @ | 6 L JAVA @ </v>
      </c>
      <c r="CB236" s="4" t="str">
        <f ca="1">IFERROR(__xludf.DUMMYFUNCTION("""COMPUTED_VALUE"""),"| 2 L PHP-CGM % | 3 P PRO % | 5 P Python @ | 1 L CPT % ")</f>
        <v xml:space="preserve">| 2 L PHP-CGM % | 3 P PRO % | 5 P Python @ | 1 L CPT % </v>
      </c>
      <c r="CC236" s="4" t="str">
        <f ca="1">IFERROR(__xludf.DUMMYFUNCTION("""COMPUTED_VALUE"""),"| 1 L NS @ | 2 L PHP-CGM @ | 3 P CPT @ | 5 P JAVA % ")</f>
        <v xml:space="preserve">| 1 L NS @ | 2 L PHP-CGM @ | 3 P CPT @ | 5 P JAVA % </v>
      </c>
      <c r="CD236" s="4" t="str">
        <f ca="1">IFERROR(__xludf.DUMMYFUNCTION("""COMPUTED_VALUE"""),"| 1 L CPT @ | 2 L JAVA @ | 3 P PHP-CGM @ | 5 P NS @ ")</f>
        <v xml:space="preserve">| 1 L CPT @ | 2 L JAVA @ | 3 P PHP-CGM @ | 5 P NS @ </v>
      </c>
      <c r="CE236" s="4" t="str">
        <f ca="1">IFERROR(__xludf.DUMMYFUNCTION("""COMPUTED_VALUE"""),"| 1 L CPT @ | 2 L JAVA @ | 3 P Python @ | 5 L INE % ")</f>
        <v xml:space="preserve">| 1 L CPT @ | 2 L JAVA @ | 3 P Python @ | 5 L INE % </v>
      </c>
      <c r="CF236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6" s="4" t="str">
        <f ca="1">IFERROR(__xludf.DUMMYFUNCTION("""COMPUTED_VALUE"""),"| 1 L CPT @ | 2 L PHP-CGM @ | 5 P Python @ ")</f>
        <v xml:space="preserve">| 1 L CPT @ | 2 L PHP-CGM @ | 5 P Python @ </v>
      </c>
      <c r="CH236" s="4" t="str">
        <f ca="1">IFERROR(__xludf.DUMMYFUNCTION("""COMPUTED_VALUE"""),"| 1 L NS @ | 2 L PHP-CGM @ | 3 P CPT % ")</f>
        <v xml:space="preserve">| 1 L NS @ | 2 L PHP-CGM @ | 3 P CPT % </v>
      </c>
      <c r="CI236" s="4" t="str">
        <f ca="1">IFERROR(__xludf.DUMMYFUNCTION("""COMPUTED_VALUE"""),"| 1 L CPT @ | 2 L JAVA @ | 3 P PHP-CGM @ | 5 P NS % ")</f>
        <v xml:space="preserve">| 1 L CPT @ | 2 L JAVA @ | 3 P PHP-CGM @ | 5 P NS % </v>
      </c>
      <c r="CJ236" s="4" t="str">
        <f ca="1">IFERROR(__xludf.DUMMYFUNCTION("""COMPUTED_VALUE"""),"| 1 L CPT @ ")</f>
        <v xml:space="preserve">| 1 L CPT @ </v>
      </c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</row>
    <row r="237" spans="1:102" ht="12.5" x14ac:dyDescent="0.25">
      <c r="A237" s="3">
        <f ca="1">IFERROR(__xludf.DUMMYFUNCTION("""COMPUTED_VALUE"""),3)</f>
        <v>3</v>
      </c>
      <c r="B237" s="3" t="str">
        <f ca="1">IFERROR(__xludf.DUMMYFUNCTION("""COMPUTED_VALUE"""),"C")</f>
        <v>C</v>
      </c>
      <c r="C237" s="32" t="str">
        <f ca="1">IFERROR(__xludf.DUMMYFUNCTION("""COMPUTED_VALUE"""),"23171341165")</f>
        <v>23171341165</v>
      </c>
      <c r="D237" s="4" t="str">
        <f ca="1">IFERROR(__xludf.DUMMYFUNCTION("""COMPUTED_VALUE"""),"RAVAL SUDHIR LALABHAI")</f>
        <v>RAVAL SUDHIR LALABHAI</v>
      </c>
      <c r="E237" s="3" t="str">
        <f ca="1">IFERROR(__xludf.DUMMYFUNCTION("""COMPUTED_VALUE"""),"PKN/PAP-Mor")</f>
        <v>PKN/PAP-Mor</v>
      </c>
      <c r="F237" s="3">
        <f ca="1">IFERROR(__xludf.DUMMYFUNCTION("""COMPUTED_VALUE"""),9925462582)</f>
        <v>9925462582</v>
      </c>
      <c r="G237" s="3">
        <f ca="1">IFERROR(__xludf.DUMMYFUNCTION("""COMPUTED_VALUE"""),9925462582)</f>
        <v>9925462582</v>
      </c>
      <c r="H237" s="33">
        <f ca="1">IFERROR(__xludf.DUMMYFUNCTION("""COMPUTED_VALUE"""),0.329218106995884)</f>
        <v>0.329218106995884</v>
      </c>
      <c r="I237" s="25">
        <f ca="1">IFERROR(__xludf.DUMMYFUNCTION("""COMPUTED_VALUE"""),0.368421052631578)</f>
        <v>0.36842105263157798</v>
      </c>
      <c r="J237" s="25">
        <f ca="1">IFERROR(__xludf.DUMMYFUNCTION("""COMPUTED_VALUE"""),0.727272727272727)</f>
        <v>0.72727272727272696</v>
      </c>
      <c r="K237" s="25">
        <f ca="1">IFERROR(__xludf.DUMMYFUNCTION("""COMPUTED_VALUE"""),0.222222222222222)</f>
        <v>0.22222222222222199</v>
      </c>
      <c r="L237" s="25">
        <f ca="1">IFERROR(__xludf.DUMMYFUNCTION("""COMPUTED_VALUE"""),0.153846153846153)</f>
        <v>0.15384615384615299</v>
      </c>
      <c r="M237" s="25">
        <f ca="1">IFERROR(__xludf.DUMMYFUNCTION("""COMPUTED_VALUE"""),0.472222222222222)</f>
        <v>0.47222222222222199</v>
      </c>
      <c r="N237" s="25">
        <f ca="1">IFERROR(__xludf.DUMMYFUNCTION("""COMPUTED_VALUE"""),0.384615384615384)</f>
        <v>0.38461538461538403</v>
      </c>
      <c r="O237" s="25">
        <f ca="1">IFERROR(__xludf.DUMMYFUNCTION("""COMPUTED_VALUE"""),0.285714285714285)</f>
        <v>0.28571428571428498</v>
      </c>
      <c r="P237" s="25">
        <f ca="1">IFERROR(__xludf.DUMMYFUNCTION("""COMPUTED_VALUE"""),0.181818181818181)</f>
        <v>0.18181818181818099</v>
      </c>
      <c r="Q237" s="25">
        <f ca="1">IFERROR(__xludf.DUMMYFUNCTION("""COMPUTED_VALUE"""),0)</f>
        <v>0</v>
      </c>
      <c r="R237" s="25">
        <f ca="1">IFERROR(__xludf.DUMMYFUNCTION("""COMPUTED_VALUE"""),0.45)</f>
        <v>0.45</v>
      </c>
      <c r="S237" s="25">
        <f ca="1">IFERROR(__xludf.DUMMYFUNCTION("""COMPUTED_VALUE"""),0)</f>
        <v>0</v>
      </c>
      <c r="T237" s="25">
        <f ca="1">IFERROR(__xludf.DUMMYFUNCTION("""COMPUTED_VALUE"""),0.272727272727272)</f>
        <v>0.27272727272727199</v>
      </c>
      <c r="U237" s="25">
        <f ca="1">IFERROR(__xludf.DUMMYFUNCTION("""COMPUTED_VALUE"""),0)</f>
        <v>0</v>
      </c>
      <c r="V237" s="25">
        <f ca="1">IFERROR(__xludf.DUMMYFUNCTION("""COMPUTED_VALUE"""),0)</f>
        <v>0</v>
      </c>
      <c r="W237" s="4"/>
      <c r="X237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37" s="4" t="str">
        <f ca="1">IFERROR(__xludf.DUMMYFUNCTION("""COMPUTED_VALUE"""),"| 1 L CPT @ | 5 L PHP-CGM @ | 3 P PRO @ | 5 P Python @ ")</f>
        <v xml:space="preserve">| 1 L CPT @ | 5 L PHP-CGM @ | 3 P PRO @ | 5 P Python @ </v>
      </c>
      <c r="Z237" s="4" t="str">
        <f ca="1">IFERROR(__xludf.DUMMYFUNCTION("""COMPUTED_VALUE"""),"| 1 L CPT % | 2 L PHP-CGM % | 3 P CPT % | 5 P JAVA % ")</f>
        <v xml:space="preserve">| 1 L CPT % | 2 L PHP-CGM % | 3 P CPT % | 5 P JAVA % </v>
      </c>
      <c r="AA237" s="4" t="str">
        <f ca="1">IFERROR(__xludf.DUMMYFUNCTION("""COMPUTED_VALUE"""),"| 1 L NS @ | 2 L JAVA @ | 3 P PHP-CGM @ | 5 P NS @ ")</f>
        <v xml:space="preserve">| 1 L NS @ | 2 L JAVA @ | 3 P PHP-CGM @ | 5 P NS @ </v>
      </c>
      <c r="AB237" s="4" t="str">
        <f ca="1">IFERROR(__xludf.DUMMYFUNCTION("""COMPUTED_VALUE"""),"| 1 L CPT % | 2 L JAVA % | 3 P Python % ")</f>
        <v xml:space="preserve">| 1 L CPT % | 2 L JAVA % | 3 P Python % </v>
      </c>
      <c r="AC237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7" s="4" t="str">
        <f ca="1">IFERROR(__xludf.DUMMYFUNCTION("""COMPUTED_VALUE"""),"| 1 L CPT @ | 2 L PHP-CGM @ | 3 P PRO @ | 5 P Python @ ")</f>
        <v xml:space="preserve">| 1 L CPT @ | 2 L PHP-CGM @ | 3 P PRO @ | 5 P Python @ </v>
      </c>
      <c r="AE237" s="4" t="str">
        <f ca="1">IFERROR(__xludf.DUMMYFUNCTION("""COMPUTED_VALUE"""),"| 1 L CPT % | 3 P CPT % | 5 P JAVA % | 2 L PHP-CGM % ")</f>
        <v xml:space="preserve">| 1 L CPT % | 3 P CPT % | 5 P JAVA % | 2 L PHP-CGM % </v>
      </c>
      <c r="AF237" s="4" t="str">
        <f ca="1">IFERROR(__xludf.DUMMYFUNCTION("""COMPUTED_VALUE"""),"| 1 L NS @ | 2 L CPT @ | 3 P PHP-CGM % | 5 P NS % ")</f>
        <v xml:space="preserve">| 1 L NS @ | 2 L CPT @ | 3 P PHP-CGM % | 5 P NS % </v>
      </c>
      <c r="AG237" s="4" t="str">
        <f ca="1">IFERROR(__xludf.DUMMYFUNCTION("""COMPUTED_VALUE"""),"| 1 L CPT % | 2 L JAVA % | 3 P Python % ")</f>
        <v xml:space="preserve">| 1 L CPT % | 2 L JAVA % | 3 P Python % </v>
      </c>
      <c r="AH237" s="4" t="str">
        <f ca="1">IFERROR(__xludf.DUMMYFUNCTION("""COMPUTED_VALUE"""),"| 2 L JAVA % | 1 L NS % | 3 P PHP-CGM % | 5 P NS % ")</f>
        <v xml:space="preserve">| 2 L JAVA % | 1 L NS % | 3 P PHP-CGM % | 5 P NS % </v>
      </c>
      <c r="AI237" s="4" t="str">
        <f ca="1">IFERROR(__xludf.DUMMYFUNCTION("""COMPUTED_VALUE"""),"| 1 L CPT % | 2 L JAVA % | 3 P Python % ")</f>
        <v xml:space="preserve">| 1 L CPT % | 2 L JAVA % | 3 P Python % </v>
      </c>
      <c r="AJ237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37" s="4" t="str">
        <f ca="1">IFERROR(__xludf.DUMMYFUNCTION("""COMPUTED_VALUE"""),"| 1 L CPT % | 3 P PRO % | 2 L PHP-CGM % | 5 P Python % ")</f>
        <v xml:space="preserve">| 1 L CPT % | 3 P PRO % | 2 L PHP-CGM % | 5 P Python % </v>
      </c>
      <c r="AL237" s="4" t="str">
        <f ca="1">IFERROR(__xludf.DUMMYFUNCTION("""COMPUTED_VALUE"""),"| 1 L CPT % | 2 L PHP-CGM % | 3 P CPT % | 5 P JAVA @ ")</f>
        <v xml:space="preserve">| 1 L CPT % | 2 L PHP-CGM % | 3 P CPT % | 5 P JAVA @ </v>
      </c>
      <c r="AM237" s="4" t="str">
        <f ca="1">IFERROR(__xludf.DUMMYFUNCTION("""COMPUTED_VALUE"""),"| 2 L JAVA @ | 3 P PHP-CGM @ | 1 L NS @ | 5 P NS @ ")</f>
        <v xml:space="preserve">| 2 L JAVA @ | 3 P PHP-CGM @ | 1 L NS @ | 5 P NS @ </v>
      </c>
      <c r="AN237" s="4" t="str">
        <f ca="1">IFERROR(__xludf.DUMMYFUNCTION("""COMPUTED_VALUE"""),"| 1 L CPT @ | 2 L JAVA @ | 3 P Python @ | 5 L INE @ ")</f>
        <v xml:space="preserve">| 1 L CPT @ | 2 L JAVA @ | 3 P Python @ | 5 L INE @ </v>
      </c>
      <c r="AO237" s="4" t="str">
        <f ca="1">IFERROR(__xludf.DUMMYFUNCTION("""COMPUTED_VALUE"""),"| 1 L NS @ | 2 L PHP-CGM % | 3 P JAVA % | 5 L NS @ | 5 L JAVA @ ")</f>
        <v xml:space="preserve">| 1 L NS @ | 2 L PHP-CGM % | 3 P JAVA % | 5 L NS @ | 5 L JAVA @ </v>
      </c>
      <c r="AP237" s="4" t="str">
        <f ca="1">IFERROR(__xludf.DUMMYFUNCTION("""COMPUTED_VALUE"""),"| 1 L CPT @ | 2 L PHP-CGM % | 3 P PRO @ | 5 P Python @ ")</f>
        <v xml:space="preserve">| 1 L CPT @ | 2 L PHP-CGM % | 3 P PRO @ | 5 P Python @ </v>
      </c>
      <c r="AQ237" s="4" t="str">
        <f ca="1">IFERROR(__xludf.DUMMYFUNCTION("""COMPUTED_VALUE"""),"| 2 L PHP-CGM % | 3 P CPT @ | 1 L NS % | 5 P JAVA @ ")</f>
        <v xml:space="preserve">| 2 L PHP-CGM % | 3 P CPT @ | 1 L NS % | 5 P JAVA @ </v>
      </c>
      <c r="AR237" s="4" t="str">
        <f ca="1">IFERROR(__xludf.DUMMYFUNCTION("""COMPUTED_VALUE"""),"| 1 L CPT @ | 2 L JAVA @ | 3 P PHP-CGM @ | 5 P NS @ ")</f>
        <v xml:space="preserve">| 1 L CPT @ | 2 L JAVA @ | 3 P PHP-CGM @ | 5 P NS @ </v>
      </c>
      <c r="AS237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AT237" s="4" t="str">
        <f ca="1">IFERROR(__xludf.DUMMYFUNCTION("""COMPUTED_VALUE"""),"| 1 L CPT % | 2 L PHP-CGM % | 3 P PRO % | 5 P Python % ")</f>
        <v xml:space="preserve">| 1 L CPT % | 2 L PHP-CGM % | 3 P PRO % | 5 P Python % </v>
      </c>
      <c r="AU237" s="4" t="str">
        <f ca="1">IFERROR(__xludf.DUMMYFUNCTION("""COMPUTED_VALUE"""),"| 1 L NS % | 2 L PHP-CGM % | 3 P CPT % | 5 P JAVA @ ")</f>
        <v xml:space="preserve">| 1 L NS % | 2 L PHP-CGM % | 3 P CPT % | 5 P JAVA @ </v>
      </c>
      <c r="AV237" s="4" t="str">
        <f ca="1">IFERROR(__xludf.DUMMYFUNCTION("""COMPUTED_VALUE"""),"| 1 L CPT % | 2 L JAVA % | 3 P PHP-CGM % | 5 P NS @ ")</f>
        <v xml:space="preserve">| 1 L CPT % | 2 L JAVA % | 3 P PHP-CGM % | 5 P NS @ </v>
      </c>
      <c r="AW237" s="4" t="str">
        <f ca="1">IFERROR(__xludf.DUMMYFUNCTION("""COMPUTED_VALUE"""),"| 1 L CPT % | 2 L JAVA % | 3 P Python % | 5 L INE @ | 6 L INE @ ")</f>
        <v xml:space="preserve">| 1 L CPT % | 2 L JAVA % | 3 P Python % | 5 L INE @ | 6 L INE @ </v>
      </c>
      <c r="AX237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Y237" s="4" t="str">
        <f ca="1">IFERROR(__xludf.DUMMYFUNCTION("""COMPUTED_VALUE"""),"| 1 L CPT @ | 2 L PHP-CGM % | 3 P PRO @ | 5 P Python @ ")</f>
        <v xml:space="preserve">| 1 L CPT @ | 2 L PHP-CGM % | 3 P PRO @ | 5 P Python @ </v>
      </c>
      <c r="AZ237" s="4" t="str">
        <f ca="1">IFERROR(__xludf.DUMMYFUNCTION("""COMPUTED_VALUE"""),"| 1 L CPT @ | 2 L JAVA % | 3 P PHP-CGM % | 5 P NS @ ")</f>
        <v xml:space="preserve">| 1 L CPT @ | 2 L JAVA % | 3 P PHP-CGM % | 5 P NS @ </v>
      </c>
      <c r="BA237" s="4" t="str">
        <f ca="1">IFERROR(__xludf.DUMMYFUNCTION("""COMPUTED_VALUE"""),"| 1 L CPT @ | 2 L JAVA @ | 3 P Python @ | 5 L INE @ ")</f>
        <v xml:space="preserve">| 1 L CPT @ | 2 L JAVA @ | 3 P Python @ | 5 L INE @ </v>
      </c>
      <c r="BB237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C237" s="4" t="str">
        <f ca="1">IFERROR(__xludf.DUMMYFUNCTION("""COMPUTED_VALUE"""),"| 1 L CPT % | 2 L PHP-CGM % | 3 P PRO % | 5 P Python % ")</f>
        <v xml:space="preserve">| 1 L CPT % | 2 L PHP-CGM % | 3 P PRO % | 5 P Python % </v>
      </c>
      <c r="BD237" s="4" t="str">
        <f ca="1">IFERROR(__xludf.DUMMYFUNCTION("""COMPUTED_VALUE"""),"| 1 L NS % | 2 L PHP-CGM % | 3 P CPT % | 5 P JAVA @ ")</f>
        <v xml:space="preserve">| 1 L NS % | 2 L PHP-CGM % | 3 P CPT % | 5 P JAVA @ </v>
      </c>
      <c r="BE237" s="4" t="str">
        <f ca="1">IFERROR(__xludf.DUMMYFUNCTION("""COMPUTED_VALUE"""),"| 1 L CPT % | 2 L JAVA % | 3 P PHP-CGM @ | 5 P NS @ ")</f>
        <v xml:space="preserve">| 1 L CPT % | 2 L JAVA % | 3 P PHP-CGM @ | 5 P NS @ </v>
      </c>
      <c r="BF237" s="4" t="str">
        <f ca="1">IFERROR(__xludf.DUMMYFUNCTION("""COMPUTED_VALUE"""),"| 1 L CPT @ | 2 L JAVA @ | 3 P Python @ ")</f>
        <v xml:space="preserve">| 1 L CPT @ | 2 L JAVA @ | 3 P Python @ </v>
      </c>
      <c r="BG237" s="4" t="str">
        <f ca="1">IFERROR(__xludf.DUMMYFUNCTION("""COMPUTED_VALUE"""),"| 2 L PHP-CGM @ | 1 L CPT @ | 3 P PRO @ | 5 P Python @ ")</f>
        <v xml:space="preserve">| 2 L PHP-CGM @ | 1 L CPT @ | 3 P PRO @ | 5 P Python @ </v>
      </c>
      <c r="BH237" s="4" t="str">
        <f ca="1">IFERROR(__xludf.DUMMYFUNCTION("""COMPUTED_VALUE"""),"| 1 L NS @ | 2 L PHP-CGM @ | 3 P CPT % | 5 P JAVA @ ")</f>
        <v xml:space="preserve">| 1 L NS @ | 2 L PHP-CGM @ | 3 P CPT % | 5 P JAVA @ </v>
      </c>
      <c r="BI237" s="4" t="str">
        <f ca="1">IFERROR(__xludf.DUMMYFUNCTION("""COMPUTED_VALUE"""),"| 1 L CPT @ | 2 L JAVA @ | 3 P PHP-CGM @ | 5 P NS @ ")</f>
        <v xml:space="preserve">| 1 L CPT @ | 2 L JAVA @ | 3 P PHP-CGM @ | 5 P NS @ </v>
      </c>
      <c r="BJ237" s="4" t="str">
        <f ca="1">IFERROR(__xludf.DUMMYFUNCTION("""COMPUTED_VALUE"""),"| 1 L CPT % | 2 L JAVA @ | 3 P Python % | 5 L INE @ ")</f>
        <v xml:space="preserve">| 1 L CPT % | 2 L JAVA @ | 3 P Python % | 5 L INE @ </v>
      </c>
      <c r="BK237" s="4" t="str">
        <f ca="1">IFERROR(__xludf.DUMMYFUNCTION("""COMPUTED_VALUE"""),"| 1 L NS % | 2 L PHP-CGM % | 5 L NS @ | 6 L JAVA @ ")</f>
        <v xml:space="preserve">| 1 L NS % | 2 L PHP-CGM % | 5 L NS @ | 6 L JAVA @ </v>
      </c>
      <c r="BL237" s="4" t="str">
        <f ca="1">IFERROR(__xludf.DUMMYFUNCTION("""COMPUTED_VALUE"""),"| 1 L CPT @ | 2 L PHP-CGM @ | 3 P PRO @ ")</f>
        <v xml:space="preserve">| 1 L CPT @ | 2 L PHP-CGM @ | 3 P PRO @ </v>
      </c>
      <c r="BM237" s="4" t="str">
        <f ca="1">IFERROR(__xludf.DUMMYFUNCTION("""COMPUTED_VALUE"""),"| 1 L NS @ | 2 L PHP-CGM @ | 3 P CPT @ | 5 P JAVA @ ")</f>
        <v xml:space="preserve">| 1 L NS @ | 2 L PHP-CGM @ | 3 P CPT @ | 5 P JAVA @ </v>
      </c>
      <c r="BN237" s="4" t="str">
        <f ca="1">IFERROR(__xludf.DUMMYFUNCTION("""COMPUTED_VALUE"""),"| 2 L JAVA @ | 1 L CPT @ | 3 P PHP-CGM @ | 5 P NS @ ")</f>
        <v xml:space="preserve">| 2 L JAVA @ | 1 L CPT @ | 3 P PHP-CGM @ | 5 P NS @ </v>
      </c>
      <c r="BO237" s="4" t="str">
        <f ca="1">IFERROR(__xludf.DUMMYFUNCTION("""COMPUTED_VALUE"""),"| 2 L JAVA @ | 1 L CPT @ | 3 P Python % | 5 L INE @ ")</f>
        <v xml:space="preserve">| 2 L JAVA @ | 1 L CPT @ | 3 P Python % | 5 L INE @ </v>
      </c>
      <c r="BP237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37" s="4"/>
      <c r="BR237" s="4"/>
      <c r="BS237" s="4"/>
      <c r="BT237" s="4" t="str">
        <f ca="1">IFERROR(__xludf.DUMMYFUNCTION("""COMPUTED_VALUE"""),"| 1 L NS @ | 2 L PHP-CGM @ | 3 P JAVA @ ")</f>
        <v xml:space="preserve">| 1 L NS @ | 2 L PHP-CGM @ | 3 P JAVA @ </v>
      </c>
      <c r="BU237" s="4" t="str">
        <f ca="1">IFERROR(__xludf.DUMMYFUNCTION("""COMPUTED_VALUE"""),"| 1 L CPT @ ")</f>
        <v xml:space="preserve">| 1 L CPT @ </v>
      </c>
      <c r="BV237" s="4" t="str">
        <f ca="1">IFERROR(__xludf.DUMMYFUNCTION("""COMPUTED_VALUE"""),"| 1 L NS @ | 2 L PHP-CGM @ | 3 P JAVA @ | 6 L JAVA @ ")</f>
        <v xml:space="preserve">| 1 L NS @ | 2 L PHP-CGM @ | 3 P JAVA @ | 6 L JAVA @ </v>
      </c>
      <c r="BW237" s="4" t="str">
        <f ca="1">IFERROR(__xludf.DUMMYFUNCTION("""COMPUTED_VALUE"""),"| 1 L CPT @ | 2 L PHP-CGM @ | 3 P PRO @ ")</f>
        <v xml:space="preserve">| 1 L CPT @ | 2 L PHP-CGM @ | 3 P PRO @ </v>
      </c>
      <c r="BX237" s="4" t="str">
        <f ca="1">IFERROR(__xludf.DUMMYFUNCTION("""COMPUTED_VALUE"""),"| 1 L NS @ | 2 L PHP-CGM @ | 3 P CPT @ | 5 P JAVA @ ")</f>
        <v xml:space="preserve">| 1 L NS @ | 2 L PHP-CGM @ | 3 P CPT @ | 5 P JAVA @ </v>
      </c>
      <c r="BY237" s="4" t="str">
        <f ca="1">IFERROR(__xludf.DUMMYFUNCTION("""COMPUTED_VALUE"""),"| 1 L CPT @ | 2 L JAVA @ | 3 P PHP-CGM @ | 5 P NS @ ")</f>
        <v xml:space="preserve">| 1 L CPT @ | 2 L JAVA @ | 3 P PHP-CGM @ | 5 P NS @ </v>
      </c>
      <c r="BZ237" s="4" t="str">
        <f ca="1">IFERROR(__xludf.DUMMYFUNCTION("""COMPUTED_VALUE"""),"| 1 L CPT @ | 2 L JAVA @ | 5 L INE @ ")</f>
        <v xml:space="preserve">| 1 L CPT @ | 2 L JAVA @ | 5 L INE @ </v>
      </c>
      <c r="CA237" s="4" t="str">
        <f ca="1">IFERROR(__xludf.DUMMYFUNCTION("""COMPUTED_VALUE"""),"| 1 L NS @ | 2 L PHP-CGM % | 3 P JAVA @ | 5 L NS @ | 6 L JAVA @ ")</f>
        <v xml:space="preserve">| 1 L NS @ | 2 L PHP-CGM % | 3 P JAVA @ | 5 L NS @ | 6 L JAVA @ </v>
      </c>
      <c r="CB237" s="4" t="str">
        <f ca="1">IFERROR(__xludf.DUMMYFUNCTION("""COMPUTED_VALUE"""),"| 2 L PHP-CGM % | 3 P PRO @ | 5 P Python @ | 1 L CPT % ")</f>
        <v xml:space="preserve">| 2 L PHP-CGM % | 3 P PRO @ | 5 P Python @ | 1 L CPT % </v>
      </c>
      <c r="CC237" s="4" t="str">
        <f ca="1">IFERROR(__xludf.DUMMYFUNCTION("""COMPUTED_VALUE"""),"| 1 L NS @ | 2 L PHP-CGM @ | 3 P CPT % | 5 P JAVA @ ")</f>
        <v xml:space="preserve">| 1 L NS @ | 2 L PHP-CGM @ | 3 P CPT % | 5 P JAVA @ </v>
      </c>
      <c r="CD237" s="4" t="str">
        <f ca="1">IFERROR(__xludf.DUMMYFUNCTION("""COMPUTED_VALUE"""),"| 1 L CPT @ | 2 L JAVA @ | 3 P PHP-CGM @ | 5 P NS @ ")</f>
        <v xml:space="preserve">| 1 L CPT @ | 2 L JAVA @ | 3 P PHP-CGM @ | 5 P NS @ </v>
      </c>
      <c r="CE237" s="4" t="str">
        <f ca="1">IFERROR(__xludf.DUMMYFUNCTION("""COMPUTED_VALUE"""),"| 1 L CPT @ | 2 L JAVA % | 3 P Python @ | 5 L INE @ ")</f>
        <v xml:space="preserve">| 1 L CPT @ | 2 L JAVA % | 3 P Python @ | 5 L INE @ </v>
      </c>
      <c r="CF237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37" s="4" t="str">
        <f ca="1">IFERROR(__xludf.DUMMYFUNCTION("""COMPUTED_VALUE"""),"| 1 L CPT @ | 2 L PHP-CGM @ | 5 P Python @ ")</f>
        <v xml:space="preserve">| 1 L CPT @ | 2 L PHP-CGM @ | 5 P Python @ </v>
      </c>
      <c r="CH237" s="4" t="str">
        <f ca="1">IFERROR(__xludf.DUMMYFUNCTION("""COMPUTED_VALUE"""),"| 1 L NS @ | 2 L PHP-CGM @ | 3 P CPT % ")</f>
        <v xml:space="preserve">| 1 L NS @ | 2 L PHP-CGM @ | 3 P CPT % </v>
      </c>
      <c r="CI237" s="4" t="str">
        <f ca="1">IFERROR(__xludf.DUMMYFUNCTION("""COMPUTED_VALUE"""),"| 1 L CPT @ | 2 L JAVA @ | 3 P PHP-CGM % | 5 P NS @ ")</f>
        <v xml:space="preserve">| 1 L CPT @ | 2 L JAVA @ | 3 P PHP-CGM % | 5 P NS @ </v>
      </c>
      <c r="CJ237" s="4" t="str">
        <f ca="1">IFERROR(__xludf.DUMMYFUNCTION("""COMPUTED_VALUE"""),"| 1 L CPT @ ")</f>
        <v xml:space="preserve">| 1 L CPT @ </v>
      </c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</row>
    <row r="238" spans="1:102" ht="12.5" x14ac:dyDescent="0.25">
      <c r="A238" s="3">
        <f ca="1">IFERROR(__xludf.DUMMYFUNCTION("""COMPUTED_VALUE"""),3)</f>
        <v>3</v>
      </c>
      <c r="B238" s="3" t="str">
        <f ca="1">IFERROR(__xludf.DUMMYFUNCTION("""COMPUTED_VALUE"""),"C")</f>
        <v>C</v>
      </c>
      <c r="C238" s="32" t="str">
        <f ca="1">IFERROR(__xludf.DUMMYFUNCTION("""COMPUTED_VALUE"""),"23171341172")</f>
        <v>23171341172</v>
      </c>
      <c r="D238" s="4" t="str">
        <f ca="1">IFERROR(__xludf.DUMMYFUNCTION("""COMPUTED_VALUE"""),"SACHI RAGHUVIR PATEL")</f>
        <v>SACHI RAGHUVIR PATEL</v>
      </c>
      <c r="E238" s="3" t="str">
        <f ca="1">IFERROR(__xludf.DUMMYFUNCTION("""COMPUTED_VALUE"""),"PKN/PAP-Mor")</f>
        <v>PKN/PAP-Mor</v>
      </c>
      <c r="F238" s="3">
        <f ca="1">IFERROR(__xludf.DUMMYFUNCTION("""COMPUTED_VALUE"""),9023335264)</f>
        <v>9023335264</v>
      </c>
      <c r="G238" s="3">
        <f ca="1">IFERROR(__xludf.DUMMYFUNCTION("""COMPUTED_VALUE"""),9930529850)</f>
        <v>9930529850</v>
      </c>
      <c r="H238" s="33">
        <f ca="1">IFERROR(__xludf.DUMMYFUNCTION("""COMPUTED_VALUE"""),0.724279835390946)</f>
        <v>0.72427983539094598</v>
      </c>
      <c r="I238" s="25">
        <f ca="1">IFERROR(__xludf.DUMMYFUNCTION("""COMPUTED_VALUE"""),0.736842105263157)</f>
        <v>0.73684210526315697</v>
      </c>
      <c r="J238" s="25">
        <f ca="1">IFERROR(__xludf.DUMMYFUNCTION("""COMPUTED_VALUE"""),0.727272727272727)</f>
        <v>0.72727272727272696</v>
      </c>
      <c r="K238" s="25">
        <f ca="1">IFERROR(__xludf.DUMMYFUNCTION("""COMPUTED_VALUE"""),0.611111111111111)</f>
        <v>0.61111111111111105</v>
      </c>
      <c r="L238" s="25">
        <f ca="1">IFERROR(__xludf.DUMMYFUNCTION("""COMPUTED_VALUE"""),0.769230769230769)</f>
        <v>0.76923076923076905</v>
      </c>
      <c r="M238" s="25">
        <f ca="1">IFERROR(__xludf.DUMMYFUNCTION("""COMPUTED_VALUE"""),0.694444444444444)</f>
        <v>0.69444444444444398</v>
      </c>
      <c r="N238" s="25">
        <f ca="1">IFERROR(__xludf.DUMMYFUNCTION("""COMPUTED_VALUE"""),0.846153846153846)</f>
        <v>0.84615384615384603</v>
      </c>
      <c r="O238" s="25">
        <f ca="1">IFERROR(__xludf.DUMMYFUNCTION("""COMPUTED_VALUE"""),0.771428571428571)</f>
        <v>0.77142857142857102</v>
      </c>
      <c r="P238" s="25">
        <f ca="1">IFERROR(__xludf.DUMMYFUNCTION("""COMPUTED_VALUE"""),0.636363636363636)</f>
        <v>0.63636363636363602</v>
      </c>
      <c r="Q238" s="25">
        <f ca="1">IFERROR(__xludf.DUMMYFUNCTION("""COMPUTED_VALUE"""),0)</f>
        <v>0</v>
      </c>
      <c r="R238" s="25">
        <f ca="1">IFERROR(__xludf.DUMMYFUNCTION("""COMPUTED_VALUE"""),0.85)</f>
        <v>0.85</v>
      </c>
      <c r="S238" s="25">
        <f ca="1">IFERROR(__xludf.DUMMYFUNCTION("""COMPUTED_VALUE"""),0)</f>
        <v>0</v>
      </c>
      <c r="T238" s="25">
        <f ca="1">IFERROR(__xludf.DUMMYFUNCTION("""COMPUTED_VALUE"""),0.818181818181818)</f>
        <v>0.81818181818181801</v>
      </c>
      <c r="U238" s="25">
        <f ca="1">IFERROR(__xludf.DUMMYFUNCTION("""COMPUTED_VALUE"""),0.625)</f>
        <v>0.625</v>
      </c>
      <c r="V238" s="25">
        <f ca="1">IFERROR(__xludf.DUMMYFUNCTION("""COMPUTED_VALUE"""),0)</f>
        <v>0</v>
      </c>
      <c r="W238" s="4"/>
      <c r="X238" s="4" t="str">
        <f ca="1">IFERROR(__xludf.DUMMYFUNCTION("""COMPUTED_VALUE"""),"| 1 L NS @ | 2 L PHP-CGM % | 3 P JAVA % | 5 L JAVA % | 6 L NS % ")</f>
        <v xml:space="preserve">| 1 L NS @ | 2 L PHP-CGM % | 3 P JAVA % | 5 L JAVA % | 6 L NS % </v>
      </c>
      <c r="Y238" s="4" t="str">
        <f ca="1">IFERROR(__xludf.DUMMYFUNCTION("""COMPUTED_VALUE"""),"| 1 L CPT % | 5 L PHP-CGM % | 3 P PRO % | 5 P Python % ")</f>
        <v xml:space="preserve">| 1 L CPT % | 5 L PHP-CGM % | 3 P PRO % | 5 P Python % </v>
      </c>
      <c r="Z238" s="4" t="str">
        <f ca="1">IFERROR(__xludf.DUMMYFUNCTION("""COMPUTED_VALUE"""),"| 1 L CPT % | 2 L PHP-CGM % | 3 P CPT % | 5 P JAVA % ")</f>
        <v xml:space="preserve">| 1 L CPT % | 2 L PHP-CGM % | 3 P CPT % | 5 P JAVA % </v>
      </c>
      <c r="AA238" s="4" t="str">
        <f ca="1">IFERROR(__xludf.DUMMYFUNCTION("""COMPUTED_VALUE"""),"| 1 L NS % | 2 L JAVA % | 3 P PHP-CGM % | 5 P NS % ")</f>
        <v xml:space="preserve">| 1 L NS % | 2 L JAVA % | 3 P PHP-CGM % | 5 P NS % </v>
      </c>
      <c r="AB238" s="4" t="str">
        <f ca="1">IFERROR(__xludf.DUMMYFUNCTION("""COMPUTED_VALUE"""),"| 1 L CPT % | 2 L JAVA % | 3 P Python % ")</f>
        <v xml:space="preserve">| 1 L CPT % | 2 L JAVA % | 3 P Python % </v>
      </c>
      <c r="AC238" s="4" t="str">
        <f ca="1">IFERROR(__xludf.DUMMYFUNCTION("""COMPUTED_VALUE"""),"| 1 L NS @ | 2 L PHP-CGM % | 3 P JAVA % | 5 L JAVA % | 6 L NS % ")</f>
        <v xml:space="preserve">| 1 L NS @ | 2 L PHP-CGM % | 3 P JAVA % | 5 L JAVA % | 6 L NS % </v>
      </c>
      <c r="AD238" s="4" t="str">
        <f ca="1">IFERROR(__xludf.DUMMYFUNCTION("""COMPUTED_VALUE"""),"| 1 L CPT % | 2 L PHP-CGM % | 3 P PRO % | 5 P Python % ")</f>
        <v xml:space="preserve">| 1 L CPT % | 2 L PHP-CGM % | 3 P PRO % | 5 P Python % </v>
      </c>
      <c r="AE238" s="4" t="str">
        <f ca="1">IFERROR(__xludf.DUMMYFUNCTION("""COMPUTED_VALUE"""),"| 1 L CPT % | 3 P CPT % | 5 P JAVA % | 2 L PHP-CGM % ")</f>
        <v xml:space="preserve">| 1 L CPT % | 3 P CPT % | 5 P JAVA % | 2 L PHP-CGM % </v>
      </c>
      <c r="AF238" s="4" t="str">
        <f ca="1">IFERROR(__xludf.DUMMYFUNCTION("""COMPUTED_VALUE"""),"| 1 L NS % | 2 L CPT % | 3 P PHP-CGM % | 5 P NS % ")</f>
        <v xml:space="preserve">| 1 L NS % | 2 L CPT % | 3 P PHP-CGM % | 5 P NS % </v>
      </c>
      <c r="AG238" s="4" t="str">
        <f ca="1">IFERROR(__xludf.DUMMYFUNCTION("""COMPUTED_VALUE"""),"| 1 L CPT % | 2 L JAVA % | 3 P Python % ")</f>
        <v xml:space="preserve">| 1 L CPT % | 2 L JAVA % | 3 P Python % </v>
      </c>
      <c r="AH238" s="4" t="str">
        <f ca="1">IFERROR(__xludf.DUMMYFUNCTION("""COMPUTED_VALUE"""),"| 2 L JAVA % | 1 L NS % | 3 P PHP-CGM % | 5 P NS % ")</f>
        <v xml:space="preserve">| 2 L JAVA % | 1 L NS % | 3 P PHP-CGM % | 5 P NS % </v>
      </c>
      <c r="AI238" s="4" t="str">
        <f ca="1">IFERROR(__xludf.DUMMYFUNCTION("""COMPUTED_VALUE"""),"| 1 L CPT % | 2 L JAVA % | 3 P Python % ")</f>
        <v xml:space="preserve">| 1 L CPT % | 2 L JAVA % | 3 P Python % </v>
      </c>
      <c r="AJ23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8" s="4" t="str">
        <f ca="1">IFERROR(__xludf.DUMMYFUNCTION("""COMPUTED_VALUE"""),"| 1 L CPT % | 3 P PRO % | 2 L PHP-CGM % | 5 P Python % ")</f>
        <v xml:space="preserve">| 1 L CPT % | 3 P PRO % | 2 L PHP-CGM % | 5 P Python % </v>
      </c>
      <c r="AL238" s="4" t="str">
        <f ca="1">IFERROR(__xludf.DUMMYFUNCTION("""COMPUTED_VALUE"""),"| 1 L CPT % | 2 L PHP-CGM % | 3 P CPT % | 5 P JAVA % ")</f>
        <v xml:space="preserve">| 1 L CPT % | 2 L PHP-CGM % | 3 P CPT % | 5 P JAVA % </v>
      </c>
      <c r="AM238" s="4" t="str">
        <f ca="1">IFERROR(__xludf.DUMMYFUNCTION("""COMPUTED_VALUE"""),"| 2 L JAVA % | 3 P PHP-CGM % | 1 L NS % | 5 P NS % ")</f>
        <v xml:space="preserve">| 2 L JAVA % | 3 P PHP-CGM % | 1 L NS % | 5 P NS % </v>
      </c>
      <c r="AN238" s="4" t="str">
        <f ca="1">IFERROR(__xludf.DUMMYFUNCTION("""COMPUTED_VALUE"""),"| 1 L CPT % | 2 L JAVA % | 3 P Python % | 5 L INE @ ")</f>
        <v xml:space="preserve">| 1 L CPT % | 2 L JAVA % | 3 P Python % | 5 L INE @ </v>
      </c>
      <c r="AO23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38" s="4" t="str">
        <f ca="1">IFERROR(__xludf.DUMMYFUNCTION("""COMPUTED_VALUE"""),"| 1 L CPT % | 2 L PHP-CGM % | 3 P PRO % | 5 P Python % ")</f>
        <v xml:space="preserve">| 1 L CPT % | 2 L PHP-CGM % | 3 P PRO % | 5 P Python % </v>
      </c>
      <c r="AQ238" s="4" t="str">
        <f ca="1">IFERROR(__xludf.DUMMYFUNCTION("""COMPUTED_VALUE"""),"| 2 L PHP-CGM % | 3 P CPT % | 1 L NS % | 5 P JAVA % ")</f>
        <v xml:space="preserve">| 2 L PHP-CGM % | 3 P CPT % | 1 L NS % | 5 P JAVA % </v>
      </c>
      <c r="AR238" s="4" t="str">
        <f ca="1">IFERROR(__xludf.DUMMYFUNCTION("""COMPUTED_VALUE"""),"| 1 L CPT @ | 2 L JAVA @ | 3 P PHP-CGM @ | 5 P NS @ ")</f>
        <v xml:space="preserve">| 1 L CPT @ | 2 L JAVA @ | 3 P PHP-CGM @ | 5 P NS @ </v>
      </c>
      <c r="AS23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38" s="4" t="str">
        <f ca="1">IFERROR(__xludf.DUMMYFUNCTION("""COMPUTED_VALUE"""),"| 1 L CPT @ | 2 L PHP-CGM % | 3 P PRO @ | 5 P Python @ ")</f>
        <v xml:space="preserve">| 1 L CPT @ | 2 L PHP-CGM % | 3 P PRO @ | 5 P Python @ </v>
      </c>
      <c r="AU238" s="4" t="str">
        <f ca="1">IFERROR(__xludf.DUMMYFUNCTION("""COMPUTED_VALUE"""),"| 1 L NS @ | 2 L PHP-CGM @ | 3 P CPT @ | 5 P JAVA @ ")</f>
        <v xml:space="preserve">| 1 L NS @ | 2 L PHP-CGM @ | 3 P CPT @ | 5 P JAVA @ </v>
      </c>
      <c r="AV238" s="4" t="str">
        <f ca="1">IFERROR(__xludf.DUMMYFUNCTION("""COMPUTED_VALUE"""),"| 1 L CPT % | 2 L JAVA % | 3 P PHP-CGM % | 5 P NS % ")</f>
        <v xml:space="preserve">| 1 L CPT % | 2 L JAVA % | 3 P PHP-CGM % | 5 P NS % </v>
      </c>
      <c r="AW238" s="4" t="str">
        <f ca="1">IFERROR(__xludf.DUMMYFUNCTION("""COMPUTED_VALUE"""),"| 1 L CPT % | 2 L JAVA % | 3 P Python % | 5 L INE % | 6 L INE % ")</f>
        <v xml:space="preserve">| 1 L CPT % | 2 L JAVA % | 3 P Python % | 5 L INE % | 6 L INE % </v>
      </c>
      <c r="AX238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Y238" s="4" t="str">
        <f ca="1">IFERROR(__xludf.DUMMYFUNCTION("""COMPUTED_VALUE"""),"| 1 L CPT @ | 2 L PHP-CGM @ | 3 P PRO @ | 5 P Python @ ")</f>
        <v xml:space="preserve">| 1 L CPT @ | 2 L PHP-CGM @ | 3 P PRO @ | 5 P Python @ </v>
      </c>
      <c r="AZ238" s="4" t="str">
        <f ca="1">IFERROR(__xludf.DUMMYFUNCTION("""COMPUTED_VALUE"""),"| 1 L CPT % | 2 L JAVA % | 3 P PHP-CGM % | 5 P NS % ")</f>
        <v xml:space="preserve">| 1 L CPT % | 2 L JAVA % | 3 P PHP-CGM % | 5 P NS % </v>
      </c>
      <c r="BA238" s="4" t="str">
        <f ca="1">IFERROR(__xludf.DUMMYFUNCTION("""COMPUTED_VALUE"""),"| 1 L CPT % | 2 L JAVA % | 3 P Python % | 5 L INE @ ")</f>
        <v xml:space="preserve">| 1 L CPT % | 2 L JAVA % | 3 P Python % | 5 L INE @ </v>
      </c>
      <c r="BB23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8" s="4" t="str">
        <f ca="1">IFERROR(__xludf.DUMMYFUNCTION("""COMPUTED_VALUE"""),"| 1 L CPT @ | 2 L PHP-CGM @ | 3 P PRO % | 5 P Python % ")</f>
        <v xml:space="preserve">| 1 L CPT @ | 2 L PHP-CGM @ | 3 P PRO % | 5 P Python % </v>
      </c>
      <c r="BD238" s="4" t="str">
        <f ca="1">IFERROR(__xludf.DUMMYFUNCTION("""COMPUTED_VALUE"""),"| 1 L NS % | 2 L PHP-CGM % | 3 P CPT % | 5 P JAVA % ")</f>
        <v xml:space="preserve">| 1 L NS % | 2 L PHP-CGM % | 3 P CPT % | 5 P JAVA % </v>
      </c>
      <c r="BE238" s="4" t="str">
        <f ca="1">IFERROR(__xludf.DUMMYFUNCTION("""COMPUTED_VALUE"""),"| 1 L CPT % | 2 L JAVA % | 3 P PHP-CGM % | 5 P NS % ")</f>
        <v xml:space="preserve">| 1 L CPT % | 2 L JAVA % | 3 P PHP-CGM % | 5 P NS % </v>
      </c>
      <c r="BF238" s="4" t="str">
        <f ca="1">IFERROR(__xludf.DUMMYFUNCTION("""COMPUTED_VALUE"""),"| 1 L CPT % | 2 L JAVA % | 3 P Python % ")</f>
        <v xml:space="preserve">| 1 L CPT % | 2 L JAVA % | 3 P Python % </v>
      </c>
      <c r="BG238" s="4" t="str">
        <f ca="1">IFERROR(__xludf.DUMMYFUNCTION("""COMPUTED_VALUE"""),"| 2 L PHP-CGM % | 1 L CPT @ | 3 P PRO % | 5 P Python % ")</f>
        <v xml:space="preserve">| 2 L PHP-CGM % | 1 L CPT @ | 3 P PRO % | 5 P Python % </v>
      </c>
      <c r="BH238" s="4" t="str">
        <f ca="1">IFERROR(__xludf.DUMMYFUNCTION("""COMPUTED_VALUE"""),"| 1 L NS % | 2 L PHP-CGM % | 3 P CPT % | 5 P JAVA % ")</f>
        <v xml:space="preserve">| 1 L NS % | 2 L PHP-CGM % | 3 P CPT % | 5 P JAVA % </v>
      </c>
      <c r="BI238" s="4" t="str">
        <f ca="1">IFERROR(__xludf.DUMMYFUNCTION("""COMPUTED_VALUE"""),"| 1 L CPT % | 2 L JAVA % | 3 P PHP-CGM % | 5 P NS @ ")</f>
        <v xml:space="preserve">| 1 L CPT % | 2 L JAVA % | 3 P PHP-CGM % | 5 P NS @ </v>
      </c>
      <c r="BJ238" s="4" t="str">
        <f ca="1">IFERROR(__xludf.DUMMYFUNCTION("""COMPUTED_VALUE"""),"| 1 L CPT @ | 2 L JAVA @ | 3 P Python @ | 5 L INE @ ")</f>
        <v xml:space="preserve">| 1 L CPT @ | 2 L JAVA @ | 3 P Python @ | 5 L INE @ </v>
      </c>
      <c r="BK238" s="4" t="str">
        <f ca="1">IFERROR(__xludf.DUMMYFUNCTION("""COMPUTED_VALUE"""),"| 1 L NS % | 2 L PHP-CGM % | 5 L NS % | 6 L JAVA % ")</f>
        <v xml:space="preserve">| 1 L NS % | 2 L PHP-CGM % | 5 L NS % | 6 L JAVA % </v>
      </c>
      <c r="BL238" s="4" t="str">
        <f ca="1">IFERROR(__xludf.DUMMYFUNCTION("""COMPUTED_VALUE"""),"| 1 L CPT % | 2 L PHP-CGM % | 3 P PRO % ")</f>
        <v xml:space="preserve">| 1 L CPT % | 2 L PHP-CGM % | 3 P PRO % </v>
      </c>
      <c r="BM238" s="4" t="str">
        <f ca="1">IFERROR(__xludf.DUMMYFUNCTION("""COMPUTED_VALUE"""),"| 1 L NS % | 2 L PHP-CGM % | 3 P CPT % | 5 P JAVA @ ")</f>
        <v xml:space="preserve">| 1 L NS % | 2 L PHP-CGM % | 3 P CPT % | 5 P JAVA @ </v>
      </c>
      <c r="BN238" s="4" t="str">
        <f ca="1">IFERROR(__xludf.DUMMYFUNCTION("""COMPUTED_VALUE"""),"| 2 L JAVA % | 1 L CPT % | 3 P PHP-CGM % | 5 P NS % ")</f>
        <v xml:space="preserve">| 2 L JAVA % | 1 L CPT % | 3 P PHP-CGM % | 5 P NS % </v>
      </c>
      <c r="BO238" s="4" t="str">
        <f ca="1">IFERROR(__xludf.DUMMYFUNCTION("""COMPUTED_VALUE"""),"| 2 L JAVA % | 1 L CPT % | 3 P Python % | 5 L INE % ")</f>
        <v xml:space="preserve">| 2 L JAVA % | 1 L CPT % | 3 P Python % | 5 L INE % </v>
      </c>
      <c r="BP23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38" s="4"/>
      <c r="BR238" s="4"/>
      <c r="BS238" s="4"/>
      <c r="BT238" s="4" t="str">
        <f ca="1">IFERROR(__xludf.DUMMYFUNCTION("""COMPUTED_VALUE"""),"| 1 L NS @ | 2 L PHP-CGM @ | 3 P JAVA @ ")</f>
        <v xml:space="preserve">| 1 L NS @ | 2 L PHP-CGM @ | 3 P JAVA @ </v>
      </c>
      <c r="BU238" s="4" t="str">
        <f ca="1">IFERROR(__xludf.DUMMYFUNCTION("""COMPUTED_VALUE"""),"| 1 L CPT % ")</f>
        <v xml:space="preserve">| 1 L CPT % </v>
      </c>
      <c r="BV238" s="4" t="str">
        <f ca="1">IFERROR(__xludf.DUMMYFUNCTION("""COMPUTED_VALUE"""),"| 1 L NS % | 2 L PHP-CGM % | 3 P JAVA % | 6 L JAVA % ")</f>
        <v xml:space="preserve">| 1 L NS % | 2 L PHP-CGM % | 3 P JAVA % | 6 L JAVA % </v>
      </c>
      <c r="BW238" s="4" t="str">
        <f ca="1">IFERROR(__xludf.DUMMYFUNCTION("""COMPUTED_VALUE"""),"| 1 L CPT % | 2 L PHP-CGM % | 3 P PRO % ")</f>
        <v xml:space="preserve">| 1 L CPT % | 2 L PHP-CGM % | 3 P PRO % </v>
      </c>
      <c r="BX238" s="4" t="str">
        <f ca="1">IFERROR(__xludf.DUMMYFUNCTION("""COMPUTED_VALUE"""),"| 1 L NS @ | 2 L PHP-CGM @ | 3 P CPT @ | 5 P JAVA @ ")</f>
        <v xml:space="preserve">| 1 L NS @ | 2 L PHP-CGM @ | 3 P CPT @ | 5 P JAVA @ </v>
      </c>
      <c r="BY238" s="4" t="str">
        <f ca="1">IFERROR(__xludf.DUMMYFUNCTION("""COMPUTED_VALUE"""),"| 1 L CPT % | 2 L JAVA % | 3 P PHP-CGM % | 5 P NS % ")</f>
        <v xml:space="preserve">| 1 L CPT % | 2 L JAVA % | 3 P PHP-CGM % | 5 P NS % </v>
      </c>
      <c r="BZ238" s="4" t="str">
        <f ca="1">IFERROR(__xludf.DUMMYFUNCTION("""COMPUTED_VALUE"""),"| 1 L CPT % | 2 L JAVA % | 5 L INE % ")</f>
        <v xml:space="preserve">| 1 L CPT % | 2 L JAVA % | 5 L INE % </v>
      </c>
      <c r="CA23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38" s="4" t="str">
        <f ca="1">IFERROR(__xludf.DUMMYFUNCTION("""COMPUTED_VALUE"""),"| 2 L PHP-CGM % | 3 P PRO % | 5 P Python % | 1 L CPT % ")</f>
        <v xml:space="preserve">| 2 L PHP-CGM % | 3 P PRO % | 5 P Python % | 1 L CPT % </v>
      </c>
      <c r="CC238" s="4" t="str">
        <f ca="1">IFERROR(__xludf.DUMMYFUNCTION("""COMPUTED_VALUE"""),"| 1 L NS @ | 2 L PHP-CGM @ | 3 P CPT @ | 5 P JAVA @ ")</f>
        <v xml:space="preserve">| 1 L NS @ | 2 L PHP-CGM @ | 3 P CPT @ | 5 P JAVA @ </v>
      </c>
      <c r="CD238" s="4" t="str">
        <f ca="1">IFERROR(__xludf.DUMMYFUNCTION("""COMPUTED_VALUE"""),"| 1 L CPT @ | 2 L JAVA @ | 3 P PHP-CGM @ | 5 P NS @ ")</f>
        <v xml:space="preserve">| 1 L CPT @ | 2 L JAVA @ | 3 P PHP-CGM @ | 5 P NS @ </v>
      </c>
      <c r="CE238" s="4" t="str">
        <f ca="1">IFERROR(__xludf.DUMMYFUNCTION("""COMPUTED_VALUE"""),"| 1 L CPT % | 2 L JAVA % | 3 P Python % | 5 L INE % ")</f>
        <v xml:space="preserve">| 1 L CPT % | 2 L JAVA % | 3 P Python % | 5 L INE % </v>
      </c>
      <c r="CF238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G238" s="4" t="str">
        <f ca="1">IFERROR(__xludf.DUMMYFUNCTION("""COMPUTED_VALUE"""),"| 1 L CPT @ | 2 L PHP-CGM @ | 5 P Python % ")</f>
        <v xml:space="preserve">| 1 L CPT @ | 2 L PHP-CGM @ | 5 P Python % </v>
      </c>
      <c r="CH238" s="4" t="str">
        <f ca="1">IFERROR(__xludf.DUMMYFUNCTION("""COMPUTED_VALUE"""),"| 1 L NS @ | 2 L PHP-CGM @ | 3 P CPT % ")</f>
        <v xml:space="preserve">| 1 L NS @ | 2 L PHP-CGM @ | 3 P CPT % </v>
      </c>
      <c r="CI238" s="4" t="str">
        <f ca="1">IFERROR(__xludf.DUMMYFUNCTION("""COMPUTED_VALUE"""),"| 1 L CPT @ | 2 L JAVA @ | 3 P PHP-CGM % | 5 P NS % ")</f>
        <v xml:space="preserve">| 1 L CPT @ | 2 L JAVA @ | 3 P PHP-CGM % | 5 P NS % </v>
      </c>
      <c r="CJ238" s="4" t="str">
        <f ca="1">IFERROR(__xludf.DUMMYFUNCTION("""COMPUTED_VALUE"""),"| 1 L CPT @ ")</f>
        <v xml:space="preserve">| 1 L CPT @ </v>
      </c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</row>
    <row r="239" spans="1:102" ht="12.5" x14ac:dyDescent="0.25">
      <c r="A239" s="3">
        <f ca="1">IFERROR(__xludf.DUMMYFUNCTION("""COMPUTED_VALUE"""),4)</f>
        <v>4</v>
      </c>
      <c r="B239" s="3" t="str">
        <f ca="1">IFERROR(__xludf.DUMMYFUNCTION("""COMPUTED_VALUE"""),"C")</f>
        <v>C</v>
      </c>
      <c r="C239" s="32" t="str">
        <f ca="1">IFERROR(__xludf.DUMMYFUNCTION("""COMPUTED_VALUE"""),"23171341175")</f>
        <v>23171341175</v>
      </c>
      <c r="D239" s="4" t="str">
        <f ca="1">IFERROR(__xludf.DUMMYFUNCTION("""COMPUTED_VALUE"""),"SATHVARA NEEL ASHISH")</f>
        <v>SATHVARA NEEL ASHISH</v>
      </c>
      <c r="E239" s="3" t="str">
        <f ca="1">IFERROR(__xludf.DUMMYFUNCTION("""COMPUTED_VALUE"""),"PKN/PAP-Mor")</f>
        <v>PKN/PAP-Mor</v>
      </c>
      <c r="F239" s="3">
        <f ca="1">IFERROR(__xludf.DUMMYFUNCTION("""COMPUTED_VALUE"""),9106680346)</f>
        <v>9106680346</v>
      </c>
      <c r="G239" s="3">
        <f ca="1">IFERROR(__xludf.DUMMYFUNCTION("""COMPUTED_VALUE"""),7802887379)</f>
        <v>7802887379</v>
      </c>
      <c r="H239" s="33">
        <f ca="1">IFERROR(__xludf.DUMMYFUNCTION("""COMPUTED_VALUE"""),0.621399176954732)</f>
        <v>0.62139917695473201</v>
      </c>
      <c r="I239" s="25">
        <f ca="1">IFERROR(__xludf.DUMMYFUNCTION("""COMPUTED_VALUE"""),0.657894736842105)</f>
        <v>0.65789473684210498</v>
      </c>
      <c r="J239" s="25">
        <f ca="1">IFERROR(__xludf.DUMMYFUNCTION("""COMPUTED_VALUE"""),0.7)</f>
        <v>0.7</v>
      </c>
      <c r="K239" s="25">
        <f ca="1">IFERROR(__xludf.DUMMYFUNCTION("""COMPUTED_VALUE"""),0.5)</f>
        <v>0.5</v>
      </c>
      <c r="L239" s="25">
        <f ca="1">IFERROR(__xludf.DUMMYFUNCTION("""COMPUTED_VALUE"""),0.909090909090909)</f>
        <v>0.90909090909090895</v>
      </c>
      <c r="M239" s="25">
        <f ca="1">IFERROR(__xludf.DUMMYFUNCTION("""COMPUTED_VALUE"""),0.75)</f>
        <v>0.75</v>
      </c>
      <c r="N239" s="25">
        <f ca="1">IFERROR(__xludf.DUMMYFUNCTION("""COMPUTED_VALUE"""),0.333333333333333)</f>
        <v>0.33333333333333298</v>
      </c>
      <c r="O239" s="25">
        <f ca="1">IFERROR(__xludf.DUMMYFUNCTION("""COMPUTED_VALUE"""),0.457142857142857)</f>
        <v>0.45714285714285702</v>
      </c>
      <c r="P239" s="25">
        <f ca="1">IFERROR(__xludf.DUMMYFUNCTION("""COMPUTED_VALUE"""),0.64)</f>
        <v>0.64</v>
      </c>
      <c r="Q239" s="25">
        <f ca="1">IFERROR(__xludf.DUMMYFUNCTION("""COMPUTED_VALUE"""),0)</f>
        <v>0</v>
      </c>
      <c r="R239" s="25">
        <f ca="1">IFERROR(__xludf.DUMMYFUNCTION("""COMPUTED_VALUE"""),0.666666666666666)</f>
        <v>0.66666666666666596</v>
      </c>
      <c r="S239" s="25">
        <f ca="1">IFERROR(__xludf.DUMMYFUNCTION("""COMPUTED_VALUE"""),0)</f>
        <v>0</v>
      </c>
      <c r="T239" s="25">
        <f ca="1">IFERROR(__xludf.DUMMYFUNCTION("""COMPUTED_VALUE"""),1)</f>
        <v>1</v>
      </c>
      <c r="U239" s="25">
        <f ca="1">IFERROR(__xludf.DUMMYFUNCTION("""COMPUTED_VALUE"""),0.25)</f>
        <v>0.25</v>
      </c>
      <c r="V239" s="25">
        <f ca="1">IFERROR(__xludf.DUMMYFUNCTION("""COMPUTED_VALUE"""),0)</f>
        <v>0</v>
      </c>
      <c r="W239" s="4"/>
      <c r="X23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39" s="4" t="str">
        <f ca="1">IFERROR(__xludf.DUMMYFUNCTION("""COMPUTED_VALUE"""),"| 1 L CPT % | 5 L PHP-CGM % | 3 P PRO % | 5 P Python % ")</f>
        <v xml:space="preserve">| 1 L CPT % | 5 L PHP-CGM % | 3 P PRO % | 5 P Python % </v>
      </c>
      <c r="Z239" s="4" t="str">
        <f ca="1">IFERROR(__xludf.DUMMYFUNCTION("""COMPUTED_VALUE"""),"| 1 L CPT % | 2 L PHP-CGM % | 3 P CPT % | 5 P JAVA % ")</f>
        <v xml:space="preserve">| 1 L CPT % | 2 L PHP-CGM % | 3 P CPT % | 5 P JAVA % </v>
      </c>
      <c r="AA239" s="4" t="str">
        <f ca="1">IFERROR(__xludf.DUMMYFUNCTION("""COMPUTED_VALUE"""),"| 1 L NS @ | 2 L JAVA @ | 3 P PHP-CGM @ | 5 P NS @ ")</f>
        <v xml:space="preserve">| 1 L NS @ | 2 L JAVA @ | 3 P PHP-CGM @ | 5 P NS @ </v>
      </c>
      <c r="AB239" s="4" t="str">
        <f ca="1">IFERROR(__xludf.DUMMYFUNCTION("""COMPUTED_VALUE"""),"| 1 L CPT % | 2 L JAVA % | 3 P Python % ")</f>
        <v xml:space="preserve">| 1 L CPT % | 2 L JAVA % | 3 P Python % </v>
      </c>
      <c r="AC23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39" s="4" t="str">
        <f ca="1">IFERROR(__xludf.DUMMYFUNCTION("""COMPUTED_VALUE"""),"| 1 L CPT % | 2 L PHP-CGM % | 3 P PRO % | 5 P NS % ")</f>
        <v xml:space="preserve">| 1 L CPT % | 2 L PHP-CGM % | 3 P PRO % | 5 P NS % </v>
      </c>
      <c r="AE239" s="4" t="str">
        <f ca="1">IFERROR(__xludf.DUMMYFUNCTION("""COMPUTED_VALUE"""),"| 1 L CPT % | 3 P Python % | 5 P CPT % | 2 L PHP-CGM % ")</f>
        <v xml:space="preserve">| 1 L CPT % | 3 P Python % | 5 P CPT % | 2 L PHP-CGM % </v>
      </c>
      <c r="AF239" s="4" t="str">
        <f ca="1">IFERROR(__xludf.DUMMYFUNCTION("""COMPUTED_VALUE"""),"| 1 L NS % | 2 L CPT % | 3 P JAVA % | 5 P Python % ")</f>
        <v xml:space="preserve">| 1 L NS % | 2 L CPT % | 3 P JAVA % | 5 P Python % </v>
      </c>
      <c r="AG239" s="4" t="str">
        <f ca="1">IFERROR(__xludf.DUMMYFUNCTION("""COMPUTED_VALUE"""),"| 1 L CPT @ | 2 L JAVA @ | 3 P PHP-CGM @ ")</f>
        <v xml:space="preserve">| 1 L CPT @ | 2 L JAVA @ | 3 P PHP-CGM @ </v>
      </c>
      <c r="AH239" s="4" t="str">
        <f ca="1">IFERROR(__xludf.DUMMYFUNCTION("""COMPUTED_VALUE"""),"| 2 L JAVA % | 1 L NS % | 3 P JAVA % | 5 P Python % ")</f>
        <v xml:space="preserve">| 2 L JAVA % | 1 L NS % | 3 P JAVA % | 5 P Python % </v>
      </c>
      <c r="AI239" s="4" t="str">
        <f ca="1">IFERROR(__xludf.DUMMYFUNCTION("""COMPUTED_VALUE"""),"| 1 L CPT @ | 2 L JAVA @ | 3 P PHP-CGM @ ")</f>
        <v xml:space="preserve">| 1 L CPT @ | 2 L JAVA @ | 3 P PHP-CGM @ </v>
      </c>
      <c r="AJ23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39" s="4" t="str">
        <f ca="1">IFERROR(__xludf.DUMMYFUNCTION("""COMPUTED_VALUE"""),"| 1 L CPT % | 3 P PRO % | 2 L PHP-CGM % | 5 P NS % ")</f>
        <v xml:space="preserve">| 1 L CPT % | 3 P PRO % | 2 L PHP-CGM % | 5 P NS % </v>
      </c>
      <c r="AL239" s="4" t="str">
        <f ca="1">IFERROR(__xludf.DUMMYFUNCTION("""COMPUTED_VALUE"""),"| 1 L CPT % | 2 L PHP-CGM % | 5 P CPT % ")</f>
        <v xml:space="preserve">| 1 L CPT % | 2 L PHP-CGM % | 5 P CPT % </v>
      </c>
      <c r="AM239" s="4" t="str">
        <f ca="1">IFERROR(__xludf.DUMMYFUNCTION("""COMPUTED_VALUE"""),"| 2 L JAVA % | 3 P JAVA % | 1 L NS % | 5 P Python % ")</f>
        <v xml:space="preserve">| 2 L JAVA % | 3 P JAVA % | 1 L NS % | 5 P Python % </v>
      </c>
      <c r="AN239" s="4" t="str">
        <f ca="1">IFERROR(__xludf.DUMMYFUNCTION("""COMPUTED_VALUE"""),"| 1 L CPT % | 2 L JAVA % | 3 P PHP-CGM % | 5 L INE @ ")</f>
        <v xml:space="preserve">| 1 L CPT % | 2 L JAVA % | 3 P PHP-CGM % | 5 L INE @ </v>
      </c>
      <c r="AO239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39" s="4" t="str">
        <f ca="1">IFERROR(__xludf.DUMMYFUNCTION("""COMPUTED_VALUE"""),"| 1 L CPT % | 2 L PHP-CGM % | 3 P PRO % | 5 P NS % ")</f>
        <v xml:space="preserve">| 1 L CPT % | 2 L PHP-CGM % | 3 P PRO % | 5 P NS % </v>
      </c>
      <c r="AQ239" s="4" t="str">
        <f ca="1">IFERROR(__xludf.DUMMYFUNCTION("""COMPUTED_VALUE"""),"| 2 L PHP-CGM % | 3 P Python % | 1 L NS % | 5 P CPT % ")</f>
        <v xml:space="preserve">| 2 L PHP-CGM % | 3 P Python % | 1 L NS % | 5 P CPT % </v>
      </c>
      <c r="AR239" s="4" t="str">
        <f ca="1">IFERROR(__xludf.DUMMYFUNCTION("""COMPUTED_VALUE"""),"| 1 L CPT % | 2 L JAVA % | 3 P JAVA % | 5 P Python % ")</f>
        <v xml:space="preserve">| 1 L CPT % | 2 L JAVA % | 3 P JAVA % | 5 P Python % </v>
      </c>
      <c r="AS239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39" s="4" t="str">
        <f ca="1">IFERROR(__xludf.DUMMYFUNCTION("""COMPUTED_VALUE"""),"| 1 L CPT % | 2 L PHP-CGM % | 3 P PRO % | 5 P NS % ")</f>
        <v xml:space="preserve">| 1 L CPT % | 2 L PHP-CGM % | 3 P PRO % | 5 P NS % </v>
      </c>
      <c r="AU239" s="4" t="str">
        <f ca="1">IFERROR(__xludf.DUMMYFUNCTION("""COMPUTED_VALUE"""),"| 1 L NS % | 2 L PHP-CGM % | 3 P Python % | 5 P CPT % ")</f>
        <v xml:space="preserve">| 1 L NS % | 2 L PHP-CGM % | 3 P Python % | 5 P CPT % </v>
      </c>
      <c r="AV239" s="4" t="str">
        <f ca="1">IFERROR(__xludf.DUMMYFUNCTION("""COMPUTED_VALUE"""),"| 1 L CPT % | 2 L JAVA % | 3 P JAVA % | 5 P PRO % ")</f>
        <v xml:space="preserve">| 1 L CPT % | 2 L JAVA % | 3 P JAVA % | 5 P PRO % </v>
      </c>
      <c r="AW239" s="4" t="str">
        <f ca="1">IFERROR(__xludf.DUMMYFUNCTION("""COMPUTED_VALUE"""),"| 1 L CPT @ | 2 L JAVA @ | 3 P PHP-CGM @ | 5 L INE @ | 6 L INE @ ")</f>
        <v xml:space="preserve">| 1 L CPT @ | 2 L JAVA @ | 3 P PHP-CGM @ | 5 L INE @ | 6 L INE @ </v>
      </c>
      <c r="AX239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Y239" s="4" t="str">
        <f ca="1">IFERROR(__xludf.DUMMYFUNCTION("""COMPUTED_VALUE"""),"| 1 L CPT % | 2 L PHP-CGM % | 3 P PRO % | 5 P NS % ")</f>
        <v xml:space="preserve">| 1 L CPT % | 2 L PHP-CGM % | 3 P PRO % | 5 P NS % </v>
      </c>
      <c r="AZ239" s="4" t="str">
        <f ca="1">IFERROR(__xludf.DUMMYFUNCTION("""COMPUTED_VALUE"""),"| 1 L CPT % | 2 L JAVA % | 3 P JAVA % | 5 P Python % ")</f>
        <v xml:space="preserve">| 1 L CPT % | 2 L JAVA % | 3 P JAVA % | 5 P Python % </v>
      </c>
      <c r="BA239" s="4" t="str">
        <f ca="1">IFERROR(__xludf.DUMMYFUNCTION("""COMPUTED_VALUE"""),"| 1 L CPT % | 2 L JAVA % | 3 P PHP-CGM % | 5 L INE @ ")</f>
        <v xml:space="preserve">| 1 L CPT % | 2 L JAVA % | 3 P PHP-CGM % | 5 L INE @ </v>
      </c>
      <c r="BB239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39" s="4" t="str">
        <f ca="1">IFERROR(__xludf.DUMMYFUNCTION("""COMPUTED_VALUE"""),"| 1 L CPT % | 2 L PHP-CGM % | 3 P PRO % | 5 P NS % ")</f>
        <v xml:space="preserve">| 1 L CPT % | 2 L PHP-CGM % | 3 P PRO % | 5 P NS % </v>
      </c>
      <c r="BD239" s="4" t="str">
        <f ca="1">IFERROR(__xludf.DUMMYFUNCTION("""COMPUTED_VALUE"""),"| 1 L NS % | 2 L PHP-CGM % | 3 P Python % | 5 P CPT % ")</f>
        <v xml:space="preserve">| 1 L NS % | 2 L PHP-CGM % | 3 P Python % | 5 P CPT % </v>
      </c>
      <c r="BE239" s="4" t="str">
        <f ca="1">IFERROR(__xludf.DUMMYFUNCTION("""COMPUTED_VALUE"""),"| 1 L CPT @ | 2 L JAVA @ | 5 P Python @ ")</f>
        <v xml:space="preserve">| 1 L CPT @ | 2 L JAVA @ | 5 P Python @ </v>
      </c>
      <c r="BF239" s="4" t="str">
        <f ca="1">IFERROR(__xludf.DUMMYFUNCTION("""COMPUTED_VALUE"""),"| 1 L CPT % | 2 L JAVA % | 3 P PHP-CGM % ")</f>
        <v xml:space="preserve">| 1 L CPT % | 2 L JAVA % | 3 P PHP-CGM % </v>
      </c>
      <c r="BG239" s="4" t="str">
        <f ca="1">IFERROR(__xludf.DUMMYFUNCTION("""COMPUTED_VALUE"""),"| 2 L PHP-CGM % | 1 L CPT @ | 3 P PRO % | 5 P NS % ")</f>
        <v xml:space="preserve">| 2 L PHP-CGM % | 1 L CPT @ | 3 P PRO % | 5 P NS % </v>
      </c>
      <c r="BH239" s="4" t="str">
        <f ca="1">IFERROR(__xludf.DUMMYFUNCTION("""COMPUTED_VALUE"""),"| 1 L NS @ | 2 L PHP-CGM % | 3 P Python @ | 5 P CPT @ ")</f>
        <v xml:space="preserve">| 1 L NS @ | 2 L PHP-CGM % | 3 P Python @ | 5 P CPT @ </v>
      </c>
      <c r="BI239" s="4" t="str">
        <f ca="1">IFERROR(__xludf.DUMMYFUNCTION("""COMPUTED_VALUE"""),"| 1 L CPT % | 2 L JAVA @ | 3 P JAVA % | 5 P PRO % ")</f>
        <v xml:space="preserve">| 1 L CPT % | 2 L JAVA @ | 3 P JAVA % | 5 P PRO % </v>
      </c>
      <c r="BJ239" s="4" t="str">
        <f ca="1">IFERROR(__xludf.DUMMYFUNCTION("""COMPUTED_VALUE"""),"| 1 L CPT @ | 2 L JAVA @ | 3 P PHP-CGM @ | 5 L INE % ")</f>
        <v xml:space="preserve">| 1 L CPT @ | 2 L JAVA @ | 3 P PHP-CGM @ | 5 L INE % </v>
      </c>
      <c r="BK23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39" s="4" t="str">
        <f ca="1">IFERROR(__xludf.DUMMYFUNCTION("""COMPUTED_VALUE"""),"| 1 L CPT % | 2 L PHP-CGM % | 3 P PRO % | 5 P NS % ")</f>
        <v xml:space="preserve">| 1 L CPT % | 2 L PHP-CGM % | 3 P PRO % | 5 P NS % </v>
      </c>
      <c r="BM239" s="4" t="str">
        <f ca="1">IFERROR(__xludf.DUMMYFUNCTION("""COMPUTED_VALUE"""),"| 1 L NS @ | 2 L PHP-CGM @ | 3 P Python @ | 5 P CPT @ ")</f>
        <v xml:space="preserve">| 1 L NS @ | 2 L PHP-CGM @ | 3 P Python @ | 5 P CPT @ </v>
      </c>
      <c r="BN239" s="4" t="str">
        <f ca="1">IFERROR(__xludf.DUMMYFUNCTION("""COMPUTED_VALUE"""),"| 2 L JAVA % | 1 L CPT % | 3 P JAVA % | 5 P PRO % ")</f>
        <v xml:space="preserve">| 2 L JAVA % | 1 L CPT % | 3 P JAVA % | 5 P PRO % </v>
      </c>
      <c r="BO239" s="4" t="str">
        <f ca="1">IFERROR(__xludf.DUMMYFUNCTION("""COMPUTED_VALUE"""),"| 2 L JAVA @ | 1 L CPT @ | 3 P PHP-CGM @ | 5 L INE @ ")</f>
        <v xml:space="preserve">| 2 L JAVA @ | 1 L CPT @ | 3 P PHP-CGM @ | 5 L INE @ </v>
      </c>
      <c r="BP23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39" s="4"/>
      <c r="BR239" s="4"/>
      <c r="BS239" s="4"/>
      <c r="BT239" s="4" t="str">
        <f ca="1">IFERROR(__xludf.DUMMYFUNCTION("""COMPUTED_VALUE"""),"| 1 L NS % | 2 L PHP-CGM % | 3 P JAVA % ")</f>
        <v xml:space="preserve">| 1 L NS % | 2 L PHP-CGM % | 3 P JAVA % </v>
      </c>
      <c r="BU239" s="4" t="str">
        <f ca="1">IFERROR(__xludf.DUMMYFUNCTION("""COMPUTED_VALUE"""),"| 1 L CPT @ ")</f>
        <v xml:space="preserve">| 1 L CPT @ </v>
      </c>
      <c r="BV239" s="4" t="str">
        <f ca="1">IFERROR(__xludf.DUMMYFUNCTION("""COMPUTED_VALUE"""),"| 1 L NS @ | 2 L PHP-CGM @ | 3 P JAVA @ | 6 L JAVA @ ")</f>
        <v xml:space="preserve">| 1 L NS @ | 2 L PHP-CGM @ | 3 P JAVA @ | 6 L JAVA @ </v>
      </c>
      <c r="BW239" s="4" t="str">
        <f ca="1">IFERROR(__xludf.DUMMYFUNCTION("""COMPUTED_VALUE"""),"| 1 L CPT % | 2 L PHP-CGM % | 3 P PRO % ")</f>
        <v xml:space="preserve">| 1 L CPT % | 2 L PHP-CGM % | 3 P PRO % </v>
      </c>
      <c r="BX239" s="4" t="str">
        <f ca="1">IFERROR(__xludf.DUMMYFUNCTION("""COMPUTED_VALUE"""),"| 1 L NS @ | 2 L PHP-CGM @ | 3 P Python @ | 5 P CPT @ ")</f>
        <v xml:space="preserve">| 1 L NS @ | 2 L PHP-CGM @ | 3 P Python @ | 5 P CPT @ </v>
      </c>
      <c r="BY239" s="4" t="str">
        <f ca="1">IFERROR(__xludf.DUMMYFUNCTION("""COMPUTED_VALUE"""),"| 1 L CPT @ | 2 L JAVA @ | 3 P JAVA @ | 5 P Python @ ")</f>
        <v xml:space="preserve">| 1 L CPT @ | 2 L JAVA @ | 3 P JAVA @ | 5 P Python @ </v>
      </c>
      <c r="BZ239" s="4" t="str">
        <f ca="1">IFERROR(__xludf.DUMMYFUNCTION("""COMPUTED_VALUE"""),"| 1 L CPT @ | 2 L JAVA @ | 3 P PHP-CGM @ | 5 L INE @ ")</f>
        <v xml:space="preserve">| 1 L CPT @ | 2 L JAVA @ | 3 P PHP-CGM @ | 5 L INE @ </v>
      </c>
      <c r="CA239" s="4" t="str">
        <f ca="1">IFERROR(__xludf.DUMMYFUNCTION("""COMPUTED_VALUE"""),"| 1 L NS @ | 2 L PHP-CGM % | 3 P JAVA @ | 5 L NS @ | 6 L JAVA @ ")</f>
        <v xml:space="preserve">| 1 L NS @ | 2 L PHP-CGM % | 3 P JAVA @ | 5 L NS @ | 6 L JAVA @ </v>
      </c>
      <c r="CB239" s="4" t="str">
        <f ca="1">IFERROR(__xludf.DUMMYFUNCTION("""COMPUTED_VALUE"""),"| 2 L PHP-CGM % | 3 P PRO % | 5 P NS % | 1 L CPT % ")</f>
        <v xml:space="preserve">| 2 L PHP-CGM % | 3 P PRO % | 5 P NS % | 1 L CPT % </v>
      </c>
      <c r="CC239" s="4" t="str">
        <f ca="1">IFERROR(__xludf.DUMMYFUNCTION("""COMPUTED_VALUE"""),"| 1 L NS % | 2 L PHP-CGM % | 3 P Python % | 5 P CPT % ")</f>
        <v xml:space="preserve">| 1 L NS % | 2 L PHP-CGM % | 3 P Python % | 5 P CPT % </v>
      </c>
      <c r="CD239" s="4" t="str">
        <f ca="1">IFERROR(__xludf.DUMMYFUNCTION("""COMPUTED_VALUE"""),"| 1 L CPT @ | 2 L JAVA @ | 3 P JAVA @ | 5 P Python @ ")</f>
        <v xml:space="preserve">| 1 L CPT @ | 2 L JAVA @ | 3 P JAVA @ | 5 P Python @ </v>
      </c>
      <c r="CE239" s="4" t="str">
        <f ca="1">IFERROR(__xludf.DUMMYFUNCTION("""COMPUTED_VALUE"""),"| 1 L CPT % | 2 L JAVA % | 3 P PHP-CGM % | 5 L INE % ")</f>
        <v xml:space="preserve">| 1 L CPT % | 2 L JAVA % | 3 P PHP-CGM % | 5 L INE % </v>
      </c>
      <c r="CF239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39" s="4" t="str">
        <f ca="1">IFERROR(__xludf.DUMMYFUNCTION("""COMPUTED_VALUE"""),"| 1 L CPT % | 2 L PHP-CGM % | 5 P NS % ")</f>
        <v xml:space="preserve">| 1 L CPT % | 2 L PHP-CGM % | 5 P NS % </v>
      </c>
      <c r="CH239" s="4" t="str">
        <f ca="1">IFERROR(__xludf.DUMMYFUNCTION("""COMPUTED_VALUE"""),"| 1 L NS @ | 2 L PHP-CGM @ ")</f>
        <v xml:space="preserve">| 1 L NS @ | 2 L PHP-CGM @ </v>
      </c>
      <c r="CI239" s="4" t="str">
        <f ca="1">IFERROR(__xludf.DUMMYFUNCTION("""COMPUTED_VALUE"""),"| 1 L CPT @ | 2 L JAVA @ | 3 P JAVA @ ")</f>
        <v xml:space="preserve">| 1 L CPT @ | 2 L JAVA @ | 3 P JAVA @ </v>
      </c>
      <c r="CJ239" s="4" t="str">
        <f ca="1">IFERROR(__xludf.DUMMYFUNCTION("""COMPUTED_VALUE"""),"| 1 L CPT @ | 3 P PHP-CGM @ ")</f>
        <v xml:space="preserve">| 1 L CPT @ | 3 P PHP-CGM @ </v>
      </c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</row>
    <row r="240" spans="1:102" ht="12.5" x14ac:dyDescent="0.25">
      <c r="A240" s="3">
        <f ca="1">IFERROR(__xludf.DUMMYFUNCTION("""COMPUTED_VALUE"""),4)</f>
        <v>4</v>
      </c>
      <c r="B240" s="3" t="str">
        <f ca="1">IFERROR(__xludf.DUMMYFUNCTION("""COMPUTED_VALUE"""),"C")</f>
        <v>C</v>
      </c>
      <c r="C240" s="32" t="str">
        <f ca="1">IFERROR(__xludf.DUMMYFUNCTION("""COMPUTED_VALUE"""),"23171341176")</f>
        <v>23171341176</v>
      </c>
      <c r="D240" s="4" t="str">
        <f ca="1">IFERROR(__xludf.DUMMYFUNCTION("""COMPUTED_VALUE"""),"SHAAN YOGESHKUMAR PATEL")</f>
        <v>SHAAN YOGESHKUMAR PATEL</v>
      </c>
      <c r="E240" s="3" t="str">
        <f ca="1">IFERROR(__xludf.DUMMYFUNCTION("""COMPUTED_VALUE"""),"PKN/PAP-Mor")</f>
        <v>PKN/PAP-Mor</v>
      </c>
      <c r="F240" s="3">
        <f ca="1">IFERROR(__xludf.DUMMYFUNCTION("""COMPUTED_VALUE"""),9925542261)</f>
        <v>9925542261</v>
      </c>
      <c r="G240" s="3">
        <f ca="1">IFERROR(__xludf.DUMMYFUNCTION("""COMPUTED_VALUE"""),9276204268)</f>
        <v>9276204268</v>
      </c>
      <c r="H240" s="33">
        <f ca="1">IFERROR(__xludf.DUMMYFUNCTION("""COMPUTED_VALUE"""),0.477366255144032)</f>
        <v>0.47736625514403203</v>
      </c>
      <c r="I240" s="25">
        <f ca="1">IFERROR(__xludf.DUMMYFUNCTION("""COMPUTED_VALUE"""),0.578947368421052)</f>
        <v>0.57894736842105199</v>
      </c>
      <c r="J240" s="25">
        <f ca="1">IFERROR(__xludf.DUMMYFUNCTION("""COMPUTED_VALUE"""),0.5)</f>
        <v>0.5</v>
      </c>
      <c r="K240" s="25">
        <f ca="1">IFERROR(__xludf.DUMMYFUNCTION("""COMPUTED_VALUE"""),0.5)</f>
        <v>0.5</v>
      </c>
      <c r="L240" s="25">
        <f ca="1">IFERROR(__xludf.DUMMYFUNCTION("""COMPUTED_VALUE"""),0.545454545454545)</f>
        <v>0.54545454545454497</v>
      </c>
      <c r="M240" s="25">
        <f ca="1">IFERROR(__xludf.DUMMYFUNCTION("""COMPUTED_VALUE"""),0.722222222222222)</f>
        <v>0.72222222222222199</v>
      </c>
      <c r="N240" s="25">
        <f ca="1">IFERROR(__xludf.DUMMYFUNCTION("""COMPUTED_VALUE"""),0.25)</f>
        <v>0.25</v>
      </c>
      <c r="O240" s="25">
        <f ca="1">IFERROR(__xludf.DUMMYFUNCTION("""COMPUTED_VALUE"""),0.342857142857142)</f>
        <v>0.34285714285714203</v>
      </c>
      <c r="P240" s="25">
        <f ca="1">IFERROR(__xludf.DUMMYFUNCTION("""COMPUTED_VALUE"""),0.24)</f>
        <v>0.24</v>
      </c>
      <c r="Q240" s="25">
        <f ca="1">IFERROR(__xludf.DUMMYFUNCTION("""COMPUTED_VALUE"""),0)</f>
        <v>0</v>
      </c>
      <c r="R240" s="25">
        <f ca="1">IFERROR(__xludf.DUMMYFUNCTION("""COMPUTED_VALUE"""),0.470588235294117)</f>
        <v>0.47058823529411697</v>
      </c>
      <c r="S240" s="25">
        <f ca="1">IFERROR(__xludf.DUMMYFUNCTION("""COMPUTED_VALUE"""),0)</f>
        <v>0</v>
      </c>
      <c r="T240" s="25">
        <f ca="1">IFERROR(__xludf.DUMMYFUNCTION("""COMPUTED_VALUE"""),0.533333333333333)</f>
        <v>0.53333333333333299</v>
      </c>
      <c r="U240" s="25">
        <f ca="1">IFERROR(__xludf.DUMMYFUNCTION("""COMPUTED_VALUE"""),0.25)</f>
        <v>0.25</v>
      </c>
      <c r="V240" s="25">
        <f ca="1">IFERROR(__xludf.DUMMYFUNCTION("""COMPUTED_VALUE"""),0)</f>
        <v>0</v>
      </c>
      <c r="W240" s="4"/>
      <c r="X240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40" s="4" t="str">
        <f ca="1">IFERROR(__xludf.DUMMYFUNCTION("""COMPUTED_VALUE"""),"| 1 L CPT @ | 5 L PHP-CGM % | 3 P PRO % | 5 P NS @ ")</f>
        <v xml:space="preserve">| 1 L CPT @ | 5 L PHP-CGM % | 3 P PRO % | 5 P NS @ </v>
      </c>
      <c r="Z240" s="4" t="str">
        <f ca="1">IFERROR(__xludf.DUMMYFUNCTION("""COMPUTED_VALUE"""),"| 1 L CPT % | 2 L PHP-CGM % | 3 P Python % | 5 P CPT @ ")</f>
        <v xml:space="preserve">| 1 L CPT % | 2 L PHP-CGM % | 3 P Python % | 5 P CPT @ </v>
      </c>
      <c r="AA240" s="4" t="str">
        <f ca="1">IFERROR(__xludf.DUMMYFUNCTION("""COMPUTED_VALUE"""),"| 1 L NS @ | 2 L JAVA @ | 3 P JAVA % | 5 P PRO @ ")</f>
        <v xml:space="preserve">| 1 L NS @ | 2 L JAVA @ | 3 P JAVA % | 5 P PRO @ </v>
      </c>
      <c r="AB240" s="4" t="str">
        <f ca="1">IFERROR(__xludf.DUMMYFUNCTION("""COMPUTED_VALUE"""),"| 1 L CPT % | 2 L JAVA % | 3 P PHP-CGM % ")</f>
        <v xml:space="preserve">| 1 L CPT % | 2 L JAVA % | 3 P PHP-CGM % </v>
      </c>
      <c r="AC240" s="4" t="str">
        <f ca="1">IFERROR(__xludf.DUMMYFUNCTION("""COMPUTED_VALUE"""),"| 1 L NS % | 2 L PHP-CGM % | 3 P JAVA % | 5 L JAVA @ | 6 L NS @ ")</f>
        <v xml:space="preserve">| 1 L NS % | 2 L PHP-CGM % | 3 P JAVA % | 5 L JAVA @ | 6 L NS @ </v>
      </c>
      <c r="AD240" s="4" t="str">
        <f ca="1">IFERROR(__xludf.DUMMYFUNCTION("""COMPUTED_VALUE"""),"| 1 L CPT % | 2 L PHP-CGM % | 3 P PRO % | 5 P NS % ")</f>
        <v xml:space="preserve">| 1 L CPT % | 2 L PHP-CGM % | 3 P PRO % | 5 P NS % </v>
      </c>
      <c r="AE240" s="4" t="str">
        <f ca="1">IFERROR(__xludf.DUMMYFUNCTION("""COMPUTED_VALUE"""),"| 1 L CPT % | 3 P Python % | 5 P CPT % | 2 L PHP-CGM % ")</f>
        <v xml:space="preserve">| 1 L CPT % | 3 P Python % | 5 P CPT % | 2 L PHP-CGM % </v>
      </c>
      <c r="AF240" s="4" t="str">
        <f ca="1">IFERROR(__xludf.DUMMYFUNCTION("""COMPUTED_VALUE"""),"| 1 L NS % | 2 L CPT % | 3 P JAVA % | 5 P Python % ")</f>
        <v xml:space="preserve">| 1 L NS % | 2 L CPT % | 3 P JAVA % | 5 P Python % </v>
      </c>
      <c r="AG240" s="4" t="str">
        <f ca="1">IFERROR(__xludf.DUMMYFUNCTION("""COMPUTED_VALUE"""),"| 1 L CPT % | 2 L JAVA % | 3 P PHP-CGM @ ")</f>
        <v xml:space="preserve">| 1 L CPT % | 2 L JAVA % | 3 P PHP-CGM @ </v>
      </c>
      <c r="AH240" s="4" t="str">
        <f ca="1">IFERROR(__xludf.DUMMYFUNCTION("""COMPUTED_VALUE"""),"| 2 L JAVA % | 1 L NS % | 3 P JAVA @ | 5 P Python @ ")</f>
        <v xml:space="preserve">| 2 L JAVA % | 1 L NS % | 3 P JAVA @ | 5 P Python @ </v>
      </c>
      <c r="AI240" s="4" t="str">
        <f ca="1">IFERROR(__xludf.DUMMYFUNCTION("""COMPUTED_VALUE"""),"| 1 L CPT % | 2 L JAVA % | 3 P PHP-CGM @ ")</f>
        <v xml:space="preserve">| 1 L CPT % | 2 L JAVA % | 3 P PHP-CGM @ </v>
      </c>
      <c r="AJ240" s="4" t="str">
        <f ca="1">IFERROR(__xludf.DUMMYFUNCTION("""COMPUTED_VALUE"""),"| 1 L NS % | 2 L PHP-CGM % | 3 P JAVA @ | 5 L JAVA @ | 6 L NS @ ")</f>
        <v xml:space="preserve">| 1 L NS % | 2 L PHP-CGM % | 3 P JAVA @ | 5 L JAVA @ | 6 L NS @ </v>
      </c>
      <c r="AK240" s="4" t="str">
        <f ca="1">IFERROR(__xludf.DUMMYFUNCTION("""COMPUTED_VALUE"""),"| 1 L CPT % | 3 P PRO @ | 2 L PHP-CGM % | 5 P NS @ ")</f>
        <v xml:space="preserve">| 1 L CPT % | 3 P PRO @ | 2 L PHP-CGM % | 5 P NS @ </v>
      </c>
      <c r="AL240" s="4" t="str">
        <f ca="1">IFERROR(__xludf.DUMMYFUNCTION("""COMPUTED_VALUE"""),"| 1 L CPT % | 2 L PHP-CGM % | 5 P CPT % ")</f>
        <v xml:space="preserve">| 1 L CPT % | 2 L PHP-CGM % | 5 P CPT % </v>
      </c>
      <c r="AM240" s="4" t="str">
        <f ca="1">IFERROR(__xludf.DUMMYFUNCTION("""COMPUTED_VALUE"""),"| 2 L JAVA % | 3 P JAVA @ | 1 L NS % | 5 P Python @ ")</f>
        <v xml:space="preserve">| 2 L JAVA % | 3 P JAVA @ | 1 L NS % | 5 P Python @ </v>
      </c>
      <c r="AN240" s="4" t="str">
        <f ca="1">IFERROR(__xludf.DUMMYFUNCTION("""COMPUTED_VALUE"""),"| 1 L CPT % | 2 L JAVA % | 3 P PHP-CGM % | 5 L INE @ ")</f>
        <v xml:space="preserve">| 1 L CPT % | 2 L JAVA % | 3 P PHP-CGM % | 5 L INE @ </v>
      </c>
      <c r="AO240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40" s="4" t="str">
        <f ca="1">IFERROR(__xludf.DUMMYFUNCTION("""COMPUTED_VALUE"""),"| 1 L CPT % | 2 L PHP-CGM % | 3 P PRO % | 5 P NS % ")</f>
        <v xml:space="preserve">| 1 L CPT % | 2 L PHP-CGM % | 3 P PRO % | 5 P NS % </v>
      </c>
      <c r="AQ240" s="4" t="str">
        <f ca="1">IFERROR(__xludf.DUMMYFUNCTION("""COMPUTED_VALUE"""),"| 2 L PHP-CGM % | 3 P Python % | 1 L NS % | 5 P CPT @ ")</f>
        <v xml:space="preserve">| 2 L PHP-CGM % | 3 P Python % | 1 L NS % | 5 P CPT @ </v>
      </c>
      <c r="AR240" s="4" t="str">
        <f ca="1">IFERROR(__xludf.DUMMYFUNCTION("""COMPUTED_VALUE"""),"| 1 L CPT @ | 2 L JAVA @ | 3 P JAVA @ | 5 P Python @ ")</f>
        <v xml:space="preserve">| 1 L CPT @ | 2 L JAVA @ | 3 P JAVA @ | 5 P Python @ </v>
      </c>
      <c r="AS240" s="4" t="str">
        <f ca="1">IFERROR(__xludf.DUMMYFUNCTION("""COMPUTED_VALUE"""),"| 1 L NS % | 2 L PHP-CGM % | 3 P JAVA @ | 5 L NS @ | 6 L JAVA % ")</f>
        <v xml:space="preserve">| 1 L NS % | 2 L PHP-CGM % | 3 P JAVA @ | 5 L NS @ | 6 L JAVA % </v>
      </c>
      <c r="AT240" s="4" t="str">
        <f ca="1">IFERROR(__xludf.DUMMYFUNCTION("""COMPUTED_VALUE"""),"| 1 L CPT % | 2 L PHP-CGM % | 3 P PRO % | 5 P NS % ")</f>
        <v xml:space="preserve">| 1 L CPT % | 2 L PHP-CGM % | 3 P PRO % | 5 P NS % </v>
      </c>
      <c r="AU240" s="4" t="str">
        <f ca="1">IFERROR(__xludf.DUMMYFUNCTION("""COMPUTED_VALUE"""),"| 1 L NS % | 2 L PHP-CGM % | 3 P Python % | 5 P CPT % ")</f>
        <v xml:space="preserve">| 1 L NS % | 2 L PHP-CGM % | 3 P Python % | 5 P CPT % </v>
      </c>
      <c r="AV240" s="4" t="str">
        <f ca="1">IFERROR(__xludf.DUMMYFUNCTION("""COMPUTED_VALUE"""),"| 1 L CPT @ | 2 L JAVA @ | 3 P JAVA @ | 5 P PRO @ ")</f>
        <v xml:space="preserve">| 1 L CPT @ | 2 L JAVA @ | 3 P JAVA @ | 5 P PRO @ </v>
      </c>
      <c r="AW240" s="4" t="str">
        <f ca="1">IFERROR(__xludf.DUMMYFUNCTION("""COMPUTED_VALUE"""),"| 1 L CPT % | 2 L JAVA % | 3 P PHP-CGM @ | 5 L INE @ | 6 L INE @ ")</f>
        <v xml:space="preserve">| 1 L CPT % | 2 L JAVA % | 3 P PHP-CGM @ | 5 L INE @ | 6 L INE @ </v>
      </c>
      <c r="AX240" s="4" t="str">
        <f ca="1">IFERROR(__xludf.DUMMYFUNCTION("""COMPUTED_VALUE"""),"| 1 L NS % | 2 L PHP-CGM % | 3 P JAVA % | 5 L NS @ | 5 L JAVA @ ")</f>
        <v xml:space="preserve">| 1 L NS % | 2 L PHP-CGM % | 3 P JAVA % | 5 L NS @ | 5 L JAVA @ </v>
      </c>
      <c r="AY240" s="4" t="str">
        <f ca="1">IFERROR(__xludf.DUMMYFUNCTION("""COMPUTED_VALUE"""),"| 1 L CPT % | 2 L PHP-CGM % | 3 P PRO @ | 5 P NS @ ")</f>
        <v xml:space="preserve">| 1 L CPT % | 2 L PHP-CGM % | 3 P PRO @ | 5 P NS @ </v>
      </c>
      <c r="AZ240" s="4" t="str">
        <f ca="1">IFERROR(__xludf.DUMMYFUNCTION("""COMPUTED_VALUE"""),"| 1 L CPT @ | 2 L JAVA @ | 3 P JAVA @ | 5 P Python @ ")</f>
        <v xml:space="preserve">| 1 L CPT @ | 2 L JAVA @ | 3 P JAVA @ | 5 P Python @ </v>
      </c>
      <c r="BA240" s="4" t="str">
        <f ca="1">IFERROR(__xludf.DUMMYFUNCTION("""COMPUTED_VALUE"""),"| 1 L CPT % | 2 L JAVA % | 3 P PHP-CGM % | 5 L INE @ ")</f>
        <v xml:space="preserve">| 1 L CPT % | 2 L JAVA % | 3 P PHP-CGM % | 5 L INE @ </v>
      </c>
      <c r="BB240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0" s="4" t="str">
        <f ca="1">IFERROR(__xludf.DUMMYFUNCTION("""COMPUTED_VALUE"""),"| 1 L CPT % | 2 L PHP-CGM % | 3 P PRO % | 5 P NS % ")</f>
        <v xml:space="preserve">| 1 L CPT % | 2 L PHP-CGM % | 3 P PRO % | 5 P NS % </v>
      </c>
      <c r="BD240" s="4" t="str">
        <f ca="1">IFERROR(__xludf.DUMMYFUNCTION("""COMPUTED_VALUE"""),"| 1 L NS % | 2 L PHP-CGM % | 3 P Python % | 5 P CPT % ")</f>
        <v xml:space="preserve">| 1 L NS % | 2 L PHP-CGM % | 3 P Python % | 5 P CPT % </v>
      </c>
      <c r="BE240" s="4" t="str">
        <f ca="1">IFERROR(__xludf.DUMMYFUNCTION("""COMPUTED_VALUE"""),"| 1 L CPT % | 2 L JAVA @ | 5 P Python @ ")</f>
        <v xml:space="preserve">| 1 L CPT % | 2 L JAVA @ | 5 P Python @ </v>
      </c>
      <c r="BF240" s="4" t="str">
        <f ca="1">IFERROR(__xludf.DUMMYFUNCTION("""COMPUTED_VALUE"""),"| 1 L CPT % | 2 L JAVA @ | 3 P PHP-CGM @ ")</f>
        <v xml:space="preserve">| 1 L CPT % | 2 L JAVA @ | 3 P PHP-CGM @ </v>
      </c>
      <c r="BG240" s="4" t="str">
        <f ca="1">IFERROR(__xludf.DUMMYFUNCTION("""COMPUTED_VALUE"""),"| 2 L PHP-CGM % | 1 L CPT % | 3 P PRO % | 5 P NS % ")</f>
        <v xml:space="preserve">| 2 L PHP-CGM % | 1 L CPT % | 3 P PRO % | 5 P NS % </v>
      </c>
      <c r="BH240" s="4" t="str">
        <f ca="1">IFERROR(__xludf.DUMMYFUNCTION("""COMPUTED_VALUE"""),"| 1 L NS % | 2 L PHP-CGM % | 3 P Python % | 5 P CPT % ")</f>
        <v xml:space="preserve">| 1 L NS % | 2 L PHP-CGM % | 3 P Python % | 5 P CPT % </v>
      </c>
      <c r="BI240" s="4" t="str">
        <f ca="1">IFERROR(__xludf.DUMMYFUNCTION("""COMPUTED_VALUE"""),"| 1 L CPT % | 2 L JAVA % | 3 P JAVA @ | 5 P PRO % ")</f>
        <v xml:space="preserve">| 1 L CPT % | 2 L JAVA % | 3 P JAVA @ | 5 P PRO % </v>
      </c>
      <c r="BJ240" s="4" t="str">
        <f ca="1">IFERROR(__xludf.DUMMYFUNCTION("""COMPUTED_VALUE"""),"| 1 L CPT @ | 2 L JAVA @ | 3 P PHP-CGM @ | 5 L INE % ")</f>
        <v xml:space="preserve">| 1 L CPT @ | 2 L JAVA @ | 3 P PHP-CGM @ | 5 L INE % </v>
      </c>
      <c r="BK24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40" s="4" t="str">
        <f ca="1">IFERROR(__xludf.DUMMYFUNCTION("""COMPUTED_VALUE"""),"| 1 L CPT @ | 2 L PHP-CGM @ | 3 P PRO @ | 5 P NS @ ")</f>
        <v xml:space="preserve">| 1 L CPT @ | 2 L PHP-CGM @ | 3 P PRO @ | 5 P NS @ </v>
      </c>
      <c r="BM240" s="4" t="str">
        <f ca="1">IFERROR(__xludf.DUMMYFUNCTION("""COMPUTED_VALUE"""),"| 1 L NS % | 2 L PHP-CGM % | 3 P Python @ | 5 P CPT @ ")</f>
        <v xml:space="preserve">| 1 L NS % | 2 L PHP-CGM % | 3 P Python @ | 5 P CPT @ </v>
      </c>
      <c r="BN240" s="4" t="str">
        <f ca="1">IFERROR(__xludf.DUMMYFUNCTION("""COMPUTED_VALUE"""),"| 2 L JAVA @ | 1 L CPT @ | 3 P JAVA @ | 5 P PRO @ ")</f>
        <v xml:space="preserve">| 2 L JAVA @ | 1 L CPT @ | 3 P JAVA @ | 5 P PRO @ </v>
      </c>
      <c r="BO240" s="4" t="str">
        <f ca="1">IFERROR(__xludf.DUMMYFUNCTION("""COMPUTED_VALUE"""),"| 2 L JAVA @ | 1 L CPT @ | 3 P PHP-CGM @ | 5 L INE @ ")</f>
        <v xml:space="preserve">| 2 L JAVA @ | 1 L CPT @ | 3 P PHP-CGM @ | 5 L INE @ </v>
      </c>
      <c r="BP24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40" s="4"/>
      <c r="BR240" s="4"/>
      <c r="BS240" s="4"/>
      <c r="BT240" s="4" t="str">
        <f ca="1">IFERROR(__xludf.DUMMYFUNCTION("""COMPUTED_VALUE"""),"| 1 L NS @ | 2 L PHP-CGM @ | 3 P JAVA @ ")</f>
        <v xml:space="preserve">| 1 L NS @ | 2 L PHP-CGM @ | 3 P JAVA @ </v>
      </c>
      <c r="BU240" s="4" t="str">
        <f ca="1">IFERROR(__xludf.DUMMYFUNCTION("""COMPUTED_VALUE"""),"| 1 L CPT @ ")</f>
        <v xml:space="preserve">| 1 L CPT @ </v>
      </c>
      <c r="BV240" s="4" t="str">
        <f ca="1">IFERROR(__xludf.DUMMYFUNCTION("""COMPUTED_VALUE"""),"| 1 L NS @ | 2 L PHP-CGM @ | 3 P JAVA @ | 6 L JAVA @ ")</f>
        <v xml:space="preserve">| 1 L NS @ | 2 L PHP-CGM @ | 3 P JAVA @ | 6 L JAVA @ </v>
      </c>
      <c r="BW240" s="4" t="str">
        <f ca="1">IFERROR(__xludf.DUMMYFUNCTION("""COMPUTED_VALUE"""),"| 1 L CPT @ | 2 L PHP-CGM @ | 3 P PRO @ ")</f>
        <v xml:space="preserve">| 1 L CPT @ | 2 L PHP-CGM @ | 3 P PRO @ </v>
      </c>
      <c r="BX240" s="4" t="str">
        <f ca="1">IFERROR(__xludf.DUMMYFUNCTION("""COMPUTED_VALUE"""),"| 1 L NS @ | 2 L PHP-CGM @ | 3 P Python @ | 5 P CPT @ ")</f>
        <v xml:space="preserve">| 1 L NS @ | 2 L PHP-CGM @ | 3 P Python @ | 5 P CPT @ </v>
      </c>
      <c r="BY240" s="4" t="str">
        <f ca="1">IFERROR(__xludf.DUMMYFUNCTION("""COMPUTED_VALUE"""),"| 1 L CPT @ | 2 L JAVA @ | 3 P JAVA @ | 5 P Python @ ")</f>
        <v xml:space="preserve">| 1 L CPT @ | 2 L JAVA @ | 3 P JAVA @ | 5 P Python @ </v>
      </c>
      <c r="BZ240" s="4" t="str">
        <f ca="1">IFERROR(__xludf.DUMMYFUNCTION("""COMPUTED_VALUE"""),"| 1 L CPT @ | 2 L JAVA @ | 3 P PHP-CGM @ | 5 L INE @ ")</f>
        <v xml:space="preserve">| 1 L CPT @ | 2 L JAVA @ | 3 P PHP-CGM @ | 5 L INE @ </v>
      </c>
      <c r="CA240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CB240" s="4" t="str">
        <f ca="1">IFERROR(__xludf.DUMMYFUNCTION("""COMPUTED_VALUE"""),"| 2 L PHP-CGM % | 3 P PRO % | 5 P NS % | 1 L CPT % ")</f>
        <v xml:space="preserve">| 2 L PHP-CGM % | 3 P PRO % | 5 P NS % | 1 L CPT % </v>
      </c>
      <c r="CC240" s="4" t="str">
        <f ca="1">IFERROR(__xludf.DUMMYFUNCTION("""COMPUTED_VALUE"""),"| 1 L NS % | 2 L PHP-CGM % | 3 P Python % | 5 P CPT @ ")</f>
        <v xml:space="preserve">| 1 L NS % | 2 L PHP-CGM % | 3 P Python % | 5 P CPT @ </v>
      </c>
      <c r="CD240" s="4" t="str">
        <f ca="1">IFERROR(__xludf.DUMMYFUNCTION("""COMPUTED_VALUE"""),"| 1 L CPT @ | 2 L JAVA @ | 3 P JAVA @ | 5 P Python @ ")</f>
        <v xml:space="preserve">| 1 L CPT @ | 2 L JAVA @ | 3 P JAVA @ | 5 P Python @ </v>
      </c>
      <c r="CE240" s="4" t="str">
        <f ca="1">IFERROR(__xludf.DUMMYFUNCTION("""COMPUTED_VALUE"""),"| 1 L CPT @ | 2 L JAVA @ | 3 P PHP-CGM @ | 5 L INE % ")</f>
        <v xml:space="preserve">| 1 L CPT @ | 2 L JAVA @ | 3 P PHP-CGM @ | 5 L INE % </v>
      </c>
      <c r="CF24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40" s="4" t="str">
        <f ca="1">IFERROR(__xludf.DUMMYFUNCTION("""COMPUTED_VALUE"""),"| 1 L CPT % | 2 L PHP-CGM % | 5 P NS @ ")</f>
        <v xml:space="preserve">| 1 L CPT % | 2 L PHP-CGM % | 5 P NS @ </v>
      </c>
      <c r="CH240" s="4" t="str">
        <f ca="1">IFERROR(__xludf.DUMMYFUNCTION("""COMPUTED_VALUE"""),"| 1 L NS @ | 2 L PHP-CGM @ ")</f>
        <v xml:space="preserve">| 1 L NS @ | 2 L PHP-CGM @ </v>
      </c>
      <c r="CI240" s="4" t="str">
        <f ca="1">IFERROR(__xludf.DUMMYFUNCTION("""COMPUTED_VALUE"""),"| 1 L CPT @ | 2 L JAVA @ | 3 P JAVA @ ")</f>
        <v xml:space="preserve">| 1 L CPT @ | 2 L JAVA @ | 3 P JAVA @ </v>
      </c>
      <c r="CJ240" s="4" t="str">
        <f ca="1">IFERROR(__xludf.DUMMYFUNCTION("""COMPUTED_VALUE"""),"| 1 L CPT @ | 3 P PHP-CGM @ ")</f>
        <v xml:space="preserve">| 1 L CPT @ | 3 P PHP-CGM @ </v>
      </c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</row>
    <row r="241" spans="1:102" ht="12.5" x14ac:dyDescent="0.25">
      <c r="A241" s="3">
        <f ca="1">IFERROR(__xludf.DUMMYFUNCTION("""COMPUTED_VALUE"""),4)</f>
        <v>4</v>
      </c>
      <c r="B241" s="3" t="str">
        <f ca="1">IFERROR(__xludf.DUMMYFUNCTION("""COMPUTED_VALUE"""),"C")</f>
        <v>C</v>
      </c>
      <c r="C241" s="32" t="str">
        <f ca="1">IFERROR(__xludf.DUMMYFUNCTION("""COMPUTED_VALUE"""),"23171341178")</f>
        <v>23171341178</v>
      </c>
      <c r="D241" s="4" t="str">
        <f ca="1">IFERROR(__xludf.DUMMYFUNCTION("""COMPUTED_VALUE"""),"SHAH HET MAYURKUMAR")</f>
        <v>SHAH HET MAYURKUMAR</v>
      </c>
      <c r="E241" s="3" t="str">
        <f ca="1">IFERROR(__xludf.DUMMYFUNCTION("""COMPUTED_VALUE"""),"PKN/PAP-Mor")</f>
        <v>PKN/PAP-Mor</v>
      </c>
      <c r="F241" s="3">
        <f ca="1">IFERROR(__xludf.DUMMYFUNCTION("""COMPUTED_VALUE"""),7990794297)</f>
        <v>7990794297</v>
      </c>
      <c r="G241" s="3">
        <f ca="1">IFERROR(__xludf.DUMMYFUNCTION("""COMPUTED_VALUE"""),7990794297)</f>
        <v>7990794297</v>
      </c>
      <c r="H241" s="33">
        <f ca="1">IFERROR(__xludf.DUMMYFUNCTION("""COMPUTED_VALUE"""),0.786008230452674)</f>
        <v>0.78600823045267398</v>
      </c>
      <c r="I241" s="25">
        <f ca="1">IFERROR(__xludf.DUMMYFUNCTION("""COMPUTED_VALUE"""),0.763157894736842)</f>
        <v>0.76315789473684204</v>
      </c>
      <c r="J241" s="25">
        <f ca="1">IFERROR(__xludf.DUMMYFUNCTION("""COMPUTED_VALUE"""),0.9)</f>
        <v>0.9</v>
      </c>
      <c r="K241" s="25">
        <f ca="1">IFERROR(__xludf.DUMMYFUNCTION("""COMPUTED_VALUE"""),0.777777777777777)</f>
        <v>0.77777777777777701</v>
      </c>
      <c r="L241" s="25">
        <f ca="1">IFERROR(__xludf.DUMMYFUNCTION("""COMPUTED_VALUE"""),0.818181818181818)</f>
        <v>0.81818181818181801</v>
      </c>
      <c r="M241" s="25">
        <f ca="1">IFERROR(__xludf.DUMMYFUNCTION("""COMPUTED_VALUE"""),0.777777777777777)</f>
        <v>0.77777777777777701</v>
      </c>
      <c r="N241" s="25">
        <f ca="1">IFERROR(__xludf.DUMMYFUNCTION("""COMPUTED_VALUE"""),0.75)</f>
        <v>0.75</v>
      </c>
      <c r="O241" s="25">
        <f ca="1">IFERROR(__xludf.DUMMYFUNCTION("""COMPUTED_VALUE"""),0.771428571428571)</f>
        <v>0.77142857142857102</v>
      </c>
      <c r="P241" s="25">
        <f ca="1">IFERROR(__xludf.DUMMYFUNCTION("""COMPUTED_VALUE"""),0.76)</f>
        <v>0.76</v>
      </c>
      <c r="Q241" s="25">
        <f ca="1">IFERROR(__xludf.DUMMYFUNCTION("""COMPUTED_VALUE"""),0)</f>
        <v>0</v>
      </c>
      <c r="R241" s="25">
        <f ca="1">IFERROR(__xludf.DUMMYFUNCTION("""COMPUTED_VALUE"""),0.823529411764705)</f>
        <v>0.82352941176470495</v>
      </c>
      <c r="S241" s="25">
        <f ca="1">IFERROR(__xludf.DUMMYFUNCTION("""COMPUTED_VALUE"""),0)</f>
        <v>0</v>
      </c>
      <c r="T241" s="25">
        <f ca="1">IFERROR(__xludf.DUMMYFUNCTION("""COMPUTED_VALUE"""),0.933333333333333)</f>
        <v>0.93333333333333302</v>
      </c>
      <c r="U241" s="25">
        <f ca="1">IFERROR(__xludf.DUMMYFUNCTION("""COMPUTED_VALUE"""),0.625)</f>
        <v>0.625</v>
      </c>
      <c r="V241" s="25">
        <f ca="1">IFERROR(__xludf.DUMMYFUNCTION("""COMPUTED_VALUE"""),0)</f>
        <v>0</v>
      </c>
      <c r="W241" s="4"/>
      <c r="X24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41" s="4" t="str">
        <f ca="1">IFERROR(__xludf.DUMMYFUNCTION("""COMPUTED_VALUE"""),"| 1 L CPT % | 5 L PHP-CGM % | 3 P PRO % | 5 P NS % ")</f>
        <v xml:space="preserve">| 1 L CPT % | 5 L PHP-CGM % | 3 P PRO % | 5 P NS % </v>
      </c>
      <c r="Z241" s="4" t="str">
        <f ca="1">IFERROR(__xludf.DUMMYFUNCTION("""COMPUTED_VALUE"""),"| 1 L CPT % | 2 L PHP-CGM % | 3 P Python % | 5 P CPT % ")</f>
        <v xml:space="preserve">| 1 L CPT % | 2 L PHP-CGM % | 3 P Python % | 5 P CPT % </v>
      </c>
      <c r="AA241" s="4" t="str">
        <f ca="1">IFERROR(__xludf.DUMMYFUNCTION("""COMPUTED_VALUE"""),"| 1 L NS % | 2 L JAVA % | 3 P JAVA % | 5 P PRO % ")</f>
        <v xml:space="preserve">| 1 L NS % | 2 L JAVA % | 3 P JAVA % | 5 P PRO % </v>
      </c>
      <c r="AB241" s="4" t="str">
        <f ca="1">IFERROR(__xludf.DUMMYFUNCTION("""COMPUTED_VALUE"""),"| 1 L CPT % | 2 L JAVA % | 3 P PHP-CGM % ")</f>
        <v xml:space="preserve">| 1 L CPT % | 2 L JAVA % | 3 P PHP-CGM % </v>
      </c>
      <c r="AC24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41" s="4" t="str">
        <f ca="1">IFERROR(__xludf.DUMMYFUNCTION("""COMPUTED_VALUE"""),"| 1 L CPT % | 2 L PHP-CGM % | 3 P PRO % | 5 P NS % ")</f>
        <v xml:space="preserve">| 1 L CPT % | 2 L PHP-CGM % | 3 P PRO % | 5 P NS % </v>
      </c>
      <c r="AE241" s="4" t="str">
        <f ca="1">IFERROR(__xludf.DUMMYFUNCTION("""COMPUTED_VALUE"""),"| 1 L CPT % | 3 P Python % | 5 P CPT % | 2 L PHP-CGM % ")</f>
        <v xml:space="preserve">| 1 L CPT % | 3 P Python % | 5 P CPT % | 2 L PHP-CGM % </v>
      </c>
      <c r="AF241" s="4" t="str">
        <f ca="1">IFERROR(__xludf.DUMMYFUNCTION("""COMPUTED_VALUE"""),"| 1 L NS % | 2 L CPT % | 3 P JAVA % | 5 P Python % ")</f>
        <v xml:space="preserve">| 1 L NS % | 2 L CPT % | 3 P JAVA % | 5 P Python % </v>
      </c>
      <c r="AG241" s="4" t="str">
        <f ca="1">IFERROR(__xludf.DUMMYFUNCTION("""COMPUTED_VALUE"""),"| 1 L CPT % | 2 L JAVA % | 3 P PHP-CGM % ")</f>
        <v xml:space="preserve">| 1 L CPT % | 2 L JAVA % | 3 P PHP-CGM % </v>
      </c>
      <c r="AH241" s="4" t="str">
        <f ca="1">IFERROR(__xludf.DUMMYFUNCTION("""COMPUTED_VALUE"""),"| 2 L JAVA % | 1 L NS % | 3 P JAVA % | 5 P Python % ")</f>
        <v xml:space="preserve">| 2 L JAVA % | 1 L NS % | 3 P JAVA % | 5 P Python % </v>
      </c>
      <c r="AI241" s="4" t="str">
        <f ca="1">IFERROR(__xludf.DUMMYFUNCTION("""COMPUTED_VALUE"""),"| 1 L CPT % | 2 L JAVA % | 3 P PHP-CGM % ")</f>
        <v xml:space="preserve">| 1 L CPT % | 2 L JAVA % | 3 P PHP-CGM % </v>
      </c>
      <c r="AJ24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41" s="4" t="str">
        <f ca="1">IFERROR(__xludf.DUMMYFUNCTION("""COMPUTED_VALUE"""),"| 1 L CPT % | 3 P PRO % | 2 L PHP-CGM % | 5 P NS % ")</f>
        <v xml:space="preserve">| 1 L CPT % | 3 P PRO % | 2 L PHP-CGM % | 5 P NS % </v>
      </c>
      <c r="AL241" s="4" t="str">
        <f ca="1">IFERROR(__xludf.DUMMYFUNCTION("""COMPUTED_VALUE"""),"| 1 L CPT % | 2 L PHP-CGM % | 5 P CPT % ")</f>
        <v xml:space="preserve">| 1 L CPT % | 2 L PHP-CGM % | 5 P CPT % </v>
      </c>
      <c r="AM241" s="4" t="str">
        <f ca="1">IFERROR(__xludf.DUMMYFUNCTION("""COMPUTED_VALUE"""),"| 2 L JAVA % | 3 P JAVA % | 1 L NS % | 5 P Python % ")</f>
        <v xml:space="preserve">| 2 L JAVA % | 3 P JAVA % | 1 L NS % | 5 P Python % </v>
      </c>
      <c r="AN241" s="4" t="str">
        <f ca="1">IFERROR(__xludf.DUMMYFUNCTION("""COMPUTED_VALUE"""),"| 1 L CPT % | 2 L JAVA % | 3 P PHP-CGM % | 5 L INE % ")</f>
        <v xml:space="preserve">| 1 L CPT % | 2 L JAVA % | 3 P PHP-CGM % | 5 L INE % </v>
      </c>
      <c r="AO241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41" s="4" t="str">
        <f ca="1">IFERROR(__xludf.DUMMYFUNCTION("""COMPUTED_VALUE"""),"| 1 L CPT % | 2 L PHP-CGM % | 3 P PRO % | 5 P NS % ")</f>
        <v xml:space="preserve">| 1 L CPT % | 2 L PHP-CGM % | 3 P PRO % | 5 P NS % </v>
      </c>
      <c r="AQ241" s="4" t="str">
        <f ca="1">IFERROR(__xludf.DUMMYFUNCTION("""COMPUTED_VALUE"""),"| 2 L PHP-CGM % | 3 P Python % | 1 L NS % | 5 P CPT % ")</f>
        <v xml:space="preserve">| 2 L PHP-CGM % | 3 P Python % | 1 L NS % | 5 P CPT % </v>
      </c>
      <c r="AR241" s="4" t="str">
        <f ca="1">IFERROR(__xludf.DUMMYFUNCTION("""COMPUTED_VALUE"""),"| 1 L CPT % | 2 L JAVA % | 3 P JAVA % | 5 P Python % ")</f>
        <v xml:space="preserve">| 1 L CPT % | 2 L JAVA % | 3 P JAVA % | 5 P Python % </v>
      </c>
      <c r="AS24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41" s="4" t="str">
        <f ca="1">IFERROR(__xludf.DUMMYFUNCTION("""COMPUTED_VALUE"""),"| 1 L CPT % | 2 L PHP-CGM % | 3 P PRO % | 5 P NS % ")</f>
        <v xml:space="preserve">| 1 L CPT % | 2 L PHP-CGM % | 3 P PRO % | 5 P NS % </v>
      </c>
      <c r="AU241" s="4" t="str">
        <f ca="1">IFERROR(__xludf.DUMMYFUNCTION("""COMPUTED_VALUE"""),"| 1 L NS % | 2 L PHP-CGM % | 3 P Python % | 5 P CPT % ")</f>
        <v xml:space="preserve">| 1 L NS % | 2 L PHP-CGM % | 3 P Python % | 5 P CPT % </v>
      </c>
      <c r="AV241" s="4" t="str">
        <f ca="1">IFERROR(__xludf.DUMMYFUNCTION("""COMPUTED_VALUE"""),"| 1 L CPT % | 2 L JAVA % | 3 P JAVA % | 5 P PRO % ")</f>
        <v xml:space="preserve">| 1 L CPT % | 2 L JAVA % | 3 P JAVA % | 5 P PRO % </v>
      </c>
      <c r="AW241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41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41" s="4" t="str">
        <f ca="1">IFERROR(__xludf.DUMMYFUNCTION("""COMPUTED_VALUE"""),"| 1 L CPT % | 2 L PHP-CGM % | 3 P PRO % | 5 P NS % ")</f>
        <v xml:space="preserve">| 1 L CPT % | 2 L PHP-CGM % | 3 P PRO % | 5 P NS % </v>
      </c>
      <c r="AZ241" s="4" t="str">
        <f ca="1">IFERROR(__xludf.DUMMYFUNCTION("""COMPUTED_VALUE"""),"| 1 L CPT % | 2 L JAVA % | 3 P JAVA % | 5 P Python % ")</f>
        <v xml:space="preserve">| 1 L CPT % | 2 L JAVA % | 3 P JAVA % | 5 P Python % </v>
      </c>
      <c r="BA241" s="4" t="str">
        <f ca="1">IFERROR(__xludf.DUMMYFUNCTION("""COMPUTED_VALUE"""),"| 1 L CPT % | 2 L JAVA % | 3 P PHP-CGM % | 5 L INE @ ")</f>
        <v xml:space="preserve">| 1 L CPT % | 2 L JAVA % | 3 P PHP-CGM % | 5 L INE @ </v>
      </c>
      <c r="BB24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1" s="4" t="str">
        <f ca="1">IFERROR(__xludf.DUMMYFUNCTION("""COMPUTED_VALUE"""),"| 1 L CPT % | 2 L PHP-CGM % | 3 P PRO % | 5 P NS % ")</f>
        <v xml:space="preserve">| 1 L CPT % | 2 L PHP-CGM % | 3 P PRO % | 5 P NS % </v>
      </c>
      <c r="BD241" s="4" t="str">
        <f ca="1">IFERROR(__xludf.DUMMYFUNCTION("""COMPUTED_VALUE"""),"| 1 L NS % | 2 L PHP-CGM % | 3 P Python % | 5 P CPT % ")</f>
        <v xml:space="preserve">| 1 L NS % | 2 L PHP-CGM % | 3 P Python % | 5 P CPT % </v>
      </c>
      <c r="BE241" s="4" t="str">
        <f ca="1">IFERROR(__xludf.DUMMYFUNCTION("""COMPUTED_VALUE"""),"| 1 L CPT @ | 2 L JAVA @ | 5 P Python @ ")</f>
        <v xml:space="preserve">| 1 L CPT @ | 2 L JAVA @ | 5 P Python @ </v>
      </c>
      <c r="BF241" s="4" t="str">
        <f ca="1">IFERROR(__xludf.DUMMYFUNCTION("""COMPUTED_VALUE"""),"| 1 L CPT @ | 2 L JAVA @ | 3 P PHP-CGM @ ")</f>
        <v xml:space="preserve">| 1 L CPT @ | 2 L JAVA @ | 3 P PHP-CGM @ </v>
      </c>
      <c r="BG241" s="4" t="str">
        <f ca="1">IFERROR(__xludf.DUMMYFUNCTION("""COMPUTED_VALUE"""),"| 2 L PHP-CGM % | 1 L CPT % | 3 P PRO % | 5 P NS % ")</f>
        <v xml:space="preserve">| 2 L PHP-CGM % | 1 L CPT % | 3 P PRO % | 5 P NS % </v>
      </c>
      <c r="BH241" s="4" t="str">
        <f ca="1">IFERROR(__xludf.DUMMYFUNCTION("""COMPUTED_VALUE"""),"| 1 L NS % | 2 L PHP-CGM % | 3 P Python % | 5 P CPT % ")</f>
        <v xml:space="preserve">| 1 L NS % | 2 L PHP-CGM % | 3 P Python % | 5 P CPT % </v>
      </c>
      <c r="BI241" s="4" t="str">
        <f ca="1">IFERROR(__xludf.DUMMYFUNCTION("""COMPUTED_VALUE"""),"| 1 L CPT % | 2 L JAVA % | 3 P JAVA % | 5 P PRO % ")</f>
        <v xml:space="preserve">| 1 L CPT % | 2 L JAVA % | 3 P JAVA % | 5 P PRO % </v>
      </c>
      <c r="BJ241" s="4" t="str">
        <f ca="1">IFERROR(__xludf.DUMMYFUNCTION("""COMPUTED_VALUE"""),"| 1 L CPT % | 2 L JAVA % | 3 P PHP-CGM % | 5 L INE % ")</f>
        <v xml:space="preserve">| 1 L CPT % | 2 L JAVA % | 3 P PHP-CGM % | 5 L INE % </v>
      </c>
      <c r="BK24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L241" s="4" t="str">
        <f ca="1">IFERROR(__xludf.DUMMYFUNCTION("""COMPUTED_VALUE"""),"| 1 L CPT % | 2 L PHP-CGM % | 3 P PRO % | 5 P NS % ")</f>
        <v xml:space="preserve">| 1 L CPT % | 2 L PHP-CGM % | 3 P PRO % | 5 P NS % </v>
      </c>
      <c r="BM241" s="4" t="str">
        <f ca="1">IFERROR(__xludf.DUMMYFUNCTION("""COMPUTED_VALUE"""),"| 1 L NS % | 2 L PHP-CGM % | 3 P Python % | 5 P CPT % ")</f>
        <v xml:space="preserve">| 1 L NS % | 2 L PHP-CGM % | 3 P Python % | 5 P CPT % </v>
      </c>
      <c r="BN241" s="4" t="str">
        <f ca="1">IFERROR(__xludf.DUMMYFUNCTION("""COMPUTED_VALUE"""),"| 2 L JAVA % | 1 L CPT % | 3 P JAVA % | 5 P PRO % ")</f>
        <v xml:space="preserve">| 2 L JAVA % | 1 L CPT % | 3 P JAVA % | 5 P PRO % </v>
      </c>
      <c r="BO241" s="4" t="str">
        <f ca="1">IFERROR(__xludf.DUMMYFUNCTION("""COMPUTED_VALUE"""),"| 2 L JAVA % | 1 L CPT % | 3 P PHP-CGM % | 5 L INE @ ")</f>
        <v xml:space="preserve">| 2 L JAVA % | 1 L CPT % | 3 P PHP-CGM % | 5 L INE @ </v>
      </c>
      <c r="BP24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41" s="4"/>
      <c r="BR241" s="4"/>
      <c r="BS241" s="4"/>
      <c r="BT241" s="4" t="str">
        <f ca="1">IFERROR(__xludf.DUMMYFUNCTION("""COMPUTED_VALUE"""),"| 1 L NS @ | 2 L PHP-CGM @ | 3 P JAVA @ ")</f>
        <v xml:space="preserve">| 1 L NS @ | 2 L PHP-CGM @ | 3 P JAVA @ </v>
      </c>
      <c r="BU241" s="4" t="str">
        <f ca="1">IFERROR(__xludf.DUMMYFUNCTION("""COMPUTED_VALUE"""),"| 1 L CPT @ ")</f>
        <v xml:space="preserve">| 1 L CPT @ </v>
      </c>
      <c r="BV241" s="4" t="str">
        <f ca="1">IFERROR(__xludf.DUMMYFUNCTION("""COMPUTED_VALUE"""),"| 1 L NS % | 2 L PHP-CGM % | 3 P JAVA @ | 6 L JAVA % ")</f>
        <v xml:space="preserve">| 1 L NS % | 2 L PHP-CGM % | 3 P JAVA @ | 6 L JAVA % </v>
      </c>
      <c r="BW241" s="4" t="str">
        <f ca="1">IFERROR(__xludf.DUMMYFUNCTION("""COMPUTED_VALUE"""),"| 1 L CPT % | 2 L PHP-CGM % | 3 P PRO % ")</f>
        <v xml:space="preserve">| 1 L CPT % | 2 L PHP-CGM % | 3 P PRO % </v>
      </c>
      <c r="BX241" s="4" t="str">
        <f ca="1">IFERROR(__xludf.DUMMYFUNCTION("""COMPUTED_VALUE"""),"| 1 L NS % | 2 L PHP-CGM % | 3 P Python % | 5 P CPT % ")</f>
        <v xml:space="preserve">| 1 L NS % | 2 L PHP-CGM % | 3 P Python % | 5 P CPT % </v>
      </c>
      <c r="BY241" s="4" t="str">
        <f ca="1">IFERROR(__xludf.DUMMYFUNCTION("""COMPUTED_VALUE"""),"| 1 L CPT % | 2 L JAVA % | 3 P JAVA % | 5 P Python % ")</f>
        <v xml:space="preserve">| 1 L CPT % | 2 L JAVA % | 3 P JAVA % | 5 P Python % </v>
      </c>
      <c r="BZ241" s="4" t="str">
        <f ca="1">IFERROR(__xludf.DUMMYFUNCTION("""COMPUTED_VALUE"""),"| 1 L CPT % | 2 L JAVA % | 3 P PHP-CGM % | 5 L INE % ")</f>
        <v xml:space="preserve">| 1 L CPT % | 2 L JAVA % | 3 P PHP-CGM % | 5 L INE % </v>
      </c>
      <c r="CA24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41" s="4" t="str">
        <f ca="1">IFERROR(__xludf.DUMMYFUNCTION("""COMPUTED_VALUE"""),"| 2 L PHP-CGM @ | 3 P PRO @ | 5 P NS @ | 1 L CPT @ ")</f>
        <v xml:space="preserve">| 2 L PHP-CGM @ | 3 P PRO @ | 5 P NS @ | 1 L CPT @ </v>
      </c>
      <c r="CC241" s="4" t="str">
        <f ca="1">IFERROR(__xludf.DUMMYFUNCTION("""COMPUTED_VALUE"""),"| 1 L NS @ | 2 L PHP-CGM @ | 3 P Python @ | 5 P CPT @ ")</f>
        <v xml:space="preserve">| 1 L NS @ | 2 L PHP-CGM @ | 3 P Python @ | 5 P CPT @ </v>
      </c>
      <c r="CD241" s="4" t="str">
        <f ca="1">IFERROR(__xludf.DUMMYFUNCTION("""COMPUTED_VALUE"""),"| 1 L CPT @ | 2 L JAVA @ | 3 P JAVA @ | 5 P Python @ ")</f>
        <v xml:space="preserve">| 1 L CPT @ | 2 L JAVA @ | 3 P JAVA @ | 5 P Python @ </v>
      </c>
      <c r="CE241" s="4" t="str">
        <f ca="1">IFERROR(__xludf.DUMMYFUNCTION("""COMPUTED_VALUE"""),"| 1 L CPT @ | 2 L JAVA @ | 3 P PHP-CGM @ | 5 L INE @ ")</f>
        <v xml:space="preserve">| 1 L CPT @ | 2 L JAVA @ | 3 P PHP-CGM @ | 5 L INE @ </v>
      </c>
      <c r="CF241" s="4" t="str">
        <f ca="1">IFERROR(__xludf.DUMMYFUNCTION("""COMPUTED_VALUE"""),"| 1 L NS @ | 2 L PHP-CGM @ | 3 P JAVA % | 5 L NS % | 6 L JAVA @ ")</f>
        <v xml:space="preserve">| 1 L NS @ | 2 L PHP-CGM @ | 3 P JAVA % | 5 L NS % | 6 L JAVA @ </v>
      </c>
      <c r="CG241" s="4" t="str">
        <f ca="1">IFERROR(__xludf.DUMMYFUNCTION("""COMPUTED_VALUE"""),"| 1 L CPT @ | 2 L PHP-CGM @ | 5 P NS @ ")</f>
        <v xml:space="preserve">| 1 L CPT @ | 2 L PHP-CGM @ | 5 P NS @ </v>
      </c>
      <c r="CH241" s="4" t="str">
        <f ca="1">IFERROR(__xludf.DUMMYFUNCTION("""COMPUTED_VALUE"""),"| 1 L NS @ | 2 L PHP-CGM @ ")</f>
        <v xml:space="preserve">| 1 L NS @ | 2 L PHP-CGM @ </v>
      </c>
      <c r="CI241" s="4" t="str">
        <f ca="1">IFERROR(__xludf.DUMMYFUNCTION("""COMPUTED_VALUE"""),"| 1 L CPT @ | 2 L JAVA @ | 3 P JAVA @ ")</f>
        <v xml:space="preserve">| 1 L CPT @ | 2 L JAVA @ | 3 P JAVA @ </v>
      </c>
      <c r="CJ241" s="4" t="str">
        <f ca="1">IFERROR(__xludf.DUMMYFUNCTION("""COMPUTED_VALUE"""),"| 1 L CPT @ | 3 P PHP-CGM @ ")</f>
        <v xml:space="preserve">| 1 L CPT @ | 3 P PHP-CGM @ </v>
      </c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</row>
    <row r="242" spans="1:102" ht="12.5" x14ac:dyDescent="0.25">
      <c r="A242" s="3">
        <f ca="1">IFERROR(__xludf.DUMMYFUNCTION("""COMPUTED_VALUE"""),4)</f>
        <v>4</v>
      </c>
      <c r="B242" s="3" t="str">
        <f ca="1">IFERROR(__xludf.DUMMYFUNCTION("""COMPUTED_VALUE"""),"C")</f>
        <v>C</v>
      </c>
      <c r="C242" s="32" t="str">
        <f ca="1">IFERROR(__xludf.DUMMYFUNCTION("""COMPUTED_VALUE"""),"23171341179")</f>
        <v>23171341179</v>
      </c>
      <c r="D242" s="4" t="str">
        <f ca="1">IFERROR(__xludf.DUMMYFUNCTION("""COMPUTED_VALUE"""),"SHAH JAINAMKUMAR DHAVALKUMAR")</f>
        <v>SHAH JAINAMKUMAR DHAVALKUMAR</v>
      </c>
      <c r="E242" s="3" t="str">
        <f ca="1">IFERROR(__xludf.DUMMYFUNCTION("""COMPUTED_VALUE"""),"PKN/PAP-Mor")</f>
        <v>PKN/PAP-Mor</v>
      </c>
      <c r="F242" s="3">
        <f ca="1">IFERROR(__xludf.DUMMYFUNCTION("""COMPUTED_VALUE"""),9979275432)</f>
        <v>9979275432</v>
      </c>
      <c r="G242" s="3">
        <f ca="1">IFERROR(__xludf.DUMMYFUNCTION("""COMPUTED_VALUE"""),8758733427)</f>
        <v>8758733427</v>
      </c>
      <c r="H242" s="33">
        <f ca="1">IFERROR(__xludf.DUMMYFUNCTION("""COMPUTED_VALUE"""),0.547325102880658)</f>
        <v>0.54732510288065805</v>
      </c>
      <c r="I242" s="25">
        <f ca="1">IFERROR(__xludf.DUMMYFUNCTION("""COMPUTED_VALUE"""),0.631578947368421)</f>
        <v>0.63157894736842102</v>
      </c>
      <c r="J242" s="25">
        <f ca="1">IFERROR(__xludf.DUMMYFUNCTION("""COMPUTED_VALUE"""),0.6)</f>
        <v>0.6</v>
      </c>
      <c r="K242" s="25">
        <f ca="1">IFERROR(__xludf.DUMMYFUNCTION("""COMPUTED_VALUE"""),0.416666666666666)</f>
        <v>0.41666666666666602</v>
      </c>
      <c r="L242" s="25">
        <f ca="1">IFERROR(__xludf.DUMMYFUNCTION("""COMPUTED_VALUE"""),0.545454545454545)</f>
        <v>0.54545454545454497</v>
      </c>
      <c r="M242" s="25">
        <f ca="1">IFERROR(__xludf.DUMMYFUNCTION("""COMPUTED_VALUE"""),0.555555555555555)</f>
        <v>0.55555555555555503</v>
      </c>
      <c r="N242" s="25">
        <f ca="1">IFERROR(__xludf.DUMMYFUNCTION("""COMPUTED_VALUE"""),0.5)</f>
        <v>0.5</v>
      </c>
      <c r="O242" s="25">
        <f ca="1">IFERROR(__xludf.DUMMYFUNCTION("""COMPUTED_VALUE"""),0.542857142857142)</f>
        <v>0.54285714285714204</v>
      </c>
      <c r="P242" s="25">
        <f ca="1">IFERROR(__xludf.DUMMYFUNCTION("""COMPUTED_VALUE"""),0.56)</f>
        <v>0.56000000000000005</v>
      </c>
      <c r="Q242" s="25">
        <f ca="1">IFERROR(__xludf.DUMMYFUNCTION("""COMPUTED_VALUE"""),0)</f>
        <v>0</v>
      </c>
      <c r="R242" s="25">
        <f ca="1">IFERROR(__xludf.DUMMYFUNCTION("""COMPUTED_VALUE"""),0.588235294117647)</f>
        <v>0.58823529411764697</v>
      </c>
      <c r="S242" s="25">
        <f ca="1">IFERROR(__xludf.DUMMYFUNCTION("""COMPUTED_VALUE"""),0)</f>
        <v>0</v>
      </c>
      <c r="T242" s="25">
        <f ca="1">IFERROR(__xludf.DUMMYFUNCTION("""COMPUTED_VALUE"""),0.666666666666666)</f>
        <v>0.66666666666666596</v>
      </c>
      <c r="U242" s="25">
        <f ca="1">IFERROR(__xludf.DUMMYFUNCTION("""COMPUTED_VALUE"""),0.375)</f>
        <v>0.375</v>
      </c>
      <c r="V242" s="25">
        <f ca="1">IFERROR(__xludf.DUMMYFUNCTION("""COMPUTED_VALUE"""),0)</f>
        <v>0</v>
      </c>
      <c r="W242" s="4"/>
      <c r="X24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42" s="4" t="str">
        <f ca="1">IFERROR(__xludf.DUMMYFUNCTION("""COMPUTED_VALUE"""),"| 1 L CPT % | 5 L PHP-CGM % | 3 P PRO % | 5 P NS % ")</f>
        <v xml:space="preserve">| 1 L CPT % | 5 L PHP-CGM % | 3 P PRO % | 5 P NS % </v>
      </c>
      <c r="Z242" s="4" t="str">
        <f ca="1">IFERROR(__xludf.DUMMYFUNCTION("""COMPUTED_VALUE"""),"| 1 L CPT % | 2 L PHP-CGM % | 3 P Python % | 5 P CPT @ ")</f>
        <v xml:space="preserve">| 1 L CPT % | 2 L PHP-CGM % | 3 P Python % | 5 P CPT @ </v>
      </c>
      <c r="AA242" s="4" t="str">
        <f ca="1">IFERROR(__xludf.DUMMYFUNCTION("""COMPUTED_VALUE"""),"| 1 L NS @ | 2 L JAVA @ | 3 P JAVA % | 5 P PRO % ")</f>
        <v xml:space="preserve">| 1 L NS @ | 2 L JAVA @ | 3 P JAVA % | 5 P PRO % </v>
      </c>
      <c r="AB242" s="4" t="str">
        <f ca="1">IFERROR(__xludf.DUMMYFUNCTION("""COMPUTED_VALUE"""),"| 1 L CPT % | 2 L JAVA % | 3 P PHP-CGM % ")</f>
        <v xml:space="preserve">| 1 L CPT % | 2 L JAVA % | 3 P PHP-CGM % </v>
      </c>
      <c r="AC24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42" s="4" t="str">
        <f ca="1">IFERROR(__xludf.DUMMYFUNCTION("""COMPUTED_VALUE"""),"| 1 L CPT % | 2 L PHP-CGM % | 3 P PRO % | 5 P NS % ")</f>
        <v xml:space="preserve">| 1 L CPT % | 2 L PHP-CGM % | 3 P PRO % | 5 P NS % </v>
      </c>
      <c r="AE242" s="4" t="str">
        <f ca="1">IFERROR(__xludf.DUMMYFUNCTION("""COMPUTED_VALUE"""),"| 1 L CPT % | 3 P Python % | 5 P CPT % | 2 L PHP-CGM % ")</f>
        <v xml:space="preserve">| 1 L CPT % | 3 P Python % | 5 P CPT % | 2 L PHP-CGM % </v>
      </c>
      <c r="AF242" s="4" t="str">
        <f ca="1">IFERROR(__xludf.DUMMYFUNCTION("""COMPUTED_VALUE"""),"| 1 L NS % | 2 L CPT % | 3 P JAVA % | 5 P Python % ")</f>
        <v xml:space="preserve">| 1 L NS % | 2 L CPT % | 3 P JAVA % | 5 P Python % </v>
      </c>
      <c r="AG242" s="4" t="str">
        <f ca="1">IFERROR(__xludf.DUMMYFUNCTION("""COMPUTED_VALUE"""),"| 1 L CPT % | 2 L JAVA % | 3 P PHP-CGM % ")</f>
        <v xml:space="preserve">| 1 L CPT % | 2 L JAVA % | 3 P PHP-CGM % </v>
      </c>
      <c r="AH242" s="4" t="str">
        <f ca="1">IFERROR(__xludf.DUMMYFUNCTION("""COMPUTED_VALUE"""),"| 2 L JAVA @ | 1 L NS @ | 3 P JAVA % | 5 P Python @ ")</f>
        <v xml:space="preserve">| 2 L JAVA @ | 1 L NS @ | 3 P JAVA % | 5 P Python @ </v>
      </c>
      <c r="AI242" s="4" t="str">
        <f ca="1">IFERROR(__xludf.DUMMYFUNCTION("""COMPUTED_VALUE"""),"| 1 L CPT % | 2 L JAVA % | 3 P PHP-CGM @ ")</f>
        <v xml:space="preserve">| 1 L CPT % | 2 L JAVA % | 3 P PHP-CGM @ </v>
      </c>
      <c r="AJ242" s="4" t="str">
        <f ca="1">IFERROR(__xludf.DUMMYFUNCTION("""COMPUTED_VALUE"""),"| 1 L NS % | 2 L PHP-CGM % | 3 P JAVA @ | 5 L JAVA % | 6 L NS % ")</f>
        <v xml:space="preserve">| 1 L NS % | 2 L PHP-CGM % | 3 P JAVA @ | 5 L JAVA % | 6 L NS % </v>
      </c>
      <c r="AK242" s="4" t="str">
        <f ca="1">IFERROR(__xludf.DUMMYFUNCTION("""COMPUTED_VALUE"""),"| 1 L CPT % | 3 P PRO @ | 2 L PHP-CGM % | 5 P NS @ ")</f>
        <v xml:space="preserve">| 1 L CPT % | 3 P PRO @ | 2 L PHP-CGM % | 5 P NS @ </v>
      </c>
      <c r="AL242" s="4" t="str">
        <f ca="1">IFERROR(__xludf.DUMMYFUNCTION("""COMPUTED_VALUE"""),"| 1 L CPT % | 2 L PHP-CGM % | 5 P CPT % ")</f>
        <v xml:space="preserve">| 1 L CPT % | 2 L PHP-CGM % | 5 P CPT % </v>
      </c>
      <c r="AM242" s="4" t="str">
        <f ca="1">IFERROR(__xludf.DUMMYFUNCTION("""COMPUTED_VALUE"""),"| 2 L JAVA @ | 3 P JAVA @ | 1 L NS @ | 5 P Python @ ")</f>
        <v xml:space="preserve">| 2 L JAVA @ | 3 P JAVA @ | 1 L NS @ | 5 P Python @ </v>
      </c>
      <c r="AN242" s="4" t="str">
        <f ca="1">IFERROR(__xludf.DUMMYFUNCTION("""COMPUTED_VALUE"""),"| 1 L CPT % | 2 L JAVA % | 3 P PHP-CGM % | 5 L INE @ ")</f>
        <v xml:space="preserve">| 1 L CPT % | 2 L JAVA % | 3 P PHP-CGM % | 5 L INE @ </v>
      </c>
      <c r="AO242" s="4" t="str">
        <f ca="1">IFERROR(__xludf.DUMMYFUNCTION("""COMPUTED_VALUE"""),"| 1 L NS @ | 2 L PHP-CGM % | 3 P JAVA @ | 5 L NS @ | 5 L JAVA @ ")</f>
        <v xml:space="preserve">| 1 L NS @ | 2 L PHP-CGM % | 3 P JAVA @ | 5 L NS @ | 5 L JAVA @ </v>
      </c>
      <c r="AP242" s="4" t="str">
        <f ca="1">IFERROR(__xludf.DUMMYFUNCTION("""COMPUTED_VALUE"""),"| 1 L CPT % | 2 L PHP-CGM % | 3 P PRO % | 5 P NS % ")</f>
        <v xml:space="preserve">| 1 L CPT % | 2 L PHP-CGM % | 3 P PRO % | 5 P NS % </v>
      </c>
      <c r="AQ242" s="4" t="str">
        <f ca="1">IFERROR(__xludf.DUMMYFUNCTION("""COMPUTED_VALUE"""),"| 2 L PHP-CGM @ | 3 P Python @ | 1 L NS @ | 5 P CPT % ")</f>
        <v xml:space="preserve">| 2 L PHP-CGM @ | 3 P Python @ | 1 L NS @ | 5 P CPT % </v>
      </c>
      <c r="AR242" s="4" t="str">
        <f ca="1">IFERROR(__xludf.DUMMYFUNCTION("""COMPUTED_VALUE"""),"| 1 L CPT % | 2 L JAVA % | 3 P JAVA % | 5 P Python % ")</f>
        <v xml:space="preserve">| 1 L CPT % | 2 L JAVA % | 3 P JAVA % | 5 P Python % </v>
      </c>
      <c r="AS24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42" s="4" t="str">
        <f ca="1">IFERROR(__xludf.DUMMYFUNCTION("""COMPUTED_VALUE"""),"| 1 L CPT % | 2 L PHP-CGM % | 3 P PRO % | 5 P NS % ")</f>
        <v xml:space="preserve">| 1 L CPT % | 2 L PHP-CGM % | 3 P PRO % | 5 P NS % </v>
      </c>
      <c r="AU242" s="4" t="str">
        <f ca="1">IFERROR(__xludf.DUMMYFUNCTION("""COMPUTED_VALUE"""),"| 1 L NS % | 2 L PHP-CGM % | 3 P Python % | 5 P CPT % ")</f>
        <v xml:space="preserve">| 1 L NS % | 2 L PHP-CGM % | 3 P Python % | 5 P CPT % </v>
      </c>
      <c r="AV242" s="4" t="str">
        <f ca="1">IFERROR(__xludf.DUMMYFUNCTION("""COMPUTED_VALUE"""),"| 1 L CPT % | 2 L JAVA % | 3 P JAVA % | 5 P PRO % ")</f>
        <v xml:space="preserve">| 1 L CPT % | 2 L JAVA % | 3 P JAVA % | 5 P PRO % </v>
      </c>
      <c r="AW242" s="4" t="str">
        <f ca="1">IFERROR(__xludf.DUMMYFUNCTION("""COMPUTED_VALUE"""),"| 1 L CPT @ | 2 L JAVA @ | 3 P PHP-CGM @ | 5 L INE @ | 6 L INE @ ")</f>
        <v xml:space="preserve">| 1 L CPT @ | 2 L JAVA @ | 3 P PHP-CGM @ | 5 L INE @ | 6 L INE @ </v>
      </c>
      <c r="AX242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Y242" s="4" t="str">
        <f ca="1">IFERROR(__xludf.DUMMYFUNCTION("""COMPUTED_VALUE"""),"| 1 L CPT @ | 2 L PHP-CGM @ | 3 P PRO % | 5 P NS @ ")</f>
        <v xml:space="preserve">| 1 L CPT @ | 2 L PHP-CGM @ | 3 P PRO % | 5 P NS @ </v>
      </c>
      <c r="AZ242" s="4" t="str">
        <f ca="1">IFERROR(__xludf.DUMMYFUNCTION("""COMPUTED_VALUE"""),"| 1 L CPT % | 2 L JAVA % | 3 P JAVA % | 5 P Python @ ")</f>
        <v xml:space="preserve">| 1 L CPT % | 2 L JAVA % | 3 P JAVA % | 5 P Python @ </v>
      </c>
      <c r="BA242" s="4" t="str">
        <f ca="1">IFERROR(__xludf.DUMMYFUNCTION("""COMPUTED_VALUE"""),"| 1 L CPT % | 2 L JAVA % | 3 P PHP-CGM @ | 5 L INE @ ")</f>
        <v xml:space="preserve">| 1 L CPT % | 2 L JAVA % | 3 P PHP-CGM @ | 5 L INE @ </v>
      </c>
      <c r="BB24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2" s="4" t="str">
        <f ca="1">IFERROR(__xludf.DUMMYFUNCTION("""COMPUTED_VALUE"""),"| 1 L CPT % | 2 L PHP-CGM % | 3 P PRO % | 5 P NS % ")</f>
        <v xml:space="preserve">| 1 L CPT % | 2 L PHP-CGM % | 3 P PRO % | 5 P NS % </v>
      </c>
      <c r="BD242" s="4" t="str">
        <f ca="1">IFERROR(__xludf.DUMMYFUNCTION("""COMPUTED_VALUE"""),"| 1 L NS % | 2 L PHP-CGM % | 3 P Python % | 5 P CPT % ")</f>
        <v xml:space="preserve">| 1 L NS % | 2 L PHP-CGM % | 3 P Python % | 5 P CPT % </v>
      </c>
      <c r="BE242" s="4" t="str">
        <f ca="1">IFERROR(__xludf.DUMMYFUNCTION("""COMPUTED_VALUE"""),"| 1 L CPT % | 2 L JAVA % | 5 P Python % ")</f>
        <v xml:space="preserve">| 1 L CPT % | 2 L JAVA % | 5 P Python % </v>
      </c>
      <c r="BF242" s="4" t="str">
        <f ca="1">IFERROR(__xludf.DUMMYFUNCTION("""COMPUTED_VALUE"""),"| 1 L CPT % | 2 L JAVA % | 3 P PHP-CGM % ")</f>
        <v xml:space="preserve">| 1 L CPT % | 2 L JAVA % | 3 P PHP-CGM % </v>
      </c>
      <c r="BG242" s="4" t="str">
        <f ca="1">IFERROR(__xludf.DUMMYFUNCTION("""COMPUTED_VALUE"""),"| 2 L PHP-CGM % | 1 L CPT % | 3 P PRO % | 5 P NS % ")</f>
        <v xml:space="preserve">| 2 L PHP-CGM % | 1 L CPT % | 3 P PRO % | 5 P NS % </v>
      </c>
      <c r="BH242" s="4" t="str">
        <f ca="1">IFERROR(__xludf.DUMMYFUNCTION("""COMPUTED_VALUE"""),"| 1 L NS % | 2 L PHP-CGM % | 3 P Python % | 5 P CPT % ")</f>
        <v xml:space="preserve">| 1 L NS % | 2 L PHP-CGM % | 3 P Python % | 5 P CPT % </v>
      </c>
      <c r="BI242" s="4" t="str">
        <f ca="1">IFERROR(__xludf.DUMMYFUNCTION("""COMPUTED_VALUE"""),"| 1 L CPT % | 2 L JAVA % | 3 P JAVA % | 5 P PRO % ")</f>
        <v xml:space="preserve">| 1 L CPT % | 2 L JAVA % | 3 P JAVA % | 5 P PRO % </v>
      </c>
      <c r="BJ242" s="4" t="str">
        <f ca="1">IFERROR(__xludf.DUMMYFUNCTION("""COMPUTED_VALUE"""),"| 1 L CPT % | 2 L JAVA % | 3 P PHP-CGM % | 5 L INE % ")</f>
        <v xml:space="preserve">| 1 L CPT % | 2 L JAVA % | 3 P PHP-CGM % | 5 L INE % </v>
      </c>
      <c r="BK242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42" s="4" t="str">
        <f ca="1">IFERROR(__xludf.DUMMYFUNCTION("""COMPUTED_VALUE"""),"| 1 L CPT @ | 2 L PHP-CGM @ | 3 P PRO @ | 5 P NS @ ")</f>
        <v xml:space="preserve">| 1 L CPT @ | 2 L PHP-CGM @ | 3 P PRO @ | 5 P NS @ </v>
      </c>
      <c r="BM242" s="4" t="str">
        <f ca="1">IFERROR(__xludf.DUMMYFUNCTION("""COMPUTED_VALUE"""),"| 1 L NS @ | 2 L PHP-CGM @ | 3 P Python @ | 5 P CPT @ ")</f>
        <v xml:space="preserve">| 1 L NS @ | 2 L PHP-CGM @ | 3 P Python @ | 5 P CPT @ </v>
      </c>
      <c r="BN242" s="4" t="str">
        <f ca="1">IFERROR(__xludf.DUMMYFUNCTION("""COMPUTED_VALUE"""),"| 2 L JAVA @ | 1 L CPT @ | 3 P JAVA @ | 5 P PRO @ ")</f>
        <v xml:space="preserve">| 2 L JAVA @ | 1 L CPT @ | 3 P JAVA @ | 5 P PRO @ </v>
      </c>
      <c r="BO242" s="4" t="str">
        <f ca="1">IFERROR(__xludf.DUMMYFUNCTION("""COMPUTED_VALUE"""),"| 2 L JAVA @ | 1 L CPT @ | 3 P PHP-CGM @ | 5 L INE @ ")</f>
        <v xml:space="preserve">| 2 L JAVA @ | 1 L CPT @ | 3 P PHP-CGM @ | 5 L INE @ </v>
      </c>
      <c r="BP242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42" s="4"/>
      <c r="BR242" s="4"/>
      <c r="BS242" s="4"/>
      <c r="BT242" s="4" t="str">
        <f ca="1">IFERROR(__xludf.DUMMYFUNCTION("""COMPUTED_VALUE"""),"| 1 L NS @ | 2 L PHP-CGM @ | 3 P JAVA @ ")</f>
        <v xml:space="preserve">| 1 L NS @ | 2 L PHP-CGM @ | 3 P JAVA @ </v>
      </c>
      <c r="BU242" s="4" t="str">
        <f ca="1">IFERROR(__xludf.DUMMYFUNCTION("""COMPUTED_VALUE"""),"| 1 L CPT @ ")</f>
        <v xml:space="preserve">| 1 L CPT @ </v>
      </c>
      <c r="BV242" s="4" t="str">
        <f ca="1">IFERROR(__xludf.DUMMYFUNCTION("""COMPUTED_VALUE"""),"| 1 L NS @ | 2 L PHP-CGM @ | 3 P JAVA % | 6 L JAVA @ ")</f>
        <v xml:space="preserve">| 1 L NS @ | 2 L PHP-CGM @ | 3 P JAVA % | 6 L JAVA @ </v>
      </c>
      <c r="BW242" s="4" t="str">
        <f ca="1">IFERROR(__xludf.DUMMYFUNCTION("""COMPUTED_VALUE"""),"| 1 L CPT @ | 2 L PHP-CGM @ | 3 P PRO @ ")</f>
        <v xml:space="preserve">| 1 L CPT @ | 2 L PHP-CGM @ | 3 P PRO @ </v>
      </c>
      <c r="BX242" s="4" t="str">
        <f ca="1">IFERROR(__xludf.DUMMYFUNCTION("""COMPUTED_VALUE"""),"| 1 L NS @ | 2 L PHP-CGM @ | 3 P Python @ | 5 P CPT @ ")</f>
        <v xml:space="preserve">| 1 L NS @ | 2 L PHP-CGM @ | 3 P Python @ | 5 P CPT @ </v>
      </c>
      <c r="BY242" s="4" t="str">
        <f ca="1">IFERROR(__xludf.DUMMYFUNCTION("""COMPUTED_VALUE"""),"| 1 L CPT % | 2 L JAVA % | 3 P JAVA % | 5 P Python @ ")</f>
        <v xml:space="preserve">| 1 L CPT % | 2 L JAVA % | 3 P JAVA % | 5 P Python @ </v>
      </c>
      <c r="BZ242" s="4" t="str">
        <f ca="1">IFERROR(__xludf.DUMMYFUNCTION("""COMPUTED_VALUE"""),"| 1 L CPT @ | 2 L JAVA @ | 3 P PHP-CGM @ | 5 L INE % ")</f>
        <v xml:space="preserve">| 1 L CPT @ | 2 L JAVA @ | 3 P PHP-CGM @ | 5 L INE % </v>
      </c>
      <c r="CA242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42" s="4" t="str">
        <f ca="1">IFERROR(__xludf.DUMMYFUNCTION("""COMPUTED_VALUE"""),"| 2 L PHP-CGM @ | 3 P PRO @ | 5 P NS @ | 1 L CPT @ ")</f>
        <v xml:space="preserve">| 2 L PHP-CGM @ | 3 P PRO @ | 5 P NS @ | 1 L CPT @ </v>
      </c>
      <c r="CC242" s="4" t="str">
        <f ca="1">IFERROR(__xludf.DUMMYFUNCTION("""COMPUTED_VALUE"""),"| 1 L NS @ | 2 L PHP-CGM @ | 3 P Python % | 5 P CPT @ ")</f>
        <v xml:space="preserve">| 1 L NS @ | 2 L PHP-CGM @ | 3 P Python % | 5 P CPT @ </v>
      </c>
      <c r="CD242" s="4" t="str">
        <f ca="1">IFERROR(__xludf.DUMMYFUNCTION("""COMPUTED_VALUE"""),"| 1 L CPT @ | 2 L JAVA @ | 3 P JAVA @ | 5 P Python % ")</f>
        <v xml:space="preserve">| 1 L CPT @ | 2 L JAVA @ | 3 P JAVA @ | 5 P Python % </v>
      </c>
      <c r="CE242" s="4" t="str">
        <f ca="1">IFERROR(__xludf.DUMMYFUNCTION("""COMPUTED_VALUE"""),"| 1 L CPT @ | 2 L JAVA @ | 3 P PHP-CGM @ | 5 L INE % ")</f>
        <v xml:space="preserve">| 1 L CPT @ | 2 L JAVA @ | 3 P PHP-CGM @ | 5 L INE % </v>
      </c>
      <c r="CF242" s="4" t="str">
        <f ca="1">IFERROR(__xludf.DUMMYFUNCTION("""COMPUTED_VALUE"""),"| 1 L NS @ | 2 L PHP-CGM @ | 3 P JAVA % | 5 L NS @ | 6 L JAVA % ")</f>
        <v xml:space="preserve">| 1 L NS @ | 2 L PHP-CGM @ | 3 P JAVA % | 5 L NS @ | 6 L JAVA % </v>
      </c>
      <c r="CG242" s="4" t="str">
        <f ca="1">IFERROR(__xludf.DUMMYFUNCTION("""COMPUTED_VALUE"""),"| 1 L CPT @ | 2 L PHP-CGM @ | 5 P NS @ ")</f>
        <v xml:space="preserve">| 1 L CPT @ | 2 L PHP-CGM @ | 5 P NS @ </v>
      </c>
      <c r="CH242" s="4" t="str">
        <f ca="1">IFERROR(__xludf.DUMMYFUNCTION("""COMPUTED_VALUE"""),"| 1 L NS @ | 2 L PHP-CGM @ ")</f>
        <v xml:space="preserve">| 1 L NS @ | 2 L PHP-CGM @ </v>
      </c>
      <c r="CI242" s="4" t="str">
        <f ca="1">IFERROR(__xludf.DUMMYFUNCTION("""COMPUTED_VALUE"""),"| 1 L CPT @ | 2 L JAVA @ | 3 P JAVA @ ")</f>
        <v xml:space="preserve">| 1 L CPT @ | 2 L JAVA @ | 3 P JAVA @ </v>
      </c>
      <c r="CJ242" s="4" t="str">
        <f ca="1">IFERROR(__xludf.DUMMYFUNCTION("""COMPUTED_VALUE"""),"| 1 L CPT @ | 3 P PHP-CGM % ")</f>
        <v xml:space="preserve">| 1 L CPT @ | 3 P PHP-CGM % </v>
      </c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</row>
    <row r="243" spans="1:102" ht="12.5" x14ac:dyDescent="0.25">
      <c r="A243" s="3">
        <f ca="1">IFERROR(__xludf.DUMMYFUNCTION("""COMPUTED_VALUE"""),4)</f>
        <v>4</v>
      </c>
      <c r="B243" s="3" t="str">
        <f ca="1">IFERROR(__xludf.DUMMYFUNCTION("""COMPUTED_VALUE"""),"C")</f>
        <v>C</v>
      </c>
      <c r="C243" s="32" t="str">
        <f ca="1">IFERROR(__xludf.DUMMYFUNCTION("""COMPUTED_VALUE"""),"23171341180")</f>
        <v>23171341180</v>
      </c>
      <c r="D243" s="4" t="str">
        <f ca="1">IFERROR(__xludf.DUMMYFUNCTION("""COMPUTED_VALUE"""),"SHAH VED SHASHIKANT")</f>
        <v>SHAH VED SHASHIKANT</v>
      </c>
      <c r="E243" s="3" t="str">
        <f ca="1">IFERROR(__xludf.DUMMYFUNCTION("""COMPUTED_VALUE"""),"PKN/PAP-Mor")</f>
        <v>PKN/PAP-Mor</v>
      </c>
      <c r="F243" s="3">
        <f ca="1">IFERROR(__xludf.DUMMYFUNCTION("""COMPUTED_VALUE"""),6352003794)</f>
        <v>6352003794</v>
      </c>
      <c r="G243" s="3">
        <f ca="1">IFERROR(__xludf.DUMMYFUNCTION("""COMPUTED_VALUE"""),9427362349)</f>
        <v>9427362349</v>
      </c>
      <c r="H243" s="33">
        <f ca="1">IFERROR(__xludf.DUMMYFUNCTION("""COMPUTED_VALUE"""),0.633744855967078)</f>
        <v>0.63374485596707797</v>
      </c>
      <c r="I243" s="25">
        <f ca="1">IFERROR(__xludf.DUMMYFUNCTION("""COMPUTED_VALUE"""),0.578947368421052)</f>
        <v>0.57894736842105199</v>
      </c>
      <c r="J243" s="25">
        <f ca="1">IFERROR(__xludf.DUMMYFUNCTION("""COMPUTED_VALUE"""),0.8)</f>
        <v>0.8</v>
      </c>
      <c r="K243" s="25">
        <f ca="1">IFERROR(__xludf.DUMMYFUNCTION("""COMPUTED_VALUE"""),0.416666666666666)</f>
        <v>0.41666666666666602</v>
      </c>
      <c r="L243" s="25">
        <f ca="1">IFERROR(__xludf.DUMMYFUNCTION("""COMPUTED_VALUE"""),0.818181818181818)</f>
        <v>0.81818181818181801</v>
      </c>
      <c r="M243" s="25">
        <f ca="1">IFERROR(__xludf.DUMMYFUNCTION("""COMPUTED_VALUE"""),0.638888888888888)</f>
        <v>0.63888888888888795</v>
      </c>
      <c r="N243" s="25">
        <f ca="1">IFERROR(__xludf.DUMMYFUNCTION("""COMPUTED_VALUE"""),0.833333333333333)</f>
        <v>0.83333333333333304</v>
      </c>
      <c r="O243" s="25">
        <f ca="1">IFERROR(__xludf.DUMMYFUNCTION("""COMPUTED_VALUE"""),0.542857142857142)</f>
        <v>0.54285714285714204</v>
      </c>
      <c r="P243" s="25">
        <f ca="1">IFERROR(__xludf.DUMMYFUNCTION("""COMPUTED_VALUE"""),0.64)</f>
        <v>0.64</v>
      </c>
      <c r="Q243" s="25">
        <f ca="1">IFERROR(__xludf.DUMMYFUNCTION("""COMPUTED_VALUE"""),0)</f>
        <v>0</v>
      </c>
      <c r="R243" s="25">
        <f ca="1">IFERROR(__xludf.DUMMYFUNCTION("""COMPUTED_VALUE"""),0.823529411764705)</f>
        <v>0.82352941176470495</v>
      </c>
      <c r="S243" s="25">
        <f ca="1">IFERROR(__xludf.DUMMYFUNCTION("""COMPUTED_VALUE"""),0)</f>
        <v>0</v>
      </c>
      <c r="T243" s="25">
        <f ca="1">IFERROR(__xludf.DUMMYFUNCTION("""COMPUTED_VALUE"""),0.8)</f>
        <v>0.8</v>
      </c>
      <c r="U243" s="25">
        <f ca="1">IFERROR(__xludf.DUMMYFUNCTION("""COMPUTED_VALUE"""),0.75)</f>
        <v>0.75</v>
      </c>
      <c r="V243" s="25">
        <f ca="1">IFERROR(__xludf.DUMMYFUNCTION("""COMPUTED_VALUE"""),0)</f>
        <v>0</v>
      </c>
      <c r="W243" s="4"/>
      <c r="X243" s="4" t="str">
        <f ca="1">IFERROR(__xludf.DUMMYFUNCTION("""COMPUTED_VALUE"""),"| 1 L NS @ | 2 L PHP-CGM % | 3 P JAVA @ | 5 L JAVA @ | 6 L NS @ ")</f>
        <v xml:space="preserve">| 1 L NS @ | 2 L PHP-CGM % | 3 P JAVA @ | 5 L JAVA @ | 6 L NS @ </v>
      </c>
      <c r="Y243" s="4" t="str">
        <f ca="1">IFERROR(__xludf.DUMMYFUNCTION("""COMPUTED_VALUE"""),"| 1 L CPT % | 5 L PHP-CGM % | 3 P PRO % | 5 P NS % ")</f>
        <v xml:space="preserve">| 1 L CPT % | 5 L PHP-CGM % | 3 P PRO % | 5 P NS % </v>
      </c>
      <c r="Z243" s="4" t="str">
        <f ca="1">IFERROR(__xludf.DUMMYFUNCTION("""COMPUTED_VALUE"""),"| 1 L CPT @ | 2 L PHP-CGM % | 3 P Python @ | 5 P CPT @ ")</f>
        <v xml:space="preserve">| 1 L CPT @ | 2 L PHP-CGM % | 3 P Python @ | 5 P CPT @ </v>
      </c>
      <c r="AA243" s="4" t="str">
        <f ca="1">IFERROR(__xludf.DUMMYFUNCTION("""COMPUTED_VALUE"""),"| 1 L NS @ | 2 L JAVA @ | 3 P JAVA % | 5 P PRO % ")</f>
        <v xml:space="preserve">| 1 L NS @ | 2 L JAVA @ | 3 P JAVA % | 5 P PRO % </v>
      </c>
      <c r="AB243" s="4" t="str">
        <f ca="1">IFERROR(__xludf.DUMMYFUNCTION("""COMPUTED_VALUE"""),"| 1 L CPT % | 2 L JAVA % | 3 P PHP-CGM % ")</f>
        <v xml:space="preserve">| 1 L CPT % | 2 L JAVA % | 3 P PHP-CGM % </v>
      </c>
      <c r="AC24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43" s="4" t="str">
        <f ca="1">IFERROR(__xludf.DUMMYFUNCTION("""COMPUTED_VALUE"""),"| 1 L CPT % | 2 L PHP-CGM % | 3 P PRO % | 5 P NS % ")</f>
        <v xml:space="preserve">| 1 L CPT % | 2 L PHP-CGM % | 3 P PRO % | 5 P NS % </v>
      </c>
      <c r="AE243" s="4" t="str">
        <f ca="1">IFERROR(__xludf.DUMMYFUNCTION("""COMPUTED_VALUE"""),"| 1 L CPT % | 3 P Python % | 5 P CPT % | 2 L PHP-CGM % ")</f>
        <v xml:space="preserve">| 1 L CPT % | 3 P Python % | 5 P CPT % | 2 L PHP-CGM % </v>
      </c>
      <c r="AF243" s="4" t="str">
        <f ca="1">IFERROR(__xludf.DUMMYFUNCTION("""COMPUTED_VALUE"""),"| 1 L NS % | 2 L CPT % | 3 P JAVA % | 5 P Python % ")</f>
        <v xml:space="preserve">| 1 L NS % | 2 L CPT % | 3 P JAVA % | 5 P Python % </v>
      </c>
      <c r="AG243" s="4" t="str">
        <f ca="1">IFERROR(__xludf.DUMMYFUNCTION("""COMPUTED_VALUE"""),"| 1 L CPT @ | 2 L JAVA % | 3 P PHP-CGM @ ")</f>
        <v xml:space="preserve">| 1 L CPT @ | 2 L JAVA % | 3 P PHP-CGM @ </v>
      </c>
      <c r="AH243" s="4" t="str">
        <f ca="1">IFERROR(__xludf.DUMMYFUNCTION("""COMPUTED_VALUE"""),"| 2 L JAVA % | 1 L NS % | 3 P JAVA % | 5 P Python % ")</f>
        <v xml:space="preserve">| 2 L JAVA % | 1 L NS % | 3 P JAVA % | 5 P Python % </v>
      </c>
      <c r="AI243" s="4" t="str">
        <f ca="1">IFERROR(__xludf.DUMMYFUNCTION("""COMPUTED_VALUE"""),"| 1 L CPT @ | 2 L JAVA @ | 3 P PHP-CGM @ ")</f>
        <v xml:space="preserve">| 1 L CPT @ | 2 L JAVA @ | 3 P PHP-CGM @ </v>
      </c>
      <c r="AJ243" s="4" t="str">
        <f ca="1">IFERROR(__xludf.DUMMYFUNCTION("""COMPUTED_VALUE"""),"| 1 L NS % | 2 L PHP-CGM % | 3 P JAVA % | 5 L JAVA % | 6 L NS @ ")</f>
        <v xml:space="preserve">| 1 L NS % | 2 L PHP-CGM % | 3 P JAVA % | 5 L JAVA % | 6 L NS @ </v>
      </c>
      <c r="AK243" s="4" t="str">
        <f ca="1">IFERROR(__xludf.DUMMYFUNCTION("""COMPUTED_VALUE"""),"| 1 L CPT @ | 3 P PRO @ | 2 L PHP-CGM @ | 5 P NS % ")</f>
        <v xml:space="preserve">| 1 L CPT @ | 3 P PRO @ | 2 L PHP-CGM @ | 5 P NS % </v>
      </c>
      <c r="AL243" s="4" t="str">
        <f ca="1">IFERROR(__xludf.DUMMYFUNCTION("""COMPUTED_VALUE"""),"| 1 L CPT % | 2 L PHP-CGM % | 5 P CPT % ")</f>
        <v xml:space="preserve">| 1 L CPT % | 2 L PHP-CGM % | 5 P CPT % </v>
      </c>
      <c r="AM243" s="4" t="str">
        <f ca="1">IFERROR(__xludf.DUMMYFUNCTION("""COMPUTED_VALUE"""),"| 2 L JAVA @ | 3 P JAVA % | 1 L NS @ | 5 P Python % ")</f>
        <v xml:space="preserve">| 2 L JAVA @ | 3 P JAVA % | 1 L NS @ | 5 P Python % </v>
      </c>
      <c r="AN243" s="4" t="str">
        <f ca="1">IFERROR(__xludf.DUMMYFUNCTION("""COMPUTED_VALUE"""),"| 1 L CPT % | 2 L JAVA % | 3 P PHP-CGM % | 5 L INE @ ")</f>
        <v xml:space="preserve">| 1 L CPT % | 2 L JAVA % | 3 P PHP-CGM % | 5 L INE @ </v>
      </c>
      <c r="AO243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43" s="4" t="str">
        <f ca="1">IFERROR(__xludf.DUMMYFUNCTION("""COMPUTED_VALUE"""),"| 1 L CPT @ | 2 L PHP-CGM % | 3 P PRO % | 5 P NS % ")</f>
        <v xml:space="preserve">| 1 L CPT @ | 2 L PHP-CGM % | 3 P PRO % | 5 P NS % </v>
      </c>
      <c r="AQ243" s="4" t="str">
        <f ca="1">IFERROR(__xludf.DUMMYFUNCTION("""COMPUTED_VALUE"""),"| 2 L PHP-CGM % | 3 P Python @ | 1 L NS % | 5 P CPT % ")</f>
        <v xml:space="preserve">| 2 L PHP-CGM % | 3 P Python @ | 1 L NS % | 5 P CPT % </v>
      </c>
      <c r="AR243" s="4" t="str">
        <f ca="1">IFERROR(__xludf.DUMMYFUNCTION("""COMPUTED_VALUE"""),"| 1 L CPT % | 2 L JAVA % | 3 P JAVA % | 5 P Python % ")</f>
        <v xml:space="preserve">| 1 L CPT % | 2 L JAVA % | 3 P JAVA % | 5 P Python % </v>
      </c>
      <c r="AS24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43" s="4" t="str">
        <f ca="1">IFERROR(__xludf.DUMMYFUNCTION("""COMPUTED_VALUE"""),"| 1 L CPT % | 2 L PHP-CGM % | 3 P PRO % | 5 P NS % ")</f>
        <v xml:space="preserve">| 1 L CPT % | 2 L PHP-CGM % | 3 P PRO % | 5 P NS % </v>
      </c>
      <c r="AU243" s="4" t="str">
        <f ca="1">IFERROR(__xludf.DUMMYFUNCTION("""COMPUTED_VALUE"""),"| 1 L NS % | 2 L PHP-CGM % | 3 P Python % | 5 P CPT % ")</f>
        <v xml:space="preserve">| 1 L NS % | 2 L PHP-CGM % | 3 P Python % | 5 P CPT % </v>
      </c>
      <c r="AV243" s="4" t="str">
        <f ca="1">IFERROR(__xludf.DUMMYFUNCTION("""COMPUTED_VALUE"""),"| 1 L CPT % | 2 L JAVA % | 3 P JAVA % | 5 P PRO % ")</f>
        <v xml:space="preserve">| 1 L CPT % | 2 L JAVA % | 3 P JAVA % | 5 P PRO % </v>
      </c>
      <c r="AW243" s="4" t="str">
        <f ca="1">IFERROR(__xludf.DUMMYFUNCTION("""COMPUTED_VALUE"""),"| 1 L CPT @ | 2 L JAVA @ | 3 P PHP-CGM % | 5 L INE % | 6 L INE % ")</f>
        <v xml:space="preserve">| 1 L CPT @ | 2 L JAVA @ | 3 P PHP-CGM % | 5 L INE % | 6 L INE % </v>
      </c>
      <c r="AX243" s="4" t="str">
        <f ca="1">IFERROR(__xludf.DUMMYFUNCTION("""COMPUTED_VALUE"""),"| 1 L NS @ | 2 L PHP-CGM % | 3 P JAVA @ | 5 L NS @ | 5 L JAVA @ ")</f>
        <v xml:space="preserve">| 1 L NS @ | 2 L PHP-CGM % | 3 P JAVA @ | 5 L NS @ | 5 L JAVA @ </v>
      </c>
      <c r="AY243" s="4" t="str">
        <f ca="1">IFERROR(__xludf.DUMMYFUNCTION("""COMPUTED_VALUE"""),"| 1 L CPT @ | 2 L PHP-CGM @ | 3 P PRO @ | 5 P NS @ ")</f>
        <v xml:space="preserve">| 1 L CPT @ | 2 L PHP-CGM @ | 3 P PRO @ | 5 P NS @ </v>
      </c>
      <c r="AZ243" s="4" t="str">
        <f ca="1">IFERROR(__xludf.DUMMYFUNCTION("""COMPUTED_VALUE"""),"| 1 L CPT % | 2 L JAVA % | 3 P JAVA % | 5 P Python % ")</f>
        <v xml:space="preserve">| 1 L CPT % | 2 L JAVA % | 3 P JAVA % | 5 P Python % </v>
      </c>
      <c r="BA243" s="4" t="str">
        <f ca="1">IFERROR(__xludf.DUMMYFUNCTION("""COMPUTED_VALUE"""),"| 1 L CPT % | 2 L JAVA % | 3 P PHP-CGM % | 5 L INE @ ")</f>
        <v xml:space="preserve">| 1 L CPT % | 2 L JAVA % | 3 P PHP-CGM % | 5 L INE @ </v>
      </c>
      <c r="BB243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3" s="4" t="str">
        <f ca="1">IFERROR(__xludf.DUMMYFUNCTION("""COMPUTED_VALUE"""),"| 1 L CPT % | 2 L PHP-CGM % | 3 P PRO % | 5 P NS % ")</f>
        <v xml:space="preserve">| 1 L CPT % | 2 L PHP-CGM % | 3 P PRO % | 5 P NS % </v>
      </c>
      <c r="BD243" s="4" t="str">
        <f ca="1">IFERROR(__xludf.DUMMYFUNCTION("""COMPUTED_VALUE"""),"| 1 L NS % | 2 L PHP-CGM % | 3 P Python % | 5 P CPT % ")</f>
        <v xml:space="preserve">| 1 L NS % | 2 L PHP-CGM % | 3 P Python % | 5 P CPT % </v>
      </c>
      <c r="BE243" s="4" t="str">
        <f ca="1">IFERROR(__xludf.DUMMYFUNCTION("""COMPUTED_VALUE"""),"| 1 L CPT % | 2 L JAVA % | 5 P Python % ")</f>
        <v xml:space="preserve">| 1 L CPT % | 2 L JAVA % | 5 P Python % </v>
      </c>
      <c r="BF243" s="4" t="str">
        <f ca="1">IFERROR(__xludf.DUMMYFUNCTION("""COMPUTED_VALUE"""),"| 1 L CPT @ | 2 L JAVA @ | 3 P PHP-CGM % ")</f>
        <v xml:space="preserve">| 1 L CPT @ | 2 L JAVA @ | 3 P PHP-CGM % </v>
      </c>
      <c r="BG243" s="4" t="str">
        <f ca="1">IFERROR(__xludf.DUMMYFUNCTION("""COMPUTED_VALUE"""),"| 2 L PHP-CGM % | 1 L CPT % | 3 P PRO % | 5 P NS % ")</f>
        <v xml:space="preserve">| 2 L PHP-CGM % | 1 L CPT % | 3 P PRO % | 5 P NS % </v>
      </c>
      <c r="BH243" s="4" t="str">
        <f ca="1">IFERROR(__xludf.DUMMYFUNCTION("""COMPUTED_VALUE"""),"| 1 L NS % | 2 L PHP-CGM % | 3 P Python % | 5 P CPT % ")</f>
        <v xml:space="preserve">| 1 L NS % | 2 L PHP-CGM % | 3 P Python % | 5 P CPT % </v>
      </c>
      <c r="BI243" s="4" t="str">
        <f ca="1">IFERROR(__xludf.DUMMYFUNCTION("""COMPUTED_VALUE"""),"| 1 L CPT % | 2 L JAVA % | 3 P JAVA % | 5 P PRO % ")</f>
        <v xml:space="preserve">| 1 L CPT % | 2 L JAVA % | 3 P JAVA % | 5 P PRO % </v>
      </c>
      <c r="BJ243" s="4" t="str">
        <f ca="1">IFERROR(__xludf.DUMMYFUNCTION("""COMPUTED_VALUE"""),"| 1 L CPT @ | 2 L JAVA @ | 3 P PHP-CGM % | 5 L INE % ")</f>
        <v xml:space="preserve">| 1 L CPT @ | 2 L JAVA @ | 3 P PHP-CGM % | 5 L INE % </v>
      </c>
      <c r="BK24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43" s="4" t="str">
        <f ca="1">IFERROR(__xludf.DUMMYFUNCTION("""COMPUTED_VALUE"""),"| 1 L CPT % | 2 L PHP-CGM % | 3 P PRO % | 5 P NS % ")</f>
        <v xml:space="preserve">| 1 L CPT % | 2 L PHP-CGM % | 3 P PRO % | 5 P NS % </v>
      </c>
      <c r="BM243" s="4" t="str">
        <f ca="1">IFERROR(__xludf.DUMMYFUNCTION("""COMPUTED_VALUE"""),"| 1 L NS @ | 2 L PHP-CGM @ | 3 P Python @ | 5 P CPT @ ")</f>
        <v xml:space="preserve">| 1 L NS @ | 2 L PHP-CGM @ | 3 P Python @ | 5 P CPT @ </v>
      </c>
      <c r="BN243" s="4" t="str">
        <f ca="1">IFERROR(__xludf.DUMMYFUNCTION("""COMPUTED_VALUE"""),"| 2 L JAVA % | 1 L CPT % | 3 P JAVA % | 5 P PRO % ")</f>
        <v xml:space="preserve">| 2 L JAVA % | 1 L CPT % | 3 P JAVA % | 5 P PRO % </v>
      </c>
      <c r="BO243" s="4" t="str">
        <f ca="1">IFERROR(__xludf.DUMMYFUNCTION("""COMPUTED_VALUE"""),"| 2 L JAVA % | 1 L CPT % | 3 P PHP-CGM % | 5 L INE % ")</f>
        <v xml:space="preserve">| 2 L JAVA % | 1 L CPT % | 3 P PHP-CGM % | 5 L INE % </v>
      </c>
      <c r="BP243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43" s="4"/>
      <c r="BR243" s="4"/>
      <c r="BS243" s="4"/>
      <c r="BT243" s="4" t="str">
        <f ca="1">IFERROR(__xludf.DUMMYFUNCTION("""COMPUTED_VALUE"""),"| 1 L NS @ | 2 L PHP-CGM @ | 3 P JAVA @ ")</f>
        <v xml:space="preserve">| 1 L NS @ | 2 L PHP-CGM @ | 3 P JAVA @ </v>
      </c>
      <c r="BU243" s="4" t="str">
        <f ca="1">IFERROR(__xludf.DUMMYFUNCTION("""COMPUTED_VALUE"""),"| 1 L CPT @ ")</f>
        <v xml:space="preserve">| 1 L CPT @ </v>
      </c>
      <c r="BV243" s="4" t="str">
        <f ca="1">IFERROR(__xludf.DUMMYFUNCTION("""COMPUTED_VALUE"""),"| 1 L NS @ | 2 L PHP-CGM @ | 3 P JAVA % | 6 L JAVA % ")</f>
        <v xml:space="preserve">| 1 L NS @ | 2 L PHP-CGM @ | 3 P JAVA % | 6 L JAVA % </v>
      </c>
      <c r="BW243" s="4" t="str">
        <f ca="1">IFERROR(__xludf.DUMMYFUNCTION("""COMPUTED_VALUE"""),"| 1 L CPT % | 2 L PHP-CGM % | 3 P PRO @ ")</f>
        <v xml:space="preserve">| 1 L CPT % | 2 L PHP-CGM % | 3 P PRO @ </v>
      </c>
      <c r="BX243" s="4" t="str">
        <f ca="1">IFERROR(__xludf.DUMMYFUNCTION("""COMPUTED_VALUE"""),"| 1 L NS % | 2 L PHP-CGM % | 3 P Python % | 5 P CPT % ")</f>
        <v xml:space="preserve">| 1 L NS % | 2 L PHP-CGM % | 3 P Python % | 5 P CPT % </v>
      </c>
      <c r="BY243" s="4" t="str">
        <f ca="1">IFERROR(__xludf.DUMMYFUNCTION("""COMPUTED_VALUE"""),"| 1 L CPT % | 2 L JAVA % | 3 P JAVA % | 5 P Python % ")</f>
        <v xml:space="preserve">| 1 L CPT % | 2 L JAVA % | 3 P JAVA % | 5 P Python % </v>
      </c>
      <c r="BZ243" s="4" t="str">
        <f ca="1">IFERROR(__xludf.DUMMYFUNCTION("""COMPUTED_VALUE"""),"| 1 L CPT @ | 2 L JAVA @ | 3 P PHP-CGM % | 5 L INE % ")</f>
        <v xml:space="preserve">| 1 L CPT @ | 2 L JAVA @ | 3 P PHP-CGM % | 5 L INE % </v>
      </c>
      <c r="CA24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43" s="4" t="str">
        <f ca="1">IFERROR(__xludf.DUMMYFUNCTION("""COMPUTED_VALUE"""),"| 2 L PHP-CGM @ | 3 P PRO % | 5 P NS @ | 1 L CPT @ ")</f>
        <v xml:space="preserve">| 2 L PHP-CGM @ | 3 P PRO % | 5 P NS @ | 1 L CPT @ </v>
      </c>
      <c r="CC243" s="4" t="str">
        <f ca="1">IFERROR(__xludf.DUMMYFUNCTION("""COMPUTED_VALUE"""),"| 1 L NS @ | 2 L PHP-CGM @ | 3 P Python % | 5 P CPT % ")</f>
        <v xml:space="preserve">| 1 L NS @ | 2 L PHP-CGM @ | 3 P Python % | 5 P CPT % </v>
      </c>
      <c r="CD243" s="4" t="str">
        <f ca="1">IFERROR(__xludf.DUMMYFUNCTION("""COMPUTED_VALUE"""),"| 1 L CPT @ | 2 L JAVA @ | 3 P JAVA @ | 5 P Python % ")</f>
        <v xml:space="preserve">| 1 L CPT @ | 2 L JAVA @ | 3 P JAVA @ | 5 P Python % </v>
      </c>
      <c r="CE243" s="4" t="str">
        <f ca="1">IFERROR(__xludf.DUMMYFUNCTION("""COMPUTED_VALUE"""),"| 1 L CPT % | 2 L JAVA % | 3 P PHP-CGM % | 5 L INE % ")</f>
        <v xml:space="preserve">| 1 L CPT % | 2 L JAVA % | 3 P PHP-CGM % | 5 L INE % </v>
      </c>
      <c r="CF243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43" s="4" t="str">
        <f ca="1">IFERROR(__xludf.DUMMYFUNCTION("""COMPUTED_VALUE"""),"| 1 L CPT @ | 2 L PHP-CGM @ | 5 P NS % ")</f>
        <v xml:space="preserve">| 1 L CPT @ | 2 L PHP-CGM @ | 5 P NS % </v>
      </c>
      <c r="CH243" s="4" t="str">
        <f ca="1">IFERROR(__xludf.DUMMYFUNCTION("""COMPUTED_VALUE"""),"| 1 L NS @ | 2 L PHP-CGM @ ")</f>
        <v xml:space="preserve">| 1 L NS @ | 2 L PHP-CGM @ </v>
      </c>
      <c r="CI243" s="4" t="str">
        <f ca="1">IFERROR(__xludf.DUMMYFUNCTION("""COMPUTED_VALUE"""),"| 1 L CPT @ | 2 L JAVA @ | 3 P JAVA @ ")</f>
        <v xml:space="preserve">| 1 L CPT @ | 2 L JAVA @ | 3 P JAVA @ </v>
      </c>
      <c r="CJ243" s="4" t="str">
        <f ca="1">IFERROR(__xludf.DUMMYFUNCTION("""COMPUTED_VALUE"""),"| 1 L CPT @ | 3 P PHP-CGM % ")</f>
        <v xml:space="preserve">| 1 L CPT @ | 3 P PHP-CGM % </v>
      </c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</row>
    <row r="244" spans="1:102" ht="12.5" x14ac:dyDescent="0.25">
      <c r="A244" s="3">
        <f ca="1">IFERROR(__xludf.DUMMYFUNCTION("""COMPUTED_VALUE"""),4)</f>
        <v>4</v>
      </c>
      <c r="B244" s="3" t="str">
        <f ca="1">IFERROR(__xludf.DUMMYFUNCTION("""COMPUTED_VALUE"""),"C")</f>
        <v>C</v>
      </c>
      <c r="C244" s="32" t="str">
        <f ca="1">IFERROR(__xludf.DUMMYFUNCTION("""COMPUTED_VALUE"""),"23171341181")</f>
        <v>23171341181</v>
      </c>
      <c r="D244" s="4" t="str">
        <f ca="1">IFERROR(__xludf.DUMMYFUNCTION("""COMPUTED_VALUE"""),"SHIHORA DIP BHARATBHAI")</f>
        <v>SHIHORA DIP BHARATBHAI</v>
      </c>
      <c r="E244" s="3" t="str">
        <f ca="1">IFERROR(__xludf.DUMMYFUNCTION("""COMPUTED_VALUE"""),"PKN/PAP-Mor")</f>
        <v>PKN/PAP-Mor</v>
      </c>
      <c r="F244" s="3">
        <f ca="1">IFERROR(__xludf.DUMMYFUNCTION("""COMPUTED_VALUE"""),9510680010)</f>
        <v>9510680010</v>
      </c>
      <c r="G244" s="3">
        <f ca="1">IFERROR(__xludf.DUMMYFUNCTION("""COMPUTED_VALUE"""),9427226944)</f>
        <v>9427226944</v>
      </c>
      <c r="H244" s="33">
        <f ca="1">IFERROR(__xludf.DUMMYFUNCTION("""COMPUTED_VALUE"""),0.584362139917695)</f>
        <v>0.58436213991769503</v>
      </c>
      <c r="I244" s="25">
        <f ca="1">IFERROR(__xludf.DUMMYFUNCTION("""COMPUTED_VALUE"""),0.526315789473684)</f>
        <v>0.52631578947368396</v>
      </c>
      <c r="J244" s="25">
        <f ca="1">IFERROR(__xludf.DUMMYFUNCTION("""COMPUTED_VALUE"""),0.6)</f>
        <v>0.6</v>
      </c>
      <c r="K244" s="25">
        <f ca="1">IFERROR(__xludf.DUMMYFUNCTION("""COMPUTED_VALUE"""),0.5)</f>
        <v>0.5</v>
      </c>
      <c r="L244" s="25">
        <f ca="1">IFERROR(__xludf.DUMMYFUNCTION("""COMPUTED_VALUE"""),0.636363636363636)</f>
        <v>0.63636363636363602</v>
      </c>
      <c r="M244" s="25">
        <f ca="1">IFERROR(__xludf.DUMMYFUNCTION("""COMPUTED_VALUE"""),0.444444444444444)</f>
        <v>0.44444444444444398</v>
      </c>
      <c r="N244" s="25">
        <f ca="1">IFERROR(__xludf.DUMMYFUNCTION("""COMPUTED_VALUE"""),0.5)</f>
        <v>0.5</v>
      </c>
      <c r="O244" s="25">
        <f ca="1">IFERROR(__xludf.DUMMYFUNCTION("""COMPUTED_VALUE"""),0.685714285714285)</f>
        <v>0.68571428571428505</v>
      </c>
      <c r="P244" s="25">
        <f ca="1">IFERROR(__xludf.DUMMYFUNCTION("""COMPUTED_VALUE"""),0.6)</f>
        <v>0.6</v>
      </c>
      <c r="Q244" s="25">
        <f ca="1">IFERROR(__xludf.DUMMYFUNCTION("""COMPUTED_VALUE"""),0)</f>
        <v>0</v>
      </c>
      <c r="R244" s="25">
        <f ca="1">IFERROR(__xludf.DUMMYFUNCTION("""COMPUTED_VALUE"""),0.823529411764705)</f>
        <v>0.82352941176470495</v>
      </c>
      <c r="S244" s="25">
        <f ca="1">IFERROR(__xludf.DUMMYFUNCTION("""COMPUTED_VALUE"""),0)</f>
        <v>0</v>
      </c>
      <c r="T244" s="25">
        <f ca="1">IFERROR(__xludf.DUMMYFUNCTION("""COMPUTED_VALUE"""),0.733333333333333)</f>
        <v>0.73333333333333295</v>
      </c>
      <c r="U244" s="25">
        <f ca="1">IFERROR(__xludf.DUMMYFUNCTION("""COMPUTED_VALUE"""),0.625)</f>
        <v>0.625</v>
      </c>
      <c r="V244" s="25">
        <f ca="1">IFERROR(__xludf.DUMMYFUNCTION("""COMPUTED_VALUE"""),0)</f>
        <v>0</v>
      </c>
      <c r="W244" s="4"/>
      <c r="X244" s="4" t="str">
        <f ca="1">IFERROR(__xludf.DUMMYFUNCTION("""COMPUTED_VALUE"""),"| 1 L NS % | 2 L PHP-CGM % | 3 P JAVA @ | 5 L JAVA % | 6 L NS % ")</f>
        <v xml:space="preserve">| 1 L NS % | 2 L PHP-CGM % | 3 P JAVA @ | 5 L JAVA % | 6 L NS % </v>
      </c>
      <c r="Y244" s="4" t="str">
        <f ca="1">IFERROR(__xludf.DUMMYFUNCTION("""COMPUTED_VALUE"""),"| 1 L CPT % | 5 L PHP-CGM % | 3 P PRO % | 5 P NS % ")</f>
        <v xml:space="preserve">| 1 L CPT % | 5 L PHP-CGM % | 3 P PRO % | 5 P NS % </v>
      </c>
      <c r="Z244" s="4" t="str">
        <f ca="1">IFERROR(__xludf.DUMMYFUNCTION("""COMPUTED_VALUE"""),"| 1 L CPT % | 2 L PHP-CGM % | 3 P Python % | 5 P CPT @ ")</f>
        <v xml:space="preserve">| 1 L CPT % | 2 L PHP-CGM % | 3 P Python % | 5 P CPT @ </v>
      </c>
      <c r="AA244" s="4" t="str">
        <f ca="1">IFERROR(__xludf.DUMMYFUNCTION("""COMPUTED_VALUE"""),"| 1 L NS % | 2 L JAVA % | 3 P JAVA % | 5 P PRO % ")</f>
        <v xml:space="preserve">| 1 L NS % | 2 L JAVA % | 3 P JAVA % | 5 P PRO % </v>
      </c>
      <c r="AB244" s="4" t="str">
        <f ca="1">IFERROR(__xludf.DUMMYFUNCTION("""COMPUTED_VALUE"""),"| 1 L CPT @ | 2 L JAVA @ | 3 P PHP-CGM @ ")</f>
        <v xml:space="preserve">| 1 L CPT @ | 2 L JAVA @ | 3 P PHP-CGM @ </v>
      </c>
      <c r="AC244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44" s="4" t="str">
        <f ca="1">IFERROR(__xludf.DUMMYFUNCTION("""COMPUTED_VALUE"""),"| 1 L CPT % | 2 L PHP-CGM % | 3 P PRO % | 5 P NS % ")</f>
        <v xml:space="preserve">| 1 L CPT % | 2 L PHP-CGM % | 3 P PRO % | 5 P NS % </v>
      </c>
      <c r="AE244" s="4" t="str">
        <f ca="1">IFERROR(__xludf.DUMMYFUNCTION("""COMPUTED_VALUE"""),"| 1 L CPT @ | 3 P Python % | 5 P CPT % | 2 L PHP-CGM @ ")</f>
        <v xml:space="preserve">| 1 L CPT @ | 3 P Python % | 5 P CPT % | 2 L PHP-CGM @ </v>
      </c>
      <c r="AF244" s="4" t="str">
        <f ca="1">IFERROR(__xludf.DUMMYFUNCTION("""COMPUTED_VALUE"""),"| 1 L NS % | 2 L CPT % | 3 P JAVA % | 5 P Python % ")</f>
        <v xml:space="preserve">| 1 L NS % | 2 L CPT % | 3 P JAVA % | 5 P Python % </v>
      </c>
      <c r="AG244" s="4" t="str">
        <f ca="1">IFERROR(__xludf.DUMMYFUNCTION("""COMPUTED_VALUE"""),"| 1 L CPT % | 2 L JAVA % | 3 P PHP-CGM % ")</f>
        <v xml:space="preserve">| 1 L CPT % | 2 L JAVA % | 3 P PHP-CGM % </v>
      </c>
      <c r="AH244" s="4" t="str">
        <f ca="1">IFERROR(__xludf.DUMMYFUNCTION("""COMPUTED_VALUE"""),"| 2 L JAVA % | 1 L NS % | 3 P JAVA % | 5 P Python % ")</f>
        <v xml:space="preserve">| 2 L JAVA % | 1 L NS % | 3 P JAVA % | 5 P Python % </v>
      </c>
      <c r="AI244" s="4" t="str">
        <f ca="1">IFERROR(__xludf.DUMMYFUNCTION("""COMPUTED_VALUE"""),"| 1 L CPT % | 2 L JAVA % | 3 P PHP-CGM % ")</f>
        <v xml:space="preserve">| 1 L CPT % | 2 L JAVA % | 3 P PHP-CGM % </v>
      </c>
      <c r="AJ244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44" s="4" t="str">
        <f ca="1">IFERROR(__xludf.DUMMYFUNCTION("""COMPUTED_VALUE"""),"| 1 L CPT @ | 3 P PRO % | 2 L PHP-CGM @ | 5 P NS % ")</f>
        <v xml:space="preserve">| 1 L CPT @ | 3 P PRO % | 2 L PHP-CGM @ | 5 P NS % </v>
      </c>
      <c r="AL244" s="4" t="str">
        <f ca="1">IFERROR(__xludf.DUMMYFUNCTION("""COMPUTED_VALUE"""),"| 1 L CPT @ | 2 L PHP-CGM @ | 5 P CPT % ")</f>
        <v xml:space="preserve">| 1 L CPT @ | 2 L PHP-CGM @ | 5 P CPT % </v>
      </c>
      <c r="AM244" s="4" t="str">
        <f ca="1">IFERROR(__xludf.DUMMYFUNCTION("""COMPUTED_VALUE"""),"| 2 L JAVA % | 3 P JAVA % | 1 L NS % | 5 P Python % ")</f>
        <v xml:space="preserve">| 2 L JAVA % | 3 P JAVA % | 1 L NS % | 5 P Python % </v>
      </c>
      <c r="AN244" s="4" t="str">
        <f ca="1">IFERROR(__xludf.DUMMYFUNCTION("""COMPUTED_VALUE"""),"| 1 L CPT % | 2 L JAVA % | 3 P PHP-CGM % | 5 L INE @ ")</f>
        <v xml:space="preserve">| 1 L CPT % | 2 L JAVA % | 3 P PHP-CGM % | 5 L INE @ </v>
      </c>
      <c r="AO244" s="4" t="str">
        <f ca="1">IFERROR(__xludf.DUMMYFUNCTION("""COMPUTED_VALUE"""),"| 1 L NS @ | 2 L PHP-CGM @ | 3 P JAVA % | 5 L NS % | 5 L JAVA % ")</f>
        <v xml:space="preserve">| 1 L NS @ | 2 L PHP-CGM @ | 3 P JAVA % | 5 L NS % | 5 L JAVA % </v>
      </c>
      <c r="AP244" s="4" t="str">
        <f ca="1">IFERROR(__xludf.DUMMYFUNCTION("""COMPUTED_VALUE"""),"| 1 L CPT @ | 2 L PHP-CGM @ | 3 P PRO @ | 5 P NS @ ")</f>
        <v xml:space="preserve">| 1 L CPT @ | 2 L PHP-CGM @ | 3 P PRO @ | 5 P NS @ </v>
      </c>
      <c r="AQ244" s="4" t="str">
        <f ca="1">IFERROR(__xludf.DUMMYFUNCTION("""COMPUTED_VALUE"""),"| 2 L PHP-CGM @ | 3 P Python @ | 1 L NS @ | 5 P CPT @ ")</f>
        <v xml:space="preserve">| 2 L PHP-CGM @ | 3 P Python @ | 1 L NS @ | 5 P CPT @ </v>
      </c>
      <c r="AR244" s="4" t="str">
        <f ca="1">IFERROR(__xludf.DUMMYFUNCTION("""COMPUTED_VALUE"""),"| 1 L CPT @ | 2 L JAVA @ | 3 P JAVA @ | 5 P Python @ ")</f>
        <v xml:space="preserve">| 1 L CPT @ | 2 L JAVA @ | 3 P JAVA @ | 5 P Python @ </v>
      </c>
      <c r="AS244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44" s="4" t="str">
        <f ca="1">IFERROR(__xludf.DUMMYFUNCTION("""COMPUTED_VALUE"""),"| 1 L CPT % | 2 L PHP-CGM @ | 3 P PRO @ | 5 P NS @ ")</f>
        <v xml:space="preserve">| 1 L CPT % | 2 L PHP-CGM @ | 3 P PRO @ | 5 P NS @ </v>
      </c>
      <c r="AU244" s="4" t="str">
        <f ca="1">IFERROR(__xludf.DUMMYFUNCTION("""COMPUTED_VALUE"""),"| 1 L NS % | 2 L PHP-CGM % | 3 P Python % | 5 P CPT % ")</f>
        <v xml:space="preserve">| 1 L NS % | 2 L PHP-CGM % | 3 P Python % | 5 P CPT % </v>
      </c>
      <c r="AV244" s="4" t="str">
        <f ca="1">IFERROR(__xludf.DUMMYFUNCTION("""COMPUTED_VALUE"""),"| 1 L CPT % | 2 L JAVA % | 3 P JAVA @ | 5 P PRO % ")</f>
        <v xml:space="preserve">| 1 L CPT % | 2 L JAVA % | 3 P JAVA @ | 5 P PRO % </v>
      </c>
      <c r="AW244" s="4" t="str">
        <f ca="1">IFERROR(__xludf.DUMMYFUNCTION("""COMPUTED_VALUE"""),"| 1 L CPT @ | 2 L JAVA @ | 3 P PHP-CGM @ | 5 L INE % | 6 L INE % ")</f>
        <v xml:space="preserve">| 1 L CPT @ | 2 L JAVA @ | 3 P PHP-CGM @ | 5 L INE % | 6 L INE % </v>
      </c>
      <c r="AX244" s="4" t="str">
        <f ca="1">IFERROR(__xludf.DUMMYFUNCTION("""COMPUTED_VALUE"""),"| 1 L NS @ | 2 L PHP-CGM @ | 3 P JAVA @ | 5 L NS % | 5 L JAVA % ")</f>
        <v xml:space="preserve">| 1 L NS @ | 2 L PHP-CGM @ | 3 P JAVA @ | 5 L NS % | 5 L JAVA % </v>
      </c>
      <c r="AY244" s="4" t="str">
        <f ca="1">IFERROR(__xludf.DUMMYFUNCTION("""COMPUTED_VALUE"""),"| 1 L CPT % | 2 L PHP-CGM % | 3 P PRO % | 5 P NS % ")</f>
        <v xml:space="preserve">| 1 L CPT % | 2 L PHP-CGM % | 3 P PRO % | 5 P NS % </v>
      </c>
      <c r="AZ244" s="4" t="str">
        <f ca="1">IFERROR(__xludf.DUMMYFUNCTION("""COMPUTED_VALUE"""),"| 1 L CPT % | 2 L JAVA % | 3 P JAVA % | 5 P Python % ")</f>
        <v xml:space="preserve">| 1 L CPT % | 2 L JAVA % | 3 P JAVA % | 5 P Python % </v>
      </c>
      <c r="BA244" s="4" t="str">
        <f ca="1">IFERROR(__xludf.DUMMYFUNCTION("""COMPUTED_VALUE"""),"| 1 L CPT % | 2 L JAVA % | 3 P PHP-CGM % | 5 L INE @ ")</f>
        <v xml:space="preserve">| 1 L CPT % | 2 L JAVA % | 3 P PHP-CGM % | 5 L INE @ </v>
      </c>
      <c r="BB244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4" s="4" t="str">
        <f ca="1">IFERROR(__xludf.DUMMYFUNCTION("""COMPUTED_VALUE"""),"| 1 L CPT % | 2 L PHP-CGM % | 3 P PRO % | 5 P NS % ")</f>
        <v xml:space="preserve">| 1 L CPT % | 2 L PHP-CGM % | 3 P PRO % | 5 P NS % </v>
      </c>
      <c r="BD244" s="4" t="str">
        <f ca="1">IFERROR(__xludf.DUMMYFUNCTION("""COMPUTED_VALUE"""),"| 1 L NS % | 2 L PHP-CGM % | 3 P Python % | 5 P CPT % ")</f>
        <v xml:space="preserve">| 1 L NS % | 2 L PHP-CGM % | 3 P Python % | 5 P CPT % </v>
      </c>
      <c r="BE244" s="4" t="str">
        <f ca="1">IFERROR(__xludf.DUMMYFUNCTION("""COMPUTED_VALUE"""),"| 1 L CPT % | 2 L JAVA % | 5 P Python % ")</f>
        <v xml:space="preserve">| 1 L CPT % | 2 L JAVA % | 5 P Python % </v>
      </c>
      <c r="BF244" s="4" t="str">
        <f ca="1">IFERROR(__xludf.DUMMYFUNCTION("""COMPUTED_VALUE"""),"| 1 L CPT % | 2 L JAVA % | 3 P PHP-CGM % ")</f>
        <v xml:space="preserve">| 1 L CPT % | 2 L JAVA % | 3 P PHP-CGM % </v>
      </c>
      <c r="BG244" s="4" t="str">
        <f ca="1">IFERROR(__xludf.DUMMYFUNCTION("""COMPUTED_VALUE"""),"| 2 L PHP-CGM % | 1 L CPT @ | 3 P PRO % | 5 P NS % ")</f>
        <v xml:space="preserve">| 2 L PHP-CGM % | 1 L CPT @ | 3 P PRO % | 5 P NS % </v>
      </c>
      <c r="BH244" s="4" t="str">
        <f ca="1">IFERROR(__xludf.DUMMYFUNCTION("""COMPUTED_VALUE"""),"| 1 L NS @ | 2 L PHP-CGM % | 3 P Python % | 5 P CPT % ")</f>
        <v xml:space="preserve">| 1 L NS @ | 2 L PHP-CGM % | 3 P Python % | 5 P CPT % </v>
      </c>
      <c r="BI244" s="4" t="str">
        <f ca="1">IFERROR(__xludf.DUMMYFUNCTION("""COMPUTED_VALUE"""),"| 1 L CPT % | 2 L JAVA % | 3 P JAVA % | 5 P PRO % ")</f>
        <v xml:space="preserve">| 1 L CPT % | 2 L JAVA % | 3 P JAVA % | 5 P PRO % </v>
      </c>
      <c r="BJ244" s="4" t="str">
        <f ca="1">IFERROR(__xludf.DUMMYFUNCTION("""COMPUTED_VALUE"""),"| 1 L CPT @ | 2 L JAVA @ | 3 P PHP-CGM % | 5 L INE % ")</f>
        <v xml:space="preserve">| 1 L CPT @ | 2 L JAVA @ | 3 P PHP-CGM % | 5 L INE % </v>
      </c>
      <c r="BK244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44" s="4" t="str">
        <f ca="1">IFERROR(__xludf.DUMMYFUNCTION("""COMPUTED_VALUE"""),"| 1 L CPT @ | 2 L PHP-CGM % | 3 P PRO % | 5 P NS @ ")</f>
        <v xml:space="preserve">| 1 L CPT @ | 2 L PHP-CGM % | 3 P PRO % | 5 P NS @ </v>
      </c>
      <c r="BM244" s="4" t="str">
        <f ca="1">IFERROR(__xludf.DUMMYFUNCTION("""COMPUTED_VALUE"""),"| 1 L NS @ | 2 L PHP-CGM @ | 3 P Python @ | 5 P CPT @ ")</f>
        <v xml:space="preserve">| 1 L NS @ | 2 L PHP-CGM @ | 3 P Python @ | 5 P CPT @ </v>
      </c>
      <c r="BN244" s="4" t="str">
        <f ca="1">IFERROR(__xludf.DUMMYFUNCTION("""COMPUTED_VALUE"""),"| 2 L JAVA @ | 1 L CPT @ | 3 P JAVA @ | 5 P PRO @ ")</f>
        <v xml:space="preserve">| 2 L JAVA @ | 1 L CPT @ | 3 P JAVA @ | 5 P PRO @ </v>
      </c>
      <c r="BO244" s="4" t="str">
        <f ca="1">IFERROR(__xludf.DUMMYFUNCTION("""COMPUTED_VALUE"""),"| 2 L JAVA @ | 1 L CPT @ | 3 P PHP-CGM @ | 5 L INE @ ")</f>
        <v xml:space="preserve">| 2 L JAVA @ | 1 L CPT @ | 3 P PHP-CGM @ | 5 L INE @ </v>
      </c>
      <c r="BP244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44" s="4"/>
      <c r="BR244" s="4"/>
      <c r="BS244" s="4"/>
      <c r="BT244" s="4" t="str">
        <f ca="1">IFERROR(__xludf.DUMMYFUNCTION("""COMPUTED_VALUE"""),"| 1 L NS @ | 2 L PHP-CGM @ | 3 P JAVA @ ")</f>
        <v xml:space="preserve">| 1 L NS @ | 2 L PHP-CGM @ | 3 P JAVA @ </v>
      </c>
      <c r="BU244" s="4" t="str">
        <f ca="1">IFERROR(__xludf.DUMMYFUNCTION("""COMPUTED_VALUE"""),"| 1 L CPT @ ")</f>
        <v xml:space="preserve">| 1 L CPT @ </v>
      </c>
      <c r="BV244" s="4" t="str">
        <f ca="1">IFERROR(__xludf.DUMMYFUNCTION("""COMPUTED_VALUE"""),"| 1 L NS @ | 2 L PHP-CGM @ | 3 P JAVA % | 6 L JAVA % ")</f>
        <v xml:space="preserve">| 1 L NS @ | 2 L PHP-CGM @ | 3 P JAVA % | 6 L JAVA % </v>
      </c>
      <c r="BW244" s="4" t="str">
        <f ca="1">IFERROR(__xludf.DUMMYFUNCTION("""COMPUTED_VALUE"""),"| 1 L CPT % | 2 L PHP-CGM % | 3 P PRO @ ")</f>
        <v xml:space="preserve">| 1 L CPT % | 2 L PHP-CGM % | 3 P PRO @ </v>
      </c>
      <c r="BX244" s="4" t="str">
        <f ca="1">IFERROR(__xludf.DUMMYFUNCTION("""COMPUTED_VALUE"""),"| 1 L NS @ | 2 L PHP-CGM @ | 3 P Python % | 5 P CPT % ")</f>
        <v xml:space="preserve">| 1 L NS @ | 2 L PHP-CGM @ | 3 P Python % | 5 P CPT % </v>
      </c>
      <c r="BY244" s="4" t="str">
        <f ca="1">IFERROR(__xludf.DUMMYFUNCTION("""COMPUTED_VALUE"""),"| 1 L CPT % | 2 L JAVA % | 3 P JAVA % | 5 P Python % ")</f>
        <v xml:space="preserve">| 1 L CPT % | 2 L JAVA % | 3 P JAVA % | 5 P Python % </v>
      </c>
      <c r="BZ244" s="4" t="str">
        <f ca="1">IFERROR(__xludf.DUMMYFUNCTION("""COMPUTED_VALUE"""),"| 1 L CPT % | 2 L JAVA % | 3 P PHP-CGM @ | 5 L INE % ")</f>
        <v xml:space="preserve">| 1 L CPT % | 2 L JAVA % | 3 P PHP-CGM @ | 5 L INE % </v>
      </c>
      <c r="CA244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CB244" s="4" t="str">
        <f ca="1">IFERROR(__xludf.DUMMYFUNCTION("""COMPUTED_VALUE"""),"| 2 L PHP-CGM % | 3 P PRO % | 5 P NS % | 1 L CPT % ")</f>
        <v xml:space="preserve">| 2 L PHP-CGM % | 3 P PRO % | 5 P NS % | 1 L CPT % </v>
      </c>
      <c r="CC244" s="4" t="str">
        <f ca="1">IFERROR(__xludf.DUMMYFUNCTION("""COMPUTED_VALUE"""),"| 1 L NS @ | 2 L PHP-CGM @ | 3 P Python % | 5 P CPT @ ")</f>
        <v xml:space="preserve">| 1 L NS @ | 2 L PHP-CGM @ | 3 P Python % | 5 P CPT @ </v>
      </c>
      <c r="CD244" s="4" t="str">
        <f ca="1">IFERROR(__xludf.DUMMYFUNCTION("""COMPUTED_VALUE"""),"| 1 L CPT @ | 2 L JAVA @ | 3 P JAVA % | 5 P Python % ")</f>
        <v xml:space="preserve">| 1 L CPT @ | 2 L JAVA @ | 3 P JAVA % | 5 P Python % </v>
      </c>
      <c r="CE244" s="4" t="str">
        <f ca="1">IFERROR(__xludf.DUMMYFUNCTION("""COMPUTED_VALUE"""),"| 1 L CPT @ | 2 L JAVA % | 3 P PHP-CGM @ | 5 L INE % ")</f>
        <v xml:space="preserve">| 1 L CPT @ | 2 L JAVA % | 3 P PHP-CGM @ | 5 L INE % </v>
      </c>
      <c r="CF244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CG244" s="4" t="str">
        <f ca="1">IFERROR(__xludf.DUMMYFUNCTION("""COMPUTED_VALUE"""),"| 1 L CPT @ | 2 L PHP-CGM @ | 5 P NS @ ")</f>
        <v xml:space="preserve">| 1 L CPT @ | 2 L PHP-CGM @ | 5 P NS @ </v>
      </c>
      <c r="CH244" s="4" t="str">
        <f ca="1">IFERROR(__xludf.DUMMYFUNCTION("""COMPUTED_VALUE"""),"| 1 L NS @ | 2 L PHP-CGM @ ")</f>
        <v xml:space="preserve">| 1 L NS @ | 2 L PHP-CGM @ </v>
      </c>
      <c r="CI244" s="4" t="str">
        <f ca="1">IFERROR(__xludf.DUMMYFUNCTION("""COMPUTED_VALUE"""),"| 1 L CPT @ | 2 L JAVA @ | 3 P JAVA @ ")</f>
        <v xml:space="preserve">| 1 L CPT @ | 2 L JAVA @ | 3 P JAVA @ </v>
      </c>
      <c r="CJ244" s="4" t="str">
        <f ca="1">IFERROR(__xludf.DUMMYFUNCTION("""COMPUTED_VALUE"""),"| 1 L CPT @ | 3 P PHP-CGM @ ")</f>
        <v xml:space="preserve">| 1 L CPT @ | 3 P PHP-CGM @ </v>
      </c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</row>
    <row r="245" spans="1:102" ht="12.5" x14ac:dyDescent="0.25">
      <c r="A245" s="3">
        <f ca="1">IFERROR(__xludf.DUMMYFUNCTION("""COMPUTED_VALUE"""),4)</f>
        <v>4</v>
      </c>
      <c r="B245" s="3" t="str">
        <f ca="1">IFERROR(__xludf.DUMMYFUNCTION("""COMPUTED_VALUE"""),"C")</f>
        <v>C</v>
      </c>
      <c r="C245" s="32" t="str">
        <f ca="1">IFERROR(__xludf.DUMMYFUNCTION("""COMPUTED_VALUE"""),"23171341182")</f>
        <v>23171341182</v>
      </c>
      <c r="D245" s="4" t="str">
        <f ca="1">IFERROR(__xludf.DUMMYFUNCTION("""COMPUTED_VALUE"""),"SHREY ARVIND BHAI VAISHNAV")</f>
        <v>SHREY ARVIND BHAI VAISHNAV</v>
      </c>
      <c r="E245" s="3" t="str">
        <f ca="1">IFERROR(__xludf.DUMMYFUNCTION("""COMPUTED_VALUE"""),"PKN/PAP-Mor")</f>
        <v>PKN/PAP-Mor</v>
      </c>
      <c r="F245" s="3">
        <f ca="1">IFERROR(__xludf.DUMMYFUNCTION("""COMPUTED_VALUE"""),9773287920)</f>
        <v>9773287920</v>
      </c>
      <c r="G245" s="3">
        <f ca="1">IFERROR(__xludf.DUMMYFUNCTION("""COMPUTED_VALUE"""),9558740300)</f>
        <v>9558740300</v>
      </c>
      <c r="H245" s="33">
        <f ca="1">IFERROR(__xludf.DUMMYFUNCTION("""COMPUTED_VALUE"""),0.773662551440329)</f>
        <v>0.77366255144032903</v>
      </c>
      <c r="I245" s="25">
        <f ca="1">IFERROR(__xludf.DUMMYFUNCTION("""COMPUTED_VALUE"""),0.763157894736842)</f>
        <v>0.76315789473684204</v>
      </c>
      <c r="J245" s="25">
        <f ca="1">IFERROR(__xludf.DUMMYFUNCTION("""COMPUTED_VALUE"""),0.8)</f>
        <v>0.8</v>
      </c>
      <c r="K245" s="25">
        <f ca="1">IFERROR(__xludf.DUMMYFUNCTION("""COMPUTED_VALUE"""),0.777777777777777)</f>
        <v>0.77777777777777701</v>
      </c>
      <c r="L245" s="25">
        <f ca="1">IFERROR(__xludf.DUMMYFUNCTION("""COMPUTED_VALUE"""),0.727272727272727)</f>
        <v>0.72727272727272696</v>
      </c>
      <c r="M245" s="25">
        <f ca="1">IFERROR(__xludf.DUMMYFUNCTION("""COMPUTED_VALUE"""),0.777777777777777)</f>
        <v>0.77777777777777701</v>
      </c>
      <c r="N245" s="25">
        <f ca="1">IFERROR(__xludf.DUMMYFUNCTION("""COMPUTED_VALUE"""),0.916666666666666)</f>
        <v>0.91666666666666596</v>
      </c>
      <c r="O245" s="25">
        <f ca="1">IFERROR(__xludf.DUMMYFUNCTION("""COMPUTED_VALUE"""),0.742857142857142)</f>
        <v>0.74285714285714199</v>
      </c>
      <c r="P245" s="25">
        <f ca="1">IFERROR(__xludf.DUMMYFUNCTION("""COMPUTED_VALUE"""),0.76)</f>
        <v>0.76</v>
      </c>
      <c r="Q245" s="25">
        <f ca="1">IFERROR(__xludf.DUMMYFUNCTION("""COMPUTED_VALUE"""),0)</f>
        <v>0</v>
      </c>
      <c r="R245" s="25">
        <f ca="1">IFERROR(__xludf.DUMMYFUNCTION("""COMPUTED_VALUE"""),0.823529411764705)</f>
        <v>0.82352941176470495</v>
      </c>
      <c r="S245" s="25">
        <f ca="1">IFERROR(__xludf.DUMMYFUNCTION("""COMPUTED_VALUE"""),0)</f>
        <v>0</v>
      </c>
      <c r="T245" s="25">
        <f ca="1">IFERROR(__xludf.DUMMYFUNCTION("""COMPUTED_VALUE"""),0.8)</f>
        <v>0.8</v>
      </c>
      <c r="U245" s="25">
        <f ca="1">IFERROR(__xludf.DUMMYFUNCTION("""COMPUTED_VALUE"""),0.625)</f>
        <v>0.625</v>
      </c>
      <c r="V245" s="25">
        <f ca="1">IFERROR(__xludf.DUMMYFUNCTION("""COMPUTED_VALUE"""),0)</f>
        <v>0</v>
      </c>
      <c r="W245" s="4"/>
      <c r="X24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45" s="4" t="str">
        <f ca="1">IFERROR(__xludf.DUMMYFUNCTION("""COMPUTED_VALUE"""),"| 1 L CPT % | 5 L PHP-CGM % | 3 P PRO % | 5 P NS % ")</f>
        <v xml:space="preserve">| 1 L CPT % | 5 L PHP-CGM % | 3 P PRO % | 5 P NS % </v>
      </c>
      <c r="Z245" s="4" t="str">
        <f ca="1">IFERROR(__xludf.DUMMYFUNCTION("""COMPUTED_VALUE"""),"| 1 L CPT % | 2 L PHP-CGM % | 3 P Python % | 5 P CPT % ")</f>
        <v xml:space="preserve">| 1 L CPT % | 2 L PHP-CGM % | 3 P Python % | 5 P CPT % </v>
      </c>
      <c r="AA245" s="4" t="str">
        <f ca="1">IFERROR(__xludf.DUMMYFUNCTION("""COMPUTED_VALUE"""),"| 1 L NS % | 2 L JAVA % | 3 P JAVA % | 5 P PRO % ")</f>
        <v xml:space="preserve">| 1 L NS % | 2 L JAVA % | 3 P JAVA % | 5 P PRO % </v>
      </c>
      <c r="AB245" s="4" t="str">
        <f ca="1">IFERROR(__xludf.DUMMYFUNCTION("""COMPUTED_VALUE"""),"| 1 L CPT % | 2 L JAVA % | 3 P PHP-CGM % ")</f>
        <v xml:space="preserve">| 1 L CPT % | 2 L JAVA % | 3 P PHP-CGM % </v>
      </c>
      <c r="AC24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45" s="4" t="str">
        <f ca="1">IFERROR(__xludf.DUMMYFUNCTION("""COMPUTED_VALUE"""),"| 1 L CPT % | 2 L PHP-CGM % | 3 P PRO % | 5 P NS % ")</f>
        <v xml:space="preserve">| 1 L CPT % | 2 L PHP-CGM % | 3 P PRO % | 5 P NS % </v>
      </c>
      <c r="AE245" s="4" t="str">
        <f ca="1">IFERROR(__xludf.DUMMYFUNCTION("""COMPUTED_VALUE"""),"| 1 L CPT % | 3 P Python % | 5 P CPT % | 2 L PHP-CGM % ")</f>
        <v xml:space="preserve">| 1 L CPT % | 3 P Python % | 5 P CPT % | 2 L PHP-CGM % </v>
      </c>
      <c r="AF245" s="4" t="str">
        <f ca="1">IFERROR(__xludf.DUMMYFUNCTION("""COMPUTED_VALUE"""),"| 1 L NS % | 2 L CPT % | 3 P JAVA % | 5 P Python % ")</f>
        <v xml:space="preserve">| 1 L NS % | 2 L CPT % | 3 P JAVA % | 5 P Python % </v>
      </c>
      <c r="AG245" s="4" t="str">
        <f ca="1">IFERROR(__xludf.DUMMYFUNCTION("""COMPUTED_VALUE"""),"| 1 L CPT % | 2 L JAVA % | 3 P PHP-CGM % ")</f>
        <v xml:space="preserve">| 1 L CPT % | 2 L JAVA % | 3 P PHP-CGM % </v>
      </c>
      <c r="AH245" s="4" t="str">
        <f ca="1">IFERROR(__xludf.DUMMYFUNCTION("""COMPUTED_VALUE"""),"| 2 L JAVA % | 1 L NS % | 3 P JAVA % | 5 P Python % ")</f>
        <v xml:space="preserve">| 2 L JAVA % | 1 L NS % | 3 P JAVA % | 5 P Python % </v>
      </c>
      <c r="AI245" s="4" t="str">
        <f ca="1">IFERROR(__xludf.DUMMYFUNCTION("""COMPUTED_VALUE"""),"| 1 L CPT % | 2 L JAVA % | 3 P PHP-CGM % ")</f>
        <v xml:space="preserve">| 1 L CPT % | 2 L JAVA % | 3 P PHP-CGM % </v>
      </c>
      <c r="AJ24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45" s="4" t="str">
        <f ca="1">IFERROR(__xludf.DUMMYFUNCTION("""COMPUTED_VALUE"""),"| 1 L CPT % | 3 P PRO % | 2 L PHP-CGM % | 5 P NS % ")</f>
        <v xml:space="preserve">| 1 L CPT % | 3 P PRO % | 2 L PHP-CGM % | 5 P NS % </v>
      </c>
      <c r="AL245" s="4" t="str">
        <f ca="1">IFERROR(__xludf.DUMMYFUNCTION("""COMPUTED_VALUE"""),"| 1 L CPT % | 2 L PHP-CGM % | 5 P CPT % ")</f>
        <v xml:space="preserve">| 1 L CPT % | 2 L PHP-CGM % | 5 P CPT % </v>
      </c>
      <c r="AM245" s="4" t="str">
        <f ca="1">IFERROR(__xludf.DUMMYFUNCTION("""COMPUTED_VALUE"""),"| 2 L JAVA % | 3 P JAVA % | 1 L NS % | 5 P Python % ")</f>
        <v xml:space="preserve">| 2 L JAVA % | 3 P JAVA % | 1 L NS % | 5 P Python % </v>
      </c>
      <c r="AN245" s="4" t="str">
        <f ca="1">IFERROR(__xludf.DUMMYFUNCTION("""COMPUTED_VALUE"""),"| 1 L CPT % | 2 L JAVA % | 3 P PHP-CGM % | 5 L INE @ ")</f>
        <v xml:space="preserve">| 1 L CPT % | 2 L JAVA % | 3 P PHP-CGM % | 5 L INE @ </v>
      </c>
      <c r="AO245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P245" s="4" t="str">
        <f ca="1">IFERROR(__xludf.DUMMYFUNCTION("""COMPUTED_VALUE"""),"| 1 L CPT @ | 2 L PHP-CGM @ | 3 P PRO @ | 5 P NS @ ")</f>
        <v xml:space="preserve">| 1 L CPT @ | 2 L PHP-CGM @ | 3 P PRO @ | 5 P NS @ </v>
      </c>
      <c r="AQ245" s="4" t="str">
        <f ca="1">IFERROR(__xludf.DUMMYFUNCTION("""COMPUTED_VALUE"""),"| 2 L PHP-CGM @ | 3 P Python @ | 1 L NS @ | 5 P CPT @ ")</f>
        <v xml:space="preserve">| 2 L PHP-CGM @ | 3 P Python @ | 1 L NS @ | 5 P CPT @ </v>
      </c>
      <c r="AR245" s="4" t="str">
        <f ca="1">IFERROR(__xludf.DUMMYFUNCTION("""COMPUTED_VALUE"""),"| 1 L CPT @ | 2 L JAVA @ | 3 P JAVA @ | 5 P Python @ ")</f>
        <v xml:space="preserve">| 1 L CPT @ | 2 L JAVA @ | 3 P JAVA @ | 5 P Python @ </v>
      </c>
      <c r="AS245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45" s="4" t="str">
        <f ca="1">IFERROR(__xludf.DUMMYFUNCTION("""COMPUTED_VALUE"""),"| 1 L CPT @ | 2 L PHP-CGM @ | 3 P PRO @ | 5 P NS @ ")</f>
        <v xml:space="preserve">| 1 L CPT @ | 2 L PHP-CGM @ | 3 P PRO @ | 5 P NS @ </v>
      </c>
      <c r="AU245" s="4" t="str">
        <f ca="1">IFERROR(__xludf.DUMMYFUNCTION("""COMPUTED_VALUE"""),"| 1 L NS @ | 2 L PHP-CGM @ | 3 P Python @ | 5 P CPT @ ")</f>
        <v xml:space="preserve">| 1 L NS @ | 2 L PHP-CGM @ | 3 P Python @ | 5 P CPT @ </v>
      </c>
      <c r="AV245" s="4" t="str">
        <f ca="1">IFERROR(__xludf.DUMMYFUNCTION("""COMPUTED_VALUE"""),"| 1 L CPT @ | 2 L JAVA @ | 3 P JAVA @ | 5 P PRO @ ")</f>
        <v xml:space="preserve">| 1 L CPT @ | 2 L JAVA @ | 3 P JAVA @ | 5 P PRO @ </v>
      </c>
      <c r="AW245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45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45" s="4" t="str">
        <f ca="1">IFERROR(__xludf.DUMMYFUNCTION("""COMPUTED_VALUE"""),"| 1 L CPT % | 2 L PHP-CGM % | 3 P PRO % | 5 P NS % ")</f>
        <v xml:space="preserve">| 1 L CPT % | 2 L PHP-CGM % | 3 P PRO % | 5 P NS % </v>
      </c>
      <c r="AZ245" s="4" t="str">
        <f ca="1">IFERROR(__xludf.DUMMYFUNCTION("""COMPUTED_VALUE"""),"| 1 L CPT % | 2 L JAVA % | 3 P JAVA % | 5 P Python % ")</f>
        <v xml:space="preserve">| 1 L CPT % | 2 L JAVA % | 3 P JAVA % | 5 P Python % </v>
      </c>
      <c r="BA245" s="4" t="str">
        <f ca="1">IFERROR(__xludf.DUMMYFUNCTION("""COMPUTED_VALUE"""),"| 1 L CPT % | 2 L JAVA % | 3 P PHP-CGM % | 5 L INE @ ")</f>
        <v xml:space="preserve">| 1 L CPT % | 2 L JAVA % | 3 P PHP-CGM % | 5 L INE @ </v>
      </c>
      <c r="BB245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5" s="4" t="str">
        <f ca="1">IFERROR(__xludf.DUMMYFUNCTION("""COMPUTED_VALUE"""),"| 1 L CPT % | 2 L PHP-CGM % | 3 P PRO % | 5 P NS % ")</f>
        <v xml:space="preserve">| 1 L CPT % | 2 L PHP-CGM % | 3 P PRO % | 5 P NS % </v>
      </c>
      <c r="BD245" s="4" t="str">
        <f ca="1">IFERROR(__xludf.DUMMYFUNCTION("""COMPUTED_VALUE"""),"| 1 L NS % | 2 L PHP-CGM % | 3 P Python % | 5 P CPT % ")</f>
        <v xml:space="preserve">| 1 L NS % | 2 L PHP-CGM % | 3 P Python % | 5 P CPT % </v>
      </c>
      <c r="BE245" s="4" t="str">
        <f ca="1">IFERROR(__xludf.DUMMYFUNCTION("""COMPUTED_VALUE"""),"| 1 L CPT % | 2 L JAVA % | 5 P Python % ")</f>
        <v xml:space="preserve">| 1 L CPT % | 2 L JAVA % | 5 P Python % </v>
      </c>
      <c r="BF245" s="4" t="str">
        <f ca="1">IFERROR(__xludf.DUMMYFUNCTION("""COMPUTED_VALUE"""),"| 1 L CPT % | 2 L JAVA % | 3 P PHP-CGM % ")</f>
        <v xml:space="preserve">| 1 L CPT % | 2 L JAVA % | 3 P PHP-CGM % </v>
      </c>
      <c r="BG245" s="4" t="str">
        <f ca="1">IFERROR(__xludf.DUMMYFUNCTION("""COMPUTED_VALUE"""),"| 2 L PHP-CGM % | 1 L CPT % | 3 P PRO % | 5 P NS % ")</f>
        <v xml:space="preserve">| 2 L PHP-CGM % | 1 L CPT % | 3 P PRO % | 5 P NS % </v>
      </c>
      <c r="BH245" s="4" t="str">
        <f ca="1">IFERROR(__xludf.DUMMYFUNCTION("""COMPUTED_VALUE"""),"| 1 L NS % | 2 L PHP-CGM % | 3 P Python % | 5 P CPT % ")</f>
        <v xml:space="preserve">| 1 L NS % | 2 L PHP-CGM % | 3 P Python % | 5 P CPT % </v>
      </c>
      <c r="BI245" s="4" t="str">
        <f ca="1">IFERROR(__xludf.DUMMYFUNCTION("""COMPUTED_VALUE"""),"| 1 L CPT % | 2 L JAVA % | 3 P JAVA % | 5 P PRO % ")</f>
        <v xml:space="preserve">| 1 L CPT % | 2 L JAVA % | 3 P JAVA % | 5 P PRO % </v>
      </c>
      <c r="BJ245" s="4" t="str">
        <f ca="1">IFERROR(__xludf.DUMMYFUNCTION("""COMPUTED_VALUE"""),"| 1 L CPT % | 2 L JAVA % | 3 P PHP-CGM % | 5 L INE % ")</f>
        <v xml:space="preserve">| 1 L CPT % | 2 L JAVA % | 3 P PHP-CGM % | 5 L INE % </v>
      </c>
      <c r="BK245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L245" s="4" t="str">
        <f ca="1">IFERROR(__xludf.DUMMYFUNCTION("""COMPUTED_VALUE"""),"| 1 L CPT % | 2 L PHP-CGM % | 3 P PRO % | 5 P NS % ")</f>
        <v xml:space="preserve">| 1 L CPT % | 2 L PHP-CGM % | 3 P PRO % | 5 P NS % </v>
      </c>
      <c r="BM245" s="4" t="str">
        <f ca="1">IFERROR(__xludf.DUMMYFUNCTION("""COMPUTED_VALUE"""),"| 1 L NS % | 2 L PHP-CGM % | 3 P Python % | 5 P CPT % ")</f>
        <v xml:space="preserve">| 1 L NS % | 2 L PHP-CGM % | 3 P Python % | 5 P CPT % </v>
      </c>
      <c r="BN245" s="4" t="str">
        <f ca="1">IFERROR(__xludf.DUMMYFUNCTION("""COMPUTED_VALUE"""),"| 2 L JAVA % | 1 L CPT % | 3 P JAVA % | 5 P PRO % ")</f>
        <v xml:space="preserve">| 2 L JAVA % | 1 L CPT % | 3 P JAVA % | 5 P PRO % </v>
      </c>
      <c r="BO245" s="4" t="str">
        <f ca="1">IFERROR(__xludf.DUMMYFUNCTION("""COMPUTED_VALUE"""),"| 2 L JAVA % | 1 L CPT % | 3 P PHP-CGM % | 5 L INE % ")</f>
        <v xml:space="preserve">| 2 L JAVA % | 1 L CPT % | 3 P PHP-CGM % | 5 L INE % </v>
      </c>
      <c r="BP245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45" s="4"/>
      <c r="BR245" s="4"/>
      <c r="BS245" s="4"/>
      <c r="BT245" s="4" t="str">
        <f ca="1">IFERROR(__xludf.DUMMYFUNCTION("""COMPUTED_VALUE"""),"| 1 L NS % | 2 L PHP-CGM % | 3 P JAVA % ")</f>
        <v xml:space="preserve">| 1 L NS % | 2 L PHP-CGM % | 3 P JAVA % </v>
      </c>
      <c r="BU245" s="4" t="str">
        <f ca="1">IFERROR(__xludf.DUMMYFUNCTION("""COMPUTED_VALUE"""),"| 1 L CPT % ")</f>
        <v xml:space="preserve">| 1 L CPT % </v>
      </c>
      <c r="BV245" s="4" t="str">
        <f ca="1">IFERROR(__xludf.DUMMYFUNCTION("""COMPUTED_VALUE"""),"| 1 L NS % | 2 L PHP-CGM % | 3 P JAVA % | 6 L JAVA % ")</f>
        <v xml:space="preserve">| 1 L NS % | 2 L PHP-CGM % | 3 P JAVA % | 6 L JAVA % </v>
      </c>
      <c r="BW245" s="4" t="str">
        <f ca="1">IFERROR(__xludf.DUMMYFUNCTION("""COMPUTED_VALUE"""),"| 1 L CPT % | 2 L PHP-CGM % | 3 P PRO % ")</f>
        <v xml:space="preserve">| 1 L CPT % | 2 L PHP-CGM % | 3 P PRO % </v>
      </c>
      <c r="BX245" s="4" t="str">
        <f ca="1">IFERROR(__xludf.DUMMYFUNCTION("""COMPUTED_VALUE"""),"| 1 L NS % | 2 L PHP-CGM % | 3 P Python % | 5 P CPT % ")</f>
        <v xml:space="preserve">| 1 L NS % | 2 L PHP-CGM % | 3 P Python % | 5 P CPT % </v>
      </c>
      <c r="BY245" s="4" t="str">
        <f ca="1">IFERROR(__xludf.DUMMYFUNCTION("""COMPUTED_VALUE"""),"| 1 L CPT % | 2 L JAVA % | 3 P JAVA % | 5 P Python % ")</f>
        <v xml:space="preserve">| 1 L CPT % | 2 L JAVA % | 3 P JAVA % | 5 P Python % </v>
      </c>
      <c r="BZ245" s="4" t="str">
        <f ca="1">IFERROR(__xludf.DUMMYFUNCTION("""COMPUTED_VALUE"""),"| 1 L CPT @ | 2 L JAVA @ | 3 P PHP-CGM % | 5 L INE @ ")</f>
        <v xml:space="preserve">| 1 L CPT @ | 2 L JAVA @ | 3 P PHP-CGM % | 5 L INE @ </v>
      </c>
      <c r="CA245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45" s="4" t="str">
        <f ca="1">IFERROR(__xludf.DUMMYFUNCTION("""COMPUTED_VALUE"""),"| 2 L PHP-CGM % | 3 P PRO % | 5 P NS % | 1 L CPT % ")</f>
        <v xml:space="preserve">| 2 L PHP-CGM % | 3 P PRO % | 5 P NS % | 1 L CPT % </v>
      </c>
      <c r="CC245" s="4" t="str">
        <f ca="1">IFERROR(__xludf.DUMMYFUNCTION("""COMPUTED_VALUE"""),"| 1 L NS % | 2 L PHP-CGM % | 3 P Python % | 5 P CPT % ")</f>
        <v xml:space="preserve">| 1 L NS % | 2 L PHP-CGM % | 3 P Python % | 5 P CPT % </v>
      </c>
      <c r="CD245" s="4" t="str">
        <f ca="1">IFERROR(__xludf.DUMMYFUNCTION("""COMPUTED_VALUE"""),"| 1 L CPT % | 2 L JAVA @ | 3 P JAVA @ | 5 P Python % ")</f>
        <v xml:space="preserve">| 1 L CPT % | 2 L JAVA @ | 3 P JAVA @ | 5 P Python % </v>
      </c>
      <c r="CE245" s="4" t="str">
        <f ca="1">IFERROR(__xludf.DUMMYFUNCTION("""COMPUTED_VALUE"""),"| 1 L CPT @ | 2 L JAVA @ | 3 P PHP-CGM % | 5 L INE % ")</f>
        <v xml:space="preserve">| 1 L CPT @ | 2 L JAVA @ | 3 P PHP-CGM % | 5 L INE % </v>
      </c>
      <c r="CF245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45" s="4" t="str">
        <f ca="1">IFERROR(__xludf.DUMMYFUNCTION("""COMPUTED_VALUE"""),"| 1 L CPT @ | 2 L PHP-CGM @ | 5 P NS @ ")</f>
        <v xml:space="preserve">| 1 L CPT @ | 2 L PHP-CGM @ | 5 P NS @ </v>
      </c>
      <c r="CH245" s="4" t="str">
        <f ca="1">IFERROR(__xludf.DUMMYFUNCTION("""COMPUTED_VALUE"""),"| 1 L NS @ | 2 L PHP-CGM @ ")</f>
        <v xml:space="preserve">| 1 L NS @ | 2 L PHP-CGM @ </v>
      </c>
      <c r="CI245" s="4" t="str">
        <f ca="1">IFERROR(__xludf.DUMMYFUNCTION("""COMPUTED_VALUE"""),"| 1 L CPT @ | 2 L JAVA @ | 3 P JAVA @ ")</f>
        <v xml:space="preserve">| 1 L CPT @ | 2 L JAVA @ | 3 P JAVA @ </v>
      </c>
      <c r="CJ245" s="4" t="str">
        <f ca="1">IFERROR(__xludf.DUMMYFUNCTION("""COMPUTED_VALUE"""),"| 1 L CPT @ | 3 P PHP-CGM @ ")</f>
        <v xml:space="preserve">| 1 L CPT @ | 3 P PHP-CGM @ </v>
      </c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</row>
    <row r="246" spans="1:102" ht="12.5" x14ac:dyDescent="0.25">
      <c r="A246" s="3">
        <f ca="1">IFERROR(__xludf.DUMMYFUNCTION("""COMPUTED_VALUE"""),4)</f>
        <v>4</v>
      </c>
      <c r="B246" s="3" t="str">
        <f ca="1">IFERROR(__xludf.DUMMYFUNCTION("""COMPUTED_VALUE"""),"C")</f>
        <v>C</v>
      </c>
      <c r="C246" s="32" t="str">
        <f ca="1">IFERROR(__xludf.DUMMYFUNCTION("""COMPUTED_VALUE"""),"23171341183")</f>
        <v>23171341183</v>
      </c>
      <c r="D246" s="4" t="str">
        <f ca="1">IFERROR(__xludf.DUMMYFUNCTION("""COMPUTED_VALUE"""),"SINGH ROSHANI NEERAJ")</f>
        <v>SINGH ROSHANI NEERAJ</v>
      </c>
      <c r="E246" s="3" t="str">
        <f ca="1">IFERROR(__xludf.DUMMYFUNCTION("""COMPUTED_VALUE"""),"PKN/PAP-Mor")</f>
        <v>PKN/PAP-Mor</v>
      </c>
      <c r="F246" s="3">
        <f ca="1">IFERROR(__xludf.DUMMYFUNCTION("""COMPUTED_VALUE"""),9725575724)</f>
        <v>9725575724</v>
      </c>
      <c r="G246" s="3">
        <f ca="1">IFERROR(__xludf.DUMMYFUNCTION("""COMPUTED_VALUE"""),9725575724)</f>
        <v>9725575724</v>
      </c>
      <c r="H246" s="33">
        <f ca="1">IFERROR(__xludf.DUMMYFUNCTION("""COMPUTED_VALUE"""),0.777777777777777)</f>
        <v>0.77777777777777701</v>
      </c>
      <c r="I246" s="25">
        <f ca="1">IFERROR(__xludf.DUMMYFUNCTION("""COMPUTED_VALUE"""),0.763157894736842)</f>
        <v>0.76315789473684204</v>
      </c>
      <c r="J246" s="25">
        <f ca="1">IFERROR(__xludf.DUMMYFUNCTION("""COMPUTED_VALUE"""),0.8)</f>
        <v>0.8</v>
      </c>
      <c r="K246" s="25">
        <f ca="1">IFERROR(__xludf.DUMMYFUNCTION("""COMPUTED_VALUE"""),0.777777777777777)</f>
        <v>0.77777777777777701</v>
      </c>
      <c r="L246" s="25">
        <f ca="1">IFERROR(__xludf.DUMMYFUNCTION("""COMPUTED_VALUE"""),0.727272727272727)</f>
        <v>0.72727272727272696</v>
      </c>
      <c r="M246" s="25">
        <f ca="1">IFERROR(__xludf.DUMMYFUNCTION("""COMPUTED_VALUE"""),0.75)</f>
        <v>0.75</v>
      </c>
      <c r="N246" s="25">
        <f ca="1">IFERROR(__xludf.DUMMYFUNCTION("""COMPUTED_VALUE"""),0.75)</f>
        <v>0.75</v>
      </c>
      <c r="O246" s="25">
        <f ca="1">IFERROR(__xludf.DUMMYFUNCTION("""COMPUTED_VALUE"""),0.771428571428571)</f>
        <v>0.77142857142857102</v>
      </c>
      <c r="P246" s="25">
        <f ca="1">IFERROR(__xludf.DUMMYFUNCTION("""COMPUTED_VALUE"""),0.8)</f>
        <v>0.8</v>
      </c>
      <c r="Q246" s="25">
        <f ca="1">IFERROR(__xludf.DUMMYFUNCTION("""COMPUTED_VALUE"""),0)</f>
        <v>0</v>
      </c>
      <c r="R246" s="25">
        <f ca="1">IFERROR(__xludf.DUMMYFUNCTION("""COMPUTED_VALUE"""),0.823529411764705)</f>
        <v>0.82352941176470495</v>
      </c>
      <c r="S246" s="25">
        <f ca="1">IFERROR(__xludf.DUMMYFUNCTION("""COMPUTED_VALUE"""),0)</f>
        <v>0</v>
      </c>
      <c r="T246" s="25">
        <f ca="1">IFERROR(__xludf.DUMMYFUNCTION("""COMPUTED_VALUE"""),0.866666666666666)</f>
        <v>0.86666666666666603</v>
      </c>
      <c r="U246" s="25">
        <f ca="1">IFERROR(__xludf.DUMMYFUNCTION("""COMPUTED_VALUE"""),0.75)</f>
        <v>0.75</v>
      </c>
      <c r="V246" s="25">
        <f ca="1">IFERROR(__xludf.DUMMYFUNCTION("""COMPUTED_VALUE"""),0)</f>
        <v>0</v>
      </c>
      <c r="W246" s="4"/>
      <c r="X246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46" s="4" t="str">
        <f ca="1">IFERROR(__xludf.DUMMYFUNCTION("""COMPUTED_VALUE"""),"| 1 L CPT % | 5 L PHP-CGM % | 3 P PRO % | 5 P NS % ")</f>
        <v xml:space="preserve">| 1 L CPT % | 5 L PHP-CGM % | 3 P PRO % | 5 P NS % </v>
      </c>
      <c r="Z246" s="4" t="str">
        <f ca="1">IFERROR(__xludf.DUMMYFUNCTION("""COMPUTED_VALUE"""),"| 1 L CPT % | 2 L PHP-CGM % | 3 P Python % | 5 P CPT % ")</f>
        <v xml:space="preserve">| 1 L CPT % | 2 L PHP-CGM % | 3 P Python % | 5 P CPT % </v>
      </c>
      <c r="AA246" s="4" t="str">
        <f ca="1">IFERROR(__xludf.DUMMYFUNCTION("""COMPUTED_VALUE"""),"| 1 L NS % | 2 L JAVA % | 3 P JAVA % | 5 P PRO % ")</f>
        <v xml:space="preserve">| 1 L NS % | 2 L JAVA % | 3 P JAVA % | 5 P PRO % </v>
      </c>
      <c r="AB246" s="4" t="str">
        <f ca="1">IFERROR(__xludf.DUMMYFUNCTION("""COMPUTED_VALUE"""),"| 1 L CPT % | 2 L JAVA % | 3 P PHP-CGM % ")</f>
        <v xml:space="preserve">| 1 L CPT % | 2 L JAVA % | 3 P PHP-CGM % </v>
      </c>
      <c r="AC246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46" s="4" t="str">
        <f ca="1">IFERROR(__xludf.DUMMYFUNCTION("""COMPUTED_VALUE"""),"| 1 L CPT % | 2 L PHP-CGM % | 3 P PRO % | 5 P NS % ")</f>
        <v xml:space="preserve">| 1 L CPT % | 2 L PHP-CGM % | 3 P PRO % | 5 P NS % </v>
      </c>
      <c r="AE246" s="4" t="str">
        <f ca="1">IFERROR(__xludf.DUMMYFUNCTION("""COMPUTED_VALUE"""),"| 1 L CPT % | 3 P Python % | 5 P CPT % | 2 L PHP-CGM % ")</f>
        <v xml:space="preserve">| 1 L CPT % | 3 P Python % | 5 P CPT % | 2 L PHP-CGM % </v>
      </c>
      <c r="AF246" s="4" t="str">
        <f ca="1">IFERROR(__xludf.DUMMYFUNCTION("""COMPUTED_VALUE"""),"| 1 L NS % | 2 L CPT % | 3 P JAVA % | 5 P Python % ")</f>
        <v xml:space="preserve">| 1 L NS % | 2 L CPT % | 3 P JAVA % | 5 P Python % </v>
      </c>
      <c r="AG246" s="4" t="str">
        <f ca="1">IFERROR(__xludf.DUMMYFUNCTION("""COMPUTED_VALUE"""),"| 1 L CPT % | 2 L JAVA % | 3 P PHP-CGM % ")</f>
        <v xml:space="preserve">| 1 L CPT % | 2 L JAVA % | 3 P PHP-CGM % </v>
      </c>
      <c r="AH246" s="4" t="str">
        <f ca="1">IFERROR(__xludf.DUMMYFUNCTION("""COMPUTED_VALUE"""),"| 2 L JAVA % | 1 L NS % | 3 P JAVA % | 5 P Python % ")</f>
        <v xml:space="preserve">| 2 L JAVA % | 1 L NS % | 3 P JAVA % | 5 P Python % </v>
      </c>
      <c r="AI246" s="4" t="str">
        <f ca="1">IFERROR(__xludf.DUMMYFUNCTION("""COMPUTED_VALUE"""),"| 1 L CPT % | 2 L JAVA % | 3 P PHP-CGM % ")</f>
        <v xml:space="preserve">| 1 L CPT % | 2 L JAVA % | 3 P PHP-CGM % </v>
      </c>
      <c r="AJ246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46" s="4" t="str">
        <f ca="1">IFERROR(__xludf.DUMMYFUNCTION("""COMPUTED_VALUE"""),"| 1 L CPT % | 3 P PRO % | 2 L PHP-CGM % | 5 P NS % ")</f>
        <v xml:space="preserve">| 1 L CPT % | 3 P PRO % | 2 L PHP-CGM % | 5 P NS % </v>
      </c>
      <c r="AL246" s="4" t="str">
        <f ca="1">IFERROR(__xludf.DUMMYFUNCTION("""COMPUTED_VALUE"""),"| 1 L CPT % | 2 L PHP-CGM % | 5 P CPT % ")</f>
        <v xml:space="preserve">| 1 L CPT % | 2 L PHP-CGM % | 5 P CPT % </v>
      </c>
      <c r="AM246" s="4" t="str">
        <f ca="1">IFERROR(__xludf.DUMMYFUNCTION("""COMPUTED_VALUE"""),"| 2 L JAVA % | 3 P JAVA % | 1 L NS % | 5 P Python % ")</f>
        <v xml:space="preserve">| 2 L JAVA % | 3 P JAVA % | 1 L NS % | 5 P Python % </v>
      </c>
      <c r="AN246" s="4" t="str">
        <f ca="1">IFERROR(__xludf.DUMMYFUNCTION("""COMPUTED_VALUE"""),"| 1 L CPT % | 2 L JAVA % | 3 P PHP-CGM % | 5 L INE % ")</f>
        <v xml:space="preserve">| 1 L CPT % | 2 L JAVA % | 3 P PHP-CGM % | 5 L INE % </v>
      </c>
      <c r="AO246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46" s="4" t="str">
        <f ca="1">IFERROR(__xludf.DUMMYFUNCTION("""COMPUTED_VALUE"""),"| 1 L CPT % | 2 L PHP-CGM % | 3 P PRO % | 5 P NS % ")</f>
        <v xml:space="preserve">| 1 L CPT % | 2 L PHP-CGM % | 3 P PRO % | 5 P NS % </v>
      </c>
      <c r="AQ246" s="4" t="str">
        <f ca="1">IFERROR(__xludf.DUMMYFUNCTION("""COMPUTED_VALUE"""),"| 2 L PHP-CGM % | 3 P Python % | 1 L NS % | 5 P CPT % ")</f>
        <v xml:space="preserve">| 2 L PHP-CGM % | 3 P Python % | 1 L NS % | 5 P CPT % </v>
      </c>
      <c r="AR246" s="4" t="str">
        <f ca="1">IFERROR(__xludf.DUMMYFUNCTION("""COMPUTED_VALUE"""),"| 1 L CPT % | 2 L JAVA % | 3 P JAVA % | 5 P Python % ")</f>
        <v xml:space="preserve">| 1 L CPT % | 2 L JAVA % | 3 P JAVA % | 5 P Python % </v>
      </c>
      <c r="AS24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46" s="4" t="str">
        <f ca="1">IFERROR(__xludf.DUMMYFUNCTION("""COMPUTED_VALUE"""),"| 1 L CPT % | 2 L PHP-CGM % | 3 P PRO % | 5 P NS @ ")</f>
        <v xml:space="preserve">| 1 L CPT % | 2 L PHP-CGM % | 3 P PRO % | 5 P NS @ </v>
      </c>
      <c r="AU246" s="4" t="str">
        <f ca="1">IFERROR(__xludf.DUMMYFUNCTION("""COMPUTED_VALUE"""),"| 1 L NS % | 2 L PHP-CGM % | 3 P Python % | 5 P CPT % ")</f>
        <v xml:space="preserve">| 1 L NS % | 2 L PHP-CGM % | 3 P Python % | 5 P CPT % </v>
      </c>
      <c r="AV246" s="4" t="str">
        <f ca="1">IFERROR(__xludf.DUMMYFUNCTION("""COMPUTED_VALUE"""),"| 1 L CPT % | 2 L JAVA % | 3 P JAVA % | 5 P PRO % ")</f>
        <v xml:space="preserve">| 1 L CPT % | 2 L JAVA % | 3 P JAVA % | 5 P PRO % </v>
      </c>
      <c r="AW246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46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46" s="4" t="str">
        <f ca="1">IFERROR(__xludf.DUMMYFUNCTION("""COMPUTED_VALUE"""),"| 1 L CPT % | 2 L PHP-CGM % | 3 P PRO % | 5 P NS % ")</f>
        <v xml:space="preserve">| 1 L CPT % | 2 L PHP-CGM % | 3 P PRO % | 5 P NS % </v>
      </c>
      <c r="AZ246" s="4" t="str">
        <f ca="1">IFERROR(__xludf.DUMMYFUNCTION("""COMPUTED_VALUE"""),"| 1 L CPT % | 2 L JAVA % | 3 P JAVA % | 5 P Python % ")</f>
        <v xml:space="preserve">| 1 L CPT % | 2 L JAVA % | 3 P JAVA % | 5 P Python % </v>
      </c>
      <c r="BA246" s="4" t="str">
        <f ca="1">IFERROR(__xludf.DUMMYFUNCTION("""COMPUTED_VALUE"""),"| 1 L CPT % | 2 L JAVA @ | 3 P PHP-CGM % | 5 L INE @ ")</f>
        <v xml:space="preserve">| 1 L CPT % | 2 L JAVA @ | 3 P PHP-CGM % | 5 L INE @ </v>
      </c>
      <c r="BB246" s="4" t="str">
        <f ca="1">IFERROR(__xludf.DUMMYFUNCTION("""COMPUTED_VALUE"""),"| 1 L NS % | 2 L PHP-CGM % | 3 P JAVA % | 5 L NS @ | 6 L JAVA % ")</f>
        <v xml:space="preserve">| 1 L NS % | 2 L PHP-CGM % | 3 P JAVA % | 5 L NS @ | 6 L JAVA % </v>
      </c>
      <c r="BC246" s="4" t="str">
        <f ca="1">IFERROR(__xludf.DUMMYFUNCTION("""COMPUTED_VALUE"""),"| 1 L CPT % | 2 L PHP-CGM % | 3 P PRO % | 5 P NS % ")</f>
        <v xml:space="preserve">| 1 L CPT % | 2 L PHP-CGM % | 3 P PRO % | 5 P NS % </v>
      </c>
      <c r="BD246" s="4" t="str">
        <f ca="1">IFERROR(__xludf.DUMMYFUNCTION("""COMPUTED_VALUE"""),"| 1 L NS % | 2 L PHP-CGM % | 3 P Python % | 5 P CPT % ")</f>
        <v xml:space="preserve">| 1 L NS % | 2 L PHP-CGM % | 3 P Python % | 5 P CPT % </v>
      </c>
      <c r="BE246" s="4" t="str">
        <f ca="1">IFERROR(__xludf.DUMMYFUNCTION("""COMPUTED_VALUE"""),"| 1 L CPT % | 2 L JAVA % | 5 P Python @ ")</f>
        <v xml:space="preserve">| 1 L CPT % | 2 L JAVA % | 5 P Python @ </v>
      </c>
      <c r="BF246" s="4" t="str">
        <f ca="1">IFERROR(__xludf.DUMMYFUNCTION("""COMPUTED_VALUE"""),"| 1 L CPT % | 2 L JAVA @ | 3 P PHP-CGM @ ")</f>
        <v xml:space="preserve">| 1 L CPT % | 2 L JAVA @ | 3 P PHP-CGM @ </v>
      </c>
      <c r="BG246" s="4" t="str">
        <f ca="1">IFERROR(__xludf.DUMMYFUNCTION("""COMPUTED_VALUE"""),"| 2 L PHP-CGM @ | 1 L CPT @ | 3 P PRO % | 5 P NS % ")</f>
        <v xml:space="preserve">| 2 L PHP-CGM @ | 1 L CPT @ | 3 P PRO % | 5 P NS % </v>
      </c>
      <c r="BH246" s="4" t="str">
        <f ca="1">IFERROR(__xludf.DUMMYFUNCTION("""COMPUTED_VALUE"""),"| 1 L NS % | 2 L PHP-CGM % | 3 P Python % | 5 P CPT % ")</f>
        <v xml:space="preserve">| 1 L NS % | 2 L PHP-CGM % | 3 P Python % | 5 P CPT % </v>
      </c>
      <c r="BI246" s="4" t="str">
        <f ca="1">IFERROR(__xludf.DUMMYFUNCTION("""COMPUTED_VALUE"""),"| 1 L CPT % | 2 L JAVA % | 3 P JAVA % | 5 P PRO % ")</f>
        <v xml:space="preserve">| 1 L CPT % | 2 L JAVA % | 3 P JAVA % | 5 P PRO % </v>
      </c>
      <c r="BJ246" s="4" t="str">
        <f ca="1">IFERROR(__xludf.DUMMYFUNCTION("""COMPUTED_VALUE"""),"| 1 L CPT @ | 2 L JAVA @ | 3 P PHP-CGM @ | 5 L INE % ")</f>
        <v xml:space="preserve">| 1 L CPT @ | 2 L JAVA @ | 3 P PHP-CGM @ | 5 L INE % </v>
      </c>
      <c r="BK246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46" s="4" t="str">
        <f ca="1">IFERROR(__xludf.DUMMYFUNCTION("""COMPUTED_VALUE"""),"| 1 L CPT @ | 2 L PHP-CGM @ | 3 P PRO @ | 5 P NS @ ")</f>
        <v xml:space="preserve">| 1 L CPT @ | 2 L PHP-CGM @ | 3 P PRO @ | 5 P NS @ </v>
      </c>
      <c r="BM246" s="4" t="str">
        <f ca="1">IFERROR(__xludf.DUMMYFUNCTION("""COMPUTED_VALUE"""),"| 1 L NS @ | 2 L PHP-CGM @ | 3 P Python @ | 5 P CPT @ ")</f>
        <v xml:space="preserve">| 1 L NS @ | 2 L PHP-CGM @ | 3 P Python @ | 5 P CPT @ </v>
      </c>
      <c r="BN246" s="4" t="str">
        <f ca="1">IFERROR(__xludf.DUMMYFUNCTION("""COMPUTED_VALUE"""),"| 2 L JAVA @ | 1 L CPT @ | 3 P JAVA @ | 5 P PRO @ ")</f>
        <v xml:space="preserve">| 2 L JAVA @ | 1 L CPT @ | 3 P JAVA @ | 5 P PRO @ </v>
      </c>
      <c r="BO246" s="4" t="str">
        <f ca="1">IFERROR(__xludf.DUMMYFUNCTION("""COMPUTED_VALUE"""),"| 2 L JAVA @ | 1 L CPT @ | 3 P PHP-CGM @ | 5 L INE @ ")</f>
        <v xml:space="preserve">| 2 L JAVA @ | 1 L CPT @ | 3 P PHP-CGM @ | 5 L INE @ </v>
      </c>
      <c r="BP24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46" s="4"/>
      <c r="BR246" s="4"/>
      <c r="BS246" s="4"/>
      <c r="BT246" s="4" t="str">
        <f ca="1">IFERROR(__xludf.DUMMYFUNCTION("""COMPUTED_VALUE"""),"| 1 L NS @ | 2 L PHP-CGM @ | 3 P JAVA @ ")</f>
        <v xml:space="preserve">| 1 L NS @ | 2 L PHP-CGM @ | 3 P JAVA @ </v>
      </c>
      <c r="BU246" s="4" t="str">
        <f ca="1">IFERROR(__xludf.DUMMYFUNCTION("""COMPUTED_VALUE"""),"| 1 L CPT @ ")</f>
        <v xml:space="preserve">| 1 L CPT @ </v>
      </c>
      <c r="BV246" s="4" t="str">
        <f ca="1">IFERROR(__xludf.DUMMYFUNCTION("""COMPUTED_VALUE"""),"| 1 L NS % | 2 L PHP-CGM % | 3 P JAVA % | 6 L JAVA % ")</f>
        <v xml:space="preserve">| 1 L NS % | 2 L PHP-CGM % | 3 P JAVA % | 6 L JAVA % </v>
      </c>
      <c r="BW246" s="4" t="str">
        <f ca="1">IFERROR(__xludf.DUMMYFUNCTION("""COMPUTED_VALUE"""),"| 1 L CPT % | 2 L PHP-CGM % | 3 P PRO % ")</f>
        <v xml:space="preserve">| 1 L CPT % | 2 L PHP-CGM % | 3 P PRO % </v>
      </c>
      <c r="BX246" s="4" t="str">
        <f ca="1">IFERROR(__xludf.DUMMYFUNCTION("""COMPUTED_VALUE"""),"| 1 L NS % | 2 L PHP-CGM % | 3 P Python % | 5 P CPT % ")</f>
        <v xml:space="preserve">| 1 L NS % | 2 L PHP-CGM % | 3 P Python % | 5 P CPT % </v>
      </c>
      <c r="BY246" s="4" t="str">
        <f ca="1">IFERROR(__xludf.DUMMYFUNCTION("""COMPUTED_VALUE"""),"| 1 L CPT % | 2 L JAVA % | 3 P JAVA % | 5 P Python @ ")</f>
        <v xml:space="preserve">| 1 L CPT % | 2 L JAVA % | 3 P JAVA % | 5 P Python @ </v>
      </c>
      <c r="BZ246" s="4" t="str">
        <f ca="1">IFERROR(__xludf.DUMMYFUNCTION("""COMPUTED_VALUE"""),"| 1 L CPT % | 2 L JAVA % | 3 P PHP-CGM % | 5 L INE % ")</f>
        <v xml:space="preserve">| 1 L CPT % | 2 L JAVA % | 3 P PHP-CGM % | 5 L INE % </v>
      </c>
      <c r="CA24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46" s="4" t="str">
        <f ca="1">IFERROR(__xludf.DUMMYFUNCTION("""COMPUTED_VALUE"""),"| 2 L PHP-CGM % | 3 P PRO % | 5 P NS @ | 1 L CPT % ")</f>
        <v xml:space="preserve">| 2 L PHP-CGM % | 3 P PRO % | 5 P NS @ | 1 L CPT % </v>
      </c>
      <c r="CC246" s="4" t="str">
        <f ca="1">IFERROR(__xludf.DUMMYFUNCTION("""COMPUTED_VALUE"""),"| 1 L NS @ | 2 L PHP-CGM @ | 3 P Python % | 5 P CPT @ ")</f>
        <v xml:space="preserve">| 1 L NS @ | 2 L PHP-CGM @ | 3 P Python % | 5 P CPT @ </v>
      </c>
      <c r="CD246" s="4" t="str">
        <f ca="1">IFERROR(__xludf.DUMMYFUNCTION("""COMPUTED_VALUE"""),"| 1 L CPT % | 2 L JAVA @ | 3 P JAVA @ | 5 P Python % ")</f>
        <v xml:space="preserve">| 1 L CPT % | 2 L JAVA @ | 3 P JAVA @ | 5 P Python % </v>
      </c>
      <c r="CE246" s="4" t="str">
        <f ca="1">IFERROR(__xludf.DUMMYFUNCTION("""COMPUTED_VALUE"""),"| 1 L CPT % | 2 L JAVA % | 3 P PHP-CGM % | 5 L INE % ")</f>
        <v xml:space="preserve">| 1 L CPT % | 2 L JAVA % | 3 P PHP-CGM % | 5 L INE % </v>
      </c>
      <c r="CF246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CG246" s="4" t="str">
        <f ca="1">IFERROR(__xludf.DUMMYFUNCTION("""COMPUTED_VALUE"""),"| 1 L CPT @ | 2 L PHP-CGM @ | 5 P NS % ")</f>
        <v xml:space="preserve">| 1 L CPT @ | 2 L PHP-CGM @ | 5 P NS % </v>
      </c>
      <c r="CH246" s="4" t="str">
        <f ca="1">IFERROR(__xludf.DUMMYFUNCTION("""COMPUTED_VALUE"""),"| 1 L NS @ | 2 L PHP-CGM @ ")</f>
        <v xml:space="preserve">| 1 L NS @ | 2 L PHP-CGM @ </v>
      </c>
      <c r="CI246" s="4" t="str">
        <f ca="1">IFERROR(__xludf.DUMMYFUNCTION("""COMPUTED_VALUE"""),"| 1 L CPT @ | 2 L JAVA @ | 3 P JAVA @ ")</f>
        <v xml:space="preserve">| 1 L CPT @ | 2 L JAVA @ | 3 P JAVA @ </v>
      </c>
      <c r="CJ246" s="4" t="str">
        <f ca="1">IFERROR(__xludf.DUMMYFUNCTION("""COMPUTED_VALUE"""),"| 1 L CPT @ | 3 P PHP-CGM % ")</f>
        <v xml:space="preserve">| 1 L CPT @ | 3 P PHP-CGM % </v>
      </c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</row>
    <row r="247" spans="1:102" ht="12.5" x14ac:dyDescent="0.25">
      <c r="A247" s="3">
        <f ca="1">IFERROR(__xludf.DUMMYFUNCTION("""COMPUTED_VALUE"""),4)</f>
        <v>4</v>
      </c>
      <c r="B247" s="3" t="str">
        <f ca="1">IFERROR(__xludf.DUMMYFUNCTION("""COMPUTED_VALUE"""),"C")</f>
        <v>C</v>
      </c>
      <c r="C247" s="32" t="str">
        <f ca="1">IFERROR(__xludf.DUMMYFUNCTION("""COMPUTED_VALUE"""),"23171341185")</f>
        <v>23171341185</v>
      </c>
      <c r="D247" s="4" t="str">
        <f ca="1">IFERROR(__xludf.DUMMYFUNCTION("""COMPUTED_VALUE"""),"SOLANKI MAITRA RITESHBHAI")</f>
        <v>SOLANKI MAITRA RITESHBHAI</v>
      </c>
      <c r="E247" s="3" t="str">
        <f ca="1">IFERROR(__xludf.DUMMYFUNCTION("""COMPUTED_VALUE"""),"PKN/PAP-Mor")</f>
        <v>PKN/PAP-Mor</v>
      </c>
      <c r="F247" s="3">
        <f ca="1">IFERROR(__xludf.DUMMYFUNCTION("""COMPUTED_VALUE"""),7984820870)</f>
        <v>7984820870</v>
      </c>
      <c r="G247" s="3">
        <f ca="1">IFERROR(__xludf.DUMMYFUNCTION("""COMPUTED_VALUE"""),9558537034)</f>
        <v>9558537034</v>
      </c>
      <c r="H247" s="33">
        <f ca="1">IFERROR(__xludf.DUMMYFUNCTION("""COMPUTED_VALUE"""),0.633744855967078)</f>
        <v>0.63374485596707797</v>
      </c>
      <c r="I247" s="25">
        <f ca="1">IFERROR(__xludf.DUMMYFUNCTION("""COMPUTED_VALUE"""),0.578947368421052)</f>
        <v>0.57894736842105199</v>
      </c>
      <c r="J247" s="25">
        <f ca="1">IFERROR(__xludf.DUMMYFUNCTION("""COMPUTED_VALUE"""),0.7)</f>
        <v>0.7</v>
      </c>
      <c r="K247" s="25">
        <f ca="1">IFERROR(__xludf.DUMMYFUNCTION("""COMPUTED_VALUE"""),0.722222222222222)</f>
        <v>0.72222222222222199</v>
      </c>
      <c r="L247" s="25">
        <f ca="1">IFERROR(__xludf.DUMMYFUNCTION("""COMPUTED_VALUE"""),0.818181818181818)</f>
        <v>0.81818181818181801</v>
      </c>
      <c r="M247" s="25">
        <f ca="1">IFERROR(__xludf.DUMMYFUNCTION("""COMPUTED_VALUE"""),0.777777777777777)</f>
        <v>0.77777777777777701</v>
      </c>
      <c r="N247" s="25">
        <f ca="1">IFERROR(__xludf.DUMMYFUNCTION("""COMPUTED_VALUE"""),0.583333333333333)</f>
        <v>0.58333333333333304</v>
      </c>
      <c r="O247" s="25">
        <f ca="1">IFERROR(__xludf.DUMMYFUNCTION("""COMPUTED_VALUE"""),0.542857142857142)</f>
        <v>0.54285714285714204</v>
      </c>
      <c r="P247" s="25">
        <f ca="1">IFERROR(__xludf.DUMMYFUNCTION("""COMPUTED_VALUE"""),0.52)</f>
        <v>0.52</v>
      </c>
      <c r="Q247" s="25">
        <f ca="1">IFERROR(__xludf.DUMMYFUNCTION("""COMPUTED_VALUE"""),0)</f>
        <v>0</v>
      </c>
      <c r="R247" s="25">
        <f ca="1">IFERROR(__xludf.DUMMYFUNCTION("""COMPUTED_VALUE"""),0.647058823529411)</f>
        <v>0.64705882352941102</v>
      </c>
      <c r="S247" s="25">
        <f ca="1">IFERROR(__xludf.DUMMYFUNCTION("""COMPUTED_VALUE"""),0)</f>
        <v>0</v>
      </c>
      <c r="T247" s="25">
        <f ca="1">IFERROR(__xludf.DUMMYFUNCTION("""COMPUTED_VALUE"""),0.6)</f>
        <v>0.6</v>
      </c>
      <c r="U247" s="25">
        <f ca="1">IFERROR(__xludf.DUMMYFUNCTION("""COMPUTED_VALUE"""),0.375)</f>
        <v>0.375</v>
      </c>
      <c r="V247" s="25">
        <f ca="1">IFERROR(__xludf.DUMMYFUNCTION("""COMPUTED_VALUE"""),0)</f>
        <v>0</v>
      </c>
      <c r="W247" s="4"/>
      <c r="X247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47" s="4" t="str">
        <f ca="1">IFERROR(__xludf.DUMMYFUNCTION("""COMPUTED_VALUE"""),"| 1 L CPT % | 5 L PHP-CGM % | 3 P PRO % | 5 P NS % ")</f>
        <v xml:space="preserve">| 1 L CPT % | 5 L PHP-CGM % | 3 P PRO % | 5 P NS % </v>
      </c>
      <c r="Z247" s="4" t="str">
        <f ca="1">IFERROR(__xludf.DUMMYFUNCTION("""COMPUTED_VALUE"""),"| 1 L CPT @ | 2 L PHP-CGM % | 3 P Python % | 5 P CPT % ")</f>
        <v xml:space="preserve">| 1 L CPT @ | 2 L PHP-CGM % | 3 P Python % | 5 P CPT % </v>
      </c>
      <c r="AA247" s="4" t="str">
        <f ca="1">IFERROR(__xludf.DUMMYFUNCTION("""COMPUTED_VALUE"""),"| 1 L NS % | 2 L JAVA % | 3 P JAVA % | 5 P PRO % ")</f>
        <v xml:space="preserve">| 1 L NS % | 2 L JAVA % | 3 P JAVA % | 5 P PRO % </v>
      </c>
      <c r="AB247" s="4" t="str">
        <f ca="1">IFERROR(__xludf.DUMMYFUNCTION("""COMPUTED_VALUE"""),"| 1 L CPT % | 2 L JAVA % | 3 P PHP-CGM % ")</f>
        <v xml:space="preserve">| 1 L CPT % | 2 L JAVA % | 3 P PHP-CGM % </v>
      </c>
      <c r="AC247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47" s="4" t="str">
        <f ca="1">IFERROR(__xludf.DUMMYFUNCTION("""COMPUTED_VALUE"""),"| 1 L CPT % | 2 L PHP-CGM % | 3 P PRO % | 5 P NS % ")</f>
        <v xml:space="preserve">| 1 L CPT % | 2 L PHP-CGM % | 3 P PRO % | 5 P NS % </v>
      </c>
      <c r="AE247" s="4" t="str">
        <f ca="1">IFERROR(__xludf.DUMMYFUNCTION("""COMPUTED_VALUE"""),"| 1 L CPT % | 3 P Python % | 5 P CPT % | 2 L PHP-CGM % ")</f>
        <v xml:space="preserve">| 1 L CPT % | 3 P Python % | 5 P CPT % | 2 L PHP-CGM % </v>
      </c>
      <c r="AF247" s="4" t="str">
        <f ca="1">IFERROR(__xludf.DUMMYFUNCTION("""COMPUTED_VALUE"""),"| 1 L NS @ | 2 L CPT % | 3 P JAVA @ | 5 P Python % ")</f>
        <v xml:space="preserve">| 1 L NS @ | 2 L CPT % | 3 P JAVA @ | 5 P Python % </v>
      </c>
      <c r="AG247" s="4" t="str">
        <f ca="1">IFERROR(__xludf.DUMMYFUNCTION("""COMPUTED_VALUE"""),"| 1 L CPT % | 2 L JAVA % | 3 P PHP-CGM % ")</f>
        <v xml:space="preserve">| 1 L CPT % | 2 L JAVA % | 3 P PHP-CGM % </v>
      </c>
      <c r="AH247" s="4" t="str">
        <f ca="1">IFERROR(__xludf.DUMMYFUNCTION("""COMPUTED_VALUE"""),"| 2 L JAVA @ | 1 L NS @ | 3 P JAVA @ | 5 P Python @ ")</f>
        <v xml:space="preserve">| 2 L JAVA @ | 1 L NS @ | 3 P JAVA @ | 5 P Python @ </v>
      </c>
      <c r="AI247" s="4" t="str">
        <f ca="1">IFERROR(__xludf.DUMMYFUNCTION("""COMPUTED_VALUE"""),"| 1 L CPT @ | 2 L JAVA @ | 3 P PHP-CGM @ ")</f>
        <v xml:space="preserve">| 1 L CPT @ | 2 L JAVA @ | 3 P PHP-CGM @ </v>
      </c>
      <c r="AJ247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47" s="4" t="str">
        <f ca="1">IFERROR(__xludf.DUMMYFUNCTION("""COMPUTED_VALUE"""),"| 1 L CPT % | 3 P PRO % | 2 L PHP-CGM % | 5 P NS % ")</f>
        <v xml:space="preserve">| 1 L CPT % | 3 P PRO % | 2 L PHP-CGM % | 5 P NS % </v>
      </c>
      <c r="AL247" s="4" t="str">
        <f ca="1">IFERROR(__xludf.DUMMYFUNCTION("""COMPUTED_VALUE"""),"| 1 L CPT % | 2 L PHP-CGM % | 5 P CPT % ")</f>
        <v xml:space="preserve">| 1 L CPT % | 2 L PHP-CGM % | 5 P CPT % </v>
      </c>
      <c r="AM247" s="4" t="str">
        <f ca="1">IFERROR(__xludf.DUMMYFUNCTION("""COMPUTED_VALUE"""),"| 2 L JAVA % | 3 P JAVA % | 1 L NS % | 5 P Python % ")</f>
        <v xml:space="preserve">| 2 L JAVA % | 3 P JAVA % | 1 L NS % | 5 P Python % </v>
      </c>
      <c r="AN247" s="4" t="str">
        <f ca="1">IFERROR(__xludf.DUMMYFUNCTION("""COMPUTED_VALUE"""),"| 1 L CPT % | 2 L JAVA % | 3 P PHP-CGM % | 5 L INE @ ")</f>
        <v xml:space="preserve">| 1 L CPT % | 2 L JAVA % | 3 P PHP-CGM % | 5 L INE @ </v>
      </c>
      <c r="AO247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47" s="4" t="str">
        <f ca="1">IFERROR(__xludf.DUMMYFUNCTION("""COMPUTED_VALUE"""),"| 1 L CPT % | 2 L PHP-CGM % | 3 P PRO % | 5 P NS % ")</f>
        <v xml:space="preserve">| 1 L CPT % | 2 L PHP-CGM % | 3 P PRO % | 5 P NS % </v>
      </c>
      <c r="AQ247" s="4" t="str">
        <f ca="1">IFERROR(__xludf.DUMMYFUNCTION("""COMPUTED_VALUE"""),"| 2 L PHP-CGM % | 3 P Python % | 1 L NS % | 5 P CPT % ")</f>
        <v xml:space="preserve">| 2 L PHP-CGM % | 3 P Python % | 1 L NS % | 5 P CPT % </v>
      </c>
      <c r="AR247" s="4" t="str">
        <f ca="1">IFERROR(__xludf.DUMMYFUNCTION("""COMPUTED_VALUE"""),"| 1 L CPT @ | 2 L JAVA @ | 3 P JAVA @ | 5 P Python @ ")</f>
        <v xml:space="preserve">| 1 L CPT @ | 2 L JAVA @ | 3 P JAVA @ | 5 P Python @ </v>
      </c>
      <c r="AS247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47" s="4" t="str">
        <f ca="1">IFERROR(__xludf.DUMMYFUNCTION("""COMPUTED_VALUE"""),"| 1 L CPT % | 2 L PHP-CGM % | 3 P PRO @ | 5 P NS % ")</f>
        <v xml:space="preserve">| 1 L CPT % | 2 L PHP-CGM % | 3 P PRO @ | 5 P NS % </v>
      </c>
      <c r="AU247" s="4" t="str">
        <f ca="1">IFERROR(__xludf.DUMMYFUNCTION("""COMPUTED_VALUE"""),"| 1 L NS % | 2 L PHP-CGM % | 3 P Python % | 5 P CPT % ")</f>
        <v xml:space="preserve">| 1 L NS % | 2 L PHP-CGM % | 3 P Python % | 5 P CPT % </v>
      </c>
      <c r="AV247" s="4" t="str">
        <f ca="1">IFERROR(__xludf.DUMMYFUNCTION("""COMPUTED_VALUE"""),"| 1 L CPT @ | 2 L JAVA @ | 3 P JAVA @ | 5 P PRO @ ")</f>
        <v xml:space="preserve">| 1 L CPT @ | 2 L JAVA @ | 3 P JAVA @ | 5 P PRO @ </v>
      </c>
      <c r="AW247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47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47" s="4" t="str">
        <f ca="1">IFERROR(__xludf.DUMMYFUNCTION("""COMPUTED_VALUE"""),"| 1 L CPT % | 2 L PHP-CGM % | 3 P PRO @ | 5 P NS @ ")</f>
        <v xml:space="preserve">| 1 L CPT % | 2 L PHP-CGM % | 3 P PRO @ | 5 P NS @ </v>
      </c>
      <c r="AZ247" s="4" t="str">
        <f ca="1">IFERROR(__xludf.DUMMYFUNCTION("""COMPUTED_VALUE"""),"| 1 L CPT @ | 2 L JAVA @ | 3 P JAVA @ | 5 P Python @ ")</f>
        <v xml:space="preserve">| 1 L CPT @ | 2 L JAVA @ | 3 P JAVA @ | 5 P Python @ </v>
      </c>
      <c r="BA247" s="4" t="str">
        <f ca="1">IFERROR(__xludf.DUMMYFUNCTION("""COMPUTED_VALUE"""),"| 1 L CPT @ | 2 L JAVA @ | 3 P PHP-CGM @ | 5 L INE @ ")</f>
        <v xml:space="preserve">| 1 L CPT @ | 2 L JAVA @ | 3 P PHP-CGM @ | 5 L INE @ </v>
      </c>
      <c r="BB247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7" s="4" t="str">
        <f ca="1">IFERROR(__xludf.DUMMYFUNCTION("""COMPUTED_VALUE"""),"| 1 L CPT % | 2 L PHP-CGM % | 3 P PRO % | 5 P NS % ")</f>
        <v xml:space="preserve">| 1 L CPT % | 2 L PHP-CGM % | 3 P PRO % | 5 P NS % </v>
      </c>
      <c r="BD247" s="4" t="str">
        <f ca="1">IFERROR(__xludf.DUMMYFUNCTION("""COMPUTED_VALUE"""),"| 1 L NS % | 2 L PHP-CGM % | 3 P Python % | 5 P CPT % ")</f>
        <v xml:space="preserve">| 1 L NS % | 2 L PHP-CGM % | 3 P Python % | 5 P CPT % </v>
      </c>
      <c r="BE247" s="4" t="str">
        <f ca="1">IFERROR(__xludf.DUMMYFUNCTION("""COMPUTED_VALUE"""),"| 1 L CPT % | 2 L JAVA % | 5 P Python % ")</f>
        <v xml:space="preserve">| 1 L CPT % | 2 L JAVA % | 5 P Python % </v>
      </c>
      <c r="BF247" s="4" t="str">
        <f ca="1">IFERROR(__xludf.DUMMYFUNCTION("""COMPUTED_VALUE"""),"| 1 L CPT % | 2 L JAVA % | 3 P PHP-CGM % ")</f>
        <v xml:space="preserve">| 1 L CPT % | 2 L JAVA % | 3 P PHP-CGM % </v>
      </c>
      <c r="BG247" s="4" t="str">
        <f ca="1">IFERROR(__xludf.DUMMYFUNCTION("""COMPUTED_VALUE"""),"| 2 L PHP-CGM @ | 1 L CPT @ | 3 P PRO @ | 5 P NS @ ")</f>
        <v xml:space="preserve">| 2 L PHP-CGM @ | 1 L CPT @ | 3 P PRO @ | 5 P NS @ </v>
      </c>
      <c r="BH247" s="4" t="str">
        <f ca="1">IFERROR(__xludf.DUMMYFUNCTION("""COMPUTED_VALUE"""),"| 1 L NS % | 2 L PHP-CGM % | 3 P Python % | 5 P CPT @ ")</f>
        <v xml:space="preserve">| 1 L NS % | 2 L PHP-CGM % | 3 P Python % | 5 P CPT @ </v>
      </c>
      <c r="BI247" s="4" t="str">
        <f ca="1">IFERROR(__xludf.DUMMYFUNCTION("""COMPUTED_VALUE"""),"| 1 L CPT % | 2 L JAVA % | 3 P JAVA % | 5 P PRO % ")</f>
        <v xml:space="preserve">| 1 L CPT % | 2 L JAVA % | 3 P JAVA % | 5 P PRO % </v>
      </c>
      <c r="BJ247" s="4" t="str">
        <f ca="1">IFERROR(__xludf.DUMMYFUNCTION("""COMPUTED_VALUE"""),"| 1 L CPT @ | 2 L JAVA @ | 3 P PHP-CGM @ | 5 L INE @ ")</f>
        <v xml:space="preserve">| 1 L CPT @ | 2 L JAVA @ | 3 P PHP-CGM @ | 5 L INE @ </v>
      </c>
      <c r="BK247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47" s="4" t="str">
        <f ca="1">IFERROR(__xludf.DUMMYFUNCTION("""COMPUTED_VALUE"""),"| 1 L CPT % | 2 L PHP-CGM % | 3 P PRO @ | 5 P NS % ")</f>
        <v xml:space="preserve">| 1 L CPT % | 2 L PHP-CGM % | 3 P PRO @ | 5 P NS % </v>
      </c>
      <c r="BM247" s="4" t="str">
        <f ca="1">IFERROR(__xludf.DUMMYFUNCTION("""COMPUTED_VALUE"""),"| 1 L NS @ | 2 L PHP-CGM @ | 3 P Python @ | 5 P CPT @ ")</f>
        <v xml:space="preserve">| 1 L NS @ | 2 L PHP-CGM @ | 3 P Python @ | 5 P CPT @ </v>
      </c>
      <c r="BN247" s="4" t="str">
        <f ca="1">IFERROR(__xludf.DUMMYFUNCTION("""COMPUTED_VALUE"""),"| 2 L JAVA @ | 1 L CPT @ | 3 P JAVA @ | 5 P PRO @ ")</f>
        <v xml:space="preserve">| 2 L JAVA @ | 1 L CPT @ | 3 P JAVA @ | 5 P PRO @ </v>
      </c>
      <c r="BO247" s="4" t="str">
        <f ca="1">IFERROR(__xludf.DUMMYFUNCTION("""COMPUTED_VALUE"""),"| 2 L JAVA @ | 1 L CPT @ | 3 P PHP-CGM @ | 5 L INE @ ")</f>
        <v xml:space="preserve">| 2 L JAVA @ | 1 L CPT @ | 3 P PHP-CGM @ | 5 L INE @ </v>
      </c>
      <c r="BP247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BQ247" s="4"/>
      <c r="BR247" s="4"/>
      <c r="BS247" s="4"/>
      <c r="BT247" s="4" t="str">
        <f ca="1">IFERROR(__xludf.DUMMYFUNCTION("""COMPUTED_VALUE"""),"| 1 L NS @ | 2 L PHP-CGM @ | 3 P JAVA @ ")</f>
        <v xml:space="preserve">| 1 L NS @ | 2 L PHP-CGM @ | 3 P JAVA @ </v>
      </c>
      <c r="BU247" s="4" t="str">
        <f ca="1">IFERROR(__xludf.DUMMYFUNCTION("""COMPUTED_VALUE"""),"| 1 L CPT @ ")</f>
        <v xml:space="preserve">| 1 L CPT @ </v>
      </c>
      <c r="BV247" s="4" t="str">
        <f ca="1">IFERROR(__xludf.DUMMYFUNCTION("""COMPUTED_VALUE"""),"| 1 L NS @ | 2 L PHP-CGM @ | 3 P JAVA @ | 6 L JAVA @ ")</f>
        <v xml:space="preserve">| 1 L NS @ | 2 L PHP-CGM @ | 3 P JAVA @ | 6 L JAVA @ </v>
      </c>
      <c r="BW247" s="4" t="str">
        <f ca="1">IFERROR(__xludf.DUMMYFUNCTION("""COMPUTED_VALUE"""),"| 1 L CPT % | 2 L PHP-CGM % | 3 P PRO % ")</f>
        <v xml:space="preserve">| 1 L CPT % | 2 L PHP-CGM % | 3 P PRO % </v>
      </c>
      <c r="BX247" s="4" t="str">
        <f ca="1">IFERROR(__xludf.DUMMYFUNCTION("""COMPUTED_VALUE"""),"| 1 L NS % | 2 L PHP-CGM % | 3 P Python % | 5 P CPT @ ")</f>
        <v xml:space="preserve">| 1 L NS % | 2 L PHP-CGM % | 3 P Python % | 5 P CPT @ </v>
      </c>
      <c r="BY247" s="4" t="str">
        <f ca="1">IFERROR(__xludf.DUMMYFUNCTION("""COMPUTED_VALUE"""),"| 1 L CPT % | 2 L JAVA % | 3 P JAVA % | 5 P Python @ ")</f>
        <v xml:space="preserve">| 1 L CPT % | 2 L JAVA % | 3 P JAVA % | 5 P Python @ </v>
      </c>
      <c r="BZ247" s="4" t="str">
        <f ca="1">IFERROR(__xludf.DUMMYFUNCTION("""COMPUTED_VALUE"""),"| 1 L CPT @ | 2 L JAVA @ | 3 P PHP-CGM % | 5 L INE @ ")</f>
        <v xml:space="preserve">| 1 L CPT @ | 2 L JAVA @ | 3 P PHP-CGM % | 5 L INE @ </v>
      </c>
      <c r="CA247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CB247" s="4" t="str">
        <f ca="1">IFERROR(__xludf.DUMMYFUNCTION("""COMPUTED_VALUE"""),"| 2 L PHP-CGM % | 3 P PRO % | 5 P NS % | 1 L CPT % ")</f>
        <v xml:space="preserve">| 2 L PHP-CGM % | 3 P PRO % | 5 P NS % | 1 L CPT % </v>
      </c>
      <c r="CC247" s="4" t="str">
        <f ca="1">IFERROR(__xludf.DUMMYFUNCTION("""COMPUTED_VALUE"""),"| 1 L NS % | 2 L PHP-CGM % | 3 P Python % | 5 P CPT % ")</f>
        <v xml:space="preserve">| 1 L NS % | 2 L PHP-CGM % | 3 P Python % | 5 P CPT % </v>
      </c>
      <c r="CD247" s="4" t="str">
        <f ca="1">IFERROR(__xludf.DUMMYFUNCTION("""COMPUTED_VALUE"""),"| 1 L CPT % | 2 L JAVA @ | 3 P JAVA @ | 5 P Python @ ")</f>
        <v xml:space="preserve">| 1 L CPT % | 2 L JAVA @ | 3 P JAVA @ | 5 P Python @ </v>
      </c>
      <c r="CE247" s="4" t="str">
        <f ca="1">IFERROR(__xludf.DUMMYFUNCTION("""COMPUTED_VALUE"""),"| 1 L CPT @ | 2 L JAVA @ | 3 P PHP-CGM % | 5 L INE % ")</f>
        <v xml:space="preserve">| 1 L CPT @ | 2 L JAVA @ | 3 P PHP-CGM % | 5 L INE % </v>
      </c>
      <c r="CF247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CG247" s="4" t="str">
        <f ca="1">IFERROR(__xludf.DUMMYFUNCTION("""COMPUTED_VALUE"""),"| 1 L CPT @ | 2 L PHP-CGM @ | 5 P NS % ")</f>
        <v xml:space="preserve">| 1 L CPT @ | 2 L PHP-CGM @ | 5 P NS % </v>
      </c>
      <c r="CH247" s="4" t="str">
        <f ca="1">IFERROR(__xludf.DUMMYFUNCTION("""COMPUTED_VALUE"""),"| 1 L NS % | 2 L PHP-CGM % ")</f>
        <v xml:space="preserve">| 1 L NS % | 2 L PHP-CGM % </v>
      </c>
      <c r="CI247" s="4" t="str">
        <f ca="1">IFERROR(__xludf.DUMMYFUNCTION("""COMPUTED_VALUE"""),"| 1 L CPT @ | 2 L JAVA @ | 3 P JAVA @ ")</f>
        <v xml:space="preserve">| 1 L CPT @ | 2 L JAVA @ | 3 P JAVA @ </v>
      </c>
      <c r="CJ247" s="4" t="str">
        <f ca="1">IFERROR(__xludf.DUMMYFUNCTION("""COMPUTED_VALUE"""),"| 1 L CPT @ | 3 P PHP-CGM @ ")</f>
        <v xml:space="preserve">| 1 L CPT @ | 3 P PHP-CGM @ </v>
      </c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</row>
    <row r="248" spans="1:102" ht="12.5" x14ac:dyDescent="0.25">
      <c r="A248" s="3">
        <f ca="1">IFERROR(__xludf.DUMMYFUNCTION("""COMPUTED_VALUE"""),4)</f>
        <v>4</v>
      </c>
      <c r="B248" s="3" t="str">
        <f ca="1">IFERROR(__xludf.DUMMYFUNCTION("""COMPUTED_VALUE"""),"C")</f>
        <v>C</v>
      </c>
      <c r="C248" s="32" t="str">
        <f ca="1">IFERROR(__xludf.DUMMYFUNCTION("""COMPUTED_VALUE"""),"23171341186")</f>
        <v>23171341186</v>
      </c>
      <c r="D248" s="4" t="str">
        <f ca="1">IFERROR(__xludf.DUMMYFUNCTION("""COMPUTED_VALUE"""),"SONI TIRTHA MAYANKKUMAR")</f>
        <v>SONI TIRTHA MAYANKKUMAR</v>
      </c>
      <c r="E248" s="3" t="str">
        <f ca="1">IFERROR(__xludf.DUMMYFUNCTION("""COMPUTED_VALUE"""),"PKN/PAP-Mor")</f>
        <v>PKN/PAP-Mor</v>
      </c>
      <c r="F248" s="3">
        <f ca="1">IFERROR(__xludf.DUMMYFUNCTION("""COMPUTED_VALUE"""),6351375926)</f>
        <v>6351375926</v>
      </c>
      <c r="G248" s="3">
        <f ca="1">IFERROR(__xludf.DUMMYFUNCTION("""COMPUTED_VALUE"""),9898245145)</f>
        <v>9898245145</v>
      </c>
      <c r="H248" s="33">
        <f ca="1">IFERROR(__xludf.DUMMYFUNCTION("""COMPUTED_VALUE"""),0.596707818930041)</f>
        <v>0.59670781893004099</v>
      </c>
      <c r="I248" s="25">
        <f ca="1">IFERROR(__xludf.DUMMYFUNCTION("""COMPUTED_VALUE"""),0.710526315789473)</f>
        <v>0.71052631578947301</v>
      </c>
      <c r="J248" s="25">
        <f ca="1">IFERROR(__xludf.DUMMYFUNCTION("""COMPUTED_VALUE"""),0.6)</f>
        <v>0.6</v>
      </c>
      <c r="K248" s="25">
        <f ca="1">IFERROR(__xludf.DUMMYFUNCTION("""COMPUTED_VALUE"""),0.527777777777777)</f>
        <v>0.52777777777777701</v>
      </c>
      <c r="L248" s="25">
        <f ca="1">IFERROR(__xludf.DUMMYFUNCTION("""COMPUTED_VALUE"""),0.545454545454545)</f>
        <v>0.54545454545454497</v>
      </c>
      <c r="M248" s="25">
        <f ca="1">IFERROR(__xludf.DUMMYFUNCTION("""COMPUTED_VALUE"""),0.694444444444444)</f>
        <v>0.69444444444444398</v>
      </c>
      <c r="N248" s="25">
        <f ca="1">IFERROR(__xludf.DUMMYFUNCTION("""COMPUTED_VALUE"""),0.583333333333333)</f>
        <v>0.58333333333333304</v>
      </c>
      <c r="O248" s="25">
        <f ca="1">IFERROR(__xludf.DUMMYFUNCTION("""COMPUTED_VALUE"""),0.542857142857142)</f>
        <v>0.54285714285714204</v>
      </c>
      <c r="P248" s="25">
        <f ca="1">IFERROR(__xludf.DUMMYFUNCTION("""COMPUTED_VALUE"""),0.56)</f>
        <v>0.56000000000000005</v>
      </c>
      <c r="Q248" s="25">
        <f ca="1">IFERROR(__xludf.DUMMYFUNCTION("""COMPUTED_VALUE"""),0)</f>
        <v>0</v>
      </c>
      <c r="R248" s="25">
        <f ca="1">IFERROR(__xludf.DUMMYFUNCTION("""COMPUTED_VALUE"""),0.529411764705882)</f>
        <v>0.52941176470588203</v>
      </c>
      <c r="S248" s="25">
        <f ca="1">IFERROR(__xludf.DUMMYFUNCTION("""COMPUTED_VALUE"""),0)</f>
        <v>0</v>
      </c>
      <c r="T248" s="25">
        <f ca="1">IFERROR(__xludf.DUMMYFUNCTION("""COMPUTED_VALUE"""),0.666666666666666)</f>
        <v>0.66666666666666596</v>
      </c>
      <c r="U248" s="25">
        <f ca="1">IFERROR(__xludf.DUMMYFUNCTION("""COMPUTED_VALUE"""),0.375)</f>
        <v>0.375</v>
      </c>
      <c r="V248" s="25">
        <f ca="1">IFERROR(__xludf.DUMMYFUNCTION("""COMPUTED_VALUE"""),0)</f>
        <v>0</v>
      </c>
      <c r="W248" s="4"/>
      <c r="X24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48" s="4" t="str">
        <f ca="1">IFERROR(__xludf.DUMMYFUNCTION("""COMPUTED_VALUE"""),"| 1 L CPT % | 5 L PHP-CGM % | 3 P PRO % | 5 P NS % ")</f>
        <v xml:space="preserve">| 1 L CPT % | 5 L PHP-CGM % | 3 P PRO % | 5 P NS % </v>
      </c>
      <c r="Z248" s="4" t="str">
        <f ca="1">IFERROR(__xludf.DUMMYFUNCTION("""COMPUTED_VALUE"""),"| 1 L CPT @ | 2 L PHP-CGM % | 3 P Python % | 5 P CPT % ")</f>
        <v xml:space="preserve">| 1 L CPT @ | 2 L PHP-CGM % | 3 P Python % | 5 P CPT % </v>
      </c>
      <c r="AA248" s="4" t="str">
        <f ca="1">IFERROR(__xludf.DUMMYFUNCTION("""COMPUTED_VALUE"""),"| 1 L NS % | 2 L JAVA % | 3 P JAVA % | 5 P PRO @ ")</f>
        <v xml:space="preserve">| 1 L NS % | 2 L JAVA % | 3 P JAVA % | 5 P PRO @ </v>
      </c>
      <c r="AB248" s="4" t="str">
        <f ca="1">IFERROR(__xludf.DUMMYFUNCTION("""COMPUTED_VALUE"""),"| 1 L CPT % | 2 L JAVA % | 3 P PHP-CGM % ")</f>
        <v xml:space="preserve">| 1 L CPT % | 2 L JAVA % | 3 P PHP-CGM % </v>
      </c>
      <c r="AC248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48" s="4" t="str">
        <f ca="1">IFERROR(__xludf.DUMMYFUNCTION("""COMPUTED_VALUE"""),"| 1 L CPT % | 2 L PHP-CGM % | 3 P PRO % | 5 P NS % ")</f>
        <v xml:space="preserve">| 1 L CPT % | 2 L PHP-CGM % | 3 P PRO % | 5 P NS % </v>
      </c>
      <c r="AE248" s="4" t="str">
        <f ca="1">IFERROR(__xludf.DUMMYFUNCTION("""COMPUTED_VALUE"""),"| 1 L CPT % | 3 P Python % | 5 P CPT % | 2 L PHP-CGM % ")</f>
        <v xml:space="preserve">| 1 L CPT % | 3 P Python % | 5 P CPT % | 2 L PHP-CGM % </v>
      </c>
      <c r="AF248" s="4" t="str">
        <f ca="1">IFERROR(__xludf.DUMMYFUNCTION("""COMPUTED_VALUE"""),"| 1 L NS % | 2 L CPT % | 3 P JAVA % | 5 P Python % ")</f>
        <v xml:space="preserve">| 1 L NS % | 2 L CPT % | 3 P JAVA % | 5 P Python % </v>
      </c>
      <c r="AG248" s="4" t="str">
        <f ca="1">IFERROR(__xludf.DUMMYFUNCTION("""COMPUTED_VALUE"""),"| 1 L CPT % | 2 L JAVA % | 3 P PHP-CGM % ")</f>
        <v xml:space="preserve">| 1 L CPT % | 2 L JAVA % | 3 P PHP-CGM % </v>
      </c>
      <c r="AH248" s="4" t="str">
        <f ca="1">IFERROR(__xludf.DUMMYFUNCTION("""COMPUTED_VALUE"""),"| 2 L JAVA @ | 1 L NS @ | 3 P JAVA @ | 5 P Python @ ")</f>
        <v xml:space="preserve">| 2 L JAVA @ | 1 L NS @ | 3 P JAVA @ | 5 P Python @ </v>
      </c>
      <c r="AI248" s="4" t="str">
        <f ca="1">IFERROR(__xludf.DUMMYFUNCTION("""COMPUTED_VALUE"""),"| 1 L CPT @ | 2 L JAVA @ | 3 P PHP-CGM @ ")</f>
        <v xml:space="preserve">| 1 L CPT @ | 2 L JAVA @ | 3 P PHP-CGM @ </v>
      </c>
      <c r="AJ24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48" s="4" t="str">
        <f ca="1">IFERROR(__xludf.DUMMYFUNCTION("""COMPUTED_VALUE"""),"| 1 L CPT % | 3 P PRO % | 2 L PHP-CGM % | 5 P NS @ ")</f>
        <v xml:space="preserve">| 1 L CPT % | 3 P PRO % | 2 L PHP-CGM % | 5 P NS @ </v>
      </c>
      <c r="AL248" s="4" t="str">
        <f ca="1">IFERROR(__xludf.DUMMYFUNCTION("""COMPUTED_VALUE"""),"| 1 L CPT % | 2 L PHP-CGM % | 5 P CPT % ")</f>
        <v xml:space="preserve">| 1 L CPT % | 2 L PHP-CGM % | 5 P CPT % </v>
      </c>
      <c r="AM248" s="4" t="str">
        <f ca="1">IFERROR(__xludf.DUMMYFUNCTION("""COMPUTED_VALUE"""),"| 2 L JAVA @ | 3 P JAVA @ | 1 L NS @ | 5 P Python @ ")</f>
        <v xml:space="preserve">| 2 L JAVA @ | 3 P JAVA @ | 1 L NS @ | 5 P Python @ </v>
      </c>
      <c r="AN248" s="4" t="str">
        <f ca="1">IFERROR(__xludf.DUMMYFUNCTION("""COMPUTED_VALUE"""),"| 1 L CPT @ | 2 L JAVA @ | 3 P PHP-CGM @ | 5 L INE @ ")</f>
        <v xml:space="preserve">| 1 L CPT @ | 2 L JAVA @ | 3 P PHP-CGM @ | 5 L INE @ </v>
      </c>
      <c r="AO24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48" s="4" t="str">
        <f ca="1">IFERROR(__xludf.DUMMYFUNCTION("""COMPUTED_VALUE"""),"| 1 L CPT % | 2 L PHP-CGM % | 3 P PRO % | 5 P NS % ")</f>
        <v xml:space="preserve">| 1 L CPT % | 2 L PHP-CGM % | 3 P PRO % | 5 P NS % </v>
      </c>
      <c r="AQ248" s="4" t="str">
        <f ca="1">IFERROR(__xludf.DUMMYFUNCTION("""COMPUTED_VALUE"""),"| 2 L PHP-CGM @ | 3 P Python @ | 1 L NS @ | 5 P CPT @ ")</f>
        <v xml:space="preserve">| 2 L PHP-CGM @ | 3 P Python @ | 1 L NS @ | 5 P CPT @ </v>
      </c>
      <c r="AR248" s="4" t="str">
        <f ca="1">IFERROR(__xludf.DUMMYFUNCTION("""COMPUTED_VALUE"""),"| 1 L CPT % | 2 L JAVA % | 3 P JAVA @ | 5 P Python @ ")</f>
        <v xml:space="preserve">| 1 L CPT % | 2 L JAVA % | 3 P JAVA @ | 5 P Python @ </v>
      </c>
      <c r="AS24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48" s="4" t="str">
        <f ca="1">IFERROR(__xludf.DUMMYFUNCTION("""COMPUTED_VALUE"""),"| 1 L CPT % | 2 L PHP-CGM % | 3 P PRO % | 5 P NS @ ")</f>
        <v xml:space="preserve">| 1 L CPT % | 2 L PHP-CGM % | 3 P PRO % | 5 P NS @ </v>
      </c>
      <c r="AU248" s="4" t="str">
        <f ca="1">IFERROR(__xludf.DUMMYFUNCTION("""COMPUTED_VALUE"""),"| 1 L NS % | 2 L PHP-CGM % | 3 P Python % | 5 P CPT % ")</f>
        <v xml:space="preserve">| 1 L NS % | 2 L PHP-CGM % | 3 P Python % | 5 P CPT % </v>
      </c>
      <c r="AV248" s="4" t="str">
        <f ca="1">IFERROR(__xludf.DUMMYFUNCTION("""COMPUTED_VALUE"""),"| 1 L CPT % | 2 L JAVA % | 3 P JAVA % | 5 P PRO % ")</f>
        <v xml:space="preserve">| 1 L CPT % | 2 L JAVA % | 3 P JAVA % | 5 P PRO % </v>
      </c>
      <c r="AW248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4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48" s="4" t="str">
        <f ca="1">IFERROR(__xludf.DUMMYFUNCTION("""COMPUTED_VALUE"""),"| 1 L CPT % | 2 L PHP-CGM % | 3 P PRO % | 5 P NS % ")</f>
        <v xml:space="preserve">| 1 L CPT % | 2 L PHP-CGM % | 3 P PRO % | 5 P NS % </v>
      </c>
      <c r="AZ248" s="4" t="str">
        <f ca="1">IFERROR(__xludf.DUMMYFUNCTION("""COMPUTED_VALUE"""),"| 1 L CPT % | 2 L JAVA % | 3 P JAVA % | 5 P Python % ")</f>
        <v xml:space="preserve">| 1 L CPT % | 2 L JAVA % | 3 P JAVA % | 5 P Python % </v>
      </c>
      <c r="BA248" s="4" t="str">
        <f ca="1">IFERROR(__xludf.DUMMYFUNCTION("""COMPUTED_VALUE"""),"| 1 L CPT @ | 2 L JAVA @ | 3 P PHP-CGM @ | 5 L INE @ ")</f>
        <v xml:space="preserve">| 1 L CPT @ | 2 L JAVA @ | 3 P PHP-CGM @ | 5 L INE @ </v>
      </c>
      <c r="BB24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C248" s="4" t="str">
        <f ca="1">IFERROR(__xludf.DUMMYFUNCTION("""COMPUTED_VALUE"""),"| 1 L CPT % | 2 L PHP-CGM % | 3 P PRO % | 5 P NS % ")</f>
        <v xml:space="preserve">| 1 L CPT % | 2 L PHP-CGM % | 3 P PRO % | 5 P NS % </v>
      </c>
      <c r="BD248" s="4" t="str">
        <f ca="1">IFERROR(__xludf.DUMMYFUNCTION("""COMPUTED_VALUE"""),"| 1 L NS % | 2 L PHP-CGM % | 3 P Python % | 5 P CPT % ")</f>
        <v xml:space="preserve">| 1 L NS % | 2 L PHP-CGM % | 3 P Python % | 5 P CPT % </v>
      </c>
      <c r="BE248" s="4" t="str">
        <f ca="1">IFERROR(__xludf.DUMMYFUNCTION("""COMPUTED_VALUE"""),"| 1 L CPT % | 2 L JAVA % | 5 P Python @ ")</f>
        <v xml:space="preserve">| 1 L CPT % | 2 L JAVA % | 5 P Python @ </v>
      </c>
      <c r="BF248" s="4" t="str">
        <f ca="1">IFERROR(__xludf.DUMMYFUNCTION("""COMPUTED_VALUE"""),"| 1 L CPT % | 2 L JAVA % | 3 P PHP-CGM % ")</f>
        <v xml:space="preserve">| 1 L CPT % | 2 L JAVA % | 3 P PHP-CGM % </v>
      </c>
      <c r="BG248" s="4" t="str">
        <f ca="1">IFERROR(__xludf.DUMMYFUNCTION("""COMPUTED_VALUE"""),"| 2 L PHP-CGM % | 1 L CPT % | 3 P PRO % | 5 P NS @ ")</f>
        <v xml:space="preserve">| 2 L PHP-CGM % | 1 L CPT % | 3 P PRO % | 5 P NS @ </v>
      </c>
      <c r="BH248" s="4" t="str">
        <f ca="1">IFERROR(__xludf.DUMMYFUNCTION("""COMPUTED_VALUE"""),"| 1 L NS % | 2 L PHP-CGM % | 3 P Python % | 5 P CPT @ ")</f>
        <v xml:space="preserve">| 1 L NS % | 2 L PHP-CGM % | 3 P Python % | 5 P CPT @ </v>
      </c>
      <c r="BI248" s="4" t="str">
        <f ca="1">IFERROR(__xludf.DUMMYFUNCTION("""COMPUTED_VALUE"""),"| 1 L CPT % | 2 L JAVA % | 3 P JAVA % | 5 P PRO % ")</f>
        <v xml:space="preserve">| 1 L CPT % | 2 L JAVA % | 3 P JAVA % | 5 P PRO % </v>
      </c>
      <c r="BJ248" s="4" t="str">
        <f ca="1">IFERROR(__xludf.DUMMYFUNCTION("""COMPUTED_VALUE"""),"| 1 L CPT @ | 2 L JAVA @ | 3 P PHP-CGM @ | 5 L INE @ ")</f>
        <v xml:space="preserve">| 1 L CPT @ | 2 L JAVA @ | 3 P PHP-CGM @ | 5 L INE @ </v>
      </c>
      <c r="BK248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L248" s="4" t="str">
        <f ca="1">IFERROR(__xludf.DUMMYFUNCTION("""COMPUTED_VALUE"""),"| 1 L CPT % | 2 L PHP-CGM % | 3 P PRO @ | 5 P NS @ ")</f>
        <v xml:space="preserve">| 1 L CPT % | 2 L PHP-CGM % | 3 P PRO @ | 5 P NS @ </v>
      </c>
      <c r="BM248" s="4" t="str">
        <f ca="1">IFERROR(__xludf.DUMMYFUNCTION("""COMPUTED_VALUE"""),"| 1 L NS @ | 2 L PHP-CGM @ | 3 P Python @ | 5 P CPT @ ")</f>
        <v xml:space="preserve">| 1 L NS @ | 2 L PHP-CGM @ | 3 P Python @ | 5 P CPT @ </v>
      </c>
      <c r="BN248" s="4" t="str">
        <f ca="1">IFERROR(__xludf.DUMMYFUNCTION("""COMPUTED_VALUE"""),"| 2 L JAVA @ | 1 L CPT @ | 3 P JAVA @ | 5 P PRO @ ")</f>
        <v xml:space="preserve">| 2 L JAVA @ | 1 L CPT @ | 3 P JAVA @ | 5 P PRO @ </v>
      </c>
      <c r="BO248" s="4" t="str">
        <f ca="1">IFERROR(__xludf.DUMMYFUNCTION("""COMPUTED_VALUE"""),"| 2 L JAVA @ | 1 L CPT @ | 3 P PHP-CGM @ | 5 L INE @ ")</f>
        <v xml:space="preserve">| 2 L JAVA @ | 1 L CPT @ | 3 P PHP-CGM @ | 5 L INE @ </v>
      </c>
      <c r="BP24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48" s="4"/>
      <c r="BR248" s="4"/>
      <c r="BS248" s="4"/>
      <c r="BT248" s="4" t="str">
        <f ca="1">IFERROR(__xludf.DUMMYFUNCTION("""COMPUTED_VALUE"""),"| 1 L NS @ | 2 L PHP-CGM @ | 3 P JAVA @ ")</f>
        <v xml:space="preserve">| 1 L NS @ | 2 L PHP-CGM @ | 3 P JAVA @ </v>
      </c>
      <c r="BU248" s="4" t="str">
        <f ca="1">IFERROR(__xludf.DUMMYFUNCTION("""COMPUTED_VALUE"""),"| 1 L CPT @ ")</f>
        <v xml:space="preserve">| 1 L CPT @ </v>
      </c>
      <c r="BV248" s="4" t="str">
        <f ca="1">IFERROR(__xludf.DUMMYFUNCTION("""COMPUTED_VALUE"""),"| 1 L NS @ | 2 L PHP-CGM @ | 3 P JAVA @ | 6 L JAVA @ ")</f>
        <v xml:space="preserve">| 1 L NS @ | 2 L PHP-CGM @ | 3 P JAVA @ | 6 L JAVA @ </v>
      </c>
      <c r="BW248" s="4" t="str">
        <f ca="1">IFERROR(__xludf.DUMMYFUNCTION("""COMPUTED_VALUE"""),"| 1 L CPT @ | 2 L PHP-CGM @ | 3 P PRO @ ")</f>
        <v xml:space="preserve">| 1 L CPT @ | 2 L PHP-CGM @ | 3 P PRO @ </v>
      </c>
      <c r="BX248" s="4" t="str">
        <f ca="1">IFERROR(__xludf.DUMMYFUNCTION("""COMPUTED_VALUE"""),"| 1 L NS % | 2 L PHP-CGM % | 3 P Python % | 5 P CPT % ")</f>
        <v xml:space="preserve">| 1 L NS % | 2 L PHP-CGM % | 3 P Python % | 5 P CPT % </v>
      </c>
      <c r="BY248" s="4" t="str">
        <f ca="1">IFERROR(__xludf.DUMMYFUNCTION("""COMPUTED_VALUE"""),"| 1 L CPT % | 2 L JAVA % | 3 P JAVA % | 5 P Python @ ")</f>
        <v xml:space="preserve">| 1 L CPT % | 2 L JAVA % | 3 P JAVA % | 5 P Python @ </v>
      </c>
      <c r="BZ248" s="4" t="str">
        <f ca="1">IFERROR(__xludf.DUMMYFUNCTION("""COMPUTED_VALUE"""),"| 1 L CPT % | 2 L JAVA % | 3 P PHP-CGM % | 5 L INE @ ")</f>
        <v xml:space="preserve">| 1 L CPT % | 2 L JAVA % | 3 P PHP-CGM % | 5 L INE @ </v>
      </c>
      <c r="CA24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48" s="4" t="str">
        <f ca="1">IFERROR(__xludf.DUMMYFUNCTION("""COMPUTED_VALUE"""),"| 2 L PHP-CGM % | 3 P PRO @ | 5 P NS @ | 1 L CPT % ")</f>
        <v xml:space="preserve">| 2 L PHP-CGM % | 3 P PRO @ | 5 P NS @ | 1 L CPT % </v>
      </c>
      <c r="CC248" s="4" t="str">
        <f ca="1">IFERROR(__xludf.DUMMYFUNCTION("""COMPUTED_VALUE"""),"| 1 L NS @ | 2 L PHP-CGM @ | 3 P Python @ | 5 P CPT @ ")</f>
        <v xml:space="preserve">| 1 L NS @ | 2 L PHP-CGM @ | 3 P Python @ | 5 P CPT @ </v>
      </c>
      <c r="CD248" s="4" t="str">
        <f ca="1">IFERROR(__xludf.DUMMYFUNCTION("""COMPUTED_VALUE"""),"| 1 L CPT % | 2 L JAVA @ | 3 P JAVA @ | 5 P Python % ")</f>
        <v xml:space="preserve">| 1 L CPT % | 2 L JAVA @ | 3 P JAVA @ | 5 P Python % </v>
      </c>
      <c r="CE248" s="4" t="str">
        <f ca="1">IFERROR(__xludf.DUMMYFUNCTION("""COMPUTED_VALUE"""),"| 1 L CPT % | 2 L JAVA % | 3 P PHP-CGM % | 5 L INE % ")</f>
        <v xml:space="preserve">| 1 L CPT % | 2 L JAVA % | 3 P PHP-CGM % | 5 L INE % </v>
      </c>
      <c r="CF24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48" s="4" t="str">
        <f ca="1">IFERROR(__xludf.DUMMYFUNCTION("""COMPUTED_VALUE"""),"| 1 L CPT % | 2 L PHP-CGM % | 5 P NS % ")</f>
        <v xml:space="preserve">| 1 L CPT % | 2 L PHP-CGM % | 5 P NS % </v>
      </c>
      <c r="CH248" s="4" t="str">
        <f ca="1">IFERROR(__xludf.DUMMYFUNCTION("""COMPUTED_VALUE"""),"| 1 L NS @ | 2 L PHP-CGM @ ")</f>
        <v xml:space="preserve">| 1 L NS @ | 2 L PHP-CGM @ </v>
      </c>
      <c r="CI248" s="4" t="str">
        <f ca="1">IFERROR(__xludf.DUMMYFUNCTION("""COMPUTED_VALUE"""),"| 1 L CPT @ | 2 L JAVA @ | 3 P JAVA % ")</f>
        <v xml:space="preserve">| 1 L CPT @ | 2 L JAVA @ | 3 P JAVA % </v>
      </c>
      <c r="CJ248" s="4" t="str">
        <f ca="1">IFERROR(__xludf.DUMMYFUNCTION("""COMPUTED_VALUE"""),"| 1 L CPT @ | 3 P PHP-CGM % ")</f>
        <v xml:space="preserve">| 1 L CPT @ | 3 P PHP-CGM % </v>
      </c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</row>
    <row r="249" spans="1:102" ht="12.5" x14ac:dyDescent="0.25">
      <c r="A249" s="3">
        <f ca="1">IFERROR(__xludf.DUMMYFUNCTION("""COMPUTED_VALUE"""),4)</f>
        <v>4</v>
      </c>
      <c r="B249" s="3" t="str">
        <f ca="1">IFERROR(__xludf.DUMMYFUNCTION("""COMPUTED_VALUE"""),"C")</f>
        <v>C</v>
      </c>
      <c r="C249" s="32" t="str">
        <f ca="1">IFERROR(__xludf.DUMMYFUNCTION("""COMPUTED_VALUE"""),"23171341187")</f>
        <v>23171341187</v>
      </c>
      <c r="D249" s="4" t="str">
        <f ca="1">IFERROR(__xludf.DUMMYFUNCTION("""COMPUTED_VALUE"""),"SUKHADIYA DHARMIK KALPESHKUMAR")</f>
        <v>SUKHADIYA DHARMIK KALPESHKUMAR</v>
      </c>
      <c r="E249" s="3" t="str">
        <f ca="1">IFERROR(__xludf.DUMMYFUNCTION("""COMPUTED_VALUE"""),"PKN/PAP-Mor")</f>
        <v>PKN/PAP-Mor</v>
      </c>
      <c r="F249" s="3">
        <f ca="1">IFERROR(__xludf.DUMMYFUNCTION("""COMPUTED_VALUE"""),9624664005)</f>
        <v>9624664005</v>
      </c>
      <c r="G249" s="3">
        <f ca="1">IFERROR(__xludf.DUMMYFUNCTION("""COMPUTED_VALUE"""),9624664005)</f>
        <v>9624664005</v>
      </c>
      <c r="H249" s="33">
        <f ca="1">IFERROR(__xludf.DUMMYFUNCTION("""COMPUTED_VALUE"""),0.588477366255144)</f>
        <v>0.58847736625514402</v>
      </c>
      <c r="I249" s="25">
        <f ca="1">IFERROR(__xludf.DUMMYFUNCTION("""COMPUTED_VALUE"""),0.578947368421052)</f>
        <v>0.57894736842105199</v>
      </c>
      <c r="J249" s="25">
        <f ca="1">IFERROR(__xludf.DUMMYFUNCTION("""COMPUTED_VALUE"""),0.8)</f>
        <v>0.8</v>
      </c>
      <c r="K249" s="25">
        <f ca="1">IFERROR(__xludf.DUMMYFUNCTION("""COMPUTED_VALUE"""),0.527777777777777)</f>
        <v>0.52777777777777701</v>
      </c>
      <c r="L249" s="25">
        <f ca="1">IFERROR(__xludf.DUMMYFUNCTION("""COMPUTED_VALUE"""),0.727272727272727)</f>
        <v>0.72727272727272696</v>
      </c>
      <c r="M249" s="25">
        <f ca="1">IFERROR(__xludf.DUMMYFUNCTION("""COMPUTED_VALUE"""),0.638888888888888)</f>
        <v>0.63888888888888795</v>
      </c>
      <c r="N249" s="25">
        <f ca="1">IFERROR(__xludf.DUMMYFUNCTION("""COMPUTED_VALUE"""),0.666666666666666)</f>
        <v>0.66666666666666596</v>
      </c>
      <c r="O249" s="25">
        <f ca="1">IFERROR(__xludf.DUMMYFUNCTION("""COMPUTED_VALUE"""),0.514285714285714)</f>
        <v>0.51428571428571401</v>
      </c>
      <c r="P249" s="25">
        <f ca="1">IFERROR(__xludf.DUMMYFUNCTION("""COMPUTED_VALUE"""),0.52)</f>
        <v>0.52</v>
      </c>
      <c r="Q249" s="25">
        <f ca="1">IFERROR(__xludf.DUMMYFUNCTION("""COMPUTED_VALUE"""),0)</f>
        <v>0</v>
      </c>
      <c r="R249" s="25">
        <f ca="1">IFERROR(__xludf.DUMMYFUNCTION("""COMPUTED_VALUE"""),0.588235294117647)</f>
        <v>0.58823529411764697</v>
      </c>
      <c r="S249" s="25">
        <f ca="1">IFERROR(__xludf.DUMMYFUNCTION("""COMPUTED_VALUE"""),0)</f>
        <v>0</v>
      </c>
      <c r="T249" s="25">
        <f ca="1">IFERROR(__xludf.DUMMYFUNCTION("""COMPUTED_VALUE"""),0.8)</f>
        <v>0.8</v>
      </c>
      <c r="U249" s="25">
        <f ca="1">IFERROR(__xludf.DUMMYFUNCTION("""COMPUTED_VALUE"""),0.25)</f>
        <v>0.25</v>
      </c>
      <c r="V249" s="25">
        <f ca="1">IFERROR(__xludf.DUMMYFUNCTION("""COMPUTED_VALUE"""),0)</f>
        <v>0</v>
      </c>
      <c r="W249" s="4"/>
      <c r="X24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49" s="4" t="str">
        <f ca="1">IFERROR(__xludf.DUMMYFUNCTION("""COMPUTED_VALUE"""),"| 1 L CPT % | 5 L PHP-CGM % | 3 P PRO % | 5 P NS % ")</f>
        <v xml:space="preserve">| 1 L CPT % | 5 L PHP-CGM % | 3 P PRO % | 5 P NS % </v>
      </c>
      <c r="Z249" s="4" t="str">
        <f ca="1">IFERROR(__xludf.DUMMYFUNCTION("""COMPUTED_VALUE"""),"| 1 L CPT % | 2 L PHP-CGM % | 3 P Python % | 5 P CPT % ")</f>
        <v xml:space="preserve">| 1 L CPT % | 2 L PHP-CGM % | 3 P Python % | 5 P CPT % </v>
      </c>
      <c r="AA249" s="4" t="str">
        <f ca="1">IFERROR(__xludf.DUMMYFUNCTION("""COMPUTED_VALUE"""),"| 1 L NS % | 2 L JAVA % | 3 P JAVA % | 5 P PRO % ")</f>
        <v xml:space="preserve">| 1 L NS % | 2 L JAVA % | 3 P JAVA % | 5 P PRO % </v>
      </c>
      <c r="AB249" s="4" t="str">
        <f ca="1">IFERROR(__xludf.DUMMYFUNCTION("""COMPUTED_VALUE"""),"| 1 L CPT % | 2 L JAVA % | 3 P PHP-CGM % ")</f>
        <v xml:space="preserve">| 1 L CPT % | 2 L JAVA % | 3 P PHP-CGM % </v>
      </c>
      <c r="AC249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49" s="4" t="str">
        <f ca="1">IFERROR(__xludf.DUMMYFUNCTION("""COMPUTED_VALUE"""),"| 1 L CPT % | 2 L PHP-CGM % | 3 P PRO % | 5 P NS % ")</f>
        <v xml:space="preserve">| 1 L CPT % | 2 L PHP-CGM % | 3 P PRO % | 5 P NS % </v>
      </c>
      <c r="AE249" s="4" t="str">
        <f ca="1">IFERROR(__xludf.DUMMYFUNCTION("""COMPUTED_VALUE"""),"| 1 L CPT @ | 3 P Python % | 5 P CPT % | 2 L PHP-CGM @ ")</f>
        <v xml:space="preserve">| 1 L CPT @ | 3 P Python % | 5 P CPT % | 2 L PHP-CGM @ </v>
      </c>
      <c r="AF249" s="4" t="str">
        <f ca="1">IFERROR(__xludf.DUMMYFUNCTION("""COMPUTED_VALUE"""),"| 1 L NS @ | 2 L CPT @ | 3 P JAVA @ | 5 P Python @ ")</f>
        <v xml:space="preserve">| 1 L NS @ | 2 L CPT @ | 3 P JAVA @ | 5 P Python @ </v>
      </c>
      <c r="AG249" s="4" t="str">
        <f ca="1">IFERROR(__xludf.DUMMYFUNCTION("""COMPUTED_VALUE"""),"| 1 L CPT % | 2 L JAVA % | 3 P PHP-CGM % ")</f>
        <v xml:space="preserve">| 1 L CPT % | 2 L JAVA % | 3 P PHP-CGM % </v>
      </c>
      <c r="AH249" s="4" t="str">
        <f ca="1">IFERROR(__xludf.DUMMYFUNCTION("""COMPUTED_VALUE"""),"| 2 L JAVA % | 1 L NS % | 3 P JAVA % | 5 P Python % ")</f>
        <v xml:space="preserve">| 2 L JAVA % | 1 L NS % | 3 P JAVA % | 5 P Python % </v>
      </c>
      <c r="AI249" s="4" t="str">
        <f ca="1">IFERROR(__xludf.DUMMYFUNCTION("""COMPUTED_VALUE"""),"| 1 L CPT % | 2 L JAVA % | 3 P PHP-CGM % ")</f>
        <v xml:space="preserve">| 1 L CPT % | 2 L JAVA % | 3 P PHP-CGM % </v>
      </c>
      <c r="AJ24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49" s="4" t="str">
        <f ca="1">IFERROR(__xludf.DUMMYFUNCTION("""COMPUTED_VALUE"""),"| 1 L CPT % | 3 P PRO % | 2 L PHP-CGM % | 5 P NS % ")</f>
        <v xml:space="preserve">| 1 L CPT % | 3 P PRO % | 2 L PHP-CGM % | 5 P NS % </v>
      </c>
      <c r="AL249" s="4" t="str">
        <f ca="1">IFERROR(__xludf.DUMMYFUNCTION("""COMPUTED_VALUE"""),"| 1 L CPT % | 2 L PHP-CGM % | 5 P CPT % ")</f>
        <v xml:space="preserve">| 1 L CPT % | 2 L PHP-CGM % | 5 P CPT % </v>
      </c>
      <c r="AM249" s="4" t="str">
        <f ca="1">IFERROR(__xludf.DUMMYFUNCTION("""COMPUTED_VALUE"""),"| 2 L JAVA % | 3 P JAVA % | 1 L NS % | 5 P Python % ")</f>
        <v xml:space="preserve">| 2 L JAVA % | 3 P JAVA % | 1 L NS % | 5 P Python % </v>
      </c>
      <c r="AN249" s="4" t="str">
        <f ca="1">IFERROR(__xludf.DUMMYFUNCTION("""COMPUTED_VALUE"""),"| 1 L CPT % | 2 L JAVA % | 3 P PHP-CGM % | 5 L INE % ")</f>
        <v xml:space="preserve">| 1 L CPT % | 2 L JAVA % | 3 P PHP-CGM % | 5 L INE % </v>
      </c>
      <c r="AO249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49" s="4" t="str">
        <f ca="1">IFERROR(__xludf.DUMMYFUNCTION("""COMPUTED_VALUE"""),"| 1 L CPT % | 2 L PHP-CGM % | 3 P PRO % | 5 P NS @ ")</f>
        <v xml:space="preserve">| 1 L CPT % | 2 L PHP-CGM % | 3 P PRO % | 5 P NS @ </v>
      </c>
      <c r="AQ249" s="4" t="str">
        <f ca="1">IFERROR(__xludf.DUMMYFUNCTION("""COMPUTED_VALUE"""),"| 2 L PHP-CGM % | 3 P Python % | 1 L NS % | 5 P CPT @ ")</f>
        <v xml:space="preserve">| 2 L PHP-CGM % | 3 P Python % | 1 L NS % | 5 P CPT @ </v>
      </c>
      <c r="AR249" s="4" t="str">
        <f ca="1">IFERROR(__xludf.DUMMYFUNCTION("""COMPUTED_VALUE"""),"| 1 L CPT @ | 2 L JAVA @ | 3 P JAVA @ | 5 P Python @ ")</f>
        <v xml:space="preserve">| 1 L CPT @ | 2 L JAVA @ | 3 P JAVA @ | 5 P Python @ </v>
      </c>
      <c r="AS24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49" s="4" t="str">
        <f ca="1">IFERROR(__xludf.DUMMYFUNCTION("""COMPUTED_VALUE"""),"| 1 L CPT @ | 2 L PHP-CGM % | 3 P PRO % | 5 P NS % ")</f>
        <v xml:space="preserve">| 1 L CPT @ | 2 L PHP-CGM % | 3 P PRO % | 5 P NS % </v>
      </c>
      <c r="AU249" s="4" t="str">
        <f ca="1">IFERROR(__xludf.DUMMYFUNCTION("""COMPUTED_VALUE"""),"| 1 L NS % | 2 L PHP-CGM % | 3 P Python % | 5 P CPT % ")</f>
        <v xml:space="preserve">| 1 L NS % | 2 L PHP-CGM % | 3 P Python % | 5 P CPT % </v>
      </c>
      <c r="AV249" s="4" t="str">
        <f ca="1">IFERROR(__xludf.DUMMYFUNCTION("""COMPUTED_VALUE"""),"| 1 L CPT % | 2 L JAVA % | 3 P JAVA % | 5 P PRO % ")</f>
        <v xml:space="preserve">| 1 L CPT % | 2 L JAVA % | 3 P JAVA % | 5 P PRO % </v>
      </c>
      <c r="AW249" s="4" t="str">
        <f ca="1">IFERROR(__xludf.DUMMYFUNCTION("""COMPUTED_VALUE"""),"| 1 L CPT % | 2 L JAVA % | 3 P PHP-CGM % | 5 L INE @ | 6 L INE @ ")</f>
        <v xml:space="preserve">| 1 L CPT % | 2 L JAVA % | 3 P PHP-CGM % | 5 L INE @ | 6 L INE @ </v>
      </c>
      <c r="AX249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49" s="4" t="str">
        <f ca="1">IFERROR(__xludf.DUMMYFUNCTION("""COMPUTED_VALUE"""),"| 1 L CPT % | 2 L PHP-CGM % | 3 P PRO % | 5 P NS @ ")</f>
        <v xml:space="preserve">| 1 L CPT % | 2 L PHP-CGM % | 3 P PRO % | 5 P NS @ </v>
      </c>
      <c r="AZ249" s="4" t="str">
        <f ca="1">IFERROR(__xludf.DUMMYFUNCTION("""COMPUTED_VALUE"""),"| 1 L CPT @ | 2 L JAVA @ | 3 P JAVA @ | 5 P Python @ ")</f>
        <v xml:space="preserve">| 1 L CPT @ | 2 L JAVA @ | 3 P JAVA @ | 5 P Python @ </v>
      </c>
      <c r="BA249" s="4" t="str">
        <f ca="1">IFERROR(__xludf.DUMMYFUNCTION("""COMPUTED_VALUE"""),"| 1 L CPT @ | 2 L JAVA @ | 3 P PHP-CGM @ | 5 L INE @ ")</f>
        <v xml:space="preserve">| 1 L CPT @ | 2 L JAVA @ | 3 P PHP-CGM @ | 5 L INE @ </v>
      </c>
      <c r="BB249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49" s="4" t="str">
        <f ca="1">IFERROR(__xludf.DUMMYFUNCTION("""COMPUTED_VALUE"""),"| 1 L CPT % | 2 L PHP-CGM % | 3 P PRO % | 5 P NS % ")</f>
        <v xml:space="preserve">| 1 L CPT % | 2 L PHP-CGM % | 3 P PRO % | 5 P NS % </v>
      </c>
      <c r="BD249" s="4" t="str">
        <f ca="1">IFERROR(__xludf.DUMMYFUNCTION("""COMPUTED_VALUE"""),"| 1 L NS % | 2 L PHP-CGM % | 3 P Python % | 5 P CPT % ")</f>
        <v xml:space="preserve">| 1 L NS % | 2 L PHP-CGM % | 3 P Python % | 5 P CPT % </v>
      </c>
      <c r="BE249" s="4" t="str">
        <f ca="1">IFERROR(__xludf.DUMMYFUNCTION("""COMPUTED_VALUE"""),"| 1 L CPT % | 2 L JAVA % | 5 P Python % ")</f>
        <v xml:space="preserve">| 1 L CPT % | 2 L JAVA % | 5 P Python % </v>
      </c>
      <c r="BF249" s="4" t="str">
        <f ca="1">IFERROR(__xludf.DUMMYFUNCTION("""COMPUTED_VALUE"""),"| 1 L CPT % | 2 L JAVA % | 3 P PHP-CGM % ")</f>
        <v xml:space="preserve">| 1 L CPT % | 2 L JAVA % | 3 P PHP-CGM % </v>
      </c>
      <c r="BG249" s="4" t="str">
        <f ca="1">IFERROR(__xludf.DUMMYFUNCTION("""COMPUTED_VALUE"""),"| 2 L PHP-CGM % | 1 L CPT % | 3 P PRO % | 5 P NS % ")</f>
        <v xml:space="preserve">| 2 L PHP-CGM % | 1 L CPT % | 3 P PRO % | 5 P NS % </v>
      </c>
      <c r="BH249" s="4" t="str">
        <f ca="1">IFERROR(__xludf.DUMMYFUNCTION("""COMPUTED_VALUE"""),"| 1 L NS % | 2 L PHP-CGM % | 3 P Python % | 5 P CPT % ")</f>
        <v xml:space="preserve">| 1 L NS % | 2 L PHP-CGM % | 3 P Python % | 5 P CPT % </v>
      </c>
      <c r="BI249" s="4" t="str">
        <f ca="1">IFERROR(__xludf.DUMMYFUNCTION("""COMPUTED_VALUE"""),"| 1 L CPT % | 2 L JAVA % | 3 P JAVA % | 5 P PRO @ ")</f>
        <v xml:space="preserve">| 1 L CPT % | 2 L JAVA % | 3 P JAVA % | 5 P PRO @ </v>
      </c>
      <c r="BJ249" s="4" t="str">
        <f ca="1">IFERROR(__xludf.DUMMYFUNCTION("""COMPUTED_VALUE"""),"| 1 L CPT @ | 2 L JAVA @ | 3 P PHP-CGM @ | 5 L INE @ ")</f>
        <v xml:space="preserve">| 1 L CPT @ | 2 L JAVA @ | 3 P PHP-CGM @ | 5 L INE @ </v>
      </c>
      <c r="BK24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49" s="4" t="str">
        <f ca="1">IFERROR(__xludf.DUMMYFUNCTION("""COMPUTED_VALUE"""),"| 1 L CPT @ | 2 L PHP-CGM @ | 3 P PRO @ | 5 P NS @ ")</f>
        <v xml:space="preserve">| 1 L CPT @ | 2 L PHP-CGM @ | 3 P PRO @ | 5 P NS @ </v>
      </c>
      <c r="BM249" s="4" t="str">
        <f ca="1">IFERROR(__xludf.DUMMYFUNCTION("""COMPUTED_VALUE"""),"| 1 L NS @ | 2 L PHP-CGM @ | 3 P Python @ | 5 P CPT % ")</f>
        <v xml:space="preserve">| 1 L NS @ | 2 L PHP-CGM @ | 3 P Python @ | 5 P CPT % </v>
      </c>
      <c r="BN249" s="4" t="str">
        <f ca="1">IFERROR(__xludf.DUMMYFUNCTION("""COMPUTED_VALUE"""),"| 2 L JAVA @ | 1 L CPT @ | 3 P JAVA @ | 5 P PRO @ ")</f>
        <v xml:space="preserve">| 2 L JAVA @ | 1 L CPT @ | 3 P JAVA @ | 5 P PRO @ </v>
      </c>
      <c r="BO249" s="4" t="str">
        <f ca="1">IFERROR(__xludf.DUMMYFUNCTION("""COMPUTED_VALUE"""),"| 2 L JAVA @ | 1 L CPT @ | 3 P PHP-CGM @ | 5 L INE @ ")</f>
        <v xml:space="preserve">| 2 L JAVA @ | 1 L CPT @ | 3 P PHP-CGM @ | 5 L INE @ </v>
      </c>
      <c r="BP249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BQ249" s="4"/>
      <c r="BR249" s="4"/>
      <c r="BS249" s="4"/>
      <c r="BT249" s="4" t="str">
        <f ca="1">IFERROR(__xludf.DUMMYFUNCTION("""COMPUTED_VALUE"""),"| 1 L NS % | 2 L PHP-CGM % | 3 P JAVA % ")</f>
        <v xml:space="preserve">| 1 L NS % | 2 L PHP-CGM % | 3 P JAVA % </v>
      </c>
      <c r="BU249" s="4" t="str">
        <f ca="1">IFERROR(__xludf.DUMMYFUNCTION("""COMPUTED_VALUE"""),"| 1 L CPT % ")</f>
        <v xml:space="preserve">| 1 L CPT % </v>
      </c>
      <c r="BV249" s="4" t="str">
        <f ca="1">IFERROR(__xludf.DUMMYFUNCTION("""COMPUTED_VALUE"""),"| 1 L NS @ | 2 L PHP-CGM @ | 3 P JAVA @ | 6 L JAVA @ ")</f>
        <v xml:space="preserve">| 1 L NS @ | 2 L PHP-CGM @ | 3 P JAVA @ | 6 L JAVA @ </v>
      </c>
      <c r="BW249" s="4" t="str">
        <f ca="1">IFERROR(__xludf.DUMMYFUNCTION("""COMPUTED_VALUE"""),"| 1 L CPT % | 2 L PHP-CGM % | 3 P PRO % ")</f>
        <v xml:space="preserve">| 1 L CPT % | 2 L PHP-CGM % | 3 P PRO % </v>
      </c>
      <c r="BX249" s="4" t="str">
        <f ca="1">IFERROR(__xludf.DUMMYFUNCTION("""COMPUTED_VALUE"""),"| 1 L NS @ | 2 L PHP-CGM @ | 3 P Python @ | 5 P CPT @ ")</f>
        <v xml:space="preserve">| 1 L NS @ | 2 L PHP-CGM @ | 3 P Python @ | 5 P CPT @ </v>
      </c>
      <c r="BY249" s="4" t="str">
        <f ca="1">IFERROR(__xludf.DUMMYFUNCTION("""COMPUTED_VALUE"""),"| 1 L CPT @ | 2 L JAVA @ | 3 P JAVA @ | 5 P Python @ ")</f>
        <v xml:space="preserve">| 1 L CPT @ | 2 L JAVA @ | 3 P JAVA @ | 5 P Python @ </v>
      </c>
      <c r="BZ249" s="4" t="str">
        <f ca="1">IFERROR(__xludf.DUMMYFUNCTION("""COMPUTED_VALUE"""),"| 1 L CPT @ | 2 L JAVA @ | 3 P PHP-CGM @ | 5 L INE @ ")</f>
        <v xml:space="preserve">| 1 L CPT @ | 2 L JAVA @ | 3 P PHP-CGM @ | 5 L INE @ </v>
      </c>
      <c r="CA24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49" s="4" t="str">
        <f ca="1">IFERROR(__xludf.DUMMYFUNCTION("""COMPUTED_VALUE"""),"| 2 L PHP-CGM % | 3 P PRO % | 5 P NS % | 1 L CPT % ")</f>
        <v xml:space="preserve">| 2 L PHP-CGM % | 3 P PRO % | 5 P NS % | 1 L CPT % </v>
      </c>
      <c r="CC249" s="4" t="str">
        <f ca="1">IFERROR(__xludf.DUMMYFUNCTION("""COMPUTED_VALUE"""),"| 1 L NS % | 2 L PHP-CGM % | 3 P Python % | 5 P CPT % ")</f>
        <v xml:space="preserve">| 1 L NS % | 2 L PHP-CGM % | 3 P Python % | 5 P CPT % </v>
      </c>
      <c r="CD249" s="4" t="str">
        <f ca="1">IFERROR(__xludf.DUMMYFUNCTION("""COMPUTED_VALUE"""),"| 1 L CPT @ | 2 L JAVA @ | 3 P JAVA @ | 5 P Python @ ")</f>
        <v xml:space="preserve">| 1 L CPT @ | 2 L JAVA @ | 3 P JAVA @ | 5 P Python @ </v>
      </c>
      <c r="CE249" s="4" t="str">
        <f ca="1">IFERROR(__xludf.DUMMYFUNCTION("""COMPUTED_VALUE"""),"| 1 L CPT % | 2 L JAVA % | 3 P PHP-CGM % | 5 L INE % ")</f>
        <v xml:space="preserve">| 1 L CPT % | 2 L JAVA % | 3 P PHP-CGM % | 5 L INE % </v>
      </c>
      <c r="CF249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49" s="4" t="str">
        <f ca="1">IFERROR(__xludf.DUMMYFUNCTION("""COMPUTED_VALUE"""),"| 1 L CPT @ | 2 L PHP-CGM @ | 5 P NS % ")</f>
        <v xml:space="preserve">| 1 L CPT @ | 2 L PHP-CGM @ | 5 P NS % </v>
      </c>
      <c r="CH249" s="4" t="str">
        <f ca="1">IFERROR(__xludf.DUMMYFUNCTION("""COMPUTED_VALUE"""),"| 1 L NS @ | 2 L PHP-CGM @ ")</f>
        <v xml:space="preserve">| 1 L NS @ | 2 L PHP-CGM @ </v>
      </c>
      <c r="CI249" s="4" t="str">
        <f ca="1">IFERROR(__xludf.DUMMYFUNCTION("""COMPUTED_VALUE"""),"| 1 L CPT @ | 2 L JAVA @ | 3 P JAVA @ ")</f>
        <v xml:space="preserve">| 1 L CPT @ | 2 L JAVA @ | 3 P JAVA @ </v>
      </c>
      <c r="CJ249" s="4" t="str">
        <f ca="1">IFERROR(__xludf.DUMMYFUNCTION("""COMPUTED_VALUE"""),"| 1 L CPT @ | 3 P PHP-CGM % ")</f>
        <v xml:space="preserve">| 1 L CPT @ | 3 P PHP-CGM % </v>
      </c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</row>
    <row r="250" spans="1:102" ht="12.5" x14ac:dyDescent="0.25">
      <c r="A250" s="3">
        <f ca="1">IFERROR(__xludf.DUMMYFUNCTION("""COMPUTED_VALUE"""),4)</f>
        <v>4</v>
      </c>
      <c r="B250" s="3" t="str">
        <f ca="1">IFERROR(__xludf.DUMMYFUNCTION("""COMPUTED_VALUE"""),"C")</f>
        <v>C</v>
      </c>
      <c r="C250" s="32" t="str">
        <f ca="1">IFERROR(__xludf.DUMMYFUNCTION("""COMPUTED_VALUE"""),"23171341188")</f>
        <v>23171341188</v>
      </c>
      <c r="D250" s="4" t="str">
        <f ca="1">IFERROR(__xludf.DUMMYFUNCTION("""COMPUTED_VALUE"""),"SUKHADIYA DHRUV BIRENKUMAR")</f>
        <v>SUKHADIYA DHRUV BIRENKUMAR</v>
      </c>
      <c r="E250" s="3" t="str">
        <f ca="1">IFERROR(__xludf.DUMMYFUNCTION("""COMPUTED_VALUE"""),"PKN/PAP-Mor")</f>
        <v>PKN/PAP-Mor</v>
      </c>
      <c r="F250" s="3">
        <f ca="1">IFERROR(__xludf.DUMMYFUNCTION("""COMPUTED_VALUE"""),9924703084)</f>
        <v>9924703084</v>
      </c>
      <c r="G250" s="3">
        <f ca="1">IFERROR(__xludf.DUMMYFUNCTION("""COMPUTED_VALUE"""),9924703084)</f>
        <v>9924703084</v>
      </c>
      <c r="H250" s="33">
        <f ca="1">IFERROR(__xludf.DUMMYFUNCTION("""COMPUTED_VALUE"""),0.633744855967078)</f>
        <v>0.63374485596707797</v>
      </c>
      <c r="I250" s="25">
        <f ca="1">IFERROR(__xludf.DUMMYFUNCTION("""COMPUTED_VALUE"""),0.631578947368421)</f>
        <v>0.63157894736842102</v>
      </c>
      <c r="J250" s="25">
        <f ca="1">IFERROR(__xludf.DUMMYFUNCTION("""COMPUTED_VALUE"""),0.8)</f>
        <v>0.8</v>
      </c>
      <c r="K250" s="25">
        <f ca="1">IFERROR(__xludf.DUMMYFUNCTION("""COMPUTED_VALUE"""),0.611111111111111)</f>
        <v>0.61111111111111105</v>
      </c>
      <c r="L250" s="25">
        <f ca="1">IFERROR(__xludf.DUMMYFUNCTION("""COMPUTED_VALUE"""),0.727272727272727)</f>
        <v>0.72727272727272696</v>
      </c>
      <c r="M250" s="25">
        <f ca="1">IFERROR(__xludf.DUMMYFUNCTION("""COMPUTED_VALUE"""),0.694444444444444)</f>
        <v>0.69444444444444398</v>
      </c>
      <c r="N250" s="25">
        <f ca="1">IFERROR(__xludf.DUMMYFUNCTION("""COMPUTED_VALUE"""),0.666666666666666)</f>
        <v>0.66666666666666596</v>
      </c>
      <c r="O250" s="25">
        <f ca="1">IFERROR(__xludf.DUMMYFUNCTION("""COMPUTED_VALUE"""),0.571428571428571)</f>
        <v>0.57142857142857095</v>
      </c>
      <c r="P250" s="25">
        <f ca="1">IFERROR(__xludf.DUMMYFUNCTION("""COMPUTED_VALUE"""),0.56)</f>
        <v>0.56000000000000005</v>
      </c>
      <c r="Q250" s="25">
        <f ca="1">IFERROR(__xludf.DUMMYFUNCTION("""COMPUTED_VALUE"""),0)</f>
        <v>0</v>
      </c>
      <c r="R250" s="25">
        <f ca="1">IFERROR(__xludf.DUMMYFUNCTION("""COMPUTED_VALUE"""),0.647058823529411)</f>
        <v>0.64705882352941102</v>
      </c>
      <c r="S250" s="25">
        <f ca="1">IFERROR(__xludf.DUMMYFUNCTION("""COMPUTED_VALUE"""),0)</f>
        <v>0</v>
      </c>
      <c r="T250" s="25">
        <f ca="1">IFERROR(__xludf.DUMMYFUNCTION("""COMPUTED_VALUE"""),0.8)</f>
        <v>0.8</v>
      </c>
      <c r="U250" s="25">
        <f ca="1">IFERROR(__xludf.DUMMYFUNCTION("""COMPUTED_VALUE"""),0.25)</f>
        <v>0.25</v>
      </c>
      <c r="V250" s="25">
        <f ca="1">IFERROR(__xludf.DUMMYFUNCTION("""COMPUTED_VALUE"""),0)</f>
        <v>0</v>
      </c>
      <c r="W250" s="4"/>
      <c r="X250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50" s="4" t="str">
        <f ca="1">IFERROR(__xludf.DUMMYFUNCTION("""COMPUTED_VALUE"""),"| 1 L CPT % | 5 L PHP-CGM % | 3 P PRO % | 5 P NS % ")</f>
        <v xml:space="preserve">| 1 L CPT % | 5 L PHP-CGM % | 3 P PRO % | 5 P NS % </v>
      </c>
      <c r="Z250" s="4" t="str">
        <f ca="1">IFERROR(__xludf.DUMMYFUNCTION("""COMPUTED_VALUE"""),"| 1 L CPT % | 2 L PHP-CGM % | 3 P Python % | 5 P CPT % ")</f>
        <v xml:space="preserve">| 1 L CPT % | 2 L PHP-CGM % | 3 P Python % | 5 P CPT % </v>
      </c>
      <c r="AA250" s="4" t="str">
        <f ca="1">IFERROR(__xludf.DUMMYFUNCTION("""COMPUTED_VALUE"""),"| 1 L NS % | 2 L JAVA % | 3 P JAVA % | 5 P PRO % ")</f>
        <v xml:space="preserve">| 1 L NS % | 2 L JAVA % | 3 P JAVA % | 5 P PRO % </v>
      </c>
      <c r="AB250" s="4" t="str">
        <f ca="1">IFERROR(__xludf.DUMMYFUNCTION("""COMPUTED_VALUE"""),"| 1 L CPT % | 2 L JAVA % | 3 P PHP-CGM % ")</f>
        <v xml:space="preserve">| 1 L CPT % | 2 L JAVA % | 3 P PHP-CGM % </v>
      </c>
      <c r="AC250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50" s="4" t="str">
        <f ca="1">IFERROR(__xludf.DUMMYFUNCTION("""COMPUTED_VALUE"""),"| 1 L CPT % | 2 L PHP-CGM % | 3 P PRO % | 5 P NS % ")</f>
        <v xml:space="preserve">| 1 L CPT % | 2 L PHP-CGM % | 3 P PRO % | 5 P NS % </v>
      </c>
      <c r="AE250" s="4" t="str">
        <f ca="1">IFERROR(__xludf.DUMMYFUNCTION("""COMPUTED_VALUE"""),"| 1 L CPT @ | 3 P Python % | 5 P CPT % | 2 L PHP-CGM @ ")</f>
        <v xml:space="preserve">| 1 L CPT @ | 3 P Python % | 5 P CPT % | 2 L PHP-CGM @ </v>
      </c>
      <c r="AF250" s="4" t="str">
        <f ca="1">IFERROR(__xludf.DUMMYFUNCTION("""COMPUTED_VALUE"""),"| 1 L NS @ | 2 L CPT @ | 3 P JAVA @ | 5 P Python @ ")</f>
        <v xml:space="preserve">| 1 L NS @ | 2 L CPT @ | 3 P JAVA @ | 5 P Python @ </v>
      </c>
      <c r="AG250" s="4" t="str">
        <f ca="1">IFERROR(__xludf.DUMMYFUNCTION("""COMPUTED_VALUE"""),"| 1 L CPT % | 2 L JAVA % | 3 P PHP-CGM % ")</f>
        <v xml:space="preserve">| 1 L CPT % | 2 L JAVA % | 3 P PHP-CGM % </v>
      </c>
      <c r="AH250" s="4" t="str">
        <f ca="1">IFERROR(__xludf.DUMMYFUNCTION("""COMPUTED_VALUE"""),"| 2 L JAVA % | 1 L NS % | 3 P JAVA % | 5 P Python % ")</f>
        <v xml:space="preserve">| 2 L JAVA % | 1 L NS % | 3 P JAVA % | 5 P Python % </v>
      </c>
      <c r="AI250" s="4" t="str">
        <f ca="1">IFERROR(__xludf.DUMMYFUNCTION("""COMPUTED_VALUE"""),"| 1 L CPT % | 2 L JAVA % | 3 P PHP-CGM % ")</f>
        <v xml:space="preserve">| 1 L CPT % | 2 L JAVA % | 3 P PHP-CGM % </v>
      </c>
      <c r="AJ250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50" s="4" t="str">
        <f ca="1">IFERROR(__xludf.DUMMYFUNCTION("""COMPUTED_VALUE"""),"| 1 L CPT % | 3 P PRO % | 2 L PHP-CGM % | 5 P NS % ")</f>
        <v xml:space="preserve">| 1 L CPT % | 3 P PRO % | 2 L PHP-CGM % | 5 P NS % </v>
      </c>
      <c r="AL250" s="4" t="str">
        <f ca="1">IFERROR(__xludf.DUMMYFUNCTION("""COMPUTED_VALUE"""),"| 1 L CPT % | 2 L PHP-CGM % | 5 P CPT % ")</f>
        <v xml:space="preserve">| 1 L CPT % | 2 L PHP-CGM % | 5 P CPT % </v>
      </c>
      <c r="AM250" s="4" t="str">
        <f ca="1">IFERROR(__xludf.DUMMYFUNCTION("""COMPUTED_VALUE"""),"| 2 L JAVA % | 3 P JAVA % | 1 L NS % | 5 P Python % ")</f>
        <v xml:space="preserve">| 2 L JAVA % | 3 P JAVA % | 1 L NS % | 5 P Python % </v>
      </c>
      <c r="AN250" s="4" t="str">
        <f ca="1">IFERROR(__xludf.DUMMYFUNCTION("""COMPUTED_VALUE"""),"| 1 L CPT % | 2 L JAVA % | 3 P PHP-CGM % | 5 L INE % ")</f>
        <v xml:space="preserve">| 1 L CPT % | 2 L JAVA % | 3 P PHP-CGM % | 5 L INE % </v>
      </c>
      <c r="AO250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50" s="4" t="str">
        <f ca="1">IFERROR(__xludf.DUMMYFUNCTION("""COMPUTED_VALUE"""),"| 1 L CPT % | 2 L PHP-CGM % | 3 P PRO % | 5 P NS @ ")</f>
        <v xml:space="preserve">| 1 L CPT % | 2 L PHP-CGM % | 3 P PRO % | 5 P NS @ </v>
      </c>
      <c r="AQ250" s="4" t="str">
        <f ca="1">IFERROR(__xludf.DUMMYFUNCTION("""COMPUTED_VALUE"""),"| 2 L PHP-CGM % | 3 P Python @ | 1 L NS % | 5 P CPT @ ")</f>
        <v xml:space="preserve">| 2 L PHP-CGM % | 3 P Python @ | 1 L NS % | 5 P CPT @ </v>
      </c>
      <c r="AR250" s="4" t="str">
        <f ca="1">IFERROR(__xludf.DUMMYFUNCTION("""COMPUTED_VALUE"""),"| 1 L CPT @ | 2 L JAVA @ | 3 P JAVA @ | 5 P Python @ ")</f>
        <v xml:space="preserve">| 1 L CPT @ | 2 L JAVA @ | 3 P JAVA @ | 5 P Python @ </v>
      </c>
      <c r="AS25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50" s="4" t="str">
        <f ca="1">IFERROR(__xludf.DUMMYFUNCTION("""COMPUTED_VALUE"""),"| 1 L CPT % | 2 L PHP-CGM % | 3 P PRO % | 5 P NS % ")</f>
        <v xml:space="preserve">| 1 L CPT % | 2 L PHP-CGM % | 3 P PRO % | 5 P NS % </v>
      </c>
      <c r="AU250" s="4" t="str">
        <f ca="1">IFERROR(__xludf.DUMMYFUNCTION("""COMPUTED_VALUE"""),"| 1 L NS % | 2 L PHP-CGM % | 3 P Python % | 5 P CPT % ")</f>
        <v xml:space="preserve">| 1 L NS % | 2 L PHP-CGM % | 3 P Python % | 5 P CPT % </v>
      </c>
      <c r="AV250" s="4" t="str">
        <f ca="1">IFERROR(__xludf.DUMMYFUNCTION("""COMPUTED_VALUE"""),"| 1 L CPT % | 2 L JAVA % | 3 P JAVA % | 5 P PRO % ")</f>
        <v xml:space="preserve">| 1 L CPT % | 2 L JAVA % | 3 P JAVA % | 5 P PRO % </v>
      </c>
      <c r="AW250" s="4" t="str">
        <f ca="1">IFERROR(__xludf.DUMMYFUNCTION("""COMPUTED_VALUE"""),"| 1 L CPT % | 2 L JAVA % | 3 P PHP-CGM % | 5 L INE @ | 6 L INE @ ")</f>
        <v xml:space="preserve">| 1 L CPT % | 2 L JAVA % | 3 P PHP-CGM % | 5 L INE @ | 6 L INE @ </v>
      </c>
      <c r="AX250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50" s="4" t="str">
        <f ca="1">IFERROR(__xludf.DUMMYFUNCTION("""COMPUTED_VALUE"""),"| 1 L CPT % | 2 L PHP-CGM % | 3 P PRO % | 5 P NS @ ")</f>
        <v xml:space="preserve">| 1 L CPT % | 2 L PHP-CGM % | 3 P PRO % | 5 P NS @ </v>
      </c>
      <c r="AZ250" s="4" t="str">
        <f ca="1">IFERROR(__xludf.DUMMYFUNCTION("""COMPUTED_VALUE"""),"| 1 L CPT @ | 2 L JAVA @ | 3 P JAVA @ | 5 P Python @ ")</f>
        <v xml:space="preserve">| 1 L CPT @ | 2 L JAVA @ | 3 P JAVA @ | 5 P Python @ </v>
      </c>
      <c r="BA250" s="4" t="str">
        <f ca="1">IFERROR(__xludf.DUMMYFUNCTION("""COMPUTED_VALUE"""),"| 1 L CPT @ | 2 L JAVA @ | 3 P PHP-CGM @ | 5 L INE @ ")</f>
        <v xml:space="preserve">| 1 L CPT @ | 2 L JAVA @ | 3 P PHP-CGM @ | 5 L INE @ </v>
      </c>
      <c r="BB250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50" s="4" t="str">
        <f ca="1">IFERROR(__xludf.DUMMYFUNCTION("""COMPUTED_VALUE"""),"| 1 L CPT % | 2 L PHP-CGM % | 3 P PRO % | 5 P NS % ")</f>
        <v xml:space="preserve">| 1 L CPT % | 2 L PHP-CGM % | 3 P PRO % | 5 P NS % </v>
      </c>
      <c r="BD250" s="4" t="str">
        <f ca="1">IFERROR(__xludf.DUMMYFUNCTION("""COMPUTED_VALUE"""),"| 1 L NS % | 2 L PHP-CGM % | 3 P Python % | 5 P CPT % ")</f>
        <v xml:space="preserve">| 1 L NS % | 2 L PHP-CGM % | 3 P Python % | 5 P CPT % </v>
      </c>
      <c r="BE250" s="4" t="str">
        <f ca="1">IFERROR(__xludf.DUMMYFUNCTION("""COMPUTED_VALUE"""),"| 1 L CPT % | 2 L JAVA % | 5 P Python % ")</f>
        <v xml:space="preserve">| 1 L CPT % | 2 L JAVA % | 5 P Python % </v>
      </c>
      <c r="BF250" s="4" t="str">
        <f ca="1">IFERROR(__xludf.DUMMYFUNCTION("""COMPUTED_VALUE"""),"| 1 L CPT % | 2 L JAVA % | 3 P PHP-CGM % ")</f>
        <v xml:space="preserve">| 1 L CPT % | 2 L JAVA % | 3 P PHP-CGM % </v>
      </c>
      <c r="BG250" s="4" t="str">
        <f ca="1">IFERROR(__xludf.DUMMYFUNCTION("""COMPUTED_VALUE"""),"| 2 L PHP-CGM % | 1 L CPT % | 3 P PRO % | 5 P NS % ")</f>
        <v xml:space="preserve">| 2 L PHP-CGM % | 1 L CPT % | 3 P PRO % | 5 P NS % </v>
      </c>
      <c r="BH250" s="4" t="str">
        <f ca="1">IFERROR(__xludf.DUMMYFUNCTION("""COMPUTED_VALUE"""),"| 1 L NS % | 2 L PHP-CGM % | 3 P Python % | 5 P CPT % ")</f>
        <v xml:space="preserve">| 1 L NS % | 2 L PHP-CGM % | 3 P Python % | 5 P CPT % </v>
      </c>
      <c r="BI250" s="4" t="str">
        <f ca="1">IFERROR(__xludf.DUMMYFUNCTION("""COMPUTED_VALUE"""),"| 1 L CPT % | 2 L JAVA % | 3 P JAVA % | 5 P PRO @ ")</f>
        <v xml:space="preserve">| 1 L CPT % | 2 L JAVA % | 3 P JAVA % | 5 P PRO @ </v>
      </c>
      <c r="BJ250" s="4" t="str">
        <f ca="1">IFERROR(__xludf.DUMMYFUNCTION("""COMPUTED_VALUE"""),"| 1 L CPT @ | 2 L JAVA @ | 3 P PHP-CGM @ | 5 L INE @ ")</f>
        <v xml:space="preserve">| 1 L CPT @ | 2 L JAVA @ | 3 P PHP-CGM @ | 5 L INE @ </v>
      </c>
      <c r="BK25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0" s="4" t="str">
        <f ca="1">IFERROR(__xludf.DUMMYFUNCTION("""COMPUTED_VALUE"""),"| 1 L CPT @ | 2 L PHP-CGM @ | 3 P PRO @ | 5 P NS @ ")</f>
        <v xml:space="preserve">| 1 L CPT @ | 2 L PHP-CGM @ | 3 P PRO @ | 5 P NS @ </v>
      </c>
      <c r="BM250" s="4" t="str">
        <f ca="1">IFERROR(__xludf.DUMMYFUNCTION("""COMPUTED_VALUE"""),"| 1 L NS @ | 2 L PHP-CGM @ | 3 P Python @ | 5 P CPT % ")</f>
        <v xml:space="preserve">| 1 L NS @ | 2 L PHP-CGM @ | 3 P Python @ | 5 P CPT % </v>
      </c>
      <c r="BN250" s="4" t="str">
        <f ca="1">IFERROR(__xludf.DUMMYFUNCTION("""COMPUTED_VALUE"""),"| 2 L JAVA @ | 1 L CPT @ | 3 P JAVA @ | 5 P PRO @ ")</f>
        <v xml:space="preserve">| 2 L JAVA @ | 1 L CPT @ | 3 P JAVA @ | 5 P PRO @ </v>
      </c>
      <c r="BO250" s="4" t="str">
        <f ca="1">IFERROR(__xludf.DUMMYFUNCTION("""COMPUTED_VALUE"""),"| 2 L JAVA @ | 1 L CPT @ | 3 P PHP-CGM @ | 5 L INE @ ")</f>
        <v xml:space="preserve">| 2 L JAVA @ | 1 L CPT @ | 3 P PHP-CGM @ | 5 L INE @ </v>
      </c>
      <c r="BP250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50" s="4"/>
      <c r="BR250" s="4"/>
      <c r="BS250" s="4"/>
      <c r="BT250" s="4" t="str">
        <f ca="1">IFERROR(__xludf.DUMMYFUNCTION("""COMPUTED_VALUE"""),"| 1 L NS % | 2 L PHP-CGM % | 3 P JAVA % ")</f>
        <v xml:space="preserve">| 1 L NS % | 2 L PHP-CGM % | 3 P JAVA % </v>
      </c>
      <c r="BU250" s="4" t="str">
        <f ca="1">IFERROR(__xludf.DUMMYFUNCTION("""COMPUTED_VALUE"""),"| 1 L CPT % ")</f>
        <v xml:space="preserve">| 1 L CPT % </v>
      </c>
      <c r="BV250" s="4" t="str">
        <f ca="1">IFERROR(__xludf.DUMMYFUNCTION("""COMPUTED_VALUE"""),"| 1 L NS % | 2 L PHP-CGM % | 3 P JAVA @ | 6 L JAVA @ ")</f>
        <v xml:space="preserve">| 1 L NS % | 2 L PHP-CGM % | 3 P JAVA @ | 6 L JAVA @ </v>
      </c>
      <c r="BW250" s="4" t="str">
        <f ca="1">IFERROR(__xludf.DUMMYFUNCTION("""COMPUTED_VALUE"""),"| 1 L CPT % | 2 L PHP-CGM % | 3 P PRO % ")</f>
        <v xml:space="preserve">| 1 L CPT % | 2 L PHP-CGM % | 3 P PRO % </v>
      </c>
      <c r="BX250" s="4" t="str">
        <f ca="1">IFERROR(__xludf.DUMMYFUNCTION("""COMPUTED_VALUE"""),"| 1 L NS @ | 2 L PHP-CGM @ | 3 P Python @ | 5 P CPT @ ")</f>
        <v xml:space="preserve">| 1 L NS @ | 2 L PHP-CGM @ | 3 P Python @ | 5 P CPT @ </v>
      </c>
      <c r="BY250" s="4" t="str">
        <f ca="1">IFERROR(__xludf.DUMMYFUNCTION("""COMPUTED_VALUE"""),"| 1 L CPT % | 2 L JAVA % | 3 P JAVA % | 5 P Python % ")</f>
        <v xml:space="preserve">| 1 L CPT % | 2 L JAVA % | 3 P JAVA % | 5 P Python % </v>
      </c>
      <c r="BZ250" s="4" t="str">
        <f ca="1">IFERROR(__xludf.DUMMYFUNCTION("""COMPUTED_VALUE"""),"| 1 L CPT @ | 2 L JAVA @ | 3 P PHP-CGM @ | 5 L INE @ ")</f>
        <v xml:space="preserve">| 1 L CPT @ | 2 L JAVA @ | 3 P PHP-CGM @ | 5 L INE @ </v>
      </c>
      <c r="CA25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50" s="4" t="str">
        <f ca="1">IFERROR(__xludf.DUMMYFUNCTION("""COMPUTED_VALUE"""),"| 2 L PHP-CGM % | 3 P PRO % | 5 P NS % | 1 L CPT % ")</f>
        <v xml:space="preserve">| 2 L PHP-CGM % | 3 P PRO % | 5 P NS % | 1 L CPT % </v>
      </c>
      <c r="CC250" s="4" t="str">
        <f ca="1">IFERROR(__xludf.DUMMYFUNCTION("""COMPUTED_VALUE"""),"| 1 L NS % | 2 L PHP-CGM % | 3 P Python % | 5 P CPT % ")</f>
        <v xml:space="preserve">| 1 L NS % | 2 L PHP-CGM % | 3 P Python % | 5 P CPT % </v>
      </c>
      <c r="CD250" s="4" t="str">
        <f ca="1">IFERROR(__xludf.DUMMYFUNCTION("""COMPUTED_VALUE"""),"| 1 L CPT @ | 2 L JAVA @ | 3 P JAVA @ | 5 P Python % ")</f>
        <v xml:space="preserve">| 1 L CPT @ | 2 L JAVA @ | 3 P JAVA @ | 5 P Python % </v>
      </c>
      <c r="CE250" s="4" t="str">
        <f ca="1">IFERROR(__xludf.DUMMYFUNCTION("""COMPUTED_VALUE"""),"| 1 L CPT % | 2 L JAVA % | 3 P PHP-CGM % | 5 L INE % ")</f>
        <v xml:space="preserve">| 1 L CPT % | 2 L JAVA % | 3 P PHP-CGM % | 5 L INE % </v>
      </c>
      <c r="CF250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CG250" s="4" t="str">
        <f ca="1">IFERROR(__xludf.DUMMYFUNCTION("""COMPUTED_VALUE"""),"| 1 L CPT @ | 2 L PHP-CGM @ | 5 P NS % ")</f>
        <v xml:space="preserve">| 1 L CPT @ | 2 L PHP-CGM @ | 5 P NS % </v>
      </c>
      <c r="CH250" s="4" t="str">
        <f ca="1">IFERROR(__xludf.DUMMYFUNCTION("""COMPUTED_VALUE"""),"| 1 L NS @ | 2 L PHP-CGM @ ")</f>
        <v xml:space="preserve">| 1 L NS @ | 2 L PHP-CGM @ </v>
      </c>
      <c r="CI250" s="4" t="str">
        <f ca="1">IFERROR(__xludf.DUMMYFUNCTION("""COMPUTED_VALUE"""),"| 1 L CPT @ | 2 L JAVA @ | 3 P JAVA @ ")</f>
        <v xml:space="preserve">| 1 L CPT @ | 2 L JAVA @ | 3 P JAVA @ </v>
      </c>
      <c r="CJ250" s="4" t="str">
        <f ca="1">IFERROR(__xludf.DUMMYFUNCTION("""COMPUTED_VALUE"""),"| 1 L CPT @ | 3 P PHP-CGM % ")</f>
        <v xml:space="preserve">| 1 L CPT @ | 3 P PHP-CGM % </v>
      </c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</row>
    <row r="251" spans="1:102" ht="12.5" x14ac:dyDescent="0.25">
      <c r="A251" s="3">
        <f ca="1">IFERROR(__xludf.DUMMYFUNCTION("""COMPUTED_VALUE"""),4)</f>
        <v>4</v>
      </c>
      <c r="B251" s="3" t="str">
        <f ca="1">IFERROR(__xludf.DUMMYFUNCTION("""COMPUTED_VALUE"""),"C")</f>
        <v>C</v>
      </c>
      <c r="C251" s="32" t="str">
        <f ca="1">IFERROR(__xludf.DUMMYFUNCTION("""COMPUTED_VALUE"""),"23171341189")</f>
        <v>23171341189</v>
      </c>
      <c r="D251" s="4" t="str">
        <f ca="1">IFERROR(__xludf.DUMMYFUNCTION("""COMPUTED_VALUE"""),"SUKHADIYA HARSHVARDHAN JIGARBHAI")</f>
        <v>SUKHADIYA HARSHVARDHAN JIGARBHAI</v>
      </c>
      <c r="E251" s="3" t="str">
        <f ca="1">IFERROR(__xludf.DUMMYFUNCTION("""COMPUTED_VALUE"""),"PKN/PAP-Mor")</f>
        <v>PKN/PAP-Mor</v>
      </c>
      <c r="F251" s="3">
        <f ca="1">IFERROR(__xludf.DUMMYFUNCTION("""COMPUTED_VALUE"""),9825112462)</f>
        <v>9825112462</v>
      </c>
      <c r="G251" s="3">
        <f ca="1">IFERROR(__xludf.DUMMYFUNCTION("""COMPUTED_VALUE"""),9925235462)</f>
        <v>9925235462</v>
      </c>
      <c r="H251" s="33">
        <f ca="1">IFERROR(__xludf.DUMMYFUNCTION("""COMPUTED_VALUE"""),0.390946502057613)</f>
        <v>0.390946502057613</v>
      </c>
      <c r="I251" s="25">
        <f ca="1">IFERROR(__xludf.DUMMYFUNCTION("""COMPUTED_VALUE"""),0.394736842105263)</f>
        <v>0.394736842105263</v>
      </c>
      <c r="J251" s="25">
        <f ca="1">IFERROR(__xludf.DUMMYFUNCTION("""COMPUTED_VALUE"""),0.6)</f>
        <v>0.6</v>
      </c>
      <c r="K251" s="25">
        <f ca="1">IFERROR(__xludf.DUMMYFUNCTION("""COMPUTED_VALUE"""),0.333333333333333)</f>
        <v>0.33333333333333298</v>
      </c>
      <c r="L251" s="25">
        <f ca="1">IFERROR(__xludf.DUMMYFUNCTION("""COMPUTED_VALUE"""),0.545454545454545)</f>
        <v>0.54545454545454497</v>
      </c>
      <c r="M251" s="25">
        <f ca="1">IFERROR(__xludf.DUMMYFUNCTION("""COMPUTED_VALUE"""),0.5)</f>
        <v>0.5</v>
      </c>
      <c r="N251" s="25">
        <f ca="1">IFERROR(__xludf.DUMMYFUNCTION("""COMPUTED_VALUE"""),0.166666666666666)</f>
        <v>0.16666666666666599</v>
      </c>
      <c r="O251" s="25">
        <f ca="1">IFERROR(__xludf.DUMMYFUNCTION("""COMPUTED_VALUE"""),0.2)</f>
        <v>0.2</v>
      </c>
      <c r="P251" s="25">
        <f ca="1">IFERROR(__xludf.DUMMYFUNCTION("""COMPUTED_VALUE"""),0.36)</f>
        <v>0.36</v>
      </c>
      <c r="Q251" s="25">
        <f ca="1">IFERROR(__xludf.DUMMYFUNCTION("""COMPUTED_VALUE"""),0)</f>
        <v>0</v>
      </c>
      <c r="R251" s="25">
        <f ca="1">IFERROR(__xludf.DUMMYFUNCTION("""COMPUTED_VALUE"""),0.588235294117647)</f>
        <v>0.58823529411764697</v>
      </c>
      <c r="S251" s="25">
        <f ca="1">IFERROR(__xludf.DUMMYFUNCTION("""COMPUTED_VALUE"""),0)</f>
        <v>0</v>
      </c>
      <c r="T251" s="25">
        <f ca="1">IFERROR(__xludf.DUMMYFUNCTION("""COMPUTED_VALUE"""),0.533333333333333)</f>
        <v>0.53333333333333299</v>
      </c>
      <c r="U251" s="25">
        <f ca="1">IFERROR(__xludf.DUMMYFUNCTION("""COMPUTED_VALUE"""),0.25)</f>
        <v>0.25</v>
      </c>
      <c r="V251" s="25">
        <f ca="1">IFERROR(__xludf.DUMMYFUNCTION("""COMPUTED_VALUE"""),0)</f>
        <v>0</v>
      </c>
      <c r="W251" s="4"/>
      <c r="X251" s="4" t="str">
        <f ca="1">IFERROR(__xludf.DUMMYFUNCTION("""COMPUTED_VALUE"""),"| 1 L NS % | 2 L PHP-CGM % | 3 P JAVA % | 5 L JAVA @ | 6 L NS % ")</f>
        <v xml:space="preserve">| 1 L NS % | 2 L PHP-CGM % | 3 P JAVA % | 5 L JAVA @ | 6 L NS % </v>
      </c>
      <c r="Y251" s="4" t="str">
        <f ca="1">IFERROR(__xludf.DUMMYFUNCTION("""COMPUTED_VALUE"""),"| 1 L CPT % | 5 L PHP-CGM % | 3 P PRO % | 5 P NS % ")</f>
        <v xml:space="preserve">| 1 L CPT % | 5 L PHP-CGM % | 3 P PRO % | 5 P NS % </v>
      </c>
      <c r="Z251" s="4" t="str">
        <f ca="1">IFERROR(__xludf.DUMMYFUNCTION("""COMPUTED_VALUE"""),"| 1 L CPT % | 2 L PHP-CGM % | 3 P Python % | 5 P CPT % ")</f>
        <v xml:space="preserve">| 1 L CPT % | 2 L PHP-CGM % | 3 P Python % | 5 P CPT % </v>
      </c>
      <c r="AA251" s="4" t="str">
        <f ca="1">IFERROR(__xludf.DUMMYFUNCTION("""COMPUTED_VALUE"""),"| 1 L NS % | 2 L JAVA % | 3 P JAVA % | 5 P PRO % ")</f>
        <v xml:space="preserve">| 1 L NS % | 2 L JAVA % | 3 P JAVA % | 5 P PRO % </v>
      </c>
      <c r="AB251" s="4" t="str">
        <f ca="1">IFERROR(__xludf.DUMMYFUNCTION("""COMPUTED_VALUE"""),"| 1 L CPT @ | 2 L JAVA @ | 3 P PHP-CGM @ ")</f>
        <v xml:space="preserve">| 1 L CPT @ | 2 L JAVA @ | 3 P PHP-CGM @ </v>
      </c>
      <c r="AC251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51" s="4" t="str">
        <f ca="1">IFERROR(__xludf.DUMMYFUNCTION("""COMPUTED_VALUE"""),"| 1 L CPT % | 2 L PHP-CGM % | 3 P PRO % | 5 P NS % ")</f>
        <v xml:space="preserve">| 1 L CPT % | 2 L PHP-CGM % | 3 P PRO % | 5 P NS % </v>
      </c>
      <c r="AE251" s="4" t="str">
        <f ca="1">IFERROR(__xludf.DUMMYFUNCTION("""COMPUTED_VALUE"""),"| 1 L CPT % | 3 P Python % | 5 P CPT % | 2 L PHP-CGM % ")</f>
        <v xml:space="preserve">| 1 L CPT % | 3 P Python % | 5 P CPT % | 2 L PHP-CGM % </v>
      </c>
      <c r="AF251" s="4" t="str">
        <f ca="1">IFERROR(__xludf.DUMMYFUNCTION("""COMPUTED_VALUE"""),"| 1 L NS % | 2 L CPT % | 3 P JAVA % | 5 P Python % ")</f>
        <v xml:space="preserve">| 1 L NS % | 2 L CPT % | 3 P JAVA % | 5 P Python % </v>
      </c>
      <c r="AG251" s="4" t="str">
        <f ca="1">IFERROR(__xludf.DUMMYFUNCTION("""COMPUTED_VALUE"""),"| 1 L CPT % | 2 L JAVA % | 3 P PHP-CGM % ")</f>
        <v xml:space="preserve">| 1 L CPT % | 2 L JAVA % | 3 P PHP-CGM % </v>
      </c>
      <c r="AH251" s="4" t="str">
        <f ca="1">IFERROR(__xludf.DUMMYFUNCTION("""COMPUTED_VALUE"""),"| 2 L JAVA % | 1 L NS % | 3 P JAVA % | 5 P Python % ")</f>
        <v xml:space="preserve">| 2 L JAVA % | 1 L NS % | 3 P JAVA % | 5 P Python % </v>
      </c>
      <c r="AI251" s="4" t="str">
        <f ca="1">IFERROR(__xludf.DUMMYFUNCTION("""COMPUTED_VALUE"""),"| 1 L CPT @ | 2 L JAVA @ | 3 P PHP-CGM @ ")</f>
        <v xml:space="preserve">| 1 L CPT @ | 2 L JAVA @ | 3 P PHP-CGM @ </v>
      </c>
      <c r="AJ251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51" s="4" t="str">
        <f ca="1">IFERROR(__xludf.DUMMYFUNCTION("""COMPUTED_VALUE"""),"| 1 L CPT @ | 3 P PRO @ | 2 L PHP-CGM @ | 5 P NS @ ")</f>
        <v xml:space="preserve">| 1 L CPT @ | 3 P PRO @ | 2 L PHP-CGM @ | 5 P NS @ </v>
      </c>
      <c r="AL251" s="4" t="str">
        <f ca="1">IFERROR(__xludf.DUMMYFUNCTION("""COMPUTED_VALUE"""),"| 1 L CPT @ | 2 L PHP-CGM @ | 5 P CPT % ")</f>
        <v xml:space="preserve">| 1 L CPT @ | 2 L PHP-CGM @ | 5 P CPT % </v>
      </c>
      <c r="AM251" s="4" t="str">
        <f ca="1">IFERROR(__xludf.DUMMYFUNCTION("""COMPUTED_VALUE"""),"| 2 L JAVA % | 3 P JAVA % | 1 L NS % | 5 P Python % ")</f>
        <v xml:space="preserve">| 2 L JAVA % | 3 P JAVA % | 1 L NS % | 5 P Python % </v>
      </c>
      <c r="AN251" s="4" t="str">
        <f ca="1">IFERROR(__xludf.DUMMYFUNCTION("""COMPUTED_VALUE"""),"| 1 L CPT % | 2 L JAVA % | 3 P PHP-CGM % | 5 L INE % ")</f>
        <v xml:space="preserve">| 1 L CPT % | 2 L JAVA % | 3 P PHP-CGM % | 5 L INE % </v>
      </c>
      <c r="AO251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P251" s="4" t="str">
        <f ca="1">IFERROR(__xludf.DUMMYFUNCTION("""COMPUTED_VALUE"""),"| 1 L CPT % | 2 L PHP-CGM % | 3 P PRO % | 5 P NS % ")</f>
        <v xml:space="preserve">| 1 L CPT % | 2 L PHP-CGM % | 3 P PRO % | 5 P NS % </v>
      </c>
      <c r="AQ251" s="4" t="str">
        <f ca="1">IFERROR(__xludf.DUMMYFUNCTION("""COMPUTED_VALUE"""),"| 2 L PHP-CGM % | 3 P Python % | 1 L NS % | 5 P CPT % ")</f>
        <v xml:space="preserve">| 2 L PHP-CGM % | 3 P Python % | 1 L NS % | 5 P CPT % </v>
      </c>
      <c r="AR251" s="4" t="str">
        <f ca="1">IFERROR(__xludf.DUMMYFUNCTION("""COMPUTED_VALUE"""),"| 1 L CPT @ | 2 L JAVA @ | 3 P JAVA @ | 5 P Python @ ")</f>
        <v xml:space="preserve">| 1 L CPT @ | 2 L JAVA @ | 3 P JAVA @ | 5 P Python @ </v>
      </c>
      <c r="AS25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51" s="4" t="str">
        <f ca="1">IFERROR(__xludf.DUMMYFUNCTION("""COMPUTED_VALUE"""),"| 1 L CPT % | 2 L PHP-CGM % | 3 P PRO % | 5 P NS % ")</f>
        <v xml:space="preserve">| 1 L CPT % | 2 L PHP-CGM % | 3 P PRO % | 5 P NS % </v>
      </c>
      <c r="AU251" s="4" t="str">
        <f ca="1">IFERROR(__xludf.DUMMYFUNCTION("""COMPUTED_VALUE"""),"| 1 L NS % | 2 L PHP-CGM % | 3 P Python % | 5 P CPT @ ")</f>
        <v xml:space="preserve">| 1 L NS % | 2 L PHP-CGM % | 3 P Python % | 5 P CPT @ </v>
      </c>
      <c r="AV251" s="4" t="str">
        <f ca="1">IFERROR(__xludf.DUMMYFUNCTION("""COMPUTED_VALUE"""),"| 1 L CPT % | 2 L JAVA @ | 3 P JAVA @ | 5 P PRO % ")</f>
        <v xml:space="preserve">| 1 L CPT % | 2 L JAVA @ | 3 P JAVA @ | 5 P PRO % </v>
      </c>
      <c r="AW251" s="4" t="str">
        <f ca="1">IFERROR(__xludf.DUMMYFUNCTION("""COMPUTED_VALUE"""),"| 1 L CPT @ | 2 L JAVA @ | 3 P PHP-CGM @ | 5 L INE @ | 6 L INE @ ")</f>
        <v xml:space="preserve">| 1 L CPT @ | 2 L JAVA @ | 3 P PHP-CGM @ | 5 L INE @ | 6 L INE @ </v>
      </c>
      <c r="AX251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Y251" s="4" t="str">
        <f ca="1">IFERROR(__xludf.DUMMYFUNCTION("""COMPUTED_VALUE"""),"| 1 L CPT @ | 2 L PHP-CGM % | 3 P PRO % | 5 P NS % ")</f>
        <v xml:space="preserve">| 1 L CPT @ | 2 L PHP-CGM % | 3 P PRO % | 5 P NS % </v>
      </c>
      <c r="AZ251" s="4" t="str">
        <f ca="1">IFERROR(__xludf.DUMMYFUNCTION("""COMPUTED_VALUE"""),"| 1 L CPT % | 2 L JAVA % | 3 P JAVA % | 5 P Python % ")</f>
        <v xml:space="preserve">| 1 L CPT % | 2 L JAVA % | 3 P JAVA % | 5 P Python % </v>
      </c>
      <c r="BA251" s="4" t="str">
        <f ca="1">IFERROR(__xludf.DUMMYFUNCTION("""COMPUTED_VALUE"""),"| 1 L CPT @ | 2 L JAVA @ | 3 P PHP-CGM @ | 5 L INE @ ")</f>
        <v xml:space="preserve">| 1 L CPT @ | 2 L JAVA @ | 3 P PHP-CGM @ | 5 L INE @ </v>
      </c>
      <c r="BB25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51" s="4" t="str">
        <f ca="1">IFERROR(__xludf.DUMMYFUNCTION("""COMPUTED_VALUE"""),"| 1 L CPT % | 2 L PHP-CGM % | 3 P PRO % | 5 P NS % ")</f>
        <v xml:space="preserve">| 1 L CPT % | 2 L PHP-CGM % | 3 P PRO % | 5 P NS % </v>
      </c>
      <c r="BD251" s="4" t="str">
        <f ca="1">IFERROR(__xludf.DUMMYFUNCTION("""COMPUTED_VALUE"""),"| 1 L NS @ | 2 L PHP-CGM % | 3 P Python @ | 5 P CPT % ")</f>
        <v xml:space="preserve">| 1 L NS @ | 2 L PHP-CGM % | 3 P Python @ | 5 P CPT % </v>
      </c>
      <c r="BE251" s="4" t="str">
        <f ca="1">IFERROR(__xludf.DUMMYFUNCTION("""COMPUTED_VALUE"""),"| 1 L CPT @ | 2 L JAVA @ | 5 P Python @ ")</f>
        <v xml:space="preserve">| 1 L CPT @ | 2 L JAVA @ | 5 P Python @ </v>
      </c>
      <c r="BF251" s="4" t="str">
        <f ca="1">IFERROR(__xludf.DUMMYFUNCTION("""COMPUTED_VALUE"""),"| 1 L CPT @ | 2 L JAVA @ | 3 P PHP-CGM @ ")</f>
        <v xml:space="preserve">| 1 L CPT @ | 2 L JAVA @ | 3 P PHP-CGM @ </v>
      </c>
      <c r="BG251" s="4" t="str">
        <f ca="1">IFERROR(__xludf.DUMMYFUNCTION("""COMPUTED_VALUE"""),"| 2 L PHP-CGM % | 1 L CPT % | 3 P PRO @ | 5 P NS @ ")</f>
        <v xml:space="preserve">| 2 L PHP-CGM % | 1 L CPT % | 3 P PRO @ | 5 P NS @ </v>
      </c>
      <c r="BH251" s="4" t="str">
        <f ca="1">IFERROR(__xludf.DUMMYFUNCTION("""COMPUTED_VALUE"""),"| 1 L NS % | 2 L PHP-CGM % | 3 P Python % | 5 P CPT @ ")</f>
        <v xml:space="preserve">| 1 L NS % | 2 L PHP-CGM % | 3 P Python % | 5 P CPT @ </v>
      </c>
      <c r="BI251" s="4" t="str">
        <f ca="1">IFERROR(__xludf.DUMMYFUNCTION("""COMPUTED_VALUE"""),"| 1 L CPT % | 2 L JAVA @ | 3 P JAVA @ | 5 P PRO @ ")</f>
        <v xml:space="preserve">| 1 L CPT % | 2 L JAVA @ | 3 P JAVA @ | 5 P PRO @ </v>
      </c>
      <c r="BJ251" s="4" t="str">
        <f ca="1">IFERROR(__xludf.DUMMYFUNCTION("""COMPUTED_VALUE"""),"| 1 L CPT @ | 2 L JAVA @ | 3 P PHP-CGM @ | 5 L INE @ ")</f>
        <v xml:space="preserve">| 1 L CPT @ | 2 L JAVA @ | 3 P PHP-CGM @ | 5 L INE @ </v>
      </c>
      <c r="BK25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1" s="4" t="str">
        <f ca="1">IFERROR(__xludf.DUMMYFUNCTION("""COMPUTED_VALUE"""),"| 1 L CPT @ | 2 L PHP-CGM @ | 3 P PRO @ | 5 P NS @ ")</f>
        <v xml:space="preserve">| 1 L CPT @ | 2 L PHP-CGM @ | 3 P PRO @ | 5 P NS @ </v>
      </c>
      <c r="BM251" s="4" t="str">
        <f ca="1">IFERROR(__xludf.DUMMYFUNCTION("""COMPUTED_VALUE"""),"| 1 L NS @ | 2 L PHP-CGM @ | 3 P Python % | 5 P CPT % ")</f>
        <v xml:space="preserve">| 1 L NS @ | 2 L PHP-CGM @ | 3 P Python % | 5 P CPT % </v>
      </c>
      <c r="BN251" s="4" t="str">
        <f ca="1">IFERROR(__xludf.DUMMYFUNCTION("""COMPUTED_VALUE"""),"| 2 L JAVA @ | 1 L CPT @ | 3 P JAVA @ | 5 P PRO @ ")</f>
        <v xml:space="preserve">| 2 L JAVA @ | 1 L CPT @ | 3 P JAVA @ | 5 P PRO @ </v>
      </c>
      <c r="BO251" s="4" t="str">
        <f ca="1">IFERROR(__xludf.DUMMYFUNCTION("""COMPUTED_VALUE"""),"| 2 L JAVA @ | 1 L CPT @ | 3 P PHP-CGM @ | 5 L INE @ ")</f>
        <v xml:space="preserve">| 2 L JAVA @ | 1 L CPT @ | 3 P PHP-CGM @ | 5 L INE @ </v>
      </c>
      <c r="BP25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51" s="4"/>
      <c r="BR251" s="4"/>
      <c r="BS251" s="4"/>
      <c r="BT251" s="4" t="str">
        <f ca="1">IFERROR(__xludf.DUMMYFUNCTION("""COMPUTED_VALUE"""),"| 1 L NS @ | 2 L PHP-CGM @ | 3 P JAVA @ ")</f>
        <v xml:space="preserve">| 1 L NS @ | 2 L PHP-CGM @ | 3 P JAVA @ </v>
      </c>
      <c r="BU251" s="4" t="str">
        <f ca="1">IFERROR(__xludf.DUMMYFUNCTION("""COMPUTED_VALUE"""),"| 1 L CPT @ ")</f>
        <v xml:space="preserve">| 1 L CPT @ </v>
      </c>
      <c r="BV251" s="4" t="str">
        <f ca="1">IFERROR(__xludf.DUMMYFUNCTION("""COMPUTED_VALUE"""),"| 1 L NS @ | 2 L PHP-CGM % | 3 P JAVA % | 6 L JAVA @ ")</f>
        <v xml:space="preserve">| 1 L NS @ | 2 L PHP-CGM % | 3 P JAVA % | 6 L JAVA @ </v>
      </c>
      <c r="BW251" s="4" t="str">
        <f ca="1">IFERROR(__xludf.DUMMYFUNCTION("""COMPUTED_VALUE"""),"| 1 L CPT @ | 2 L PHP-CGM @ | 3 P PRO @ ")</f>
        <v xml:space="preserve">| 1 L CPT @ | 2 L PHP-CGM @ | 3 P PRO @ </v>
      </c>
      <c r="BX251" s="4" t="str">
        <f ca="1">IFERROR(__xludf.DUMMYFUNCTION("""COMPUTED_VALUE"""),"| 1 L NS @ | 2 L PHP-CGM @ | 3 P Python @ | 5 P CPT @ ")</f>
        <v xml:space="preserve">| 1 L NS @ | 2 L PHP-CGM @ | 3 P Python @ | 5 P CPT @ </v>
      </c>
      <c r="BY251" s="4" t="str">
        <f ca="1">IFERROR(__xludf.DUMMYFUNCTION("""COMPUTED_VALUE"""),"| 1 L CPT @ | 2 L JAVA @ | 3 P JAVA @ | 5 P Python @ ")</f>
        <v xml:space="preserve">| 1 L CPT @ | 2 L JAVA @ | 3 P JAVA @ | 5 P Python @ </v>
      </c>
      <c r="BZ251" s="4" t="str">
        <f ca="1">IFERROR(__xludf.DUMMYFUNCTION("""COMPUTED_VALUE"""),"| 1 L CPT @ | 2 L JAVA @ | 3 P PHP-CGM @ | 5 L INE @ ")</f>
        <v xml:space="preserve">| 1 L CPT @ | 2 L JAVA @ | 3 P PHP-CGM @ | 5 L INE @ </v>
      </c>
      <c r="CA251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B251" s="4" t="str">
        <f ca="1">IFERROR(__xludf.DUMMYFUNCTION("""COMPUTED_VALUE"""),"| 2 L PHP-CGM % | 3 P PRO @ | 5 P NS @ | 1 L CPT % ")</f>
        <v xml:space="preserve">| 2 L PHP-CGM % | 3 P PRO @ | 5 P NS @ | 1 L CPT % </v>
      </c>
      <c r="CC251" s="4" t="str">
        <f ca="1">IFERROR(__xludf.DUMMYFUNCTION("""COMPUTED_VALUE"""),"| 1 L NS @ | 2 L PHP-CGM @ | 3 P Python @ | 5 P CPT @ ")</f>
        <v xml:space="preserve">| 1 L NS @ | 2 L PHP-CGM @ | 3 P Python @ | 5 P CPT @ </v>
      </c>
      <c r="CD251" s="4" t="str">
        <f ca="1">IFERROR(__xludf.DUMMYFUNCTION("""COMPUTED_VALUE"""),"| 1 L CPT @ | 2 L JAVA @ | 3 P JAVA @ | 5 P Python @ ")</f>
        <v xml:space="preserve">| 1 L CPT @ | 2 L JAVA @ | 3 P JAVA @ | 5 P Python @ </v>
      </c>
      <c r="CE251" s="4" t="str">
        <f ca="1">IFERROR(__xludf.DUMMYFUNCTION("""COMPUTED_VALUE"""),"| 1 L CPT @ | 2 L JAVA @ | 3 P PHP-CGM @ | 5 L INE % ")</f>
        <v xml:space="preserve">| 1 L CPT @ | 2 L JAVA @ | 3 P PHP-CGM @ | 5 L INE % </v>
      </c>
      <c r="CF25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51" s="4" t="str">
        <f ca="1">IFERROR(__xludf.DUMMYFUNCTION("""COMPUTED_VALUE"""),"| 1 L CPT @ | 2 L PHP-CGM @ | 5 P NS @ ")</f>
        <v xml:space="preserve">| 1 L CPT @ | 2 L PHP-CGM @ | 5 P NS @ </v>
      </c>
      <c r="CH251" s="4" t="str">
        <f ca="1">IFERROR(__xludf.DUMMYFUNCTION("""COMPUTED_VALUE"""),"| 1 L NS @ | 2 L PHP-CGM @ ")</f>
        <v xml:space="preserve">| 1 L NS @ | 2 L PHP-CGM @ </v>
      </c>
      <c r="CI251" s="4" t="str">
        <f ca="1">IFERROR(__xludf.DUMMYFUNCTION("""COMPUTED_VALUE"""),"| 1 L CPT @ | 2 L JAVA @ | 3 P JAVA @ ")</f>
        <v xml:space="preserve">| 1 L CPT @ | 2 L JAVA @ | 3 P JAVA @ </v>
      </c>
      <c r="CJ251" s="4" t="str">
        <f ca="1">IFERROR(__xludf.DUMMYFUNCTION("""COMPUTED_VALUE"""),"| 1 L CPT @ | 3 P PHP-CGM @ ")</f>
        <v xml:space="preserve">| 1 L CPT @ | 3 P PHP-CGM @ </v>
      </c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</row>
    <row r="252" spans="1:102" ht="12.5" x14ac:dyDescent="0.25">
      <c r="A252" s="3">
        <f ca="1">IFERROR(__xludf.DUMMYFUNCTION("""COMPUTED_VALUE"""),4)</f>
        <v>4</v>
      </c>
      <c r="B252" s="3" t="str">
        <f ca="1">IFERROR(__xludf.DUMMYFUNCTION("""COMPUTED_VALUE"""),"C")</f>
        <v>C</v>
      </c>
      <c r="C252" s="32" t="str">
        <f ca="1">IFERROR(__xludf.DUMMYFUNCTION("""COMPUTED_VALUE"""),"23171341191")</f>
        <v>23171341191</v>
      </c>
      <c r="D252" s="4" t="str">
        <f ca="1">IFERROR(__xludf.DUMMYFUNCTION("""COMPUTED_VALUE"""),"SUTHAR JAINIL HITESHKUMAR")</f>
        <v>SUTHAR JAINIL HITESHKUMAR</v>
      </c>
      <c r="E252" s="3" t="str">
        <f ca="1">IFERROR(__xludf.DUMMYFUNCTION("""COMPUTED_VALUE"""),"PKN/PAP-Mor")</f>
        <v>PKN/PAP-Mor</v>
      </c>
      <c r="F252" s="3">
        <f ca="1">IFERROR(__xludf.DUMMYFUNCTION("""COMPUTED_VALUE"""),8320789950)</f>
        <v>8320789950</v>
      </c>
      <c r="G252" s="3">
        <f ca="1">IFERROR(__xludf.DUMMYFUNCTION("""COMPUTED_VALUE"""),9879791105)</f>
        <v>9879791105</v>
      </c>
      <c r="H252" s="33">
        <f ca="1">IFERROR(__xludf.DUMMYFUNCTION("""COMPUTED_VALUE"""),0.695473251028806)</f>
        <v>0.69547325102880597</v>
      </c>
      <c r="I252" s="25">
        <f ca="1">IFERROR(__xludf.DUMMYFUNCTION("""COMPUTED_VALUE"""),0.710526315789473)</f>
        <v>0.71052631578947301</v>
      </c>
      <c r="J252" s="25">
        <f ca="1">IFERROR(__xludf.DUMMYFUNCTION("""COMPUTED_VALUE"""),0.5)</f>
        <v>0.5</v>
      </c>
      <c r="K252" s="25">
        <f ca="1">IFERROR(__xludf.DUMMYFUNCTION("""COMPUTED_VALUE"""),0.666666666666666)</f>
        <v>0.66666666666666596</v>
      </c>
      <c r="L252" s="25">
        <f ca="1">IFERROR(__xludf.DUMMYFUNCTION("""COMPUTED_VALUE"""),0.909090909090909)</f>
        <v>0.90909090909090895</v>
      </c>
      <c r="M252" s="25">
        <f ca="1">IFERROR(__xludf.DUMMYFUNCTION("""COMPUTED_VALUE"""),0.777777777777777)</f>
        <v>0.77777777777777701</v>
      </c>
      <c r="N252" s="25">
        <f ca="1">IFERROR(__xludf.DUMMYFUNCTION("""COMPUTED_VALUE"""),0.666666666666666)</f>
        <v>0.66666666666666596</v>
      </c>
      <c r="O252" s="25">
        <f ca="1">IFERROR(__xludf.DUMMYFUNCTION("""COMPUTED_VALUE"""),0.6)</f>
        <v>0.6</v>
      </c>
      <c r="P252" s="25">
        <f ca="1">IFERROR(__xludf.DUMMYFUNCTION("""COMPUTED_VALUE"""),0.68)</f>
        <v>0.68</v>
      </c>
      <c r="Q252" s="25">
        <f ca="1">IFERROR(__xludf.DUMMYFUNCTION("""COMPUTED_VALUE"""),0)</f>
        <v>0</v>
      </c>
      <c r="R252" s="25">
        <f ca="1">IFERROR(__xludf.DUMMYFUNCTION("""COMPUTED_VALUE"""),0.764705882352941)</f>
        <v>0.76470588235294101</v>
      </c>
      <c r="S252" s="25">
        <f ca="1">IFERROR(__xludf.DUMMYFUNCTION("""COMPUTED_VALUE"""),0)</f>
        <v>0</v>
      </c>
      <c r="T252" s="25">
        <f ca="1">IFERROR(__xludf.DUMMYFUNCTION("""COMPUTED_VALUE"""),0.866666666666666)</f>
        <v>0.86666666666666603</v>
      </c>
      <c r="U252" s="25">
        <f ca="1">IFERROR(__xludf.DUMMYFUNCTION("""COMPUTED_VALUE"""),0.375)</f>
        <v>0.375</v>
      </c>
      <c r="V252" s="25">
        <f ca="1">IFERROR(__xludf.DUMMYFUNCTION("""COMPUTED_VALUE"""),0)</f>
        <v>0</v>
      </c>
      <c r="W252" s="4"/>
      <c r="X25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52" s="4" t="str">
        <f ca="1">IFERROR(__xludf.DUMMYFUNCTION("""COMPUTED_VALUE"""),"| 1 L CPT % | 5 L PHP-CGM % | 3 P PRO % | 5 P NS % ")</f>
        <v xml:space="preserve">| 1 L CPT % | 5 L PHP-CGM % | 3 P PRO % | 5 P NS % </v>
      </c>
      <c r="Z252" s="4" t="str">
        <f ca="1">IFERROR(__xludf.DUMMYFUNCTION("""COMPUTED_VALUE"""),"| 1 L CPT % | 2 L PHP-CGM % | 3 P Python % | 5 P CPT % ")</f>
        <v xml:space="preserve">| 1 L CPT % | 2 L PHP-CGM % | 3 P Python % | 5 P CPT % </v>
      </c>
      <c r="AA252" s="4" t="str">
        <f ca="1">IFERROR(__xludf.DUMMYFUNCTION("""COMPUTED_VALUE"""),"| 1 L NS % | 2 L JAVA % | 3 P JAVA % | 5 P PRO % ")</f>
        <v xml:space="preserve">| 1 L NS % | 2 L JAVA % | 3 P JAVA % | 5 P PRO % </v>
      </c>
      <c r="AB252" s="4" t="str">
        <f ca="1">IFERROR(__xludf.DUMMYFUNCTION("""COMPUTED_VALUE"""),"| 1 L CPT % | 2 L JAVA % | 3 P PHP-CGM % ")</f>
        <v xml:space="preserve">| 1 L CPT % | 2 L JAVA % | 3 P PHP-CGM % </v>
      </c>
      <c r="AC252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52" s="4" t="str">
        <f ca="1">IFERROR(__xludf.DUMMYFUNCTION("""COMPUTED_VALUE"""),"| 1 L CPT % | 2 L PHP-CGM % | 3 P PRO % | 5 P NS % ")</f>
        <v xml:space="preserve">| 1 L CPT % | 2 L PHP-CGM % | 3 P PRO % | 5 P NS % </v>
      </c>
      <c r="AE252" s="4" t="str">
        <f ca="1">IFERROR(__xludf.DUMMYFUNCTION("""COMPUTED_VALUE"""),"| 1 L CPT % | 3 P Python % | 5 P CPT % | 2 L PHP-CGM % ")</f>
        <v xml:space="preserve">| 1 L CPT % | 3 P Python % | 5 P CPT % | 2 L PHP-CGM % </v>
      </c>
      <c r="AF252" s="4" t="str">
        <f ca="1">IFERROR(__xludf.DUMMYFUNCTION("""COMPUTED_VALUE"""),"| 1 L NS % | 2 L CPT % | 3 P JAVA % | 5 P Python % ")</f>
        <v xml:space="preserve">| 1 L NS % | 2 L CPT % | 3 P JAVA % | 5 P Python % </v>
      </c>
      <c r="AG252" s="4" t="str">
        <f ca="1">IFERROR(__xludf.DUMMYFUNCTION("""COMPUTED_VALUE"""),"| 1 L CPT % | 2 L JAVA % | 3 P PHP-CGM % ")</f>
        <v xml:space="preserve">| 1 L CPT % | 2 L JAVA % | 3 P PHP-CGM % </v>
      </c>
      <c r="AH252" s="4" t="str">
        <f ca="1">IFERROR(__xludf.DUMMYFUNCTION("""COMPUTED_VALUE"""),"| 2 L JAVA % | 1 L NS % | 3 P JAVA % | 5 P Python % ")</f>
        <v xml:space="preserve">| 2 L JAVA % | 1 L NS % | 3 P JAVA % | 5 P Python % </v>
      </c>
      <c r="AI252" s="4" t="str">
        <f ca="1">IFERROR(__xludf.DUMMYFUNCTION("""COMPUTED_VALUE"""),"| 1 L CPT % | 2 L JAVA % | 3 P PHP-CGM % ")</f>
        <v xml:space="preserve">| 1 L CPT % | 2 L JAVA % | 3 P PHP-CGM % </v>
      </c>
      <c r="AJ25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52" s="4" t="str">
        <f ca="1">IFERROR(__xludf.DUMMYFUNCTION("""COMPUTED_VALUE"""),"| 1 L CPT % | 3 P PRO % | 2 L PHP-CGM % | 5 P NS % ")</f>
        <v xml:space="preserve">| 1 L CPT % | 3 P PRO % | 2 L PHP-CGM % | 5 P NS % </v>
      </c>
      <c r="AL252" s="4" t="str">
        <f ca="1">IFERROR(__xludf.DUMMYFUNCTION("""COMPUTED_VALUE"""),"| 1 L CPT % | 2 L PHP-CGM % | 5 P CPT @ ")</f>
        <v xml:space="preserve">| 1 L CPT % | 2 L PHP-CGM % | 5 P CPT @ </v>
      </c>
      <c r="AM252" s="4" t="str">
        <f ca="1">IFERROR(__xludf.DUMMYFUNCTION("""COMPUTED_VALUE"""),"| 2 L JAVA % | 3 P JAVA % | 1 L NS % | 5 P Python % ")</f>
        <v xml:space="preserve">| 2 L JAVA % | 3 P JAVA % | 1 L NS % | 5 P Python % </v>
      </c>
      <c r="AN252" s="4" t="str">
        <f ca="1">IFERROR(__xludf.DUMMYFUNCTION("""COMPUTED_VALUE"""),"| 1 L CPT % | 2 L JAVA % | 3 P PHP-CGM % | 5 L INE % ")</f>
        <v xml:space="preserve">| 1 L CPT % | 2 L JAVA % | 3 P PHP-CGM % | 5 L INE % </v>
      </c>
      <c r="AO252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52" s="4" t="str">
        <f ca="1">IFERROR(__xludf.DUMMYFUNCTION("""COMPUTED_VALUE"""),"| 1 L CPT % | 2 L PHP-CGM % | 3 P PRO % | 5 P NS % ")</f>
        <v xml:space="preserve">| 1 L CPT % | 2 L PHP-CGM % | 3 P PRO % | 5 P NS % </v>
      </c>
      <c r="AQ252" s="4" t="str">
        <f ca="1">IFERROR(__xludf.DUMMYFUNCTION("""COMPUTED_VALUE"""),"| 2 L PHP-CGM % | 3 P Python % | 1 L NS % | 5 P CPT % ")</f>
        <v xml:space="preserve">| 2 L PHP-CGM % | 3 P Python % | 1 L NS % | 5 P CPT % </v>
      </c>
      <c r="AR252" s="4" t="str">
        <f ca="1">IFERROR(__xludf.DUMMYFUNCTION("""COMPUTED_VALUE"""),"| 1 L CPT @ | 2 L JAVA @ | 3 P JAVA @ | 5 P Python @ ")</f>
        <v xml:space="preserve">| 1 L CPT @ | 2 L JAVA @ | 3 P JAVA @ | 5 P Python @ </v>
      </c>
      <c r="AS252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AT252" s="4" t="str">
        <f ca="1">IFERROR(__xludf.DUMMYFUNCTION("""COMPUTED_VALUE"""),"| 1 L CPT % | 2 L PHP-CGM % | 3 P PRO % | 5 P NS % ")</f>
        <v xml:space="preserve">| 1 L CPT % | 2 L PHP-CGM % | 3 P PRO % | 5 P NS % </v>
      </c>
      <c r="AU252" s="4" t="str">
        <f ca="1">IFERROR(__xludf.DUMMYFUNCTION("""COMPUTED_VALUE"""),"| 1 L NS % | 2 L PHP-CGM % | 3 P Python % | 5 P CPT % ")</f>
        <v xml:space="preserve">| 1 L NS % | 2 L PHP-CGM % | 3 P Python % | 5 P CPT % </v>
      </c>
      <c r="AV252" s="4" t="str">
        <f ca="1">IFERROR(__xludf.DUMMYFUNCTION("""COMPUTED_VALUE"""),"| 1 L CPT % | 2 L JAVA % | 3 P JAVA % | 5 P PRO % ")</f>
        <v xml:space="preserve">| 1 L CPT % | 2 L JAVA % | 3 P JAVA % | 5 P PRO % </v>
      </c>
      <c r="AW252" s="4" t="str">
        <f ca="1">IFERROR(__xludf.DUMMYFUNCTION("""COMPUTED_VALUE"""),"| 1 L CPT % | 2 L JAVA % | 3 P PHP-CGM % | 5 L INE @ | 6 L INE @ ")</f>
        <v xml:space="preserve">| 1 L CPT % | 2 L JAVA % | 3 P PHP-CGM % | 5 L INE @ | 6 L INE @ </v>
      </c>
      <c r="AX252" s="4" t="str">
        <f ca="1">IFERROR(__xludf.DUMMYFUNCTION("""COMPUTED_VALUE"""),"| 1 L NS % | 2 L PHP-CGM % | 3 P JAVA % | 5 L NS @ | 5 L JAVA @ ")</f>
        <v xml:space="preserve">| 1 L NS % | 2 L PHP-CGM % | 3 P JAVA % | 5 L NS @ | 5 L JAVA @ </v>
      </c>
      <c r="AY252" s="4" t="str">
        <f ca="1">IFERROR(__xludf.DUMMYFUNCTION("""COMPUTED_VALUE"""),"| 1 L CPT % | 2 L PHP-CGM % | 3 P PRO % | 5 P NS % ")</f>
        <v xml:space="preserve">| 1 L CPT % | 2 L PHP-CGM % | 3 P PRO % | 5 P NS % </v>
      </c>
      <c r="AZ252" s="4" t="str">
        <f ca="1">IFERROR(__xludf.DUMMYFUNCTION("""COMPUTED_VALUE"""),"| 1 L CPT % | 2 L JAVA % | 3 P JAVA % | 5 P Python % ")</f>
        <v xml:space="preserve">| 1 L CPT % | 2 L JAVA % | 3 P JAVA % | 5 P Python % </v>
      </c>
      <c r="BA252" s="4" t="str">
        <f ca="1">IFERROR(__xludf.DUMMYFUNCTION("""COMPUTED_VALUE"""),"| 1 L CPT % | 2 L JAVA % | 3 P PHP-CGM % | 5 L INE @ ")</f>
        <v xml:space="preserve">| 1 L CPT % | 2 L JAVA % | 3 P PHP-CGM % | 5 L INE @ </v>
      </c>
      <c r="BB25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52" s="4" t="str">
        <f ca="1">IFERROR(__xludf.DUMMYFUNCTION("""COMPUTED_VALUE"""),"| 1 L CPT % | 2 L PHP-CGM % | 3 P PRO % | 5 P NS % ")</f>
        <v xml:space="preserve">| 1 L CPT % | 2 L PHP-CGM % | 3 P PRO % | 5 P NS % </v>
      </c>
      <c r="BD252" s="4" t="str">
        <f ca="1">IFERROR(__xludf.DUMMYFUNCTION("""COMPUTED_VALUE"""),"| 1 L NS @ | 2 L PHP-CGM @ | 3 P Python @ | 5 P CPT @ ")</f>
        <v xml:space="preserve">| 1 L NS @ | 2 L PHP-CGM @ | 3 P Python @ | 5 P CPT @ </v>
      </c>
      <c r="BE252" s="4" t="str">
        <f ca="1">IFERROR(__xludf.DUMMYFUNCTION("""COMPUTED_VALUE"""),"| 1 L CPT % | 2 L JAVA % | 5 P Python @ ")</f>
        <v xml:space="preserve">| 1 L CPT % | 2 L JAVA % | 5 P Python @ </v>
      </c>
      <c r="BF252" s="4" t="str">
        <f ca="1">IFERROR(__xludf.DUMMYFUNCTION("""COMPUTED_VALUE"""),"| 1 L CPT @ | 2 L JAVA @ | 3 P PHP-CGM @ ")</f>
        <v xml:space="preserve">| 1 L CPT @ | 2 L JAVA @ | 3 P PHP-CGM @ </v>
      </c>
      <c r="BG252" s="4" t="str">
        <f ca="1">IFERROR(__xludf.DUMMYFUNCTION("""COMPUTED_VALUE"""),"| 2 L PHP-CGM % | 1 L CPT % | 3 P PRO % | 5 P NS % ")</f>
        <v xml:space="preserve">| 2 L PHP-CGM % | 1 L CPT % | 3 P PRO % | 5 P NS % </v>
      </c>
      <c r="BH252" s="4" t="str">
        <f ca="1">IFERROR(__xludf.DUMMYFUNCTION("""COMPUTED_VALUE"""),"| 1 L NS % | 2 L PHP-CGM % | 3 P Python % | 5 P CPT @ ")</f>
        <v xml:space="preserve">| 1 L NS % | 2 L PHP-CGM % | 3 P Python % | 5 P CPT @ </v>
      </c>
      <c r="BI252" s="4" t="str">
        <f ca="1">IFERROR(__xludf.DUMMYFUNCTION("""COMPUTED_VALUE"""),"| 1 L CPT % | 2 L JAVA % | 3 P JAVA % | 5 P PRO % ")</f>
        <v xml:space="preserve">| 1 L CPT % | 2 L JAVA % | 3 P JAVA % | 5 P PRO % </v>
      </c>
      <c r="BJ252" s="4" t="str">
        <f ca="1">IFERROR(__xludf.DUMMYFUNCTION("""COMPUTED_VALUE"""),"| 1 L CPT % | 2 L JAVA % | 3 P PHP-CGM @ | 5 L INE % ")</f>
        <v xml:space="preserve">| 1 L CPT % | 2 L JAVA % | 3 P PHP-CGM @ | 5 L INE % </v>
      </c>
      <c r="BK252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2" s="4" t="str">
        <f ca="1">IFERROR(__xludf.DUMMYFUNCTION("""COMPUTED_VALUE"""),"| 1 L CPT @ | 2 L PHP-CGM @ | 3 P PRO @ | 5 P NS @ ")</f>
        <v xml:space="preserve">| 1 L CPT @ | 2 L PHP-CGM @ | 3 P PRO @ | 5 P NS @ </v>
      </c>
      <c r="BM252" s="4" t="str">
        <f ca="1">IFERROR(__xludf.DUMMYFUNCTION("""COMPUTED_VALUE"""),"| 1 L NS % | 2 L PHP-CGM % | 3 P Python % | 5 P CPT % ")</f>
        <v xml:space="preserve">| 1 L NS % | 2 L PHP-CGM % | 3 P Python % | 5 P CPT % </v>
      </c>
      <c r="BN252" s="4" t="str">
        <f ca="1">IFERROR(__xludf.DUMMYFUNCTION("""COMPUTED_VALUE"""),"| 2 L JAVA @ | 1 L CPT @ | 3 P JAVA @ | 5 P PRO @ ")</f>
        <v xml:space="preserve">| 2 L JAVA @ | 1 L CPT @ | 3 P JAVA @ | 5 P PRO @ </v>
      </c>
      <c r="BO252" s="4" t="str">
        <f ca="1">IFERROR(__xludf.DUMMYFUNCTION("""COMPUTED_VALUE"""),"| 2 L JAVA @ | 1 L CPT @ | 3 P PHP-CGM @ | 5 L INE @ ")</f>
        <v xml:space="preserve">| 2 L JAVA @ | 1 L CPT @ | 3 P PHP-CGM @ | 5 L INE @ </v>
      </c>
      <c r="BP252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52" s="4"/>
      <c r="BR252" s="4"/>
      <c r="BS252" s="4"/>
      <c r="BT252" s="4" t="str">
        <f ca="1">IFERROR(__xludf.DUMMYFUNCTION("""COMPUTED_VALUE"""),"| 1 L NS % | 2 L PHP-CGM % | 3 P JAVA @ ")</f>
        <v xml:space="preserve">| 1 L NS % | 2 L PHP-CGM % | 3 P JAVA @ </v>
      </c>
      <c r="BU252" s="4" t="str">
        <f ca="1">IFERROR(__xludf.DUMMYFUNCTION("""COMPUTED_VALUE"""),"| 1 L CPT @ ")</f>
        <v xml:space="preserve">| 1 L CPT @ </v>
      </c>
      <c r="BV252" s="4" t="str">
        <f ca="1">IFERROR(__xludf.DUMMYFUNCTION("""COMPUTED_VALUE"""),"| 1 L NS % | 2 L PHP-CGM % | 3 P JAVA % | 6 L JAVA @ ")</f>
        <v xml:space="preserve">| 1 L NS % | 2 L PHP-CGM % | 3 P JAVA % | 6 L JAVA @ </v>
      </c>
      <c r="BW252" s="4" t="str">
        <f ca="1">IFERROR(__xludf.DUMMYFUNCTION("""COMPUTED_VALUE"""),"| 1 L CPT % | 2 L PHP-CGM % | 3 P PRO % ")</f>
        <v xml:space="preserve">| 1 L CPT % | 2 L PHP-CGM % | 3 P PRO % </v>
      </c>
      <c r="BX252" s="4" t="str">
        <f ca="1">IFERROR(__xludf.DUMMYFUNCTION("""COMPUTED_VALUE"""),"| 1 L NS % | 2 L PHP-CGM % | 3 P Python % | 5 P CPT @ ")</f>
        <v xml:space="preserve">| 1 L NS % | 2 L PHP-CGM % | 3 P Python % | 5 P CPT @ </v>
      </c>
      <c r="BY252" s="4" t="str">
        <f ca="1">IFERROR(__xludf.DUMMYFUNCTION("""COMPUTED_VALUE"""),"| 1 L CPT % | 2 L JAVA % | 3 P JAVA % | 5 P Python % ")</f>
        <v xml:space="preserve">| 1 L CPT % | 2 L JAVA % | 3 P JAVA % | 5 P Python % </v>
      </c>
      <c r="BZ252" s="4" t="str">
        <f ca="1">IFERROR(__xludf.DUMMYFUNCTION("""COMPUTED_VALUE"""),"| 1 L CPT @ | 2 L JAVA @ | 3 P PHP-CGM @ | 5 L INE @ ")</f>
        <v xml:space="preserve">| 1 L CPT @ | 2 L JAVA @ | 3 P PHP-CGM @ | 5 L INE @ </v>
      </c>
      <c r="CA252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CB252" s="4" t="str">
        <f ca="1">IFERROR(__xludf.DUMMYFUNCTION("""COMPUTED_VALUE"""),"| 2 L PHP-CGM % | 3 P PRO % | 5 P NS % | 1 L CPT % ")</f>
        <v xml:space="preserve">| 2 L PHP-CGM % | 3 P PRO % | 5 P NS % | 1 L CPT % </v>
      </c>
      <c r="CC252" s="4" t="str">
        <f ca="1">IFERROR(__xludf.DUMMYFUNCTION("""COMPUTED_VALUE"""),"| 1 L NS % | 2 L PHP-CGM % | 3 P Python % | 5 P CPT @ ")</f>
        <v xml:space="preserve">| 1 L NS % | 2 L PHP-CGM % | 3 P Python % | 5 P CPT @ </v>
      </c>
      <c r="CD252" s="4" t="str">
        <f ca="1">IFERROR(__xludf.DUMMYFUNCTION("""COMPUTED_VALUE"""),"| 1 L CPT @ | 2 L JAVA @ | 3 P JAVA @ | 5 P Python @ ")</f>
        <v xml:space="preserve">| 1 L CPT @ | 2 L JAVA @ | 3 P JAVA @ | 5 P Python @ </v>
      </c>
      <c r="CE252" s="4" t="str">
        <f ca="1">IFERROR(__xludf.DUMMYFUNCTION("""COMPUTED_VALUE"""),"| 1 L CPT % | 2 L JAVA % | 3 P PHP-CGM % | 5 L INE % ")</f>
        <v xml:space="preserve">| 1 L CPT % | 2 L JAVA % | 3 P PHP-CGM % | 5 L INE % </v>
      </c>
      <c r="CF252" s="4" t="str">
        <f ca="1">IFERROR(__xludf.DUMMYFUNCTION("""COMPUTED_VALUE"""),"| 1 L NS % | 2 L PHP-CGM @ | 3 P JAVA % | 5 L NS @ | 6 L JAVA % ")</f>
        <v xml:space="preserve">| 1 L NS % | 2 L PHP-CGM @ | 3 P JAVA % | 5 L NS @ | 6 L JAVA % </v>
      </c>
      <c r="CG252" s="4" t="str">
        <f ca="1">IFERROR(__xludf.DUMMYFUNCTION("""COMPUTED_VALUE"""),"| 1 L CPT @ | 2 L PHP-CGM @ | 5 P NS % ")</f>
        <v xml:space="preserve">| 1 L CPT @ | 2 L PHP-CGM @ | 5 P NS % </v>
      </c>
      <c r="CH252" s="4" t="str">
        <f ca="1">IFERROR(__xludf.DUMMYFUNCTION("""COMPUTED_VALUE"""),"| 1 L NS @ | 2 L PHP-CGM @ ")</f>
        <v xml:space="preserve">| 1 L NS @ | 2 L PHP-CGM @ </v>
      </c>
      <c r="CI252" s="4" t="str">
        <f ca="1">IFERROR(__xludf.DUMMYFUNCTION("""COMPUTED_VALUE"""),"| 1 L CPT @ | 2 L JAVA @ | 3 P JAVA @ ")</f>
        <v xml:space="preserve">| 1 L CPT @ | 2 L JAVA @ | 3 P JAVA @ </v>
      </c>
      <c r="CJ252" s="4" t="str">
        <f ca="1">IFERROR(__xludf.DUMMYFUNCTION("""COMPUTED_VALUE"""),"| 1 L CPT @ | 3 P PHP-CGM % ")</f>
        <v xml:space="preserve">| 1 L CPT @ | 3 P PHP-CGM % </v>
      </c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</row>
    <row r="253" spans="1:102" ht="12.5" x14ac:dyDescent="0.25">
      <c r="A253" s="3">
        <f ca="1">IFERROR(__xludf.DUMMYFUNCTION("""COMPUTED_VALUE"""),4)</f>
        <v>4</v>
      </c>
      <c r="B253" s="3" t="str">
        <f ca="1">IFERROR(__xludf.DUMMYFUNCTION("""COMPUTED_VALUE"""),"C")</f>
        <v>C</v>
      </c>
      <c r="C253" s="32" t="str">
        <f ca="1">IFERROR(__xludf.DUMMYFUNCTION("""COMPUTED_VALUE"""),"23171341192")</f>
        <v>23171341192</v>
      </c>
      <c r="D253" s="4" t="str">
        <f ca="1">IFERROR(__xludf.DUMMYFUNCTION("""COMPUTED_VALUE"""),"SUTHAR JAYESH JAGADISHBHAI")</f>
        <v>SUTHAR JAYESH JAGADISHBHAI</v>
      </c>
      <c r="E253" s="3" t="str">
        <f ca="1">IFERROR(__xludf.DUMMYFUNCTION("""COMPUTED_VALUE"""),"PKN/PAP-Mor")</f>
        <v>PKN/PAP-Mor</v>
      </c>
      <c r="F253" s="3">
        <f ca="1">IFERROR(__xludf.DUMMYFUNCTION("""COMPUTED_VALUE"""),9879760397)</f>
        <v>9879760397</v>
      </c>
      <c r="G253" s="3">
        <f ca="1">IFERROR(__xludf.DUMMYFUNCTION("""COMPUTED_VALUE"""),9428940086)</f>
        <v>9428940086</v>
      </c>
      <c r="H253" s="33">
        <f ca="1">IFERROR(__xludf.DUMMYFUNCTION("""COMPUTED_VALUE"""),0.152263374485596)</f>
        <v>0.15226337448559599</v>
      </c>
      <c r="I253" s="25">
        <f ca="1">IFERROR(__xludf.DUMMYFUNCTION("""COMPUTED_VALUE"""),0.236842105263157)</f>
        <v>0.23684210526315699</v>
      </c>
      <c r="J253" s="25">
        <f ca="1">IFERROR(__xludf.DUMMYFUNCTION("""COMPUTED_VALUE"""),0)</f>
        <v>0</v>
      </c>
      <c r="K253" s="25">
        <f ca="1">IFERROR(__xludf.DUMMYFUNCTION("""COMPUTED_VALUE"""),0.111111111111111)</f>
        <v>0.11111111111111099</v>
      </c>
      <c r="L253" s="25">
        <f ca="1">IFERROR(__xludf.DUMMYFUNCTION("""COMPUTED_VALUE"""),0)</f>
        <v>0</v>
      </c>
      <c r="M253" s="25">
        <f ca="1">IFERROR(__xludf.DUMMYFUNCTION("""COMPUTED_VALUE"""),0.25)</f>
        <v>0.25</v>
      </c>
      <c r="N253" s="25">
        <f ca="1">IFERROR(__xludf.DUMMYFUNCTION("""COMPUTED_VALUE"""),0)</f>
        <v>0</v>
      </c>
      <c r="O253" s="25">
        <f ca="1">IFERROR(__xludf.DUMMYFUNCTION("""COMPUTED_VALUE"""),0.257142857142857)</f>
        <v>0.25714285714285701</v>
      </c>
      <c r="P253" s="25">
        <f ca="1">IFERROR(__xludf.DUMMYFUNCTION("""COMPUTED_VALUE"""),0.16)</f>
        <v>0.16</v>
      </c>
      <c r="Q253" s="25">
        <f ca="1">IFERROR(__xludf.DUMMYFUNCTION("""COMPUTED_VALUE"""),0)</f>
        <v>0</v>
      </c>
      <c r="R253" s="25">
        <f ca="1">IFERROR(__xludf.DUMMYFUNCTION("""COMPUTED_VALUE"""),0)</f>
        <v>0</v>
      </c>
      <c r="S253" s="25">
        <f ca="1">IFERROR(__xludf.DUMMYFUNCTION("""COMPUTED_VALUE"""),0)</f>
        <v>0</v>
      </c>
      <c r="T253" s="25">
        <f ca="1">IFERROR(__xludf.DUMMYFUNCTION("""COMPUTED_VALUE"""),0.133333333333333)</f>
        <v>0.133333333333333</v>
      </c>
      <c r="U253" s="25">
        <f ca="1">IFERROR(__xludf.DUMMYFUNCTION("""COMPUTED_VALUE"""),0)</f>
        <v>0</v>
      </c>
      <c r="V253" s="25">
        <f ca="1">IFERROR(__xludf.DUMMYFUNCTION("""COMPUTED_VALUE"""),0)</f>
        <v>0</v>
      </c>
      <c r="W253" s="4"/>
      <c r="X25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53" s="4" t="str">
        <f ca="1">IFERROR(__xludf.DUMMYFUNCTION("""COMPUTED_VALUE"""),"| 1 L CPT @ | 5 L PHP-CGM % | 3 P PRO @ | 5 P NS @ ")</f>
        <v xml:space="preserve">| 1 L CPT @ | 5 L PHP-CGM % | 3 P PRO @ | 5 P NS @ </v>
      </c>
      <c r="Z253" s="4" t="str">
        <f ca="1">IFERROR(__xludf.DUMMYFUNCTION("""COMPUTED_VALUE"""),"| 1 L CPT % | 2 L PHP-CGM % | 3 P Python @ | 5 P CPT @ ")</f>
        <v xml:space="preserve">| 1 L CPT % | 2 L PHP-CGM % | 3 P Python @ | 5 P CPT @ </v>
      </c>
      <c r="AA253" s="4" t="str">
        <f ca="1">IFERROR(__xludf.DUMMYFUNCTION("""COMPUTED_VALUE"""),"| 1 L NS @ | 2 L JAVA % | 3 P JAVA @ | 5 P PRO % ")</f>
        <v xml:space="preserve">| 1 L NS @ | 2 L JAVA % | 3 P JAVA @ | 5 P PRO % </v>
      </c>
      <c r="AB253" s="4" t="str">
        <f ca="1">IFERROR(__xludf.DUMMYFUNCTION("""COMPUTED_VALUE"""),"| 1 L CPT @ | 2 L JAVA % | 3 P PHP-CGM @ ")</f>
        <v xml:space="preserve">| 1 L CPT @ | 2 L JAVA % | 3 P PHP-CGM @ </v>
      </c>
      <c r="AC253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53" s="4" t="str">
        <f ca="1">IFERROR(__xludf.DUMMYFUNCTION("""COMPUTED_VALUE"""),"| 1 L CPT % | 2 L PHP-CGM % | 3 P PRO @ | 5 P NS @ ")</f>
        <v xml:space="preserve">| 1 L CPT % | 2 L PHP-CGM % | 3 P PRO @ | 5 P NS @ </v>
      </c>
      <c r="AE253" s="4" t="str">
        <f ca="1">IFERROR(__xludf.DUMMYFUNCTION("""COMPUTED_VALUE"""),"| 1 L CPT @ | 3 P Python @ | 5 P CPT @ | 2 L PHP-CGM @ ")</f>
        <v xml:space="preserve">| 1 L CPT @ | 3 P Python @ | 5 P CPT @ | 2 L PHP-CGM @ </v>
      </c>
      <c r="AF253" s="4" t="str">
        <f ca="1">IFERROR(__xludf.DUMMYFUNCTION("""COMPUTED_VALUE"""),"| 1 L NS @ | 2 L CPT % | 3 P JAVA @ | 5 P Python @ ")</f>
        <v xml:space="preserve">| 1 L NS @ | 2 L CPT % | 3 P JAVA @ | 5 P Python @ </v>
      </c>
      <c r="AG253" s="4" t="str">
        <f ca="1">IFERROR(__xludf.DUMMYFUNCTION("""COMPUTED_VALUE"""),"| 1 L CPT % | 2 L JAVA % | 3 P PHP-CGM @ ")</f>
        <v xml:space="preserve">| 1 L CPT % | 2 L JAVA % | 3 P PHP-CGM @ </v>
      </c>
      <c r="AH253" s="4" t="str">
        <f ca="1">IFERROR(__xludf.DUMMYFUNCTION("""COMPUTED_VALUE"""),"| 2 L JAVA @ | 1 L NS @ | 3 P JAVA @ | 5 P Python @ ")</f>
        <v xml:space="preserve">| 2 L JAVA @ | 1 L NS @ | 3 P JAVA @ | 5 P Python @ </v>
      </c>
      <c r="AI253" s="4" t="str">
        <f ca="1">IFERROR(__xludf.DUMMYFUNCTION("""COMPUTED_VALUE"""),"| 1 L CPT @ | 2 L JAVA @ | 3 P PHP-CGM @ ")</f>
        <v xml:space="preserve">| 1 L CPT @ | 2 L JAVA @ | 3 P PHP-CGM @ </v>
      </c>
      <c r="AJ253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53" s="4" t="str">
        <f ca="1">IFERROR(__xludf.DUMMYFUNCTION("""COMPUTED_VALUE"""),"| 1 L CPT @ | 3 P PRO @ | 2 L PHP-CGM @ | 5 P NS @ ")</f>
        <v xml:space="preserve">| 1 L CPT @ | 3 P PRO @ | 2 L PHP-CGM @ | 5 P NS @ </v>
      </c>
      <c r="AL253" s="4" t="str">
        <f ca="1">IFERROR(__xludf.DUMMYFUNCTION("""COMPUTED_VALUE"""),"| 1 L CPT % | 2 L PHP-CGM % | 5 P CPT @ ")</f>
        <v xml:space="preserve">| 1 L CPT % | 2 L PHP-CGM % | 5 P CPT @ </v>
      </c>
      <c r="AM253" s="4" t="str">
        <f ca="1">IFERROR(__xludf.DUMMYFUNCTION("""COMPUTED_VALUE"""),"| 2 L JAVA % | 3 P JAVA @ | 1 L NS % | 5 P Python @ ")</f>
        <v xml:space="preserve">| 2 L JAVA % | 3 P JAVA @ | 1 L NS % | 5 P Python @ </v>
      </c>
      <c r="AN253" s="4" t="str">
        <f ca="1">IFERROR(__xludf.DUMMYFUNCTION("""COMPUTED_VALUE"""),"| 1 L CPT % | 2 L JAVA % | 3 P PHP-CGM @ | 5 L INE @ ")</f>
        <v xml:space="preserve">| 1 L CPT % | 2 L JAVA % | 3 P PHP-CGM @ | 5 L INE @ </v>
      </c>
      <c r="AO253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53" s="4" t="str">
        <f ca="1">IFERROR(__xludf.DUMMYFUNCTION("""COMPUTED_VALUE"""),"| 1 L CPT @ | 2 L PHP-CGM @ | 3 P PRO @ | 5 P NS @ ")</f>
        <v xml:space="preserve">| 1 L CPT @ | 2 L PHP-CGM @ | 3 P PRO @ | 5 P NS @ </v>
      </c>
      <c r="AQ253" s="4" t="str">
        <f ca="1">IFERROR(__xludf.DUMMYFUNCTION("""COMPUTED_VALUE"""),"| 2 L PHP-CGM @ | 3 P Python @ | 1 L NS @ | 5 P CPT @ ")</f>
        <v xml:space="preserve">| 2 L PHP-CGM @ | 3 P Python @ | 1 L NS @ | 5 P CPT @ </v>
      </c>
      <c r="AR253" s="4" t="str">
        <f ca="1">IFERROR(__xludf.DUMMYFUNCTION("""COMPUTED_VALUE"""),"| 1 L CPT @ | 2 L JAVA @ | 3 P JAVA @ | 5 P Python @ ")</f>
        <v xml:space="preserve">| 1 L CPT @ | 2 L JAVA @ | 3 P JAVA @ | 5 P Python @ </v>
      </c>
      <c r="AS25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53" s="4" t="str">
        <f ca="1">IFERROR(__xludf.DUMMYFUNCTION("""COMPUTED_VALUE"""),"| 1 L CPT @ | 2 L PHP-CGM % | 3 P PRO @ | 5 P NS @ ")</f>
        <v xml:space="preserve">| 1 L CPT @ | 2 L PHP-CGM % | 3 P PRO @ | 5 P NS @ </v>
      </c>
      <c r="AU253" s="4" t="str">
        <f ca="1">IFERROR(__xludf.DUMMYFUNCTION("""COMPUTED_VALUE"""),"| 1 L NS @ | 2 L PHP-CGM @ | 3 P Python @ | 5 P CPT @ ")</f>
        <v xml:space="preserve">| 1 L NS @ | 2 L PHP-CGM @ | 3 P Python @ | 5 P CPT @ </v>
      </c>
      <c r="AV253" s="4" t="str">
        <f ca="1">IFERROR(__xludf.DUMMYFUNCTION("""COMPUTED_VALUE"""),"| 1 L CPT % | 2 L JAVA % | 3 P JAVA % | 5 P PRO % ")</f>
        <v xml:space="preserve">| 1 L CPT % | 2 L JAVA % | 3 P JAVA % | 5 P PRO % </v>
      </c>
      <c r="AW253" s="4" t="str">
        <f ca="1">IFERROR(__xludf.DUMMYFUNCTION("""COMPUTED_VALUE"""),"| 1 L CPT @ | 2 L JAVA @ | 3 P PHP-CGM @ | 5 L INE @ | 6 L INE @ ")</f>
        <v xml:space="preserve">| 1 L CPT @ | 2 L JAVA @ | 3 P PHP-CGM @ | 5 L INE @ | 6 L INE @ </v>
      </c>
      <c r="AX253" s="4" t="str">
        <f ca="1">IFERROR(__xludf.DUMMYFUNCTION("""COMPUTED_VALUE"""),"| 1 L NS % | 2 L PHP-CGM % | 3 P JAVA % | 5 L NS @ | 5 L JAVA % ")</f>
        <v xml:space="preserve">| 1 L NS % | 2 L PHP-CGM % | 3 P JAVA % | 5 L NS @ | 5 L JAVA % </v>
      </c>
      <c r="AY253" s="4" t="str">
        <f ca="1">IFERROR(__xludf.DUMMYFUNCTION("""COMPUTED_VALUE"""),"| 1 L CPT % | 2 L PHP-CGM % | 3 P PRO @ | 5 P NS @ ")</f>
        <v xml:space="preserve">| 1 L CPT % | 2 L PHP-CGM % | 3 P PRO @ | 5 P NS @ </v>
      </c>
      <c r="AZ253" s="4" t="str">
        <f ca="1">IFERROR(__xludf.DUMMYFUNCTION("""COMPUTED_VALUE"""),"| 1 L CPT @ | 2 L JAVA @ | 3 P JAVA @ | 5 P Python @ ")</f>
        <v xml:space="preserve">| 1 L CPT @ | 2 L JAVA @ | 3 P JAVA @ | 5 P Python @ </v>
      </c>
      <c r="BA253" s="4" t="str">
        <f ca="1">IFERROR(__xludf.DUMMYFUNCTION("""COMPUTED_VALUE"""),"| 1 L CPT @ | 2 L JAVA @ | 3 P PHP-CGM @ | 5 L INE @ ")</f>
        <v xml:space="preserve">| 1 L CPT @ | 2 L JAVA @ | 3 P PHP-CGM @ | 5 L INE @ </v>
      </c>
      <c r="BB253" s="4" t="str">
        <f ca="1">IFERROR(__xludf.DUMMYFUNCTION("""COMPUTED_VALUE"""),"| 1 L NS @ | 2 L PHP-CGM % | 3 P JAVA % | 5 L NS @ | 6 L JAVA @ ")</f>
        <v xml:space="preserve">| 1 L NS @ | 2 L PHP-CGM % | 3 P JAVA % | 5 L NS @ | 6 L JAVA @ </v>
      </c>
      <c r="BC253" s="4" t="str">
        <f ca="1">IFERROR(__xludf.DUMMYFUNCTION("""COMPUTED_VALUE"""),"| 1 L CPT @ | 2 L PHP-CGM @ | 3 P PRO @ | 5 P NS @ ")</f>
        <v xml:space="preserve">| 1 L CPT @ | 2 L PHP-CGM @ | 3 P PRO @ | 5 P NS @ </v>
      </c>
      <c r="BD253" s="4" t="str">
        <f ca="1">IFERROR(__xludf.DUMMYFUNCTION("""COMPUTED_VALUE"""),"| 1 L NS @ | 2 L PHP-CGM @ | 3 P Python @ | 5 P CPT @ ")</f>
        <v xml:space="preserve">| 1 L NS @ | 2 L PHP-CGM @ | 3 P Python @ | 5 P CPT @ </v>
      </c>
      <c r="BE253" s="4" t="str">
        <f ca="1">IFERROR(__xludf.DUMMYFUNCTION("""COMPUTED_VALUE"""),"| 1 L CPT % | 2 L JAVA % | 5 P Python @ ")</f>
        <v xml:space="preserve">| 1 L CPT % | 2 L JAVA % | 5 P Python @ </v>
      </c>
      <c r="BF253" s="4" t="str">
        <f ca="1">IFERROR(__xludf.DUMMYFUNCTION("""COMPUTED_VALUE"""),"| 1 L CPT @ | 2 L JAVA @ | 3 P PHP-CGM @ ")</f>
        <v xml:space="preserve">| 1 L CPT @ | 2 L JAVA @ | 3 P PHP-CGM @ </v>
      </c>
      <c r="BG253" s="4" t="str">
        <f ca="1">IFERROR(__xludf.DUMMYFUNCTION("""COMPUTED_VALUE"""),"| 2 L PHP-CGM @ | 1 L CPT @ | 3 P PRO @ | 5 P NS @ ")</f>
        <v xml:space="preserve">| 2 L PHP-CGM @ | 1 L CPT @ | 3 P PRO @ | 5 P NS @ </v>
      </c>
      <c r="BH253" s="4" t="str">
        <f ca="1">IFERROR(__xludf.DUMMYFUNCTION("""COMPUTED_VALUE"""),"| 1 L NS @ | 2 L PHP-CGM @ | 3 P Python @ | 5 P CPT @ ")</f>
        <v xml:space="preserve">| 1 L NS @ | 2 L PHP-CGM @ | 3 P Python @ | 5 P CPT @ </v>
      </c>
      <c r="BI253" s="4" t="str">
        <f ca="1">IFERROR(__xludf.DUMMYFUNCTION("""COMPUTED_VALUE"""),"| 1 L CPT @ | 2 L JAVA @ | 3 P JAVA @ | 5 P PRO @ ")</f>
        <v xml:space="preserve">| 1 L CPT @ | 2 L JAVA @ | 3 P JAVA @ | 5 P PRO @ </v>
      </c>
      <c r="BJ253" s="4" t="str">
        <f ca="1">IFERROR(__xludf.DUMMYFUNCTION("""COMPUTED_VALUE"""),"| 1 L CPT @ | 2 L JAVA @ | 3 P PHP-CGM @ | 5 L INE @ ")</f>
        <v xml:space="preserve">| 1 L CPT @ | 2 L JAVA @ | 3 P PHP-CGM @ | 5 L INE @ </v>
      </c>
      <c r="BK25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3" s="4" t="str">
        <f ca="1">IFERROR(__xludf.DUMMYFUNCTION("""COMPUTED_VALUE"""),"| 1 L CPT @ | 2 L PHP-CGM @ | 3 P PRO @ | 5 P NS @ ")</f>
        <v xml:space="preserve">| 1 L CPT @ | 2 L PHP-CGM @ | 3 P PRO @ | 5 P NS @ </v>
      </c>
      <c r="BM253" s="4" t="str">
        <f ca="1">IFERROR(__xludf.DUMMYFUNCTION("""COMPUTED_VALUE"""),"| 1 L NS @ | 2 L PHP-CGM @ | 3 P Python @ | 5 P CPT @ ")</f>
        <v xml:space="preserve">| 1 L NS @ | 2 L PHP-CGM @ | 3 P Python @ | 5 P CPT @ </v>
      </c>
      <c r="BN253" s="4" t="str">
        <f ca="1">IFERROR(__xludf.DUMMYFUNCTION("""COMPUTED_VALUE"""),"| 2 L JAVA @ | 1 L CPT @ | 3 P JAVA @ | 5 P PRO @ ")</f>
        <v xml:space="preserve">| 2 L JAVA @ | 1 L CPT @ | 3 P JAVA @ | 5 P PRO @ </v>
      </c>
      <c r="BO253" s="4" t="str">
        <f ca="1">IFERROR(__xludf.DUMMYFUNCTION("""COMPUTED_VALUE"""),"| 2 L JAVA @ | 1 L CPT @ | 3 P PHP-CGM @ | 5 L INE @ ")</f>
        <v xml:space="preserve">| 2 L JAVA @ | 1 L CPT @ | 3 P PHP-CGM @ | 5 L INE @ </v>
      </c>
      <c r="BP25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53" s="4"/>
      <c r="BR253" s="4"/>
      <c r="BS253" s="4"/>
      <c r="BT253" s="4" t="str">
        <f ca="1">IFERROR(__xludf.DUMMYFUNCTION("""COMPUTED_VALUE"""),"| 1 L NS @ | 2 L PHP-CGM @ | 3 P JAVA @ ")</f>
        <v xml:space="preserve">| 1 L NS @ | 2 L PHP-CGM @ | 3 P JAVA @ </v>
      </c>
      <c r="BU253" s="4" t="str">
        <f ca="1">IFERROR(__xludf.DUMMYFUNCTION("""COMPUTED_VALUE"""),"| 1 L CPT @ ")</f>
        <v xml:space="preserve">| 1 L CPT @ </v>
      </c>
      <c r="BV253" s="4" t="str">
        <f ca="1">IFERROR(__xludf.DUMMYFUNCTION("""COMPUTED_VALUE"""),"| 1 L NS @ | 2 L PHP-CGM @ | 3 P JAVA @ | 6 L JAVA @ ")</f>
        <v xml:space="preserve">| 1 L NS @ | 2 L PHP-CGM @ | 3 P JAVA @ | 6 L JAVA @ </v>
      </c>
      <c r="BW253" s="4" t="str">
        <f ca="1">IFERROR(__xludf.DUMMYFUNCTION("""COMPUTED_VALUE"""),"| 1 L CPT @ | 2 L PHP-CGM @ | 3 P PRO @ ")</f>
        <v xml:space="preserve">| 1 L CPT @ | 2 L PHP-CGM @ | 3 P PRO @ </v>
      </c>
      <c r="BX253" s="4" t="str">
        <f ca="1">IFERROR(__xludf.DUMMYFUNCTION("""COMPUTED_VALUE"""),"| 1 L NS @ | 2 L PHP-CGM @ | 3 P Python @ | 5 P CPT @ ")</f>
        <v xml:space="preserve">| 1 L NS @ | 2 L PHP-CGM @ | 3 P Python @ | 5 P CPT @ </v>
      </c>
      <c r="BY253" s="4" t="str">
        <f ca="1">IFERROR(__xludf.DUMMYFUNCTION("""COMPUTED_VALUE"""),"| 1 L CPT @ | 2 L JAVA @ | 3 P JAVA @ | 5 P Python @ ")</f>
        <v xml:space="preserve">| 1 L CPT @ | 2 L JAVA @ | 3 P JAVA @ | 5 P Python @ </v>
      </c>
      <c r="BZ253" s="4" t="str">
        <f ca="1">IFERROR(__xludf.DUMMYFUNCTION("""COMPUTED_VALUE"""),"| 1 L CPT @ | 2 L JAVA @ | 3 P PHP-CGM @ | 5 L INE @ ")</f>
        <v xml:space="preserve">| 1 L CPT @ | 2 L JAVA @ | 3 P PHP-CGM @ | 5 L INE @ </v>
      </c>
      <c r="CA25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53" s="4" t="str">
        <f ca="1">IFERROR(__xludf.DUMMYFUNCTION("""COMPUTED_VALUE"""),"| 2 L PHP-CGM @ | 3 P PRO @ | 5 P NS @ | 1 L CPT @ ")</f>
        <v xml:space="preserve">| 2 L PHP-CGM @ | 3 P PRO @ | 5 P NS @ | 1 L CPT @ </v>
      </c>
      <c r="CC253" s="4" t="str">
        <f ca="1">IFERROR(__xludf.DUMMYFUNCTION("""COMPUTED_VALUE"""),"| 1 L NS @ | 2 L PHP-CGM @ | 3 P Python @ | 5 P CPT @ ")</f>
        <v xml:space="preserve">| 1 L NS @ | 2 L PHP-CGM @ | 3 P Python @ | 5 P CPT @ </v>
      </c>
      <c r="CD253" s="4" t="str">
        <f ca="1">IFERROR(__xludf.DUMMYFUNCTION("""COMPUTED_VALUE"""),"| 1 L CPT @ | 2 L JAVA @ | 3 P JAVA @ | 5 P Python @ ")</f>
        <v xml:space="preserve">| 1 L CPT @ | 2 L JAVA @ | 3 P JAVA @ | 5 P Python @ </v>
      </c>
      <c r="CE253" s="4" t="str">
        <f ca="1">IFERROR(__xludf.DUMMYFUNCTION("""COMPUTED_VALUE"""),"| 1 L CPT @ | 2 L JAVA @ | 3 P PHP-CGM @ | 5 L INE @ ")</f>
        <v xml:space="preserve">| 1 L CPT @ | 2 L JAVA @ | 3 P PHP-CGM @ | 5 L INE @ </v>
      </c>
      <c r="CF25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53" s="4" t="str">
        <f ca="1">IFERROR(__xludf.DUMMYFUNCTION("""COMPUTED_VALUE"""),"| 1 L CPT @ | 2 L PHP-CGM @ | 5 P NS @ ")</f>
        <v xml:space="preserve">| 1 L CPT @ | 2 L PHP-CGM @ | 5 P NS @ </v>
      </c>
      <c r="CH253" s="4" t="str">
        <f ca="1">IFERROR(__xludf.DUMMYFUNCTION("""COMPUTED_VALUE"""),"| 1 L NS @ | 2 L PHP-CGM @ ")</f>
        <v xml:space="preserve">| 1 L NS @ | 2 L PHP-CGM @ </v>
      </c>
      <c r="CI253" s="4" t="str">
        <f ca="1">IFERROR(__xludf.DUMMYFUNCTION("""COMPUTED_VALUE"""),"| 1 L CPT @ | 2 L JAVA @ | 3 P JAVA @ ")</f>
        <v xml:space="preserve">| 1 L CPT @ | 2 L JAVA @ | 3 P JAVA @ </v>
      </c>
      <c r="CJ253" s="4" t="str">
        <f ca="1">IFERROR(__xludf.DUMMYFUNCTION("""COMPUTED_VALUE"""),"| 1 L CPT @ | 3 P PHP-CGM @ ")</f>
        <v xml:space="preserve">| 1 L CPT @ | 3 P PHP-CGM @ </v>
      </c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</row>
    <row r="254" spans="1:102" ht="12.5" x14ac:dyDescent="0.25">
      <c r="A254" s="3">
        <f ca="1">IFERROR(__xludf.DUMMYFUNCTION("""COMPUTED_VALUE"""),4)</f>
        <v>4</v>
      </c>
      <c r="B254" s="3" t="str">
        <f ca="1">IFERROR(__xludf.DUMMYFUNCTION("""COMPUTED_VALUE"""),"C")</f>
        <v>C</v>
      </c>
      <c r="C254" s="32" t="str">
        <f ca="1">IFERROR(__xludf.DUMMYFUNCTION("""COMPUTED_VALUE"""),"23171341193")</f>
        <v>23171341193</v>
      </c>
      <c r="D254" s="4" t="str">
        <f ca="1">IFERROR(__xludf.DUMMYFUNCTION("""COMPUTED_VALUE"""),"SUTHAR VANSH HASMUKHBHAI")</f>
        <v>SUTHAR VANSH HASMUKHBHAI</v>
      </c>
      <c r="E254" s="3" t="str">
        <f ca="1">IFERROR(__xludf.DUMMYFUNCTION("""COMPUTED_VALUE"""),"PKN/PAP-Mor")</f>
        <v>PKN/PAP-Mor</v>
      </c>
      <c r="F254" s="3">
        <f ca="1">IFERROR(__xludf.DUMMYFUNCTION("""COMPUTED_VALUE"""),9510892495)</f>
        <v>9510892495</v>
      </c>
      <c r="G254" s="3">
        <f ca="1">IFERROR(__xludf.DUMMYFUNCTION("""COMPUTED_VALUE"""),9726402962)</f>
        <v>9726402962</v>
      </c>
      <c r="H254" s="33">
        <f ca="1">IFERROR(__xludf.DUMMYFUNCTION("""COMPUTED_VALUE"""),0.304526748971193)</f>
        <v>0.30452674897119297</v>
      </c>
      <c r="I254" s="25">
        <f ca="1">IFERROR(__xludf.DUMMYFUNCTION("""COMPUTED_VALUE"""),0.447368421052631)</f>
        <v>0.44736842105263103</v>
      </c>
      <c r="J254" s="25">
        <f ca="1">IFERROR(__xludf.DUMMYFUNCTION("""COMPUTED_VALUE"""),0)</f>
        <v>0</v>
      </c>
      <c r="K254" s="25">
        <f ca="1">IFERROR(__xludf.DUMMYFUNCTION("""COMPUTED_VALUE"""),0.361111111111111)</f>
        <v>0.36111111111111099</v>
      </c>
      <c r="L254" s="25">
        <f ca="1">IFERROR(__xludf.DUMMYFUNCTION("""COMPUTED_VALUE"""),0)</f>
        <v>0</v>
      </c>
      <c r="M254" s="25">
        <f ca="1">IFERROR(__xludf.DUMMYFUNCTION("""COMPUTED_VALUE"""),0.527777777777777)</f>
        <v>0.52777777777777701</v>
      </c>
      <c r="N254" s="25">
        <f ca="1">IFERROR(__xludf.DUMMYFUNCTION("""COMPUTED_VALUE"""),0)</f>
        <v>0</v>
      </c>
      <c r="O254" s="25">
        <f ca="1">IFERROR(__xludf.DUMMYFUNCTION("""COMPUTED_VALUE"""),0.485714285714285)</f>
        <v>0.48571428571428499</v>
      </c>
      <c r="P254" s="25">
        <f ca="1">IFERROR(__xludf.DUMMYFUNCTION("""COMPUTED_VALUE"""),0.2)</f>
        <v>0.2</v>
      </c>
      <c r="Q254" s="25">
        <f ca="1">IFERROR(__xludf.DUMMYFUNCTION("""COMPUTED_VALUE"""),0)</f>
        <v>0</v>
      </c>
      <c r="R254" s="25">
        <f ca="1">IFERROR(__xludf.DUMMYFUNCTION("""COMPUTED_VALUE"""),0)</f>
        <v>0</v>
      </c>
      <c r="S254" s="25">
        <f ca="1">IFERROR(__xludf.DUMMYFUNCTION("""COMPUTED_VALUE"""),0)</f>
        <v>0</v>
      </c>
      <c r="T254" s="25">
        <f ca="1">IFERROR(__xludf.DUMMYFUNCTION("""COMPUTED_VALUE"""),0.2)</f>
        <v>0.2</v>
      </c>
      <c r="U254" s="25">
        <f ca="1">IFERROR(__xludf.DUMMYFUNCTION("""COMPUTED_VALUE"""),0)</f>
        <v>0</v>
      </c>
      <c r="V254" s="25">
        <f ca="1">IFERROR(__xludf.DUMMYFUNCTION("""COMPUTED_VALUE"""),0)</f>
        <v>0</v>
      </c>
      <c r="W254" s="4"/>
      <c r="X254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54" s="4" t="str">
        <f ca="1">IFERROR(__xludf.DUMMYFUNCTION("""COMPUTED_VALUE"""),"| 1 L CPT @ | 5 L PHP-CGM % | 3 P PRO @ | 5 P NS @ ")</f>
        <v xml:space="preserve">| 1 L CPT @ | 5 L PHP-CGM % | 3 P PRO @ | 5 P NS @ </v>
      </c>
      <c r="Z254" s="4" t="str">
        <f ca="1">IFERROR(__xludf.DUMMYFUNCTION("""COMPUTED_VALUE"""),"| 1 L CPT @ | 2 L PHP-CGM @ | 3 P Python @ | 5 P CPT @ ")</f>
        <v xml:space="preserve">| 1 L CPT @ | 2 L PHP-CGM @ | 3 P Python @ | 5 P CPT @ </v>
      </c>
      <c r="AA254" s="4" t="str">
        <f ca="1">IFERROR(__xludf.DUMMYFUNCTION("""COMPUTED_VALUE"""),"| 1 L NS @ | 2 L JAVA % | 3 P JAVA @ | 5 P PRO % ")</f>
        <v xml:space="preserve">| 1 L NS @ | 2 L JAVA % | 3 P JAVA @ | 5 P PRO % </v>
      </c>
      <c r="AB254" s="4" t="str">
        <f ca="1">IFERROR(__xludf.DUMMYFUNCTION("""COMPUTED_VALUE"""),"| 1 L CPT % | 2 L JAVA % | 3 P PHP-CGM @ ")</f>
        <v xml:space="preserve">| 1 L CPT % | 2 L JAVA % | 3 P PHP-CGM @ </v>
      </c>
      <c r="AC254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54" s="4" t="str">
        <f ca="1">IFERROR(__xludf.DUMMYFUNCTION("""COMPUTED_VALUE"""),"| 1 L CPT % | 2 L PHP-CGM % | 3 P PRO @ | 5 P NS @ ")</f>
        <v xml:space="preserve">| 1 L CPT % | 2 L PHP-CGM % | 3 P PRO @ | 5 P NS @ </v>
      </c>
      <c r="AE254" s="4" t="str">
        <f ca="1">IFERROR(__xludf.DUMMYFUNCTION("""COMPUTED_VALUE"""),"| 1 L CPT @ | 3 P Python @ | 5 P CPT @ | 2 L PHP-CGM @ ")</f>
        <v xml:space="preserve">| 1 L CPT @ | 3 P Python @ | 5 P CPT @ | 2 L PHP-CGM @ </v>
      </c>
      <c r="AF254" s="4" t="str">
        <f ca="1">IFERROR(__xludf.DUMMYFUNCTION("""COMPUTED_VALUE"""),"| 1 L NS % | 2 L CPT % | 3 P JAVA @ | 5 P Python @ ")</f>
        <v xml:space="preserve">| 1 L NS % | 2 L CPT % | 3 P JAVA @ | 5 P Python @ </v>
      </c>
      <c r="AG254" s="4" t="str">
        <f ca="1">IFERROR(__xludf.DUMMYFUNCTION("""COMPUTED_VALUE"""),"| 1 L CPT % | 2 L JAVA % | 3 P PHP-CGM @ ")</f>
        <v xml:space="preserve">| 1 L CPT % | 2 L JAVA % | 3 P PHP-CGM @ </v>
      </c>
      <c r="AH254" s="4" t="str">
        <f ca="1">IFERROR(__xludf.DUMMYFUNCTION("""COMPUTED_VALUE"""),"| 2 L JAVA % | 1 L NS @ | 3 P JAVA @ | 5 P Python @ ")</f>
        <v xml:space="preserve">| 2 L JAVA % | 1 L NS @ | 3 P JAVA @ | 5 P Python @ </v>
      </c>
      <c r="AI254" s="4" t="str">
        <f ca="1">IFERROR(__xludf.DUMMYFUNCTION("""COMPUTED_VALUE"""),"| 1 L CPT % | 2 L JAVA % | 3 P PHP-CGM @ ")</f>
        <v xml:space="preserve">| 1 L CPT % | 2 L JAVA % | 3 P PHP-CGM @ </v>
      </c>
      <c r="AJ254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54" s="4" t="str">
        <f ca="1">IFERROR(__xludf.DUMMYFUNCTION("""COMPUTED_VALUE"""),"| 1 L CPT % | 3 P PRO @ | 2 L PHP-CGM % | 5 P NS @ ")</f>
        <v xml:space="preserve">| 1 L CPT % | 3 P PRO @ | 2 L PHP-CGM % | 5 P NS @ </v>
      </c>
      <c r="AL254" s="4" t="str">
        <f ca="1">IFERROR(__xludf.DUMMYFUNCTION("""COMPUTED_VALUE"""),"| 1 L CPT % | 2 L PHP-CGM % | 5 P CPT @ ")</f>
        <v xml:space="preserve">| 1 L CPT % | 2 L PHP-CGM % | 5 P CPT @ </v>
      </c>
      <c r="AM254" s="4" t="str">
        <f ca="1">IFERROR(__xludf.DUMMYFUNCTION("""COMPUTED_VALUE"""),"| 2 L JAVA % | 3 P JAVA @ | 1 L NS % | 5 P Python @ ")</f>
        <v xml:space="preserve">| 2 L JAVA % | 3 P JAVA @ | 1 L NS % | 5 P Python @ </v>
      </c>
      <c r="AN254" s="4" t="str">
        <f ca="1">IFERROR(__xludf.DUMMYFUNCTION("""COMPUTED_VALUE"""),"| 1 L CPT @ | 2 L JAVA @ | 3 P PHP-CGM @ | 5 L INE @ ")</f>
        <v xml:space="preserve">| 1 L CPT @ | 2 L JAVA @ | 3 P PHP-CGM @ | 5 L INE @ </v>
      </c>
      <c r="AO254" s="4" t="str">
        <f ca="1">IFERROR(__xludf.DUMMYFUNCTION("""COMPUTED_VALUE"""),"| 1 L NS % | 2 L PHP-CGM % | 3 P JAVA @ | 5 L NS @ | 5 L JAVA @ ")</f>
        <v xml:space="preserve">| 1 L NS % | 2 L PHP-CGM % | 3 P JAVA @ | 5 L NS @ | 5 L JAVA @ </v>
      </c>
      <c r="AP254" s="4" t="str">
        <f ca="1">IFERROR(__xludf.DUMMYFUNCTION("""COMPUTED_VALUE"""),"| 1 L CPT % | 2 L PHP-CGM % | 3 P PRO @ | 5 P NS @ ")</f>
        <v xml:space="preserve">| 1 L CPT % | 2 L PHP-CGM % | 3 P PRO @ | 5 P NS @ </v>
      </c>
      <c r="AQ254" s="4" t="str">
        <f ca="1">IFERROR(__xludf.DUMMYFUNCTION("""COMPUTED_VALUE"""),"| 2 L PHP-CGM @ | 3 P Python @ | 1 L NS @ | 5 P CPT @ ")</f>
        <v xml:space="preserve">| 2 L PHP-CGM @ | 3 P Python @ | 1 L NS @ | 5 P CPT @ </v>
      </c>
      <c r="AR254" s="4" t="str">
        <f ca="1">IFERROR(__xludf.DUMMYFUNCTION("""COMPUTED_VALUE"""),"| 1 L CPT % | 2 L JAVA % | 3 P JAVA @ | 5 P Python @ ")</f>
        <v xml:space="preserve">| 1 L CPT % | 2 L JAVA % | 3 P JAVA @ | 5 P Python @ </v>
      </c>
      <c r="AS254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AT254" s="4" t="str">
        <f ca="1">IFERROR(__xludf.DUMMYFUNCTION("""COMPUTED_VALUE"""),"| 1 L CPT % | 2 L PHP-CGM % | 3 P PRO % | 5 P NS @ ")</f>
        <v xml:space="preserve">| 1 L CPT % | 2 L PHP-CGM % | 3 P PRO % | 5 P NS @ </v>
      </c>
      <c r="AU254" s="4" t="str">
        <f ca="1">IFERROR(__xludf.DUMMYFUNCTION("""COMPUTED_VALUE"""),"| 1 L NS % | 2 L PHP-CGM % | 3 P Python @ | 5 P CPT @ ")</f>
        <v xml:space="preserve">| 1 L NS % | 2 L PHP-CGM % | 3 P Python @ | 5 P CPT @ </v>
      </c>
      <c r="AV254" s="4" t="str">
        <f ca="1">IFERROR(__xludf.DUMMYFUNCTION("""COMPUTED_VALUE"""),"| 1 L CPT % | 2 L JAVA % | 3 P JAVA % | 5 P PRO % ")</f>
        <v xml:space="preserve">| 1 L CPT % | 2 L JAVA % | 3 P JAVA % | 5 P PRO % </v>
      </c>
      <c r="AW254" s="4" t="str">
        <f ca="1">IFERROR(__xludf.DUMMYFUNCTION("""COMPUTED_VALUE"""),"| 1 L CPT @ | 2 L JAVA % | 3 P PHP-CGM @ | 5 L INE @ | 6 L INE @ ")</f>
        <v xml:space="preserve">| 1 L CPT @ | 2 L JAVA % | 3 P PHP-CGM @ | 5 L INE @ | 6 L INE @ </v>
      </c>
      <c r="AX254" s="4" t="str">
        <f ca="1">IFERROR(__xludf.DUMMYFUNCTION("""COMPUTED_VALUE"""),"| 1 L NS % | 2 L PHP-CGM % | 3 P JAVA % | 5 L NS @ | 5 L JAVA % ")</f>
        <v xml:space="preserve">| 1 L NS % | 2 L PHP-CGM % | 3 P JAVA % | 5 L NS @ | 5 L JAVA % </v>
      </c>
      <c r="AY254" s="4" t="str">
        <f ca="1">IFERROR(__xludf.DUMMYFUNCTION("""COMPUTED_VALUE"""),"| 1 L CPT % | 2 L PHP-CGM % | 3 P PRO @ | 5 P NS @ ")</f>
        <v xml:space="preserve">| 1 L CPT % | 2 L PHP-CGM % | 3 P PRO @ | 5 P NS @ </v>
      </c>
      <c r="AZ254" s="4" t="str">
        <f ca="1">IFERROR(__xludf.DUMMYFUNCTION("""COMPUTED_VALUE"""),"| 1 L CPT @ | 2 L JAVA % | 3 P JAVA % | 5 P Python @ ")</f>
        <v xml:space="preserve">| 1 L CPT @ | 2 L JAVA % | 3 P JAVA % | 5 P Python @ </v>
      </c>
      <c r="BA254" s="4" t="str">
        <f ca="1">IFERROR(__xludf.DUMMYFUNCTION("""COMPUTED_VALUE"""),"| 1 L CPT % | 2 L JAVA % | 3 P PHP-CGM @ | 5 L INE @ ")</f>
        <v xml:space="preserve">| 1 L CPT % | 2 L JAVA % | 3 P PHP-CGM @ | 5 L INE @ </v>
      </c>
      <c r="BB254" s="4" t="str">
        <f ca="1">IFERROR(__xludf.DUMMYFUNCTION("""COMPUTED_VALUE"""),"| 1 L NS @ | 2 L PHP-CGM % | 3 P JAVA % | 5 L NS % | 6 L JAVA % ")</f>
        <v xml:space="preserve">| 1 L NS @ | 2 L PHP-CGM % | 3 P JAVA % | 5 L NS % | 6 L JAVA % </v>
      </c>
      <c r="BC254" s="4" t="str">
        <f ca="1">IFERROR(__xludf.DUMMYFUNCTION("""COMPUTED_VALUE"""),"| 1 L CPT @ | 2 L PHP-CGM @ | 3 P PRO @ | 5 P NS @ ")</f>
        <v xml:space="preserve">| 1 L CPT @ | 2 L PHP-CGM @ | 3 P PRO @ | 5 P NS @ </v>
      </c>
      <c r="BD254" s="4" t="str">
        <f ca="1">IFERROR(__xludf.DUMMYFUNCTION("""COMPUTED_VALUE"""),"| 1 L NS @ | 2 L PHP-CGM % | 3 P Python @ | 5 P CPT @ ")</f>
        <v xml:space="preserve">| 1 L NS @ | 2 L PHP-CGM % | 3 P Python @ | 5 P CPT @ </v>
      </c>
      <c r="BE254" s="4" t="str">
        <f ca="1">IFERROR(__xludf.DUMMYFUNCTION("""COMPUTED_VALUE"""),"| 1 L CPT % | 2 L JAVA % | 5 P Python @ ")</f>
        <v xml:space="preserve">| 1 L CPT % | 2 L JAVA % | 5 P Python @ </v>
      </c>
      <c r="BF254" s="4" t="str">
        <f ca="1">IFERROR(__xludf.DUMMYFUNCTION("""COMPUTED_VALUE"""),"| 1 L CPT @ | 2 L JAVA @ | 3 P PHP-CGM @ ")</f>
        <v xml:space="preserve">| 1 L CPT @ | 2 L JAVA @ | 3 P PHP-CGM @ </v>
      </c>
      <c r="BG254" s="4" t="str">
        <f ca="1">IFERROR(__xludf.DUMMYFUNCTION("""COMPUTED_VALUE"""),"| 2 L PHP-CGM % | 1 L CPT % | 3 P PRO @ | 5 P NS @ ")</f>
        <v xml:space="preserve">| 2 L PHP-CGM % | 1 L CPT % | 3 P PRO @ | 5 P NS @ </v>
      </c>
      <c r="BH254" s="4" t="str">
        <f ca="1">IFERROR(__xludf.DUMMYFUNCTION("""COMPUTED_VALUE"""),"| 1 L NS @ | 2 L PHP-CGM @ | 3 P Python @ | 5 P CPT @ ")</f>
        <v xml:space="preserve">| 1 L NS @ | 2 L PHP-CGM @ | 3 P Python @ | 5 P CPT @ </v>
      </c>
      <c r="BI254" s="4" t="str">
        <f ca="1">IFERROR(__xludf.DUMMYFUNCTION("""COMPUTED_VALUE"""),"| 1 L CPT % | 2 L JAVA % | 3 P JAVA @ | 5 P PRO @ ")</f>
        <v xml:space="preserve">| 1 L CPT % | 2 L JAVA % | 3 P JAVA @ | 5 P PRO @ </v>
      </c>
      <c r="BJ254" s="4" t="str">
        <f ca="1">IFERROR(__xludf.DUMMYFUNCTION("""COMPUTED_VALUE"""),"| 1 L CPT @ | 2 L JAVA @ | 3 P PHP-CGM @ | 5 L INE @ ")</f>
        <v xml:space="preserve">| 1 L CPT @ | 2 L JAVA @ | 3 P PHP-CGM @ | 5 L INE @ </v>
      </c>
      <c r="BK254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4" s="4" t="str">
        <f ca="1">IFERROR(__xludf.DUMMYFUNCTION("""COMPUTED_VALUE"""),"| 1 L CPT @ | 2 L PHP-CGM @ | 3 P PRO @ | 5 P NS @ ")</f>
        <v xml:space="preserve">| 1 L CPT @ | 2 L PHP-CGM @ | 3 P PRO @ | 5 P NS @ </v>
      </c>
      <c r="BM254" s="4" t="str">
        <f ca="1">IFERROR(__xludf.DUMMYFUNCTION("""COMPUTED_VALUE"""),"| 1 L NS @ | 2 L PHP-CGM @ | 3 P Python @ | 5 P CPT @ ")</f>
        <v xml:space="preserve">| 1 L NS @ | 2 L PHP-CGM @ | 3 P Python @ | 5 P CPT @ </v>
      </c>
      <c r="BN254" s="4" t="str">
        <f ca="1">IFERROR(__xludf.DUMMYFUNCTION("""COMPUTED_VALUE"""),"| 2 L JAVA @ | 1 L CPT @ | 3 P JAVA @ | 5 P PRO @ ")</f>
        <v xml:space="preserve">| 2 L JAVA @ | 1 L CPT @ | 3 P JAVA @ | 5 P PRO @ </v>
      </c>
      <c r="BO254" s="4" t="str">
        <f ca="1">IFERROR(__xludf.DUMMYFUNCTION("""COMPUTED_VALUE"""),"| 2 L JAVA @ | 1 L CPT @ | 3 P PHP-CGM @ | 5 L INE @ ")</f>
        <v xml:space="preserve">| 2 L JAVA @ | 1 L CPT @ | 3 P PHP-CGM @ | 5 L INE @ </v>
      </c>
      <c r="BP254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54" s="4"/>
      <c r="BR254" s="4"/>
      <c r="BS254" s="4"/>
      <c r="BT254" s="4" t="str">
        <f ca="1">IFERROR(__xludf.DUMMYFUNCTION("""COMPUTED_VALUE"""),"| 1 L NS % | 2 L PHP-CGM % | 3 P JAVA @ ")</f>
        <v xml:space="preserve">| 1 L NS % | 2 L PHP-CGM % | 3 P JAVA @ </v>
      </c>
      <c r="BU254" s="4" t="str">
        <f ca="1">IFERROR(__xludf.DUMMYFUNCTION("""COMPUTED_VALUE"""),"| 1 L CPT @ ")</f>
        <v xml:space="preserve">| 1 L CPT @ </v>
      </c>
      <c r="BV254" s="4" t="str">
        <f ca="1">IFERROR(__xludf.DUMMYFUNCTION("""COMPUTED_VALUE"""),"| 1 L NS % | 2 L PHP-CGM % | 3 P JAVA @ | 6 L JAVA @ ")</f>
        <v xml:space="preserve">| 1 L NS % | 2 L PHP-CGM % | 3 P JAVA @ | 6 L JAVA @ </v>
      </c>
      <c r="BW254" s="4" t="str">
        <f ca="1">IFERROR(__xludf.DUMMYFUNCTION("""COMPUTED_VALUE"""),"| 1 L CPT @ | 2 L PHP-CGM @ | 3 P PRO @ ")</f>
        <v xml:space="preserve">| 1 L CPT @ | 2 L PHP-CGM @ | 3 P PRO @ </v>
      </c>
      <c r="BX254" s="4" t="str">
        <f ca="1">IFERROR(__xludf.DUMMYFUNCTION("""COMPUTED_VALUE"""),"| 1 L NS @ | 2 L PHP-CGM @ | 3 P Python @ | 5 P CPT @ ")</f>
        <v xml:space="preserve">| 1 L NS @ | 2 L PHP-CGM @ | 3 P Python @ | 5 P CPT @ </v>
      </c>
      <c r="BY254" s="4" t="str">
        <f ca="1">IFERROR(__xludf.DUMMYFUNCTION("""COMPUTED_VALUE"""),"| 1 L CPT @ | 2 L JAVA @ | 3 P JAVA @ | 5 P Python @ ")</f>
        <v xml:space="preserve">| 1 L CPT @ | 2 L JAVA @ | 3 P JAVA @ | 5 P Python @ </v>
      </c>
      <c r="BZ254" s="4" t="str">
        <f ca="1">IFERROR(__xludf.DUMMYFUNCTION("""COMPUTED_VALUE"""),"| 1 L CPT @ | 2 L JAVA @ | 3 P PHP-CGM @ | 5 L INE @ ")</f>
        <v xml:space="preserve">| 1 L CPT @ | 2 L JAVA @ | 3 P PHP-CGM @ | 5 L INE @ </v>
      </c>
      <c r="CA254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54" s="4" t="str">
        <f ca="1">IFERROR(__xludf.DUMMYFUNCTION("""COMPUTED_VALUE"""),"| 2 L PHP-CGM % | 3 P PRO @ | 5 P NS @ | 1 L CPT % ")</f>
        <v xml:space="preserve">| 2 L PHP-CGM % | 3 P PRO @ | 5 P NS @ | 1 L CPT % </v>
      </c>
      <c r="CC254" s="4" t="str">
        <f ca="1">IFERROR(__xludf.DUMMYFUNCTION("""COMPUTED_VALUE"""),"| 1 L NS @ | 2 L PHP-CGM @ | 3 P Python @ | 5 P CPT @ ")</f>
        <v xml:space="preserve">| 1 L NS @ | 2 L PHP-CGM @ | 3 P Python @ | 5 P CPT @ </v>
      </c>
      <c r="CD254" s="4" t="str">
        <f ca="1">IFERROR(__xludf.DUMMYFUNCTION("""COMPUTED_VALUE"""),"| 1 L CPT @ | 2 L JAVA @ | 3 P JAVA @ | 5 P Python @ ")</f>
        <v xml:space="preserve">| 1 L CPT @ | 2 L JAVA @ | 3 P JAVA @ | 5 P Python @ </v>
      </c>
      <c r="CE254" s="4" t="str">
        <f ca="1">IFERROR(__xludf.DUMMYFUNCTION("""COMPUTED_VALUE"""),"| 1 L CPT @ | 2 L JAVA @ | 3 P PHP-CGM @ | 5 L INE @ ")</f>
        <v xml:space="preserve">| 1 L CPT @ | 2 L JAVA @ | 3 P PHP-CGM @ | 5 L INE @ </v>
      </c>
      <c r="CF254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54" s="4" t="str">
        <f ca="1">IFERROR(__xludf.DUMMYFUNCTION("""COMPUTED_VALUE"""),"| 1 L CPT @ | 2 L PHP-CGM @ | 5 P NS @ ")</f>
        <v xml:space="preserve">| 1 L CPT @ | 2 L PHP-CGM @ | 5 P NS @ </v>
      </c>
      <c r="CH254" s="4" t="str">
        <f ca="1">IFERROR(__xludf.DUMMYFUNCTION("""COMPUTED_VALUE"""),"| 1 L NS @ | 2 L PHP-CGM @ ")</f>
        <v xml:space="preserve">| 1 L NS @ | 2 L PHP-CGM @ </v>
      </c>
      <c r="CI254" s="4" t="str">
        <f ca="1">IFERROR(__xludf.DUMMYFUNCTION("""COMPUTED_VALUE"""),"| 1 L CPT @ | 2 L JAVA @ | 3 P JAVA @ ")</f>
        <v xml:space="preserve">| 1 L CPT @ | 2 L JAVA @ | 3 P JAVA @ </v>
      </c>
      <c r="CJ254" s="4" t="str">
        <f ca="1">IFERROR(__xludf.DUMMYFUNCTION("""COMPUTED_VALUE"""),"| 1 L CPT @ | 3 P PHP-CGM @ ")</f>
        <v xml:space="preserve">| 1 L CPT @ | 3 P PHP-CGM @ </v>
      </c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</row>
    <row r="255" spans="1:102" ht="12.5" x14ac:dyDescent="0.25">
      <c r="A255" s="3">
        <f ca="1">IFERROR(__xludf.DUMMYFUNCTION("""COMPUTED_VALUE"""),4)</f>
        <v>4</v>
      </c>
      <c r="B255" s="3" t="str">
        <f ca="1">IFERROR(__xludf.DUMMYFUNCTION("""COMPUTED_VALUE"""),"C")</f>
        <v>C</v>
      </c>
      <c r="C255" s="32" t="str">
        <f ca="1">IFERROR(__xludf.DUMMYFUNCTION("""COMPUTED_VALUE"""),"23171341195")</f>
        <v>23171341195</v>
      </c>
      <c r="D255" s="4" t="str">
        <f ca="1">IFERROR(__xludf.DUMMYFUNCTION("""COMPUTED_VALUE"""),"THAKKAR PRANSHU VASANTKUMAR")</f>
        <v>THAKKAR PRANSHU VASANTKUMAR</v>
      </c>
      <c r="E255" s="3" t="str">
        <f ca="1">IFERROR(__xludf.DUMMYFUNCTION("""COMPUTED_VALUE"""),"PKN/PAP-Mor")</f>
        <v>PKN/PAP-Mor</v>
      </c>
      <c r="F255" s="3">
        <f ca="1">IFERROR(__xludf.DUMMYFUNCTION("""COMPUTED_VALUE"""),8128192130)</f>
        <v>8128192130</v>
      </c>
      <c r="G255" s="3">
        <f ca="1">IFERROR(__xludf.DUMMYFUNCTION("""COMPUTED_VALUE"""),9426827841)</f>
        <v>9426827841</v>
      </c>
      <c r="H255" s="33">
        <f ca="1">IFERROR(__xludf.DUMMYFUNCTION("""COMPUTED_VALUE"""),0.646090534979423)</f>
        <v>0.64609053497942304</v>
      </c>
      <c r="I255" s="25">
        <f ca="1">IFERROR(__xludf.DUMMYFUNCTION("""COMPUTED_VALUE"""),0.657894736842105)</f>
        <v>0.65789473684210498</v>
      </c>
      <c r="J255" s="25">
        <f ca="1">IFERROR(__xludf.DUMMYFUNCTION("""COMPUTED_VALUE"""),0.6)</f>
        <v>0.6</v>
      </c>
      <c r="K255" s="25">
        <f ca="1">IFERROR(__xludf.DUMMYFUNCTION("""COMPUTED_VALUE"""),0.611111111111111)</f>
        <v>0.61111111111111105</v>
      </c>
      <c r="L255" s="25">
        <f ca="1">IFERROR(__xludf.DUMMYFUNCTION("""COMPUTED_VALUE"""),0.909090909090909)</f>
        <v>0.90909090909090895</v>
      </c>
      <c r="M255" s="25">
        <f ca="1">IFERROR(__xludf.DUMMYFUNCTION("""COMPUTED_VALUE"""),0.75)</f>
        <v>0.75</v>
      </c>
      <c r="N255" s="25">
        <f ca="1">IFERROR(__xludf.DUMMYFUNCTION("""COMPUTED_VALUE"""),0.583333333333333)</f>
        <v>0.58333333333333304</v>
      </c>
      <c r="O255" s="25">
        <f ca="1">IFERROR(__xludf.DUMMYFUNCTION("""COMPUTED_VALUE"""),0.514285714285714)</f>
        <v>0.51428571428571401</v>
      </c>
      <c r="P255" s="25">
        <f ca="1">IFERROR(__xludf.DUMMYFUNCTION("""COMPUTED_VALUE"""),0.6)</f>
        <v>0.6</v>
      </c>
      <c r="Q255" s="25">
        <f ca="1">IFERROR(__xludf.DUMMYFUNCTION("""COMPUTED_VALUE"""),0)</f>
        <v>0</v>
      </c>
      <c r="R255" s="25">
        <f ca="1">IFERROR(__xludf.DUMMYFUNCTION("""COMPUTED_VALUE"""),0.529411764705882)</f>
        <v>0.52941176470588203</v>
      </c>
      <c r="S255" s="25">
        <f ca="1">IFERROR(__xludf.DUMMYFUNCTION("""COMPUTED_VALUE"""),0)</f>
        <v>0</v>
      </c>
      <c r="T255" s="25">
        <f ca="1">IFERROR(__xludf.DUMMYFUNCTION("""COMPUTED_VALUE"""),0.866666666666666)</f>
        <v>0.86666666666666603</v>
      </c>
      <c r="U255" s="25">
        <f ca="1">IFERROR(__xludf.DUMMYFUNCTION("""COMPUTED_VALUE"""),0.625)</f>
        <v>0.625</v>
      </c>
      <c r="V255" s="25">
        <f ca="1">IFERROR(__xludf.DUMMYFUNCTION("""COMPUTED_VALUE"""),0)</f>
        <v>0</v>
      </c>
      <c r="W255" s="4"/>
      <c r="X25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55" s="4" t="str">
        <f ca="1">IFERROR(__xludf.DUMMYFUNCTION("""COMPUTED_VALUE"""),"| 1 L CPT % | 5 L PHP-CGM % | 3 P PRO % | 5 P NS % ")</f>
        <v xml:space="preserve">| 1 L CPT % | 5 L PHP-CGM % | 3 P PRO % | 5 P NS % </v>
      </c>
      <c r="Z255" s="4" t="str">
        <f ca="1">IFERROR(__xludf.DUMMYFUNCTION("""COMPUTED_VALUE"""),"| 1 L CPT % | 2 L PHP-CGM % | 3 P Python % | 5 P CPT % ")</f>
        <v xml:space="preserve">| 1 L CPT % | 2 L PHP-CGM % | 3 P Python % | 5 P CPT % </v>
      </c>
      <c r="AA255" s="4" t="str">
        <f ca="1">IFERROR(__xludf.DUMMYFUNCTION("""COMPUTED_VALUE"""),"| 1 L NS % | 2 L JAVA % | 3 P JAVA % | 5 P PRO % ")</f>
        <v xml:space="preserve">| 1 L NS % | 2 L JAVA % | 3 P JAVA % | 5 P PRO % </v>
      </c>
      <c r="AB255" s="4" t="str">
        <f ca="1">IFERROR(__xludf.DUMMYFUNCTION("""COMPUTED_VALUE"""),"| 1 L CPT @ | 2 L JAVA @ | 3 P PHP-CGM @ ")</f>
        <v xml:space="preserve">| 1 L CPT @ | 2 L JAVA @ | 3 P PHP-CGM @ </v>
      </c>
      <c r="AC25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55" s="4" t="str">
        <f ca="1">IFERROR(__xludf.DUMMYFUNCTION("""COMPUTED_VALUE"""),"| 1 L CPT % | 2 L PHP-CGM % | 3 P PRO % | 5 P NS % ")</f>
        <v xml:space="preserve">| 1 L CPT % | 2 L PHP-CGM % | 3 P PRO % | 5 P NS % </v>
      </c>
      <c r="AE255" s="4" t="str">
        <f ca="1">IFERROR(__xludf.DUMMYFUNCTION("""COMPUTED_VALUE"""),"| 1 L CPT % | 3 P Python % | 5 P CPT % | 2 L PHP-CGM % ")</f>
        <v xml:space="preserve">| 1 L CPT % | 3 P Python % | 5 P CPT % | 2 L PHP-CGM % </v>
      </c>
      <c r="AF255" s="4" t="str">
        <f ca="1">IFERROR(__xludf.DUMMYFUNCTION("""COMPUTED_VALUE"""),"| 1 L NS % | 2 L CPT % | 3 P JAVA % | 5 P Python % ")</f>
        <v xml:space="preserve">| 1 L NS % | 2 L CPT % | 3 P JAVA % | 5 P Python % </v>
      </c>
      <c r="AG255" s="4" t="str">
        <f ca="1">IFERROR(__xludf.DUMMYFUNCTION("""COMPUTED_VALUE"""),"| 1 L CPT % | 2 L JAVA % | 3 P PHP-CGM % ")</f>
        <v xml:space="preserve">| 1 L CPT % | 2 L JAVA % | 3 P PHP-CGM % </v>
      </c>
      <c r="AH255" s="4" t="str">
        <f ca="1">IFERROR(__xludf.DUMMYFUNCTION("""COMPUTED_VALUE"""),"| 2 L JAVA @ | 1 L NS @ | 3 P JAVA @ | 5 P Python @ ")</f>
        <v xml:space="preserve">| 2 L JAVA @ | 1 L NS @ | 3 P JAVA @ | 5 P Python @ </v>
      </c>
      <c r="AI255" s="4" t="str">
        <f ca="1">IFERROR(__xludf.DUMMYFUNCTION("""COMPUTED_VALUE"""),"| 1 L CPT @ | 2 L JAVA @ | 3 P PHP-CGM @ ")</f>
        <v xml:space="preserve">| 1 L CPT @ | 2 L JAVA @ | 3 P PHP-CGM @ </v>
      </c>
      <c r="AJ255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55" s="4" t="str">
        <f ca="1">IFERROR(__xludf.DUMMYFUNCTION("""COMPUTED_VALUE"""),"| 1 L CPT % | 3 P PRO % | 2 L PHP-CGM % | 5 P NS % ")</f>
        <v xml:space="preserve">| 1 L CPT % | 3 P PRO % | 2 L PHP-CGM % | 5 P NS % </v>
      </c>
      <c r="AL255" s="4" t="str">
        <f ca="1">IFERROR(__xludf.DUMMYFUNCTION("""COMPUTED_VALUE"""),"| 1 L CPT % | 2 L PHP-CGM % | 5 P CPT % ")</f>
        <v xml:space="preserve">| 1 L CPT % | 2 L PHP-CGM % | 5 P CPT % </v>
      </c>
      <c r="AM255" s="4" t="str">
        <f ca="1">IFERROR(__xludf.DUMMYFUNCTION("""COMPUTED_VALUE"""),"| 2 L JAVA % | 3 P JAVA % | 1 L NS % | 5 P Python % ")</f>
        <v xml:space="preserve">| 2 L JAVA % | 3 P JAVA % | 1 L NS % | 5 P Python % </v>
      </c>
      <c r="AN255" s="4" t="str">
        <f ca="1">IFERROR(__xludf.DUMMYFUNCTION("""COMPUTED_VALUE"""),"| 1 L CPT % | 2 L JAVA % | 3 P PHP-CGM % | 5 L INE % ")</f>
        <v xml:space="preserve">| 1 L CPT % | 2 L JAVA % | 3 P PHP-CGM % | 5 L INE % </v>
      </c>
      <c r="AO255" s="4" t="str">
        <f ca="1">IFERROR(__xludf.DUMMYFUNCTION("""COMPUTED_VALUE"""),"| 1 L NS @ | 2 L PHP-CGM % | 3 P JAVA @ | 5 L NS @ | 5 L JAVA @ ")</f>
        <v xml:space="preserve">| 1 L NS @ | 2 L PHP-CGM % | 3 P JAVA @ | 5 L NS @ | 5 L JAVA @ </v>
      </c>
      <c r="AP255" s="4" t="str">
        <f ca="1">IFERROR(__xludf.DUMMYFUNCTION("""COMPUTED_VALUE"""),"| 1 L CPT % | 2 L PHP-CGM % | 3 P PRO % | 5 P NS % ")</f>
        <v xml:space="preserve">| 1 L CPT % | 2 L PHP-CGM % | 3 P PRO % | 5 P NS % </v>
      </c>
      <c r="AQ255" s="4" t="str">
        <f ca="1">IFERROR(__xludf.DUMMYFUNCTION("""COMPUTED_VALUE"""),"| 2 L PHP-CGM @ | 3 P Python @ | 1 L NS @ | 5 P CPT @ ")</f>
        <v xml:space="preserve">| 2 L PHP-CGM @ | 3 P Python @ | 1 L NS @ | 5 P CPT @ </v>
      </c>
      <c r="AR255" s="4" t="str">
        <f ca="1">IFERROR(__xludf.DUMMYFUNCTION("""COMPUTED_VALUE"""),"| 1 L CPT @ | 2 L JAVA @ | 3 P JAVA @ | 5 P Python @ ")</f>
        <v xml:space="preserve">| 1 L CPT @ | 2 L JAVA @ | 3 P JAVA @ | 5 P Python @ </v>
      </c>
      <c r="AS255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55" s="4" t="str">
        <f ca="1">IFERROR(__xludf.DUMMYFUNCTION("""COMPUTED_VALUE"""),"| 1 L CPT % | 2 L PHP-CGM % | 3 P PRO % | 5 P NS % ")</f>
        <v xml:space="preserve">| 1 L CPT % | 2 L PHP-CGM % | 3 P PRO % | 5 P NS % </v>
      </c>
      <c r="AU255" s="4" t="str">
        <f ca="1">IFERROR(__xludf.DUMMYFUNCTION("""COMPUTED_VALUE"""),"| 1 L NS % | 2 L PHP-CGM % | 3 P Python % | 5 P CPT % ")</f>
        <v xml:space="preserve">| 1 L NS % | 2 L PHP-CGM % | 3 P Python % | 5 P CPT % </v>
      </c>
      <c r="AV255" s="4" t="str">
        <f ca="1">IFERROR(__xludf.DUMMYFUNCTION("""COMPUTED_VALUE"""),"| 1 L CPT @ | 2 L JAVA @ | 3 P JAVA @ | 5 P PRO @ ")</f>
        <v xml:space="preserve">| 1 L CPT @ | 2 L JAVA @ | 3 P JAVA @ | 5 P PRO @ </v>
      </c>
      <c r="AW255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55" s="4" t="str">
        <f ca="1">IFERROR(__xludf.DUMMYFUNCTION("""COMPUTED_VALUE"""),"| 1 L NS % | 2 L PHP-CGM % | 3 P JAVA % | 5 L NS @ | 5 L JAVA @ ")</f>
        <v xml:space="preserve">| 1 L NS % | 2 L PHP-CGM % | 3 P JAVA % | 5 L NS @ | 5 L JAVA @ </v>
      </c>
      <c r="AY255" s="4" t="str">
        <f ca="1">IFERROR(__xludf.DUMMYFUNCTION("""COMPUTED_VALUE"""),"| 1 L CPT % | 2 L PHP-CGM % | 3 P PRO % | 5 P NS % ")</f>
        <v xml:space="preserve">| 1 L CPT % | 2 L PHP-CGM % | 3 P PRO % | 5 P NS % </v>
      </c>
      <c r="AZ255" s="4" t="str">
        <f ca="1">IFERROR(__xludf.DUMMYFUNCTION("""COMPUTED_VALUE"""),"| 1 L CPT % | 2 L JAVA % | 3 P JAVA % | 5 P Python % ")</f>
        <v xml:space="preserve">| 1 L CPT % | 2 L JAVA % | 3 P JAVA % | 5 P Python % </v>
      </c>
      <c r="BA255" s="4" t="str">
        <f ca="1">IFERROR(__xludf.DUMMYFUNCTION("""COMPUTED_VALUE"""),"| 1 L CPT % | 2 L JAVA @ | 3 P PHP-CGM @ | 5 L INE @ ")</f>
        <v xml:space="preserve">| 1 L CPT % | 2 L JAVA @ | 3 P PHP-CGM @ | 5 L INE @ </v>
      </c>
      <c r="BB255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55" s="4" t="str">
        <f ca="1">IFERROR(__xludf.DUMMYFUNCTION("""COMPUTED_VALUE"""),"| 1 L CPT % | 2 L PHP-CGM % | 3 P PRO % | 5 P NS % ")</f>
        <v xml:space="preserve">| 1 L CPT % | 2 L PHP-CGM % | 3 P PRO % | 5 P NS % </v>
      </c>
      <c r="BD255" s="4" t="str">
        <f ca="1">IFERROR(__xludf.DUMMYFUNCTION("""COMPUTED_VALUE"""),"| 1 L NS % | 2 L PHP-CGM % | 3 P Python % | 5 P CPT % ")</f>
        <v xml:space="preserve">| 1 L NS % | 2 L PHP-CGM % | 3 P Python % | 5 P CPT % </v>
      </c>
      <c r="BE255" s="4" t="str">
        <f ca="1">IFERROR(__xludf.DUMMYFUNCTION("""COMPUTED_VALUE"""),"| 1 L CPT @ | 2 L JAVA @ | 5 P Python @ ")</f>
        <v xml:space="preserve">| 1 L CPT @ | 2 L JAVA @ | 5 P Python @ </v>
      </c>
      <c r="BF255" s="4" t="str">
        <f ca="1">IFERROR(__xludf.DUMMYFUNCTION("""COMPUTED_VALUE"""),"| 1 L CPT % | 2 L JAVA % | 3 P PHP-CGM % ")</f>
        <v xml:space="preserve">| 1 L CPT % | 2 L JAVA % | 3 P PHP-CGM % </v>
      </c>
      <c r="BG255" s="4" t="str">
        <f ca="1">IFERROR(__xludf.DUMMYFUNCTION("""COMPUTED_VALUE"""),"| 2 L PHP-CGM % | 1 L CPT % | 3 P PRO % | 5 P NS % ")</f>
        <v xml:space="preserve">| 2 L PHP-CGM % | 1 L CPT % | 3 P PRO % | 5 P NS % </v>
      </c>
      <c r="BH255" s="4" t="str">
        <f ca="1">IFERROR(__xludf.DUMMYFUNCTION("""COMPUTED_VALUE"""),"| 1 L NS % | 2 L PHP-CGM % | 3 P Python % | 5 P CPT @ ")</f>
        <v xml:space="preserve">| 1 L NS % | 2 L PHP-CGM % | 3 P Python % | 5 P CPT @ </v>
      </c>
      <c r="BI255" s="4" t="str">
        <f ca="1">IFERROR(__xludf.DUMMYFUNCTION("""COMPUTED_VALUE"""),"| 1 L CPT % | 2 L JAVA % | 3 P JAVA % | 5 P PRO % ")</f>
        <v xml:space="preserve">| 1 L CPT % | 2 L JAVA % | 3 P JAVA % | 5 P PRO % </v>
      </c>
      <c r="BJ255" s="4" t="str">
        <f ca="1">IFERROR(__xludf.DUMMYFUNCTION("""COMPUTED_VALUE"""),"| 1 L CPT @ | 2 L JAVA @ | 3 P PHP-CGM @ | 5 L INE @ ")</f>
        <v xml:space="preserve">| 1 L CPT @ | 2 L JAVA @ | 3 P PHP-CGM @ | 5 L INE @ </v>
      </c>
      <c r="BK255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5" s="4" t="str">
        <f ca="1">IFERROR(__xludf.DUMMYFUNCTION("""COMPUTED_VALUE"""),"| 1 L CPT @ | 2 L PHP-CGM @ | 3 P PRO @ | 5 P NS @ ")</f>
        <v xml:space="preserve">| 1 L CPT @ | 2 L PHP-CGM @ | 3 P PRO @ | 5 P NS @ </v>
      </c>
      <c r="BM255" s="4" t="str">
        <f ca="1">IFERROR(__xludf.DUMMYFUNCTION("""COMPUTED_VALUE"""),"| 1 L NS @ | 2 L PHP-CGM @ | 3 P Python @ | 5 P CPT @ ")</f>
        <v xml:space="preserve">| 1 L NS @ | 2 L PHP-CGM @ | 3 P Python @ | 5 P CPT @ </v>
      </c>
      <c r="BN255" s="4" t="str">
        <f ca="1">IFERROR(__xludf.DUMMYFUNCTION("""COMPUTED_VALUE"""),"| 2 L JAVA % | 1 L CPT % | 3 P JAVA % | 5 P PRO % ")</f>
        <v xml:space="preserve">| 2 L JAVA % | 1 L CPT % | 3 P JAVA % | 5 P PRO % </v>
      </c>
      <c r="BO255" s="4" t="str">
        <f ca="1">IFERROR(__xludf.DUMMYFUNCTION("""COMPUTED_VALUE"""),"| 2 L JAVA @ | 1 L CPT @ | 3 P PHP-CGM @ | 5 L INE @ ")</f>
        <v xml:space="preserve">| 2 L JAVA @ | 1 L CPT @ | 3 P PHP-CGM @ | 5 L INE @ </v>
      </c>
      <c r="BP255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BQ255" s="4"/>
      <c r="BR255" s="4"/>
      <c r="BS255" s="4"/>
      <c r="BT255" s="4" t="str">
        <f ca="1">IFERROR(__xludf.DUMMYFUNCTION("""COMPUTED_VALUE"""),"| 1 L NS @ | 2 L PHP-CGM @ | 3 P JAVA @ ")</f>
        <v xml:space="preserve">| 1 L NS @ | 2 L PHP-CGM @ | 3 P JAVA @ </v>
      </c>
      <c r="BU255" s="4" t="str">
        <f ca="1">IFERROR(__xludf.DUMMYFUNCTION("""COMPUTED_VALUE"""),"| 1 L CPT @ ")</f>
        <v xml:space="preserve">| 1 L CPT @ </v>
      </c>
      <c r="BV255" s="4" t="str">
        <f ca="1">IFERROR(__xludf.DUMMYFUNCTION("""COMPUTED_VALUE"""),"| 1 L NS % | 2 L PHP-CGM % | 3 P JAVA % | 6 L JAVA @ ")</f>
        <v xml:space="preserve">| 1 L NS % | 2 L PHP-CGM % | 3 P JAVA % | 6 L JAVA @ </v>
      </c>
      <c r="BW255" s="4" t="str">
        <f ca="1">IFERROR(__xludf.DUMMYFUNCTION("""COMPUTED_VALUE"""),"| 1 L CPT % | 2 L PHP-CGM % | 3 P PRO % ")</f>
        <v xml:space="preserve">| 1 L CPT % | 2 L PHP-CGM % | 3 P PRO % </v>
      </c>
      <c r="BX255" s="4" t="str">
        <f ca="1">IFERROR(__xludf.DUMMYFUNCTION("""COMPUTED_VALUE"""),"| 1 L NS % | 2 L PHP-CGM % | 3 P Python % | 5 P CPT % ")</f>
        <v xml:space="preserve">| 1 L NS % | 2 L PHP-CGM % | 3 P Python % | 5 P CPT % </v>
      </c>
      <c r="BY255" s="4" t="str">
        <f ca="1">IFERROR(__xludf.DUMMYFUNCTION("""COMPUTED_VALUE"""),"| 1 L CPT @ | 2 L JAVA @ | 3 P JAVA @ | 5 P Python @ ")</f>
        <v xml:space="preserve">| 1 L CPT @ | 2 L JAVA @ | 3 P JAVA @ | 5 P Python @ </v>
      </c>
      <c r="BZ255" s="4" t="str">
        <f ca="1">IFERROR(__xludf.DUMMYFUNCTION("""COMPUTED_VALUE"""),"| 1 L CPT % | 2 L JAVA % | 3 P PHP-CGM % | 5 L INE % ")</f>
        <v xml:space="preserve">| 1 L CPT % | 2 L JAVA % | 3 P PHP-CGM % | 5 L INE % </v>
      </c>
      <c r="CA255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CB255" s="4" t="str">
        <f ca="1">IFERROR(__xludf.DUMMYFUNCTION("""COMPUTED_VALUE"""),"| 2 L PHP-CGM % | 3 P PRO % | 5 P NS % | 1 L CPT % ")</f>
        <v xml:space="preserve">| 2 L PHP-CGM % | 3 P PRO % | 5 P NS % | 1 L CPT % </v>
      </c>
      <c r="CC255" s="4" t="str">
        <f ca="1">IFERROR(__xludf.DUMMYFUNCTION("""COMPUTED_VALUE"""),"| 1 L NS @ | 2 L PHP-CGM @ | 3 P Python @ | 5 P CPT @ ")</f>
        <v xml:space="preserve">| 1 L NS @ | 2 L PHP-CGM @ | 3 P Python @ | 5 P CPT @ </v>
      </c>
      <c r="CD255" s="4" t="str">
        <f ca="1">IFERROR(__xludf.DUMMYFUNCTION("""COMPUTED_VALUE"""),"| 1 L CPT % | 2 L JAVA @ | 3 P JAVA @ | 5 P Python @ ")</f>
        <v xml:space="preserve">| 1 L CPT % | 2 L JAVA @ | 3 P JAVA @ | 5 P Python @ </v>
      </c>
      <c r="CE255" s="4" t="str">
        <f ca="1">IFERROR(__xludf.DUMMYFUNCTION("""COMPUTED_VALUE"""),"| 1 L CPT % | 2 L JAVA % | 3 P PHP-CGM % | 5 L INE % ")</f>
        <v xml:space="preserve">| 1 L CPT % | 2 L JAVA % | 3 P PHP-CGM % | 5 L INE % </v>
      </c>
      <c r="CF255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55" s="4" t="str">
        <f ca="1">IFERROR(__xludf.DUMMYFUNCTION("""COMPUTED_VALUE"""),"| 1 L CPT @ | 2 L PHP-CGM @ | 5 P NS % ")</f>
        <v xml:space="preserve">| 1 L CPT @ | 2 L PHP-CGM @ | 5 P NS % </v>
      </c>
      <c r="CH255" s="4" t="str">
        <f ca="1">IFERROR(__xludf.DUMMYFUNCTION("""COMPUTED_VALUE"""),"| 1 L NS % | 2 L PHP-CGM % ")</f>
        <v xml:space="preserve">| 1 L NS % | 2 L PHP-CGM % </v>
      </c>
      <c r="CI255" s="4" t="str">
        <f ca="1">IFERROR(__xludf.DUMMYFUNCTION("""COMPUTED_VALUE"""),"| 1 L CPT @ | 2 L JAVA % | 3 P JAVA % ")</f>
        <v xml:space="preserve">| 1 L CPT @ | 2 L JAVA % | 3 P JAVA % </v>
      </c>
      <c r="CJ255" s="4" t="str">
        <f ca="1">IFERROR(__xludf.DUMMYFUNCTION("""COMPUTED_VALUE"""),"| 1 L CPT @ | 3 P PHP-CGM % ")</f>
        <v xml:space="preserve">| 1 L CPT @ | 3 P PHP-CGM % </v>
      </c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</row>
    <row r="256" spans="1:102" ht="12.5" x14ac:dyDescent="0.25">
      <c r="A256" s="3">
        <f ca="1">IFERROR(__xludf.DUMMYFUNCTION("""COMPUTED_VALUE"""),4)</f>
        <v>4</v>
      </c>
      <c r="B256" s="3" t="str">
        <f ca="1">IFERROR(__xludf.DUMMYFUNCTION("""COMPUTED_VALUE"""),"C")</f>
        <v>C</v>
      </c>
      <c r="C256" s="32" t="str">
        <f ca="1">IFERROR(__xludf.DUMMYFUNCTION("""COMPUTED_VALUE"""),"23171341197")</f>
        <v>23171341197</v>
      </c>
      <c r="D256" s="4" t="str">
        <f ca="1">IFERROR(__xludf.DUMMYFUNCTION("""COMPUTED_VALUE"""),"VAINSH DRUMIT RAJESHBHAI")</f>
        <v>VAINSH DRUMIT RAJESHBHAI</v>
      </c>
      <c r="E256" s="3" t="str">
        <f ca="1">IFERROR(__xludf.DUMMYFUNCTION("""COMPUTED_VALUE"""),"PKN/PAP-Mor")</f>
        <v>PKN/PAP-Mor</v>
      </c>
      <c r="F256" s="3">
        <f ca="1">IFERROR(__xludf.DUMMYFUNCTION("""COMPUTED_VALUE"""),9979849256)</f>
        <v>9979849256</v>
      </c>
      <c r="G256" s="3">
        <f ca="1">IFERROR(__xludf.DUMMYFUNCTION("""COMPUTED_VALUE"""),9275701362)</f>
        <v>9275701362</v>
      </c>
      <c r="H256" s="33">
        <f ca="1">IFERROR(__xludf.DUMMYFUNCTION("""COMPUTED_VALUE"""),0.847736625514403)</f>
        <v>0.84773662551440299</v>
      </c>
      <c r="I256" s="25">
        <f ca="1">IFERROR(__xludf.DUMMYFUNCTION("""COMPUTED_VALUE"""),0.842105263157894)</f>
        <v>0.84210526315789402</v>
      </c>
      <c r="J256" s="25">
        <f ca="1">IFERROR(__xludf.DUMMYFUNCTION("""COMPUTED_VALUE"""),1)</f>
        <v>1</v>
      </c>
      <c r="K256" s="25">
        <f ca="1">IFERROR(__xludf.DUMMYFUNCTION("""COMPUTED_VALUE"""),0.75)</f>
        <v>0.75</v>
      </c>
      <c r="L256" s="25">
        <f ca="1">IFERROR(__xludf.DUMMYFUNCTION("""COMPUTED_VALUE"""),0.909090909090909)</f>
        <v>0.90909090909090895</v>
      </c>
      <c r="M256" s="25">
        <f ca="1">IFERROR(__xludf.DUMMYFUNCTION("""COMPUTED_VALUE"""),0.833333333333333)</f>
        <v>0.83333333333333304</v>
      </c>
      <c r="N256" s="25">
        <f ca="1">IFERROR(__xludf.DUMMYFUNCTION("""COMPUTED_VALUE"""),1)</f>
        <v>1</v>
      </c>
      <c r="O256" s="25">
        <f ca="1">IFERROR(__xludf.DUMMYFUNCTION("""COMPUTED_VALUE"""),0.8)</f>
        <v>0.8</v>
      </c>
      <c r="P256" s="25">
        <f ca="1">IFERROR(__xludf.DUMMYFUNCTION("""COMPUTED_VALUE"""),0.76)</f>
        <v>0.76</v>
      </c>
      <c r="Q256" s="25">
        <f ca="1">IFERROR(__xludf.DUMMYFUNCTION("""COMPUTED_VALUE"""),0)</f>
        <v>0</v>
      </c>
      <c r="R256" s="25">
        <f ca="1">IFERROR(__xludf.DUMMYFUNCTION("""COMPUTED_VALUE"""),1)</f>
        <v>1</v>
      </c>
      <c r="S256" s="25">
        <f ca="1">IFERROR(__xludf.DUMMYFUNCTION("""COMPUTED_VALUE"""),0)</f>
        <v>0</v>
      </c>
      <c r="T256" s="25">
        <f ca="1">IFERROR(__xludf.DUMMYFUNCTION("""COMPUTED_VALUE"""),0.933333333333333)</f>
        <v>0.93333333333333302</v>
      </c>
      <c r="U256" s="25">
        <f ca="1">IFERROR(__xludf.DUMMYFUNCTION("""COMPUTED_VALUE"""),0.875)</f>
        <v>0.875</v>
      </c>
      <c r="V256" s="25">
        <f ca="1">IFERROR(__xludf.DUMMYFUNCTION("""COMPUTED_VALUE"""),0)</f>
        <v>0</v>
      </c>
      <c r="W256" s="4"/>
      <c r="X256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56" s="4" t="str">
        <f ca="1">IFERROR(__xludf.DUMMYFUNCTION("""COMPUTED_VALUE"""),"| 1 L CPT % | 5 L PHP-CGM % | 3 P PRO % | 5 P NS % ")</f>
        <v xml:space="preserve">| 1 L CPT % | 5 L PHP-CGM % | 3 P PRO % | 5 P NS % </v>
      </c>
      <c r="Z256" s="4" t="str">
        <f ca="1">IFERROR(__xludf.DUMMYFUNCTION("""COMPUTED_VALUE"""),"| 1 L CPT % | 2 L PHP-CGM % | 3 P Python % | 5 P CPT % ")</f>
        <v xml:space="preserve">| 1 L CPT % | 2 L PHP-CGM % | 3 P Python % | 5 P CPT % </v>
      </c>
      <c r="AA256" s="4" t="str">
        <f ca="1">IFERROR(__xludf.DUMMYFUNCTION("""COMPUTED_VALUE"""),"| 1 L NS % | 2 L JAVA % | 3 P JAVA % | 5 P PRO % ")</f>
        <v xml:space="preserve">| 1 L NS % | 2 L JAVA % | 3 P JAVA % | 5 P PRO % </v>
      </c>
      <c r="AB256" s="4" t="str">
        <f ca="1">IFERROR(__xludf.DUMMYFUNCTION("""COMPUTED_VALUE"""),"| 1 L CPT % | 2 L JAVA % | 3 P PHP-CGM % ")</f>
        <v xml:space="preserve">| 1 L CPT % | 2 L JAVA % | 3 P PHP-CGM % </v>
      </c>
      <c r="AC256" s="4" t="str">
        <f ca="1">IFERROR(__xludf.DUMMYFUNCTION("""COMPUTED_VALUE"""),"| 1 L NS % | 2 L PHP-CGM % | 3 P JAVA % | 5 L JAVA % | 6 L NS @ ")</f>
        <v xml:space="preserve">| 1 L NS % | 2 L PHP-CGM % | 3 P JAVA % | 5 L JAVA % | 6 L NS @ </v>
      </c>
      <c r="AD256" s="4" t="str">
        <f ca="1">IFERROR(__xludf.DUMMYFUNCTION("""COMPUTED_VALUE"""),"| 1 L CPT % | 2 L PHP-CGM % | 3 P PRO % | 5 P NS % ")</f>
        <v xml:space="preserve">| 1 L CPT % | 2 L PHP-CGM % | 3 P PRO % | 5 P NS % </v>
      </c>
      <c r="AE256" s="4" t="str">
        <f ca="1">IFERROR(__xludf.DUMMYFUNCTION("""COMPUTED_VALUE"""),"| 1 L CPT % | 3 P Python % | 5 P CPT % | 2 L PHP-CGM % ")</f>
        <v xml:space="preserve">| 1 L CPT % | 3 P Python % | 5 P CPT % | 2 L PHP-CGM % </v>
      </c>
      <c r="AF256" s="4" t="str">
        <f ca="1">IFERROR(__xludf.DUMMYFUNCTION("""COMPUTED_VALUE"""),"| 1 L NS % | 2 L CPT % | 3 P JAVA % | 5 P Python % ")</f>
        <v xml:space="preserve">| 1 L NS % | 2 L CPT % | 3 P JAVA % | 5 P Python % </v>
      </c>
      <c r="AG256" s="4" t="str">
        <f ca="1">IFERROR(__xludf.DUMMYFUNCTION("""COMPUTED_VALUE"""),"| 1 L CPT % | 2 L JAVA % | 3 P PHP-CGM % ")</f>
        <v xml:space="preserve">| 1 L CPT % | 2 L JAVA % | 3 P PHP-CGM % </v>
      </c>
      <c r="AH256" s="4" t="str">
        <f ca="1">IFERROR(__xludf.DUMMYFUNCTION("""COMPUTED_VALUE"""),"| 2 L JAVA % | 1 L NS % | 3 P JAVA % | 5 P Python % ")</f>
        <v xml:space="preserve">| 2 L JAVA % | 1 L NS % | 3 P JAVA % | 5 P Python % </v>
      </c>
      <c r="AI256" s="4" t="str">
        <f ca="1">IFERROR(__xludf.DUMMYFUNCTION("""COMPUTED_VALUE"""),"| 1 L CPT % | 2 L JAVA % | 3 P PHP-CGM % ")</f>
        <v xml:space="preserve">| 1 L CPT % | 2 L JAVA % | 3 P PHP-CGM % </v>
      </c>
      <c r="AJ256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56" s="4" t="str">
        <f ca="1">IFERROR(__xludf.DUMMYFUNCTION("""COMPUTED_VALUE"""),"| 1 L CPT % | 3 P PRO % | 2 L PHP-CGM % | 5 P NS % ")</f>
        <v xml:space="preserve">| 1 L CPT % | 3 P PRO % | 2 L PHP-CGM % | 5 P NS % </v>
      </c>
      <c r="AL256" s="4" t="str">
        <f ca="1">IFERROR(__xludf.DUMMYFUNCTION("""COMPUTED_VALUE"""),"| 1 L CPT % | 2 L PHP-CGM % | 5 P CPT % ")</f>
        <v xml:space="preserve">| 1 L CPT % | 2 L PHP-CGM % | 5 P CPT % </v>
      </c>
      <c r="AM256" s="4" t="str">
        <f ca="1">IFERROR(__xludf.DUMMYFUNCTION("""COMPUTED_VALUE"""),"| 2 L JAVA % | 3 P JAVA % | 1 L NS % | 5 P Python % ")</f>
        <v xml:space="preserve">| 2 L JAVA % | 3 P JAVA % | 1 L NS % | 5 P Python % </v>
      </c>
      <c r="AN256" s="4" t="str">
        <f ca="1">IFERROR(__xludf.DUMMYFUNCTION("""COMPUTED_VALUE"""),"| 1 L CPT % | 2 L JAVA % | 3 P PHP-CGM % | 5 L INE % ")</f>
        <v xml:space="preserve">| 1 L CPT % | 2 L JAVA % | 3 P PHP-CGM % | 5 L INE % </v>
      </c>
      <c r="AO256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56" s="4" t="str">
        <f ca="1">IFERROR(__xludf.DUMMYFUNCTION("""COMPUTED_VALUE"""),"| 1 L CPT % | 2 L PHP-CGM % | 3 P PRO % | 5 P NS % ")</f>
        <v xml:space="preserve">| 1 L CPT % | 2 L PHP-CGM % | 3 P PRO % | 5 P NS % </v>
      </c>
      <c r="AQ256" s="4" t="str">
        <f ca="1">IFERROR(__xludf.DUMMYFUNCTION("""COMPUTED_VALUE"""),"| 2 L PHP-CGM % | 3 P Python % | 1 L NS % | 5 P CPT % ")</f>
        <v xml:space="preserve">| 2 L PHP-CGM % | 3 P Python % | 1 L NS % | 5 P CPT % </v>
      </c>
      <c r="AR256" s="4" t="str">
        <f ca="1">IFERROR(__xludf.DUMMYFUNCTION("""COMPUTED_VALUE"""),"| 1 L CPT % | 2 L JAVA % | 3 P JAVA % | 5 P Python % ")</f>
        <v xml:space="preserve">| 1 L CPT % | 2 L JAVA % | 3 P JAVA % | 5 P Python % </v>
      </c>
      <c r="AS25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56" s="4" t="str">
        <f ca="1">IFERROR(__xludf.DUMMYFUNCTION("""COMPUTED_VALUE"""),"| 1 L CPT % | 2 L PHP-CGM % | 3 P PRO % | 5 P NS % ")</f>
        <v xml:space="preserve">| 1 L CPT % | 2 L PHP-CGM % | 3 P PRO % | 5 P NS % </v>
      </c>
      <c r="AU256" s="4" t="str">
        <f ca="1">IFERROR(__xludf.DUMMYFUNCTION("""COMPUTED_VALUE"""),"| 1 L NS % | 2 L PHP-CGM % | 3 P Python % | 5 P CPT % ")</f>
        <v xml:space="preserve">| 1 L NS % | 2 L PHP-CGM % | 3 P Python % | 5 P CPT % </v>
      </c>
      <c r="AV256" s="4" t="str">
        <f ca="1">IFERROR(__xludf.DUMMYFUNCTION("""COMPUTED_VALUE"""),"| 1 L CPT @ | 2 L JAVA @ | 3 P JAVA @ | 5 P PRO % ")</f>
        <v xml:space="preserve">| 1 L CPT @ | 2 L JAVA @ | 3 P JAVA @ | 5 P PRO % </v>
      </c>
      <c r="AW256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56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56" s="4" t="str">
        <f ca="1">IFERROR(__xludf.DUMMYFUNCTION("""COMPUTED_VALUE"""),"| 1 L CPT % | 2 L PHP-CGM % | 3 P PRO % | 5 P NS % ")</f>
        <v xml:space="preserve">| 1 L CPT % | 2 L PHP-CGM % | 3 P PRO % | 5 P NS % </v>
      </c>
      <c r="AZ256" s="4" t="str">
        <f ca="1">IFERROR(__xludf.DUMMYFUNCTION("""COMPUTED_VALUE"""),"| 1 L CPT % | 2 L JAVA % | 3 P JAVA % | 5 P Python % ")</f>
        <v xml:space="preserve">| 1 L CPT % | 2 L JAVA % | 3 P JAVA % | 5 P Python % </v>
      </c>
      <c r="BA256" s="4" t="str">
        <f ca="1">IFERROR(__xludf.DUMMYFUNCTION("""COMPUTED_VALUE"""),"| 1 L CPT % | 2 L JAVA @ | 3 P PHP-CGM % | 5 L INE @ ")</f>
        <v xml:space="preserve">| 1 L CPT % | 2 L JAVA @ | 3 P PHP-CGM % | 5 L INE @ </v>
      </c>
      <c r="BB25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56" s="4" t="str">
        <f ca="1">IFERROR(__xludf.DUMMYFUNCTION("""COMPUTED_VALUE"""),"| 1 L CPT % | 2 L PHP-CGM % | 3 P PRO % | 5 P NS % ")</f>
        <v xml:space="preserve">| 1 L CPT % | 2 L PHP-CGM % | 3 P PRO % | 5 P NS % </v>
      </c>
      <c r="BD256" s="4" t="str">
        <f ca="1">IFERROR(__xludf.DUMMYFUNCTION("""COMPUTED_VALUE"""),"| 1 L NS % | 2 L PHP-CGM % | 3 P Python % | 5 P CPT % ")</f>
        <v xml:space="preserve">| 1 L NS % | 2 L PHP-CGM % | 3 P Python % | 5 P CPT % </v>
      </c>
      <c r="BE256" s="4" t="str">
        <f ca="1">IFERROR(__xludf.DUMMYFUNCTION("""COMPUTED_VALUE"""),"| 1 L CPT % | 2 L JAVA % | 5 P Python % ")</f>
        <v xml:space="preserve">| 1 L CPT % | 2 L JAVA % | 5 P Python % </v>
      </c>
      <c r="BF256" s="4" t="str">
        <f ca="1">IFERROR(__xludf.DUMMYFUNCTION("""COMPUTED_VALUE"""),"| 1 L CPT % | 2 L JAVA % | 3 P PHP-CGM % ")</f>
        <v xml:space="preserve">| 1 L CPT % | 2 L JAVA % | 3 P PHP-CGM % </v>
      </c>
      <c r="BG256" s="4" t="str">
        <f ca="1">IFERROR(__xludf.DUMMYFUNCTION("""COMPUTED_VALUE"""),"| 2 L PHP-CGM % | 1 L CPT % | 3 P PRO % | 5 P NS % ")</f>
        <v xml:space="preserve">| 2 L PHP-CGM % | 1 L CPT % | 3 P PRO % | 5 P NS % </v>
      </c>
      <c r="BH256" s="4" t="str">
        <f ca="1">IFERROR(__xludf.DUMMYFUNCTION("""COMPUTED_VALUE"""),"| 1 L NS % | 2 L PHP-CGM % | 3 P Python % | 5 P CPT % ")</f>
        <v xml:space="preserve">| 1 L NS % | 2 L PHP-CGM % | 3 P Python % | 5 P CPT % </v>
      </c>
      <c r="BI256" s="4" t="str">
        <f ca="1">IFERROR(__xludf.DUMMYFUNCTION("""COMPUTED_VALUE"""),"| 1 L CPT % | 2 L JAVA % | 3 P JAVA % | 5 P PRO % ")</f>
        <v xml:space="preserve">| 1 L CPT % | 2 L JAVA % | 3 P JAVA % | 5 P PRO % </v>
      </c>
      <c r="BJ256" s="4" t="str">
        <f ca="1">IFERROR(__xludf.DUMMYFUNCTION("""COMPUTED_VALUE"""),"| 1 L CPT % | 2 L JAVA % | 3 P PHP-CGM % | 5 L INE % ")</f>
        <v xml:space="preserve">| 1 L CPT % | 2 L JAVA % | 3 P PHP-CGM % | 5 L INE % </v>
      </c>
      <c r="BK25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L256" s="4" t="str">
        <f ca="1">IFERROR(__xludf.DUMMYFUNCTION("""COMPUTED_VALUE"""),"| 1 L CPT % | 2 L PHP-CGM % | 3 P PRO % | 5 P NS % ")</f>
        <v xml:space="preserve">| 1 L CPT % | 2 L PHP-CGM % | 3 P PRO % | 5 P NS % </v>
      </c>
      <c r="BM256" s="4" t="str">
        <f ca="1">IFERROR(__xludf.DUMMYFUNCTION("""COMPUTED_VALUE"""),"| 1 L NS % | 2 L PHP-CGM % | 3 P Python % | 5 P CPT % ")</f>
        <v xml:space="preserve">| 1 L NS % | 2 L PHP-CGM % | 3 P Python % | 5 P CPT % </v>
      </c>
      <c r="BN256" s="4" t="str">
        <f ca="1">IFERROR(__xludf.DUMMYFUNCTION("""COMPUTED_VALUE"""),"| 2 L JAVA % | 1 L CPT % | 3 P JAVA % | 5 P PRO % ")</f>
        <v xml:space="preserve">| 2 L JAVA % | 1 L CPT % | 3 P JAVA % | 5 P PRO % </v>
      </c>
      <c r="BO256" s="4" t="str">
        <f ca="1">IFERROR(__xludf.DUMMYFUNCTION("""COMPUTED_VALUE"""),"| 2 L JAVA % | 1 L CPT % | 3 P PHP-CGM % | 5 L INE % ")</f>
        <v xml:space="preserve">| 2 L JAVA % | 1 L CPT % | 3 P PHP-CGM % | 5 L INE % </v>
      </c>
      <c r="BP256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56" s="4"/>
      <c r="BR256" s="4"/>
      <c r="BS256" s="4"/>
      <c r="BT256" s="4" t="str">
        <f ca="1">IFERROR(__xludf.DUMMYFUNCTION("""COMPUTED_VALUE"""),"| 1 L NS @ | 2 L PHP-CGM @ | 3 P JAVA @ ")</f>
        <v xml:space="preserve">| 1 L NS @ | 2 L PHP-CGM @ | 3 P JAVA @ </v>
      </c>
      <c r="BU256" s="4" t="str">
        <f ca="1">IFERROR(__xludf.DUMMYFUNCTION("""COMPUTED_VALUE"""),"| 1 L CPT @ ")</f>
        <v xml:space="preserve">| 1 L CPT @ </v>
      </c>
      <c r="BV256" s="4" t="str">
        <f ca="1">IFERROR(__xludf.DUMMYFUNCTION("""COMPUTED_VALUE"""),"| 1 L NS % | 2 L PHP-CGM % | 3 P JAVA % | 6 L JAVA % ")</f>
        <v xml:space="preserve">| 1 L NS % | 2 L PHP-CGM % | 3 P JAVA % | 6 L JAVA % </v>
      </c>
      <c r="BW256" s="4" t="str">
        <f ca="1">IFERROR(__xludf.DUMMYFUNCTION("""COMPUTED_VALUE"""),"| 1 L CPT % | 2 L PHP-CGM % | 3 P PRO % ")</f>
        <v xml:space="preserve">| 1 L CPT % | 2 L PHP-CGM % | 3 P PRO % </v>
      </c>
      <c r="BX256" s="4" t="str">
        <f ca="1">IFERROR(__xludf.DUMMYFUNCTION("""COMPUTED_VALUE"""),"| 1 L NS % | 2 L PHP-CGM % | 3 P Python % | 5 P CPT % ")</f>
        <v xml:space="preserve">| 1 L NS % | 2 L PHP-CGM % | 3 P Python % | 5 P CPT % </v>
      </c>
      <c r="BY256" s="4" t="str">
        <f ca="1">IFERROR(__xludf.DUMMYFUNCTION("""COMPUTED_VALUE"""),"| 1 L CPT % | 2 L JAVA % | 3 P JAVA % | 5 P Python % ")</f>
        <v xml:space="preserve">| 1 L CPT % | 2 L JAVA % | 3 P JAVA % | 5 P Python % </v>
      </c>
      <c r="BZ256" s="4" t="str">
        <f ca="1">IFERROR(__xludf.DUMMYFUNCTION("""COMPUTED_VALUE"""),"| 1 L CPT % | 2 L JAVA % | 3 P PHP-CGM % | 5 L INE % ")</f>
        <v xml:space="preserve">| 1 L CPT % | 2 L JAVA % | 3 P PHP-CGM % | 5 L INE % </v>
      </c>
      <c r="CA256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56" s="4" t="str">
        <f ca="1">IFERROR(__xludf.DUMMYFUNCTION("""COMPUTED_VALUE"""),"| 2 L PHP-CGM % | 3 P PRO @ | 5 P NS @ | 1 L CPT % ")</f>
        <v xml:space="preserve">| 2 L PHP-CGM % | 3 P PRO @ | 5 P NS @ | 1 L CPT % </v>
      </c>
      <c r="CC256" s="4" t="str">
        <f ca="1">IFERROR(__xludf.DUMMYFUNCTION("""COMPUTED_VALUE"""),"| 1 L NS % | 2 L PHP-CGM % | 3 P Python % | 5 P CPT % ")</f>
        <v xml:space="preserve">| 1 L NS % | 2 L PHP-CGM % | 3 P Python % | 5 P CPT % </v>
      </c>
      <c r="CD256" s="4" t="str">
        <f ca="1">IFERROR(__xludf.DUMMYFUNCTION("""COMPUTED_VALUE"""),"| 1 L CPT @ | 2 L JAVA @ | 3 P JAVA @ | 5 P Python % ")</f>
        <v xml:space="preserve">| 1 L CPT @ | 2 L JAVA @ | 3 P JAVA @ | 5 P Python % </v>
      </c>
      <c r="CE256" s="4" t="str">
        <f ca="1">IFERROR(__xludf.DUMMYFUNCTION("""COMPUTED_VALUE"""),"| 1 L CPT % | 2 L JAVA % | 3 P PHP-CGM % | 5 L INE % ")</f>
        <v xml:space="preserve">| 1 L CPT % | 2 L JAVA % | 3 P PHP-CGM % | 5 L INE % </v>
      </c>
      <c r="CF256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56" s="4" t="str">
        <f ca="1">IFERROR(__xludf.DUMMYFUNCTION("""COMPUTED_VALUE"""),"| 1 L CPT @ | 2 L PHP-CGM @ | 5 P NS % ")</f>
        <v xml:space="preserve">| 1 L CPT @ | 2 L PHP-CGM @ | 5 P NS % </v>
      </c>
      <c r="CH256" s="4" t="str">
        <f ca="1">IFERROR(__xludf.DUMMYFUNCTION("""COMPUTED_VALUE"""),"| 1 L NS @ | 2 L PHP-CGM @ ")</f>
        <v xml:space="preserve">| 1 L NS @ | 2 L PHP-CGM @ </v>
      </c>
      <c r="CI256" s="4" t="str">
        <f ca="1">IFERROR(__xludf.DUMMYFUNCTION("""COMPUTED_VALUE"""),"| 1 L CPT @ | 2 L JAVA @ | 3 P JAVA @ ")</f>
        <v xml:space="preserve">| 1 L CPT @ | 2 L JAVA @ | 3 P JAVA @ </v>
      </c>
      <c r="CJ256" s="4" t="str">
        <f ca="1">IFERROR(__xludf.DUMMYFUNCTION("""COMPUTED_VALUE"""),"| 1 L CPT @ | 3 P PHP-CGM % ")</f>
        <v xml:space="preserve">| 1 L CPT @ | 3 P PHP-CGM % </v>
      </c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</row>
    <row r="257" spans="1:102" ht="12.5" x14ac:dyDescent="0.25">
      <c r="A257" s="3">
        <f ca="1">IFERROR(__xludf.DUMMYFUNCTION("""COMPUTED_VALUE"""),4)</f>
        <v>4</v>
      </c>
      <c r="B257" s="3" t="str">
        <f ca="1">IFERROR(__xludf.DUMMYFUNCTION("""COMPUTED_VALUE"""),"C")</f>
        <v>C</v>
      </c>
      <c r="C257" s="32" t="str">
        <f ca="1">IFERROR(__xludf.DUMMYFUNCTION("""COMPUTED_VALUE"""),"23171341198")</f>
        <v>23171341198</v>
      </c>
      <c r="D257" s="4" t="str">
        <f ca="1">IFERROR(__xludf.DUMMYFUNCTION("""COMPUTED_VALUE"""),"VIRANI DHYEY DIPAK")</f>
        <v>VIRANI DHYEY DIPAK</v>
      </c>
      <c r="E257" s="3" t="str">
        <f ca="1">IFERROR(__xludf.DUMMYFUNCTION("""COMPUTED_VALUE"""),"PKN/PAP-Mor")</f>
        <v>PKN/PAP-Mor</v>
      </c>
      <c r="F257" s="3">
        <f ca="1">IFERROR(__xludf.DUMMYFUNCTION("""COMPUTED_VALUE"""),9426275133)</f>
        <v>9426275133</v>
      </c>
      <c r="G257" s="3">
        <f ca="1">IFERROR(__xludf.DUMMYFUNCTION("""COMPUTED_VALUE"""),9904426920)</f>
        <v>9904426920</v>
      </c>
      <c r="H257" s="33">
        <f ca="1">IFERROR(__xludf.DUMMYFUNCTION("""COMPUTED_VALUE"""),0.267489711934156)</f>
        <v>0.26748971193415599</v>
      </c>
      <c r="I257" s="25">
        <f ca="1">IFERROR(__xludf.DUMMYFUNCTION("""COMPUTED_VALUE"""),0.0526315789473684)</f>
        <v>5.2631578947368397E-2</v>
      </c>
      <c r="J257" s="25">
        <f ca="1">IFERROR(__xludf.DUMMYFUNCTION("""COMPUTED_VALUE"""),0.6)</f>
        <v>0.6</v>
      </c>
      <c r="K257" s="25">
        <f ca="1">IFERROR(__xludf.DUMMYFUNCTION("""COMPUTED_VALUE"""),0.194444444444444)</f>
        <v>0.194444444444444</v>
      </c>
      <c r="L257" s="25">
        <f ca="1">IFERROR(__xludf.DUMMYFUNCTION("""COMPUTED_VALUE"""),0.454545454545454)</f>
        <v>0.45454545454545398</v>
      </c>
      <c r="M257" s="25">
        <f ca="1">IFERROR(__xludf.DUMMYFUNCTION("""COMPUTED_VALUE"""),0.0833333333333333)</f>
        <v>8.3333333333333301E-2</v>
      </c>
      <c r="N257" s="25">
        <f ca="1">IFERROR(__xludf.DUMMYFUNCTION("""COMPUTED_VALUE"""),0.333333333333333)</f>
        <v>0.33333333333333298</v>
      </c>
      <c r="O257" s="25">
        <f ca="1">IFERROR(__xludf.DUMMYFUNCTION("""COMPUTED_VALUE"""),0.228571428571428)</f>
        <v>0.22857142857142801</v>
      </c>
      <c r="P257" s="25">
        <f ca="1">IFERROR(__xludf.DUMMYFUNCTION("""COMPUTED_VALUE"""),0.28)</f>
        <v>0.28000000000000003</v>
      </c>
      <c r="Q257" s="25">
        <f ca="1">IFERROR(__xludf.DUMMYFUNCTION("""COMPUTED_VALUE"""),0)</f>
        <v>0</v>
      </c>
      <c r="R257" s="25">
        <f ca="1">IFERROR(__xludf.DUMMYFUNCTION("""COMPUTED_VALUE"""),0.588235294117647)</f>
        <v>0.58823529411764697</v>
      </c>
      <c r="S257" s="25">
        <f ca="1">IFERROR(__xludf.DUMMYFUNCTION("""COMPUTED_VALUE"""),0)</f>
        <v>0</v>
      </c>
      <c r="T257" s="25">
        <f ca="1">IFERROR(__xludf.DUMMYFUNCTION("""COMPUTED_VALUE"""),0.466666666666666)</f>
        <v>0.46666666666666601</v>
      </c>
      <c r="U257" s="25">
        <f ca="1">IFERROR(__xludf.DUMMYFUNCTION("""COMPUTED_VALUE"""),0.75)</f>
        <v>0.75</v>
      </c>
      <c r="V257" s="25">
        <f ca="1">IFERROR(__xludf.DUMMYFUNCTION("""COMPUTED_VALUE"""),0)</f>
        <v>0</v>
      </c>
      <c r="W257" s="4"/>
      <c r="X257" s="4" t="str">
        <f ca="1">IFERROR(__xludf.DUMMYFUNCTION("""COMPUTED_VALUE"""),"| 1 L NS @ | 2 L PHP-CGM % | 3 P JAVA @ | 5 L JAVA @ | 6 L NS @ ")</f>
        <v xml:space="preserve">| 1 L NS @ | 2 L PHP-CGM % | 3 P JAVA @ | 5 L JAVA @ | 6 L NS @ </v>
      </c>
      <c r="Y257" s="4" t="str">
        <f ca="1">IFERROR(__xludf.DUMMYFUNCTION("""COMPUTED_VALUE"""),"| 1 L CPT @ | 5 L PHP-CGM @ | 3 P PRO @ | 5 P NS @ ")</f>
        <v xml:space="preserve">| 1 L CPT @ | 5 L PHP-CGM @ | 3 P PRO @ | 5 P NS @ </v>
      </c>
      <c r="Z257" s="4" t="str">
        <f ca="1">IFERROR(__xludf.DUMMYFUNCTION("""COMPUTED_VALUE"""),"| 1 L CPT @ | 2 L PHP-CGM % | 3 P Python @ | 5 P CPT @ ")</f>
        <v xml:space="preserve">| 1 L CPT @ | 2 L PHP-CGM % | 3 P Python @ | 5 P CPT @ </v>
      </c>
      <c r="AA257" s="4" t="str">
        <f ca="1">IFERROR(__xludf.DUMMYFUNCTION("""COMPUTED_VALUE"""),"| 1 L NS @ | 2 L JAVA @ | 3 P JAVA @ | 5 P PRO @ ")</f>
        <v xml:space="preserve">| 1 L NS @ | 2 L JAVA @ | 3 P JAVA @ | 5 P PRO @ </v>
      </c>
      <c r="AB257" s="4" t="str">
        <f ca="1">IFERROR(__xludf.DUMMYFUNCTION("""COMPUTED_VALUE"""),"| 1 L CPT @ | 2 L JAVA @ | 3 P PHP-CGM @ ")</f>
        <v xml:space="preserve">| 1 L CPT @ | 2 L JAVA @ | 3 P PHP-CGM @ </v>
      </c>
      <c r="AC257" s="4" t="str">
        <f ca="1">IFERROR(__xludf.DUMMYFUNCTION("""COMPUTED_VALUE"""),"| 1 L NS @ | 2 L PHP-CGM @ | 3 P JAVA @ | 5 L JAVA % | 6 L NS % ")</f>
        <v xml:space="preserve">| 1 L NS @ | 2 L PHP-CGM @ | 3 P JAVA @ | 5 L JAVA % | 6 L NS % </v>
      </c>
      <c r="AD257" s="4" t="str">
        <f ca="1">IFERROR(__xludf.DUMMYFUNCTION("""COMPUTED_VALUE"""),"| 1 L CPT @ | 2 L PHP-CGM @ | 3 P PRO @ | 5 P NS % ")</f>
        <v xml:space="preserve">| 1 L CPT @ | 2 L PHP-CGM @ | 3 P PRO @ | 5 P NS % </v>
      </c>
      <c r="AE257" s="4" t="str">
        <f ca="1">IFERROR(__xludf.DUMMYFUNCTION("""COMPUTED_VALUE"""),"| 1 L CPT @ | 3 P Python % | 5 P CPT % | 2 L PHP-CGM @ ")</f>
        <v xml:space="preserve">| 1 L CPT @ | 3 P Python % | 5 P CPT % | 2 L PHP-CGM @ </v>
      </c>
      <c r="AF257" s="4" t="str">
        <f ca="1">IFERROR(__xludf.DUMMYFUNCTION("""COMPUTED_VALUE"""),"| 1 L NS @ | 2 L CPT @ | 3 P JAVA @ | 5 P Python % ")</f>
        <v xml:space="preserve">| 1 L NS @ | 2 L CPT @ | 3 P JAVA @ | 5 P Python % </v>
      </c>
      <c r="AG257" s="4" t="str">
        <f ca="1">IFERROR(__xludf.DUMMYFUNCTION("""COMPUTED_VALUE"""),"| 1 L CPT % | 2 L JAVA @ | 3 P PHP-CGM @ ")</f>
        <v xml:space="preserve">| 1 L CPT % | 2 L JAVA @ | 3 P PHP-CGM @ </v>
      </c>
      <c r="AH257" s="4" t="str">
        <f ca="1">IFERROR(__xludf.DUMMYFUNCTION("""COMPUTED_VALUE"""),"| 2 L JAVA @ | 1 L NS @ | 3 P JAVA @ | 5 P Python @ ")</f>
        <v xml:space="preserve">| 2 L JAVA @ | 1 L NS @ | 3 P JAVA @ | 5 P Python @ </v>
      </c>
      <c r="AI257" s="4" t="str">
        <f ca="1">IFERROR(__xludf.DUMMYFUNCTION("""COMPUTED_VALUE"""),"| 1 L CPT @ | 2 L JAVA @ | 3 P PHP-CGM @ ")</f>
        <v xml:space="preserve">| 1 L CPT @ | 2 L JAVA @ | 3 P PHP-CGM @ </v>
      </c>
      <c r="AJ257" s="4" t="str">
        <f ca="1">IFERROR(__xludf.DUMMYFUNCTION("""COMPUTED_VALUE"""),"| 1 L NS @ | 2 L PHP-CGM @ | 3 P JAVA % | 5 L JAVA @ | 6 L NS @ ")</f>
        <v xml:space="preserve">| 1 L NS @ | 2 L PHP-CGM @ | 3 P JAVA % | 5 L JAVA @ | 6 L NS @ </v>
      </c>
      <c r="AK257" s="4" t="str">
        <f ca="1">IFERROR(__xludf.DUMMYFUNCTION("""COMPUTED_VALUE"""),"| 1 L CPT @ | 3 P PRO % | 2 L PHP-CGM @ | 5 P NS % ")</f>
        <v xml:space="preserve">| 1 L CPT @ | 3 P PRO % | 2 L PHP-CGM @ | 5 P NS % </v>
      </c>
      <c r="AL257" s="4" t="str">
        <f ca="1">IFERROR(__xludf.DUMMYFUNCTION("""COMPUTED_VALUE"""),"| 1 L CPT @ | 2 L PHP-CGM @ | 5 P CPT @ ")</f>
        <v xml:space="preserve">| 1 L CPT @ | 2 L PHP-CGM @ | 5 P CPT @ </v>
      </c>
      <c r="AM257" s="4" t="str">
        <f ca="1">IFERROR(__xludf.DUMMYFUNCTION("""COMPUTED_VALUE"""),"| 2 L JAVA @ | 3 P JAVA @ | 1 L NS @ | 5 P Python % ")</f>
        <v xml:space="preserve">| 2 L JAVA @ | 3 P JAVA @ | 1 L NS @ | 5 P Python % </v>
      </c>
      <c r="AN257" s="4" t="str">
        <f ca="1">IFERROR(__xludf.DUMMYFUNCTION("""COMPUTED_VALUE"""),"| 1 L CPT @ | 2 L JAVA @ | 3 P PHP-CGM @ | 5 L INE @ ")</f>
        <v xml:space="preserve">| 1 L CPT @ | 2 L JAVA @ | 3 P PHP-CGM @ | 5 L INE @ </v>
      </c>
      <c r="AO257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57" s="4" t="str">
        <f ca="1">IFERROR(__xludf.DUMMYFUNCTION("""COMPUTED_VALUE"""),"| 1 L CPT @ | 2 L PHP-CGM @ | 3 P PRO @ | 5 P NS @ ")</f>
        <v xml:space="preserve">| 1 L CPT @ | 2 L PHP-CGM @ | 3 P PRO @ | 5 P NS @ </v>
      </c>
      <c r="AQ257" s="4" t="str">
        <f ca="1">IFERROR(__xludf.DUMMYFUNCTION("""COMPUTED_VALUE"""),"| 2 L PHP-CGM @ | 3 P Python @ | 1 L NS @ | 5 P CPT @ ")</f>
        <v xml:space="preserve">| 2 L PHP-CGM @ | 3 P Python @ | 1 L NS @ | 5 P CPT @ </v>
      </c>
      <c r="AR257" s="4" t="str">
        <f ca="1">IFERROR(__xludf.DUMMYFUNCTION("""COMPUTED_VALUE"""),"| 1 L CPT @ | 2 L JAVA @ | 3 P JAVA @ | 5 P Python @ ")</f>
        <v xml:space="preserve">| 1 L CPT @ | 2 L JAVA @ | 3 P JAVA @ | 5 P Python @ </v>
      </c>
      <c r="AS257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AT257" s="4" t="str">
        <f ca="1">IFERROR(__xludf.DUMMYFUNCTION("""COMPUTED_VALUE"""),"| 1 L CPT @ | 2 L PHP-CGM @ | 3 P PRO @ | 5 P NS @ ")</f>
        <v xml:space="preserve">| 1 L CPT @ | 2 L PHP-CGM @ | 3 P PRO @ | 5 P NS @ </v>
      </c>
      <c r="AU257" s="4" t="str">
        <f ca="1">IFERROR(__xludf.DUMMYFUNCTION("""COMPUTED_VALUE"""),"| 1 L NS @ | 2 L PHP-CGM @ | 3 P Python @ | 5 P CPT % ")</f>
        <v xml:space="preserve">| 1 L NS @ | 2 L PHP-CGM @ | 3 P Python @ | 5 P CPT % </v>
      </c>
      <c r="AV257" s="4" t="str">
        <f ca="1">IFERROR(__xludf.DUMMYFUNCTION("""COMPUTED_VALUE"""),"| 1 L CPT % | 2 L JAVA % | 3 P JAVA % | 5 P PRO % ")</f>
        <v xml:space="preserve">| 1 L CPT % | 2 L JAVA % | 3 P JAVA % | 5 P PRO % </v>
      </c>
      <c r="AW257" s="4" t="str">
        <f ca="1">IFERROR(__xludf.DUMMYFUNCTION("""COMPUTED_VALUE"""),"| 1 L CPT @ | 2 L JAVA @ | 3 P PHP-CGM % | 5 L INE % | 6 L INE % ")</f>
        <v xml:space="preserve">| 1 L CPT @ | 2 L JAVA @ | 3 P PHP-CGM % | 5 L INE % | 6 L INE % </v>
      </c>
      <c r="AX257" s="4" t="str">
        <f ca="1">IFERROR(__xludf.DUMMYFUNCTION("""COMPUTED_VALUE"""),"| 1 L NS @ | 2 L PHP-CGM @ | 3 P JAVA @ | 5 L NS % | 5 L JAVA @ ")</f>
        <v xml:space="preserve">| 1 L NS @ | 2 L PHP-CGM @ | 3 P JAVA @ | 5 L NS % | 5 L JAVA @ </v>
      </c>
      <c r="AY257" s="4" t="str">
        <f ca="1">IFERROR(__xludf.DUMMYFUNCTION("""COMPUTED_VALUE"""),"| 1 L CPT @ | 2 L PHP-CGM @ | 3 P PRO @ | 5 P NS @ ")</f>
        <v xml:space="preserve">| 1 L CPT @ | 2 L PHP-CGM @ | 3 P PRO @ | 5 P NS @ </v>
      </c>
      <c r="AZ257" s="4" t="str">
        <f ca="1">IFERROR(__xludf.DUMMYFUNCTION("""COMPUTED_VALUE"""),"| 1 L CPT @ | 2 L JAVA @ | 3 P JAVA @ | 5 P Python @ ")</f>
        <v xml:space="preserve">| 1 L CPT @ | 2 L JAVA @ | 3 P JAVA @ | 5 P Python @ </v>
      </c>
      <c r="BA257" s="4" t="str">
        <f ca="1">IFERROR(__xludf.DUMMYFUNCTION("""COMPUTED_VALUE"""),"| 1 L CPT @ | 2 L JAVA @ | 3 P PHP-CGM @ | 5 L INE @ ")</f>
        <v xml:space="preserve">| 1 L CPT @ | 2 L JAVA @ | 3 P PHP-CGM @ | 5 L INE @ </v>
      </c>
      <c r="BB257" s="4" t="str">
        <f ca="1">IFERROR(__xludf.DUMMYFUNCTION("""COMPUTED_VALUE"""),"| 1 L NS % | 2 L PHP-CGM % | 3 P JAVA @ | 5 L NS % | 6 L JAVA % ")</f>
        <v xml:space="preserve">| 1 L NS % | 2 L PHP-CGM % | 3 P JAVA @ | 5 L NS % | 6 L JAVA % </v>
      </c>
      <c r="BC257" s="4" t="str">
        <f ca="1">IFERROR(__xludf.DUMMYFUNCTION("""COMPUTED_VALUE"""),"| 1 L CPT @ | 2 L PHP-CGM @ | 3 P PRO @ | 5 P NS % ")</f>
        <v xml:space="preserve">| 1 L CPT @ | 2 L PHP-CGM @ | 3 P PRO @ | 5 P NS % </v>
      </c>
      <c r="BD257" s="4" t="str">
        <f ca="1">IFERROR(__xludf.DUMMYFUNCTION("""COMPUTED_VALUE"""),"| 1 L NS @ | 2 L PHP-CGM @ | 3 P Python @ | 5 P CPT % ")</f>
        <v xml:space="preserve">| 1 L NS @ | 2 L PHP-CGM @ | 3 P Python @ | 5 P CPT % </v>
      </c>
      <c r="BE257" s="4" t="str">
        <f ca="1">IFERROR(__xludf.DUMMYFUNCTION("""COMPUTED_VALUE"""),"| 1 L CPT @ | 2 L JAVA @ | 5 P Python % ")</f>
        <v xml:space="preserve">| 1 L CPT @ | 2 L JAVA @ | 5 P Python % </v>
      </c>
      <c r="BF257" s="4" t="str">
        <f ca="1">IFERROR(__xludf.DUMMYFUNCTION("""COMPUTED_VALUE"""),"| 1 L CPT @ | 2 L JAVA @ | 3 P PHP-CGM @ ")</f>
        <v xml:space="preserve">| 1 L CPT @ | 2 L JAVA @ | 3 P PHP-CGM @ </v>
      </c>
      <c r="BG257" s="4" t="str">
        <f ca="1">IFERROR(__xludf.DUMMYFUNCTION("""COMPUTED_VALUE"""),"| 2 L PHP-CGM @ | 1 L CPT @ | 3 P PRO % | 5 P NS % ")</f>
        <v xml:space="preserve">| 2 L PHP-CGM @ | 1 L CPT @ | 3 P PRO % | 5 P NS % </v>
      </c>
      <c r="BH257" s="4" t="str">
        <f ca="1">IFERROR(__xludf.DUMMYFUNCTION("""COMPUTED_VALUE"""),"| 1 L NS @ | 2 L PHP-CGM @ | 3 P Python % | 5 P CPT % ")</f>
        <v xml:space="preserve">| 1 L NS @ | 2 L PHP-CGM @ | 3 P Python % | 5 P CPT % </v>
      </c>
      <c r="BI257" s="4" t="str">
        <f ca="1">IFERROR(__xludf.DUMMYFUNCTION("""COMPUTED_VALUE"""),"| 1 L CPT @ | 2 L JAVA @ | 3 P JAVA @ | 5 P PRO % ")</f>
        <v xml:space="preserve">| 1 L CPT @ | 2 L JAVA @ | 3 P JAVA @ | 5 P PRO % </v>
      </c>
      <c r="BJ257" s="4" t="str">
        <f ca="1">IFERROR(__xludf.DUMMYFUNCTION("""COMPUTED_VALUE"""),"| 1 L CPT @ | 2 L JAVA @ | 3 P PHP-CGM % | 5 L INE % ")</f>
        <v xml:space="preserve">| 1 L CPT @ | 2 L JAVA @ | 3 P PHP-CGM % | 5 L INE % </v>
      </c>
      <c r="BK257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7" s="4" t="str">
        <f ca="1">IFERROR(__xludf.DUMMYFUNCTION("""COMPUTED_VALUE"""),"| 1 L CPT @ | 2 L PHP-CGM @ | 3 P PRO % | 5 P NS @ ")</f>
        <v xml:space="preserve">| 1 L CPT @ | 2 L PHP-CGM @ | 3 P PRO % | 5 P NS @ </v>
      </c>
      <c r="BM257" s="4" t="str">
        <f ca="1">IFERROR(__xludf.DUMMYFUNCTION("""COMPUTED_VALUE"""),"| 1 L NS @ | 2 L PHP-CGM @ | 3 P Python % | 5 P CPT % ")</f>
        <v xml:space="preserve">| 1 L NS @ | 2 L PHP-CGM @ | 3 P Python % | 5 P CPT % </v>
      </c>
      <c r="BN257" s="4" t="str">
        <f ca="1">IFERROR(__xludf.DUMMYFUNCTION("""COMPUTED_VALUE"""),"| 2 L JAVA @ | 1 L CPT @ | 3 P JAVA @ | 5 P PRO % ")</f>
        <v xml:space="preserve">| 2 L JAVA @ | 1 L CPT @ | 3 P JAVA @ | 5 P PRO % </v>
      </c>
      <c r="BO257" s="4" t="str">
        <f ca="1">IFERROR(__xludf.DUMMYFUNCTION("""COMPUTED_VALUE"""),"| 2 L JAVA @ | 1 L CPT @ | 3 P PHP-CGM % | 5 L INE % ")</f>
        <v xml:space="preserve">| 2 L JAVA @ | 1 L CPT @ | 3 P PHP-CGM % | 5 L INE % </v>
      </c>
      <c r="BP257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BQ257" s="4"/>
      <c r="BR257" s="4"/>
      <c r="BS257" s="4"/>
      <c r="BT257" s="4" t="str">
        <f ca="1">IFERROR(__xludf.DUMMYFUNCTION("""COMPUTED_VALUE"""),"| 1 L NS @ | 2 L PHP-CGM @ | 3 P JAVA @ ")</f>
        <v xml:space="preserve">| 1 L NS @ | 2 L PHP-CGM @ | 3 P JAVA @ </v>
      </c>
      <c r="BU257" s="4" t="str">
        <f ca="1">IFERROR(__xludf.DUMMYFUNCTION("""COMPUTED_VALUE"""),"| 1 L CPT @ ")</f>
        <v xml:space="preserve">| 1 L CPT @ </v>
      </c>
      <c r="BV257" s="4" t="str">
        <f ca="1">IFERROR(__xludf.DUMMYFUNCTION("""COMPUTED_VALUE"""),"| 1 L NS @ | 2 L PHP-CGM @ | 3 P JAVA % | 6 L JAVA % ")</f>
        <v xml:space="preserve">| 1 L NS @ | 2 L PHP-CGM @ | 3 P JAVA % | 6 L JAVA % </v>
      </c>
      <c r="BW257" s="4" t="str">
        <f ca="1">IFERROR(__xludf.DUMMYFUNCTION("""COMPUTED_VALUE"""),"| 1 L CPT @ | 2 L PHP-CGM @ | 3 P PRO @ ")</f>
        <v xml:space="preserve">| 1 L CPT @ | 2 L PHP-CGM @ | 3 P PRO @ </v>
      </c>
      <c r="BX257" s="4" t="str">
        <f ca="1">IFERROR(__xludf.DUMMYFUNCTION("""COMPUTED_VALUE"""),"| 1 L NS @ | 2 L PHP-CGM @ | 3 P Python % | 5 P CPT % ")</f>
        <v xml:space="preserve">| 1 L NS @ | 2 L PHP-CGM @ | 3 P Python % | 5 P CPT % </v>
      </c>
      <c r="BY257" s="4" t="str">
        <f ca="1">IFERROR(__xludf.DUMMYFUNCTION("""COMPUTED_VALUE"""),"| 1 L CPT @ | 2 L JAVA @ | 3 P JAVA @ | 5 P Python % ")</f>
        <v xml:space="preserve">| 1 L CPT @ | 2 L JAVA @ | 3 P JAVA @ | 5 P Python % </v>
      </c>
      <c r="BZ257" s="4" t="str">
        <f ca="1">IFERROR(__xludf.DUMMYFUNCTION("""COMPUTED_VALUE"""),"| 1 L CPT @ | 2 L JAVA @ | 3 P PHP-CGM @ | 5 L INE % ")</f>
        <v xml:space="preserve">| 1 L CPT @ | 2 L JAVA @ | 3 P PHP-CGM @ | 5 L INE % </v>
      </c>
      <c r="CA257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CB257" s="4" t="str">
        <f ca="1">IFERROR(__xludf.DUMMYFUNCTION("""COMPUTED_VALUE"""),"| 2 L PHP-CGM @ | 3 P PRO % | 5 P NS % | 1 L CPT @ ")</f>
        <v xml:space="preserve">| 2 L PHP-CGM @ | 3 P PRO % | 5 P NS % | 1 L CPT @ </v>
      </c>
      <c r="CC257" s="4" t="str">
        <f ca="1">IFERROR(__xludf.DUMMYFUNCTION("""COMPUTED_VALUE"""),"| 1 L NS @ | 2 L PHP-CGM @ | 3 P Python % | 5 P CPT @ ")</f>
        <v xml:space="preserve">| 1 L NS @ | 2 L PHP-CGM @ | 3 P Python % | 5 P CPT @ </v>
      </c>
      <c r="CD257" s="4" t="str">
        <f ca="1">IFERROR(__xludf.DUMMYFUNCTION("""COMPUTED_VALUE"""),"| 1 L CPT @ | 2 L JAVA @ | 3 P JAVA % | 5 P Python % ")</f>
        <v xml:space="preserve">| 1 L CPT @ | 2 L JAVA @ | 3 P JAVA % | 5 P Python % </v>
      </c>
      <c r="CE257" s="4" t="str">
        <f ca="1">IFERROR(__xludf.DUMMYFUNCTION("""COMPUTED_VALUE"""),"| 1 L CPT @ | 2 L JAVA % | 3 P PHP-CGM @ | 5 L INE % ")</f>
        <v xml:space="preserve">| 1 L CPT @ | 2 L JAVA % | 3 P PHP-CGM @ | 5 L INE % </v>
      </c>
      <c r="CF257" s="4" t="str">
        <f ca="1">IFERROR(__xludf.DUMMYFUNCTION("""COMPUTED_VALUE"""),"| 1 L NS @ | 2 L PHP-CGM @ | 3 P JAVA % | 5 L NS % | 6 L JAVA % ")</f>
        <v xml:space="preserve">| 1 L NS @ | 2 L PHP-CGM @ | 3 P JAVA % | 5 L NS % | 6 L JAVA % </v>
      </c>
      <c r="CG257" s="4" t="str">
        <f ca="1">IFERROR(__xludf.DUMMYFUNCTION("""COMPUTED_VALUE"""),"| 1 L CPT @ | 2 L PHP-CGM @ | 5 P NS @ ")</f>
        <v xml:space="preserve">| 1 L CPT @ | 2 L PHP-CGM @ | 5 P NS @ </v>
      </c>
      <c r="CH257" s="4" t="str">
        <f ca="1">IFERROR(__xludf.DUMMYFUNCTION("""COMPUTED_VALUE"""),"| 1 L NS @ | 2 L PHP-CGM @ ")</f>
        <v xml:space="preserve">| 1 L NS @ | 2 L PHP-CGM @ </v>
      </c>
      <c r="CI257" s="4" t="str">
        <f ca="1">IFERROR(__xludf.DUMMYFUNCTION("""COMPUTED_VALUE"""),"| 1 L CPT @ | 2 L JAVA @ | 3 P JAVA @ ")</f>
        <v xml:space="preserve">| 1 L CPT @ | 2 L JAVA @ | 3 P JAVA @ </v>
      </c>
      <c r="CJ257" s="4" t="str">
        <f ca="1">IFERROR(__xludf.DUMMYFUNCTION("""COMPUTED_VALUE"""),"| 1 L CPT @ | 3 P PHP-CGM % ")</f>
        <v xml:space="preserve">| 1 L CPT @ | 3 P PHP-CGM % </v>
      </c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</row>
    <row r="258" spans="1:102" ht="12.5" x14ac:dyDescent="0.25">
      <c r="A258" s="3">
        <f ca="1">IFERROR(__xludf.DUMMYFUNCTION("""COMPUTED_VALUE"""),4)</f>
        <v>4</v>
      </c>
      <c r="B258" s="3" t="str">
        <f ca="1">IFERROR(__xludf.DUMMYFUNCTION("""COMPUTED_VALUE"""),"C")</f>
        <v>C</v>
      </c>
      <c r="C258" s="32" t="str">
        <f ca="1">IFERROR(__xludf.DUMMYFUNCTION("""COMPUTED_VALUE"""),"23171341200")</f>
        <v>23171341200</v>
      </c>
      <c r="D258" s="4" t="str">
        <f ca="1">IFERROR(__xludf.DUMMYFUNCTION("""COMPUTED_VALUE"""),"VYAS YUVRAJ RAJESHKUMAR")</f>
        <v>VYAS YUVRAJ RAJESHKUMAR</v>
      </c>
      <c r="E258" s="3" t="str">
        <f ca="1">IFERROR(__xludf.DUMMYFUNCTION("""COMPUTED_VALUE"""),"PKN/PAP-Mor")</f>
        <v>PKN/PAP-Mor</v>
      </c>
      <c r="F258" s="3">
        <f ca="1">IFERROR(__xludf.DUMMYFUNCTION("""COMPUTED_VALUE"""),8128136901)</f>
        <v>8128136901</v>
      </c>
      <c r="G258" s="3">
        <f ca="1">IFERROR(__xludf.DUMMYFUNCTION("""COMPUTED_VALUE"""),7984923230)</f>
        <v>7984923230</v>
      </c>
      <c r="H258" s="33">
        <f ca="1">IFERROR(__xludf.DUMMYFUNCTION("""COMPUTED_VALUE"""),0.654320987654321)</f>
        <v>0.65432098765432101</v>
      </c>
      <c r="I258" s="25">
        <f ca="1">IFERROR(__xludf.DUMMYFUNCTION("""COMPUTED_VALUE"""),0.684210526315789)</f>
        <v>0.68421052631578905</v>
      </c>
      <c r="J258" s="25">
        <f ca="1">IFERROR(__xludf.DUMMYFUNCTION("""COMPUTED_VALUE"""),0.7)</f>
        <v>0.7</v>
      </c>
      <c r="K258" s="25">
        <f ca="1">IFERROR(__xludf.DUMMYFUNCTION("""COMPUTED_VALUE"""),0.527777777777777)</f>
        <v>0.52777777777777701</v>
      </c>
      <c r="L258" s="25">
        <f ca="1">IFERROR(__xludf.DUMMYFUNCTION("""COMPUTED_VALUE"""),0.727272727272727)</f>
        <v>0.72727272727272696</v>
      </c>
      <c r="M258" s="25">
        <f ca="1">IFERROR(__xludf.DUMMYFUNCTION("""COMPUTED_VALUE"""),0.666666666666666)</f>
        <v>0.66666666666666596</v>
      </c>
      <c r="N258" s="25">
        <f ca="1">IFERROR(__xludf.DUMMYFUNCTION("""COMPUTED_VALUE"""),0.75)</f>
        <v>0.75</v>
      </c>
      <c r="O258" s="25">
        <f ca="1">IFERROR(__xludf.DUMMYFUNCTION("""COMPUTED_VALUE"""),0.542857142857142)</f>
        <v>0.54285714285714204</v>
      </c>
      <c r="P258" s="25">
        <f ca="1">IFERROR(__xludf.DUMMYFUNCTION("""COMPUTED_VALUE"""),0.64)</f>
        <v>0.64</v>
      </c>
      <c r="Q258" s="25">
        <f ca="1">IFERROR(__xludf.DUMMYFUNCTION("""COMPUTED_VALUE"""),0)</f>
        <v>0</v>
      </c>
      <c r="R258" s="25">
        <f ca="1">IFERROR(__xludf.DUMMYFUNCTION("""COMPUTED_VALUE"""),0.764705882352941)</f>
        <v>0.76470588235294101</v>
      </c>
      <c r="S258" s="25">
        <f ca="1">IFERROR(__xludf.DUMMYFUNCTION("""COMPUTED_VALUE"""),0)</f>
        <v>0</v>
      </c>
      <c r="T258" s="25">
        <f ca="1">IFERROR(__xludf.DUMMYFUNCTION("""COMPUTED_VALUE"""),0.866666666666666)</f>
        <v>0.86666666666666603</v>
      </c>
      <c r="U258" s="25">
        <f ca="1">IFERROR(__xludf.DUMMYFUNCTION("""COMPUTED_VALUE"""),0.625)</f>
        <v>0.625</v>
      </c>
      <c r="V258" s="25">
        <f ca="1">IFERROR(__xludf.DUMMYFUNCTION("""COMPUTED_VALUE"""),0)</f>
        <v>0</v>
      </c>
      <c r="W258" s="4"/>
      <c r="X258" s="4" t="str">
        <f ca="1">IFERROR(__xludf.DUMMYFUNCTION("""COMPUTED_VALUE"""),"| 1 L NS @ | 2 L PHP-CGM % | 3 P JAVA @ | 5 L JAVA @ | 6 L NS @ ")</f>
        <v xml:space="preserve">| 1 L NS @ | 2 L PHP-CGM % | 3 P JAVA @ | 5 L JAVA @ | 6 L NS @ </v>
      </c>
      <c r="Y258" s="4" t="str">
        <f ca="1">IFERROR(__xludf.DUMMYFUNCTION("""COMPUTED_VALUE"""),"| 1 L CPT % | 5 L PHP-CGM % | 3 P PRO % | 5 P NS % ")</f>
        <v xml:space="preserve">| 1 L CPT % | 5 L PHP-CGM % | 3 P PRO % | 5 P NS % </v>
      </c>
      <c r="Z258" s="4" t="str">
        <f ca="1">IFERROR(__xludf.DUMMYFUNCTION("""COMPUTED_VALUE"""),"| 1 L CPT @ | 2 L PHP-CGM @ | 3 P Python @ | 5 P CPT @ ")</f>
        <v xml:space="preserve">| 1 L CPT @ | 2 L PHP-CGM @ | 3 P Python @ | 5 P CPT @ </v>
      </c>
      <c r="AA258" s="4" t="str">
        <f ca="1">IFERROR(__xludf.DUMMYFUNCTION("""COMPUTED_VALUE"""),"| 1 L NS % | 2 L JAVA % | 3 P JAVA % | 5 P PRO % ")</f>
        <v xml:space="preserve">| 1 L NS % | 2 L JAVA % | 3 P JAVA % | 5 P PRO % </v>
      </c>
      <c r="AB258" s="4" t="str">
        <f ca="1">IFERROR(__xludf.DUMMYFUNCTION("""COMPUTED_VALUE"""),"| 1 L CPT % | 2 L JAVA % | 3 P PHP-CGM % ")</f>
        <v xml:space="preserve">| 1 L CPT % | 2 L JAVA % | 3 P PHP-CGM % </v>
      </c>
      <c r="AC258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58" s="4" t="str">
        <f ca="1">IFERROR(__xludf.DUMMYFUNCTION("""COMPUTED_VALUE"""),"| 1 L CPT % | 2 L PHP-CGM % | 3 P PRO % | 5 P NS @ ")</f>
        <v xml:space="preserve">| 1 L CPT % | 2 L PHP-CGM % | 3 P PRO % | 5 P NS @ </v>
      </c>
      <c r="AE258" s="4" t="str">
        <f ca="1">IFERROR(__xludf.DUMMYFUNCTION("""COMPUTED_VALUE"""),"| 1 L CPT % | 3 P Python % | 5 P CPT % | 2 L PHP-CGM % ")</f>
        <v xml:space="preserve">| 1 L CPT % | 3 P Python % | 5 P CPT % | 2 L PHP-CGM % </v>
      </c>
      <c r="AF258" s="4" t="str">
        <f ca="1">IFERROR(__xludf.DUMMYFUNCTION("""COMPUTED_VALUE"""),"| 1 L NS % | 2 L CPT % | 3 P JAVA % | 5 P Python % ")</f>
        <v xml:space="preserve">| 1 L NS % | 2 L CPT % | 3 P JAVA % | 5 P Python % </v>
      </c>
      <c r="AG258" s="4" t="str">
        <f ca="1">IFERROR(__xludf.DUMMYFUNCTION("""COMPUTED_VALUE"""),"| 1 L CPT @ | 2 L JAVA @ | 3 P PHP-CGM @ ")</f>
        <v xml:space="preserve">| 1 L CPT @ | 2 L JAVA @ | 3 P PHP-CGM @ </v>
      </c>
      <c r="AH258" s="4" t="str">
        <f ca="1">IFERROR(__xludf.DUMMYFUNCTION("""COMPUTED_VALUE"""),"| 2 L JAVA @ | 1 L NS @ | 3 P JAVA % | 5 P Python % ")</f>
        <v xml:space="preserve">| 2 L JAVA @ | 1 L NS @ | 3 P JAVA % | 5 P Python % </v>
      </c>
      <c r="AI258" s="4" t="str">
        <f ca="1">IFERROR(__xludf.DUMMYFUNCTION("""COMPUTED_VALUE"""),"| 1 L CPT % | 2 L JAVA % | 3 P PHP-CGM % ")</f>
        <v xml:space="preserve">| 1 L CPT % | 2 L JAVA % | 3 P PHP-CGM % </v>
      </c>
      <c r="AJ258" s="4" t="str">
        <f ca="1">IFERROR(__xludf.DUMMYFUNCTION("""COMPUTED_VALUE"""),"| 1 L NS % | 2 L PHP-CGM % | 3 P JAVA % | 5 L JAVA @ | 6 L NS % ")</f>
        <v xml:space="preserve">| 1 L NS % | 2 L PHP-CGM % | 3 P JAVA % | 5 L JAVA @ | 6 L NS % </v>
      </c>
      <c r="AK258" s="4" t="str">
        <f ca="1">IFERROR(__xludf.DUMMYFUNCTION("""COMPUTED_VALUE"""),"| 1 L CPT % | 3 P PRO % | 2 L PHP-CGM % | 5 P NS % ")</f>
        <v xml:space="preserve">| 1 L CPT % | 3 P PRO % | 2 L PHP-CGM % | 5 P NS % </v>
      </c>
      <c r="AL258" s="4" t="str">
        <f ca="1">IFERROR(__xludf.DUMMYFUNCTION("""COMPUTED_VALUE"""),"| 1 L CPT % | 2 L PHP-CGM % | 5 P CPT % ")</f>
        <v xml:space="preserve">| 1 L CPT % | 2 L PHP-CGM % | 5 P CPT % </v>
      </c>
      <c r="AM258" s="4" t="str">
        <f ca="1">IFERROR(__xludf.DUMMYFUNCTION("""COMPUTED_VALUE"""),"| 2 L JAVA % | 3 P JAVA % | 1 L NS % | 5 P Python % ")</f>
        <v xml:space="preserve">| 2 L JAVA % | 3 P JAVA % | 1 L NS % | 5 P Python % </v>
      </c>
      <c r="AN258" s="4" t="str">
        <f ca="1">IFERROR(__xludf.DUMMYFUNCTION("""COMPUTED_VALUE"""),"| 1 L CPT @ | 2 L JAVA @ | 3 P PHP-CGM @ | 5 L INE @ ")</f>
        <v xml:space="preserve">| 1 L CPT @ | 2 L JAVA @ | 3 P PHP-CGM @ | 5 L INE @ </v>
      </c>
      <c r="AO25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58" s="4" t="str">
        <f ca="1">IFERROR(__xludf.DUMMYFUNCTION("""COMPUTED_VALUE"""),"| 1 L CPT % | 2 L PHP-CGM % | 3 P PRO % | 5 P NS % ")</f>
        <v xml:space="preserve">| 1 L CPT % | 2 L PHP-CGM % | 3 P PRO % | 5 P NS % </v>
      </c>
      <c r="AQ258" s="4" t="str">
        <f ca="1">IFERROR(__xludf.DUMMYFUNCTION("""COMPUTED_VALUE"""),"| 2 L PHP-CGM % | 3 P Python % | 1 L NS % | 5 P CPT % ")</f>
        <v xml:space="preserve">| 2 L PHP-CGM % | 3 P Python % | 1 L NS % | 5 P CPT % </v>
      </c>
      <c r="AR258" s="4" t="str">
        <f ca="1">IFERROR(__xludf.DUMMYFUNCTION("""COMPUTED_VALUE"""),"| 1 L CPT % | 2 L JAVA % | 3 P JAVA % | 5 P Python % ")</f>
        <v xml:space="preserve">| 1 L CPT % | 2 L JAVA % | 3 P JAVA % | 5 P Python % </v>
      </c>
      <c r="AS258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58" s="4" t="str">
        <f ca="1">IFERROR(__xludf.DUMMYFUNCTION("""COMPUTED_VALUE"""),"| 1 L CPT % | 2 L PHP-CGM % | 3 P PRO % | 5 P NS % ")</f>
        <v xml:space="preserve">| 1 L CPT % | 2 L PHP-CGM % | 3 P PRO % | 5 P NS % </v>
      </c>
      <c r="AU258" s="4" t="str">
        <f ca="1">IFERROR(__xludf.DUMMYFUNCTION("""COMPUTED_VALUE"""),"| 1 L NS @ | 2 L PHP-CGM @ | 3 P Python @ | 5 P CPT @ ")</f>
        <v xml:space="preserve">| 1 L NS @ | 2 L PHP-CGM @ | 3 P Python @ | 5 P CPT @ </v>
      </c>
      <c r="AV258" s="4" t="str">
        <f ca="1">IFERROR(__xludf.DUMMYFUNCTION("""COMPUTED_VALUE"""),"| 1 L CPT % | 2 L JAVA % | 3 P JAVA % | 5 P PRO % ")</f>
        <v xml:space="preserve">| 1 L CPT % | 2 L JAVA % | 3 P JAVA % | 5 P PRO % </v>
      </c>
      <c r="AW258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58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58" s="4" t="str">
        <f ca="1">IFERROR(__xludf.DUMMYFUNCTION("""COMPUTED_VALUE"""),"| 1 L CPT % | 2 L PHP-CGM % | 3 P PRO % | 5 P NS % ")</f>
        <v xml:space="preserve">| 1 L CPT % | 2 L PHP-CGM % | 3 P PRO % | 5 P NS % </v>
      </c>
      <c r="AZ258" s="4" t="str">
        <f ca="1">IFERROR(__xludf.DUMMYFUNCTION("""COMPUTED_VALUE"""),"| 1 L CPT % | 2 L JAVA % | 3 P JAVA % | 5 P Python % ")</f>
        <v xml:space="preserve">| 1 L CPT % | 2 L JAVA % | 3 P JAVA % | 5 P Python % </v>
      </c>
      <c r="BA258" s="4" t="str">
        <f ca="1">IFERROR(__xludf.DUMMYFUNCTION("""COMPUTED_VALUE"""),"| 1 L CPT % | 2 L JAVA % | 3 P PHP-CGM % | 5 L INE @ ")</f>
        <v xml:space="preserve">| 1 L CPT % | 2 L JAVA % | 3 P PHP-CGM % | 5 L INE @ </v>
      </c>
      <c r="BB25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C258" s="4" t="str">
        <f ca="1">IFERROR(__xludf.DUMMYFUNCTION("""COMPUTED_VALUE"""),"| 1 L CPT % | 2 L PHP-CGM % | 3 P PRO % | 5 P NS % ")</f>
        <v xml:space="preserve">| 1 L CPT % | 2 L PHP-CGM % | 3 P PRO % | 5 P NS % </v>
      </c>
      <c r="BD258" s="4" t="str">
        <f ca="1">IFERROR(__xludf.DUMMYFUNCTION("""COMPUTED_VALUE"""),"| 1 L NS % | 2 L PHP-CGM % | 3 P Python % | 5 P CPT % ")</f>
        <v xml:space="preserve">| 1 L NS % | 2 L PHP-CGM % | 3 P Python % | 5 P CPT % </v>
      </c>
      <c r="BE258" s="4" t="str">
        <f ca="1">IFERROR(__xludf.DUMMYFUNCTION("""COMPUTED_VALUE"""),"| 1 L CPT % | 2 L JAVA % | 5 P Python % ")</f>
        <v xml:space="preserve">| 1 L CPT % | 2 L JAVA % | 5 P Python % </v>
      </c>
      <c r="BF258" s="4" t="str">
        <f ca="1">IFERROR(__xludf.DUMMYFUNCTION("""COMPUTED_VALUE"""),"| 1 L CPT @ | 2 L JAVA @ | 3 P PHP-CGM % ")</f>
        <v xml:space="preserve">| 1 L CPT @ | 2 L JAVA @ | 3 P PHP-CGM % </v>
      </c>
      <c r="BG258" s="4" t="str">
        <f ca="1">IFERROR(__xludf.DUMMYFUNCTION("""COMPUTED_VALUE"""),"| 2 L PHP-CGM % | 1 L CPT % | 3 P PRO % | 5 P NS % ")</f>
        <v xml:space="preserve">| 2 L PHP-CGM % | 1 L CPT % | 3 P PRO % | 5 P NS % </v>
      </c>
      <c r="BH258" s="4" t="str">
        <f ca="1">IFERROR(__xludf.DUMMYFUNCTION("""COMPUTED_VALUE"""),"| 1 L NS @ | 2 L PHP-CGM @ | 3 P Python % | 5 P CPT % ")</f>
        <v xml:space="preserve">| 1 L NS @ | 2 L PHP-CGM @ | 3 P Python % | 5 P CPT % </v>
      </c>
      <c r="BI258" s="4" t="str">
        <f ca="1">IFERROR(__xludf.DUMMYFUNCTION("""COMPUTED_VALUE"""),"| 1 L CPT @ | 2 L JAVA @ | 3 P JAVA @ | 5 P PRO @ ")</f>
        <v xml:space="preserve">| 1 L CPT @ | 2 L JAVA @ | 3 P JAVA @ | 5 P PRO @ </v>
      </c>
      <c r="BJ258" s="4" t="str">
        <f ca="1">IFERROR(__xludf.DUMMYFUNCTION("""COMPUTED_VALUE"""),"| 1 L CPT @ | 2 L JAVA @ | 3 P PHP-CGM @ | 5 L INE @ ")</f>
        <v xml:space="preserve">| 1 L CPT @ | 2 L JAVA @ | 3 P PHP-CGM @ | 5 L INE @ </v>
      </c>
      <c r="BK25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8" s="4" t="str">
        <f ca="1">IFERROR(__xludf.DUMMYFUNCTION("""COMPUTED_VALUE"""),"| 1 L CPT @ | 2 L PHP-CGM @ | 3 P PRO @ | 5 P NS @ ")</f>
        <v xml:space="preserve">| 1 L CPT @ | 2 L PHP-CGM @ | 3 P PRO @ | 5 P NS @ </v>
      </c>
      <c r="BM258" s="4" t="str">
        <f ca="1">IFERROR(__xludf.DUMMYFUNCTION("""COMPUTED_VALUE"""),"| 1 L NS @ | 2 L PHP-CGM @ | 3 P Python @ | 5 P CPT @ ")</f>
        <v xml:space="preserve">| 1 L NS @ | 2 L PHP-CGM @ | 3 P Python @ | 5 P CPT @ </v>
      </c>
      <c r="BN258" s="4" t="str">
        <f ca="1">IFERROR(__xludf.DUMMYFUNCTION("""COMPUTED_VALUE"""),"| 2 L JAVA % | 1 L CPT % | 3 P JAVA % | 5 P PRO % ")</f>
        <v xml:space="preserve">| 2 L JAVA % | 1 L CPT % | 3 P JAVA % | 5 P PRO % </v>
      </c>
      <c r="BO258" s="4" t="str">
        <f ca="1">IFERROR(__xludf.DUMMYFUNCTION("""COMPUTED_VALUE"""),"| 2 L JAVA % | 1 L CPT % | 3 P PHP-CGM % | 5 L INE % ")</f>
        <v xml:space="preserve">| 2 L JAVA % | 1 L CPT % | 3 P PHP-CGM % | 5 L INE % </v>
      </c>
      <c r="BP258" s="4" t="str">
        <f ca="1">IFERROR(__xludf.DUMMYFUNCTION("""COMPUTED_VALUE"""),"| 1 L NS % | 2 L PHP-CGM % | 3 P JAVA @ | 5 L NS @ | 6 L JAVA @ ")</f>
        <v xml:space="preserve">| 1 L NS % | 2 L PHP-CGM % | 3 P JAVA @ | 5 L NS @ | 6 L JAVA @ </v>
      </c>
      <c r="BQ258" s="4"/>
      <c r="BR258" s="4"/>
      <c r="BS258" s="4"/>
      <c r="BT258" s="4" t="str">
        <f ca="1">IFERROR(__xludf.DUMMYFUNCTION("""COMPUTED_VALUE"""),"| 1 L NS % | 2 L PHP-CGM % | 3 P JAVA @ ")</f>
        <v xml:space="preserve">| 1 L NS % | 2 L PHP-CGM % | 3 P JAVA @ </v>
      </c>
      <c r="BU258" s="4" t="str">
        <f ca="1">IFERROR(__xludf.DUMMYFUNCTION("""COMPUTED_VALUE"""),"| 1 L CPT @ ")</f>
        <v xml:space="preserve">| 1 L CPT @ </v>
      </c>
      <c r="BV258" s="4" t="str">
        <f ca="1">IFERROR(__xludf.DUMMYFUNCTION("""COMPUTED_VALUE"""),"| 1 L NS % | 2 L PHP-CGM % | 3 P JAVA % | 6 L JAVA % ")</f>
        <v xml:space="preserve">| 1 L NS % | 2 L PHP-CGM % | 3 P JAVA % | 6 L JAVA % </v>
      </c>
      <c r="BW258" s="4" t="str">
        <f ca="1">IFERROR(__xludf.DUMMYFUNCTION("""COMPUTED_VALUE"""),"| 1 L CPT % | 2 L PHP-CGM % | 3 P PRO % ")</f>
        <v xml:space="preserve">| 1 L CPT % | 2 L PHP-CGM % | 3 P PRO % </v>
      </c>
      <c r="BX258" s="4" t="str">
        <f ca="1">IFERROR(__xludf.DUMMYFUNCTION("""COMPUTED_VALUE"""),"| 1 L NS % | 2 L PHP-CGM % | 3 P Python % | 5 P CPT % ")</f>
        <v xml:space="preserve">| 1 L NS % | 2 L PHP-CGM % | 3 P Python % | 5 P CPT % </v>
      </c>
      <c r="BY258" s="4" t="str">
        <f ca="1">IFERROR(__xludf.DUMMYFUNCTION("""COMPUTED_VALUE"""),"| 1 L CPT % | 2 L JAVA % | 3 P JAVA % | 5 P Python % ")</f>
        <v xml:space="preserve">| 1 L CPT % | 2 L JAVA % | 3 P JAVA % | 5 P Python % </v>
      </c>
      <c r="BZ258" s="4" t="str">
        <f ca="1">IFERROR(__xludf.DUMMYFUNCTION("""COMPUTED_VALUE"""),"| 1 L CPT % | 2 L JAVA % | 3 P PHP-CGM % | 5 L INE % ")</f>
        <v xml:space="preserve">| 1 L CPT % | 2 L JAVA % | 3 P PHP-CGM % | 5 L INE % </v>
      </c>
      <c r="CA258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58" s="4" t="str">
        <f ca="1">IFERROR(__xludf.DUMMYFUNCTION("""COMPUTED_VALUE"""),"| 2 L PHP-CGM % | 3 P PRO % | 5 P NS @ | 1 L CPT % ")</f>
        <v xml:space="preserve">| 2 L PHP-CGM % | 3 P PRO % | 5 P NS @ | 1 L CPT % </v>
      </c>
      <c r="CC258" s="4" t="str">
        <f ca="1">IFERROR(__xludf.DUMMYFUNCTION("""COMPUTED_VALUE"""),"| 1 L NS @ | 2 L PHP-CGM @ | 3 P Python @ | 5 P CPT % ")</f>
        <v xml:space="preserve">| 1 L NS @ | 2 L PHP-CGM @ | 3 P Python @ | 5 P CPT % </v>
      </c>
      <c r="CD258" s="4" t="str">
        <f ca="1">IFERROR(__xludf.DUMMYFUNCTION("""COMPUTED_VALUE"""),"| 1 L CPT @ | 2 L JAVA @ | 3 P JAVA @ | 5 P Python % ")</f>
        <v xml:space="preserve">| 1 L CPT @ | 2 L JAVA @ | 3 P JAVA @ | 5 P Python % </v>
      </c>
      <c r="CE258" s="4" t="str">
        <f ca="1">IFERROR(__xludf.DUMMYFUNCTION("""COMPUTED_VALUE"""),"| 1 L CPT % | 2 L JAVA @ | 3 P PHP-CGM % | 5 L INE % ")</f>
        <v xml:space="preserve">| 1 L CPT % | 2 L JAVA @ | 3 P PHP-CGM % | 5 L INE % </v>
      </c>
      <c r="CF258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58" s="4" t="str">
        <f ca="1">IFERROR(__xludf.DUMMYFUNCTION("""COMPUTED_VALUE"""),"| 1 L CPT @ | 2 L PHP-CGM @ | 5 P NS % ")</f>
        <v xml:space="preserve">| 1 L CPT @ | 2 L PHP-CGM @ | 5 P NS % </v>
      </c>
      <c r="CH258" s="4" t="str">
        <f ca="1">IFERROR(__xludf.DUMMYFUNCTION("""COMPUTED_VALUE"""),"| 1 L NS @ | 2 L PHP-CGM @ ")</f>
        <v xml:space="preserve">| 1 L NS @ | 2 L PHP-CGM @ </v>
      </c>
      <c r="CI258" s="4" t="str">
        <f ca="1">IFERROR(__xludf.DUMMYFUNCTION("""COMPUTED_VALUE"""),"| 1 L CPT @ | 2 L JAVA @ | 3 P JAVA @ ")</f>
        <v xml:space="preserve">| 1 L CPT @ | 2 L JAVA @ | 3 P JAVA @ </v>
      </c>
      <c r="CJ258" s="4" t="str">
        <f ca="1">IFERROR(__xludf.DUMMYFUNCTION("""COMPUTED_VALUE"""),"| 1 L CPT @ | 3 P PHP-CGM % ")</f>
        <v xml:space="preserve">| 1 L CPT @ | 3 P PHP-CGM % </v>
      </c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</row>
    <row r="259" spans="1:102" ht="12.5" x14ac:dyDescent="0.25">
      <c r="A259" s="3">
        <f ca="1">IFERROR(__xludf.DUMMYFUNCTION("""COMPUTED_VALUE"""),4)</f>
        <v>4</v>
      </c>
      <c r="B259" s="3" t="str">
        <f ca="1">IFERROR(__xludf.DUMMYFUNCTION("""COMPUTED_VALUE"""),"C")</f>
        <v>C</v>
      </c>
      <c r="C259" s="32" t="str">
        <f ca="1">IFERROR(__xludf.DUMMYFUNCTION("""COMPUTED_VALUE"""),"23171341201")</f>
        <v>23171341201</v>
      </c>
      <c r="D259" s="4" t="str">
        <f ca="1">IFERROR(__xludf.DUMMYFUNCTION("""COMPUTED_VALUE"""),"ZALA RAJVIRSINGH PRADHUMANSINGH")</f>
        <v>ZALA RAJVIRSINGH PRADHUMANSINGH</v>
      </c>
      <c r="E259" s="3" t="str">
        <f ca="1">IFERROR(__xludf.DUMMYFUNCTION("""COMPUTED_VALUE"""),"PKN/PAP-Mor")</f>
        <v>PKN/PAP-Mor</v>
      </c>
      <c r="F259" s="3">
        <f ca="1">IFERROR(__xludf.DUMMYFUNCTION("""COMPUTED_VALUE"""),9664633939)</f>
        <v>9664633939</v>
      </c>
      <c r="G259" s="3">
        <f ca="1">IFERROR(__xludf.DUMMYFUNCTION("""COMPUTED_VALUE"""),9723430179)</f>
        <v>9723430179</v>
      </c>
      <c r="H259" s="33">
        <f ca="1">IFERROR(__xludf.DUMMYFUNCTION("""COMPUTED_VALUE"""),0.691358024691358)</f>
        <v>0.69135802469135799</v>
      </c>
      <c r="I259" s="25">
        <f ca="1">IFERROR(__xludf.DUMMYFUNCTION("""COMPUTED_VALUE"""),0.710526315789473)</f>
        <v>0.71052631578947301</v>
      </c>
      <c r="J259" s="25">
        <f ca="1">IFERROR(__xludf.DUMMYFUNCTION("""COMPUTED_VALUE"""),0.7)</f>
        <v>0.7</v>
      </c>
      <c r="K259" s="25">
        <f ca="1">IFERROR(__xludf.DUMMYFUNCTION("""COMPUTED_VALUE"""),0.611111111111111)</f>
        <v>0.61111111111111105</v>
      </c>
      <c r="L259" s="25">
        <f ca="1">IFERROR(__xludf.DUMMYFUNCTION("""COMPUTED_VALUE"""),0.727272727272727)</f>
        <v>0.72727272727272696</v>
      </c>
      <c r="M259" s="25">
        <f ca="1">IFERROR(__xludf.DUMMYFUNCTION("""COMPUTED_VALUE"""),0.722222222222222)</f>
        <v>0.72222222222222199</v>
      </c>
      <c r="N259" s="25">
        <f ca="1">IFERROR(__xludf.DUMMYFUNCTION("""COMPUTED_VALUE"""),0.75)</f>
        <v>0.75</v>
      </c>
      <c r="O259" s="25">
        <f ca="1">IFERROR(__xludf.DUMMYFUNCTION("""COMPUTED_VALUE"""),0.657142857142857)</f>
        <v>0.65714285714285703</v>
      </c>
      <c r="P259" s="25">
        <f ca="1">IFERROR(__xludf.DUMMYFUNCTION("""COMPUTED_VALUE"""),0.68)</f>
        <v>0.68</v>
      </c>
      <c r="Q259" s="25">
        <f ca="1">IFERROR(__xludf.DUMMYFUNCTION("""COMPUTED_VALUE"""),0)</f>
        <v>0</v>
      </c>
      <c r="R259" s="25">
        <f ca="1">IFERROR(__xludf.DUMMYFUNCTION("""COMPUTED_VALUE"""),0.764705882352941)</f>
        <v>0.76470588235294101</v>
      </c>
      <c r="S259" s="25">
        <f ca="1">IFERROR(__xludf.DUMMYFUNCTION("""COMPUTED_VALUE"""),0)</f>
        <v>0</v>
      </c>
      <c r="T259" s="25">
        <f ca="1">IFERROR(__xludf.DUMMYFUNCTION("""COMPUTED_VALUE"""),0.733333333333333)</f>
        <v>0.73333333333333295</v>
      </c>
      <c r="U259" s="25">
        <f ca="1">IFERROR(__xludf.DUMMYFUNCTION("""COMPUTED_VALUE"""),0.625)</f>
        <v>0.625</v>
      </c>
      <c r="V259" s="25">
        <f ca="1">IFERROR(__xludf.DUMMYFUNCTION("""COMPUTED_VALUE"""),0)</f>
        <v>0</v>
      </c>
      <c r="W259" s="4"/>
      <c r="X25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59" s="4" t="str">
        <f ca="1">IFERROR(__xludf.DUMMYFUNCTION("""COMPUTED_VALUE"""),"| 1 L CPT % | 5 L PHP-CGM % | 3 P PRO % | 5 P NS % ")</f>
        <v xml:space="preserve">| 1 L CPT % | 5 L PHP-CGM % | 3 P PRO % | 5 P NS % </v>
      </c>
      <c r="Z259" s="4" t="str">
        <f ca="1">IFERROR(__xludf.DUMMYFUNCTION("""COMPUTED_VALUE"""),"| 1 L CPT % | 2 L PHP-CGM % | 3 P Python % | 5 P CPT % ")</f>
        <v xml:space="preserve">| 1 L CPT % | 2 L PHP-CGM % | 3 P Python % | 5 P CPT % </v>
      </c>
      <c r="AA259" s="4" t="str">
        <f ca="1">IFERROR(__xludf.DUMMYFUNCTION("""COMPUTED_VALUE"""),"| 1 L NS % | 2 L JAVA % | 3 P JAVA % | 5 P PRO % ")</f>
        <v xml:space="preserve">| 1 L NS % | 2 L JAVA % | 3 P JAVA % | 5 P PRO % </v>
      </c>
      <c r="AB259" s="4" t="str">
        <f ca="1">IFERROR(__xludf.DUMMYFUNCTION("""COMPUTED_VALUE"""),"| 1 L CPT % | 2 L JAVA % | 3 P PHP-CGM % ")</f>
        <v xml:space="preserve">| 1 L CPT % | 2 L JAVA % | 3 P PHP-CGM % </v>
      </c>
      <c r="AC25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59" s="4" t="str">
        <f ca="1">IFERROR(__xludf.DUMMYFUNCTION("""COMPUTED_VALUE"""),"| 1 L CPT % | 2 L PHP-CGM % | 3 P PRO @ | 5 P NS @ ")</f>
        <v xml:space="preserve">| 1 L CPT % | 2 L PHP-CGM % | 3 P PRO @ | 5 P NS @ </v>
      </c>
      <c r="AE259" s="4" t="str">
        <f ca="1">IFERROR(__xludf.DUMMYFUNCTION("""COMPUTED_VALUE"""),"| 1 L CPT % | 3 P Python % | 5 P CPT % | 2 L PHP-CGM % ")</f>
        <v xml:space="preserve">| 1 L CPT % | 3 P Python % | 5 P CPT % | 2 L PHP-CGM % </v>
      </c>
      <c r="AF259" s="4" t="str">
        <f ca="1">IFERROR(__xludf.DUMMYFUNCTION("""COMPUTED_VALUE"""),"| 1 L NS % | 2 L CPT % | 3 P JAVA % | 5 P Python % ")</f>
        <v xml:space="preserve">| 1 L NS % | 2 L CPT % | 3 P JAVA % | 5 P Python % </v>
      </c>
      <c r="AG259" s="4" t="str">
        <f ca="1">IFERROR(__xludf.DUMMYFUNCTION("""COMPUTED_VALUE"""),"| 1 L CPT @ | 2 L JAVA @ | 3 P PHP-CGM @ ")</f>
        <v xml:space="preserve">| 1 L CPT @ | 2 L JAVA @ | 3 P PHP-CGM @ </v>
      </c>
      <c r="AH259" s="4" t="str">
        <f ca="1">IFERROR(__xludf.DUMMYFUNCTION("""COMPUTED_VALUE"""),"| 2 L JAVA % | 1 L NS % | 3 P JAVA % | 5 P Python % ")</f>
        <v xml:space="preserve">| 2 L JAVA % | 1 L NS % | 3 P JAVA % | 5 P Python % </v>
      </c>
      <c r="AI259" s="4" t="str">
        <f ca="1">IFERROR(__xludf.DUMMYFUNCTION("""COMPUTED_VALUE"""),"| 1 L CPT % | 2 L JAVA % | 3 P PHP-CGM % ")</f>
        <v xml:space="preserve">| 1 L CPT % | 2 L JAVA % | 3 P PHP-CGM % </v>
      </c>
      <c r="AJ259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59" s="4" t="str">
        <f ca="1">IFERROR(__xludf.DUMMYFUNCTION("""COMPUTED_VALUE"""),"| 1 L CPT % | 3 P PRO % | 2 L PHP-CGM % | 5 P NS % ")</f>
        <v xml:space="preserve">| 1 L CPT % | 3 P PRO % | 2 L PHP-CGM % | 5 P NS % </v>
      </c>
      <c r="AL259" s="4" t="str">
        <f ca="1">IFERROR(__xludf.DUMMYFUNCTION("""COMPUTED_VALUE"""),"| 1 L CPT % | 2 L PHP-CGM % | 5 P CPT % ")</f>
        <v xml:space="preserve">| 1 L CPT % | 2 L PHP-CGM % | 5 P CPT % </v>
      </c>
      <c r="AM259" s="4" t="str">
        <f ca="1">IFERROR(__xludf.DUMMYFUNCTION("""COMPUTED_VALUE"""),"| 2 L JAVA % | 3 P JAVA % | 1 L NS % | 5 P Python % ")</f>
        <v xml:space="preserve">| 2 L JAVA % | 3 P JAVA % | 1 L NS % | 5 P Python % </v>
      </c>
      <c r="AN259" s="4" t="str">
        <f ca="1">IFERROR(__xludf.DUMMYFUNCTION("""COMPUTED_VALUE"""),"| 1 L CPT % | 2 L JAVA % | 3 P PHP-CGM % | 5 L INE @ ")</f>
        <v xml:space="preserve">| 1 L CPT % | 2 L JAVA % | 3 P PHP-CGM % | 5 L INE @ </v>
      </c>
      <c r="AO259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59" s="4" t="str">
        <f ca="1">IFERROR(__xludf.DUMMYFUNCTION("""COMPUTED_VALUE"""),"| 1 L CPT @ | 2 L PHP-CGM % | 3 P PRO @ | 5 P NS @ ")</f>
        <v xml:space="preserve">| 1 L CPT @ | 2 L PHP-CGM % | 3 P PRO @ | 5 P NS @ </v>
      </c>
      <c r="AQ259" s="4" t="str">
        <f ca="1">IFERROR(__xludf.DUMMYFUNCTION("""COMPUTED_VALUE"""),"| 2 L PHP-CGM % | 3 P Python % | 1 L NS % | 5 P CPT % ")</f>
        <v xml:space="preserve">| 2 L PHP-CGM % | 3 P Python % | 1 L NS % | 5 P CPT % </v>
      </c>
      <c r="AR259" s="4" t="str">
        <f ca="1">IFERROR(__xludf.DUMMYFUNCTION("""COMPUTED_VALUE"""),"| 1 L CPT % | 2 L JAVA % | 3 P JAVA % | 5 P Python % ")</f>
        <v xml:space="preserve">| 1 L CPT % | 2 L JAVA % | 3 P JAVA % | 5 P Python % </v>
      </c>
      <c r="AS259" s="4" t="str">
        <f ca="1">IFERROR(__xludf.DUMMYFUNCTION("""COMPUTED_VALUE"""),"| 1 L NS @ | 2 L PHP-CGM % | 3 P JAVA @ | 5 L NS @ | 6 L JAVA @ ")</f>
        <v xml:space="preserve">| 1 L NS @ | 2 L PHP-CGM % | 3 P JAVA @ | 5 L NS @ | 6 L JAVA @ </v>
      </c>
      <c r="AT259" s="4" t="str">
        <f ca="1">IFERROR(__xludf.DUMMYFUNCTION("""COMPUTED_VALUE"""),"| 1 L CPT @ | 2 L PHP-CGM @ | 3 P PRO @ | 5 P NS @ ")</f>
        <v xml:space="preserve">| 1 L CPT @ | 2 L PHP-CGM @ | 3 P PRO @ | 5 P NS @ </v>
      </c>
      <c r="AU259" s="4" t="str">
        <f ca="1">IFERROR(__xludf.DUMMYFUNCTION("""COMPUTED_VALUE"""),"| 1 L NS % | 2 L PHP-CGM % | 3 P Python % | 5 P CPT @ ")</f>
        <v xml:space="preserve">| 1 L NS % | 2 L PHP-CGM % | 3 P Python % | 5 P CPT @ </v>
      </c>
      <c r="AV259" s="4" t="str">
        <f ca="1">IFERROR(__xludf.DUMMYFUNCTION("""COMPUTED_VALUE"""),"| 1 L CPT % | 2 L JAVA % | 3 P JAVA % | 5 P PRO % ")</f>
        <v xml:space="preserve">| 1 L CPT % | 2 L JAVA % | 3 P JAVA % | 5 P PRO % </v>
      </c>
      <c r="AW259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59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59" s="4" t="str">
        <f ca="1">IFERROR(__xludf.DUMMYFUNCTION("""COMPUTED_VALUE"""),"| 1 L CPT % | 2 L PHP-CGM % | 3 P PRO % | 5 P NS % ")</f>
        <v xml:space="preserve">| 1 L CPT % | 2 L PHP-CGM % | 3 P PRO % | 5 P NS % </v>
      </c>
      <c r="AZ259" s="4" t="str">
        <f ca="1">IFERROR(__xludf.DUMMYFUNCTION("""COMPUTED_VALUE"""),"| 1 L CPT % | 2 L JAVA % | 3 P JAVA % | 5 P Python % ")</f>
        <v xml:space="preserve">| 1 L CPT % | 2 L JAVA % | 3 P JAVA % | 5 P Python % </v>
      </c>
      <c r="BA259" s="4" t="str">
        <f ca="1">IFERROR(__xludf.DUMMYFUNCTION("""COMPUTED_VALUE"""),"| 1 L CPT @ | 2 L JAVA @ | 3 P PHP-CGM % | 5 L INE @ ")</f>
        <v xml:space="preserve">| 1 L CPT @ | 2 L JAVA @ | 3 P PHP-CGM % | 5 L INE @ </v>
      </c>
      <c r="BB259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59" s="4" t="str">
        <f ca="1">IFERROR(__xludf.DUMMYFUNCTION("""COMPUTED_VALUE"""),"| 1 L CPT % | 2 L PHP-CGM % | 3 P PRO % | 5 P NS % ")</f>
        <v xml:space="preserve">| 1 L CPT % | 2 L PHP-CGM % | 3 P PRO % | 5 P NS % </v>
      </c>
      <c r="BD259" s="4" t="str">
        <f ca="1">IFERROR(__xludf.DUMMYFUNCTION("""COMPUTED_VALUE"""),"| 1 L NS % | 2 L PHP-CGM % | 3 P Python % | 5 P CPT % ")</f>
        <v xml:space="preserve">| 1 L NS % | 2 L PHP-CGM % | 3 P Python % | 5 P CPT % </v>
      </c>
      <c r="BE259" s="4" t="str">
        <f ca="1">IFERROR(__xludf.DUMMYFUNCTION("""COMPUTED_VALUE"""),"| 1 L CPT % | 2 L JAVA % | 5 P Python % ")</f>
        <v xml:space="preserve">| 1 L CPT % | 2 L JAVA % | 5 P Python % </v>
      </c>
      <c r="BF259" s="4" t="str">
        <f ca="1">IFERROR(__xludf.DUMMYFUNCTION("""COMPUTED_VALUE"""),"| 1 L CPT % | 2 L JAVA % | 3 P PHP-CGM % ")</f>
        <v xml:space="preserve">| 1 L CPT % | 2 L JAVA % | 3 P PHP-CGM % </v>
      </c>
      <c r="BG259" s="4" t="str">
        <f ca="1">IFERROR(__xludf.DUMMYFUNCTION("""COMPUTED_VALUE"""),"| 2 L PHP-CGM % | 1 L CPT % | 3 P PRO % | 5 P NS % ")</f>
        <v xml:space="preserve">| 2 L PHP-CGM % | 1 L CPT % | 3 P PRO % | 5 P NS % </v>
      </c>
      <c r="BH259" s="4" t="str">
        <f ca="1">IFERROR(__xludf.DUMMYFUNCTION("""COMPUTED_VALUE"""),"| 1 L NS % | 2 L PHP-CGM % | 3 P Python % | 5 P CPT % ")</f>
        <v xml:space="preserve">| 1 L NS % | 2 L PHP-CGM % | 3 P Python % | 5 P CPT % </v>
      </c>
      <c r="BI259" s="4" t="str">
        <f ca="1">IFERROR(__xludf.DUMMYFUNCTION("""COMPUTED_VALUE"""),"| 1 L CPT % | 2 L JAVA % | 3 P JAVA % | 5 P PRO % ")</f>
        <v xml:space="preserve">| 1 L CPT % | 2 L JAVA % | 3 P JAVA % | 5 P PRO % </v>
      </c>
      <c r="BJ259" s="4" t="str">
        <f ca="1">IFERROR(__xludf.DUMMYFUNCTION("""COMPUTED_VALUE"""),"| 1 L CPT % | 2 L JAVA % | 3 P PHP-CGM % | 5 L INE % ")</f>
        <v xml:space="preserve">| 1 L CPT % | 2 L JAVA % | 3 P PHP-CGM % | 5 L INE % </v>
      </c>
      <c r="BK25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59" s="4" t="str">
        <f ca="1">IFERROR(__xludf.DUMMYFUNCTION("""COMPUTED_VALUE"""),"| 1 L CPT % | 2 L PHP-CGM % | 3 P PRO % | 5 P NS % ")</f>
        <v xml:space="preserve">| 1 L CPT % | 2 L PHP-CGM % | 3 P PRO % | 5 P NS % </v>
      </c>
      <c r="BM259" s="4" t="str">
        <f ca="1">IFERROR(__xludf.DUMMYFUNCTION("""COMPUTED_VALUE"""),"| 1 L NS @ | 2 L PHP-CGM @ | 3 P Python @ | 5 P CPT @ ")</f>
        <v xml:space="preserve">| 1 L NS @ | 2 L PHP-CGM @ | 3 P Python @ | 5 P CPT @ </v>
      </c>
      <c r="BN259" s="4" t="str">
        <f ca="1">IFERROR(__xludf.DUMMYFUNCTION("""COMPUTED_VALUE"""),"| 2 L JAVA % | 1 L CPT % | 3 P JAVA % | 5 P PRO % ")</f>
        <v xml:space="preserve">| 2 L JAVA % | 1 L CPT % | 3 P JAVA % | 5 P PRO % </v>
      </c>
      <c r="BO259" s="4" t="str">
        <f ca="1">IFERROR(__xludf.DUMMYFUNCTION("""COMPUTED_VALUE"""),"| 2 L JAVA % | 1 L CPT % | 3 P PHP-CGM % | 5 L INE % ")</f>
        <v xml:space="preserve">| 2 L JAVA % | 1 L CPT % | 3 P PHP-CGM % | 5 L INE % </v>
      </c>
      <c r="BP259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Q259" s="4"/>
      <c r="BR259" s="4"/>
      <c r="BS259" s="4"/>
      <c r="BT259" s="4" t="str">
        <f ca="1">IFERROR(__xludf.DUMMYFUNCTION("""COMPUTED_VALUE"""),"| 1 L NS % | 2 L PHP-CGM % | 3 P JAVA % ")</f>
        <v xml:space="preserve">| 1 L NS % | 2 L PHP-CGM % | 3 P JAVA % </v>
      </c>
      <c r="BU259" s="4" t="str">
        <f ca="1">IFERROR(__xludf.DUMMYFUNCTION("""COMPUTED_VALUE"""),"| 1 L CPT @ ")</f>
        <v xml:space="preserve">| 1 L CPT @ </v>
      </c>
      <c r="BV259" s="4" t="str">
        <f ca="1">IFERROR(__xludf.DUMMYFUNCTION("""COMPUTED_VALUE"""),"| 1 L NS @ | 2 L PHP-CGM @ | 3 P JAVA @ | 6 L JAVA @ ")</f>
        <v xml:space="preserve">| 1 L NS @ | 2 L PHP-CGM @ | 3 P JAVA @ | 6 L JAVA @ </v>
      </c>
      <c r="BW259" s="4" t="str">
        <f ca="1">IFERROR(__xludf.DUMMYFUNCTION("""COMPUTED_VALUE"""),"| 1 L CPT @ | 2 L PHP-CGM @ | 3 P PRO @ ")</f>
        <v xml:space="preserve">| 1 L CPT @ | 2 L PHP-CGM @ | 3 P PRO @ </v>
      </c>
      <c r="BX259" s="4" t="str">
        <f ca="1">IFERROR(__xludf.DUMMYFUNCTION("""COMPUTED_VALUE"""),"| 1 L NS @ | 2 L PHP-CGM @ | 3 P Python @ | 5 P CPT @ ")</f>
        <v xml:space="preserve">| 1 L NS @ | 2 L PHP-CGM @ | 3 P Python @ | 5 P CPT @ </v>
      </c>
      <c r="BY259" s="4" t="str">
        <f ca="1">IFERROR(__xludf.DUMMYFUNCTION("""COMPUTED_VALUE"""),"| 1 L CPT @ | 2 L JAVA @ | 3 P JAVA @ | 5 P Python @ ")</f>
        <v xml:space="preserve">| 1 L CPT @ | 2 L JAVA @ | 3 P JAVA @ | 5 P Python @ </v>
      </c>
      <c r="BZ259" s="4" t="str">
        <f ca="1">IFERROR(__xludf.DUMMYFUNCTION("""COMPUTED_VALUE"""),"| 1 L CPT @ | 2 L JAVA @ | 3 P PHP-CGM @ | 5 L INE @ ")</f>
        <v xml:space="preserve">| 1 L CPT @ | 2 L JAVA @ | 3 P PHP-CGM @ | 5 L INE @ </v>
      </c>
      <c r="CA259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59" s="4" t="str">
        <f ca="1">IFERROR(__xludf.DUMMYFUNCTION("""COMPUTED_VALUE"""),"| 2 L PHP-CGM % | 3 P PRO % | 5 P NS % | 1 L CPT % ")</f>
        <v xml:space="preserve">| 2 L PHP-CGM % | 3 P PRO % | 5 P NS % | 1 L CPT % </v>
      </c>
      <c r="CC259" s="4" t="str">
        <f ca="1">IFERROR(__xludf.DUMMYFUNCTION("""COMPUTED_VALUE"""),"| 1 L NS % | 2 L PHP-CGM % | 3 P Python % | 5 P CPT % ")</f>
        <v xml:space="preserve">| 1 L NS % | 2 L PHP-CGM % | 3 P Python % | 5 P CPT % </v>
      </c>
      <c r="CD259" s="4" t="str">
        <f ca="1">IFERROR(__xludf.DUMMYFUNCTION("""COMPUTED_VALUE"""),"| 1 L CPT @ | 2 L JAVA @ | 3 P JAVA @ | 5 P Python @ ")</f>
        <v xml:space="preserve">| 1 L CPT @ | 2 L JAVA @ | 3 P JAVA @ | 5 P Python @ </v>
      </c>
      <c r="CE259" s="4" t="str">
        <f ca="1">IFERROR(__xludf.DUMMYFUNCTION("""COMPUTED_VALUE"""),"| 1 L CPT % | 2 L JAVA % | 3 P PHP-CGM % | 5 L INE % ")</f>
        <v xml:space="preserve">| 1 L CPT % | 2 L JAVA % | 3 P PHP-CGM % | 5 L INE % </v>
      </c>
      <c r="CF259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59" s="4" t="str">
        <f ca="1">IFERROR(__xludf.DUMMYFUNCTION("""COMPUTED_VALUE"""),"| 1 L CPT % | 2 L PHP-CGM % | 5 P NS % ")</f>
        <v xml:space="preserve">| 1 L CPT % | 2 L PHP-CGM % | 5 P NS % </v>
      </c>
      <c r="CH259" s="4" t="str">
        <f ca="1">IFERROR(__xludf.DUMMYFUNCTION("""COMPUTED_VALUE"""),"| 1 L NS @ | 2 L PHP-CGM @ ")</f>
        <v xml:space="preserve">| 1 L NS @ | 2 L PHP-CGM @ </v>
      </c>
      <c r="CI259" s="4" t="str">
        <f ca="1">IFERROR(__xludf.DUMMYFUNCTION("""COMPUTED_VALUE"""),"| 1 L CPT @ | 2 L JAVA @ | 3 P JAVA @ ")</f>
        <v xml:space="preserve">| 1 L CPT @ | 2 L JAVA @ | 3 P JAVA @ </v>
      </c>
      <c r="CJ259" s="4" t="str">
        <f ca="1">IFERROR(__xludf.DUMMYFUNCTION("""COMPUTED_VALUE"""),"| 1 L CPT @ | 3 P PHP-CGM @ ")</f>
        <v xml:space="preserve">| 1 L CPT @ | 3 P PHP-CGM @ </v>
      </c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</row>
    <row r="260" spans="1:102" ht="12.5" x14ac:dyDescent="0.25">
      <c r="A260" s="3">
        <f ca="1">IFERROR(__xludf.DUMMYFUNCTION("""COMPUTED_VALUE"""),4)</f>
        <v>4</v>
      </c>
      <c r="B260" s="3" t="str">
        <f ca="1">IFERROR(__xludf.DUMMYFUNCTION("""COMPUTED_VALUE"""),"C")</f>
        <v>C</v>
      </c>
      <c r="C260" s="32" t="str">
        <f ca="1">IFERROR(__xludf.DUMMYFUNCTION("""COMPUTED_VALUE"""),"23171341203")</f>
        <v>23171341203</v>
      </c>
      <c r="D260" s="4" t="str">
        <f ca="1">IFERROR(__xludf.DUMMYFUNCTION("""COMPUTED_VALUE"""),"DHRUV AJAYKUMAR BAROT")</f>
        <v>DHRUV AJAYKUMAR BAROT</v>
      </c>
      <c r="E260" s="3" t="str">
        <f ca="1">IFERROR(__xludf.DUMMYFUNCTION("""COMPUTED_VALUE"""),"PKN/PAP-Mor")</f>
        <v>PKN/PAP-Mor</v>
      </c>
      <c r="F260" s="3">
        <f ca="1">IFERROR(__xludf.DUMMYFUNCTION("""COMPUTED_VALUE"""),7990064313)</f>
        <v>7990064313</v>
      </c>
      <c r="G260" s="3">
        <f ca="1">IFERROR(__xludf.DUMMYFUNCTION("""COMPUTED_VALUE"""),6352520636)</f>
        <v>6352520636</v>
      </c>
      <c r="H260" s="33">
        <f ca="1">IFERROR(__xludf.DUMMYFUNCTION("""COMPUTED_VALUE"""),0.308641975308641)</f>
        <v>0.30864197530864101</v>
      </c>
      <c r="I260" s="25">
        <f ca="1">IFERROR(__xludf.DUMMYFUNCTION("""COMPUTED_VALUE"""),0.368421052631578)</f>
        <v>0.36842105263157798</v>
      </c>
      <c r="J260" s="25">
        <f ca="1">IFERROR(__xludf.DUMMYFUNCTION("""COMPUTED_VALUE"""),0.4)</f>
        <v>0.4</v>
      </c>
      <c r="K260" s="25">
        <f ca="1">IFERROR(__xludf.DUMMYFUNCTION("""COMPUTED_VALUE"""),0.25)</f>
        <v>0.25</v>
      </c>
      <c r="L260" s="25">
        <f ca="1">IFERROR(__xludf.DUMMYFUNCTION("""COMPUTED_VALUE"""),0.636363636363636)</f>
        <v>0.63636363636363602</v>
      </c>
      <c r="M260" s="25">
        <f ca="1">IFERROR(__xludf.DUMMYFUNCTION("""COMPUTED_VALUE"""),0.333333333333333)</f>
        <v>0.33333333333333298</v>
      </c>
      <c r="N260" s="25">
        <f ca="1">IFERROR(__xludf.DUMMYFUNCTION("""COMPUTED_VALUE"""),0.25)</f>
        <v>0.25</v>
      </c>
      <c r="O260" s="25">
        <f ca="1">IFERROR(__xludf.DUMMYFUNCTION("""COMPUTED_VALUE"""),0.171428571428571)</f>
        <v>0.17142857142857101</v>
      </c>
      <c r="P260" s="25">
        <f ca="1">IFERROR(__xludf.DUMMYFUNCTION("""COMPUTED_VALUE"""),0.2)</f>
        <v>0.2</v>
      </c>
      <c r="Q260" s="25">
        <f ca="1">IFERROR(__xludf.DUMMYFUNCTION("""COMPUTED_VALUE"""),0)</f>
        <v>0</v>
      </c>
      <c r="R260" s="25">
        <f ca="1">IFERROR(__xludf.DUMMYFUNCTION("""COMPUTED_VALUE"""),0.294117647058823)</f>
        <v>0.29411764705882298</v>
      </c>
      <c r="S260" s="25">
        <f ca="1">IFERROR(__xludf.DUMMYFUNCTION("""COMPUTED_VALUE"""),0)</f>
        <v>0</v>
      </c>
      <c r="T260" s="25">
        <f ca="1">IFERROR(__xludf.DUMMYFUNCTION("""COMPUTED_VALUE"""),0.466666666666666)</f>
        <v>0.46666666666666601</v>
      </c>
      <c r="U260" s="25">
        <f ca="1">IFERROR(__xludf.DUMMYFUNCTION("""COMPUTED_VALUE"""),0.375)</f>
        <v>0.375</v>
      </c>
      <c r="V260" s="25">
        <f ca="1">IFERROR(__xludf.DUMMYFUNCTION("""COMPUTED_VALUE"""),0)</f>
        <v>0</v>
      </c>
      <c r="W260" s="4"/>
      <c r="X260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Y260" s="4" t="str">
        <f ca="1">IFERROR(__xludf.DUMMYFUNCTION("""COMPUTED_VALUE"""),"| 1 L CPT % | 5 L PHP-CGM % | 3 P PRO % | 5 P NS % ")</f>
        <v xml:space="preserve">| 1 L CPT % | 5 L PHP-CGM % | 3 P PRO % | 5 P NS % </v>
      </c>
      <c r="Z260" s="4" t="str">
        <f ca="1">IFERROR(__xludf.DUMMYFUNCTION("""COMPUTED_VALUE"""),"| 1 L CPT % | 2 L PHP-CGM % | 3 P Python % | 5 P CPT % ")</f>
        <v xml:space="preserve">| 1 L CPT % | 2 L PHP-CGM % | 3 P Python % | 5 P CPT % </v>
      </c>
      <c r="AA260" s="4" t="str">
        <f ca="1">IFERROR(__xludf.DUMMYFUNCTION("""COMPUTED_VALUE"""),"| 1 L NS % | 2 L JAVA % | 3 P JAVA % | 5 P PRO % ")</f>
        <v xml:space="preserve">| 1 L NS % | 2 L JAVA % | 3 P JAVA % | 5 P PRO % </v>
      </c>
      <c r="AB260" s="4" t="str">
        <f ca="1">IFERROR(__xludf.DUMMYFUNCTION("""COMPUTED_VALUE"""),"| 1 L CPT @ | 2 L JAVA @ | 3 P PHP-CGM @ ")</f>
        <v xml:space="preserve">| 1 L CPT @ | 2 L JAVA @ | 3 P PHP-CGM @ </v>
      </c>
      <c r="AC260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D260" s="4" t="str">
        <f ca="1">IFERROR(__xludf.DUMMYFUNCTION("""COMPUTED_VALUE"""),"| 1 L CPT % | 2 L PHP-CGM % | 3 P PRO % | 5 P NS % ")</f>
        <v xml:space="preserve">| 1 L CPT % | 2 L PHP-CGM % | 3 P PRO % | 5 P NS % </v>
      </c>
      <c r="AE260" s="4" t="str">
        <f ca="1">IFERROR(__xludf.DUMMYFUNCTION("""COMPUTED_VALUE"""),"| 1 L CPT @ | 3 P Python @ | 5 P CPT @ | 2 L PHP-CGM @ ")</f>
        <v xml:space="preserve">| 1 L CPT @ | 3 P Python @ | 5 P CPT @ | 2 L PHP-CGM @ </v>
      </c>
      <c r="AF260" s="4" t="str">
        <f ca="1">IFERROR(__xludf.DUMMYFUNCTION("""COMPUTED_VALUE"""),"| 1 L NS % | 2 L CPT % | 3 P JAVA % | 5 P Python % ")</f>
        <v xml:space="preserve">| 1 L NS % | 2 L CPT % | 3 P JAVA % | 5 P Python % </v>
      </c>
      <c r="AG260" s="4" t="str">
        <f ca="1">IFERROR(__xludf.DUMMYFUNCTION("""COMPUTED_VALUE"""),"| 1 L CPT @ | 2 L JAVA @ | 3 P PHP-CGM @ ")</f>
        <v xml:space="preserve">| 1 L CPT @ | 2 L JAVA @ | 3 P PHP-CGM @ </v>
      </c>
      <c r="AH260" s="4" t="str">
        <f ca="1">IFERROR(__xludf.DUMMYFUNCTION("""COMPUTED_VALUE"""),"| 2 L JAVA @ | 1 L NS @ | 3 P JAVA @ | 5 P Python @ ")</f>
        <v xml:space="preserve">| 2 L JAVA @ | 1 L NS @ | 3 P JAVA @ | 5 P Python @ </v>
      </c>
      <c r="AI260" s="4" t="str">
        <f ca="1">IFERROR(__xludf.DUMMYFUNCTION("""COMPUTED_VALUE"""),"| 1 L CPT @ | 2 L JAVA @ | 3 P PHP-CGM @ ")</f>
        <v xml:space="preserve">| 1 L CPT @ | 2 L JAVA @ | 3 P PHP-CGM @ </v>
      </c>
      <c r="AJ260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AK260" s="4" t="str">
        <f ca="1">IFERROR(__xludf.DUMMYFUNCTION("""COMPUTED_VALUE"""),"| 1 L CPT % | 3 P PRO % | 2 L PHP-CGM % | 5 P NS % ")</f>
        <v xml:space="preserve">| 1 L CPT % | 3 P PRO % | 2 L PHP-CGM % | 5 P NS % </v>
      </c>
      <c r="AL260" s="4" t="str">
        <f ca="1">IFERROR(__xludf.DUMMYFUNCTION("""COMPUTED_VALUE"""),"| 1 L CPT % | 2 L PHP-CGM % | 5 P CPT % ")</f>
        <v xml:space="preserve">| 1 L CPT % | 2 L PHP-CGM % | 5 P CPT % </v>
      </c>
      <c r="AM260" s="4" t="str">
        <f ca="1">IFERROR(__xludf.DUMMYFUNCTION("""COMPUTED_VALUE"""),"| 2 L JAVA % | 3 P JAVA % | 1 L NS % | 5 P Python % ")</f>
        <v xml:space="preserve">| 2 L JAVA % | 3 P JAVA % | 1 L NS % | 5 P Python % </v>
      </c>
      <c r="AN260" s="4" t="str">
        <f ca="1">IFERROR(__xludf.DUMMYFUNCTION("""COMPUTED_VALUE"""),"| 1 L CPT % | 2 L JAVA @ | 3 P PHP-CGM @ | 5 L INE @ ")</f>
        <v xml:space="preserve">| 1 L CPT % | 2 L JAVA @ | 3 P PHP-CGM @ | 5 L INE @ </v>
      </c>
      <c r="AO260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60" s="4" t="str">
        <f ca="1">IFERROR(__xludf.DUMMYFUNCTION("""COMPUTED_VALUE"""),"| 1 L CPT % | 2 L PHP-CGM % | 3 P PRO % | 5 P NS % ")</f>
        <v xml:space="preserve">| 1 L CPT % | 2 L PHP-CGM % | 3 P PRO % | 5 P NS % </v>
      </c>
      <c r="AQ260" s="4" t="str">
        <f ca="1">IFERROR(__xludf.DUMMYFUNCTION("""COMPUTED_VALUE"""),"| 2 L PHP-CGM @ | 3 P Python @ | 1 L NS @ | 5 P CPT @ ")</f>
        <v xml:space="preserve">| 2 L PHP-CGM @ | 3 P Python @ | 1 L NS @ | 5 P CPT @ </v>
      </c>
      <c r="AR260" s="4" t="str">
        <f ca="1">IFERROR(__xludf.DUMMYFUNCTION("""COMPUTED_VALUE"""),"| 1 L CPT @ | 2 L JAVA @ | 3 P JAVA @ | 5 P Python @ ")</f>
        <v xml:space="preserve">| 1 L CPT @ | 2 L JAVA @ | 3 P JAVA @ | 5 P Python @ </v>
      </c>
      <c r="AS260" s="4" t="str">
        <f ca="1">IFERROR(__xludf.DUMMYFUNCTION("""COMPUTED_VALUE"""),"| 1 L NS % | 2 L PHP-CGM @ | 3 P JAVA % | 5 L NS % | 6 L JAVA % ")</f>
        <v xml:space="preserve">| 1 L NS % | 2 L PHP-CGM @ | 3 P JAVA % | 5 L NS % | 6 L JAVA % </v>
      </c>
      <c r="AT260" s="4" t="str">
        <f ca="1">IFERROR(__xludf.DUMMYFUNCTION("""COMPUTED_VALUE"""),"| 1 L CPT @ | 2 L PHP-CGM @ | 3 P PRO @ | 5 P NS @ ")</f>
        <v xml:space="preserve">| 1 L CPT @ | 2 L PHP-CGM @ | 3 P PRO @ | 5 P NS @ </v>
      </c>
      <c r="AU260" s="4" t="str">
        <f ca="1">IFERROR(__xludf.DUMMYFUNCTION("""COMPUTED_VALUE"""),"| 1 L NS % | 2 L PHP-CGM % | 3 P Python % | 5 P CPT @ ")</f>
        <v xml:space="preserve">| 1 L NS % | 2 L PHP-CGM % | 3 P Python % | 5 P CPT @ </v>
      </c>
      <c r="AV260" s="4" t="str">
        <f ca="1">IFERROR(__xludf.DUMMYFUNCTION("""COMPUTED_VALUE"""),"| 1 L CPT @ | 2 L JAVA @ | 3 P JAVA @ | 5 P PRO @ ")</f>
        <v xml:space="preserve">| 1 L CPT @ | 2 L JAVA @ | 3 P JAVA @ | 5 P PRO @ </v>
      </c>
      <c r="AW260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60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Y260" s="4" t="str">
        <f ca="1">IFERROR(__xludf.DUMMYFUNCTION("""COMPUTED_VALUE"""),"| 1 L CPT % | 2 L PHP-CGM % | 3 P PRO % | 5 P NS % ")</f>
        <v xml:space="preserve">| 1 L CPT % | 2 L PHP-CGM % | 3 P PRO % | 5 P NS % </v>
      </c>
      <c r="AZ260" s="4" t="str">
        <f ca="1">IFERROR(__xludf.DUMMYFUNCTION("""COMPUTED_VALUE"""),"| 1 L CPT @ | 2 L JAVA @ | 3 P JAVA @ | 5 P Python @ ")</f>
        <v xml:space="preserve">| 1 L CPT @ | 2 L JAVA @ | 3 P JAVA @ | 5 P Python @ </v>
      </c>
      <c r="BA260" s="4" t="str">
        <f ca="1">IFERROR(__xludf.DUMMYFUNCTION("""COMPUTED_VALUE"""),"| 1 L CPT @ | 2 L JAVA @ | 3 P PHP-CGM @ | 5 L INE @ ")</f>
        <v xml:space="preserve">| 1 L CPT @ | 2 L JAVA @ | 3 P PHP-CGM @ | 5 L INE @ </v>
      </c>
      <c r="BB26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C260" s="4" t="str">
        <f ca="1">IFERROR(__xludf.DUMMYFUNCTION("""COMPUTED_VALUE"""),"| 1 L CPT % | 2 L PHP-CGM % | 3 P PRO % | 5 P NS % ")</f>
        <v xml:space="preserve">| 1 L CPT % | 2 L PHP-CGM % | 3 P PRO % | 5 P NS % </v>
      </c>
      <c r="BD260" s="4" t="str">
        <f ca="1">IFERROR(__xludf.DUMMYFUNCTION("""COMPUTED_VALUE"""),"| 1 L NS @ | 2 L PHP-CGM @ | 3 P Python @ | 5 P CPT @ ")</f>
        <v xml:space="preserve">| 1 L NS @ | 2 L PHP-CGM @ | 3 P Python @ | 5 P CPT @ </v>
      </c>
      <c r="BE260" s="4" t="str">
        <f ca="1">IFERROR(__xludf.DUMMYFUNCTION("""COMPUTED_VALUE"""),"| 1 L CPT @ | 2 L JAVA @ | 5 P Python @ ")</f>
        <v xml:space="preserve">| 1 L CPT @ | 2 L JAVA @ | 5 P Python @ </v>
      </c>
      <c r="BF260" s="4" t="str">
        <f ca="1">IFERROR(__xludf.DUMMYFUNCTION("""COMPUTED_VALUE"""),"| 1 L CPT @ | 2 L JAVA @ | 3 P PHP-CGM @ ")</f>
        <v xml:space="preserve">| 1 L CPT @ | 2 L JAVA @ | 3 P PHP-CGM @ </v>
      </c>
      <c r="BG260" s="4" t="str">
        <f ca="1">IFERROR(__xludf.DUMMYFUNCTION("""COMPUTED_VALUE"""),"| 2 L PHP-CGM @ | 1 L CPT @ | 3 P PRO @ | 5 P NS @ ")</f>
        <v xml:space="preserve">| 2 L PHP-CGM @ | 1 L CPT @ | 3 P PRO @ | 5 P NS @ </v>
      </c>
      <c r="BH260" s="4" t="str">
        <f ca="1">IFERROR(__xludf.DUMMYFUNCTION("""COMPUTED_VALUE"""),"| 1 L NS % | 2 L PHP-CGM % | 3 P Python % | 5 P CPT % ")</f>
        <v xml:space="preserve">| 1 L NS % | 2 L PHP-CGM % | 3 P Python % | 5 P CPT % </v>
      </c>
      <c r="BI260" s="4" t="str">
        <f ca="1">IFERROR(__xludf.DUMMYFUNCTION("""COMPUTED_VALUE"""),"| 1 L CPT @ | 2 L JAVA @ | 3 P JAVA @ | 5 P PRO @ ")</f>
        <v xml:space="preserve">| 1 L CPT @ | 2 L JAVA @ | 3 P JAVA @ | 5 P PRO @ </v>
      </c>
      <c r="BJ260" s="4" t="str">
        <f ca="1">IFERROR(__xludf.DUMMYFUNCTION("""COMPUTED_VALUE"""),"| 1 L CPT @ | 2 L JAVA @ | 3 P PHP-CGM @ | 5 L INE @ ")</f>
        <v xml:space="preserve">| 1 L CPT @ | 2 L JAVA @ | 3 P PHP-CGM @ | 5 L INE @ </v>
      </c>
      <c r="BK26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60" s="4" t="str">
        <f ca="1">IFERROR(__xludf.DUMMYFUNCTION("""COMPUTED_VALUE"""),"| 1 L CPT @ | 2 L PHP-CGM @ | 3 P PRO @ | 5 P NS @ ")</f>
        <v xml:space="preserve">| 1 L CPT @ | 2 L PHP-CGM @ | 3 P PRO @ | 5 P NS @ </v>
      </c>
      <c r="BM260" s="4" t="str">
        <f ca="1">IFERROR(__xludf.DUMMYFUNCTION("""COMPUTED_VALUE"""),"| 1 L NS @ | 2 L PHP-CGM @ | 3 P Python @ | 5 P CPT @ ")</f>
        <v xml:space="preserve">| 1 L NS @ | 2 L PHP-CGM @ | 3 P Python @ | 5 P CPT @ </v>
      </c>
      <c r="BN260" s="4" t="str">
        <f ca="1">IFERROR(__xludf.DUMMYFUNCTION("""COMPUTED_VALUE"""),"| 2 L JAVA @ | 1 L CPT @ | 3 P JAVA @ | 5 P PRO @ ")</f>
        <v xml:space="preserve">| 2 L JAVA @ | 1 L CPT @ | 3 P JAVA @ | 5 P PRO @ </v>
      </c>
      <c r="BO260" s="4" t="str">
        <f ca="1">IFERROR(__xludf.DUMMYFUNCTION("""COMPUTED_VALUE"""),"| 2 L JAVA @ | 1 L CPT % | 3 P PHP-CGM @ | 5 L INE @ ")</f>
        <v xml:space="preserve">| 2 L JAVA @ | 1 L CPT % | 3 P PHP-CGM @ | 5 L INE @ </v>
      </c>
      <c r="BP26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60" s="4"/>
      <c r="BR260" s="4"/>
      <c r="BS260" s="4"/>
      <c r="BT260" s="4" t="str">
        <f ca="1">IFERROR(__xludf.DUMMYFUNCTION("""COMPUTED_VALUE"""),"| 1 L NS @ | 2 L PHP-CGM @ | 3 P JAVA @ ")</f>
        <v xml:space="preserve">| 1 L NS @ | 2 L PHP-CGM @ | 3 P JAVA @ </v>
      </c>
      <c r="BU260" s="4" t="str">
        <f ca="1">IFERROR(__xludf.DUMMYFUNCTION("""COMPUTED_VALUE"""),"| 1 L CPT @ ")</f>
        <v xml:space="preserve">| 1 L CPT @ </v>
      </c>
      <c r="BV260" s="4" t="str">
        <f ca="1">IFERROR(__xludf.DUMMYFUNCTION("""COMPUTED_VALUE"""),"| 1 L NS @ | 2 L PHP-CGM @ | 3 P JAVA @ | 6 L JAVA @ ")</f>
        <v xml:space="preserve">| 1 L NS @ | 2 L PHP-CGM @ | 3 P JAVA @ | 6 L JAVA @ </v>
      </c>
      <c r="BW260" s="4" t="str">
        <f ca="1">IFERROR(__xludf.DUMMYFUNCTION("""COMPUTED_VALUE"""),"| 1 L CPT @ | 2 L PHP-CGM @ | 3 P PRO @ ")</f>
        <v xml:space="preserve">| 1 L CPT @ | 2 L PHP-CGM @ | 3 P PRO @ </v>
      </c>
      <c r="BX260" s="4" t="str">
        <f ca="1">IFERROR(__xludf.DUMMYFUNCTION("""COMPUTED_VALUE"""),"| 1 L NS @ | 2 L PHP-CGM @ | 3 P Python @ | 5 P CPT @ ")</f>
        <v xml:space="preserve">| 1 L NS @ | 2 L PHP-CGM @ | 3 P Python @ | 5 P CPT @ </v>
      </c>
      <c r="BY260" s="4" t="str">
        <f ca="1">IFERROR(__xludf.DUMMYFUNCTION("""COMPUTED_VALUE"""),"| 1 L CPT @ | 2 L JAVA @ | 3 P JAVA @ | 5 P Python @ ")</f>
        <v xml:space="preserve">| 1 L CPT @ | 2 L JAVA @ | 3 P JAVA @ | 5 P Python @ </v>
      </c>
      <c r="BZ260" s="4" t="str">
        <f ca="1">IFERROR(__xludf.DUMMYFUNCTION("""COMPUTED_VALUE"""),"| 1 L CPT @ | 2 L JAVA @ | 3 P PHP-CGM @ | 5 L INE @ ")</f>
        <v xml:space="preserve">| 1 L CPT @ | 2 L JAVA @ | 3 P PHP-CGM @ | 5 L INE @ </v>
      </c>
      <c r="CA26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60" s="4" t="str">
        <f ca="1">IFERROR(__xludf.DUMMYFUNCTION("""COMPUTED_VALUE"""),"| 2 L PHP-CGM @ | 3 P PRO @ | 5 P NS @ | 1 L CPT @ ")</f>
        <v xml:space="preserve">| 2 L PHP-CGM @ | 3 P PRO @ | 5 P NS @ | 1 L CPT @ </v>
      </c>
      <c r="CC260" s="4" t="str">
        <f ca="1">IFERROR(__xludf.DUMMYFUNCTION("""COMPUTED_VALUE"""),"| 1 L NS @ | 2 L PHP-CGM @ | 3 P Python @ | 5 P CPT % ")</f>
        <v xml:space="preserve">| 1 L NS @ | 2 L PHP-CGM @ | 3 P Python @ | 5 P CPT % </v>
      </c>
      <c r="CD260" s="4" t="str">
        <f ca="1">IFERROR(__xludf.DUMMYFUNCTION("""COMPUTED_VALUE"""),"| 1 L CPT @ | 2 L JAVA @ | 3 P JAVA @ | 5 P Python @ ")</f>
        <v xml:space="preserve">| 1 L CPT @ | 2 L JAVA @ | 3 P JAVA @ | 5 P Python @ </v>
      </c>
      <c r="CE260" s="4" t="str">
        <f ca="1">IFERROR(__xludf.DUMMYFUNCTION("""COMPUTED_VALUE"""),"| 1 L CPT % | 2 L JAVA % | 3 P PHP-CGM % | 5 L INE % ")</f>
        <v xml:space="preserve">| 1 L CPT % | 2 L JAVA % | 3 P PHP-CGM % | 5 L INE % </v>
      </c>
      <c r="CF260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G260" s="4" t="str">
        <f ca="1">IFERROR(__xludf.DUMMYFUNCTION("""COMPUTED_VALUE"""),"| 1 L CPT % | 2 L PHP-CGM % | 5 P NS % ")</f>
        <v xml:space="preserve">| 1 L CPT % | 2 L PHP-CGM % | 5 P NS % </v>
      </c>
      <c r="CH260" s="4" t="str">
        <f ca="1">IFERROR(__xludf.DUMMYFUNCTION("""COMPUTED_VALUE"""),"| 1 L NS @ | 2 L PHP-CGM @ ")</f>
        <v xml:space="preserve">| 1 L NS @ | 2 L PHP-CGM @ </v>
      </c>
      <c r="CI260" s="4" t="str">
        <f ca="1">IFERROR(__xludf.DUMMYFUNCTION("""COMPUTED_VALUE"""),"| 1 L CPT @ | 2 L JAVA @ | 3 P JAVA @ ")</f>
        <v xml:space="preserve">| 1 L CPT @ | 2 L JAVA @ | 3 P JAVA @ </v>
      </c>
      <c r="CJ260" s="4" t="str">
        <f ca="1">IFERROR(__xludf.DUMMYFUNCTION("""COMPUTED_VALUE"""),"| 1 L CPT @ | 3 P PHP-CGM % ")</f>
        <v xml:space="preserve">| 1 L CPT @ | 3 P PHP-CGM % </v>
      </c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</row>
    <row r="261" spans="1:102" ht="12.5" x14ac:dyDescent="0.25">
      <c r="A261" s="3">
        <f ca="1">IFERROR(__xludf.DUMMYFUNCTION("""COMPUTED_VALUE"""),4)</f>
        <v>4</v>
      </c>
      <c r="B261" s="3" t="str">
        <f ca="1">IFERROR(__xludf.DUMMYFUNCTION("""COMPUTED_VALUE"""),"C")</f>
        <v>C</v>
      </c>
      <c r="C261" s="32" t="str">
        <f ca="1">IFERROR(__xludf.DUMMYFUNCTION("""COMPUTED_VALUE"""),"23171341205")</f>
        <v>23171341205</v>
      </c>
      <c r="D261" s="4" t="str">
        <f ca="1">IFERROR(__xludf.DUMMYFUNCTION("""COMPUTED_VALUE"""),"PATEL VRAJKUMAR HITESHKUMAR")</f>
        <v>PATEL VRAJKUMAR HITESHKUMAR</v>
      </c>
      <c r="E261" s="3" t="str">
        <f ca="1">IFERROR(__xludf.DUMMYFUNCTION("""COMPUTED_VALUE"""),"PKN/PAP-Mor")</f>
        <v>PKN/PAP-Mor</v>
      </c>
      <c r="F261" s="3">
        <f ca="1">IFERROR(__xludf.DUMMYFUNCTION("""COMPUTED_VALUE"""),7016713487)</f>
        <v>7016713487</v>
      </c>
      <c r="G261" s="3">
        <f ca="1">IFERROR(__xludf.DUMMYFUNCTION("""COMPUTED_VALUE"""),7016713487)</f>
        <v>7016713487</v>
      </c>
      <c r="H261" s="33">
        <f ca="1">IFERROR(__xludf.DUMMYFUNCTION("""COMPUTED_VALUE"""),0.773662551440329)</f>
        <v>0.77366255144032903</v>
      </c>
      <c r="I261" s="25">
        <f ca="1">IFERROR(__xludf.DUMMYFUNCTION("""COMPUTED_VALUE"""),0.789473684210526)</f>
        <v>0.78947368421052599</v>
      </c>
      <c r="J261" s="25">
        <f ca="1">IFERROR(__xludf.DUMMYFUNCTION("""COMPUTED_VALUE"""),0.8)</f>
        <v>0.8</v>
      </c>
      <c r="K261" s="25">
        <f ca="1">IFERROR(__xludf.DUMMYFUNCTION("""COMPUTED_VALUE"""),0.694444444444444)</f>
        <v>0.69444444444444398</v>
      </c>
      <c r="L261" s="25">
        <f ca="1">IFERROR(__xludf.DUMMYFUNCTION("""COMPUTED_VALUE"""),0.818181818181818)</f>
        <v>0.81818181818181801</v>
      </c>
      <c r="M261" s="25">
        <f ca="1">IFERROR(__xludf.DUMMYFUNCTION("""COMPUTED_VALUE"""),0.722222222222222)</f>
        <v>0.72222222222222199</v>
      </c>
      <c r="N261" s="25">
        <f ca="1">IFERROR(__xludf.DUMMYFUNCTION("""COMPUTED_VALUE"""),1)</f>
        <v>1</v>
      </c>
      <c r="O261" s="25">
        <f ca="1">IFERROR(__xludf.DUMMYFUNCTION("""COMPUTED_VALUE"""),0.771428571428571)</f>
        <v>0.77142857142857102</v>
      </c>
      <c r="P261" s="25">
        <f ca="1">IFERROR(__xludf.DUMMYFUNCTION("""COMPUTED_VALUE"""),0.68)</f>
        <v>0.68</v>
      </c>
      <c r="Q261" s="25">
        <f ca="1">IFERROR(__xludf.DUMMYFUNCTION("""COMPUTED_VALUE"""),0)</f>
        <v>0</v>
      </c>
      <c r="R261" s="25">
        <f ca="1">IFERROR(__xludf.DUMMYFUNCTION("""COMPUTED_VALUE"""),0.88235294117647)</f>
        <v>0.88235294117647001</v>
      </c>
      <c r="S261" s="25">
        <f ca="1">IFERROR(__xludf.DUMMYFUNCTION("""COMPUTED_VALUE"""),0)</f>
        <v>0</v>
      </c>
      <c r="T261" s="25">
        <f ca="1">IFERROR(__xludf.DUMMYFUNCTION("""COMPUTED_VALUE"""),0.866666666666666)</f>
        <v>0.86666666666666603</v>
      </c>
      <c r="U261" s="25">
        <f ca="1">IFERROR(__xludf.DUMMYFUNCTION("""COMPUTED_VALUE"""),0.75)</f>
        <v>0.75</v>
      </c>
      <c r="V261" s="25">
        <f ca="1">IFERROR(__xludf.DUMMYFUNCTION("""COMPUTED_VALUE"""),0)</f>
        <v>0</v>
      </c>
      <c r="W261" s="4"/>
      <c r="X261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61" s="4" t="str">
        <f ca="1">IFERROR(__xludf.DUMMYFUNCTION("""COMPUTED_VALUE"""),"| 1 L CPT @ | 5 L PHP-CGM @ | 3 P PRO @ | 5 P NS @ ")</f>
        <v xml:space="preserve">| 1 L CPT @ | 5 L PHP-CGM @ | 3 P PRO @ | 5 P NS @ </v>
      </c>
      <c r="Z261" s="4" t="str">
        <f ca="1">IFERROR(__xludf.DUMMYFUNCTION("""COMPUTED_VALUE"""),"| 1 L CPT % | 2 L PHP-CGM % | 3 P Python % | 5 P CPT % ")</f>
        <v xml:space="preserve">| 1 L CPT % | 2 L PHP-CGM % | 3 P Python % | 5 P CPT % </v>
      </c>
      <c r="AA261" s="4" t="str">
        <f ca="1">IFERROR(__xludf.DUMMYFUNCTION("""COMPUTED_VALUE"""),"| 1 L NS % | 2 L JAVA % | 3 P JAVA % | 5 P PRO % ")</f>
        <v xml:space="preserve">| 1 L NS % | 2 L JAVA % | 3 P JAVA % | 5 P PRO % </v>
      </c>
      <c r="AB261" s="4" t="str">
        <f ca="1">IFERROR(__xludf.DUMMYFUNCTION("""COMPUTED_VALUE"""),"| 1 L CPT % | 2 L JAVA % | 3 P PHP-CGM % ")</f>
        <v xml:space="preserve">| 1 L CPT % | 2 L JAVA % | 3 P PHP-CGM % </v>
      </c>
      <c r="AC26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61" s="4" t="str">
        <f ca="1">IFERROR(__xludf.DUMMYFUNCTION("""COMPUTED_VALUE"""),"| 1 L CPT % | 2 L PHP-CGM % | 3 P PRO % | 5 P NS % ")</f>
        <v xml:space="preserve">| 1 L CPT % | 2 L PHP-CGM % | 3 P PRO % | 5 P NS % </v>
      </c>
      <c r="AE261" s="4" t="str">
        <f ca="1">IFERROR(__xludf.DUMMYFUNCTION("""COMPUTED_VALUE"""),"| 1 L CPT % | 3 P Python % | 5 P CPT % | 2 L PHP-CGM % ")</f>
        <v xml:space="preserve">| 1 L CPT % | 3 P Python % | 5 P CPT % | 2 L PHP-CGM % </v>
      </c>
      <c r="AF261" s="4" t="str">
        <f ca="1">IFERROR(__xludf.DUMMYFUNCTION("""COMPUTED_VALUE"""),"| 1 L NS % | 2 L CPT % | 3 P JAVA % | 5 P Python % ")</f>
        <v xml:space="preserve">| 1 L NS % | 2 L CPT % | 3 P JAVA % | 5 P Python % </v>
      </c>
      <c r="AG261" s="4" t="str">
        <f ca="1">IFERROR(__xludf.DUMMYFUNCTION("""COMPUTED_VALUE"""),"| 1 L CPT % | 2 L JAVA % | 3 P PHP-CGM % ")</f>
        <v xml:space="preserve">| 1 L CPT % | 2 L JAVA % | 3 P PHP-CGM % </v>
      </c>
      <c r="AH261" s="4" t="str">
        <f ca="1">IFERROR(__xludf.DUMMYFUNCTION("""COMPUTED_VALUE"""),"| 2 L JAVA % | 1 L NS % | 3 P JAVA % | 5 P Python % ")</f>
        <v xml:space="preserve">| 2 L JAVA % | 1 L NS % | 3 P JAVA % | 5 P Python % </v>
      </c>
      <c r="AI261" s="4" t="str">
        <f ca="1">IFERROR(__xludf.DUMMYFUNCTION("""COMPUTED_VALUE"""),"| 1 L CPT % | 2 L JAVA % | 3 P PHP-CGM % ")</f>
        <v xml:space="preserve">| 1 L CPT % | 2 L JAVA % | 3 P PHP-CGM % </v>
      </c>
      <c r="AJ261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61" s="4" t="str">
        <f ca="1">IFERROR(__xludf.DUMMYFUNCTION("""COMPUTED_VALUE"""),"| 1 L CPT % | 3 P PRO % | 2 L PHP-CGM % | 5 P NS % ")</f>
        <v xml:space="preserve">| 1 L CPT % | 3 P PRO % | 2 L PHP-CGM % | 5 P NS % </v>
      </c>
      <c r="AL261" s="4" t="str">
        <f ca="1">IFERROR(__xludf.DUMMYFUNCTION("""COMPUTED_VALUE"""),"| 1 L CPT % | 2 L PHP-CGM % | 5 P CPT % ")</f>
        <v xml:space="preserve">| 1 L CPT % | 2 L PHP-CGM % | 5 P CPT % </v>
      </c>
      <c r="AM261" s="4" t="str">
        <f ca="1">IFERROR(__xludf.DUMMYFUNCTION("""COMPUTED_VALUE"""),"| 2 L JAVA % | 3 P JAVA % | 1 L NS % | 5 P Python % ")</f>
        <v xml:space="preserve">| 2 L JAVA % | 3 P JAVA % | 1 L NS % | 5 P Python % </v>
      </c>
      <c r="AN261" s="4" t="str">
        <f ca="1">IFERROR(__xludf.DUMMYFUNCTION("""COMPUTED_VALUE"""),"| 1 L CPT % | 2 L JAVA % | 3 P PHP-CGM % | 5 L INE @ ")</f>
        <v xml:space="preserve">| 1 L CPT % | 2 L JAVA % | 3 P PHP-CGM % | 5 L INE @ </v>
      </c>
      <c r="AO261" s="4" t="str">
        <f ca="1">IFERROR(__xludf.DUMMYFUNCTION("""COMPUTED_VALUE"""),"| 1 L NS @ | 2 L PHP-CGM @ | 3 P JAVA @ | 5 L NS @ | 5 L JAVA @ ")</f>
        <v xml:space="preserve">| 1 L NS @ | 2 L PHP-CGM @ | 3 P JAVA @ | 5 L NS @ | 5 L JAVA @ </v>
      </c>
      <c r="AP261" s="4" t="str">
        <f ca="1">IFERROR(__xludf.DUMMYFUNCTION("""COMPUTED_VALUE"""),"| 1 L CPT @ | 2 L PHP-CGM @ | 3 P PRO @ | 5 P NS @ ")</f>
        <v xml:space="preserve">| 1 L CPT @ | 2 L PHP-CGM @ | 3 P PRO @ | 5 P NS @ </v>
      </c>
      <c r="AQ261" s="4" t="str">
        <f ca="1">IFERROR(__xludf.DUMMYFUNCTION("""COMPUTED_VALUE"""),"| 2 L PHP-CGM @ | 3 P Python @ | 1 L NS @ | 5 P CPT @ ")</f>
        <v xml:space="preserve">| 2 L PHP-CGM @ | 3 P Python @ | 1 L NS @ | 5 P CPT @ </v>
      </c>
      <c r="AR261" s="4" t="str">
        <f ca="1">IFERROR(__xludf.DUMMYFUNCTION("""COMPUTED_VALUE"""),"| 1 L CPT @ | 2 L JAVA @ | 3 P JAVA @ | 5 P Python @ ")</f>
        <v xml:space="preserve">| 1 L CPT @ | 2 L JAVA @ | 3 P JAVA @ | 5 P Python @ </v>
      </c>
      <c r="AS26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61" s="4" t="str">
        <f ca="1">IFERROR(__xludf.DUMMYFUNCTION("""COMPUTED_VALUE"""),"| 1 L CPT % | 2 L PHP-CGM % | 3 P PRO % | 5 P NS % ")</f>
        <v xml:space="preserve">| 1 L CPT % | 2 L PHP-CGM % | 3 P PRO % | 5 P NS % </v>
      </c>
      <c r="AU261" s="4" t="str">
        <f ca="1">IFERROR(__xludf.DUMMYFUNCTION("""COMPUTED_VALUE"""),"| 1 L NS % | 2 L PHP-CGM % | 3 P Python % | 5 P CPT % ")</f>
        <v xml:space="preserve">| 1 L NS % | 2 L PHP-CGM % | 3 P Python % | 5 P CPT % </v>
      </c>
      <c r="AV261" s="4" t="str">
        <f ca="1">IFERROR(__xludf.DUMMYFUNCTION("""COMPUTED_VALUE"""),"| 1 L CPT % | 2 L JAVA % | 3 P JAVA % | 5 P PRO % ")</f>
        <v xml:space="preserve">| 1 L CPT % | 2 L JAVA % | 3 P JAVA % | 5 P PRO % </v>
      </c>
      <c r="AW261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61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61" s="4" t="str">
        <f ca="1">IFERROR(__xludf.DUMMYFUNCTION("""COMPUTED_VALUE"""),"| 1 L CPT % | 2 L PHP-CGM % | 3 P PRO % | 5 P NS % ")</f>
        <v xml:space="preserve">| 1 L CPT % | 2 L PHP-CGM % | 3 P PRO % | 5 P NS % </v>
      </c>
      <c r="AZ261" s="4" t="str">
        <f ca="1">IFERROR(__xludf.DUMMYFUNCTION("""COMPUTED_VALUE"""),"| 1 L CPT % | 2 L JAVA % | 3 P JAVA % | 5 P Python % ")</f>
        <v xml:space="preserve">| 1 L CPT % | 2 L JAVA % | 3 P JAVA % | 5 P Python % </v>
      </c>
      <c r="BA261" s="4" t="str">
        <f ca="1">IFERROR(__xludf.DUMMYFUNCTION("""COMPUTED_VALUE"""),"| 1 L CPT % | 2 L JAVA % | 3 P PHP-CGM % | 5 L INE @ ")</f>
        <v xml:space="preserve">| 1 L CPT % | 2 L JAVA % | 3 P PHP-CGM % | 5 L INE @ </v>
      </c>
      <c r="BB26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61" s="4" t="str">
        <f ca="1">IFERROR(__xludf.DUMMYFUNCTION("""COMPUTED_VALUE"""),"| 1 L CPT % | 2 L PHP-CGM % | 3 P PRO % | 5 P NS % ")</f>
        <v xml:space="preserve">| 1 L CPT % | 2 L PHP-CGM % | 3 P PRO % | 5 P NS % </v>
      </c>
      <c r="BD261" s="4" t="str">
        <f ca="1">IFERROR(__xludf.DUMMYFUNCTION("""COMPUTED_VALUE"""),"| 1 L NS % | 2 L PHP-CGM % | 3 P Python % | 5 P CPT % ")</f>
        <v xml:space="preserve">| 1 L NS % | 2 L PHP-CGM % | 3 P Python % | 5 P CPT % </v>
      </c>
      <c r="BE261" s="4" t="str">
        <f ca="1">IFERROR(__xludf.DUMMYFUNCTION("""COMPUTED_VALUE"""),"| 1 L CPT % | 2 L JAVA % | 5 P Python % ")</f>
        <v xml:space="preserve">| 1 L CPT % | 2 L JAVA % | 5 P Python % </v>
      </c>
      <c r="BF261" s="4" t="str">
        <f ca="1">IFERROR(__xludf.DUMMYFUNCTION("""COMPUTED_VALUE"""),"| 1 L CPT % | 2 L JAVA % | 3 P PHP-CGM % ")</f>
        <v xml:space="preserve">| 1 L CPT % | 2 L JAVA % | 3 P PHP-CGM % </v>
      </c>
      <c r="BG261" s="4" t="str">
        <f ca="1">IFERROR(__xludf.DUMMYFUNCTION("""COMPUTED_VALUE"""),"| 2 L PHP-CGM % | 1 L CPT % | 3 P PRO % | 5 P NS % ")</f>
        <v xml:space="preserve">| 2 L PHP-CGM % | 1 L CPT % | 3 P PRO % | 5 P NS % </v>
      </c>
      <c r="BH261" s="4" t="str">
        <f ca="1">IFERROR(__xludf.DUMMYFUNCTION("""COMPUTED_VALUE"""),"| 1 L NS % | 2 L PHP-CGM % | 3 P Python % | 5 P CPT % ")</f>
        <v xml:space="preserve">| 1 L NS % | 2 L PHP-CGM % | 3 P Python % | 5 P CPT % </v>
      </c>
      <c r="BI261" s="4" t="str">
        <f ca="1">IFERROR(__xludf.DUMMYFUNCTION("""COMPUTED_VALUE"""),"| 1 L CPT % | 2 L JAVA % | 3 P JAVA % | 5 P PRO % ")</f>
        <v xml:space="preserve">| 1 L CPT % | 2 L JAVA % | 3 P JAVA % | 5 P PRO % </v>
      </c>
      <c r="BJ261" s="4" t="str">
        <f ca="1">IFERROR(__xludf.DUMMYFUNCTION("""COMPUTED_VALUE"""),"| 1 L CPT % | 2 L JAVA % | 3 P PHP-CGM % | 5 L INE % ")</f>
        <v xml:space="preserve">| 1 L CPT % | 2 L JAVA % | 3 P PHP-CGM % | 5 L INE % </v>
      </c>
      <c r="BK26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L261" s="4" t="str">
        <f ca="1">IFERROR(__xludf.DUMMYFUNCTION("""COMPUTED_VALUE"""),"| 1 L CPT % | 2 L PHP-CGM % | 3 P PRO % | 5 P NS % ")</f>
        <v xml:space="preserve">| 1 L CPT % | 2 L PHP-CGM % | 3 P PRO % | 5 P NS % </v>
      </c>
      <c r="BM261" s="4" t="str">
        <f ca="1">IFERROR(__xludf.DUMMYFUNCTION("""COMPUTED_VALUE"""),"| 1 L NS % | 2 L PHP-CGM % | 3 P Python % | 5 P CPT % ")</f>
        <v xml:space="preserve">| 1 L NS % | 2 L PHP-CGM % | 3 P Python % | 5 P CPT % </v>
      </c>
      <c r="BN261" s="4" t="str">
        <f ca="1">IFERROR(__xludf.DUMMYFUNCTION("""COMPUTED_VALUE"""),"| 2 L JAVA % | 1 L CPT % | 3 P JAVA % | 5 P PRO % ")</f>
        <v xml:space="preserve">| 2 L JAVA % | 1 L CPT % | 3 P JAVA % | 5 P PRO % </v>
      </c>
      <c r="BO261" s="4" t="str">
        <f ca="1">IFERROR(__xludf.DUMMYFUNCTION("""COMPUTED_VALUE"""),"| 2 L JAVA % | 1 L CPT % | 3 P PHP-CGM % | 5 L INE % ")</f>
        <v xml:space="preserve">| 2 L JAVA % | 1 L CPT % | 3 P PHP-CGM % | 5 L INE % </v>
      </c>
      <c r="BP261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61" s="4"/>
      <c r="BR261" s="4"/>
      <c r="BS261" s="4"/>
      <c r="BT261" s="4" t="str">
        <f ca="1">IFERROR(__xludf.DUMMYFUNCTION("""COMPUTED_VALUE"""),"| 1 L NS @ | 2 L PHP-CGM @ | 3 P JAVA @ ")</f>
        <v xml:space="preserve">| 1 L NS @ | 2 L PHP-CGM @ | 3 P JAVA @ </v>
      </c>
      <c r="BU261" s="4" t="str">
        <f ca="1">IFERROR(__xludf.DUMMYFUNCTION("""COMPUTED_VALUE"""),"| 1 L CPT @ ")</f>
        <v xml:space="preserve">| 1 L CPT @ </v>
      </c>
      <c r="BV261" s="4" t="str">
        <f ca="1">IFERROR(__xludf.DUMMYFUNCTION("""COMPUTED_VALUE"""),"| 1 L NS @ | 2 L PHP-CGM @ | 3 P JAVA @ | 6 L JAVA @ ")</f>
        <v xml:space="preserve">| 1 L NS @ | 2 L PHP-CGM @ | 3 P JAVA @ | 6 L JAVA @ </v>
      </c>
      <c r="BW261" s="4" t="str">
        <f ca="1">IFERROR(__xludf.DUMMYFUNCTION("""COMPUTED_VALUE"""),"| 1 L CPT % | 2 L PHP-CGM % | 3 P PRO % ")</f>
        <v xml:space="preserve">| 1 L CPT % | 2 L PHP-CGM % | 3 P PRO % </v>
      </c>
      <c r="BX261" s="4" t="str">
        <f ca="1">IFERROR(__xludf.DUMMYFUNCTION("""COMPUTED_VALUE"""),"| 1 L NS % | 2 L PHP-CGM % | 3 P Python % | 5 P CPT % ")</f>
        <v xml:space="preserve">| 1 L NS % | 2 L PHP-CGM % | 3 P Python % | 5 P CPT % </v>
      </c>
      <c r="BY261" s="4" t="str">
        <f ca="1">IFERROR(__xludf.DUMMYFUNCTION("""COMPUTED_VALUE"""),"| 1 L CPT % | 2 L JAVA % | 3 P JAVA % | 5 P Python % ")</f>
        <v xml:space="preserve">| 1 L CPT % | 2 L JAVA % | 3 P JAVA % | 5 P Python % </v>
      </c>
      <c r="BZ261" s="4" t="str">
        <f ca="1">IFERROR(__xludf.DUMMYFUNCTION("""COMPUTED_VALUE"""),"| 1 L CPT % | 2 L JAVA % | 3 P PHP-CGM % | 5 L INE % ")</f>
        <v xml:space="preserve">| 1 L CPT % | 2 L JAVA % | 3 P PHP-CGM % | 5 L INE % </v>
      </c>
      <c r="CA261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61" s="4" t="str">
        <f ca="1">IFERROR(__xludf.DUMMYFUNCTION("""COMPUTED_VALUE"""),"| 2 L PHP-CGM % | 3 P PRO % | 5 P NS % | 1 L CPT % ")</f>
        <v xml:space="preserve">| 2 L PHP-CGM % | 3 P PRO % | 5 P NS % | 1 L CPT % </v>
      </c>
      <c r="CC261" s="4" t="str">
        <f ca="1">IFERROR(__xludf.DUMMYFUNCTION("""COMPUTED_VALUE"""),"| 1 L NS % | 2 L PHP-CGM % | 3 P Python % | 5 P CPT @ ")</f>
        <v xml:space="preserve">| 1 L NS % | 2 L PHP-CGM % | 3 P Python % | 5 P CPT @ </v>
      </c>
      <c r="CD261" s="4" t="str">
        <f ca="1">IFERROR(__xludf.DUMMYFUNCTION("""COMPUTED_VALUE"""),"| 1 L CPT % | 2 L JAVA @ | 3 P JAVA @ | 5 P Python % ")</f>
        <v xml:space="preserve">| 1 L CPT % | 2 L JAVA @ | 3 P JAVA @ | 5 P Python % </v>
      </c>
      <c r="CE261" s="4" t="str">
        <f ca="1">IFERROR(__xludf.DUMMYFUNCTION("""COMPUTED_VALUE"""),"| 1 L CPT @ | 2 L JAVA @ | 3 P PHP-CGM % | 5 L INE % ")</f>
        <v xml:space="preserve">| 1 L CPT @ | 2 L JAVA @ | 3 P PHP-CGM % | 5 L INE % </v>
      </c>
      <c r="CF261" s="4" t="str">
        <f ca="1">IFERROR(__xludf.DUMMYFUNCTION("""COMPUTED_VALUE"""),"| 1 L NS % | 2 L PHP-CGM % | 3 P JAVA % | 5 L NS @ | 6 L JAVA % ")</f>
        <v xml:space="preserve">| 1 L NS % | 2 L PHP-CGM % | 3 P JAVA % | 5 L NS @ | 6 L JAVA % </v>
      </c>
      <c r="CG261" s="4" t="str">
        <f ca="1">IFERROR(__xludf.DUMMYFUNCTION("""COMPUTED_VALUE"""),"| 1 L CPT @ | 2 L PHP-CGM @ | 5 P NS % ")</f>
        <v xml:space="preserve">| 1 L CPT @ | 2 L PHP-CGM @ | 5 P NS % </v>
      </c>
      <c r="CH261" s="4" t="str">
        <f ca="1">IFERROR(__xludf.DUMMYFUNCTION("""COMPUTED_VALUE"""),"| 1 L NS @ | 2 L PHP-CGM @ ")</f>
        <v xml:space="preserve">| 1 L NS @ | 2 L PHP-CGM @ </v>
      </c>
      <c r="CI261" s="4" t="str">
        <f ca="1">IFERROR(__xludf.DUMMYFUNCTION("""COMPUTED_VALUE"""),"| 1 L CPT @ | 2 L JAVA @ | 3 P JAVA @ ")</f>
        <v xml:space="preserve">| 1 L CPT @ | 2 L JAVA @ | 3 P JAVA @ </v>
      </c>
      <c r="CJ261" s="4" t="str">
        <f ca="1">IFERROR(__xludf.DUMMYFUNCTION("""COMPUTED_VALUE"""),"| 1 L CPT @ | 3 P PHP-CGM % ")</f>
        <v xml:space="preserve">| 1 L CPT @ | 3 P PHP-CGM % </v>
      </c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</row>
    <row r="262" spans="1:102" ht="12.5" x14ac:dyDescent="0.25">
      <c r="A262" s="3">
        <f ca="1">IFERROR(__xludf.DUMMYFUNCTION("""COMPUTED_VALUE"""),4)</f>
        <v>4</v>
      </c>
      <c r="B262" s="3" t="str">
        <f ca="1">IFERROR(__xludf.DUMMYFUNCTION("""COMPUTED_VALUE"""),"C")</f>
        <v>C</v>
      </c>
      <c r="C262" s="32" t="str">
        <f ca="1">IFERROR(__xludf.DUMMYFUNCTION("""COMPUTED_VALUE"""),"23171341206")</f>
        <v>23171341206</v>
      </c>
      <c r="D262" s="4" t="str">
        <f ca="1">IFERROR(__xludf.DUMMYFUNCTION("""COMPUTED_VALUE"""),"PANDIT JAY DAXESHBHAI")</f>
        <v>PANDIT JAY DAXESHBHAI</v>
      </c>
      <c r="E262" s="3" t="str">
        <f ca="1">IFERROR(__xludf.DUMMYFUNCTION("""COMPUTED_VALUE"""),"PKN/PAP-Mor")</f>
        <v>PKN/PAP-Mor</v>
      </c>
      <c r="F262" s="3">
        <f ca="1">IFERROR(__xludf.DUMMYFUNCTION("""COMPUTED_VALUE"""),812821614)</f>
        <v>812821614</v>
      </c>
      <c r="G262" s="3">
        <f ca="1">IFERROR(__xludf.DUMMYFUNCTION("""COMPUTED_VALUE"""),9824116164)</f>
        <v>9824116164</v>
      </c>
      <c r="H262" s="33">
        <f ca="1">IFERROR(__xludf.DUMMYFUNCTION("""COMPUTED_VALUE"""),0.68312757201646)</f>
        <v>0.68312757201646002</v>
      </c>
      <c r="I262" s="25">
        <f ca="1">IFERROR(__xludf.DUMMYFUNCTION("""COMPUTED_VALUE"""),0.684210526315789)</f>
        <v>0.68421052631578905</v>
      </c>
      <c r="J262" s="25">
        <f ca="1">IFERROR(__xludf.DUMMYFUNCTION("""COMPUTED_VALUE"""),0.7)</f>
        <v>0.7</v>
      </c>
      <c r="K262" s="25">
        <f ca="1">IFERROR(__xludf.DUMMYFUNCTION("""COMPUTED_VALUE"""),0.638888888888888)</f>
        <v>0.63888888888888795</v>
      </c>
      <c r="L262" s="25">
        <f ca="1">IFERROR(__xludf.DUMMYFUNCTION("""COMPUTED_VALUE"""),0.727272727272727)</f>
        <v>0.72727272727272696</v>
      </c>
      <c r="M262" s="25">
        <f ca="1">IFERROR(__xludf.DUMMYFUNCTION("""COMPUTED_VALUE"""),0.75)</f>
        <v>0.75</v>
      </c>
      <c r="N262" s="25">
        <f ca="1">IFERROR(__xludf.DUMMYFUNCTION("""COMPUTED_VALUE"""),0.75)</f>
        <v>0.75</v>
      </c>
      <c r="O262" s="25">
        <f ca="1">IFERROR(__xludf.DUMMYFUNCTION("""COMPUTED_VALUE"""),0.6)</f>
        <v>0.6</v>
      </c>
      <c r="P262" s="25">
        <f ca="1">IFERROR(__xludf.DUMMYFUNCTION("""COMPUTED_VALUE"""),0.68)</f>
        <v>0.68</v>
      </c>
      <c r="Q262" s="25">
        <f ca="1">IFERROR(__xludf.DUMMYFUNCTION("""COMPUTED_VALUE"""),0)</f>
        <v>0</v>
      </c>
      <c r="R262" s="25">
        <f ca="1">IFERROR(__xludf.DUMMYFUNCTION("""COMPUTED_VALUE"""),0.823529411764705)</f>
        <v>0.82352941176470495</v>
      </c>
      <c r="S262" s="25">
        <f ca="1">IFERROR(__xludf.DUMMYFUNCTION("""COMPUTED_VALUE"""),0)</f>
        <v>0</v>
      </c>
      <c r="T262" s="25">
        <f ca="1">IFERROR(__xludf.DUMMYFUNCTION("""COMPUTED_VALUE"""),0.666666666666666)</f>
        <v>0.66666666666666596</v>
      </c>
      <c r="U262" s="25">
        <f ca="1">IFERROR(__xludf.DUMMYFUNCTION("""COMPUTED_VALUE"""),0.5)</f>
        <v>0.5</v>
      </c>
      <c r="V262" s="25">
        <f ca="1">IFERROR(__xludf.DUMMYFUNCTION("""COMPUTED_VALUE"""),0)</f>
        <v>0</v>
      </c>
      <c r="W262" s="4"/>
      <c r="X262" s="4" t="str">
        <f ca="1">IFERROR(__xludf.DUMMYFUNCTION("""COMPUTED_VALUE"""),"| 1 L NS @ | 2 L PHP-CGM % | 3 P JAVA @ | 5 L JAVA @ | 6 L NS @ ")</f>
        <v xml:space="preserve">| 1 L NS @ | 2 L PHP-CGM % | 3 P JAVA @ | 5 L JAVA @ | 6 L NS @ </v>
      </c>
      <c r="Y262" s="4" t="str">
        <f ca="1">IFERROR(__xludf.DUMMYFUNCTION("""COMPUTED_VALUE"""),"| 1 L CPT % | 5 L PHP-CGM % | 3 P PRO % | 5 P NS % ")</f>
        <v xml:space="preserve">| 1 L CPT % | 5 L PHP-CGM % | 3 P PRO % | 5 P NS % </v>
      </c>
      <c r="Z262" s="4" t="str">
        <f ca="1">IFERROR(__xludf.DUMMYFUNCTION("""COMPUTED_VALUE"""),"| 1 L CPT % | 2 L PHP-CGM % | 3 P Python % | 5 P CPT % ")</f>
        <v xml:space="preserve">| 1 L CPT % | 2 L PHP-CGM % | 3 P Python % | 5 P CPT % </v>
      </c>
      <c r="AA262" s="4" t="str">
        <f ca="1">IFERROR(__xludf.DUMMYFUNCTION("""COMPUTED_VALUE"""),"| 1 L NS % | 2 L JAVA % | 3 P JAVA % | 5 P PRO % ")</f>
        <v xml:space="preserve">| 1 L NS % | 2 L JAVA % | 3 P JAVA % | 5 P PRO % </v>
      </c>
      <c r="AB262" s="4" t="str">
        <f ca="1">IFERROR(__xludf.DUMMYFUNCTION("""COMPUTED_VALUE"""),"| 1 L CPT @ | 2 L JAVA @ | 3 P PHP-CGM % ")</f>
        <v xml:space="preserve">| 1 L CPT @ | 2 L JAVA @ | 3 P PHP-CGM % </v>
      </c>
      <c r="AC262" s="4" t="str">
        <f ca="1">IFERROR(__xludf.DUMMYFUNCTION("""COMPUTED_VALUE"""),"| 1 L NS % | 2 L PHP-CGM % | 3 P JAVA % | 5 L JAVA @ | 6 L NS @ ")</f>
        <v xml:space="preserve">| 1 L NS % | 2 L PHP-CGM % | 3 P JAVA % | 5 L JAVA @ | 6 L NS @ </v>
      </c>
      <c r="AD262" s="4" t="str">
        <f ca="1">IFERROR(__xludf.DUMMYFUNCTION("""COMPUTED_VALUE"""),"| 1 L CPT % | 2 L PHP-CGM % | 3 P PRO % | 5 P NS % ")</f>
        <v xml:space="preserve">| 1 L CPT % | 2 L PHP-CGM % | 3 P PRO % | 5 P NS % </v>
      </c>
      <c r="AE262" s="4" t="str">
        <f ca="1">IFERROR(__xludf.DUMMYFUNCTION("""COMPUTED_VALUE"""),"| 1 L CPT % | 3 P Python % | 5 P CPT % | 2 L PHP-CGM % ")</f>
        <v xml:space="preserve">| 1 L CPT % | 3 P Python % | 5 P CPT % | 2 L PHP-CGM % </v>
      </c>
      <c r="AF262" s="4" t="str">
        <f ca="1">IFERROR(__xludf.DUMMYFUNCTION("""COMPUTED_VALUE"""),"| 1 L NS % | 2 L CPT % | 3 P JAVA % | 5 P Python % ")</f>
        <v xml:space="preserve">| 1 L NS % | 2 L CPT % | 3 P JAVA % | 5 P Python % </v>
      </c>
      <c r="AG262" s="4" t="str">
        <f ca="1">IFERROR(__xludf.DUMMYFUNCTION("""COMPUTED_VALUE"""),"| 1 L CPT % | 2 L JAVA % | 3 P PHP-CGM % ")</f>
        <v xml:space="preserve">| 1 L CPT % | 2 L JAVA % | 3 P PHP-CGM % </v>
      </c>
      <c r="AH262" s="4" t="str">
        <f ca="1">IFERROR(__xludf.DUMMYFUNCTION("""COMPUTED_VALUE"""),"| 2 L JAVA % | 1 L NS % | 3 P JAVA % | 5 P Python % ")</f>
        <v xml:space="preserve">| 2 L JAVA % | 1 L NS % | 3 P JAVA % | 5 P Python % </v>
      </c>
      <c r="AI262" s="4" t="str">
        <f ca="1">IFERROR(__xludf.DUMMYFUNCTION("""COMPUTED_VALUE"""),"| 1 L CPT % | 2 L JAVA % | 3 P PHP-CGM % ")</f>
        <v xml:space="preserve">| 1 L CPT % | 2 L JAVA % | 3 P PHP-CGM % </v>
      </c>
      <c r="AJ262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62" s="4" t="str">
        <f ca="1">IFERROR(__xludf.DUMMYFUNCTION("""COMPUTED_VALUE"""),"| 1 L CPT % | 3 P PRO % | 2 L PHP-CGM % | 5 P NS % ")</f>
        <v xml:space="preserve">| 1 L CPT % | 3 P PRO % | 2 L PHP-CGM % | 5 P NS % </v>
      </c>
      <c r="AL262" s="4" t="str">
        <f ca="1">IFERROR(__xludf.DUMMYFUNCTION("""COMPUTED_VALUE"""),"| 1 L CPT % | 2 L PHP-CGM % | 5 P CPT % ")</f>
        <v xml:space="preserve">| 1 L CPT % | 2 L PHP-CGM % | 5 P CPT % </v>
      </c>
      <c r="AM262" s="4" t="str">
        <f ca="1">IFERROR(__xludf.DUMMYFUNCTION("""COMPUTED_VALUE"""),"| 2 L JAVA % | 3 P JAVA % | 1 L NS % | 5 P Python % ")</f>
        <v xml:space="preserve">| 2 L JAVA % | 3 P JAVA % | 1 L NS % | 5 P Python % </v>
      </c>
      <c r="AN262" s="4" t="str">
        <f ca="1">IFERROR(__xludf.DUMMYFUNCTION("""COMPUTED_VALUE"""),"| 1 L CPT % | 2 L JAVA % | 3 P PHP-CGM % | 5 L INE % ")</f>
        <v xml:space="preserve">| 1 L CPT % | 2 L JAVA % | 3 P PHP-CGM % | 5 L INE % </v>
      </c>
      <c r="AO262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62" s="4" t="str">
        <f ca="1">IFERROR(__xludf.DUMMYFUNCTION("""COMPUTED_VALUE"""),"| 1 L CPT % | 2 L PHP-CGM % | 3 P PRO % | 5 P NS % ")</f>
        <v xml:space="preserve">| 1 L CPT % | 2 L PHP-CGM % | 3 P PRO % | 5 P NS % </v>
      </c>
      <c r="AQ262" s="4" t="str">
        <f ca="1">IFERROR(__xludf.DUMMYFUNCTION("""COMPUTED_VALUE"""),"| 2 L PHP-CGM % | 3 P Python % | 1 L NS % | 5 P CPT % ")</f>
        <v xml:space="preserve">| 2 L PHP-CGM % | 3 P Python % | 1 L NS % | 5 P CPT % </v>
      </c>
      <c r="AR262" s="4" t="str">
        <f ca="1">IFERROR(__xludf.DUMMYFUNCTION("""COMPUTED_VALUE"""),"| 1 L CPT @ | 2 L JAVA @ | 3 P JAVA @ | 5 P Python @ ")</f>
        <v xml:space="preserve">| 1 L CPT @ | 2 L JAVA @ | 3 P JAVA @ | 5 P Python @ </v>
      </c>
      <c r="AS26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62" s="4" t="str">
        <f ca="1">IFERROR(__xludf.DUMMYFUNCTION("""COMPUTED_VALUE"""),"| 1 L CPT % | 2 L PHP-CGM % | 3 P PRO % | 5 P NS % ")</f>
        <v xml:space="preserve">| 1 L CPT % | 2 L PHP-CGM % | 3 P PRO % | 5 P NS % </v>
      </c>
      <c r="AU262" s="4" t="str">
        <f ca="1">IFERROR(__xludf.DUMMYFUNCTION("""COMPUTED_VALUE"""),"| 1 L NS % | 2 L PHP-CGM % | 3 P Python % | 5 P CPT % ")</f>
        <v xml:space="preserve">| 1 L NS % | 2 L PHP-CGM % | 3 P Python % | 5 P CPT % </v>
      </c>
      <c r="AV262" s="4" t="str">
        <f ca="1">IFERROR(__xludf.DUMMYFUNCTION("""COMPUTED_VALUE"""),"| 1 L CPT % | 2 L JAVA % | 3 P JAVA % | 5 P PRO % ")</f>
        <v xml:space="preserve">| 1 L CPT % | 2 L JAVA % | 3 P JAVA % | 5 P PRO % </v>
      </c>
      <c r="AW262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62" s="4" t="str">
        <f ca="1">IFERROR(__xludf.DUMMYFUNCTION("""COMPUTED_VALUE"""),"| 1 L NS @ | 2 L PHP-CGM % | 3 P JAVA @ | 5 L NS @ | 5 L JAVA @ ")</f>
        <v xml:space="preserve">| 1 L NS @ | 2 L PHP-CGM % | 3 P JAVA @ | 5 L NS @ | 5 L JAVA @ </v>
      </c>
      <c r="AY262" s="4" t="str">
        <f ca="1">IFERROR(__xludf.DUMMYFUNCTION("""COMPUTED_VALUE"""),"| 1 L CPT @ | 2 L PHP-CGM @ | 3 P PRO @ | 5 P NS @ ")</f>
        <v xml:space="preserve">| 1 L CPT @ | 2 L PHP-CGM @ | 3 P PRO @ | 5 P NS @ </v>
      </c>
      <c r="AZ262" s="4" t="str">
        <f ca="1">IFERROR(__xludf.DUMMYFUNCTION("""COMPUTED_VALUE"""),"| 1 L CPT % | 2 L JAVA % | 3 P JAVA % | 5 P Python % ")</f>
        <v xml:space="preserve">| 1 L CPT % | 2 L JAVA % | 3 P JAVA % | 5 P Python % </v>
      </c>
      <c r="BA262" s="4" t="str">
        <f ca="1">IFERROR(__xludf.DUMMYFUNCTION("""COMPUTED_VALUE"""),"| 1 L CPT % | 2 L JAVA % | 3 P PHP-CGM % | 5 L INE @ ")</f>
        <v xml:space="preserve">| 1 L CPT % | 2 L JAVA % | 3 P PHP-CGM % | 5 L INE @ </v>
      </c>
      <c r="BB26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BC262" s="4" t="str">
        <f ca="1">IFERROR(__xludf.DUMMYFUNCTION("""COMPUTED_VALUE"""),"| 1 L CPT % | 2 L PHP-CGM % | 3 P PRO % | 5 P NS % ")</f>
        <v xml:space="preserve">| 1 L CPT % | 2 L PHP-CGM % | 3 P PRO % | 5 P NS % </v>
      </c>
      <c r="BD262" s="4" t="str">
        <f ca="1">IFERROR(__xludf.DUMMYFUNCTION("""COMPUTED_VALUE"""),"| 1 L NS % | 2 L PHP-CGM % | 3 P Python % | 5 P CPT % ")</f>
        <v xml:space="preserve">| 1 L NS % | 2 L PHP-CGM % | 3 P Python % | 5 P CPT % </v>
      </c>
      <c r="BE262" s="4" t="str">
        <f ca="1">IFERROR(__xludf.DUMMYFUNCTION("""COMPUTED_VALUE"""),"| 1 L CPT % | 2 L JAVA % | 5 P Python % ")</f>
        <v xml:space="preserve">| 1 L CPT % | 2 L JAVA % | 5 P Python % </v>
      </c>
      <c r="BF262" s="4" t="str">
        <f ca="1">IFERROR(__xludf.DUMMYFUNCTION("""COMPUTED_VALUE"""),"| 1 L CPT % | 2 L JAVA % | 3 P PHP-CGM % ")</f>
        <v xml:space="preserve">| 1 L CPT % | 2 L JAVA % | 3 P PHP-CGM % </v>
      </c>
      <c r="BG262" s="4" t="str">
        <f ca="1">IFERROR(__xludf.DUMMYFUNCTION("""COMPUTED_VALUE"""),"| 2 L PHP-CGM @ | 1 L CPT % | 3 P PRO @ | 5 P NS @ ")</f>
        <v xml:space="preserve">| 2 L PHP-CGM @ | 1 L CPT % | 3 P PRO @ | 5 P NS @ </v>
      </c>
      <c r="BH262" s="4" t="str">
        <f ca="1">IFERROR(__xludf.DUMMYFUNCTION("""COMPUTED_VALUE"""),"| 1 L NS % | 2 L PHP-CGM % | 3 P Python % | 5 P CPT @ ")</f>
        <v xml:space="preserve">| 1 L NS % | 2 L PHP-CGM % | 3 P Python % | 5 P CPT @ </v>
      </c>
      <c r="BI262" s="4" t="str">
        <f ca="1">IFERROR(__xludf.DUMMYFUNCTION("""COMPUTED_VALUE"""),"| 1 L CPT % | 2 L JAVA % | 3 P JAVA % | 5 P PRO % ")</f>
        <v xml:space="preserve">| 1 L CPT % | 2 L JAVA % | 3 P JAVA % | 5 P PRO % </v>
      </c>
      <c r="BJ262" s="4" t="str">
        <f ca="1">IFERROR(__xludf.DUMMYFUNCTION("""COMPUTED_VALUE"""),"| 1 L CPT @ | 2 L JAVA @ | 3 P PHP-CGM @ | 5 L INE @ ")</f>
        <v xml:space="preserve">| 1 L CPT @ | 2 L JAVA @ | 3 P PHP-CGM @ | 5 L INE @ </v>
      </c>
      <c r="BK262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62" s="4" t="str">
        <f ca="1">IFERROR(__xludf.DUMMYFUNCTION("""COMPUTED_VALUE"""),"| 1 L CPT @ | 2 L PHP-CGM @ | 3 P PRO @ | 5 P NS @ ")</f>
        <v xml:space="preserve">| 1 L CPT @ | 2 L PHP-CGM @ | 3 P PRO @ | 5 P NS @ </v>
      </c>
      <c r="BM262" s="4" t="str">
        <f ca="1">IFERROR(__xludf.DUMMYFUNCTION("""COMPUTED_VALUE"""),"| 1 L NS @ | 2 L PHP-CGM @ | 3 P Python @ | 5 P CPT @ ")</f>
        <v xml:space="preserve">| 1 L NS @ | 2 L PHP-CGM @ | 3 P Python @ | 5 P CPT @ </v>
      </c>
      <c r="BN262" s="4" t="str">
        <f ca="1">IFERROR(__xludf.DUMMYFUNCTION("""COMPUTED_VALUE"""),"| 2 L JAVA @ | 1 L CPT @ | 3 P JAVA @ | 5 P PRO @ ")</f>
        <v xml:space="preserve">| 2 L JAVA @ | 1 L CPT @ | 3 P JAVA @ | 5 P PRO @ </v>
      </c>
      <c r="BO262" s="4" t="str">
        <f ca="1">IFERROR(__xludf.DUMMYFUNCTION("""COMPUTED_VALUE"""),"| 2 L JAVA @ | 1 L CPT @ | 3 P PHP-CGM @ | 5 L INE @ ")</f>
        <v xml:space="preserve">| 2 L JAVA @ | 1 L CPT @ | 3 P PHP-CGM @ | 5 L INE @ </v>
      </c>
      <c r="BP262" s="4" t="str">
        <f ca="1">IFERROR(__xludf.DUMMYFUNCTION("""COMPUTED_VALUE"""),"| 1 L NS % | 2 L PHP-CGM % | 3 P JAVA % | 5 L NS @ | 6 L JAVA @ ")</f>
        <v xml:space="preserve">| 1 L NS % | 2 L PHP-CGM % | 3 P JAVA % | 5 L NS @ | 6 L JAVA @ </v>
      </c>
      <c r="BQ262" s="4"/>
      <c r="BR262" s="4"/>
      <c r="BS262" s="4"/>
      <c r="BT262" s="4" t="str">
        <f ca="1">IFERROR(__xludf.DUMMYFUNCTION("""COMPUTED_VALUE"""),"| 1 L NS % | 2 L PHP-CGM % | 3 P JAVA @ ")</f>
        <v xml:space="preserve">| 1 L NS % | 2 L PHP-CGM % | 3 P JAVA @ </v>
      </c>
      <c r="BU262" s="4" t="str">
        <f ca="1">IFERROR(__xludf.DUMMYFUNCTION("""COMPUTED_VALUE"""),"| 1 L CPT @ ")</f>
        <v xml:space="preserve">| 1 L CPT @ </v>
      </c>
      <c r="BV262" s="4" t="str">
        <f ca="1">IFERROR(__xludf.DUMMYFUNCTION("""COMPUTED_VALUE"""),"| 1 L NS @ | 2 L PHP-CGM @ | 3 P JAVA @ | 6 L JAVA @ ")</f>
        <v xml:space="preserve">| 1 L NS @ | 2 L PHP-CGM @ | 3 P JAVA @ | 6 L JAVA @ </v>
      </c>
      <c r="BW262" s="4" t="str">
        <f ca="1">IFERROR(__xludf.DUMMYFUNCTION("""COMPUTED_VALUE"""),"| 1 L CPT @ | 2 L PHP-CGM @ | 3 P PRO @ ")</f>
        <v xml:space="preserve">| 1 L CPT @ | 2 L PHP-CGM @ | 3 P PRO @ </v>
      </c>
      <c r="BX262" s="4" t="str">
        <f ca="1">IFERROR(__xludf.DUMMYFUNCTION("""COMPUTED_VALUE"""),"| 1 L NS % | 2 L PHP-CGM % | 3 P Python % | 5 P CPT @ ")</f>
        <v xml:space="preserve">| 1 L NS % | 2 L PHP-CGM % | 3 P Python % | 5 P CPT @ </v>
      </c>
      <c r="BY262" s="4" t="str">
        <f ca="1">IFERROR(__xludf.DUMMYFUNCTION("""COMPUTED_VALUE"""),"| 1 L CPT % | 2 L JAVA % | 3 P JAVA % | 5 P Python @ ")</f>
        <v xml:space="preserve">| 1 L CPT % | 2 L JAVA % | 3 P JAVA % | 5 P Python @ </v>
      </c>
      <c r="BZ262" s="4" t="str">
        <f ca="1">IFERROR(__xludf.DUMMYFUNCTION("""COMPUTED_VALUE"""),"| 1 L CPT % | 2 L JAVA % | 3 P PHP-CGM @ | 5 L INE @ ")</f>
        <v xml:space="preserve">| 1 L CPT % | 2 L JAVA % | 3 P PHP-CGM @ | 5 L INE @ </v>
      </c>
      <c r="CA262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CB262" s="4" t="str">
        <f ca="1">IFERROR(__xludf.DUMMYFUNCTION("""COMPUTED_VALUE"""),"| 2 L PHP-CGM % | 3 P PRO % | 5 P NS % | 1 L CPT % ")</f>
        <v xml:space="preserve">| 2 L PHP-CGM % | 3 P PRO % | 5 P NS % | 1 L CPT % </v>
      </c>
      <c r="CC262" s="4" t="str">
        <f ca="1">IFERROR(__xludf.DUMMYFUNCTION("""COMPUTED_VALUE"""),"| 1 L NS @ | 2 L PHP-CGM @ | 3 P Python % | 5 P CPT % ")</f>
        <v xml:space="preserve">| 1 L NS @ | 2 L PHP-CGM @ | 3 P Python % | 5 P CPT % </v>
      </c>
      <c r="CD262" s="4" t="str">
        <f ca="1">IFERROR(__xludf.DUMMYFUNCTION("""COMPUTED_VALUE"""),"| 1 L CPT @ | 2 L JAVA @ | 3 P JAVA % | 5 P Python % ")</f>
        <v xml:space="preserve">| 1 L CPT @ | 2 L JAVA @ | 3 P JAVA % | 5 P Python % </v>
      </c>
      <c r="CE262" s="4" t="str">
        <f ca="1">IFERROR(__xludf.DUMMYFUNCTION("""COMPUTED_VALUE"""),"| 1 L CPT % | 2 L JAVA % | 3 P PHP-CGM % | 5 L INE % ")</f>
        <v xml:space="preserve">| 1 L CPT % | 2 L JAVA % | 3 P PHP-CGM % | 5 L INE % </v>
      </c>
      <c r="CF262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62" s="4" t="str">
        <f ca="1">IFERROR(__xludf.DUMMYFUNCTION("""COMPUTED_VALUE"""),"| 1 L CPT % | 2 L PHP-CGM % | 5 P NS % ")</f>
        <v xml:space="preserve">| 1 L CPT % | 2 L PHP-CGM % | 5 P NS % </v>
      </c>
      <c r="CH262" s="4" t="str">
        <f ca="1">IFERROR(__xludf.DUMMYFUNCTION("""COMPUTED_VALUE"""),"| 1 L NS % | 2 L PHP-CGM % ")</f>
        <v xml:space="preserve">| 1 L NS % | 2 L PHP-CGM % </v>
      </c>
      <c r="CI262" s="4" t="str">
        <f ca="1">IFERROR(__xludf.DUMMYFUNCTION("""COMPUTED_VALUE"""),"| 1 L CPT @ | 2 L JAVA @ | 3 P JAVA @ ")</f>
        <v xml:space="preserve">| 1 L CPT @ | 2 L JAVA @ | 3 P JAVA @ </v>
      </c>
      <c r="CJ262" s="4" t="str">
        <f ca="1">IFERROR(__xludf.DUMMYFUNCTION("""COMPUTED_VALUE"""),"| 1 L CPT @ | 3 P PHP-CGM % ")</f>
        <v xml:space="preserve">| 1 L CPT @ | 3 P PHP-CGM % </v>
      </c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</row>
    <row r="263" spans="1:102" ht="12.5" x14ac:dyDescent="0.25">
      <c r="A263" s="3">
        <f ca="1">IFERROR(__xludf.DUMMYFUNCTION("""COMPUTED_VALUE"""),4)</f>
        <v>4</v>
      </c>
      <c r="B263" s="3" t="str">
        <f ca="1">IFERROR(__xludf.DUMMYFUNCTION("""COMPUTED_VALUE"""),"C")</f>
        <v>C</v>
      </c>
      <c r="C263" s="32" t="str">
        <f ca="1">IFERROR(__xludf.DUMMYFUNCTION("""COMPUTED_VALUE"""),"24171342001")</f>
        <v>24171342001</v>
      </c>
      <c r="D263" s="4" t="str">
        <f ca="1">IFERROR(__xludf.DUMMYFUNCTION("""COMPUTED_VALUE"""),"MANSURI AYAN JAKIRHUSEN")</f>
        <v>MANSURI AYAN JAKIRHUSEN</v>
      </c>
      <c r="E263" s="3" t="str">
        <f ca="1">IFERROR(__xludf.DUMMYFUNCTION("""COMPUTED_VALUE"""),"PKN/PAP-Mor")</f>
        <v>PKN/PAP-Mor</v>
      </c>
      <c r="F263" s="3">
        <f ca="1">IFERROR(__xludf.DUMMYFUNCTION("""COMPUTED_VALUE"""),7990026354)</f>
        <v>7990026354</v>
      </c>
      <c r="G263" s="3">
        <f ca="1">IFERROR(__xludf.DUMMYFUNCTION("""COMPUTED_VALUE"""),7698852305)</f>
        <v>7698852305</v>
      </c>
      <c r="H263" s="33">
        <f ca="1">IFERROR(__xludf.DUMMYFUNCTION("""COMPUTED_VALUE"""),0.646090534979423)</f>
        <v>0.64609053497942304</v>
      </c>
      <c r="I263" s="25">
        <f ca="1">IFERROR(__xludf.DUMMYFUNCTION("""COMPUTED_VALUE"""),0.657894736842105)</f>
        <v>0.65789473684210498</v>
      </c>
      <c r="J263" s="25">
        <f ca="1">IFERROR(__xludf.DUMMYFUNCTION("""COMPUTED_VALUE"""),0.8)</f>
        <v>0.8</v>
      </c>
      <c r="K263" s="25">
        <f ca="1">IFERROR(__xludf.DUMMYFUNCTION("""COMPUTED_VALUE"""),0.527777777777777)</f>
        <v>0.52777777777777701</v>
      </c>
      <c r="L263" s="25">
        <f ca="1">IFERROR(__xludf.DUMMYFUNCTION("""COMPUTED_VALUE"""),0.909090909090909)</f>
        <v>0.90909090909090895</v>
      </c>
      <c r="M263" s="25">
        <f ca="1">IFERROR(__xludf.DUMMYFUNCTION("""COMPUTED_VALUE"""),0.583333333333333)</f>
        <v>0.58333333333333304</v>
      </c>
      <c r="N263" s="25">
        <f ca="1">IFERROR(__xludf.DUMMYFUNCTION("""COMPUTED_VALUE"""),0.666666666666666)</f>
        <v>0.66666666666666596</v>
      </c>
      <c r="O263" s="25">
        <f ca="1">IFERROR(__xludf.DUMMYFUNCTION("""COMPUTED_VALUE"""),0.571428571428571)</f>
        <v>0.57142857142857095</v>
      </c>
      <c r="P263" s="25">
        <f ca="1">IFERROR(__xludf.DUMMYFUNCTION("""COMPUTED_VALUE"""),0.6)</f>
        <v>0.6</v>
      </c>
      <c r="Q263" s="25">
        <f ca="1">IFERROR(__xludf.DUMMYFUNCTION("""COMPUTED_VALUE"""),0)</f>
        <v>0</v>
      </c>
      <c r="R263" s="25">
        <f ca="1">IFERROR(__xludf.DUMMYFUNCTION("""COMPUTED_VALUE"""),0.88235294117647)</f>
        <v>0.88235294117647001</v>
      </c>
      <c r="S263" s="25">
        <f ca="1">IFERROR(__xludf.DUMMYFUNCTION("""COMPUTED_VALUE"""),0)</f>
        <v>0</v>
      </c>
      <c r="T263" s="25">
        <f ca="1">IFERROR(__xludf.DUMMYFUNCTION("""COMPUTED_VALUE"""),0.8)</f>
        <v>0.8</v>
      </c>
      <c r="U263" s="25">
        <f ca="1">IFERROR(__xludf.DUMMYFUNCTION("""COMPUTED_VALUE"""),0.5)</f>
        <v>0.5</v>
      </c>
      <c r="V263" s="25">
        <f ca="1">IFERROR(__xludf.DUMMYFUNCTION("""COMPUTED_VALUE"""),0)</f>
        <v>0</v>
      </c>
      <c r="W263" s="4"/>
      <c r="X263" s="4" t="str">
        <f ca="1">IFERROR(__xludf.DUMMYFUNCTION("""COMPUTED_VALUE"""),"| 1 L NS @ | 2 L PHP-CGM @ | 3 P JAVA @ | 5 L JAVA @ | 6 L NS @ ")</f>
        <v xml:space="preserve">| 1 L NS @ | 2 L PHP-CGM @ | 3 P JAVA @ | 5 L JAVA @ | 6 L NS @ </v>
      </c>
      <c r="Y263" s="4" t="str">
        <f ca="1">IFERROR(__xludf.DUMMYFUNCTION("""COMPUTED_VALUE"""),"| 1 L CPT % | 5 L PHP-CGM % | 3 P PRO % | 5 P NS % ")</f>
        <v xml:space="preserve">| 1 L CPT % | 5 L PHP-CGM % | 3 P PRO % | 5 P NS % </v>
      </c>
      <c r="Z263" s="4" t="str">
        <f ca="1">IFERROR(__xludf.DUMMYFUNCTION("""COMPUTED_VALUE"""),"| 1 L CPT % | 2 L PHP-CGM @ | 3 P Python % | 5 P CPT @ ")</f>
        <v xml:space="preserve">| 1 L CPT % | 2 L PHP-CGM @ | 3 P Python % | 5 P CPT @ </v>
      </c>
      <c r="AA263" s="4" t="str">
        <f ca="1">IFERROR(__xludf.DUMMYFUNCTION("""COMPUTED_VALUE"""),"| 1 L NS % | 2 L JAVA % | 3 P JAVA % | 5 P PRO % ")</f>
        <v xml:space="preserve">| 1 L NS % | 2 L JAVA % | 3 P JAVA % | 5 P PRO % </v>
      </c>
      <c r="AB263" s="4" t="str">
        <f ca="1">IFERROR(__xludf.DUMMYFUNCTION("""COMPUTED_VALUE"""),"| 1 L CPT % | 2 L JAVA % | 3 P PHP-CGM % ")</f>
        <v xml:space="preserve">| 1 L CPT % | 2 L JAVA % | 3 P PHP-CGM % </v>
      </c>
      <c r="AC26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D263" s="4" t="str">
        <f ca="1">IFERROR(__xludf.DUMMYFUNCTION("""COMPUTED_VALUE"""),"| 1 L CPT % | 2 L PHP-CGM % | 3 P PRO % | 5 P NS % ")</f>
        <v xml:space="preserve">| 1 L CPT % | 2 L PHP-CGM % | 3 P PRO % | 5 P NS % </v>
      </c>
      <c r="AE263" s="4" t="str">
        <f ca="1">IFERROR(__xludf.DUMMYFUNCTION("""COMPUTED_VALUE"""),"| 1 L CPT % | 3 P Python % | 5 P CPT % | 2 L PHP-CGM % ")</f>
        <v xml:space="preserve">| 1 L CPT % | 3 P Python % | 5 P CPT % | 2 L PHP-CGM % </v>
      </c>
      <c r="AF263" s="4" t="str">
        <f ca="1">IFERROR(__xludf.DUMMYFUNCTION("""COMPUTED_VALUE"""),"| 1 L NS % | 2 L CPT % | 3 P JAVA % | 5 P Python % ")</f>
        <v xml:space="preserve">| 1 L NS % | 2 L CPT % | 3 P JAVA % | 5 P Python % </v>
      </c>
      <c r="AG263" s="4" t="str">
        <f ca="1">IFERROR(__xludf.DUMMYFUNCTION("""COMPUTED_VALUE"""),"| 1 L CPT % | 2 L JAVA % | 3 P PHP-CGM % ")</f>
        <v xml:space="preserve">| 1 L CPT % | 2 L JAVA % | 3 P PHP-CGM % </v>
      </c>
      <c r="AH263" s="4" t="str">
        <f ca="1">IFERROR(__xludf.DUMMYFUNCTION("""COMPUTED_VALUE"""),"| 2 L JAVA % | 1 L NS % | 3 P JAVA % | 5 P Python % ")</f>
        <v xml:space="preserve">| 2 L JAVA % | 1 L NS % | 3 P JAVA % | 5 P Python % </v>
      </c>
      <c r="AI263" s="4" t="str">
        <f ca="1">IFERROR(__xludf.DUMMYFUNCTION("""COMPUTED_VALUE"""),"| 1 L CPT % | 2 L JAVA % | 3 P PHP-CGM % ")</f>
        <v xml:space="preserve">| 1 L CPT % | 2 L JAVA % | 3 P PHP-CGM % </v>
      </c>
      <c r="AJ263" s="4" t="str">
        <f ca="1">IFERROR(__xludf.DUMMYFUNCTION("""COMPUTED_VALUE"""),"| 1 L NS % | 2 L PHP-CGM % | 3 P JAVA % | 5 L JAVA % | 6 L NS % ")</f>
        <v xml:space="preserve">| 1 L NS % | 2 L PHP-CGM % | 3 P JAVA % | 5 L JAVA % | 6 L NS % </v>
      </c>
      <c r="AK263" s="4" t="str">
        <f ca="1">IFERROR(__xludf.DUMMYFUNCTION("""COMPUTED_VALUE"""),"| 1 L CPT % | 3 P PRO % | 2 L PHP-CGM % | 5 P NS % ")</f>
        <v xml:space="preserve">| 1 L CPT % | 3 P PRO % | 2 L PHP-CGM % | 5 P NS % </v>
      </c>
      <c r="AL263" s="4" t="str">
        <f ca="1">IFERROR(__xludf.DUMMYFUNCTION("""COMPUTED_VALUE"""),"| 1 L CPT % | 2 L PHP-CGM % | 5 P CPT % ")</f>
        <v xml:space="preserve">| 1 L CPT % | 2 L PHP-CGM % | 5 P CPT % </v>
      </c>
      <c r="AM263" s="4" t="str">
        <f ca="1">IFERROR(__xludf.DUMMYFUNCTION("""COMPUTED_VALUE"""),"| 2 L JAVA % | 3 P JAVA % | 1 L NS % | 5 P Python % ")</f>
        <v xml:space="preserve">| 2 L JAVA % | 3 P JAVA % | 1 L NS % | 5 P Python % </v>
      </c>
      <c r="AN263" s="4" t="str">
        <f ca="1">IFERROR(__xludf.DUMMYFUNCTION("""COMPUTED_VALUE"""),"| 1 L CPT @ | 2 L JAVA @ | 3 P PHP-CGM @ | 5 L INE @ ")</f>
        <v xml:space="preserve">| 1 L CPT @ | 2 L JAVA @ | 3 P PHP-CGM @ | 5 L INE @ </v>
      </c>
      <c r="AO263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P263" s="4" t="str">
        <f ca="1">IFERROR(__xludf.DUMMYFUNCTION("""COMPUTED_VALUE"""),"| 1 L CPT % | 2 L PHP-CGM % | 3 P PRO % | 5 P NS % ")</f>
        <v xml:space="preserve">| 1 L CPT % | 2 L PHP-CGM % | 3 P PRO % | 5 P NS % </v>
      </c>
      <c r="AQ263" s="4" t="str">
        <f ca="1">IFERROR(__xludf.DUMMYFUNCTION("""COMPUTED_VALUE"""),"| 2 L PHP-CGM % | 3 P Python % | 1 L NS % | 5 P CPT % ")</f>
        <v xml:space="preserve">| 2 L PHP-CGM % | 3 P Python % | 1 L NS % | 5 P CPT % </v>
      </c>
      <c r="AR263" s="4" t="str">
        <f ca="1">IFERROR(__xludf.DUMMYFUNCTION("""COMPUTED_VALUE"""),"| 1 L CPT % | 2 L JAVA % | 3 P JAVA % | 5 P Python % ")</f>
        <v xml:space="preserve">| 1 L CPT % | 2 L JAVA % | 3 P JAVA % | 5 P Python % </v>
      </c>
      <c r="AS263" s="4" t="str">
        <f ca="1">IFERROR(__xludf.DUMMYFUNCTION("""COMPUTED_VALUE"""),"| 1 L NS % | 2 L PHP-CGM % | 3 P JAVA % | 5 L NS % | 6 L JAVA % ")</f>
        <v xml:space="preserve">| 1 L NS % | 2 L PHP-CGM % | 3 P JAVA % | 5 L NS % | 6 L JAVA % </v>
      </c>
      <c r="AT263" s="4" t="str">
        <f ca="1">IFERROR(__xludf.DUMMYFUNCTION("""COMPUTED_VALUE"""),"| 1 L CPT % | 2 L PHP-CGM % | 3 P PRO % | 5 P NS % ")</f>
        <v xml:space="preserve">| 1 L CPT % | 2 L PHP-CGM % | 3 P PRO % | 5 P NS % </v>
      </c>
      <c r="AU263" s="4" t="str">
        <f ca="1">IFERROR(__xludf.DUMMYFUNCTION("""COMPUTED_VALUE"""),"| 1 L NS % | 2 L PHP-CGM % | 3 P Python % | 5 P CPT % ")</f>
        <v xml:space="preserve">| 1 L NS % | 2 L PHP-CGM % | 3 P Python % | 5 P CPT % </v>
      </c>
      <c r="AV263" s="4" t="str">
        <f ca="1">IFERROR(__xludf.DUMMYFUNCTION("""COMPUTED_VALUE"""),"| 1 L CPT % | 2 L JAVA % | 3 P JAVA % | 5 P PRO % ")</f>
        <v xml:space="preserve">| 1 L CPT % | 2 L JAVA % | 3 P JAVA % | 5 P PRO % </v>
      </c>
      <c r="AW263" s="4" t="str">
        <f ca="1">IFERROR(__xludf.DUMMYFUNCTION("""COMPUTED_VALUE"""),"| 1 L CPT % | 2 L JAVA % | 3 P PHP-CGM % | 5 L INE % | 6 L INE % ")</f>
        <v xml:space="preserve">| 1 L CPT % | 2 L JAVA % | 3 P PHP-CGM % | 5 L INE % | 6 L INE % </v>
      </c>
      <c r="AX263" s="4" t="str">
        <f ca="1">IFERROR(__xludf.DUMMYFUNCTION("""COMPUTED_VALUE"""),"| 1 L NS % | 2 L PHP-CGM % | 3 P JAVA % | 5 L NS % | 5 L JAVA % ")</f>
        <v xml:space="preserve">| 1 L NS % | 2 L PHP-CGM % | 3 P JAVA % | 5 L NS % | 5 L JAVA % </v>
      </c>
      <c r="AY263" s="4" t="str">
        <f ca="1">IFERROR(__xludf.DUMMYFUNCTION("""COMPUTED_VALUE"""),"| 1 L CPT @ | 2 L PHP-CGM @ | 3 P PRO % | 5 P NS % ")</f>
        <v xml:space="preserve">| 1 L CPT @ | 2 L PHP-CGM @ | 3 P PRO % | 5 P NS % </v>
      </c>
      <c r="AZ263" s="4" t="str">
        <f ca="1">IFERROR(__xludf.DUMMYFUNCTION("""COMPUTED_VALUE"""),"| 1 L CPT % | 2 L JAVA % | 3 P JAVA % | 5 P Python % ")</f>
        <v xml:space="preserve">| 1 L CPT % | 2 L JAVA % | 3 P JAVA % | 5 P Python % </v>
      </c>
      <c r="BA263" s="4" t="str">
        <f ca="1">IFERROR(__xludf.DUMMYFUNCTION("""COMPUTED_VALUE"""),"| 1 L CPT % | 2 L JAVA % | 3 P PHP-CGM % | 5 L INE @ ")</f>
        <v xml:space="preserve">| 1 L CPT % | 2 L JAVA % | 3 P PHP-CGM % | 5 L INE @ </v>
      </c>
      <c r="BB26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C263" s="4" t="str">
        <f ca="1">IFERROR(__xludf.DUMMYFUNCTION("""COMPUTED_VALUE"""),"| 1 L CPT % | 2 L PHP-CGM % | 3 P PRO % | 5 P NS % ")</f>
        <v xml:space="preserve">| 1 L CPT % | 2 L PHP-CGM % | 3 P PRO % | 5 P NS % </v>
      </c>
      <c r="BD263" s="4" t="str">
        <f ca="1">IFERROR(__xludf.DUMMYFUNCTION("""COMPUTED_VALUE"""),"| 1 L NS @ | 2 L PHP-CGM @ | 3 P Python @ | 5 P CPT % ")</f>
        <v xml:space="preserve">| 1 L NS @ | 2 L PHP-CGM @ | 3 P Python @ | 5 P CPT % </v>
      </c>
      <c r="BE263" s="4" t="str">
        <f ca="1">IFERROR(__xludf.DUMMYFUNCTION("""COMPUTED_VALUE"""),"| 1 L CPT % | 2 L JAVA % | 5 P Python % ")</f>
        <v xml:space="preserve">| 1 L CPT % | 2 L JAVA % | 5 P Python % </v>
      </c>
      <c r="BF263" s="4" t="str">
        <f ca="1">IFERROR(__xludf.DUMMYFUNCTION("""COMPUTED_VALUE"""),"| 1 L CPT @ | 2 L JAVA @ | 3 P PHP-CGM @ ")</f>
        <v xml:space="preserve">| 1 L CPT @ | 2 L JAVA @ | 3 P PHP-CGM @ </v>
      </c>
      <c r="BG263" s="4" t="str">
        <f ca="1">IFERROR(__xludf.DUMMYFUNCTION("""COMPUTED_VALUE"""),"| 2 L PHP-CGM % | 1 L CPT % | 3 P PRO % | 5 P NS % ")</f>
        <v xml:space="preserve">| 2 L PHP-CGM % | 1 L CPT % | 3 P PRO % | 5 P NS % </v>
      </c>
      <c r="BH263" s="4" t="str">
        <f ca="1">IFERROR(__xludf.DUMMYFUNCTION("""COMPUTED_VALUE"""),"| 1 L NS @ | 2 L PHP-CGM @ | 3 P Python @ | 5 P CPT @ ")</f>
        <v xml:space="preserve">| 1 L NS @ | 2 L PHP-CGM @ | 3 P Python @ | 5 P CPT @ </v>
      </c>
      <c r="BI263" s="4" t="str">
        <f ca="1">IFERROR(__xludf.DUMMYFUNCTION("""COMPUTED_VALUE"""),"| 1 L CPT @ | 2 L JAVA @ | 3 P JAVA @ | 5 P PRO @ ")</f>
        <v xml:space="preserve">| 1 L CPT @ | 2 L JAVA @ | 3 P JAVA @ | 5 P PRO @ </v>
      </c>
      <c r="BJ263" s="4" t="str">
        <f ca="1">IFERROR(__xludf.DUMMYFUNCTION("""COMPUTED_VALUE"""),"| 1 L CPT @ | 2 L JAVA @ | 3 P PHP-CGM @ | 5 L INE @ ")</f>
        <v xml:space="preserve">| 1 L CPT @ | 2 L JAVA @ | 3 P PHP-CGM @ | 5 L INE @ </v>
      </c>
      <c r="BK26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L263" s="4" t="str">
        <f ca="1">IFERROR(__xludf.DUMMYFUNCTION("""COMPUTED_VALUE"""),"| 1 L CPT % | 2 L PHP-CGM % | 3 P PRO % | 5 P NS % ")</f>
        <v xml:space="preserve">| 1 L CPT % | 2 L PHP-CGM % | 3 P PRO % | 5 P NS % </v>
      </c>
      <c r="BM263" s="4" t="str">
        <f ca="1">IFERROR(__xludf.DUMMYFUNCTION("""COMPUTED_VALUE"""),"| 1 L NS % | 2 L PHP-CGM % | 3 P Python % | 5 P CPT % ")</f>
        <v xml:space="preserve">| 1 L NS % | 2 L PHP-CGM % | 3 P Python % | 5 P CPT % </v>
      </c>
      <c r="BN263" s="4" t="str">
        <f ca="1">IFERROR(__xludf.DUMMYFUNCTION("""COMPUTED_VALUE"""),"| 2 L JAVA @ | 1 L CPT @ | 3 P JAVA @ | 5 P PRO @ ")</f>
        <v xml:space="preserve">| 2 L JAVA @ | 1 L CPT @ | 3 P JAVA @ | 5 P PRO @ </v>
      </c>
      <c r="BO263" s="4" t="str">
        <f ca="1">IFERROR(__xludf.DUMMYFUNCTION("""COMPUTED_VALUE"""),"| 2 L JAVA @ | 1 L CPT @ | 3 P PHP-CGM @ | 5 L INE @ ")</f>
        <v xml:space="preserve">| 2 L JAVA @ | 1 L CPT @ | 3 P PHP-CGM @ | 5 L INE @ </v>
      </c>
      <c r="BP26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BQ263" s="4"/>
      <c r="BR263" s="4"/>
      <c r="BS263" s="4"/>
      <c r="BT263" s="4" t="str">
        <f ca="1">IFERROR(__xludf.DUMMYFUNCTION("""COMPUTED_VALUE"""),"| 1 L NS % | 2 L PHP-CGM % | 3 P JAVA @ ")</f>
        <v xml:space="preserve">| 1 L NS % | 2 L PHP-CGM % | 3 P JAVA @ </v>
      </c>
      <c r="BU263" s="4" t="str">
        <f ca="1">IFERROR(__xludf.DUMMYFUNCTION("""COMPUTED_VALUE"""),"| 1 L CPT % ")</f>
        <v xml:space="preserve">| 1 L CPT % </v>
      </c>
      <c r="BV263" s="4" t="str">
        <f ca="1">IFERROR(__xludf.DUMMYFUNCTION("""COMPUTED_VALUE"""),"| 1 L NS @ | 2 L PHP-CGM @ | 3 P JAVA % | 6 L JAVA % ")</f>
        <v xml:space="preserve">| 1 L NS @ | 2 L PHP-CGM @ | 3 P JAVA % | 6 L JAVA % </v>
      </c>
      <c r="BW263" s="4" t="str">
        <f ca="1">IFERROR(__xludf.DUMMYFUNCTION("""COMPUTED_VALUE"""),"| 1 L CPT % | 2 L PHP-CGM % | 3 P PRO % ")</f>
        <v xml:space="preserve">| 1 L CPT % | 2 L PHP-CGM % | 3 P PRO % </v>
      </c>
      <c r="BX263" s="4" t="str">
        <f ca="1">IFERROR(__xludf.DUMMYFUNCTION("""COMPUTED_VALUE"""),"| 1 L NS % | 2 L PHP-CGM % | 3 P Python % | 5 P CPT % ")</f>
        <v xml:space="preserve">| 1 L NS % | 2 L PHP-CGM % | 3 P Python % | 5 P CPT % </v>
      </c>
      <c r="BY263" s="4" t="str">
        <f ca="1">IFERROR(__xludf.DUMMYFUNCTION("""COMPUTED_VALUE"""),"| 1 L CPT % | 2 L JAVA % | 3 P JAVA % | 5 P Python % ")</f>
        <v xml:space="preserve">| 1 L CPT % | 2 L JAVA % | 3 P JAVA % | 5 P Python % </v>
      </c>
      <c r="BZ263" s="4" t="str">
        <f ca="1">IFERROR(__xludf.DUMMYFUNCTION("""COMPUTED_VALUE"""),"| 1 L CPT % | 2 L JAVA % | 3 P PHP-CGM % | 5 L INE % ")</f>
        <v xml:space="preserve">| 1 L CPT % | 2 L JAVA % | 3 P PHP-CGM % | 5 L INE % </v>
      </c>
      <c r="CA263" s="4" t="str">
        <f ca="1">IFERROR(__xludf.DUMMYFUNCTION("""COMPUTED_VALUE"""),"| 1 L NS @ | 2 L PHP-CGM @ | 3 P JAVA @ | 5 L NS @ | 6 L JAVA @ ")</f>
        <v xml:space="preserve">| 1 L NS @ | 2 L PHP-CGM @ | 3 P JAVA @ | 5 L NS @ | 6 L JAVA @ </v>
      </c>
      <c r="CB263" s="4" t="str">
        <f ca="1">IFERROR(__xludf.DUMMYFUNCTION("""COMPUTED_VALUE"""),"| 2 L PHP-CGM @ | 3 P PRO @ | 5 P NS @ | 1 L CPT @ ")</f>
        <v xml:space="preserve">| 2 L PHP-CGM @ | 3 P PRO @ | 5 P NS @ | 1 L CPT @ </v>
      </c>
      <c r="CC263" s="4" t="str">
        <f ca="1">IFERROR(__xludf.DUMMYFUNCTION("""COMPUTED_VALUE"""),"| 1 L NS @ | 2 L PHP-CGM @ | 3 P Python % | 5 P CPT % ")</f>
        <v xml:space="preserve">| 1 L NS @ | 2 L PHP-CGM @ | 3 P Python % | 5 P CPT % </v>
      </c>
      <c r="CD263" s="4" t="str">
        <f ca="1">IFERROR(__xludf.DUMMYFUNCTION("""COMPUTED_VALUE"""),"| 1 L CPT @ | 2 L JAVA @ | 3 P JAVA @ | 5 P Python % ")</f>
        <v xml:space="preserve">| 1 L CPT @ | 2 L JAVA @ | 3 P JAVA @ | 5 P Python % </v>
      </c>
      <c r="CE263" s="4" t="str">
        <f ca="1">IFERROR(__xludf.DUMMYFUNCTION("""COMPUTED_VALUE"""),"| 1 L CPT @ | 2 L JAVA @ | 3 P PHP-CGM % | 5 L INE % ")</f>
        <v xml:space="preserve">| 1 L CPT @ | 2 L JAVA @ | 3 P PHP-CGM % | 5 L INE % </v>
      </c>
      <c r="CF263" s="4" t="str">
        <f ca="1">IFERROR(__xludf.DUMMYFUNCTION("""COMPUTED_VALUE"""),"| 1 L NS @ | 2 L PHP-CGM @ | 3 P JAVA % | 5 L NS @ | 6 L JAVA @ ")</f>
        <v xml:space="preserve">| 1 L NS @ | 2 L PHP-CGM @ | 3 P JAVA % | 5 L NS @ | 6 L JAVA @ </v>
      </c>
      <c r="CG263" s="4" t="str">
        <f ca="1">IFERROR(__xludf.DUMMYFUNCTION("""COMPUTED_VALUE"""),"| 1 L CPT @ | 2 L PHP-CGM @ | 5 P NS % ")</f>
        <v xml:space="preserve">| 1 L CPT @ | 2 L PHP-CGM @ | 5 P NS % </v>
      </c>
      <c r="CH263" s="4" t="str">
        <f ca="1">IFERROR(__xludf.DUMMYFUNCTION("""COMPUTED_VALUE"""),"| 1 L NS @ | 2 L PHP-CGM @ ")</f>
        <v xml:space="preserve">| 1 L NS @ | 2 L PHP-CGM @ </v>
      </c>
      <c r="CI263" s="4" t="str">
        <f ca="1">IFERROR(__xludf.DUMMYFUNCTION("""COMPUTED_VALUE"""),"| 1 L CPT @ | 2 L JAVA @ | 3 P JAVA @ ")</f>
        <v xml:space="preserve">| 1 L CPT @ | 2 L JAVA @ | 3 P JAVA @ </v>
      </c>
      <c r="CJ263" s="4" t="str">
        <f ca="1">IFERROR(__xludf.DUMMYFUNCTION("""COMPUTED_VALUE"""),"| 1 L CPT @ | 3 P PHP-CGM % ")</f>
        <v xml:space="preserve">| 1 L CPT @ | 3 P PHP-CGM % </v>
      </c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</row>
    <row r="264" spans="1:102" ht="12.5" x14ac:dyDescent="0.25">
      <c r="A264" s="3">
        <f ca="1">IFERROR(__xludf.DUMMYFUNCTION("""COMPUTED_VALUE"""),1)</f>
        <v>1</v>
      </c>
      <c r="B264" s="3" t="str">
        <f ca="1">IFERROR(__xludf.DUMMYFUNCTION("""COMPUTED_VALUE"""),"D")</f>
        <v>D</v>
      </c>
      <c r="C264" s="32" t="str">
        <f ca="1">IFERROR(__xludf.DUMMYFUNCTION("""COMPUTED_VALUE"""),"22171341115")</f>
        <v>22171341115</v>
      </c>
      <c r="D264" s="4" t="str">
        <f ca="1">IFERROR(__xludf.DUMMYFUNCTION("""COMPUTED_VALUE"""),"PATEL MEET RAJKUMAR")</f>
        <v>PATEL MEET RAJKUMAR</v>
      </c>
      <c r="E264" s="3" t="str">
        <f ca="1">IFERROR(__xludf.DUMMYFUNCTION("""COMPUTED_VALUE"""),"ZPP - Eve")</f>
        <v>ZPP - Eve</v>
      </c>
      <c r="F264" s="3">
        <f ca="1">IFERROR(__xludf.DUMMYFUNCTION("""COMPUTED_VALUE"""),9023173881)</f>
        <v>9023173881</v>
      </c>
      <c r="G264" s="3">
        <f ca="1">IFERROR(__xludf.DUMMYFUNCTION("""COMPUTED_VALUE"""),7405758610)</f>
        <v>7405758610</v>
      </c>
      <c r="H264" s="33">
        <f ca="1">IFERROR(__xludf.DUMMYFUNCTION("""COMPUTED_VALUE"""),0.436123348017621)</f>
        <v>0.43612334801762098</v>
      </c>
      <c r="I264" s="25">
        <f ca="1">IFERROR(__xludf.DUMMYFUNCTION("""COMPUTED_VALUE"""),0.457142857142857)</f>
        <v>0.45714285714285702</v>
      </c>
      <c r="J264" s="25">
        <f ca="1">IFERROR(__xludf.DUMMYFUNCTION("""COMPUTED_VALUE"""),0.363636363636363)</f>
        <v>0.36363636363636298</v>
      </c>
      <c r="K264" s="25">
        <f ca="1">IFERROR(__xludf.DUMMYFUNCTION("""COMPUTED_VALUE"""),0.4375)</f>
        <v>0.4375</v>
      </c>
      <c r="L264" s="25">
        <f ca="1">IFERROR(__xludf.DUMMYFUNCTION("""COMPUTED_VALUE"""),0.666666666666666)</f>
        <v>0.66666666666666596</v>
      </c>
      <c r="M264" s="25">
        <f ca="1">IFERROR(__xludf.DUMMYFUNCTION("""COMPUTED_VALUE"""),0.416666666666666)</f>
        <v>0.41666666666666602</v>
      </c>
      <c r="N264" s="25">
        <f ca="1">IFERROR(__xludf.DUMMYFUNCTION("""COMPUTED_VALUE"""),0.555555555555555)</f>
        <v>0.55555555555555503</v>
      </c>
      <c r="O264" s="25">
        <f ca="1">IFERROR(__xludf.DUMMYFUNCTION("""COMPUTED_VALUE"""),0.416666666666666)</f>
        <v>0.41666666666666602</v>
      </c>
      <c r="P264" s="25">
        <f ca="1">IFERROR(__xludf.DUMMYFUNCTION("""COMPUTED_VALUE"""),0.473684210526315)</f>
        <v>0.47368421052631499</v>
      </c>
      <c r="Q264" s="25">
        <f ca="1">IFERROR(__xludf.DUMMYFUNCTION("""COMPUTED_VALUE"""),0)</f>
        <v>0</v>
      </c>
      <c r="R264" s="25">
        <f ca="1">IFERROR(__xludf.DUMMYFUNCTION("""COMPUTED_VALUE"""),0.5625)</f>
        <v>0.5625</v>
      </c>
      <c r="S264" s="25">
        <f ca="1">IFERROR(__xludf.DUMMYFUNCTION("""COMPUTED_VALUE"""),0.384615384615384)</f>
        <v>0.38461538461538403</v>
      </c>
      <c r="T264" s="25">
        <f ca="1">IFERROR(__xludf.DUMMYFUNCTION("""COMPUTED_VALUE"""),0)</f>
        <v>0</v>
      </c>
      <c r="U264" s="25">
        <f ca="1">IFERROR(__xludf.DUMMYFUNCTION("""COMPUTED_VALUE"""),0.1)</f>
        <v>0.1</v>
      </c>
      <c r="V264" s="25">
        <f ca="1">IFERROR(__xludf.DUMMYFUNCTION("""COMPUTED_VALUE"""),0)</f>
        <v>0</v>
      </c>
      <c r="W264" s="4" t="str">
        <f ca="1">IFERROR(__xludf.DUMMYFUNCTION("""COMPUTED_VALUE"""),"|08/07/2025 : talked with parents")</f>
        <v>|08/07/2025 : talked with parents</v>
      </c>
      <c r="X264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Y264" s="4" t="str">
        <f ca="1">IFERROR(__xludf.DUMMYFUNCTION("""COMPUTED_VALUE"""),"| 5 L PHP-CGM @ | 6 L CPT @ | 7 L NS @ | 8 L JAVA @ | 9 P PHP-CGM @ ")</f>
        <v xml:space="preserve">| 5 L PHP-CGM @ | 6 L CPT @ | 7 L NS @ | 8 L JAVA @ | 9 P PHP-CGM @ </v>
      </c>
      <c r="Z264" s="4" t="str">
        <f ca="1">IFERROR(__xludf.DUMMYFUNCTION("""COMPUTED_VALUE"""),"| 5 L NS @ | 6 L JAVA @ | 7 L PRO @ | 8 L PRO @ | 9 P CPT @ ")</f>
        <v xml:space="preserve">| 5 L NS @ | 6 L JAVA @ | 7 L PRO @ | 8 L PRO @ | 9 P CPT @ </v>
      </c>
      <c r="AA264" s="4" t="str">
        <f ca="1">IFERROR(__xludf.DUMMYFUNCTION("""COMPUTED_VALUE"""),"| 7 P JAVA @ | 9 P Python @ ")</f>
        <v xml:space="preserve">| 7 P JAVA @ | 9 P Python @ </v>
      </c>
      <c r="AB264" s="4" t="str">
        <f ca="1">IFERROR(__xludf.DUMMYFUNCTION("""COMPUTED_VALUE"""),"| 5 L JAVA @ | 6 L PHP-CGM @ | 7 P NS @ | 9 P Python @ ")</f>
        <v xml:space="preserve">| 5 L JAVA @ | 6 L PHP-CGM @ | 7 P NS @ | 9 P Python @ </v>
      </c>
      <c r="AC264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64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64" s="4" t="str">
        <f ca="1">IFERROR(__xludf.DUMMYFUNCTION("""COMPUTED_VALUE"""),"| 5 L JAVA @ | 6 L NS @ | 7 L PRO @ | 9 P CPT @ ")</f>
        <v xml:space="preserve">| 5 L JAVA @ | 6 L NS @ | 7 L PRO @ | 9 P CPT @ </v>
      </c>
      <c r="AF264" s="4" t="str">
        <f ca="1">IFERROR(__xludf.DUMMYFUNCTION("""COMPUTED_VALUE"""),"| 7 P JAVA % ")</f>
        <v xml:space="preserve">| 7 P JAVA % </v>
      </c>
      <c r="AG264" s="4" t="str">
        <f ca="1">IFERROR(__xludf.DUMMYFUNCTION("""COMPUTED_VALUE"""),"| 5 L CPT @ | 6 L PHP-CGM @ | 7 P NS @ | 9 P Python @ ")</f>
        <v xml:space="preserve">| 5 L CPT @ | 6 L PHP-CGM @ | 7 P NS @ | 9 P Python @ </v>
      </c>
      <c r="AH264" s="4" t="str">
        <f ca="1">IFERROR(__xludf.DUMMYFUNCTION("""COMPUTED_VALUE"""),"| 7 P JAVA @ | 9 P Python @ ")</f>
        <v xml:space="preserve">| 7 P JAVA @ | 9 P Python @ </v>
      </c>
      <c r="AI264" s="4" t="str">
        <f ca="1">IFERROR(__xludf.DUMMYFUNCTION("""COMPUTED_VALUE"""),"| 5 L CPT % | 6 L PHP-CGM % | 7 P NS % | 9 P Python % ")</f>
        <v xml:space="preserve">| 5 L CPT % | 6 L PHP-CGM % | 7 P NS % | 9 P Python % </v>
      </c>
      <c r="AJ264" s="4" t="str">
        <f ca="1">IFERROR(__xludf.DUMMYFUNCTION("""COMPUTED_VALUE"""),"| 5 L JAVA @ | 6 L NS @ | 7 L PHP-CGM @ | 9 P JAVA @ | 8 L CPT @ ")</f>
        <v xml:space="preserve">| 5 L JAVA @ | 6 L NS @ | 7 L PHP-CGM @ | 9 P JAVA @ | 8 L CPT @ </v>
      </c>
      <c r="AK264" s="4" t="str">
        <f ca="1">IFERROR(__xludf.DUMMYFUNCTION("""COMPUTED_VALUE"""),"| 5 L PHP-CGM @ | 6 L CPT @ | 8 L JAVA @ | 7 L NS @ | 9 P PHP-CGM @ ")</f>
        <v xml:space="preserve">| 5 L PHP-CGM @ | 6 L CPT @ | 8 L JAVA @ | 7 L NS @ | 9 P PHP-CGM @ </v>
      </c>
      <c r="AL264" s="4" t="str">
        <f ca="1">IFERROR(__xludf.DUMMYFUNCTION("""COMPUTED_VALUE"""),"| 6 L NS @ | 7 L NS @ | 7 L PRO @ | 8 L PRO @ | 9 P CPT @ ")</f>
        <v xml:space="preserve">| 6 L NS @ | 7 L NS @ | 7 L PRO @ | 8 L PRO @ | 9 P CPT @ </v>
      </c>
      <c r="AM264" s="4" t="str">
        <f ca="1">IFERROR(__xludf.DUMMYFUNCTION("""COMPUTED_VALUE"""),"| 5 L INE @ | 7 P JAVA @ | 9 P Python @ ")</f>
        <v xml:space="preserve">| 5 L INE @ | 7 P JAVA @ | 9 P Python @ </v>
      </c>
      <c r="AN264" s="4" t="str">
        <f ca="1">IFERROR(__xludf.DUMMYFUNCTION("""COMPUTED_VALUE"""),"| 5 L CPT @ | 6 L PHP-CGM @ ")</f>
        <v xml:space="preserve">| 5 L CPT @ | 6 L PHP-CGM @ </v>
      </c>
      <c r="AO264" s="4" t="str">
        <f ca="1">IFERROR(__xludf.DUMMYFUNCTION("""COMPUTED_VALUE"""),"| 5 L JAVA % | 5 L NS % | 7 L PHP-CGM % | 8 L CPT % ")</f>
        <v xml:space="preserve">| 5 L JAVA % | 5 L NS % | 7 L PHP-CGM % | 8 L CPT % </v>
      </c>
      <c r="AP264" s="4" t="str">
        <f ca="1">IFERROR(__xludf.DUMMYFUNCTION("""COMPUTED_VALUE"""),"| 5 L PHP-CGM @ | 6 L CPT @ | 7 L JAVA @ | 7 L NS @ ")</f>
        <v xml:space="preserve">| 5 L PHP-CGM @ | 6 L CPT @ | 7 L JAVA @ | 7 L NS @ </v>
      </c>
      <c r="AQ264" s="4" t="str">
        <f ca="1">IFERROR(__xludf.DUMMYFUNCTION("""COMPUTED_VALUE"""),"| 5 L JAVA @ | 6 L NS @ | 7 L PRO @ | 8 L PRO @ | 9 P CPT @ ")</f>
        <v xml:space="preserve">| 5 L JAVA @ | 6 L NS @ | 7 L PRO @ | 8 L PRO @ | 9 P CPT @ </v>
      </c>
      <c r="AR264" s="4" t="str">
        <f ca="1">IFERROR(__xludf.DUMMYFUNCTION("""COMPUTED_VALUE"""),"| 5 L INE % ")</f>
        <v xml:space="preserve">| 5 L INE % </v>
      </c>
      <c r="AS264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64" s="4" t="str">
        <f ca="1">IFERROR(__xludf.DUMMYFUNCTION("""COMPUTED_VALUE"""),"| 5 L PHP-CGM % | 6 L CPT % | 7 L JAVA % | 8 L JAVA % | 9 P PHP-CGM @ ")</f>
        <v xml:space="preserve">| 5 L PHP-CGM % | 6 L CPT % | 7 L JAVA % | 8 L JAVA % | 9 P PHP-CGM @ </v>
      </c>
      <c r="AU264" s="4" t="str">
        <f ca="1">IFERROR(__xludf.DUMMYFUNCTION("""COMPUTED_VALUE"""),"| 5 L JAVA @ | 6 L NS @ | 7 P PRO @ | 9 P CPT @ ")</f>
        <v xml:space="preserve">| 5 L JAVA @ | 6 L NS @ | 7 P PRO @ | 9 P CPT @ </v>
      </c>
      <c r="AV264" s="4" t="str">
        <f ca="1">IFERROR(__xludf.DUMMYFUNCTION("""COMPUTED_VALUE"""),"| 5 L INE @ | 7 P JAVA @ | 9 P Python @ ")</f>
        <v xml:space="preserve">| 5 L INE @ | 7 P JAVA @ | 9 P Python @ </v>
      </c>
      <c r="AW264" s="4" t="str">
        <f ca="1">IFERROR(__xludf.DUMMYFUNCTION("""COMPUTED_VALUE"""),"| 5 L CPT @ | 6 L PHP-CGM @ | 7 P NS @ | 9 P Python @ ")</f>
        <v xml:space="preserve">| 5 L CPT @ | 6 L PHP-CGM @ | 7 P NS @ | 9 P Python @ </v>
      </c>
      <c r="AX264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AY264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64" s="4" t="str">
        <f ca="1">IFERROR(__xludf.DUMMYFUNCTION("""COMPUTED_VALUE"""),"| 5 L INE @ | 7 P JAVA % ")</f>
        <v xml:space="preserve">| 5 L INE @ | 7 P JAVA % </v>
      </c>
      <c r="BA264" s="4" t="str">
        <f ca="1">IFERROR(__xludf.DUMMYFUNCTION("""COMPUTED_VALUE"""),"| 5 L CPT % | 6 L PHP-CGM % | 7 P NS % | 9 P Python % ")</f>
        <v xml:space="preserve">| 5 L CPT % | 6 L PHP-CGM % | 7 P NS % | 9 P Python % </v>
      </c>
      <c r="BB264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C264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64" s="4" t="str">
        <f ca="1">IFERROR(__xludf.DUMMYFUNCTION("""COMPUTED_VALUE"""),"| 5 L JAVA % | 6 L NS % | 7 L PRO % | 8 L PRO % | 9 P CPT % ")</f>
        <v xml:space="preserve">| 5 L JAVA % | 6 L NS % | 7 L PRO % | 8 L PRO % | 9 P CPT % </v>
      </c>
      <c r="BE264" s="4" t="str">
        <f ca="1">IFERROR(__xludf.DUMMYFUNCTION("""COMPUTED_VALUE"""),"| 5 L INE @ | 7 P JAVA % | 9 P Python % ")</f>
        <v xml:space="preserve">| 5 L INE @ | 7 P JAVA % | 9 P Python % </v>
      </c>
      <c r="BF264" s="4" t="str">
        <f ca="1">IFERROR(__xludf.DUMMYFUNCTION("""COMPUTED_VALUE"""),"| 5 L CPT % | 6 L PHP-CGM % | 7 P NS % | 9 P Python % ")</f>
        <v xml:space="preserve">| 5 L CPT % | 6 L PHP-CGM % | 7 P NS % | 9 P Python % </v>
      </c>
      <c r="BG264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H264" s="4" t="str">
        <f ca="1">IFERROR(__xludf.DUMMYFUNCTION("""COMPUTED_VALUE"""),"| 5 L JAVA @ | 6 L NS @ | 7 L PRO @ | 9 P CPT @ ")</f>
        <v xml:space="preserve">| 5 L JAVA @ | 6 L NS @ | 7 L PRO @ | 9 P CPT @ </v>
      </c>
      <c r="BI264" s="4" t="str">
        <f ca="1">IFERROR(__xludf.DUMMYFUNCTION("""COMPUTED_VALUE"""),"| 5 L INE @ | 7 P JAVA % | 9 P Python % ")</f>
        <v xml:space="preserve">| 5 L INE @ | 7 P JAVA % | 9 P Python % </v>
      </c>
      <c r="BJ264" s="4" t="str">
        <f ca="1">IFERROR(__xludf.DUMMYFUNCTION("""COMPUTED_VALUE"""),"| 5 L CPT % | 6 L PHP-CGM % | 7 P NS % ")</f>
        <v xml:space="preserve">| 5 L CPT % | 6 L PHP-CGM % | 7 P NS % </v>
      </c>
      <c r="BK264" s="4" t="str">
        <f ca="1">IFERROR(__xludf.DUMMYFUNCTION("""COMPUTED_VALUE"""),"| 5 L JAVA @ | 7 L PHP-CGM @ | 8 L CPT @ ")</f>
        <v xml:space="preserve">| 5 L JAVA @ | 7 L PHP-CGM @ | 8 L CPT @ </v>
      </c>
      <c r="BL264" s="4" t="str">
        <f ca="1">IFERROR(__xludf.DUMMYFUNCTION("""COMPUTED_VALUE"""),"| 5 L PHP-CGM @ | 6 L CPT @ | 8 L NS % ")</f>
        <v xml:space="preserve">| 5 L PHP-CGM @ | 6 L CPT @ | 8 L NS % </v>
      </c>
      <c r="BM264" s="4" t="str">
        <f ca="1">IFERROR(__xludf.DUMMYFUNCTION("""COMPUTED_VALUE"""),"| 5 L JAVA % | 6 L NS % | 7 L PRO % | 8 L PRO % | 9 P CPT % ")</f>
        <v xml:space="preserve">| 5 L JAVA % | 6 L NS % | 7 L PRO % | 8 L PRO % | 9 P CPT % </v>
      </c>
      <c r="BN264" s="4" t="str">
        <f ca="1">IFERROR(__xludf.DUMMYFUNCTION("""COMPUTED_VALUE"""),"| 5 L INE @ ")</f>
        <v xml:space="preserve">| 5 L INE @ </v>
      </c>
      <c r="BO264" s="4" t="str">
        <f ca="1">IFERROR(__xludf.DUMMYFUNCTION("""COMPUTED_VALUE"""),"| 5 L CPT @ | 6 L PHP-CGM @ ")</f>
        <v xml:space="preserve">| 5 L CPT @ | 6 L PHP-CGM @ </v>
      </c>
      <c r="BP264" s="4" t="str">
        <f ca="1">IFERROR(__xludf.DUMMYFUNCTION("""COMPUTED_VALUE"""),"| 5 L JAVA @ | 6 L JAVA @ | 7 L PHP-CGM @ | 8 L CPT @ ")</f>
        <v xml:space="preserve">| 5 L JAVA @ | 6 L JAVA @ | 7 L PHP-CGM @ | 8 L CPT @ </v>
      </c>
      <c r="BQ264" s="4" t="str">
        <f ca="1">IFERROR(__xludf.DUMMYFUNCTION("""COMPUTED_VALUE"""),"| 5 L JAVA % ")</f>
        <v xml:space="preserve">| 5 L JAVA % </v>
      </c>
      <c r="BR264" s="4"/>
      <c r="BS264" s="4"/>
      <c r="BT264" s="4" t="str">
        <f ca="1">IFERROR(__xludf.DUMMYFUNCTION("""COMPUTED_VALUE"""),"| 7 L PHP-CGM @ | 8 L CPT @ ")</f>
        <v xml:space="preserve">| 7 L PHP-CGM @ | 8 L CPT @ </v>
      </c>
      <c r="BU264" s="4" t="str">
        <f ca="1">IFERROR(__xludf.DUMMYFUNCTION("""COMPUTED_VALUE"""),"| 8 L NS @ ")</f>
        <v xml:space="preserve">| 8 L NS @ </v>
      </c>
      <c r="BV264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64" s="4"/>
      <c r="BX264" s="4" t="str">
        <f ca="1">IFERROR(__xludf.DUMMYFUNCTION("""COMPUTED_VALUE"""),"| 5 L JAVA % | 6 L NS % | 7 L PRO % | 9 P CPT % ")</f>
        <v xml:space="preserve">| 5 L JAVA % | 6 L NS % | 7 L PRO % | 9 P CPT % </v>
      </c>
      <c r="BY264" s="4" t="str">
        <f ca="1">IFERROR(__xludf.DUMMYFUNCTION("""COMPUTED_VALUE"""),"| 5 L INE @ | 7 P JAVA % | 9 P Python % ")</f>
        <v xml:space="preserve">| 5 L INE @ | 7 P JAVA % | 9 P Python % </v>
      </c>
      <c r="BZ264" s="4" t="str">
        <f ca="1">IFERROR(__xludf.DUMMYFUNCTION("""COMPUTED_VALUE"""),"| 5 L CPT % | 6 L PHP-CGM % | 7 P NS % | 9 P Python % ")</f>
        <v xml:space="preserve">| 5 L CPT % | 6 L PHP-CGM % | 7 P NS % | 9 P Python % </v>
      </c>
      <c r="CA264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64" s="4" t="str">
        <f ca="1">IFERROR(__xludf.DUMMYFUNCTION("""COMPUTED_VALUE"""),"| 5 L PHP-CGM % | 6 L CPT % | 7 L NS % | 9 P PHP-CGM % ")</f>
        <v xml:space="preserve">| 5 L PHP-CGM % | 6 L CPT % | 7 L NS % | 9 P PHP-CGM % </v>
      </c>
      <c r="CC264" s="4" t="str">
        <f ca="1">IFERROR(__xludf.DUMMYFUNCTION("""COMPUTED_VALUE"""),"| 5 L JAVA % | 6 L NS % | 9 P CPT % ")</f>
        <v xml:space="preserve">| 5 L JAVA % | 6 L NS % | 9 P CPT % </v>
      </c>
      <c r="CD264" s="4" t="str">
        <f ca="1">IFERROR(__xludf.DUMMYFUNCTION("""COMPUTED_VALUE"""),"| 5 L INE @ | 7 P NS % ")</f>
        <v xml:space="preserve">| 5 L INE @ | 7 P NS % </v>
      </c>
      <c r="CE264" s="4" t="str">
        <f ca="1">IFERROR(__xludf.DUMMYFUNCTION("""COMPUTED_VALUE"""),"| 5 L CPT % | 6 L PHP-CGM % | 7 P JAVA % | 9 P Python % ")</f>
        <v xml:space="preserve">| 5 L CPT % | 6 L PHP-CGM % | 7 P JAVA % | 9 P Python % </v>
      </c>
      <c r="CF264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CG264" s="4" t="str">
        <f ca="1">IFERROR(__xludf.DUMMYFUNCTION("""COMPUTED_VALUE"""),"| 5 L PHP-CGM @ | 6 L CPT % | 7 L JAVA % | 8 L NS % | 9 P PHP-CGM % ")</f>
        <v xml:space="preserve">| 5 L PHP-CGM @ | 6 L CPT % | 7 L JAVA % | 8 L NS % | 9 P PHP-CGM % </v>
      </c>
      <c r="CH264" s="4" t="str">
        <f ca="1">IFERROR(__xludf.DUMMYFUNCTION("""COMPUTED_VALUE"""),"| 5 L JAVA @ | 6 L NS @ | 9 P CPT @ ")</f>
        <v xml:space="preserve">| 5 L JAVA @ | 6 L NS @ | 9 P CPT @ </v>
      </c>
      <c r="CI264" s="4" t="str">
        <f ca="1">IFERROR(__xludf.DUMMYFUNCTION("""COMPUTED_VALUE"""),"| 5 L INE @ | 9 P Python % ")</f>
        <v xml:space="preserve">| 5 L INE @ | 9 P Python % </v>
      </c>
      <c r="CJ264" s="4" t="str">
        <f ca="1">IFERROR(__xludf.DUMMYFUNCTION("""COMPUTED_VALUE"""),"| 5 L CPT @ | 6 L PHP-CGM @ ")</f>
        <v xml:space="preserve">| 5 L CPT @ | 6 L PHP-CGM @ </v>
      </c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</row>
    <row r="265" spans="1:102" ht="12.5" x14ac:dyDescent="0.25">
      <c r="A265" s="3">
        <f ca="1">IFERROR(__xludf.DUMMYFUNCTION("""COMPUTED_VALUE"""),1)</f>
        <v>1</v>
      </c>
      <c r="B265" s="3" t="str">
        <f ca="1">IFERROR(__xludf.DUMMYFUNCTION("""COMPUTED_VALUE"""),"D")</f>
        <v>D</v>
      </c>
      <c r="C265" s="32" t="str">
        <f ca="1">IFERROR(__xludf.DUMMYFUNCTION("""COMPUTED_VALUE"""),"23171341002")</f>
        <v>23171341002</v>
      </c>
      <c r="D265" s="4" t="str">
        <f ca="1">IFERROR(__xludf.DUMMYFUNCTION("""COMPUTED_VALUE"""),"AGHERA ANJAN ATULKUMAR")</f>
        <v>AGHERA ANJAN ATULKUMAR</v>
      </c>
      <c r="E265" s="3" t="str">
        <f ca="1">IFERROR(__xludf.DUMMYFUNCTION("""COMPUTED_VALUE"""),"ZPP - Eve")</f>
        <v>ZPP - Eve</v>
      </c>
      <c r="F265" s="3">
        <f ca="1">IFERROR(__xludf.DUMMYFUNCTION("""COMPUTED_VALUE"""),9712037356)</f>
        <v>9712037356</v>
      </c>
      <c r="G265" s="37">
        <f ca="1">IFERROR(__xludf.DUMMYFUNCTION("""COMPUTED_VALUE"""),99795536079327800000)</f>
        <v>9.9795536079327805E+19</v>
      </c>
      <c r="H265" s="33">
        <f ca="1">IFERROR(__xludf.DUMMYFUNCTION("""COMPUTED_VALUE"""),0.740088105726872)</f>
        <v>0.740088105726872</v>
      </c>
      <c r="I265" s="25">
        <f ca="1">IFERROR(__xludf.DUMMYFUNCTION("""COMPUTED_VALUE"""),0.685714285714285)</f>
        <v>0.68571428571428505</v>
      </c>
      <c r="J265" s="25">
        <f ca="1">IFERROR(__xludf.DUMMYFUNCTION("""COMPUTED_VALUE"""),0.727272727272727)</f>
        <v>0.72727272727272696</v>
      </c>
      <c r="K265" s="25">
        <f ca="1">IFERROR(__xludf.DUMMYFUNCTION("""COMPUTED_VALUE"""),0.71875)</f>
        <v>0.71875</v>
      </c>
      <c r="L265" s="25">
        <f ca="1">IFERROR(__xludf.DUMMYFUNCTION("""COMPUTED_VALUE"""),0.888888888888888)</f>
        <v>0.88888888888888795</v>
      </c>
      <c r="M265" s="25">
        <f ca="1">IFERROR(__xludf.DUMMYFUNCTION("""COMPUTED_VALUE"""),0.694444444444444)</f>
        <v>0.69444444444444398</v>
      </c>
      <c r="N265" s="25">
        <f ca="1">IFERROR(__xludf.DUMMYFUNCTION("""COMPUTED_VALUE"""),0.888888888888888)</f>
        <v>0.88888888888888795</v>
      </c>
      <c r="O265" s="25">
        <f ca="1">IFERROR(__xludf.DUMMYFUNCTION("""COMPUTED_VALUE"""),0.722222222222222)</f>
        <v>0.72222222222222199</v>
      </c>
      <c r="P265" s="25">
        <f ca="1">IFERROR(__xludf.DUMMYFUNCTION("""COMPUTED_VALUE"""),0.894736842105263)</f>
        <v>0.89473684210526305</v>
      </c>
      <c r="Q265" s="25">
        <f ca="1">IFERROR(__xludf.DUMMYFUNCTION("""COMPUTED_VALUE"""),0)</f>
        <v>0</v>
      </c>
      <c r="R265" s="25">
        <f ca="1">IFERROR(__xludf.DUMMYFUNCTION("""COMPUTED_VALUE"""),0.8125)</f>
        <v>0.8125</v>
      </c>
      <c r="S265" s="25">
        <f ca="1">IFERROR(__xludf.DUMMYFUNCTION("""COMPUTED_VALUE"""),0.692307692307692)</f>
        <v>0.69230769230769196</v>
      </c>
      <c r="T265" s="25">
        <f ca="1">IFERROR(__xludf.DUMMYFUNCTION("""COMPUTED_VALUE"""),0)</f>
        <v>0</v>
      </c>
      <c r="U265" s="25">
        <f ca="1">IFERROR(__xludf.DUMMYFUNCTION("""COMPUTED_VALUE"""),0.7)</f>
        <v>0.7</v>
      </c>
      <c r="V265" s="25">
        <f ca="1">IFERROR(__xludf.DUMMYFUNCTION("""COMPUTED_VALUE"""),0)</f>
        <v>0</v>
      </c>
      <c r="W265" s="4"/>
      <c r="X265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65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65" s="4" t="str">
        <f ca="1">IFERROR(__xludf.DUMMYFUNCTION("""COMPUTED_VALUE"""),"| 5 L NS % | 6 L JAVA % | 7 L PRO % | 8 L PRO % | 9 P CPT % ")</f>
        <v xml:space="preserve">| 5 L NS % | 6 L JAVA % | 7 L PRO % | 8 L PRO % | 9 P CPT % </v>
      </c>
      <c r="AA265" s="4" t="str">
        <f ca="1">IFERROR(__xludf.DUMMYFUNCTION("""COMPUTED_VALUE"""),"| 7 P JAVA % | 9 P Python % ")</f>
        <v xml:space="preserve">| 7 P JAVA % | 9 P Python % </v>
      </c>
      <c r="AB265" s="4" t="str">
        <f ca="1">IFERROR(__xludf.DUMMYFUNCTION("""COMPUTED_VALUE"""),"| 5 L JAVA % | 6 L PHP-CGM % | 7 P NS % | 9 P Python % ")</f>
        <v xml:space="preserve">| 5 L JAVA % | 6 L PHP-CGM % | 7 P NS % | 9 P Python % </v>
      </c>
      <c r="AC265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65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65" s="4" t="str">
        <f ca="1">IFERROR(__xludf.DUMMYFUNCTION("""COMPUTED_VALUE"""),"| 5 L JAVA % | 6 L NS % | 7 L PRO % | 9 P CPT % ")</f>
        <v xml:space="preserve">| 5 L JAVA % | 6 L NS % | 7 L PRO % | 9 P CPT % </v>
      </c>
      <c r="AF265" s="4" t="str">
        <f ca="1">IFERROR(__xludf.DUMMYFUNCTION("""COMPUTED_VALUE"""),"| 7 P JAVA % ")</f>
        <v xml:space="preserve">| 7 P JAVA % </v>
      </c>
      <c r="AG265" s="4" t="str">
        <f ca="1">IFERROR(__xludf.DUMMYFUNCTION("""COMPUTED_VALUE"""),"| 5 L CPT % | 6 L PHP-CGM % | 7 P NS % | 9 P Python % ")</f>
        <v xml:space="preserve">| 5 L CPT % | 6 L PHP-CGM % | 7 P NS % | 9 P Python % </v>
      </c>
      <c r="AH265" s="4" t="str">
        <f ca="1">IFERROR(__xludf.DUMMYFUNCTION("""COMPUTED_VALUE"""),"| 7 P JAVA % | 9 P Python % ")</f>
        <v xml:space="preserve">| 7 P JAVA % | 9 P Python % </v>
      </c>
      <c r="AI265" s="4" t="str">
        <f ca="1">IFERROR(__xludf.DUMMYFUNCTION("""COMPUTED_VALUE"""),"| 5 L CPT % | 6 L PHP-CGM % | 7 P NS % | 9 P Python % ")</f>
        <v xml:space="preserve">| 5 L CPT % | 6 L PHP-CGM % | 7 P NS % | 9 P Python % </v>
      </c>
      <c r="AJ265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K265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65" s="4" t="str">
        <f ca="1">IFERROR(__xludf.DUMMYFUNCTION("""COMPUTED_VALUE"""),"| 6 L NS % | 7 L NS % | 7 L PRO % | 8 L PRO % | 9 P CPT % ")</f>
        <v xml:space="preserve">| 6 L NS % | 7 L NS % | 7 L PRO % | 8 L PRO % | 9 P CPT % </v>
      </c>
      <c r="AM265" s="4" t="str">
        <f ca="1">IFERROR(__xludf.DUMMYFUNCTION("""COMPUTED_VALUE"""),"| 5 L INE % | 7 P JAVA % | 9 P Python % ")</f>
        <v xml:space="preserve">| 5 L INE % | 7 P JAVA % | 9 P Python % </v>
      </c>
      <c r="AN265" s="4" t="str">
        <f ca="1">IFERROR(__xludf.DUMMYFUNCTION("""COMPUTED_VALUE"""),"| 5 L CPT % | 6 L PHP-CGM % ")</f>
        <v xml:space="preserve">| 5 L CPT % | 6 L PHP-CGM % </v>
      </c>
      <c r="AO265" s="4" t="str">
        <f ca="1">IFERROR(__xludf.DUMMYFUNCTION("""COMPUTED_VALUE"""),"| 5 L JAVA @ | 5 L NS @ | 7 L PHP-CGM @ | 8 L CPT @ ")</f>
        <v xml:space="preserve">| 5 L JAVA @ | 5 L NS @ | 7 L PHP-CGM @ | 8 L CPT @ </v>
      </c>
      <c r="AP265" s="4" t="str">
        <f ca="1">IFERROR(__xludf.DUMMYFUNCTION("""COMPUTED_VALUE"""),"| 5 L PHP-CGM @ | 6 L CPT @ | 7 L JAVA @ | 7 L NS @ ")</f>
        <v xml:space="preserve">| 5 L PHP-CGM @ | 6 L CPT @ | 7 L JAVA @ | 7 L NS @ </v>
      </c>
      <c r="AQ265" s="4" t="str">
        <f ca="1">IFERROR(__xludf.DUMMYFUNCTION("""COMPUTED_VALUE"""),"| 5 L JAVA @ | 6 L NS @ | 7 L PRO @ | 8 L PRO @ | 9 P CPT @ ")</f>
        <v xml:space="preserve">| 5 L JAVA @ | 6 L NS @ | 7 L PRO @ | 8 L PRO @ | 9 P CPT @ </v>
      </c>
      <c r="AR265" s="4" t="str">
        <f ca="1">IFERROR(__xludf.DUMMYFUNCTION("""COMPUTED_VALUE"""),"| 5 L INE @ ")</f>
        <v xml:space="preserve">| 5 L INE @ </v>
      </c>
      <c r="AS265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65" s="4" t="str">
        <f ca="1">IFERROR(__xludf.DUMMYFUNCTION("""COMPUTED_VALUE"""),"| 5 L PHP-CGM @ | 6 L CPT @ | 7 L JAVA @ | 8 L JAVA @ | 9 P PHP-CGM @ ")</f>
        <v xml:space="preserve">| 5 L PHP-CGM @ | 6 L CPT @ | 7 L JAVA @ | 8 L JAVA @ | 9 P PHP-CGM @ </v>
      </c>
      <c r="AU265" s="4" t="str">
        <f ca="1">IFERROR(__xludf.DUMMYFUNCTION("""COMPUTED_VALUE"""),"| 5 L JAVA @ | 6 L NS @ | 7 P PRO @ | 9 P CPT @ ")</f>
        <v xml:space="preserve">| 5 L JAVA @ | 6 L NS @ | 7 P PRO @ | 9 P CPT @ </v>
      </c>
      <c r="AV265" s="4" t="str">
        <f ca="1">IFERROR(__xludf.DUMMYFUNCTION("""COMPUTED_VALUE"""),"| 5 L INE @ | 7 P JAVA @ | 9 P Python @ ")</f>
        <v xml:space="preserve">| 5 L INE @ | 7 P JAVA @ | 9 P Python @ </v>
      </c>
      <c r="AW265" s="4" t="str">
        <f ca="1">IFERROR(__xludf.DUMMYFUNCTION("""COMPUTED_VALUE"""),"| 5 L CPT @ | 6 L PHP-CGM @ | 7 P NS @ | 9 P Python @ ")</f>
        <v xml:space="preserve">| 5 L CPT @ | 6 L PHP-CGM @ | 7 P NS @ | 9 P Python @ </v>
      </c>
      <c r="AX265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65" s="4" t="str">
        <f ca="1">IFERROR(__xludf.DUMMYFUNCTION("""COMPUTED_VALUE"""),"| 5 L PHP-CGM @ | 6 L CPT @ | 7 L NS % | 8 L NS % | 9 P PHP-CGM % ")</f>
        <v xml:space="preserve">| 5 L PHP-CGM @ | 6 L CPT @ | 7 L NS % | 8 L NS % | 9 P PHP-CGM % </v>
      </c>
      <c r="AZ265" s="4" t="str">
        <f ca="1">IFERROR(__xludf.DUMMYFUNCTION("""COMPUTED_VALUE"""),"| 5 L INE % | 7 P JAVA % ")</f>
        <v xml:space="preserve">| 5 L INE % | 7 P JAVA % </v>
      </c>
      <c r="BA265" s="4" t="str">
        <f ca="1">IFERROR(__xludf.DUMMYFUNCTION("""COMPUTED_VALUE"""),"| 5 L CPT % | 6 L PHP-CGM % | 7 P NS % | 9 P Python % ")</f>
        <v xml:space="preserve">| 5 L CPT % | 6 L PHP-CGM % | 7 P NS % | 9 P Python % </v>
      </c>
      <c r="BB265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65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65" s="4" t="str">
        <f ca="1">IFERROR(__xludf.DUMMYFUNCTION("""COMPUTED_VALUE"""),"| 5 L JAVA % | 6 L NS % | 7 L PRO % | 8 L PRO % | 9 P CPT % ")</f>
        <v xml:space="preserve">| 5 L JAVA % | 6 L NS % | 7 L PRO % | 8 L PRO % | 9 P CPT % </v>
      </c>
      <c r="BE265" s="4" t="str">
        <f ca="1">IFERROR(__xludf.DUMMYFUNCTION("""COMPUTED_VALUE"""),"| 5 L INE % | 7 P JAVA % | 9 P Python % ")</f>
        <v xml:space="preserve">| 5 L INE % | 7 P JAVA % | 9 P Python % </v>
      </c>
      <c r="BF265" s="4" t="str">
        <f ca="1">IFERROR(__xludf.DUMMYFUNCTION("""COMPUTED_VALUE"""),"| 5 L CPT % | 6 L PHP-CGM % | 7 P NS % | 9 P Python % ")</f>
        <v xml:space="preserve">| 5 L CPT % | 6 L PHP-CGM % | 7 P NS % | 9 P Python % </v>
      </c>
      <c r="BG265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65" s="4" t="str">
        <f ca="1">IFERROR(__xludf.DUMMYFUNCTION("""COMPUTED_VALUE"""),"| 5 L JAVA % | 6 L NS % | 7 L PRO % | 9 P CPT % ")</f>
        <v xml:space="preserve">| 5 L JAVA % | 6 L NS % | 7 L PRO % | 9 P CPT % </v>
      </c>
      <c r="BI265" s="4" t="str">
        <f ca="1">IFERROR(__xludf.DUMMYFUNCTION("""COMPUTED_VALUE"""),"| 5 L INE % | 7 P JAVA % | 9 P Python @ ")</f>
        <v xml:space="preserve">| 5 L INE % | 7 P JAVA % | 9 P Python @ </v>
      </c>
      <c r="BJ265" s="4" t="str">
        <f ca="1">IFERROR(__xludf.DUMMYFUNCTION("""COMPUTED_VALUE"""),"| 5 L CPT % | 6 L PHP-CGM % | 7 P NS % ")</f>
        <v xml:space="preserve">| 5 L CPT % | 6 L PHP-CGM % | 7 P NS % </v>
      </c>
      <c r="BK265" s="4" t="str">
        <f ca="1">IFERROR(__xludf.DUMMYFUNCTION("""COMPUTED_VALUE"""),"| 5 L JAVA % | 7 L PHP-CGM % | 8 L CPT % ")</f>
        <v xml:space="preserve">| 5 L JAVA % | 7 L PHP-CGM % | 8 L CPT % </v>
      </c>
      <c r="BL265" s="4" t="str">
        <f ca="1">IFERROR(__xludf.DUMMYFUNCTION("""COMPUTED_VALUE"""),"| 5 L PHP-CGM % | 6 L CPT % | 8 L NS % ")</f>
        <v xml:space="preserve">| 5 L PHP-CGM % | 6 L CPT % | 8 L NS % </v>
      </c>
      <c r="BM265" s="4" t="str">
        <f ca="1">IFERROR(__xludf.DUMMYFUNCTION("""COMPUTED_VALUE"""),"| 5 L JAVA @ | 6 L NS @ | 7 L PRO @ | 8 L PRO @ | 9 P CPT @ ")</f>
        <v xml:space="preserve">| 5 L JAVA @ | 6 L NS @ | 7 L PRO @ | 8 L PRO @ | 9 P CPT @ </v>
      </c>
      <c r="BN265" s="4" t="str">
        <f ca="1">IFERROR(__xludf.DUMMYFUNCTION("""COMPUTED_VALUE"""),"| 5 L INE % ")</f>
        <v xml:space="preserve">| 5 L INE % </v>
      </c>
      <c r="BO265" s="4" t="str">
        <f ca="1">IFERROR(__xludf.DUMMYFUNCTION("""COMPUTED_VALUE"""),"| 5 L CPT % | 6 L PHP-CGM % ")</f>
        <v xml:space="preserve">| 5 L CPT % | 6 L PHP-CGM % </v>
      </c>
      <c r="BP265" s="4" t="str">
        <f ca="1">IFERROR(__xludf.DUMMYFUNCTION("""COMPUTED_VALUE"""),"| 5 L JAVA @ | 6 L JAVA @ | 7 L PHP-CGM @ | 8 L CPT @ ")</f>
        <v xml:space="preserve">| 5 L JAVA @ | 6 L JAVA @ | 7 L PHP-CGM @ | 8 L CPT @ </v>
      </c>
      <c r="BQ265" s="4" t="str">
        <f ca="1">IFERROR(__xludf.DUMMYFUNCTION("""COMPUTED_VALUE"""),"| 5 L JAVA % ")</f>
        <v xml:space="preserve">| 5 L JAVA % </v>
      </c>
      <c r="BR265" s="4"/>
      <c r="BS265" s="4"/>
      <c r="BT265" s="4" t="str">
        <f ca="1">IFERROR(__xludf.DUMMYFUNCTION("""COMPUTED_VALUE"""),"| 7 L PHP-CGM @ | 8 L CPT @ ")</f>
        <v xml:space="preserve">| 7 L PHP-CGM @ | 8 L CPT @ </v>
      </c>
      <c r="BU265" s="4" t="str">
        <f ca="1">IFERROR(__xludf.DUMMYFUNCTION("""COMPUTED_VALUE"""),"| 8 L NS @ ")</f>
        <v xml:space="preserve">| 8 L NS @ </v>
      </c>
      <c r="BV265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W265" s="4"/>
      <c r="BX265" s="4" t="str">
        <f ca="1">IFERROR(__xludf.DUMMYFUNCTION("""COMPUTED_VALUE"""),"| 5 L JAVA % | 6 L NS % | 7 L PRO % | 9 P CPT % ")</f>
        <v xml:space="preserve">| 5 L JAVA % | 6 L NS % | 7 L PRO % | 9 P CPT % </v>
      </c>
      <c r="BY265" s="4" t="str">
        <f ca="1">IFERROR(__xludf.DUMMYFUNCTION("""COMPUTED_VALUE"""),"| 5 L INE % | 7 P JAVA % | 9 P Python % ")</f>
        <v xml:space="preserve">| 5 L INE % | 7 P JAVA % | 9 P Python % </v>
      </c>
      <c r="BZ265" s="4" t="str">
        <f ca="1">IFERROR(__xludf.DUMMYFUNCTION("""COMPUTED_VALUE"""),"| 5 L CPT % | 6 L PHP-CGM % | 7 P NS % | 9 P Python % ")</f>
        <v xml:space="preserve">| 5 L CPT % | 6 L PHP-CGM % | 7 P NS % | 9 P Python % </v>
      </c>
      <c r="CA265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65" s="4" t="str">
        <f ca="1">IFERROR(__xludf.DUMMYFUNCTION("""COMPUTED_VALUE"""),"| 5 L PHP-CGM % | 6 L CPT % | 7 L NS % | 9 P PHP-CGM % ")</f>
        <v xml:space="preserve">| 5 L PHP-CGM % | 6 L CPT % | 7 L NS % | 9 P PHP-CGM % </v>
      </c>
      <c r="CC265" s="4" t="str">
        <f ca="1">IFERROR(__xludf.DUMMYFUNCTION("""COMPUTED_VALUE"""),"| 5 L JAVA % | 6 L NS % | 9 P CPT % ")</f>
        <v xml:space="preserve">| 5 L JAVA % | 6 L NS % | 9 P CPT % </v>
      </c>
      <c r="CD265" s="4" t="str">
        <f ca="1">IFERROR(__xludf.DUMMYFUNCTION("""COMPUTED_VALUE"""),"| 5 L INE % | 7 P NS % ")</f>
        <v xml:space="preserve">| 5 L INE % | 7 P NS % </v>
      </c>
      <c r="CE265" s="4" t="str">
        <f ca="1">IFERROR(__xludf.DUMMYFUNCTION("""COMPUTED_VALUE"""),"| 5 L CPT % | 6 L PHP-CGM % | 7 P JAVA % | 9 P Python % ")</f>
        <v xml:space="preserve">| 5 L CPT % | 6 L PHP-CGM % | 7 P JAVA % | 9 P Python % </v>
      </c>
      <c r="CF265" s="4" t="str">
        <f ca="1">IFERROR(__xludf.DUMMYFUNCTION("""COMPUTED_VALUE"""),"| 5 L JAVA % | 6 L NS @ | 7 L PHP-CGM @ | 8 L CPT @ | 9 P JAVA % ")</f>
        <v xml:space="preserve">| 5 L JAVA % | 6 L NS @ | 7 L PHP-CGM @ | 8 L CPT @ | 9 P JAVA % </v>
      </c>
      <c r="CG265" s="4" t="str">
        <f ca="1">IFERROR(__xludf.DUMMYFUNCTION("""COMPUTED_VALUE"""),"| 5 L PHP-CGM @ | 6 L CPT @ | 7 L JAVA % | 8 L NS @ | 9 P PHP-CGM % ")</f>
        <v xml:space="preserve">| 5 L PHP-CGM @ | 6 L CPT @ | 7 L JAVA % | 8 L NS @ | 9 P PHP-CGM % </v>
      </c>
      <c r="CH265" s="4" t="str">
        <f ca="1">IFERROR(__xludf.DUMMYFUNCTION("""COMPUTED_VALUE"""),"| 5 L JAVA % | 6 L NS % | 9 P CPT % ")</f>
        <v xml:space="preserve">| 5 L JAVA % | 6 L NS % | 9 P CPT % </v>
      </c>
      <c r="CI265" s="4" t="str">
        <f ca="1">IFERROR(__xludf.DUMMYFUNCTION("""COMPUTED_VALUE"""),"| 5 L INE @ | 9 P Python % ")</f>
        <v xml:space="preserve">| 5 L INE @ | 9 P Python % </v>
      </c>
      <c r="CJ265" s="4" t="str">
        <f ca="1">IFERROR(__xludf.DUMMYFUNCTION("""COMPUTED_VALUE"""),"| 5 L CPT @ | 6 L PHP-CGM @ ")</f>
        <v xml:space="preserve">| 5 L CPT @ | 6 L PHP-CGM @ </v>
      </c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</row>
    <row r="266" spans="1:102" ht="12.5" x14ac:dyDescent="0.25">
      <c r="A266" s="3">
        <f ca="1">IFERROR(__xludf.DUMMYFUNCTION("""COMPUTED_VALUE"""),1)</f>
        <v>1</v>
      </c>
      <c r="B266" s="3" t="str">
        <f ca="1">IFERROR(__xludf.DUMMYFUNCTION("""COMPUTED_VALUE"""),"D")</f>
        <v>D</v>
      </c>
      <c r="C266" s="32" t="str">
        <f ca="1">IFERROR(__xludf.DUMMYFUNCTION("""COMPUTED_VALUE"""),"23171341004")</f>
        <v>23171341004</v>
      </c>
      <c r="D266" s="4" t="str">
        <f ca="1">IFERROR(__xludf.DUMMYFUNCTION("""COMPUTED_VALUE"""),"ARYAN MODI")</f>
        <v>ARYAN MODI</v>
      </c>
      <c r="E266" s="3" t="str">
        <f ca="1">IFERROR(__xludf.DUMMYFUNCTION("""COMPUTED_VALUE"""),"ZPP - Eve")</f>
        <v>ZPP - Eve</v>
      </c>
      <c r="F266" s="3">
        <f ca="1">IFERROR(__xludf.DUMMYFUNCTION("""COMPUTED_VALUE"""),9327354082)</f>
        <v>9327354082</v>
      </c>
      <c r="G266" s="3">
        <f ca="1">IFERROR(__xludf.DUMMYFUNCTION("""COMPUTED_VALUE"""),7359739554)</f>
        <v>7359739554</v>
      </c>
      <c r="H266" s="33">
        <f ca="1">IFERROR(__xludf.DUMMYFUNCTION("""COMPUTED_VALUE"""),0.90748898678414)</f>
        <v>0.90748898678414003</v>
      </c>
      <c r="I266" s="25">
        <f ca="1">IFERROR(__xludf.DUMMYFUNCTION("""COMPUTED_VALUE"""),0.885714285714285)</f>
        <v>0.88571428571428501</v>
      </c>
      <c r="J266" s="25">
        <f ca="1">IFERROR(__xludf.DUMMYFUNCTION("""COMPUTED_VALUE"""),0.909090909090909)</f>
        <v>0.90909090909090895</v>
      </c>
      <c r="K266" s="25">
        <f ca="1">IFERROR(__xludf.DUMMYFUNCTION("""COMPUTED_VALUE"""),0.90625)</f>
        <v>0.90625</v>
      </c>
      <c r="L266" s="25">
        <f ca="1">IFERROR(__xludf.DUMMYFUNCTION("""COMPUTED_VALUE"""),1)</f>
        <v>1</v>
      </c>
      <c r="M266" s="25">
        <f ca="1">IFERROR(__xludf.DUMMYFUNCTION("""COMPUTED_VALUE"""),0.888888888888888)</f>
        <v>0.88888888888888795</v>
      </c>
      <c r="N266" s="25">
        <f ca="1">IFERROR(__xludf.DUMMYFUNCTION("""COMPUTED_VALUE"""),0.888888888888888)</f>
        <v>0.88888888888888795</v>
      </c>
      <c r="O266" s="25">
        <f ca="1">IFERROR(__xludf.DUMMYFUNCTION("""COMPUTED_VALUE"""),0.916666666666666)</f>
        <v>0.91666666666666596</v>
      </c>
      <c r="P266" s="25">
        <f ca="1">IFERROR(__xludf.DUMMYFUNCTION("""COMPUTED_VALUE"""),0.947368421052631)</f>
        <v>0.94736842105263097</v>
      </c>
      <c r="Q266" s="25">
        <f ca="1">IFERROR(__xludf.DUMMYFUNCTION("""COMPUTED_VALUE"""),0)</f>
        <v>0</v>
      </c>
      <c r="R266" s="25">
        <f ca="1">IFERROR(__xludf.DUMMYFUNCTION("""COMPUTED_VALUE"""),0.875)</f>
        <v>0.875</v>
      </c>
      <c r="S266" s="25">
        <f ca="1">IFERROR(__xludf.DUMMYFUNCTION("""COMPUTED_VALUE"""),0.846153846153846)</f>
        <v>0.84615384615384603</v>
      </c>
      <c r="T266" s="25">
        <f ca="1">IFERROR(__xludf.DUMMYFUNCTION("""COMPUTED_VALUE"""),1)</f>
        <v>1</v>
      </c>
      <c r="U266" s="25">
        <f ca="1">IFERROR(__xludf.DUMMYFUNCTION("""COMPUTED_VALUE"""),1)</f>
        <v>1</v>
      </c>
      <c r="V266" s="25">
        <f ca="1">IFERROR(__xludf.DUMMYFUNCTION("""COMPUTED_VALUE"""),0)</f>
        <v>0</v>
      </c>
      <c r="W266" s="4"/>
      <c r="X266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66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66" s="4" t="str">
        <f ca="1">IFERROR(__xludf.DUMMYFUNCTION("""COMPUTED_VALUE"""),"| 5 L NS % | 6 L JAVA % | 7 L PRO % | 8 L PRO % | 9 P CPT % ")</f>
        <v xml:space="preserve">| 5 L NS % | 6 L JAVA % | 7 L PRO % | 8 L PRO % | 9 P CPT % </v>
      </c>
      <c r="AA266" s="4" t="str">
        <f ca="1">IFERROR(__xludf.DUMMYFUNCTION("""COMPUTED_VALUE"""),"| 7 P JAVA % | 9 P Python % ")</f>
        <v xml:space="preserve">| 7 P JAVA % | 9 P Python % </v>
      </c>
      <c r="AB266" s="4" t="str">
        <f ca="1">IFERROR(__xludf.DUMMYFUNCTION("""COMPUTED_VALUE"""),"| 5 L JAVA % | 6 L PHP-CGM % | 7 P NS % | 9 P Python % ")</f>
        <v xml:space="preserve">| 5 L JAVA % | 6 L PHP-CGM % | 7 P NS % | 9 P Python % </v>
      </c>
      <c r="AC266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66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66" s="4" t="str">
        <f ca="1">IFERROR(__xludf.DUMMYFUNCTION("""COMPUTED_VALUE"""),"| 5 L JAVA % | 6 L NS % | 7 L PRO % | 9 P CPT % ")</f>
        <v xml:space="preserve">| 5 L JAVA % | 6 L NS % | 7 L PRO % | 9 P CPT % </v>
      </c>
      <c r="AF266" s="4" t="str">
        <f ca="1">IFERROR(__xludf.DUMMYFUNCTION("""COMPUTED_VALUE"""),"| 7 P JAVA % ")</f>
        <v xml:space="preserve">| 7 P JAVA % </v>
      </c>
      <c r="AG266" s="4" t="str">
        <f ca="1">IFERROR(__xludf.DUMMYFUNCTION("""COMPUTED_VALUE"""),"| 5 L CPT % | 6 L PHP-CGM % | 7 P NS % | 9 P Python % ")</f>
        <v xml:space="preserve">| 5 L CPT % | 6 L PHP-CGM % | 7 P NS % | 9 P Python % </v>
      </c>
      <c r="AH266" s="4" t="str">
        <f ca="1">IFERROR(__xludf.DUMMYFUNCTION("""COMPUTED_VALUE"""),"| 7 P JAVA % | 9 P Python @ ")</f>
        <v xml:space="preserve">| 7 P JAVA % | 9 P Python @ </v>
      </c>
      <c r="AI266" s="4" t="str">
        <f ca="1">IFERROR(__xludf.DUMMYFUNCTION("""COMPUTED_VALUE"""),"| 5 L CPT % | 6 L PHP-CGM % | 7 P NS % | 9 P Python % ")</f>
        <v xml:space="preserve">| 5 L CPT % | 6 L PHP-CGM % | 7 P NS % | 9 P Python % </v>
      </c>
      <c r="AJ266" s="4" t="str">
        <f ca="1">IFERROR(__xludf.DUMMYFUNCTION("""COMPUTED_VALUE"""),"| 5 L JAVA % | 6 L NS % | 7 L PHP-CGM @ | 9 P JAVA @ | 8 L CPT @ ")</f>
        <v xml:space="preserve">| 5 L JAVA % | 6 L NS % | 7 L PHP-CGM @ | 9 P JAVA @ | 8 L CPT @ </v>
      </c>
      <c r="AK266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66" s="4" t="str">
        <f ca="1">IFERROR(__xludf.DUMMYFUNCTION("""COMPUTED_VALUE"""),"| 6 L NS % | 7 L NS % | 7 L PRO % | 8 L PRO % | 9 P CPT % ")</f>
        <v xml:space="preserve">| 6 L NS % | 7 L NS % | 7 L PRO % | 8 L PRO % | 9 P CPT % </v>
      </c>
      <c r="AM266" s="4" t="str">
        <f ca="1">IFERROR(__xludf.DUMMYFUNCTION("""COMPUTED_VALUE"""),"| 5 L INE % | 7 P JAVA % | 9 P Python % ")</f>
        <v xml:space="preserve">| 5 L INE % | 7 P JAVA % | 9 P Python % </v>
      </c>
      <c r="AN266" s="4" t="str">
        <f ca="1">IFERROR(__xludf.DUMMYFUNCTION("""COMPUTED_VALUE"""),"| 5 L CPT % | 6 L PHP-CGM % ")</f>
        <v xml:space="preserve">| 5 L CPT % | 6 L PHP-CGM % </v>
      </c>
      <c r="AO266" s="4" t="str">
        <f ca="1">IFERROR(__xludf.DUMMYFUNCTION("""COMPUTED_VALUE"""),"| 5 L JAVA % | 5 L NS % | 7 L PHP-CGM % | 8 L CPT % ")</f>
        <v xml:space="preserve">| 5 L JAVA % | 5 L NS % | 7 L PHP-CGM % | 8 L CPT % </v>
      </c>
      <c r="AP266" s="4" t="str">
        <f ca="1">IFERROR(__xludf.DUMMYFUNCTION("""COMPUTED_VALUE"""),"| 5 L PHP-CGM % | 6 L CPT % | 7 L JAVA % | 7 L NS % ")</f>
        <v xml:space="preserve">| 5 L PHP-CGM % | 6 L CPT % | 7 L JAVA % | 7 L NS % </v>
      </c>
      <c r="AQ266" s="4" t="str">
        <f ca="1">IFERROR(__xludf.DUMMYFUNCTION("""COMPUTED_VALUE"""),"| 5 L JAVA % | 6 L NS % | 7 L PRO % | 8 L PRO % | 9 P CPT % ")</f>
        <v xml:space="preserve">| 5 L JAVA % | 6 L NS % | 7 L PRO % | 8 L PRO % | 9 P CPT % </v>
      </c>
      <c r="AR266" s="4" t="str">
        <f ca="1">IFERROR(__xludf.DUMMYFUNCTION("""COMPUTED_VALUE"""),"| 5 L INE % ")</f>
        <v xml:space="preserve">| 5 L INE % </v>
      </c>
      <c r="AS266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AT266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66" s="4" t="str">
        <f ca="1">IFERROR(__xludf.DUMMYFUNCTION("""COMPUTED_VALUE"""),"| 5 L JAVA % | 6 L NS % | 7 P PRO % | 9 P CPT % ")</f>
        <v xml:space="preserve">| 5 L JAVA % | 6 L NS % | 7 P PRO % | 9 P CPT % </v>
      </c>
      <c r="AV266" s="4" t="str">
        <f ca="1">IFERROR(__xludf.DUMMYFUNCTION("""COMPUTED_VALUE"""),"| 5 L INE % | 7 P JAVA % | 9 P Python % ")</f>
        <v xml:space="preserve">| 5 L INE % | 7 P JAVA % | 9 P Python % </v>
      </c>
      <c r="AW266" s="4" t="str">
        <f ca="1">IFERROR(__xludf.DUMMYFUNCTION("""COMPUTED_VALUE"""),"| 5 L CPT % | 6 L PHP-CGM % | 7 P NS % | 9 P Python % ")</f>
        <v xml:space="preserve">| 5 L CPT % | 6 L PHP-CGM % | 7 P NS % | 9 P Python % </v>
      </c>
      <c r="AX266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66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66" s="4" t="str">
        <f ca="1">IFERROR(__xludf.DUMMYFUNCTION("""COMPUTED_VALUE"""),"| 5 L INE % | 7 P JAVA % ")</f>
        <v xml:space="preserve">| 5 L INE % | 7 P JAVA % </v>
      </c>
      <c r="BA266" s="4" t="str">
        <f ca="1">IFERROR(__xludf.DUMMYFUNCTION("""COMPUTED_VALUE"""),"| 5 L CPT % | 6 L PHP-CGM % | 7 P NS % | 9 P Python % ")</f>
        <v xml:space="preserve">| 5 L CPT % | 6 L PHP-CGM % | 7 P NS % | 9 P Python % </v>
      </c>
      <c r="BB266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66" s="4" t="str">
        <f ca="1">IFERROR(__xludf.DUMMYFUNCTION("""COMPUTED_VALUE"""),"| 5 L PHP-CGM % | 6 L CPT % | 7 L JAVA @ | 8 L NS @ | 9 P PHP-CGM @ ")</f>
        <v xml:space="preserve">| 5 L PHP-CGM % | 6 L CPT % | 7 L JAVA @ | 8 L NS @ | 9 P PHP-CGM @ </v>
      </c>
      <c r="BD266" s="4" t="str">
        <f ca="1">IFERROR(__xludf.DUMMYFUNCTION("""COMPUTED_VALUE"""),"| 5 L JAVA % | 6 L NS % | 7 L PRO % | 8 L PRO % | 9 P CPT % ")</f>
        <v xml:space="preserve">| 5 L JAVA % | 6 L NS % | 7 L PRO % | 8 L PRO % | 9 P CPT % </v>
      </c>
      <c r="BE266" s="4" t="str">
        <f ca="1">IFERROR(__xludf.DUMMYFUNCTION("""COMPUTED_VALUE"""),"| 5 L INE % | 7 P JAVA % | 9 P Python % ")</f>
        <v xml:space="preserve">| 5 L INE % | 7 P JAVA % | 9 P Python % </v>
      </c>
      <c r="BF266" s="4" t="str">
        <f ca="1">IFERROR(__xludf.DUMMYFUNCTION("""COMPUTED_VALUE"""),"| 5 L CPT % | 6 L PHP-CGM % | 7 P NS % | 9 P Python % ")</f>
        <v xml:space="preserve">| 5 L CPT % | 6 L PHP-CGM % | 7 P NS % | 9 P Python % </v>
      </c>
      <c r="BG266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66" s="4" t="str">
        <f ca="1">IFERROR(__xludf.DUMMYFUNCTION("""COMPUTED_VALUE"""),"| 5 L JAVA @ | 6 L NS @ | 7 L PRO % | 9 P CPT % ")</f>
        <v xml:space="preserve">| 5 L JAVA @ | 6 L NS @ | 7 L PRO % | 9 P CPT % </v>
      </c>
      <c r="BI266" s="4" t="str">
        <f ca="1">IFERROR(__xludf.DUMMYFUNCTION("""COMPUTED_VALUE"""),"| 5 L INE % | 7 P JAVA % | 9 P Python @ ")</f>
        <v xml:space="preserve">| 5 L INE % | 7 P JAVA % | 9 P Python @ </v>
      </c>
      <c r="BJ266" s="4" t="str">
        <f ca="1">IFERROR(__xludf.DUMMYFUNCTION("""COMPUTED_VALUE"""),"| 5 L CPT % | 6 L PHP-CGM % | 7 P NS % ")</f>
        <v xml:space="preserve">| 5 L CPT % | 6 L PHP-CGM % | 7 P NS % </v>
      </c>
      <c r="BK266" s="4" t="str">
        <f ca="1">IFERROR(__xludf.DUMMYFUNCTION("""COMPUTED_VALUE"""),"| 5 L JAVA % | 7 L PHP-CGM % | 8 L CPT % ")</f>
        <v xml:space="preserve">| 5 L JAVA % | 7 L PHP-CGM % | 8 L CPT % </v>
      </c>
      <c r="BL266" s="4" t="str">
        <f ca="1">IFERROR(__xludf.DUMMYFUNCTION("""COMPUTED_VALUE"""),"| 5 L PHP-CGM % | 6 L CPT % | 8 L NS % ")</f>
        <v xml:space="preserve">| 5 L PHP-CGM % | 6 L CPT % | 8 L NS % </v>
      </c>
      <c r="BM266" s="4" t="str">
        <f ca="1">IFERROR(__xludf.DUMMYFUNCTION("""COMPUTED_VALUE"""),"| 5 L JAVA @ | 6 L NS @ | 7 L PRO @ | 8 L PRO @ | 9 P CPT @ ")</f>
        <v xml:space="preserve">| 5 L JAVA @ | 6 L NS @ | 7 L PRO @ | 8 L PRO @ | 9 P CPT @ </v>
      </c>
      <c r="BN266" s="4" t="str">
        <f ca="1">IFERROR(__xludf.DUMMYFUNCTION("""COMPUTED_VALUE"""),"| 5 L INE % ")</f>
        <v xml:space="preserve">| 5 L INE % </v>
      </c>
      <c r="BO266" s="4" t="str">
        <f ca="1">IFERROR(__xludf.DUMMYFUNCTION("""COMPUTED_VALUE"""),"| 5 L CPT @ | 6 L PHP-CGM @ ")</f>
        <v xml:space="preserve">| 5 L CPT @ | 6 L PHP-CGM @ </v>
      </c>
      <c r="BP266" s="4" t="str">
        <f ca="1">IFERROR(__xludf.DUMMYFUNCTION("""COMPUTED_VALUE"""),"| 5 L JAVA % | 6 L JAVA % | 7 L PHP-CGM % | 8 L CPT % ")</f>
        <v xml:space="preserve">| 5 L JAVA % | 6 L JAVA % | 7 L PHP-CGM % | 8 L CPT % </v>
      </c>
      <c r="BQ266" s="4" t="str">
        <f ca="1">IFERROR(__xludf.DUMMYFUNCTION("""COMPUTED_VALUE"""),"| 5 L JAVA % ")</f>
        <v xml:space="preserve">| 5 L JAVA % </v>
      </c>
      <c r="BR266" s="4"/>
      <c r="BS266" s="4"/>
      <c r="BT266" s="4" t="str">
        <f ca="1">IFERROR(__xludf.DUMMYFUNCTION("""COMPUTED_VALUE"""),"| 7 L PHP-CGM @ | 8 L CPT @ ")</f>
        <v xml:space="preserve">| 7 L PHP-CGM @ | 8 L CPT @ </v>
      </c>
      <c r="BU266" s="4" t="str">
        <f ca="1">IFERROR(__xludf.DUMMYFUNCTION("""COMPUTED_VALUE"""),"| 8 L NS % ")</f>
        <v xml:space="preserve">| 8 L NS % </v>
      </c>
      <c r="BV266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W266" s="4"/>
      <c r="BX266" s="4" t="str">
        <f ca="1">IFERROR(__xludf.DUMMYFUNCTION("""COMPUTED_VALUE"""),"| 5 L JAVA % | 6 L NS % | 7 L PRO % | 9 P CPT % ")</f>
        <v xml:space="preserve">| 5 L JAVA % | 6 L NS % | 7 L PRO % | 9 P CPT % </v>
      </c>
      <c r="BY266" s="4" t="str">
        <f ca="1">IFERROR(__xludf.DUMMYFUNCTION("""COMPUTED_VALUE"""),"| 5 L INE % | 7 P JAVA % | 9 P Python % ")</f>
        <v xml:space="preserve">| 5 L INE % | 7 P JAVA % | 9 P Python % </v>
      </c>
      <c r="BZ266" s="4" t="str">
        <f ca="1">IFERROR(__xludf.DUMMYFUNCTION("""COMPUTED_VALUE"""),"| 5 L CPT % | 6 L PHP-CGM % | 7 P NS % | 9 P Python % ")</f>
        <v xml:space="preserve">| 5 L CPT % | 6 L PHP-CGM % | 7 P NS % | 9 P Python % </v>
      </c>
      <c r="CA266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66" s="4" t="str">
        <f ca="1">IFERROR(__xludf.DUMMYFUNCTION("""COMPUTED_VALUE"""),"| 5 L PHP-CGM % | 6 L CPT % | 7 L NS % | 9 P PHP-CGM % ")</f>
        <v xml:space="preserve">| 5 L PHP-CGM % | 6 L CPT % | 7 L NS % | 9 P PHP-CGM % </v>
      </c>
      <c r="CC266" s="4" t="str">
        <f ca="1">IFERROR(__xludf.DUMMYFUNCTION("""COMPUTED_VALUE"""),"| 5 L JAVA % | 6 L NS % | 9 P CPT % ")</f>
        <v xml:space="preserve">| 5 L JAVA % | 6 L NS % | 9 P CPT % </v>
      </c>
      <c r="CD266" s="4" t="str">
        <f ca="1">IFERROR(__xludf.DUMMYFUNCTION("""COMPUTED_VALUE"""),"| 5 L INE % | 7 P NS % ")</f>
        <v xml:space="preserve">| 5 L INE % | 7 P NS % </v>
      </c>
      <c r="CE266" s="4" t="str">
        <f ca="1">IFERROR(__xludf.DUMMYFUNCTION("""COMPUTED_VALUE"""),"| 5 L CPT % | 6 L PHP-CGM % | 7 P JAVA % | 9 P Python % ")</f>
        <v xml:space="preserve">| 5 L CPT % | 6 L PHP-CGM % | 7 P JAVA % | 9 P Python % </v>
      </c>
      <c r="CF266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CG266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CH266" s="4" t="str">
        <f ca="1">IFERROR(__xludf.DUMMYFUNCTION("""COMPUTED_VALUE"""),"| 5 L JAVA % | 6 L NS % | 9 P CPT % ")</f>
        <v xml:space="preserve">| 5 L JAVA % | 6 L NS % | 9 P CPT % </v>
      </c>
      <c r="CI266" s="4" t="str">
        <f ca="1">IFERROR(__xludf.DUMMYFUNCTION("""COMPUTED_VALUE"""),"| 5 L INE % | 9 P Python % ")</f>
        <v xml:space="preserve">| 5 L INE % | 9 P Python % </v>
      </c>
      <c r="CJ266" s="4" t="str">
        <f ca="1">IFERROR(__xludf.DUMMYFUNCTION("""COMPUTED_VALUE"""),"| 5 L CPT @ | 6 L PHP-CGM @ ")</f>
        <v xml:space="preserve">| 5 L CPT @ | 6 L PHP-CGM @ </v>
      </c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</row>
    <row r="267" spans="1:102" ht="12.5" x14ac:dyDescent="0.25">
      <c r="A267" s="3">
        <f ca="1">IFERROR(__xludf.DUMMYFUNCTION("""COMPUTED_VALUE"""),1)</f>
        <v>1</v>
      </c>
      <c r="B267" s="3" t="str">
        <f ca="1">IFERROR(__xludf.DUMMYFUNCTION("""COMPUTED_VALUE"""),"D")</f>
        <v>D</v>
      </c>
      <c r="C267" s="32" t="str">
        <f ca="1">IFERROR(__xludf.DUMMYFUNCTION("""COMPUTED_VALUE"""),"23171341005")</f>
        <v>23171341005</v>
      </c>
      <c r="D267" s="4" t="str">
        <f ca="1">IFERROR(__xludf.DUMMYFUNCTION("""COMPUTED_VALUE"""),"BAKARANIYA SMIT RAKESHBHAI")</f>
        <v>BAKARANIYA SMIT RAKESHBHAI</v>
      </c>
      <c r="E267" s="3" t="str">
        <f ca="1">IFERROR(__xludf.DUMMYFUNCTION("""COMPUTED_VALUE"""),"ZPP - Eve")</f>
        <v>ZPP - Eve</v>
      </c>
      <c r="F267" s="3" t="str">
        <f ca="1">IFERROR(__xludf.DUMMYFUNCTION("""COMPUTED_VALUE"""),"9927018307, 9327544852")</f>
        <v>9927018307, 9327544852</v>
      </c>
      <c r="G267" s="3">
        <f ca="1">IFERROR(__xludf.DUMMYFUNCTION("""COMPUTED_VALUE"""),9714105347)</f>
        <v>9714105347</v>
      </c>
      <c r="H267" s="33">
        <f ca="1">IFERROR(__xludf.DUMMYFUNCTION("""COMPUTED_VALUE"""),0.58590308370044)</f>
        <v>0.58590308370043997</v>
      </c>
      <c r="I267" s="25">
        <f ca="1">IFERROR(__xludf.DUMMYFUNCTION("""COMPUTED_VALUE"""),0.485714285714285)</f>
        <v>0.48571428571428499</v>
      </c>
      <c r="J267" s="25">
        <f ca="1">IFERROR(__xludf.DUMMYFUNCTION("""COMPUTED_VALUE"""),0.727272727272727)</f>
        <v>0.72727272727272696</v>
      </c>
      <c r="K267" s="25">
        <f ca="1">IFERROR(__xludf.DUMMYFUNCTION("""COMPUTED_VALUE"""),0.625)</f>
        <v>0.625</v>
      </c>
      <c r="L267" s="25">
        <f ca="1">IFERROR(__xludf.DUMMYFUNCTION("""COMPUTED_VALUE"""),0.666666666666666)</f>
        <v>0.66666666666666596</v>
      </c>
      <c r="M267" s="25">
        <f ca="1">IFERROR(__xludf.DUMMYFUNCTION("""COMPUTED_VALUE"""),0.472222222222222)</f>
        <v>0.47222222222222199</v>
      </c>
      <c r="N267" s="25">
        <f ca="1">IFERROR(__xludf.DUMMYFUNCTION("""COMPUTED_VALUE"""),0.666666666666666)</f>
        <v>0.66666666666666596</v>
      </c>
      <c r="O267" s="25">
        <f ca="1">IFERROR(__xludf.DUMMYFUNCTION("""COMPUTED_VALUE"""),0.694444444444444)</f>
        <v>0.69444444444444398</v>
      </c>
      <c r="P267" s="25">
        <f ca="1">IFERROR(__xludf.DUMMYFUNCTION("""COMPUTED_VALUE"""),0.684210526315789)</f>
        <v>0.68421052631578905</v>
      </c>
      <c r="Q267" s="25">
        <f ca="1">IFERROR(__xludf.DUMMYFUNCTION("""COMPUTED_VALUE"""),0)</f>
        <v>0</v>
      </c>
      <c r="R267" s="25">
        <f ca="1">IFERROR(__xludf.DUMMYFUNCTION("""COMPUTED_VALUE"""),0.5625)</f>
        <v>0.5625</v>
      </c>
      <c r="S267" s="25">
        <f ca="1">IFERROR(__xludf.DUMMYFUNCTION("""COMPUTED_VALUE"""),0.307692307692307)</f>
        <v>0.30769230769230699</v>
      </c>
      <c r="T267" s="25">
        <f ca="1">IFERROR(__xludf.DUMMYFUNCTION("""COMPUTED_VALUE"""),1)</f>
        <v>1</v>
      </c>
      <c r="U267" s="25">
        <f ca="1">IFERROR(__xludf.DUMMYFUNCTION("""COMPUTED_VALUE"""),0.7)</f>
        <v>0.7</v>
      </c>
      <c r="V267" s="25">
        <f ca="1">IFERROR(__xludf.DUMMYFUNCTION("""COMPUTED_VALUE"""),0)</f>
        <v>0</v>
      </c>
      <c r="W267" s="4"/>
      <c r="X267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Y267" s="4" t="str">
        <f ca="1">IFERROR(__xludf.DUMMYFUNCTION("""COMPUTED_VALUE"""),"| 5 L PHP-CGM @ | 6 L CPT @ | 7 L NS @ | 8 L JAVA @ | 9 P PHP-CGM @ ")</f>
        <v xml:space="preserve">| 5 L PHP-CGM @ | 6 L CPT @ | 7 L NS @ | 8 L JAVA @ | 9 P PHP-CGM @ </v>
      </c>
      <c r="Z267" s="4" t="str">
        <f ca="1">IFERROR(__xludf.DUMMYFUNCTION("""COMPUTED_VALUE"""),"| 5 L NS @ | 6 L JAVA @ | 7 L PRO @ | 8 L PRO @ | 9 P CPT @ ")</f>
        <v xml:space="preserve">| 5 L NS @ | 6 L JAVA @ | 7 L PRO @ | 8 L PRO @ | 9 P CPT @ </v>
      </c>
      <c r="AA267" s="4" t="str">
        <f ca="1">IFERROR(__xludf.DUMMYFUNCTION("""COMPUTED_VALUE"""),"| 7 P JAVA @ | 9 P Python @ ")</f>
        <v xml:space="preserve">| 7 P JAVA @ | 9 P Python @ </v>
      </c>
      <c r="AB267" s="4" t="str">
        <f ca="1">IFERROR(__xludf.DUMMYFUNCTION("""COMPUTED_VALUE"""),"| 5 L JAVA % | 6 L PHP-CGM % | 7 P NS % | 9 P Python % ")</f>
        <v xml:space="preserve">| 5 L JAVA % | 6 L PHP-CGM % | 7 P NS % | 9 P Python % </v>
      </c>
      <c r="AC267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67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67" s="4" t="str">
        <f ca="1">IFERROR(__xludf.DUMMYFUNCTION("""COMPUTED_VALUE"""),"| 5 L JAVA % | 6 L NS % | 7 L PRO % | 9 P CPT % ")</f>
        <v xml:space="preserve">| 5 L JAVA % | 6 L NS % | 7 L PRO % | 9 P CPT % </v>
      </c>
      <c r="AF267" s="4" t="str">
        <f ca="1">IFERROR(__xludf.DUMMYFUNCTION("""COMPUTED_VALUE"""),"| 7 P JAVA % ")</f>
        <v xml:space="preserve">| 7 P JAVA % </v>
      </c>
      <c r="AG267" s="4" t="str">
        <f ca="1">IFERROR(__xludf.DUMMYFUNCTION("""COMPUTED_VALUE"""),"| 5 L CPT % | 6 L PHP-CGM % | 7 P NS % | 9 P Python % ")</f>
        <v xml:space="preserve">| 5 L CPT % | 6 L PHP-CGM % | 7 P NS % | 9 P Python % </v>
      </c>
      <c r="AH267" s="4" t="str">
        <f ca="1">IFERROR(__xludf.DUMMYFUNCTION("""COMPUTED_VALUE"""),"| 7 P JAVA % | 9 P Python % ")</f>
        <v xml:space="preserve">| 7 P JAVA % | 9 P Python % </v>
      </c>
      <c r="AI267" s="4" t="str">
        <f ca="1">IFERROR(__xludf.DUMMYFUNCTION("""COMPUTED_VALUE"""),"| 5 L CPT % | 6 L PHP-CGM % | 7 P NS % | 9 P Python % ")</f>
        <v xml:space="preserve">| 5 L CPT % | 6 L PHP-CGM % | 7 P NS % | 9 P Python % </v>
      </c>
      <c r="AJ267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67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67" s="4" t="str">
        <f ca="1">IFERROR(__xludf.DUMMYFUNCTION("""COMPUTED_VALUE"""),"| 6 L NS % | 7 L NS % | 7 L PRO % | 8 L PRO % | 9 P CPT % ")</f>
        <v xml:space="preserve">| 6 L NS % | 7 L NS % | 7 L PRO % | 8 L PRO % | 9 P CPT % </v>
      </c>
      <c r="AM267" s="4" t="str">
        <f ca="1">IFERROR(__xludf.DUMMYFUNCTION("""COMPUTED_VALUE"""),"| 5 L INE % | 7 P JAVA % | 9 P Python % ")</f>
        <v xml:space="preserve">| 5 L INE % | 7 P JAVA % | 9 P Python % </v>
      </c>
      <c r="AN267" s="4" t="str">
        <f ca="1">IFERROR(__xludf.DUMMYFUNCTION("""COMPUTED_VALUE"""),"| 5 L CPT @ | 6 L PHP-CGM @ ")</f>
        <v xml:space="preserve">| 5 L CPT @ | 6 L PHP-CGM @ </v>
      </c>
      <c r="AO267" s="4" t="str">
        <f ca="1">IFERROR(__xludf.DUMMYFUNCTION("""COMPUTED_VALUE"""),"| 5 L JAVA @ | 5 L NS @ | 7 L PHP-CGM @ | 8 L CPT @ ")</f>
        <v xml:space="preserve">| 5 L JAVA @ | 5 L NS @ | 7 L PHP-CGM @ | 8 L CPT @ </v>
      </c>
      <c r="AP267" s="4" t="str">
        <f ca="1">IFERROR(__xludf.DUMMYFUNCTION("""COMPUTED_VALUE"""),"| 5 L PHP-CGM @ | 6 L CPT @ | 7 L JAVA @ | 7 L NS @ ")</f>
        <v xml:space="preserve">| 5 L PHP-CGM @ | 6 L CPT @ | 7 L JAVA @ | 7 L NS @ </v>
      </c>
      <c r="AQ267" s="4" t="str">
        <f ca="1">IFERROR(__xludf.DUMMYFUNCTION("""COMPUTED_VALUE"""),"| 5 L JAVA @ | 6 L NS @ | 7 L PRO @ | 8 L PRO @ | 9 P CPT @ ")</f>
        <v xml:space="preserve">| 5 L JAVA @ | 6 L NS @ | 7 L PRO @ | 8 L PRO @ | 9 P CPT @ </v>
      </c>
      <c r="AR267" s="4" t="str">
        <f ca="1">IFERROR(__xludf.DUMMYFUNCTION("""COMPUTED_VALUE"""),"| 5 L INE @ ")</f>
        <v xml:space="preserve">| 5 L INE @ </v>
      </c>
      <c r="AS267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AT267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67" s="4" t="str">
        <f ca="1">IFERROR(__xludf.DUMMYFUNCTION("""COMPUTED_VALUE"""),"| 5 L JAVA % | 6 L NS % | 7 P PRO % | 9 P CPT % ")</f>
        <v xml:space="preserve">| 5 L JAVA % | 6 L NS % | 7 P PRO % | 9 P CPT % </v>
      </c>
      <c r="AV267" s="4" t="str">
        <f ca="1">IFERROR(__xludf.DUMMYFUNCTION("""COMPUTED_VALUE"""),"| 5 L INE % | 7 P JAVA % | 9 P Python % ")</f>
        <v xml:space="preserve">| 5 L INE % | 7 P JAVA % | 9 P Python % </v>
      </c>
      <c r="AW267" s="4" t="str">
        <f ca="1">IFERROR(__xludf.DUMMYFUNCTION("""COMPUTED_VALUE"""),"| 5 L CPT @ | 6 L PHP-CGM @ | 7 P NS @ | 9 P Python @ ")</f>
        <v xml:space="preserve">| 5 L CPT @ | 6 L PHP-CGM @ | 7 P NS @ | 9 P Python @ </v>
      </c>
      <c r="AX267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67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67" s="4" t="str">
        <f ca="1">IFERROR(__xludf.DUMMYFUNCTION("""COMPUTED_VALUE"""),"| 5 L INE % | 7 P JAVA % ")</f>
        <v xml:space="preserve">| 5 L INE % | 7 P JAVA % </v>
      </c>
      <c r="BA267" s="4" t="str">
        <f ca="1">IFERROR(__xludf.DUMMYFUNCTION("""COMPUTED_VALUE"""),"| 5 L CPT @ | 6 L PHP-CGM @ | 7 P NS @ | 9 P Python @ ")</f>
        <v xml:space="preserve">| 5 L CPT @ | 6 L PHP-CGM @ | 7 P NS @ | 9 P Python @ </v>
      </c>
      <c r="BB267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C267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D267" s="4" t="str">
        <f ca="1">IFERROR(__xludf.DUMMYFUNCTION("""COMPUTED_VALUE"""),"| 5 L JAVA % | 6 L NS @ | 7 L PRO @ | 8 L PRO @ | 9 P CPT @ ")</f>
        <v xml:space="preserve">| 5 L JAVA % | 6 L NS @ | 7 L PRO @ | 8 L PRO @ | 9 P CPT @ </v>
      </c>
      <c r="BE267" s="4" t="str">
        <f ca="1">IFERROR(__xludf.DUMMYFUNCTION("""COMPUTED_VALUE"""),"| 5 L INE % | 7 P JAVA @ | 9 P Python @ ")</f>
        <v xml:space="preserve">| 5 L INE % | 7 P JAVA @ | 9 P Python @ </v>
      </c>
      <c r="BF267" s="4" t="str">
        <f ca="1">IFERROR(__xludf.DUMMYFUNCTION("""COMPUTED_VALUE"""),"| 5 L CPT @ | 6 L PHP-CGM @ | 7 P NS % | 9 P Python @ ")</f>
        <v xml:space="preserve">| 5 L CPT @ | 6 L PHP-CGM @ | 7 P NS % | 9 P Python @ </v>
      </c>
      <c r="BG267" s="4" t="str">
        <f ca="1">IFERROR(__xludf.DUMMYFUNCTION("""COMPUTED_VALUE"""),"| 5 L PHP-CGM @ | 6 L CPT @ | 7 L JAVA @ | 8 L NS @ | 9 P PHP-CGM % ")</f>
        <v xml:space="preserve">| 5 L PHP-CGM @ | 6 L CPT @ | 7 L JAVA @ | 8 L NS @ | 9 P PHP-CGM % </v>
      </c>
      <c r="BH267" s="4" t="str">
        <f ca="1">IFERROR(__xludf.DUMMYFUNCTION("""COMPUTED_VALUE"""),"| 5 L JAVA @ | 6 L NS @ | 7 L PRO @ | 9 P CPT % ")</f>
        <v xml:space="preserve">| 5 L JAVA @ | 6 L NS @ | 7 L PRO @ | 9 P CPT % </v>
      </c>
      <c r="BI267" s="4" t="str">
        <f ca="1">IFERROR(__xludf.DUMMYFUNCTION("""COMPUTED_VALUE"""),"| 5 L INE @ | 7 P JAVA % | 9 P Python @ ")</f>
        <v xml:space="preserve">| 5 L INE @ | 7 P JAVA % | 9 P Python @ </v>
      </c>
      <c r="BJ267" s="4" t="str">
        <f ca="1">IFERROR(__xludf.DUMMYFUNCTION("""COMPUTED_VALUE"""),"| 5 L CPT % | 6 L PHP-CGM @ | 7 P NS @ ")</f>
        <v xml:space="preserve">| 5 L CPT % | 6 L PHP-CGM @ | 7 P NS @ </v>
      </c>
      <c r="BK267" s="4" t="str">
        <f ca="1">IFERROR(__xludf.DUMMYFUNCTION("""COMPUTED_VALUE"""),"| 5 L JAVA @ | 7 L PHP-CGM @ | 8 L CPT @ ")</f>
        <v xml:space="preserve">| 5 L JAVA @ | 7 L PHP-CGM @ | 8 L CPT @ </v>
      </c>
      <c r="BL267" s="4" t="str">
        <f ca="1">IFERROR(__xludf.DUMMYFUNCTION("""COMPUTED_VALUE"""),"| 5 L PHP-CGM % | 6 L CPT % | 8 L NS % ")</f>
        <v xml:space="preserve">| 5 L PHP-CGM % | 6 L CPT % | 8 L NS % </v>
      </c>
      <c r="BM267" s="4" t="str">
        <f ca="1">IFERROR(__xludf.DUMMYFUNCTION("""COMPUTED_VALUE"""),"| 5 L JAVA % | 6 L NS % | 7 L PRO @ | 8 L PRO @ | 9 P CPT % ")</f>
        <v xml:space="preserve">| 5 L JAVA % | 6 L NS % | 7 L PRO @ | 8 L PRO @ | 9 P CPT % </v>
      </c>
      <c r="BN267" s="4" t="str">
        <f ca="1">IFERROR(__xludf.DUMMYFUNCTION("""COMPUTED_VALUE"""),"| 5 L INE @ ")</f>
        <v xml:space="preserve">| 5 L INE @ </v>
      </c>
      <c r="BO267" s="4" t="str">
        <f ca="1">IFERROR(__xludf.DUMMYFUNCTION("""COMPUTED_VALUE"""),"| 5 L CPT @ | 6 L PHP-CGM @ ")</f>
        <v xml:space="preserve">| 5 L CPT @ | 6 L PHP-CGM @ </v>
      </c>
      <c r="BP267" s="4" t="str">
        <f ca="1">IFERROR(__xludf.DUMMYFUNCTION("""COMPUTED_VALUE"""),"| 5 L JAVA % | 6 L JAVA % | 7 L PHP-CGM % | 8 L CPT % ")</f>
        <v xml:space="preserve">| 5 L JAVA % | 6 L JAVA % | 7 L PHP-CGM % | 8 L CPT % </v>
      </c>
      <c r="BQ267" s="4" t="str">
        <f ca="1">IFERROR(__xludf.DUMMYFUNCTION("""COMPUTED_VALUE"""),"| 5 L JAVA % ")</f>
        <v xml:space="preserve">| 5 L JAVA % </v>
      </c>
      <c r="BR267" s="4"/>
      <c r="BS267" s="4"/>
      <c r="BT267" s="4" t="str">
        <f ca="1">IFERROR(__xludf.DUMMYFUNCTION("""COMPUTED_VALUE"""),"| 7 L PHP-CGM @ | 8 L CPT @ ")</f>
        <v xml:space="preserve">| 7 L PHP-CGM @ | 8 L CPT @ </v>
      </c>
      <c r="BU267" s="4" t="str">
        <f ca="1">IFERROR(__xludf.DUMMYFUNCTION("""COMPUTED_VALUE"""),"| 8 L NS @ ")</f>
        <v xml:space="preserve">| 8 L NS @ </v>
      </c>
      <c r="BV267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BW267" s="4"/>
      <c r="BX267" s="4" t="str">
        <f ca="1">IFERROR(__xludf.DUMMYFUNCTION("""COMPUTED_VALUE"""),"| 5 L JAVA % | 6 L NS % | 7 L PRO % | 9 P CPT % ")</f>
        <v xml:space="preserve">| 5 L JAVA % | 6 L NS % | 7 L PRO % | 9 P CPT % </v>
      </c>
      <c r="BY267" s="4" t="str">
        <f ca="1">IFERROR(__xludf.DUMMYFUNCTION("""COMPUTED_VALUE"""),"| 5 L INE % | 7 P JAVA % | 9 P Python % ")</f>
        <v xml:space="preserve">| 5 L INE % | 7 P JAVA % | 9 P Python % </v>
      </c>
      <c r="BZ267" s="4" t="str">
        <f ca="1">IFERROR(__xludf.DUMMYFUNCTION("""COMPUTED_VALUE"""),"| 5 L CPT % | 6 L PHP-CGM % | 7 P NS % | 9 P Python @ ")</f>
        <v xml:space="preserve">| 5 L CPT % | 6 L PHP-CGM % | 7 P NS % | 9 P Python @ </v>
      </c>
      <c r="CA267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67" s="4" t="str">
        <f ca="1">IFERROR(__xludf.DUMMYFUNCTION("""COMPUTED_VALUE"""),"| 5 L PHP-CGM % | 6 L CPT % | 7 L NS % | 9 P PHP-CGM @ ")</f>
        <v xml:space="preserve">| 5 L PHP-CGM % | 6 L CPT % | 7 L NS % | 9 P PHP-CGM @ </v>
      </c>
      <c r="CC267" s="4" t="str">
        <f ca="1">IFERROR(__xludf.DUMMYFUNCTION("""COMPUTED_VALUE"""),"| 5 L JAVA % | 6 L NS % | 9 P CPT % ")</f>
        <v xml:space="preserve">| 5 L JAVA % | 6 L NS % | 9 P CPT % </v>
      </c>
      <c r="CD267" s="4" t="str">
        <f ca="1">IFERROR(__xludf.DUMMYFUNCTION("""COMPUTED_VALUE"""),"| 5 L INE % | 7 P NS % ")</f>
        <v xml:space="preserve">| 5 L INE % | 7 P NS % </v>
      </c>
      <c r="CE267" s="4" t="str">
        <f ca="1">IFERROR(__xludf.DUMMYFUNCTION("""COMPUTED_VALUE"""),"| 5 L CPT % | 6 L PHP-CGM % | 7 P JAVA % | 9 P Python % ")</f>
        <v xml:space="preserve">| 5 L CPT % | 6 L PHP-CGM % | 7 P JAVA % | 9 P Python % </v>
      </c>
      <c r="CF267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CG267" s="4" t="str">
        <f ca="1">IFERROR(__xludf.DUMMYFUNCTION("""COMPUTED_VALUE"""),"| 5 L PHP-CGM @ | 6 L CPT @ | 7 L JAVA % | 8 L NS % | 9 P PHP-CGM % ")</f>
        <v xml:space="preserve">| 5 L PHP-CGM @ | 6 L CPT @ | 7 L JAVA % | 8 L NS % | 9 P PHP-CGM % </v>
      </c>
      <c r="CH267" s="4" t="str">
        <f ca="1">IFERROR(__xludf.DUMMYFUNCTION("""COMPUTED_VALUE"""),"| 5 L JAVA % | 6 L NS % | 9 P CPT % ")</f>
        <v xml:space="preserve">| 5 L JAVA % | 6 L NS % | 9 P CPT % </v>
      </c>
      <c r="CI267" s="4" t="str">
        <f ca="1">IFERROR(__xludf.DUMMYFUNCTION("""COMPUTED_VALUE"""),"| 5 L INE % | 9 P Python % ")</f>
        <v xml:space="preserve">| 5 L INE % | 9 P Python % </v>
      </c>
      <c r="CJ267" s="4" t="str">
        <f ca="1">IFERROR(__xludf.DUMMYFUNCTION("""COMPUTED_VALUE"""),"| 5 L CPT @ | 6 L PHP-CGM @ ")</f>
        <v xml:space="preserve">| 5 L CPT @ | 6 L PHP-CGM @ </v>
      </c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</row>
    <row r="268" spans="1:102" ht="12.5" x14ac:dyDescent="0.25">
      <c r="A268" s="3">
        <f ca="1">IFERROR(__xludf.DUMMYFUNCTION("""COMPUTED_VALUE"""),1)</f>
        <v>1</v>
      </c>
      <c r="B268" s="3" t="str">
        <f ca="1">IFERROR(__xludf.DUMMYFUNCTION("""COMPUTED_VALUE"""),"D")</f>
        <v>D</v>
      </c>
      <c r="C268" s="32" t="str">
        <f ca="1">IFERROR(__xludf.DUMMYFUNCTION("""COMPUTED_VALUE"""),"23171341006")</f>
        <v>23171341006</v>
      </c>
      <c r="D268" s="4" t="str">
        <f ca="1">IFERROR(__xludf.DUMMYFUNCTION("""COMPUTED_VALUE"""),"BAMANA ANKUR POPATBHAI")</f>
        <v>BAMANA ANKUR POPATBHAI</v>
      </c>
      <c r="E268" s="3" t="str">
        <f ca="1">IFERROR(__xludf.DUMMYFUNCTION("""COMPUTED_VALUE"""),"ZPP - Eve")</f>
        <v>ZPP - Eve</v>
      </c>
      <c r="F268" s="3">
        <f ca="1">IFERROR(__xludf.DUMMYFUNCTION("""COMPUTED_VALUE"""),9687664673)</f>
        <v>9687664673</v>
      </c>
      <c r="G268" s="3">
        <f ca="1">IFERROR(__xludf.DUMMYFUNCTION("""COMPUTED_VALUE"""),9687663573)</f>
        <v>9687663573</v>
      </c>
      <c r="H268" s="33">
        <f ca="1">IFERROR(__xludf.DUMMYFUNCTION("""COMPUTED_VALUE"""),0.726872246696035)</f>
        <v>0.72687224669603501</v>
      </c>
      <c r="I268" s="25">
        <f ca="1">IFERROR(__xludf.DUMMYFUNCTION("""COMPUTED_VALUE"""),0.628571428571428)</f>
        <v>0.628571428571428</v>
      </c>
      <c r="J268" s="25">
        <f ca="1">IFERROR(__xludf.DUMMYFUNCTION("""COMPUTED_VALUE"""),0.636363636363636)</f>
        <v>0.63636363636363602</v>
      </c>
      <c r="K268" s="25">
        <f ca="1">IFERROR(__xludf.DUMMYFUNCTION("""COMPUTED_VALUE"""),0.78125)</f>
        <v>0.78125</v>
      </c>
      <c r="L268" s="25">
        <f ca="1">IFERROR(__xludf.DUMMYFUNCTION("""COMPUTED_VALUE"""),0.666666666666666)</f>
        <v>0.66666666666666596</v>
      </c>
      <c r="M268" s="25">
        <f ca="1">IFERROR(__xludf.DUMMYFUNCTION("""COMPUTED_VALUE"""),0.638888888888888)</f>
        <v>0.63888888888888795</v>
      </c>
      <c r="N268" s="25">
        <f ca="1">IFERROR(__xludf.DUMMYFUNCTION("""COMPUTED_VALUE"""),0.777777777777777)</f>
        <v>0.77777777777777701</v>
      </c>
      <c r="O268" s="25">
        <f ca="1">IFERROR(__xludf.DUMMYFUNCTION("""COMPUTED_VALUE"""),0.833333333333333)</f>
        <v>0.83333333333333304</v>
      </c>
      <c r="P268" s="25">
        <f ca="1">IFERROR(__xludf.DUMMYFUNCTION("""COMPUTED_VALUE"""),0.684210526315789)</f>
        <v>0.68421052631578905</v>
      </c>
      <c r="Q268" s="25">
        <f ca="1">IFERROR(__xludf.DUMMYFUNCTION("""COMPUTED_VALUE"""),0)</f>
        <v>0</v>
      </c>
      <c r="R268" s="25">
        <f ca="1">IFERROR(__xludf.DUMMYFUNCTION("""COMPUTED_VALUE"""),0.75)</f>
        <v>0.75</v>
      </c>
      <c r="S268" s="25">
        <f ca="1">IFERROR(__xludf.DUMMYFUNCTION("""COMPUTED_VALUE"""),0.923076923076923)</f>
        <v>0.92307692307692302</v>
      </c>
      <c r="T268" s="25">
        <f ca="1">IFERROR(__xludf.DUMMYFUNCTION("""COMPUTED_VALUE"""),1)</f>
        <v>1</v>
      </c>
      <c r="U268" s="25">
        <f ca="1">IFERROR(__xludf.DUMMYFUNCTION("""COMPUTED_VALUE"""),0.7)</f>
        <v>0.7</v>
      </c>
      <c r="V268" s="25">
        <f ca="1">IFERROR(__xludf.DUMMYFUNCTION("""COMPUTED_VALUE"""),0)</f>
        <v>0</v>
      </c>
      <c r="W268" s="4"/>
      <c r="X268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Y268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68" s="4" t="str">
        <f ca="1">IFERROR(__xludf.DUMMYFUNCTION("""COMPUTED_VALUE"""),"| 5 L NS % | 6 L JAVA % | 7 L PRO % | 8 L PRO % | 9 P CPT % ")</f>
        <v xml:space="preserve">| 5 L NS % | 6 L JAVA % | 7 L PRO % | 8 L PRO % | 9 P CPT % </v>
      </c>
      <c r="AA268" s="4" t="str">
        <f ca="1">IFERROR(__xludf.DUMMYFUNCTION("""COMPUTED_VALUE"""),"| 7 P JAVA % | 9 P Python % ")</f>
        <v xml:space="preserve">| 7 P JAVA % | 9 P Python % </v>
      </c>
      <c r="AB268" s="4" t="str">
        <f ca="1">IFERROR(__xludf.DUMMYFUNCTION("""COMPUTED_VALUE"""),"| 5 L JAVA % | 6 L PHP-CGM % | 7 P NS % | 9 P Python @ ")</f>
        <v xml:space="preserve">| 5 L JAVA % | 6 L PHP-CGM % | 7 P NS % | 9 P Python @ </v>
      </c>
      <c r="AC268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68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68" s="4" t="str">
        <f ca="1">IFERROR(__xludf.DUMMYFUNCTION("""COMPUTED_VALUE"""),"| 5 L JAVA % | 6 L NS % | 7 L PRO % | 9 P CPT % ")</f>
        <v xml:space="preserve">| 5 L JAVA % | 6 L NS % | 7 L PRO % | 9 P CPT % </v>
      </c>
      <c r="AF268" s="4" t="str">
        <f ca="1">IFERROR(__xludf.DUMMYFUNCTION("""COMPUTED_VALUE"""),"| 7 P JAVA % ")</f>
        <v xml:space="preserve">| 7 P JAVA % </v>
      </c>
      <c r="AG268" s="4" t="str">
        <f ca="1">IFERROR(__xludf.DUMMYFUNCTION("""COMPUTED_VALUE"""),"| 5 L CPT % | 6 L PHP-CGM % | 7 P NS % | 9 P Python % ")</f>
        <v xml:space="preserve">| 5 L CPT % | 6 L PHP-CGM % | 7 P NS % | 9 P Python % </v>
      </c>
      <c r="AH268" s="4" t="str">
        <f ca="1">IFERROR(__xludf.DUMMYFUNCTION("""COMPUTED_VALUE"""),"| 7 P JAVA % | 9 P Python % ")</f>
        <v xml:space="preserve">| 7 P JAVA % | 9 P Python % </v>
      </c>
      <c r="AI268" s="4" t="str">
        <f ca="1">IFERROR(__xludf.DUMMYFUNCTION("""COMPUTED_VALUE"""),"| 5 L CPT % | 6 L PHP-CGM % | 7 P NS % | 9 P Python % ")</f>
        <v xml:space="preserve">| 5 L CPT % | 6 L PHP-CGM % | 7 P NS % | 9 P Python % </v>
      </c>
      <c r="AJ268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68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68" s="4" t="str">
        <f ca="1">IFERROR(__xludf.DUMMYFUNCTION("""COMPUTED_VALUE"""),"| 6 L NS % | 7 L NS % | 7 L PRO % | 8 L PRO % | 9 P CPT % ")</f>
        <v xml:space="preserve">| 6 L NS % | 7 L NS % | 7 L PRO % | 8 L PRO % | 9 P CPT % </v>
      </c>
      <c r="AM268" s="4" t="str">
        <f ca="1">IFERROR(__xludf.DUMMYFUNCTION("""COMPUTED_VALUE"""),"| 5 L INE % | 7 P JAVA % | 9 P Python % ")</f>
        <v xml:space="preserve">| 5 L INE % | 7 P JAVA % | 9 P Python % </v>
      </c>
      <c r="AN268" s="4" t="str">
        <f ca="1">IFERROR(__xludf.DUMMYFUNCTION("""COMPUTED_VALUE"""),"| 5 L CPT % | 6 L PHP-CGM % ")</f>
        <v xml:space="preserve">| 5 L CPT % | 6 L PHP-CGM % </v>
      </c>
      <c r="AO268" s="4" t="str">
        <f ca="1">IFERROR(__xludf.DUMMYFUNCTION("""COMPUTED_VALUE"""),"| 5 L JAVA % | 5 L NS % | 7 L PHP-CGM % | 8 L CPT % ")</f>
        <v xml:space="preserve">| 5 L JAVA % | 5 L NS % | 7 L PHP-CGM % | 8 L CPT % </v>
      </c>
      <c r="AP268" s="4" t="str">
        <f ca="1">IFERROR(__xludf.DUMMYFUNCTION("""COMPUTED_VALUE"""),"| 5 L PHP-CGM % | 6 L CPT % | 7 L JAVA % | 7 L NS % ")</f>
        <v xml:space="preserve">| 5 L PHP-CGM % | 6 L CPT % | 7 L JAVA % | 7 L NS % </v>
      </c>
      <c r="AQ268" s="4" t="str">
        <f ca="1">IFERROR(__xludf.DUMMYFUNCTION("""COMPUTED_VALUE"""),"| 5 L JAVA % | 6 L NS % | 7 L PRO % | 8 L PRO % | 9 P CPT % ")</f>
        <v xml:space="preserve">| 5 L JAVA % | 6 L NS % | 7 L PRO % | 8 L PRO % | 9 P CPT % </v>
      </c>
      <c r="AR268" s="4" t="str">
        <f ca="1">IFERROR(__xludf.DUMMYFUNCTION("""COMPUTED_VALUE"""),"| 5 L INE % ")</f>
        <v xml:space="preserve">| 5 L INE % </v>
      </c>
      <c r="AS268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AT268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68" s="4" t="str">
        <f ca="1">IFERROR(__xludf.DUMMYFUNCTION("""COMPUTED_VALUE"""),"| 5 L JAVA % | 6 L NS % | 7 P PRO % | 9 P CPT @ ")</f>
        <v xml:space="preserve">| 5 L JAVA % | 6 L NS % | 7 P PRO % | 9 P CPT @ </v>
      </c>
      <c r="AV268" s="4" t="str">
        <f ca="1">IFERROR(__xludf.DUMMYFUNCTION("""COMPUTED_VALUE"""),"| 5 L INE % | 7 P JAVA % | 9 P Python % ")</f>
        <v xml:space="preserve">| 5 L INE % | 7 P JAVA % | 9 P Python % </v>
      </c>
      <c r="AW268" s="4" t="str">
        <f ca="1">IFERROR(__xludf.DUMMYFUNCTION("""COMPUTED_VALUE"""),"| 5 L CPT % | 6 L PHP-CGM % | 7 P NS % | 9 P Python % ")</f>
        <v xml:space="preserve">| 5 L CPT % | 6 L PHP-CGM % | 7 P NS % | 9 P Python % </v>
      </c>
      <c r="AX268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68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68" s="4" t="str">
        <f ca="1">IFERROR(__xludf.DUMMYFUNCTION("""COMPUTED_VALUE"""),"| 5 L INE @ | 7 P JAVA % ")</f>
        <v xml:space="preserve">| 5 L INE @ | 7 P JAVA % </v>
      </c>
      <c r="BA268" s="4" t="str">
        <f ca="1">IFERROR(__xludf.DUMMYFUNCTION("""COMPUTED_VALUE"""),"| 5 L CPT % | 6 L PHP-CGM % | 7 P NS % | 9 P Python % ")</f>
        <v xml:space="preserve">| 5 L CPT % | 6 L PHP-CGM % | 7 P NS % | 9 P Python % </v>
      </c>
      <c r="BB268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68" s="4" t="str">
        <f ca="1">IFERROR(__xludf.DUMMYFUNCTION("""COMPUTED_VALUE"""),"| 5 L PHP-CGM % | 6 L CPT % | 7 L JAVA @ | 8 L NS @ | 9 P PHP-CGM % ")</f>
        <v xml:space="preserve">| 5 L PHP-CGM % | 6 L CPT % | 7 L JAVA @ | 8 L NS @ | 9 P PHP-CGM % </v>
      </c>
      <c r="BD268" s="4" t="str">
        <f ca="1">IFERROR(__xludf.DUMMYFUNCTION("""COMPUTED_VALUE"""),"| 5 L JAVA % | 6 L NS % | 7 L PRO % | 8 L PRO % | 9 P CPT @ ")</f>
        <v xml:space="preserve">| 5 L JAVA % | 6 L NS % | 7 L PRO % | 8 L PRO % | 9 P CPT @ </v>
      </c>
      <c r="BE268" s="4" t="str">
        <f ca="1">IFERROR(__xludf.DUMMYFUNCTION("""COMPUTED_VALUE"""),"| 5 L INE @ | 7 P JAVA @ | 9 P Python @ ")</f>
        <v xml:space="preserve">| 5 L INE @ | 7 P JAVA @ | 9 P Python @ </v>
      </c>
      <c r="BF268" s="4" t="str">
        <f ca="1">IFERROR(__xludf.DUMMYFUNCTION("""COMPUTED_VALUE"""),"| 5 L CPT % | 6 L PHP-CGM % | 7 P NS % | 9 P Python % ")</f>
        <v xml:space="preserve">| 5 L CPT % | 6 L PHP-CGM % | 7 P NS % | 9 P Python % </v>
      </c>
      <c r="BG268" s="4" t="str">
        <f ca="1">IFERROR(__xludf.DUMMYFUNCTION("""COMPUTED_VALUE"""),"| 5 L PHP-CGM % | 6 L CPT % | 7 L JAVA % | 8 L NS % | 9 P PHP-CGM @ ")</f>
        <v xml:space="preserve">| 5 L PHP-CGM % | 6 L CPT % | 7 L JAVA % | 8 L NS % | 9 P PHP-CGM @ </v>
      </c>
      <c r="BH268" s="4" t="str">
        <f ca="1">IFERROR(__xludf.DUMMYFUNCTION("""COMPUTED_VALUE"""),"| 5 L JAVA % | 6 L NS % | 7 L PRO @ | 9 P CPT % ")</f>
        <v xml:space="preserve">| 5 L JAVA % | 6 L NS % | 7 L PRO @ | 9 P CPT % </v>
      </c>
      <c r="BI268" s="4" t="str">
        <f ca="1">IFERROR(__xludf.DUMMYFUNCTION("""COMPUTED_VALUE"""),"| 5 L INE % | 7 P JAVA % | 9 P Python % ")</f>
        <v xml:space="preserve">| 5 L INE % | 7 P JAVA % | 9 P Python % </v>
      </c>
      <c r="BJ268" s="4" t="str">
        <f ca="1">IFERROR(__xludf.DUMMYFUNCTION("""COMPUTED_VALUE"""),"| 5 L CPT @ | 6 L PHP-CGM @ | 7 P NS @ ")</f>
        <v xml:space="preserve">| 5 L CPT @ | 6 L PHP-CGM @ | 7 P NS @ </v>
      </c>
      <c r="BK268" s="4" t="str">
        <f ca="1">IFERROR(__xludf.DUMMYFUNCTION("""COMPUTED_VALUE"""),"| 5 L JAVA % | 7 L PHP-CGM @ | 8 L CPT @ ")</f>
        <v xml:space="preserve">| 5 L JAVA % | 7 L PHP-CGM @ | 8 L CPT @ </v>
      </c>
      <c r="BL268" s="4" t="str">
        <f ca="1">IFERROR(__xludf.DUMMYFUNCTION("""COMPUTED_VALUE"""),"| 5 L PHP-CGM % | 6 L CPT % | 8 L NS % ")</f>
        <v xml:space="preserve">| 5 L PHP-CGM % | 6 L CPT % | 8 L NS % </v>
      </c>
      <c r="BM268" s="4" t="str">
        <f ca="1">IFERROR(__xludf.DUMMYFUNCTION("""COMPUTED_VALUE"""),"| 5 L JAVA % | 6 L NS % | 7 L PRO % | 8 L PRO % | 9 P CPT % ")</f>
        <v xml:space="preserve">| 5 L JAVA % | 6 L NS % | 7 L PRO % | 8 L PRO % | 9 P CPT % </v>
      </c>
      <c r="BN268" s="4" t="str">
        <f ca="1">IFERROR(__xludf.DUMMYFUNCTION("""COMPUTED_VALUE"""),"| 5 L INE % ")</f>
        <v xml:space="preserve">| 5 L INE % </v>
      </c>
      <c r="BO268" s="4" t="str">
        <f ca="1">IFERROR(__xludf.DUMMYFUNCTION("""COMPUTED_VALUE"""),"| 5 L CPT @ | 6 L PHP-CGM @ ")</f>
        <v xml:space="preserve">| 5 L CPT @ | 6 L PHP-CGM @ </v>
      </c>
      <c r="BP268" s="4" t="str">
        <f ca="1">IFERROR(__xludf.DUMMYFUNCTION("""COMPUTED_VALUE"""),"| 5 L JAVA % | 6 L JAVA % | 7 L PHP-CGM % | 8 L CPT % ")</f>
        <v xml:space="preserve">| 5 L JAVA % | 6 L JAVA % | 7 L PHP-CGM % | 8 L CPT % </v>
      </c>
      <c r="BQ268" s="4" t="str">
        <f ca="1">IFERROR(__xludf.DUMMYFUNCTION("""COMPUTED_VALUE"""),"| 5 L JAVA % ")</f>
        <v xml:space="preserve">| 5 L JAVA % </v>
      </c>
      <c r="BR268" s="4"/>
      <c r="BS268" s="4"/>
      <c r="BT268" s="4" t="str">
        <f ca="1">IFERROR(__xludf.DUMMYFUNCTION("""COMPUTED_VALUE"""),"| 7 L PHP-CGM @ | 8 L CPT @ ")</f>
        <v xml:space="preserve">| 7 L PHP-CGM @ | 8 L CPT @ </v>
      </c>
      <c r="BU268" s="4" t="str">
        <f ca="1">IFERROR(__xludf.DUMMYFUNCTION("""COMPUTED_VALUE"""),"| 8 L NS @ ")</f>
        <v xml:space="preserve">| 8 L NS @ </v>
      </c>
      <c r="BV268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68" s="4"/>
      <c r="BX268" s="4" t="str">
        <f ca="1">IFERROR(__xludf.DUMMYFUNCTION("""COMPUTED_VALUE"""),"| 5 L JAVA % | 6 L NS % | 7 L PRO % | 9 P CPT % ")</f>
        <v xml:space="preserve">| 5 L JAVA % | 6 L NS % | 7 L PRO % | 9 P CPT % </v>
      </c>
      <c r="BY268" s="4" t="str">
        <f ca="1">IFERROR(__xludf.DUMMYFUNCTION("""COMPUTED_VALUE"""),"| 5 L INE % | 7 P JAVA % | 9 P Python % ")</f>
        <v xml:space="preserve">| 5 L INE % | 7 P JAVA % | 9 P Python % </v>
      </c>
      <c r="BZ268" s="4" t="str">
        <f ca="1">IFERROR(__xludf.DUMMYFUNCTION("""COMPUTED_VALUE"""),"| 5 L CPT @ | 6 L PHP-CGM @ | 7 P NS @ | 9 P Python @ ")</f>
        <v xml:space="preserve">| 5 L CPT @ | 6 L PHP-CGM @ | 7 P NS @ | 9 P Python @ </v>
      </c>
      <c r="CA268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68" s="4" t="str">
        <f ca="1">IFERROR(__xludf.DUMMYFUNCTION("""COMPUTED_VALUE"""),"| 5 L PHP-CGM @ | 6 L CPT @ | 7 L NS @ | 9 P PHP-CGM @ ")</f>
        <v xml:space="preserve">| 5 L PHP-CGM @ | 6 L CPT @ | 7 L NS @ | 9 P PHP-CGM @ </v>
      </c>
      <c r="CC268" s="4" t="str">
        <f ca="1">IFERROR(__xludf.DUMMYFUNCTION("""COMPUTED_VALUE"""),"| 5 L JAVA @ | 6 L NS @ | 9 P CPT @ ")</f>
        <v xml:space="preserve">| 5 L JAVA @ | 6 L NS @ | 9 P CPT @ </v>
      </c>
      <c r="CD268" s="4" t="str">
        <f ca="1">IFERROR(__xludf.DUMMYFUNCTION("""COMPUTED_VALUE"""),"| 5 L INE % | 7 P NS @ ")</f>
        <v xml:space="preserve">| 5 L INE % | 7 P NS @ </v>
      </c>
      <c r="CE268" s="4" t="str">
        <f ca="1">IFERROR(__xludf.DUMMYFUNCTION("""COMPUTED_VALUE"""),"| 5 L CPT @ | 6 L PHP-CGM @ | 7 P JAVA @ | 9 P Python @ ")</f>
        <v xml:space="preserve">| 5 L CPT @ | 6 L PHP-CGM @ | 7 P JAVA @ | 9 P Python @ </v>
      </c>
      <c r="CF268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CG268" s="4" t="str">
        <f ca="1">IFERROR(__xludf.DUMMYFUNCTION("""COMPUTED_VALUE"""),"| 5 L PHP-CGM @ | 6 L CPT @ | 7 L JAVA @ | 8 L NS % | 9 P PHP-CGM % ")</f>
        <v xml:space="preserve">| 5 L PHP-CGM @ | 6 L CPT @ | 7 L JAVA @ | 8 L NS % | 9 P PHP-CGM % </v>
      </c>
      <c r="CH268" s="4" t="str">
        <f ca="1">IFERROR(__xludf.DUMMYFUNCTION("""COMPUTED_VALUE"""),"| 5 L JAVA @ | 6 L NS @ | 9 P CPT @ ")</f>
        <v xml:space="preserve">| 5 L JAVA @ | 6 L NS @ | 9 P CPT @ </v>
      </c>
      <c r="CI268" s="4" t="str">
        <f ca="1">IFERROR(__xludf.DUMMYFUNCTION("""COMPUTED_VALUE"""),"| 5 L INE @ | 9 P Python % ")</f>
        <v xml:space="preserve">| 5 L INE @ | 9 P Python % </v>
      </c>
      <c r="CJ268" s="4" t="str">
        <f ca="1">IFERROR(__xludf.DUMMYFUNCTION("""COMPUTED_VALUE"""),"| 5 L CPT @ | 6 L PHP-CGM @ ")</f>
        <v xml:space="preserve">| 5 L CPT @ | 6 L PHP-CGM @ </v>
      </c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</row>
    <row r="269" spans="1:102" ht="12.5" x14ac:dyDescent="0.25">
      <c r="A269" s="3">
        <f ca="1">IFERROR(__xludf.DUMMYFUNCTION("""COMPUTED_VALUE"""),1)</f>
        <v>1</v>
      </c>
      <c r="B269" s="3" t="str">
        <f ca="1">IFERROR(__xludf.DUMMYFUNCTION("""COMPUTED_VALUE"""),"D")</f>
        <v>D</v>
      </c>
      <c r="C269" s="32" t="str">
        <f ca="1">IFERROR(__xludf.DUMMYFUNCTION("""COMPUTED_VALUE"""),"23171341007")</f>
        <v>23171341007</v>
      </c>
      <c r="D269" s="4" t="str">
        <f ca="1">IFERROR(__xludf.DUMMYFUNCTION("""COMPUTED_VALUE"""),"BAPODARA SIDDHARTH MALDEBHAI")</f>
        <v>BAPODARA SIDDHARTH MALDEBHAI</v>
      </c>
      <c r="E269" s="3" t="str">
        <f ca="1">IFERROR(__xludf.DUMMYFUNCTION("""COMPUTED_VALUE"""),"ZPP - Eve")</f>
        <v>ZPP - Eve</v>
      </c>
      <c r="F269" s="3">
        <f ca="1">IFERROR(__xludf.DUMMYFUNCTION("""COMPUTED_VALUE"""),9512380289)</f>
        <v>9512380289</v>
      </c>
      <c r="G269" s="3">
        <f ca="1">IFERROR(__xludf.DUMMYFUNCTION("""COMPUTED_VALUE"""),6355167044)</f>
        <v>6355167044</v>
      </c>
      <c r="H269" s="33">
        <f ca="1">IFERROR(__xludf.DUMMYFUNCTION("""COMPUTED_VALUE"""),0.533039647577092)</f>
        <v>0.53303964757709199</v>
      </c>
      <c r="I269" s="25">
        <f ca="1">IFERROR(__xludf.DUMMYFUNCTION("""COMPUTED_VALUE"""),0.571428571428571)</f>
        <v>0.57142857142857095</v>
      </c>
      <c r="J269" s="25">
        <f ca="1">IFERROR(__xludf.DUMMYFUNCTION("""COMPUTED_VALUE"""),0.181818181818181)</f>
        <v>0.18181818181818099</v>
      </c>
      <c r="K269" s="25">
        <f ca="1">IFERROR(__xludf.DUMMYFUNCTION("""COMPUTED_VALUE"""),0.625)</f>
        <v>0.625</v>
      </c>
      <c r="L269" s="25">
        <f ca="1">IFERROR(__xludf.DUMMYFUNCTION("""COMPUTED_VALUE"""),0.555555555555555)</f>
        <v>0.55555555555555503</v>
      </c>
      <c r="M269" s="25">
        <f ca="1">IFERROR(__xludf.DUMMYFUNCTION("""COMPUTED_VALUE"""),0.527777777777777)</f>
        <v>0.52777777777777701</v>
      </c>
      <c r="N269" s="25">
        <f ca="1">IFERROR(__xludf.DUMMYFUNCTION("""COMPUTED_VALUE"""),0.333333333333333)</f>
        <v>0.33333333333333298</v>
      </c>
      <c r="O269" s="25">
        <f ca="1">IFERROR(__xludf.DUMMYFUNCTION("""COMPUTED_VALUE"""),0.666666666666666)</f>
        <v>0.66666666666666596</v>
      </c>
      <c r="P269" s="25">
        <f ca="1">IFERROR(__xludf.DUMMYFUNCTION("""COMPUTED_VALUE"""),0.473684210526315)</f>
        <v>0.47368421052631499</v>
      </c>
      <c r="Q269" s="25">
        <f ca="1">IFERROR(__xludf.DUMMYFUNCTION("""COMPUTED_VALUE"""),0)</f>
        <v>0</v>
      </c>
      <c r="R269" s="25">
        <f ca="1">IFERROR(__xludf.DUMMYFUNCTION("""COMPUTED_VALUE"""),0.3125)</f>
        <v>0.3125</v>
      </c>
      <c r="S269" s="25">
        <f ca="1">IFERROR(__xludf.DUMMYFUNCTION("""COMPUTED_VALUE"""),0.538461538461538)</f>
        <v>0.53846153846153799</v>
      </c>
      <c r="T269" s="25">
        <f ca="1">IFERROR(__xludf.DUMMYFUNCTION("""COMPUTED_VALUE"""),0)</f>
        <v>0</v>
      </c>
      <c r="U269" s="25">
        <f ca="1">IFERROR(__xludf.DUMMYFUNCTION("""COMPUTED_VALUE"""),0.7)</f>
        <v>0.7</v>
      </c>
      <c r="V269" s="25">
        <f ca="1">IFERROR(__xludf.DUMMYFUNCTION("""COMPUTED_VALUE"""),0)</f>
        <v>0</v>
      </c>
      <c r="W269" s="4"/>
      <c r="X269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69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69" s="4" t="str">
        <f ca="1">IFERROR(__xludf.DUMMYFUNCTION("""COMPUTED_VALUE"""),"| 5 L NS % | 6 L JAVA % | 7 L PRO % | 8 L PRO % | 9 P CPT @ ")</f>
        <v xml:space="preserve">| 5 L NS % | 6 L JAVA % | 7 L PRO % | 8 L PRO % | 9 P CPT @ </v>
      </c>
      <c r="AA269" s="4" t="str">
        <f ca="1">IFERROR(__xludf.DUMMYFUNCTION("""COMPUTED_VALUE"""),"| 7 P JAVA % | 9 P Python % ")</f>
        <v xml:space="preserve">| 7 P JAVA % | 9 P Python % </v>
      </c>
      <c r="AB269" s="4" t="str">
        <f ca="1">IFERROR(__xludf.DUMMYFUNCTION("""COMPUTED_VALUE"""),"| 5 L JAVA % | 6 L PHP-CGM % | 7 P NS % | 9 P Python % ")</f>
        <v xml:space="preserve">| 5 L JAVA % | 6 L PHP-CGM % | 7 P NS % | 9 P Python % </v>
      </c>
      <c r="AC269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69" s="4" t="str">
        <f ca="1">IFERROR(__xludf.DUMMYFUNCTION("""COMPUTED_VALUE"""),"| 5 L PHP-CGM % | 6 L CPT % | 7 L NS @ | 8 L JAVA % | 9 P PHP-CGM % ")</f>
        <v xml:space="preserve">| 5 L PHP-CGM % | 6 L CPT % | 7 L NS @ | 8 L JAVA % | 9 P PHP-CGM % </v>
      </c>
      <c r="AE269" s="4" t="str">
        <f ca="1">IFERROR(__xludf.DUMMYFUNCTION("""COMPUTED_VALUE"""),"| 5 L JAVA % | 6 L NS % | 7 L PRO % | 9 P CPT @ ")</f>
        <v xml:space="preserve">| 5 L JAVA % | 6 L NS % | 7 L PRO % | 9 P CPT @ </v>
      </c>
      <c r="AF269" s="4" t="str">
        <f ca="1">IFERROR(__xludf.DUMMYFUNCTION("""COMPUTED_VALUE"""),"| 7 P JAVA % ")</f>
        <v xml:space="preserve">| 7 P JAVA % </v>
      </c>
      <c r="AG269" s="4" t="str">
        <f ca="1">IFERROR(__xludf.DUMMYFUNCTION("""COMPUTED_VALUE"""),"| 5 L CPT % | 6 L PHP-CGM % | 7 P NS @ | 9 P Python @ ")</f>
        <v xml:space="preserve">| 5 L CPT % | 6 L PHP-CGM % | 7 P NS @ | 9 P Python @ </v>
      </c>
      <c r="AH269" s="4" t="str">
        <f ca="1">IFERROR(__xludf.DUMMYFUNCTION("""COMPUTED_VALUE"""),"| 7 P JAVA % | 9 P Python @ ")</f>
        <v xml:space="preserve">| 7 P JAVA % | 9 P Python @ </v>
      </c>
      <c r="AI269" s="4" t="str">
        <f ca="1">IFERROR(__xludf.DUMMYFUNCTION("""COMPUTED_VALUE"""),"| 5 L CPT % | 6 L PHP-CGM % | 7 P NS % | 9 P Python @ ")</f>
        <v xml:space="preserve">| 5 L CPT % | 6 L PHP-CGM % | 7 P NS % | 9 P Python @ </v>
      </c>
      <c r="AJ269" s="4" t="str">
        <f ca="1">IFERROR(__xludf.DUMMYFUNCTION("""COMPUTED_VALUE"""),"| 5 L JAVA % | 6 L NS % | 7 L PHP-CGM @ | 9 P JAVA @ | 8 L CPT @ ")</f>
        <v xml:space="preserve">| 5 L JAVA % | 6 L NS % | 7 L PHP-CGM @ | 9 P JAVA @ | 8 L CPT @ </v>
      </c>
      <c r="AK269" s="4" t="str">
        <f ca="1">IFERROR(__xludf.DUMMYFUNCTION("""COMPUTED_VALUE"""),"| 5 L PHP-CGM % | 6 L CPT % | 8 L JAVA % | 7 L NS % | 9 P PHP-CGM @ ")</f>
        <v xml:space="preserve">| 5 L PHP-CGM % | 6 L CPT % | 8 L JAVA % | 7 L NS % | 9 P PHP-CGM @ </v>
      </c>
      <c r="AL269" s="4" t="str">
        <f ca="1">IFERROR(__xludf.DUMMYFUNCTION("""COMPUTED_VALUE"""),"| 6 L NS % | 7 L NS % | 7 L PRO % | 8 L PRO % | 9 P CPT @ ")</f>
        <v xml:space="preserve">| 6 L NS % | 7 L NS % | 7 L PRO % | 8 L PRO % | 9 P CPT @ </v>
      </c>
      <c r="AM269" s="4" t="str">
        <f ca="1">IFERROR(__xludf.DUMMYFUNCTION("""COMPUTED_VALUE"""),"| 5 L INE % | 7 P JAVA % | 9 P Python @ ")</f>
        <v xml:space="preserve">| 5 L INE % | 7 P JAVA % | 9 P Python @ </v>
      </c>
      <c r="AN269" s="4" t="str">
        <f ca="1">IFERROR(__xludf.DUMMYFUNCTION("""COMPUTED_VALUE"""),"| 5 L CPT @ | 6 L PHP-CGM @ ")</f>
        <v xml:space="preserve">| 5 L CPT @ | 6 L PHP-CGM @ </v>
      </c>
      <c r="AO269" s="4" t="str">
        <f ca="1">IFERROR(__xludf.DUMMYFUNCTION("""COMPUTED_VALUE"""),"| 5 L JAVA @ | 5 L NS @ | 7 L PHP-CGM @ | 8 L CPT @ ")</f>
        <v xml:space="preserve">| 5 L JAVA @ | 5 L NS @ | 7 L PHP-CGM @ | 8 L CPT @ </v>
      </c>
      <c r="AP269" s="4" t="str">
        <f ca="1">IFERROR(__xludf.DUMMYFUNCTION("""COMPUTED_VALUE"""),"| 5 L PHP-CGM @ | 6 L CPT @ | 7 L JAVA @ | 7 L NS @ ")</f>
        <v xml:space="preserve">| 5 L PHP-CGM @ | 6 L CPT @ | 7 L JAVA @ | 7 L NS @ </v>
      </c>
      <c r="AQ269" s="4" t="str">
        <f ca="1">IFERROR(__xludf.DUMMYFUNCTION("""COMPUTED_VALUE"""),"| 5 L JAVA @ | 6 L NS @ | 7 L PRO @ | 8 L PRO @ | 9 P CPT @ ")</f>
        <v xml:space="preserve">| 5 L JAVA @ | 6 L NS @ | 7 L PRO @ | 8 L PRO @ | 9 P CPT @ </v>
      </c>
      <c r="AR269" s="4" t="str">
        <f ca="1">IFERROR(__xludf.DUMMYFUNCTION("""COMPUTED_VALUE"""),"| 5 L INE @ ")</f>
        <v xml:space="preserve">| 5 L INE @ </v>
      </c>
      <c r="AS269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69" s="4" t="str">
        <f ca="1">IFERROR(__xludf.DUMMYFUNCTION("""COMPUTED_VALUE"""),"| 5 L PHP-CGM @ | 6 L CPT @ | 7 L JAVA @ | 8 L JAVA @ | 9 P PHP-CGM @ ")</f>
        <v xml:space="preserve">| 5 L PHP-CGM @ | 6 L CPT @ | 7 L JAVA @ | 8 L JAVA @ | 9 P PHP-CGM @ </v>
      </c>
      <c r="AU269" s="4" t="str">
        <f ca="1">IFERROR(__xludf.DUMMYFUNCTION("""COMPUTED_VALUE"""),"| 5 L JAVA @ | 6 L NS @ | 7 P PRO @ | 9 P CPT @ ")</f>
        <v xml:space="preserve">| 5 L JAVA @ | 6 L NS @ | 7 P PRO @ | 9 P CPT @ </v>
      </c>
      <c r="AV269" s="4" t="str">
        <f ca="1">IFERROR(__xludf.DUMMYFUNCTION("""COMPUTED_VALUE"""),"| 5 L INE @ | 7 P JAVA @ | 9 P Python @ ")</f>
        <v xml:space="preserve">| 5 L INE @ | 7 P JAVA @ | 9 P Python @ </v>
      </c>
      <c r="AW269" s="4" t="str">
        <f ca="1">IFERROR(__xludf.DUMMYFUNCTION("""COMPUTED_VALUE"""),"| 5 L CPT % | 6 L PHP-CGM @ | 7 P NS % | 9 P Python @ ")</f>
        <v xml:space="preserve">| 5 L CPT % | 6 L PHP-CGM @ | 7 P NS % | 9 P Python @ </v>
      </c>
      <c r="AX269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69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69" s="4" t="str">
        <f ca="1">IFERROR(__xludf.DUMMYFUNCTION("""COMPUTED_VALUE"""),"| 5 L INE % | 7 P JAVA % ")</f>
        <v xml:space="preserve">| 5 L INE % | 7 P JAVA % </v>
      </c>
      <c r="BA269" s="4" t="str">
        <f ca="1">IFERROR(__xludf.DUMMYFUNCTION("""COMPUTED_VALUE"""),"| 5 L CPT % | 6 L PHP-CGM @ | 7 P NS @ | 9 P Python @ ")</f>
        <v xml:space="preserve">| 5 L CPT % | 6 L PHP-CGM @ | 7 P NS @ | 9 P Python @ </v>
      </c>
      <c r="BB269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BC269" s="4" t="str">
        <f ca="1">IFERROR(__xludf.DUMMYFUNCTION("""COMPUTED_VALUE"""),"| 5 L PHP-CGM % | 6 L CPT % | 7 L JAVA @ | 8 L NS @ | 9 P PHP-CGM @ ")</f>
        <v xml:space="preserve">| 5 L PHP-CGM % | 6 L CPT % | 7 L JAVA @ | 8 L NS @ | 9 P PHP-CGM @ </v>
      </c>
      <c r="BD269" s="4" t="str">
        <f ca="1">IFERROR(__xludf.DUMMYFUNCTION("""COMPUTED_VALUE"""),"| 5 L JAVA % | 6 L NS % | 7 L PRO @ | 8 L PRO @ | 9 P CPT @ ")</f>
        <v xml:space="preserve">| 5 L JAVA % | 6 L NS % | 7 L PRO @ | 8 L PRO @ | 9 P CPT @ </v>
      </c>
      <c r="BE269" s="4" t="str">
        <f ca="1">IFERROR(__xludf.DUMMYFUNCTION("""COMPUTED_VALUE"""),"| 5 L INE % | 7 P JAVA @ | 9 P Python @ ")</f>
        <v xml:space="preserve">| 5 L INE % | 7 P JAVA @ | 9 P Python @ </v>
      </c>
      <c r="BF269" s="4" t="str">
        <f ca="1">IFERROR(__xludf.DUMMYFUNCTION("""COMPUTED_VALUE"""),"| 5 L CPT @ | 6 L PHP-CGM @ | 7 P NS @ | 9 P Python @ ")</f>
        <v xml:space="preserve">| 5 L CPT @ | 6 L PHP-CGM @ | 7 P NS @ | 9 P Python @ </v>
      </c>
      <c r="BG269" s="4" t="str">
        <f ca="1">IFERROR(__xludf.DUMMYFUNCTION("""COMPUTED_VALUE"""),"| 5 L PHP-CGM % | 6 L CPT % | 7 L JAVA % | 8 L NS % | 9 P PHP-CGM @ ")</f>
        <v xml:space="preserve">| 5 L PHP-CGM % | 6 L CPT % | 7 L JAVA % | 8 L NS % | 9 P PHP-CGM @ </v>
      </c>
      <c r="BH269" s="4" t="str">
        <f ca="1">IFERROR(__xludf.DUMMYFUNCTION("""COMPUTED_VALUE"""),"| 5 L JAVA % | 6 L NS % | 7 L PRO @ | 9 P CPT % ")</f>
        <v xml:space="preserve">| 5 L JAVA % | 6 L NS % | 7 L PRO @ | 9 P CPT % </v>
      </c>
      <c r="BI269" s="4" t="str">
        <f ca="1">IFERROR(__xludf.DUMMYFUNCTION("""COMPUTED_VALUE"""),"| 5 L INE % | 7 P JAVA @ | 9 P Python % ")</f>
        <v xml:space="preserve">| 5 L INE % | 7 P JAVA @ | 9 P Python % </v>
      </c>
      <c r="BJ269" s="4" t="str">
        <f ca="1">IFERROR(__xludf.DUMMYFUNCTION("""COMPUTED_VALUE"""),"| 5 L CPT % | 6 L PHP-CGM % | 7 P NS % ")</f>
        <v xml:space="preserve">| 5 L CPT % | 6 L PHP-CGM % | 7 P NS % </v>
      </c>
      <c r="BK269" s="4" t="str">
        <f ca="1">IFERROR(__xludf.DUMMYFUNCTION("""COMPUTED_VALUE"""),"| 5 L JAVA % | 7 L PHP-CGM @ | 8 L CPT @ ")</f>
        <v xml:space="preserve">| 5 L JAVA % | 7 L PHP-CGM @ | 8 L CPT @ </v>
      </c>
      <c r="BL269" s="4" t="str">
        <f ca="1">IFERROR(__xludf.DUMMYFUNCTION("""COMPUTED_VALUE"""),"| 5 L PHP-CGM % | 6 L CPT % | 8 L NS @ ")</f>
        <v xml:space="preserve">| 5 L PHP-CGM % | 6 L CPT % | 8 L NS @ </v>
      </c>
      <c r="BM269" s="4" t="str">
        <f ca="1">IFERROR(__xludf.DUMMYFUNCTION("""COMPUTED_VALUE"""),"| 5 L JAVA @ | 6 L NS @ | 7 L PRO % | 8 L PRO @ | 9 P CPT @ ")</f>
        <v xml:space="preserve">| 5 L JAVA @ | 6 L NS @ | 7 L PRO % | 8 L PRO @ | 9 P CPT @ </v>
      </c>
      <c r="BN269" s="4" t="str">
        <f ca="1">IFERROR(__xludf.DUMMYFUNCTION("""COMPUTED_VALUE"""),"| 5 L INE @ ")</f>
        <v xml:space="preserve">| 5 L INE @ </v>
      </c>
      <c r="BO269" s="4" t="str">
        <f ca="1">IFERROR(__xludf.DUMMYFUNCTION("""COMPUTED_VALUE"""),"| 5 L CPT @ | 6 L PHP-CGM @ ")</f>
        <v xml:space="preserve">| 5 L CPT @ | 6 L PHP-CGM @ </v>
      </c>
      <c r="BP269" s="4" t="str">
        <f ca="1">IFERROR(__xludf.DUMMYFUNCTION("""COMPUTED_VALUE"""),"| 5 L JAVA % | 6 L JAVA % | 7 L PHP-CGM @ | 8 L CPT @ ")</f>
        <v xml:space="preserve">| 5 L JAVA % | 6 L JAVA % | 7 L PHP-CGM @ | 8 L CPT @ </v>
      </c>
      <c r="BQ269" s="4" t="str">
        <f ca="1">IFERROR(__xludf.DUMMYFUNCTION("""COMPUTED_VALUE"""),"| 5 L JAVA @ ")</f>
        <v xml:space="preserve">| 5 L JAVA @ </v>
      </c>
      <c r="BR269" s="4"/>
      <c r="BS269" s="4"/>
      <c r="BT269" s="4" t="str">
        <f ca="1">IFERROR(__xludf.DUMMYFUNCTION("""COMPUTED_VALUE"""),"| 7 L PHP-CGM @ | 8 L CPT @ ")</f>
        <v xml:space="preserve">| 7 L PHP-CGM @ | 8 L CPT @ </v>
      </c>
      <c r="BU269" s="4" t="str">
        <f ca="1">IFERROR(__xludf.DUMMYFUNCTION("""COMPUTED_VALUE"""),"| 8 L NS @ ")</f>
        <v xml:space="preserve">| 8 L NS @ </v>
      </c>
      <c r="BV269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BW269" s="4"/>
      <c r="BX269" s="4" t="str">
        <f ca="1">IFERROR(__xludf.DUMMYFUNCTION("""COMPUTED_VALUE"""),"| 5 L JAVA % | 6 L NS % | 7 L PRO % | 9 P CPT % ")</f>
        <v xml:space="preserve">| 5 L JAVA % | 6 L NS % | 7 L PRO % | 9 P CPT % </v>
      </c>
      <c r="BY269" s="4" t="str">
        <f ca="1">IFERROR(__xludf.DUMMYFUNCTION("""COMPUTED_VALUE"""),"| 5 L INE % | 7 P JAVA @ | 9 P Python % ")</f>
        <v xml:space="preserve">| 5 L INE % | 7 P JAVA @ | 9 P Python % </v>
      </c>
      <c r="BZ269" s="4" t="str">
        <f ca="1">IFERROR(__xludf.DUMMYFUNCTION("""COMPUTED_VALUE"""),"| 5 L CPT % | 6 L PHP-CGM % | 7 P NS % | 9 P Python @ ")</f>
        <v xml:space="preserve">| 5 L CPT % | 6 L PHP-CGM % | 7 P NS % | 9 P Python @ </v>
      </c>
      <c r="CA269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69" s="4" t="str">
        <f ca="1">IFERROR(__xludf.DUMMYFUNCTION("""COMPUTED_VALUE"""),"| 5 L PHP-CGM % | 6 L CPT % | 7 L NS % | 9 P PHP-CGM @ ")</f>
        <v xml:space="preserve">| 5 L PHP-CGM % | 6 L CPT % | 7 L NS % | 9 P PHP-CGM @ </v>
      </c>
      <c r="CC269" s="4" t="str">
        <f ca="1">IFERROR(__xludf.DUMMYFUNCTION("""COMPUTED_VALUE"""),"| 5 L JAVA % | 6 L NS % | 9 P CPT @ ")</f>
        <v xml:space="preserve">| 5 L JAVA % | 6 L NS % | 9 P CPT @ </v>
      </c>
      <c r="CD269" s="4" t="str">
        <f ca="1">IFERROR(__xludf.DUMMYFUNCTION("""COMPUTED_VALUE"""),"| 5 L INE % | 7 P NS @ ")</f>
        <v xml:space="preserve">| 5 L INE % | 7 P NS @ </v>
      </c>
      <c r="CE269" s="4" t="str">
        <f ca="1">IFERROR(__xludf.DUMMYFUNCTION("""COMPUTED_VALUE"""),"| 5 L CPT @ | 6 L PHP-CGM @ | 7 P JAVA @ | 9 P Python @ ")</f>
        <v xml:space="preserve">| 5 L CPT @ | 6 L PHP-CGM @ | 7 P JAVA @ | 9 P Python @ </v>
      </c>
      <c r="CF269" s="4" t="str">
        <f ca="1">IFERROR(__xludf.DUMMYFUNCTION("""COMPUTED_VALUE"""),"| 5 L JAVA @ | 6 L NS @ | 7 L PHP-CGM @ | 8 L CPT @ | 9 P JAVA % ")</f>
        <v xml:space="preserve">| 5 L JAVA @ | 6 L NS @ | 7 L PHP-CGM @ | 8 L CPT @ | 9 P JAVA % </v>
      </c>
      <c r="CG269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CH269" s="4" t="str">
        <f ca="1">IFERROR(__xludf.DUMMYFUNCTION("""COMPUTED_VALUE"""),"| 5 L JAVA % | 6 L NS % | 9 P CPT @ ")</f>
        <v xml:space="preserve">| 5 L JAVA % | 6 L NS % | 9 P CPT @ </v>
      </c>
      <c r="CI269" s="4" t="str">
        <f ca="1">IFERROR(__xludf.DUMMYFUNCTION("""COMPUTED_VALUE"""),"| 5 L INE % | 9 P Python % ")</f>
        <v xml:space="preserve">| 5 L INE % | 9 P Python % </v>
      </c>
      <c r="CJ269" s="4" t="str">
        <f ca="1">IFERROR(__xludf.DUMMYFUNCTION("""COMPUTED_VALUE"""),"| 5 L CPT @ | 6 L PHP-CGM @ ")</f>
        <v xml:space="preserve">| 5 L CPT @ | 6 L PHP-CGM @ </v>
      </c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</row>
    <row r="270" spans="1:102" ht="12.5" x14ac:dyDescent="0.25">
      <c r="A270" s="3">
        <f ca="1">IFERROR(__xludf.DUMMYFUNCTION("""COMPUTED_VALUE"""),1)</f>
        <v>1</v>
      </c>
      <c r="B270" s="3" t="str">
        <f ca="1">IFERROR(__xludf.DUMMYFUNCTION("""COMPUTED_VALUE"""),"D")</f>
        <v>D</v>
      </c>
      <c r="C270" s="32" t="str">
        <f ca="1">IFERROR(__xludf.DUMMYFUNCTION("""COMPUTED_VALUE"""),"23171341008")</f>
        <v>23171341008</v>
      </c>
      <c r="D270" s="4" t="str">
        <f ca="1">IFERROR(__xludf.DUMMYFUNCTION("""COMPUTED_VALUE"""),"BAROT JAY AJAYKUMAR")</f>
        <v>BAROT JAY AJAYKUMAR</v>
      </c>
      <c r="E270" s="3" t="str">
        <f ca="1">IFERROR(__xludf.DUMMYFUNCTION("""COMPUTED_VALUE"""),"ZPP - Eve")</f>
        <v>ZPP - Eve</v>
      </c>
      <c r="F270" s="3">
        <f ca="1">IFERROR(__xludf.DUMMYFUNCTION("""COMPUTED_VALUE"""),8320376573)</f>
        <v>8320376573</v>
      </c>
      <c r="G270" s="3">
        <f ca="1">IFERROR(__xludf.DUMMYFUNCTION("""COMPUTED_VALUE"""),9727799954)</f>
        <v>9727799954</v>
      </c>
      <c r="H270" s="33">
        <f ca="1">IFERROR(__xludf.DUMMYFUNCTION("""COMPUTED_VALUE"""),0.431718061674008)</f>
        <v>0.431718061674008</v>
      </c>
      <c r="I270" s="25">
        <f ca="1">IFERROR(__xludf.DUMMYFUNCTION("""COMPUTED_VALUE"""),0.428571428571428)</f>
        <v>0.42857142857142799</v>
      </c>
      <c r="J270" s="25">
        <f ca="1">IFERROR(__xludf.DUMMYFUNCTION("""COMPUTED_VALUE"""),0.272727272727272)</f>
        <v>0.27272727272727199</v>
      </c>
      <c r="K270" s="25">
        <f ca="1">IFERROR(__xludf.DUMMYFUNCTION("""COMPUTED_VALUE"""),0.5)</f>
        <v>0.5</v>
      </c>
      <c r="L270" s="25">
        <f ca="1">IFERROR(__xludf.DUMMYFUNCTION("""COMPUTED_VALUE"""),0.666666666666666)</f>
        <v>0.66666666666666596</v>
      </c>
      <c r="M270" s="25">
        <f ca="1">IFERROR(__xludf.DUMMYFUNCTION("""COMPUTED_VALUE"""),0.444444444444444)</f>
        <v>0.44444444444444398</v>
      </c>
      <c r="N270" s="25">
        <f ca="1">IFERROR(__xludf.DUMMYFUNCTION("""COMPUTED_VALUE"""),0.444444444444444)</f>
        <v>0.44444444444444398</v>
      </c>
      <c r="O270" s="25">
        <f ca="1">IFERROR(__xludf.DUMMYFUNCTION("""COMPUTED_VALUE"""),0.5)</f>
        <v>0.5</v>
      </c>
      <c r="P270" s="25">
        <f ca="1">IFERROR(__xludf.DUMMYFUNCTION("""COMPUTED_VALUE"""),0.263157894736842)</f>
        <v>0.26315789473684198</v>
      </c>
      <c r="Q270" s="25">
        <f ca="1">IFERROR(__xludf.DUMMYFUNCTION("""COMPUTED_VALUE"""),0)</f>
        <v>0</v>
      </c>
      <c r="R270" s="25">
        <f ca="1">IFERROR(__xludf.DUMMYFUNCTION("""COMPUTED_VALUE"""),0.25)</f>
        <v>0.25</v>
      </c>
      <c r="S270" s="25">
        <f ca="1">IFERROR(__xludf.DUMMYFUNCTION("""COMPUTED_VALUE"""),0.692307692307692)</f>
        <v>0.69230769230769196</v>
      </c>
      <c r="T270" s="25">
        <f ca="1">IFERROR(__xludf.DUMMYFUNCTION("""COMPUTED_VALUE"""),0)</f>
        <v>0</v>
      </c>
      <c r="U270" s="25">
        <f ca="1">IFERROR(__xludf.DUMMYFUNCTION("""COMPUTED_VALUE"""),0.2)</f>
        <v>0.2</v>
      </c>
      <c r="V270" s="25">
        <f ca="1">IFERROR(__xludf.DUMMYFUNCTION("""COMPUTED_VALUE"""),0)</f>
        <v>0</v>
      </c>
      <c r="W270" s="4"/>
      <c r="X270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Y270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Z270" s="4" t="str">
        <f ca="1">IFERROR(__xludf.DUMMYFUNCTION("""COMPUTED_VALUE"""),"| 5 L NS % | 6 L JAVA % | 7 L PRO % | 8 L PRO % | 9 P CPT @ ")</f>
        <v xml:space="preserve">| 5 L NS % | 6 L JAVA % | 7 L PRO % | 8 L PRO % | 9 P CPT @ </v>
      </c>
      <c r="AA270" s="4" t="str">
        <f ca="1">IFERROR(__xludf.DUMMYFUNCTION("""COMPUTED_VALUE"""),"| 7 P JAVA @ | 9 P Python @ ")</f>
        <v xml:space="preserve">| 7 P JAVA @ | 9 P Python @ </v>
      </c>
      <c r="AB270" s="4" t="str">
        <f ca="1">IFERROR(__xludf.DUMMYFUNCTION("""COMPUTED_VALUE"""),"| 5 L JAVA % | 6 L PHP-CGM % | 7 P NS % | 9 P Python @ ")</f>
        <v xml:space="preserve">| 5 L JAVA % | 6 L PHP-CGM % | 7 P NS % | 9 P Python @ </v>
      </c>
      <c r="AC270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0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AE270" s="4" t="str">
        <f ca="1">IFERROR(__xludf.DUMMYFUNCTION("""COMPUTED_VALUE"""),"| 5 L JAVA % | 6 L NS % | 7 L PRO % | 9 P CPT @ ")</f>
        <v xml:space="preserve">| 5 L JAVA % | 6 L NS % | 7 L PRO % | 9 P CPT @ </v>
      </c>
      <c r="AF270" s="4" t="str">
        <f ca="1">IFERROR(__xludf.DUMMYFUNCTION("""COMPUTED_VALUE"""),"| 7 P JAVA @ ")</f>
        <v xml:space="preserve">| 7 P JAVA @ </v>
      </c>
      <c r="AG270" s="4" t="str">
        <f ca="1">IFERROR(__xludf.DUMMYFUNCTION("""COMPUTED_VALUE"""),"| 5 L CPT % | 6 L PHP-CGM % | 7 P NS % | 9 P Python @ ")</f>
        <v xml:space="preserve">| 5 L CPT % | 6 L PHP-CGM % | 7 P NS % | 9 P Python @ </v>
      </c>
      <c r="AH270" s="4" t="str">
        <f ca="1">IFERROR(__xludf.DUMMYFUNCTION("""COMPUTED_VALUE"""),"| 7 P JAVA % | 9 P Python % ")</f>
        <v xml:space="preserve">| 7 P JAVA % | 9 P Python % </v>
      </c>
      <c r="AI270" s="4" t="str">
        <f ca="1">IFERROR(__xludf.DUMMYFUNCTION("""COMPUTED_VALUE"""),"| 5 L CPT % | 6 L PHP-CGM % | 7 P NS % | 9 P Python % ")</f>
        <v xml:space="preserve">| 5 L CPT % | 6 L PHP-CGM % | 7 P NS % | 9 P Python % </v>
      </c>
      <c r="AJ270" s="4" t="str">
        <f ca="1">IFERROR(__xludf.DUMMYFUNCTION("""COMPUTED_VALUE"""),"| 5 L JAVA @ | 6 L NS @ | 7 L PHP-CGM @ | 9 P JAVA @ | 8 L CPT @ ")</f>
        <v xml:space="preserve">| 5 L JAVA @ | 6 L NS @ | 7 L PHP-CGM @ | 9 P JAVA @ | 8 L CPT @ </v>
      </c>
      <c r="AK270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0" s="4" t="str">
        <f ca="1">IFERROR(__xludf.DUMMYFUNCTION("""COMPUTED_VALUE"""),"| 6 L NS % | 7 L NS % | 7 L PRO % | 8 L PRO % | 9 P CPT % ")</f>
        <v xml:space="preserve">| 6 L NS % | 7 L NS % | 7 L PRO % | 8 L PRO % | 9 P CPT % </v>
      </c>
      <c r="AM270" s="4" t="str">
        <f ca="1">IFERROR(__xludf.DUMMYFUNCTION("""COMPUTED_VALUE"""),"| 5 L INE @ | 7 P JAVA @ | 9 P Python @ ")</f>
        <v xml:space="preserve">| 5 L INE @ | 7 P JAVA @ | 9 P Python @ </v>
      </c>
      <c r="AN270" s="4" t="str">
        <f ca="1">IFERROR(__xludf.DUMMYFUNCTION("""COMPUTED_VALUE"""),"| 5 L CPT @ | 6 L PHP-CGM @ ")</f>
        <v xml:space="preserve">| 5 L CPT @ | 6 L PHP-CGM @ </v>
      </c>
      <c r="AO270" s="4" t="str">
        <f ca="1">IFERROR(__xludf.DUMMYFUNCTION("""COMPUTED_VALUE"""),"| 5 L JAVA @ | 5 L NS @ | 7 L PHP-CGM @ | 8 L CPT @ ")</f>
        <v xml:space="preserve">| 5 L JAVA @ | 5 L NS @ | 7 L PHP-CGM @ | 8 L CPT @ </v>
      </c>
      <c r="AP270" s="4" t="str">
        <f ca="1">IFERROR(__xludf.DUMMYFUNCTION("""COMPUTED_VALUE"""),"| 5 L PHP-CGM % | 6 L CPT % | 7 L JAVA % | 7 L NS % ")</f>
        <v xml:space="preserve">| 5 L PHP-CGM % | 6 L CPT % | 7 L JAVA % | 7 L NS % </v>
      </c>
      <c r="AQ270" s="4" t="str">
        <f ca="1">IFERROR(__xludf.DUMMYFUNCTION("""COMPUTED_VALUE"""),"| 5 L JAVA % | 6 L NS % | 7 L PRO % | 8 L PRO % | 9 P CPT @ ")</f>
        <v xml:space="preserve">| 5 L JAVA % | 6 L NS % | 7 L PRO % | 8 L PRO % | 9 P CPT @ </v>
      </c>
      <c r="AR270" s="4" t="str">
        <f ca="1">IFERROR(__xludf.DUMMYFUNCTION("""COMPUTED_VALUE"""),"| 5 L INE @ ")</f>
        <v xml:space="preserve">| 5 L INE @ </v>
      </c>
      <c r="AS270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70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70" s="4" t="str">
        <f ca="1">IFERROR(__xludf.DUMMYFUNCTION("""COMPUTED_VALUE"""),"| 5 L JAVA @ | 6 L NS @ | 7 P PRO @ | 9 P CPT @ ")</f>
        <v xml:space="preserve">| 5 L JAVA @ | 6 L NS @ | 7 P PRO @ | 9 P CPT @ </v>
      </c>
      <c r="AV270" s="4" t="str">
        <f ca="1">IFERROR(__xludf.DUMMYFUNCTION("""COMPUTED_VALUE"""),"| 5 L INE @ | 7 P JAVA @ | 9 P Python @ ")</f>
        <v xml:space="preserve">| 5 L INE @ | 7 P JAVA @ | 9 P Python @ </v>
      </c>
      <c r="AW270" s="4" t="str">
        <f ca="1">IFERROR(__xludf.DUMMYFUNCTION("""COMPUTED_VALUE"""),"| 5 L CPT @ | 6 L PHP-CGM @ | 7 P NS @ | 9 P Python @ ")</f>
        <v xml:space="preserve">| 5 L CPT @ | 6 L PHP-CGM @ | 7 P NS @ | 9 P Python @ </v>
      </c>
      <c r="AX270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AY270" s="4" t="str">
        <f ca="1">IFERROR(__xludf.DUMMYFUNCTION("""COMPUTED_VALUE"""),"| 5 L PHP-CGM @ | 6 L CPT @ | 7 L NS @ | 8 L NS @ | 9 P PHP-CGM @ ")</f>
        <v xml:space="preserve">| 5 L PHP-CGM @ | 6 L CPT @ | 7 L NS @ | 8 L NS @ | 9 P PHP-CGM @ </v>
      </c>
      <c r="AZ270" s="4" t="str">
        <f ca="1">IFERROR(__xludf.DUMMYFUNCTION("""COMPUTED_VALUE"""),"| 5 L INE @ | 7 P JAVA @ ")</f>
        <v xml:space="preserve">| 5 L INE @ | 7 P JAVA @ </v>
      </c>
      <c r="BA270" s="4" t="str">
        <f ca="1">IFERROR(__xludf.DUMMYFUNCTION("""COMPUTED_VALUE"""),"| 5 L CPT @ | 6 L PHP-CGM @ | 7 P NS @ | 9 P Python @ ")</f>
        <v xml:space="preserve">| 5 L CPT @ | 6 L PHP-CGM @ | 7 P NS @ | 9 P Python @ </v>
      </c>
      <c r="BB270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70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70" s="4" t="str">
        <f ca="1">IFERROR(__xludf.DUMMYFUNCTION("""COMPUTED_VALUE"""),"| 5 L JAVA % | 6 L NS % | 7 L PRO % | 8 L PRO % | 9 P CPT % ")</f>
        <v xml:space="preserve">| 5 L JAVA % | 6 L NS % | 7 L PRO % | 8 L PRO % | 9 P CPT % </v>
      </c>
      <c r="BE270" s="4" t="str">
        <f ca="1">IFERROR(__xludf.DUMMYFUNCTION("""COMPUTED_VALUE"""),"| 5 L INE % | 7 P JAVA % | 9 P Python % ")</f>
        <v xml:space="preserve">| 5 L INE % | 7 P JAVA % | 9 P Python % </v>
      </c>
      <c r="BF270" s="4" t="str">
        <f ca="1">IFERROR(__xludf.DUMMYFUNCTION("""COMPUTED_VALUE"""),"| 5 L CPT % | 6 L PHP-CGM % | 7 P NS % | 9 P Python % ")</f>
        <v xml:space="preserve">| 5 L CPT % | 6 L PHP-CGM % | 7 P NS % | 9 P Python % </v>
      </c>
      <c r="BG270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H270" s="4" t="str">
        <f ca="1">IFERROR(__xludf.DUMMYFUNCTION("""COMPUTED_VALUE"""),"| 5 L JAVA @ | 6 L NS @ | 7 L PRO @ | 9 P CPT @ ")</f>
        <v xml:space="preserve">| 5 L JAVA @ | 6 L NS @ | 7 L PRO @ | 9 P CPT @ </v>
      </c>
      <c r="BI270" s="4" t="str">
        <f ca="1">IFERROR(__xludf.DUMMYFUNCTION("""COMPUTED_VALUE"""),"| 5 L INE @ | 7 P JAVA @ | 9 P Python @ ")</f>
        <v xml:space="preserve">| 5 L INE @ | 7 P JAVA @ | 9 P Python @ </v>
      </c>
      <c r="BJ270" s="4" t="str">
        <f ca="1">IFERROR(__xludf.DUMMYFUNCTION("""COMPUTED_VALUE"""),"| 5 L CPT % | 6 L PHP-CGM % | 7 P NS % ")</f>
        <v xml:space="preserve">| 5 L CPT % | 6 L PHP-CGM % | 7 P NS % </v>
      </c>
      <c r="BK270" s="4" t="str">
        <f ca="1">IFERROR(__xludf.DUMMYFUNCTION("""COMPUTED_VALUE"""),"| 5 L JAVA @ | 7 L PHP-CGM @ | 8 L CPT @ ")</f>
        <v xml:space="preserve">| 5 L JAVA @ | 7 L PHP-CGM @ | 8 L CPT @ </v>
      </c>
      <c r="BL270" s="4" t="str">
        <f ca="1">IFERROR(__xludf.DUMMYFUNCTION("""COMPUTED_VALUE"""),"| 5 L PHP-CGM @ | 6 L CPT @ | 8 L NS @ ")</f>
        <v xml:space="preserve">| 5 L PHP-CGM @ | 6 L CPT @ | 8 L NS @ </v>
      </c>
      <c r="BM270" s="4" t="str">
        <f ca="1">IFERROR(__xludf.DUMMYFUNCTION("""COMPUTED_VALUE"""),"| 5 L JAVA @ | 6 L NS @ | 7 L PRO @ | 8 L PRO @ | 9 P CPT @ ")</f>
        <v xml:space="preserve">| 5 L JAVA @ | 6 L NS @ | 7 L PRO @ | 8 L PRO @ | 9 P CPT @ </v>
      </c>
      <c r="BN270" s="4" t="str">
        <f ca="1">IFERROR(__xludf.DUMMYFUNCTION("""COMPUTED_VALUE"""),"| 5 L INE @ ")</f>
        <v xml:space="preserve">| 5 L INE @ </v>
      </c>
      <c r="BO270" s="4" t="str">
        <f ca="1">IFERROR(__xludf.DUMMYFUNCTION("""COMPUTED_VALUE"""),"| 5 L CPT @ | 6 L PHP-CGM @ ")</f>
        <v xml:space="preserve">| 5 L CPT @ | 6 L PHP-CGM @ </v>
      </c>
      <c r="BP270" s="4" t="str">
        <f ca="1">IFERROR(__xludf.DUMMYFUNCTION("""COMPUTED_VALUE"""),"| 5 L JAVA @ | 6 L JAVA @ | 7 L PHP-CGM @ | 8 L CPT @ ")</f>
        <v xml:space="preserve">| 5 L JAVA @ | 6 L JAVA @ | 7 L PHP-CGM @ | 8 L CPT @ </v>
      </c>
      <c r="BQ270" s="4" t="str">
        <f ca="1">IFERROR(__xludf.DUMMYFUNCTION("""COMPUTED_VALUE"""),"| 5 L JAVA @ ")</f>
        <v xml:space="preserve">| 5 L JAVA @ </v>
      </c>
      <c r="BR270" s="4"/>
      <c r="BS270" s="4"/>
      <c r="BT270" s="4" t="str">
        <f ca="1">IFERROR(__xludf.DUMMYFUNCTION("""COMPUTED_VALUE"""),"| 7 L PHP-CGM @ | 8 L CPT @ ")</f>
        <v xml:space="preserve">| 7 L PHP-CGM @ | 8 L CPT @ </v>
      </c>
      <c r="BU270" s="4" t="str">
        <f ca="1">IFERROR(__xludf.DUMMYFUNCTION("""COMPUTED_VALUE"""),"| 8 L NS @ ")</f>
        <v xml:space="preserve">| 8 L NS @ </v>
      </c>
      <c r="BV270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0" s="4"/>
      <c r="BX270" s="4" t="str">
        <f ca="1">IFERROR(__xludf.DUMMYFUNCTION("""COMPUTED_VALUE"""),"| 5 L JAVA @ | 6 L NS @ | 7 L PRO @ | 9 P CPT @ ")</f>
        <v xml:space="preserve">| 5 L JAVA @ | 6 L NS @ | 7 L PRO @ | 9 P CPT @ </v>
      </c>
      <c r="BY270" s="4" t="str">
        <f ca="1">IFERROR(__xludf.DUMMYFUNCTION("""COMPUTED_VALUE"""),"| 5 L INE @ | 7 P JAVA @ | 9 P Python @ ")</f>
        <v xml:space="preserve">| 5 L INE @ | 7 P JAVA @ | 9 P Python @ </v>
      </c>
      <c r="BZ270" s="4" t="str">
        <f ca="1">IFERROR(__xludf.DUMMYFUNCTION("""COMPUTED_VALUE"""),"| 5 L CPT @ | 6 L PHP-CGM @ | 7 P NS @ | 9 P Python @ ")</f>
        <v xml:space="preserve">| 5 L CPT @ | 6 L PHP-CGM @ | 7 P NS @ | 9 P Python @ </v>
      </c>
      <c r="CA270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70" s="4" t="str">
        <f ca="1">IFERROR(__xludf.DUMMYFUNCTION("""COMPUTED_VALUE"""),"| 5 L PHP-CGM @ | 6 L CPT @ | 7 L NS @ | 9 P PHP-CGM @ ")</f>
        <v xml:space="preserve">| 5 L PHP-CGM @ | 6 L CPT @ | 7 L NS @ | 9 P PHP-CGM @ </v>
      </c>
      <c r="CC270" s="4" t="str">
        <f ca="1">IFERROR(__xludf.DUMMYFUNCTION("""COMPUTED_VALUE"""),"| 5 L JAVA @ | 6 L NS @ | 9 P CPT @ ")</f>
        <v xml:space="preserve">| 5 L JAVA @ | 6 L NS @ | 9 P CPT @ </v>
      </c>
      <c r="CD270" s="4" t="str">
        <f ca="1">IFERROR(__xludf.DUMMYFUNCTION("""COMPUTED_VALUE"""),"| 5 L INE % | 7 P NS % ")</f>
        <v xml:space="preserve">| 5 L INE % | 7 P NS % </v>
      </c>
      <c r="CE270" s="4" t="str">
        <f ca="1">IFERROR(__xludf.DUMMYFUNCTION("""COMPUTED_VALUE"""),"| 5 L CPT @ | 6 L PHP-CGM @ | 7 P JAVA @ | 9 P Python @ ")</f>
        <v xml:space="preserve">| 5 L CPT @ | 6 L PHP-CGM @ | 7 P JAVA @ | 9 P Python @ </v>
      </c>
      <c r="CF270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CG270" s="4" t="str">
        <f ca="1">IFERROR(__xludf.DUMMYFUNCTION("""COMPUTED_VALUE"""),"| 5 L PHP-CGM @ | 6 L CPT @ | 7 L JAVA @ | 8 L NS % | 9 P PHP-CGM % ")</f>
        <v xml:space="preserve">| 5 L PHP-CGM @ | 6 L CPT @ | 7 L JAVA @ | 8 L NS % | 9 P PHP-CGM % </v>
      </c>
      <c r="CH270" s="4" t="str">
        <f ca="1">IFERROR(__xludf.DUMMYFUNCTION("""COMPUTED_VALUE"""),"| 5 L JAVA @ | 6 L NS @ | 9 P CPT % ")</f>
        <v xml:space="preserve">| 5 L JAVA @ | 6 L NS @ | 9 P CPT % </v>
      </c>
      <c r="CI270" s="4" t="str">
        <f ca="1">IFERROR(__xludf.DUMMYFUNCTION("""COMPUTED_VALUE"""),"| 5 L INE @ | 9 P Python @ ")</f>
        <v xml:space="preserve">| 5 L INE @ | 9 P Python @ </v>
      </c>
      <c r="CJ270" s="4" t="str">
        <f ca="1">IFERROR(__xludf.DUMMYFUNCTION("""COMPUTED_VALUE"""),"| 5 L CPT @ | 6 L PHP-CGM @ ")</f>
        <v xml:space="preserve">| 5 L CPT @ | 6 L PHP-CGM @ </v>
      </c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</row>
    <row r="271" spans="1:102" ht="12.5" x14ac:dyDescent="0.25">
      <c r="A271" s="3">
        <f ca="1">IFERROR(__xludf.DUMMYFUNCTION("""COMPUTED_VALUE"""),1)</f>
        <v>1</v>
      </c>
      <c r="B271" s="3" t="str">
        <f ca="1">IFERROR(__xludf.DUMMYFUNCTION("""COMPUTED_VALUE"""),"D")</f>
        <v>D</v>
      </c>
      <c r="C271" s="32" t="str">
        <f ca="1">IFERROR(__xludf.DUMMYFUNCTION("""COMPUTED_VALUE"""),"23171341010")</f>
        <v>23171341010</v>
      </c>
      <c r="D271" s="4" t="str">
        <f ca="1">IFERROR(__xludf.DUMMYFUNCTION("""COMPUTED_VALUE"""),"BHAGAT HARSHIL SANJAYKUMAR")</f>
        <v>BHAGAT HARSHIL SANJAYKUMAR</v>
      </c>
      <c r="E271" s="3" t="str">
        <f ca="1">IFERROR(__xludf.DUMMYFUNCTION("""COMPUTED_VALUE"""),"ZPP - Eve")</f>
        <v>ZPP - Eve</v>
      </c>
      <c r="F271" s="3">
        <f ca="1">IFERROR(__xludf.DUMMYFUNCTION("""COMPUTED_VALUE"""),7984507052)</f>
        <v>7984507052</v>
      </c>
      <c r="G271" s="3" t="str">
        <f ca="1">IFERROR(__xludf.DUMMYFUNCTION("""COMPUTED_VALUE"""),"9924214288‬‬
, 9825591598")</f>
        <v>9924214288‬‬
, 9825591598</v>
      </c>
      <c r="H271" s="33">
        <f ca="1">IFERROR(__xludf.DUMMYFUNCTION("""COMPUTED_VALUE"""),0.621145374449339)</f>
        <v>0.62114537444933904</v>
      </c>
      <c r="I271" s="25">
        <f ca="1">IFERROR(__xludf.DUMMYFUNCTION("""COMPUTED_VALUE"""),0.571428571428571)</f>
        <v>0.57142857142857095</v>
      </c>
      <c r="J271" s="25">
        <f ca="1">IFERROR(__xludf.DUMMYFUNCTION("""COMPUTED_VALUE"""),0.545454545454545)</f>
        <v>0.54545454545454497</v>
      </c>
      <c r="K271" s="25">
        <f ca="1">IFERROR(__xludf.DUMMYFUNCTION("""COMPUTED_VALUE"""),0.6875)</f>
        <v>0.6875</v>
      </c>
      <c r="L271" s="25">
        <f ca="1">IFERROR(__xludf.DUMMYFUNCTION("""COMPUTED_VALUE"""),0.666666666666666)</f>
        <v>0.66666666666666596</v>
      </c>
      <c r="M271" s="25">
        <f ca="1">IFERROR(__xludf.DUMMYFUNCTION("""COMPUTED_VALUE"""),0.555555555555555)</f>
        <v>0.55555555555555503</v>
      </c>
      <c r="N271" s="25">
        <f ca="1">IFERROR(__xludf.DUMMYFUNCTION("""COMPUTED_VALUE"""),0.666666666666666)</f>
        <v>0.66666666666666596</v>
      </c>
      <c r="O271" s="25">
        <f ca="1">IFERROR(__xludf.DUMMYFUNCTION("""COMPUTED_VALUE"""),0.75)</f>
        <v>0.75</v>
      </c>
      <c r="P271" s="25">
        <f ca="1">IFERROR(__xludf.DUMMYFUNCTION("""COMPUTED_VALUE"""),0.684210526315789)</f>
        <v>0.68421052631578905</v>
      </c>
      <c r="Q271" s="25">
        <f ca="1">IFERROR(__xludf.DUMMYFUNCTION("""COMPUTED_VALUE"""),0)</f>
        <v>0</v>
      </c>
      <c r="R271" s="25">
        <f ca="1">IFERROR(__xludf.DUMMYFUNCTION("""COMPUTED_VALUE"""),0.625)</f>
        <v>0.625</v>
      </c>
      <c r="S271" s="25">
        <f ca="1">IFERROR(__xludf.DUMMYFUNCTION("""COMPUTED_VALUE"""),0.307692307692307)</f>
        <v>0.30769230769230699</v>
      </c>
      <c r="T271" s="25">
        <f ca="1">IFERROR(__xludf.DUMMYFUNCTION("""COMPUTED_VALUE"""),1)</f>
        <v>1</v>
      </c>
      <c r="U271" s="25">
        <f ca="1">IFERROR(__xludf.DUMMYFUNCTION("""COMPUTED_VALUE"""),0.6)</f>
        <v>0.6</v>
      </c>
      <c r="V271" s="25">
        <f ca="1">IFERROR(__xludf.DUMMYFUNCTION("""COMPUTED_VALUE"""),0)</f>
        <v>0</v>
      </c>
      <c r="W271" s="4"/>
      <c r="X271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71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71" s="4" t="str">
        <f ca="1">IFERROR(__xludf.DUMMYFUNCTION("""COMPUTED_VALUE"""),"| 5 L NS % | 6 L JAVA % | 7 L PRO % | 8 L PRO % | 9 P CPT @ ")</f>
        <v xml:space="preserve">| 5 L NS % | 6 L JAVA % | 7 L PRO % | 8 L PRO % | 9 P CPT @ </v>
      </c>
      <c r="AA271" s="4" t="str">
        <f ca="1">IFERROR(__xludf.DUMMYFUNCTION("""COMPUTED_VALUE"""),"| 7 P JAVA % | 9 P Python % ")</f>
        <v xml:space="preserve">| 7 P JAVA % | 9 P Python % </v>
      </c>
      <c r="AB271" s="4" t="str">
        <f ca="1">IFERROR(__xludf.DUMMYFUNCTION("""COMPUTED_VALUE"""),"| 5 L JAVA % | 6 L PHP-CGM % | 7 P NS % | 9 P Python % ")</f>
        <v xml:space="preserve">| 5 L JAVA % | 6 L PHP-CGM % | 7 P NS % | 9 P Python % </v>
      </c>
      <c r="AC271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1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71" s="4" t="str">
        <f ca="1">IFERROR(__xludf.DUMMYFUNCTION("""COMPUTED_VALUE"""),"| 5 L JAVA % | 6 L NS % | 7 L PRO % | 9 P CPT % ")</f>
        <v xml:space="preserve">| 5 L JAVA % | 6 L NS % | 7 L PRO % | 9 P CPT % </v>
      </c>
      <c r="AF271" s="4" t="str">
        <f ca="1">IFERROR(__xludf.DUMMYFUNCTION("""COMPUTED_VALUE"""),"| 7 P JAVA % ")</f>
        <v xml:space="preserve">| 7 P JAVA % </v>
      </c>
      <c r="AG271" s="4" t="str">
        <f ca="1">IFERROR(__xludf.DUMMYFUNCTION("""COMPUTED_VALUE"""),"| 5 L CPT % | 6 L PHP-CGM @ | 7 P NS @ | 9 P Python @ ")</f>
        <v xml:space="preserve">| 5 L CPT % | 6 L PHP-CGM @ | 7 P NS @ | 9 P Python @ </v>
      </c>
      <c r="AH271" s="4" t="str">
        <f ca="1">IFERROR(__xludf.DUMMYFUNCTION("""COMPUTED_VALUE"""),"| 7 P JAVA % | 9 P Python % ")</f>
        <v xml:space="preserve">| 7 P JAVA % | 9 P Python % </v>
      </c>
      <c r="AI271" s="4" t="str">
        <f ca="1">IFERROR(__xludf.DUMMYFUNCTION("""COMPUTED_VALUE"""),"| 5 L CPT % | 6 L PHP-CGM % | 7 P NS % | 9 P Python % ")</f>
        <v xml:space="preserve">| 5 L CPT % | 6 L PHP-CGM % | 7 P NS % | 9 P Python % </v>
      </c>
      <c r="AJ271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71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1" s="4" t="str">
        <f ca="1">IFERROR(__xludf.DUMMYFUNCTION("""COMPUTED_VALUE"""),"| 6 L NS @ | 7 L NS @ | 7 L PRO @ | 8 L PRO @ | 9 P CPT @ ")</f>
        <v xml:space="preserve">| 6 L NS @ | 7 L NS @ | 7 L PRO @ | 8 L PRO @ | 9 P CPT @ </v>
      </c>
      <c r="AM271" s="4" t="str">
        <f ca="1">IFERROR(__xludf.DUMMYFUNCTION("""COMPUTED_VALUE"""),"| 5 L INE @ | 7 P JAVA @ | 9 P Python @ ")</f>
        <v xml:space="preserve">| 5 L INE @ | 7 P JAVA @ | 9 P Python @ </v>
      </c>
      <c r="AN271" s="4" t="str">
        <f ca="1">IFERROR(__xludf.DUMMYFUNCTION("""COMPUTED_VALUE"""),"| 5 L CPT @ | 6 L PHP-CGM @ ")</f>
        <v xml:space="preserve">| 5 L CPT @ | 6 L PHP-CGM @ </v>
      </c>
      <c r="AO271" s="4" t="str">
        <f ca="1">IFERROR(__xludf.DUMMYFUNCTION("""COMPUTED_VALUE"""),"| 5 L JAVA @ | 5 L NS @ | 7 L PHP-CGM @ | 8 L CPT @ ")</f>
        <v xml:space="preserve">| 5 L JAVA @ | 5 L NS @ | 7 L PHP-CGM @ | 8 L CPT @ </v>
      </c>
      <c r="AP271" s="4" t="str">
        <f ca="1">IFERROR(__xludf.DUMMYFUNCTION("""COMPUTED_VALUE"""),"| 5 L PHP-CGM @ | 6 L CPT @ | 7 L JAVA @ | 7 L NS @ ")</f>
        <v xml:space="preserve">| 5 L PHP-CGM @ | 6 L CPT @ | 7 L JAVA @ | 7 L NS @ </v>
      </c>
      <c r="AQ271" s="4" t="str">
        <f ca="1">IFERROR(__xludf.DUMMYFUNCTION("""COMPUTED_VALUE"""),"| 5 L JAVA @ | 6 L NS @ | 7 L PRO @ | 8 L PRO @ | 9 P CPT @ ")</f>
        <v xml:space="preserve">| 5 L JAVA @ | 6 L NS @ | 7 L PRO @ | 8 L PRO @ | 9 P CPT @ </v>
      </c>
      <c r="AR271" s="4" t="str">
        <f ca="1">IFERROR(__xludf.DUMMYFUNCTION("""COMPUTED_VALUE"""),"| 5 L INE @ ")</f>
        <v xml:space="preserve">| 5 L INE @ </v>
      </c>
      <c r="AS271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71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71" s="4" t="str">
        <f ca="1">IFERROR(__xludf.DUMMYFUNCTION("""COMPUTED_VALUE"""),"| 5 L JAVA % | 6 L NS % | 7 P PRO % | 9 P CPT % ")</f>
        <v xml:space="preserve">| 5 L JAVA % | 6 L NS % | 7 P PRO % | 9 P CPT % </v>
      </c>
      <c r="AV271" s="4" t="str">
        <f ca="1">IFERROR(__xludf.DUMMYFUNCTION("""COMPUTED_VALUE"""),"| 5 L INE % | 7 P JAVA % | 9 P Python % ")</f>
        <v xml:space="preserve">| 5 L INE % | 7 P JAVA % | 9 P Python % </v>
      </c>
      <c r="AW271" s="4" t="str">
        <f ca="1">IFERROR(__xludf.DUMMYFUNCTION("""COMPUTED_VALUE"""),"| 5 L CPT % | 6 L PHP-CGM % | 7 P NS % | 9 P Python % ")</f>
        <v xml:space="preserve">| 5 L CPT % | 6 L PHP-CGM % | 7 P NS % | 9 P Python % </v>
      </c>
      <c r="AX271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71" s="4" t="str">
        <f ca="1">IFERROR(__xludf.DUMMYFUNCTION("""COMPUTED_VALUE"""),"| 5 L PHP-CGM % | 6 L CPT % | 7 L NS % | 8 L NS % | 9 P PHP-CGM @ ")</f>
        <v xml:space="preserve">| 5 L PHP-CGM % | 6 L CPT % | 7 L NS % | 8 L NS % | 9 P PHP-CGM @ </v>
      </c>
      <c r="AZ271" s="4" t="str">
        <f ca="1">IFERROR(__xludf.DUMMYFUNCTION("""COMPUTED_VALUE"""),"| 5 L INE % | 7 P JAVA % ")</f>
        <v xml:space="preserve">| 5 L INE % | 7 P JAVA % </v>
      </c>
      <c r="BA271" s="4" t="str">
        <f ca="1">IFERROR(__xludf.DUMMYFUNCTION("""COMPUTED_VALUE"""),"| 5 L CPT % | 6 L PHP-CGM % | 7 P NS % | 9 P Python % ")</f>
        <v xml:space="preserve">| 5 L CPT % | 6 L PHP-CGM % | 7 P NS % | 9 P Python % </v>
      </c>
      <c r="BB271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71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71" s="4" t="str">
        <f ca="1">IFERROR(__xludf.DUMMYFUNCTION("""COMPUTED_VALUE"""),"| 5 L JAVA @ | 6 L NS @ | 7 L PRO @ | 8 L PRO @ | 9 P CPT @ ")</f>
        <v xml:space="preserve">| 5 L JAVA @ | 6 L NS @ | 7 L PRO @ | 8 L PRO @ | 9 P CPT @ </v>
      </c>
      <c r="BE271" s="4" t="str">
        <f ca="1">IFERROR(__xludf.DUMMYFUNCTION("""COMPUTED_VALUE"""),"| 5 L INE @ | 7 P JAVA @ | 9 P Python @ ")</f>
        <v xml:space="preserve">| 5 L INE @ | 7 P JAVA @ | 9 P Python @ </v>
      </c>
      <c r="BF271" s="4" t="str">
        <f ca="1">IFERROR(__xludf.DUMMYFUNCTION("""COMPUTED_VALUE"""),"| 5 L CPT @ | 6 L PHP-CGM @ | 7 P NS @ | 9 P Python @ ")</f>
        <v xml:space="preserve">| 5 L CPT @ | 6 L PHP-CGM @ | 7 P NS @ | 9 P Python @ </v>
      </c>
      <c r="BG271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H271" s="4" t="str">
        <f ca="1">IFERROR(__xludf.DUMMYFUNCTION("""COMPUTED_VALUE"""),"| 5 L JAVA @ | 6 L NS @ | 7 L PRO @ | 9 P CPT @ ")</f>
        <v xml:space="preserve">| 5 L JAVA @ | 6 L NS @ | 7 L PRO @ | 9 P CPT @ </v>
      </c>
      <c r="BI271" s="4" t="str">
        <f ca="1">IFERROR(__xludf.DUMMYFUNCTION("""COMPUTED_VALUE"""),"| 5 L INE @ | 7 P JAVA @ | 9 P Python @ ")</f>
        <v xml:space="preserve">| 5 L INE @ | 7 P JAVA @ | 9 P Python @ </v>
      </c>
      <c r="BJ271" s="4" t="str">
        <f ca="1">IFERROR(__xludf.DUMMYFUNCTION("""COMPUTED_VALUE"""),"| 5 L CPT @ | 6 L PHP-CGM @ | 7 P NS @ ")</f>
        <v xml:space="preserve">| 5 L CPT @ | 6 L PHP-CGM @ | 7 P NS @ </v>
      </c>
      <c r="BK271" s="4" t="str">
        <f ca="1">IFERROR(__xludf.DUMMYFUNCTION("""COMPUTED_VALUE"""),"| 5 L JAVA % | 7 L PHP-CGM % | 8 L CPT % ")</f>
        <v xml:space="preserve">| 5 L JAVA % | 7 L PHP-CGM % | 8 L CPT % </v>
      </c>
      <c r="BL271" s="4" t="str">
        <f ca="1">IFERROR(__xludf.DUMMYFUNCTION("""COMPUTED_VALUE"""),"| 5 L PHP-CGM % | 6 L CPT % | 8 L NS % ")</f>
        <v xml:space="preserve">| 5 L PHP-CGM % | 6 L CPT % | 8 L NS % </v>
      </c>
      <c r="BM271" s="4" t="str">
        <f ca="1">IFERROR(__xludf.DUMMYFUNCTION("""COMPUTED_VALUE"""),"| 5 L JAVA % | 6 L NS % | 7 L PRO @ | 8 L PRO @ | 9 P CPT % ")</f>
        <v xml:space="preserve">| 5 L JAVA % | 6 L NS % | 7 L PRO @ | 8 L PRO @ | 9 P CPT % </v>
      </c>
      <c r="BN271" s="4" t="str">
        <f ca="1">IFERROR(__xludf.DUMMYFUNCTION("""COMPUTED_VALUE"""),"| 5 L INE % ")</f>
        <v xml:space="preserve">| 5 L INE % </v>
      </c>
      <c r="BO271" s="4" t="str">
        <f ca="1">IFERROR(__xludf.DUMMYFUNCTION("""COMPUTED_VALUE"""),"| 5 L CPT @ | 6 L PHP-CGM @ ")</f>
        <v xml:space="preserve">| 5 L CPT @ | 6 L PHP-CGM @ </v>
      </c>
      <c r="BP271" s="4" t="str">
        <f ca="1">IFERROR(__xludf.DUMMYFUNCTION("""COMPUTED_VALUE"""),"| 5 L JAVA @ | 6 L JAVA @ | 7 L PHP-CGM @ | 8 L CPT @ ")</f>
        <v xml:space="preserve">| 5 L JAVA @ | 6 L JAVA @ | 7 L PHP-CGM @ | 8 L CPT @ </v>
      </c>
      <c r="BQ271" s="4" t="str">
        <f ca="1">IFERROR(__xludf.DUMMYFUNCTION("""COMPUTED_VALUE"""),"| 5 L JAVA % ")</f>
        <v xml:space="preserve">| 5 L JAVA % </v>
      </c>
      <c r="BR271" s="4"/>
      <c r="BS271" s="4"/>
      <c r="BT271" s="4" t="str">
        <f ca="1">IFERROR(__xludf.DUMMYFUNCTION("""COMPUTED_VALUE"""),"| 7 L PHP-CGM @ | 8 L CPT @ ")</f>
        <v xml:space="preserve">| 7 L PHP-CGM @ | 8 L CPT @ </v>
      </c>
      <c r="BU271" s="4" t="str">
        <f ca="1">IFERROR(__xludf.DUMMYFUNCTION("""COMPUTED_VALUE"""),"| 8 L NS @ ")</f>
        <v xml:space="preserve">| 8 L NS @ </v>
      </c>
      <c r="BV271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BW271" s="4"/>
      <c r="BX271" s="4" t="str">
        <f ca="1">IFERROR(__xludf.DUMMYFUNCTION("""COMPUTED_VALUE"""),"| 5 L JAVA % | 6 L NS % | 7 L PRO % | 9 P CPT % ")</f>
        <v xml:space="preserve">| 5 L JAVA % | 6 L NS % | 7 L PRO % | 9 P CPT % </v>
      </c>
      <c r="BY271" s="4" t="str">
        <f ca="1">IFERROR(__xludf.DUMMYFUNCTION("""COMPUTED_VALUE"""),"| 5 L INE % | 7 P JAVA % | 9 P Python % ")</f>
        <v xml:space="preserve">| 5 L INE % | 7 P JAVA % | 9 P Python % </v>
      </c>
      <c r="BZ271" s="4" t="str">
        <f ca="1">IFERROR(__xludf.DUMMYFUNCTION("""COMPUTED_VALUE"""),"| 5 L CPT % | 6 L PHP-CGM % | 7 P NS % | 9 P Python @ ")</f>
        <v xml:space="preserve">| 5 L CPT % | 6 L PHP-CGM % | 7 P NS % | 9 P Python @ </v>
      </c>
      <c r="CA271" s="4" t="str">
        <f ca="1">IFERROR(__xludf.DUMMYFUNCTION("""COMPUTED_VALUE"""),"| 5 L JAVA % | 6 L JAVA % | 7 L PHP-CGM @ | 8 L CPT @ | 9 P JAVA @ ")</f>
        <v xml:space="preserve">| 5 L JAVA % | 6 L JAVA % | 7 L PHP-CGM @ | 8 L CPT @ | 9 P JAVA @ </v>
      </c>
      <c r="CB271" s="4" t="str">
        <f ca="1">IFERROR(__xludf.DUMMYFUNCTION("""COMPUTED_VALUE"""),"| 5 L PHP-CGM % | 6 L CPT % | 7 L NS % | 9 P PHP-CGM @ ")</f>
        <v xml:space="preserve">| 5 L PHP-CGM % | 6 L CPT % | 7 L NS % | 9 P PHP-CGM @ </v>
      </c>
      <c r="CC271" s="4" t="str">
        <f ca="1">IFERROR(__xludf.DUMMYFUNCTION("""COMPUTED_VALUE"""),"| 5 L JAVA % | 6 L NS % | 9 P CPT % ")</f>
        <v xml:space="preserve">| 5 L JAVA % | 6 L NS % | 9 P CPT % </v>
      </c>
      <c r="CD271" s="4" t="str">
        <f ca="1">IFERROR(__xludf.DUMMYFUNCTION("""COMPUTED_VALUE"""),"| 5 L INE % | 7 P NS % ")</f>
        <v xml:space="preserve">| 5 L INE % | 7 P NS % </v>
      </c>
      <c r="CE271" s="4" t="str">
        <f ca="1">IFERROR(__xludf.DUMMYFUNCTION("""COMPUTED_VALUE"""),"| 5 L CPT % | 6 L PHP-CGM % | 7 P JAVA % | 9 P Python % ")</f>
        <v xml:space="preserve">| 5 L CPT % | 6 L PHP-CGM % | 7 P JAVA % | 9 P Python % </v>
      </c>
      <c r="CF271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CG271" s="4" t="str">
        <f ca="1">IFERROR(__xludf.DUMMYFUNCTION("""COMPUTED_VALUE"""),"| 5 L PHP-CGM @ | 6 L CPT @ | 7 L JAVA % | 8 L NS % | 9 P PHP-CGM % ")</f>
        <v xml:space="preserve">| 5 L PHP-CGM @ | 6 L CPT @ | 7 L JAVA % | 8 L NS % | 9 P PHP-CGM % </v>
      </c>
      <c r="CH271" s="4" t="str">
        <f ca="1">IFERROR(__xludf.DUMMYFUNCTION("""COMPUTED_VALUE"""),"| 5 L JAVA % | 6 L NS % | 9 P CPT % ")</f>
        <v xml:space="preserve">| 5 L JAVA % | 6 L NS % | 9 P CPT % </v>
      </c>
      <c r="CI271" s="4" t="str">
        <f ca="1">IFERROR(__xludf.DUMMYFUNCTION("""COMPUTED_VALUE"""),"| 5 L INE % | 9 P Python % ")</f>
        <v xml:space="preserve">| 5 L INE % | 9 P Python % </v>
      </c>
      <c r="CJ271" s="4" t="str">
        <f ca="1">IFERROR(__xludf.DUMMYFUNCTION("""COMPUTED_VALUE"""),"| 5 L CPT @ | 6 L PHP-CGM @ ")</f>
        <v xml:space="preserve">| 5 L CPT @ | 6 L PHP-CGM @ </v>
      </c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</row>
    <row r="272" spans="1:102" ht="12.5" x14ac:dyDescent="0.25">
      <c r="A272" s="3">
        <f ca="1">IFERROR(__xludf.DUMMYFUNCTION("""COMPUTED_VALUE"""),1)</f>
        <v>1</v>
      </c>
      <c r="B272" s="3" t="str">
        <f ca="1">IFERROR(__xludf.DUMMYFUNCTION("""COMPUTED_VALUE"""),"D")</f>
        <v>D</v>
      </c>
      <c r="C272" s="32" t="str">
        <f ca="1">IFERROR(__xludf.DUMMYFUNCTION("""COMPUTED_VALUE"""),"23171341012")</f>
        <v>23171341012</v>
      </c>
      <c r="D272" s="4" t="str">
        <f ca="1">IFERROR(__xludf.DUMMYFUNCTION("""COMPUTED_VALUE"""),"BHATIA KUNAL MANISH")</f>
        <v>BHATIA KUNAL MANISH</v>
      </c>
      <c r="E272" s="3" t="str">
        <f ca="1">IFERROR(__xludf.DUMMYFUNCTION("""COMPUTED_VALUE"""),"ZPP - Eve")</f>
        <v>ZPP - Eve</v>
      </c>
      <c r="F272" s="3">
        <f ca="1">IFERROR(__xludf.DUMMYFUNCTION("""COMPUTED_VALUE"""),8866126831)</f>
        <v>8866126831</v>
      </c>
      <c r="G272" s="3">
        <f ca="1">IFERROR(__xludf.DUMMYFUNCTION("""COMPUTED_VALUE"""),9824114112)</f>
        <v>9824114112</v>
      </c>
      <c r="H272" s="33">
        <f ca="1">IFERROR(__xludf.DUMMYFUNCTION("""COMPUTED_VALUE"""),0.629955947136563)</f>
        <v>0.629955947136563</v>
      </c>
      <c r="I272" s="25">
        <f ca="1">IFERROR(__xludf.DUMMYFUNCTION("""COMPUTED_VALUE"""),0.542857142857142)</f>
        <v>0.54285714285714204</v>
      </c>
      <c r="J272" s="25">
        <f ca="1">IFERROR(__xludf.DUMMYFUNCTION("""COMPUTED_VALUE"""),0.454545454545454)</f>
        <v>0.45454545454545398</v>
      </c>
      <c r="K272" s="25">
        <f ca="1">IFERROR(__xludf.DUMMYFUNCTION("""COMPUTED_VALUE"""),0.625)</f>
        <v>0.625</v>
      </c>
      <c r="L272" s="25">
        <f ca="1">IFERROR(__xludf.DUMMYFUNCTION("""COMPUTED_VALUE"""),0.888888888888888)</f>
        <v>0.88888888888888795</v>
      </c>
      <c r="M272" s="25">
        <f ca="1">IFERROR(__xludf.DUMMYFUNCTION("""COMPUTED_VALUE"""),0.638888888888888)</f>
        <v>0.63888888888888795</v>
      </c>
      <c r="N272" s="25">
        <f ca="1">IFERROR(__xludf.DUMMYFUNCTION("""COMPUTED_VALUE"""),0.666666666666666)</f>
        <v>0.66666666666666596</v>
      </c>
      <c r="O272" s="25">
        <f ca="1">IFERROR(__xludf.DUMMYFUNCTION("""COMPUTED_VALUE"""),0.638888888888888)</f>
        <v>0.63888888888888795</v>
      </c>
      <c r="P272" s="25">
        <f ca="1">IFERROR(__xludf.DUMMYFUNCTION("""COMPUTED_VALUE"""),0.684210526315789)</f>
        <v>0.68421052631578905</v>
      </c>
      <c r="Q272" s="25">
        <f ca="1">IFERROR(__xludf.DUMMYFUNCTION("""COMPUTED_VALUE"""),0)</f>
        <v>0</v>
      </c>
      <c r="R272" s="25">
        <f ca="1">IFERROR(__xludf.DUMMYFUNCTION("""COMPUTED_VALUE"""),0.75)</f>
        <v>0.75</v>
      </c>
      <c r="S272" s="25">
        <f ca="1">IFERROR(__xludf.DUMMYFUNCTION("""COMPUTED_VALUE"""),0.615384615384615)</f>
        <v>0.61538461538461497</v>
      </c>
      <c r="T272" s="25">
        <f ca="1">IFERROR(__xludf.DUMMYFUNCTION("""COMPUTED_VALUE"""),1)</f>
        <v>1</v>
      </c>
      <c r="U272" s="25">
        <f ca="1">IFERROR(__xludf.DUMMYFUNCTION("""COMPUTED_VALUE"""),0.5)</f>
        <v>0.5</v>
      </c>
      <c r="V272" s="25">
        <f ca="1">IFERROR(__xludf.DUMMYFUNCTION("""COMPUTED_VALUE"""),0)</f>
        <v>0</v>
      </c>
      <c r="W272" s="4"/>
      <c r="X272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72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72" s="4" t="str">
        <f ca="1">IFERROR(__xludf.DUMMYFUNCTION("""COMPUTED_VALUE"""),"| 5 L NS % | 6 L JAVA % | 7 L PRO % | 8 L PRO % | 9 P CPT % ")</f>
        <v xml:space="preserve">| 5 L NS % | 6 L JAVA % | 7 L PRO % | 8 L PRO % | 9 P CPT % </v>
      </c>
      <c r="AA272" s="4" t="str">
        <f ca="1">IFERROR(__xludf.DUMMYFUNCTION("""COMPUTED_VALUE"""),"| 7 P JAVA % | 9 P Python % ")</f>
        <v xml:space="preserve">| 7 P JAVA % | 9 P Python % </v>
      </c>
      <c r="AB272" s="4" t="str">
        <f ca="1">IFERROR(__xludf.DUMMYFUNCTION("""COMPUTED_VALUE"""),"| 5 L JAVA % | 6 L PHP-CGM % | 7 P NS % | 9 P Python % ")</f>
        <v xml:space="preserve">| 5 L JAVA % | 6 L PHP-CGM % | 7 P NS % | 9 P Python % </v>
      </c>
      <c r="AC272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2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72" s="4" t="str">
        <f ca="1">IFERROR(__xludf.DUMMYFUNCTION("""COMPUTED_VALUE"""),"| 5 L JAVA % | 6 L NS % | 7 L PRO % | 9 P CPT % ")</f>
        <v xml:space="preserve">| 5 L JAVA % | 6 L NS % | 7 L PRO % | 9 P CPT % </v>
      </c>
      <c r="AF272" s="4" t="str">
        <f ca="1">IFERROR(__xludf.DUMMYFUNCTION("""COMPUTED_VALUE"""),"| 7 P JAVA % ")</f>
        <v xml:space="preserve">| 7 P JAVA % </v>
      </c>
      <c r="AG272" s="4" t="str">
        <f ca="1">IFERROR(__xludf.DUMMYFUNCTION("""COMPUTED_VALUE"""),"| 5 L CPT % | 6 L PHP-CGM % | 7 P NS % | 9 P Python % ")</f>
        <v xml:space="preserve">| 5 L CPT % | 6 L PHP-CGM % | 7 P NS % | 9 P Python % </v>
      </c>
      <c r="AH272" s="4" t="str">
        <f ca="1">IFERROR(__xludf.DUMMYFUNCTION("""COMPUTED_VALUE"""),"| 7 P JAVA % | 9 P Python % ")</f>
        <v xml:space="preserve">| 7 P JAVA % | 9 P Python % </v>
      </c>
      <c r="AI272" s="4" t="str">
        <f ca="1">IFERROR(__xludf.DUMMYFUNCTION("""COMPUTED_VALUE"""),"| 5 L CPT % | 6 L PHP-CGM % | 7 P NS % | 9 P Python % ")</f>
        <v xml:space="preserve">| 5 L CPT % | 6 L PHP-CGM % | 7 P NS % | 9 P Python % </v>
      </c>
      <c r="AJ272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K272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2" s="4" t="str">
        <f ca="1">IFERROR(__xludf.DUMMYFUNCTION("""COMPUTED_VALUE"""),"| 6 L NS % | 7 L NS % | 7 L PRO % | 8 L PRO % | 9 P CPT % ")</f>
        <v xml:space="preserve">| 6 L NS % | 7 L NS % | 7 L PRO % | 8 L PRO % | 9 P CPT % </v>
      </c>
      <c r="AM272" s="4" t="str">
        <f ca="1">IFERROR(__xludf.DUMMYFUNCTION("""COMPUTED_VALUE"""),"| 5 L INE @ | 7 P JAVA @ | 9 P Python @ ")</f>
        <v xml:space="preserve">| 5 L INE @ | 7 P JAVA @ | 9 P Python @ </v>
      </c>
      <c r="AN272" s="4" t="str">
        <f ca="1">IFERROR(__xludf.DUMMYFUNCTION("""COMPUTED_VALUE"""),"| 5 L CPT % | 6 L PHP-CGM % ")</f>
        <v xml:space="preserve">| 5 L CPT % | 6 L PHP-CGM % </v>
      </c>
      <c r="AO272" s="4" t="str">
        <f ca="1">IFERROR(__xludf.DUMMYFUNCTION("""COMPUTED_VALUE"""),"| 5 L JAVA @ | 5 L NS @ | 7 L PHP-CGM @ | 8 L CPT @ ")</f>
        <v xml:space="preserve">| 5 L JAVA @ | 5 L NS @ | 7 L PHP-CGM @ | 8 L CPT @ </v>
      </c>
      <c r="AP272" s="4" t="str">
        <f ca="1">IFERROR(__xludf.DUMMYFUNCTION("""COMPUTED_VALUE"""),"| 5 L PHP-CGM @ | 6 L CPT @ | 7 L JAVA @ | 7 L NS @ ")</f>
        <v xml:space="preserve">| 5 L PHP-CGM @ | 6 L CPT @ | 7 L JAVA @ | 7 L NS @ </v>
      </c>
      <c r="AQ272" s="4" t="str">
        <f ca="1">IFERROR(__xludf.DUMMYFUNCTION("""COMPUTED_VALUE"""),"| 5 L JAVA @ | 6 L NS @ | 7 L PRO @ | 8 L PRO @ | 9 P CPT @ ")</f>
        <v xml:space="preserve">| 5 L JAVA @ | 6 L NS @ | 7 L PRO @ | 8 L PRO @ | 9 P CPT @ </v>
      </c>
      <c r="AR272" s="4" t="str">
        <f ca="1">IFERROR(__xludf.DUMMYFUNCTION("""COMPUTED_VALUE"""),"| 5 L INE @ ")</f>
        <v xml:space="preserve">| 5 L INE @ </v>
      </c>
      <c r="AS272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72" s="4" t="str">
        <f ca="1">IFERROR(__xludf.DUMMYFUNCTION("""COMPUTED_VALUE"""),"| 5 L PHP-CGM @ | 6 L CPT @ | 7 L JAVA @ | 8 L JAVA @ | 9 P PHP-CGM @ ")</f>
        <v xml:space="preserve">| 5 L PHP-CGM @ | 6 L CPT @ | 7 L JAVA @ | 8 L JAVA @ | 9 P PHP-CGM @ </v>
      </c>
      <c r="AU272" s="4" t="str">
        <f ca="1">IFERROR(__xludf.DUMMYFUNCTION("""COMPUTED_VALUE"""),"| 5 L JAVA % | 6 L NS % | 7 P PRO % | 9 P CPT @ ")</f>
        <v xml:space="preserve">| 5 L JAVA % | 6 L NS % | 7 P PRO % | 9 P CPT @ </v>
      </c>
      <c r="AV272" s="4" t="str">
        <f ca="1">IFERROR(__xludf.DUMMYFUNCTION("""COMPUTED_VALUE"""),"| 5 L INE % | 7 P JAVA % | 9 P Python @ ")</f>
        <v xml:space="preserve">| 5 L INE % | 7 P JAVA % | 9 P Python @ </v>
      </c>
      <c r="AW272" s="4" t="str">
        <f ca="1">IFERROR(__xludf.DUMMYFUNCTION("""COMPUTED_VALUE"""),"| 5 L CPT @ | 6 L PHP-CGM @ | 7 P NS % | 9 P Python % ")</f>
        <v xml:space="preserve">| 5 L CPT @ | 6 L PHP-CGM @ | 7 P NS % | 9 P Python % </v>
      </c>
      <c r="AX272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AY272" s="4" t="str">
        <f ca="1">IFERROR(__xludf.DUMMYFUNCTION("""COMPUTED_VALUE"""),"| 5 L PHP-CGM @ | 6 L CPT @ | 7 L NS @ | 8 L NS @ | 9 P PHP-CGM @ ")</f>
        <v xml:space="preserve">| 5 L PHP-CGM @ | 6 L CPT @ | 7 L NS @ | 8 L NS @ | 9 P PHP-CGM @ </v>
      </c>
      <c r="AZ272" s="4" t="str">
        <f ca="1">IFERROR(__xludf.DUMMYFUNCTION("""COMPUTED_VALUE"""),"| 5 L INE % | 7 P JAVA % ")</f>
        <v xml:space="preserve">| 5 L INE % | 7 P JAVA % </v>
      </c>
      <c r="BA272" s="4" t="str">
        <f ca="1">IFERROR(__xludf.DUMMYFUNCTION("""COMPUTED_VALUE"""),"| 5 L CPT % | 6 L PHP-CGM % | 7 P NS @ | 9 P Python @ ")</f>
        <v xml:space="preserve">| 5 L CPT % | 6 L PHP-CGM % | 7 P NS @ | 9 P Python @ </v>
      </c>
      <c r="BB272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72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72" s="4" t="str">
        <f ca="1">IFERROR(__xludf.DUMMYFUNCTION("""COMPUTED_VALUE"""),"| 5 L JAVA % | 6 L NS % | 7 L PRO % | 8 L PRO % | 9 P CPT @ ")</f>
        <v xml:space="preserve">| 5 L JAVA % | 6 L NS % | 7 L PRO % | 8 L PRO % | 9 P CPT @ </v>
      </c>
      <c r="BE272" s="4" t="str">
        <f ca="1">IFERROR(__xludf.DUMMYFUNCTION("""COMPUTED_VALUE"""),"| 5 L INE @ | 7 P JAVA @ | 9 P Python @ ")</f>
        <v xml:space="preserve">| 5 L INE @ | 7 P JAVA @ | 9 P Python @ </v>
      </c>
      <c r="BF272" s="4" t="str">
        <f ca="1">IFERROR(__xludf.DUMMYFUNCTION("""COMPUTED_VALUE"""),"| 5 L CPT % | 6 L PHP-CGM % | 7 P NS % | 9 P Python % ")</f>
        <v xml:space="preserve">| 5 L CPT % | 6 L PHP-CGM % | 7 P NS % | 9 P Python % </v>
      </c>
      <c r="BG272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72" s="4" t="str">
        <f ca="1">IFERROR(__xludf.DUMMYFUNCTION("""COMPUTED_VALUE"""),"| 5 L JAVA % | 6 L NS % | 7 L PRO % | 9 P CPT % ")</f>
        <v xml:space="preserve">| 5 L JAVA % | 6 L NS % | 7 L PRO % | 9 P CPT % </v>
      </c>
      <c r="BI272" s="4" t="str">
        <f ca="1">IFERROR(__xludf.DUMMYFUNCTION("""COMPUTED_VALUE"""),"| 5 L INE % | 7 P JAVA % | 9 P Python % ")</f>
        <v xml:space="preserve">| 5 L INE % | 7 P JAVA % | 9 P Python % </v>
      </c>
      <c r="BJ272" s="4" t="str">
        <f ca="1">IFERROR(__xludf.DUMMYFUNCTION("""COMPUTED_VALUE"""),"| 5 L CPT % | 6 L PHP-CGM % | 7 P NS % ")</f>
        <v xml:space="preserve">| 5 L CPT % | 6 L PHP-CGM % | 7 P NS % </v>
      </c>
      <c r="BK272" s="4" t="str">
        <f ca="1">IFERROR(__xludf.DUMMYFUNCTION("""COMPUTED_VALUE"""),"| 5 L JAVA % | 7 L PHP-CGM % | 8 L CPT % ")</f>
        <v xml:space="preserve">| 5 L JAVA % | 7 L PHP-CGM % | 8 L CPT % </v>
      </c>
      <c r="BL272" s="4" t="str">
        <f ca="1">IFERROR(__xludf.DUMMYFUNCTION("""COMPUTED_VALUE"""),"| 5 L PHP-CGM % | 6 L CPT % | 8 L NS @ ")</f>
        <v xml:space="preserve">| 5 L PHP-CGM % | 6 L CPT % | 8 L NS @ </v>
      </c>
      <c r="BM272" s="4" t="str">
        <f ca="1">IFERROR(__xludf.DUMMYFUNCTION("""COMPUTED_VALUE"""),"| 5 L JAVA @ | 6 L NS @ | 7 L PRO @ | 8 L PRO @ | 9 P CPT @ ")</f>
        <v xml:space="preserve">| 5 L JAVA @ | 6 L NS @ | 7 L PRO @ | 8 L PRO @ | 9 P CPT @ </v>
      </c>
      <c r="BN272" s="4" t="str">
        <f ca="1">IFERROR(__xludf.DUMMYFUNCTION("""COMPUTED_VALUE"""),"| 5 L INE @ ")</f>
        <v xml:space="preserve">| 5 L INE @ </v>
      </c>
      <c r="BO272" s="4" t="str">
        <f ca="1">IFERROR(__xludf.DUMMYFUNCTION("""COMPUTED_VALUE"""),"| 5 L CPT @ | 6 L PHP-CGM @ ")</f>
        <v xml:space="preserve">| 5 L CPT @ | 6 L PHP-CGM @ </v>
      </c>
      <c r="BP272" s="4" t="str">
        <f ca="1">IFERROR(__xludf.DUMMYFUNCTION("""COMPUTED_VALUE"""),"| 5 L JAVA @ | 6 L JAVA @ | 7 L PHP-CGM @ | 8 L CPT @ ")</f>
        <v xml:space="preserve">| 5 L JAVA @ | 6 L JAVA @ | 7 L PHP-CGM @ | 8 L CPT @ </v>
      </c>
      <c r="BQ272" s="4" t="str">
        <f ca="1">IFERROR(__xludf.DUMMYFUNCTION("""COMPUTED_VALUE"""),"| 5 L JAVA % ")</f>
        <v xml:space="preserve">| 5 L JAVA % </v>
      </c>
      <c r="BR272" s="4"/>
      <c r="BS272" s="4"/>
      <c r="BT272" s="4" t="str">
        <f ca="1">IFERROR(__xludf.DUMMYFUNCTION("""COMPUTED_VALUE"""),"| 7 L PHP-CGM @ | 8 L CPT @ ")</f>
        <v xml:space="preserve">| 7 L PHP-CGM @ | 8 L CPT @ </v>
      </c>
      <c r="BU272" s="4" t="str">
        <f ca="1">IFERROR(__xludf.DUMMYFUNCTION("""COMPUTED_VALUE"""),"| 8 L NS @ ")</f>
        <v xml:space="preserve">| 8 L NS @ </v>
      </c>
      <c r="BV272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2" s="4"/>
      <c r="BX272" s="4" t="str">
        <f ca="1">IFERROR(__xludf.DUMMYFUNCTION("""COMPUTED_VALUE"""),"| 5 L JAVA @ | 6 L NS @ | 7 L PRO @ | 9 P CPT @ ")</f>
        <v xml:space="preserve">| 5 L JAVA @ | 6 L NS @ | 7 L PRO @ | 9 P CPT @ </v>
      </c>
      <c r="BY272" s="4" t="str">
        <f ca="1">IFERROR(__xludf.DUMMYFUNCTION("""COMPUTED_VALUE"""),"| 5 L INE % | 7 P JAVA % | 9 P Python % ")</f>
        <v xml:space="preserve">| 5 L INE % | 7 P JAVA % | 9 P Python % </v>
      </c>
      <c r="BZ272" s="4" t="str">
        <f ca="1">IFERROR(__xludf.DUMMYFUNCTION("""COMPUTED_VALUE"""),"| 5 L CPT @ | 6 L PHP-CGM % | 7 P NS % | 9 P Python % ")</f>
        <v xml:space="preserve">| 5 L CPT @ | 6 L PHP-CGM % | 7 P NS % | 9 P Python % </v>
      </c>
      <c r="CA272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CB272" s="4" t="str">
        <f ca="1">IFERROR(__xludf.DUMMYFUNCTION("""COMPUTED_VALUE"""),"| 5 L PHP-CGM @ | 6 L CPT @ | 7 L NS @ | 9 P PHP-CGM @ ")</f>
        <v xml:space="preserve">| 5 L PHP-CGM @ | 6 L CPT @ | 7 L NS @ | 9 P PHP-CGM @ </v>
      </c>
      <c r="CC272" s="4" t="str">
        <f ca="1">IFERROR(__xludf.DUMMYFUNCTION("""COMPUTED_VALUE"""),"| 5 L JAVA % | 6 L NS % | 9 P CPT @ ")</f>
        <v xml:space="preserve">| 5 L JAVA % | 6 L NS % | 9 P CPT @ </v>
      </c>
      <c r="CD272" s="4" t="str">
        <f ca="1">IFERROR(__xludf.DUMMYFUNCTION("""COMPUTED_VALUE"""),"| 5 L INE % | 7 P NS % ")</f>
        <v xml:space="preserve">| 5 L INE % | 7 P NS % </v>
      </c>
      <c r="CE272" s="4" t="str">
        <f ca="1">IFERROR(__xludf.DUMMYFUNCTION("""COMPUTED_VALUE"""),"| 5 L CPT % | 6 L PHP-CGM % | 7 P JAVA % | 9 P Python % ")</f>
        <v xml:space="preserve">| 5 L CPT % | 6 L PHP-CGM % | 7 P JAVA % | 9 P Python % </v>
      </c>
      <c r="CF272" s="4" t="str">
        <f ca="1">IFERROR(__xludf.DUMMYFUNCTION("""COMPUTED_VALUE"""),"| 5 L JAVA % | 6 L NS % | 7 L PHP-CGM % | 8 L CPT @ | 9 P JAVA % ")</f>
        <v xml:space="preserve">| 5 L JAVA % | 6 L NS % | 7 L PHP-CGM % | 8 L CPT @ | 9 P JAVA % </v>
      </c>
      <c r="CG272" s="4" t="str">
        <f ca="1">IFERROR(__xludf.DUMMYFUNCTION("""COMPUTED_VALUE"""),"| 5 L PHP-CGM % | 6 L CPT @ | 7 L JAVA % | 8 L NS % | 9 P PHP-CGM % ")</f>
        <v xml:space="preserve">| 5 L PHP-CGM % | 6 L CPT @ | 7 L JAVA % | 8 L NS % | 9 P PHP-CGM % </v>
      </c>
      <c r="CH272" s="4" t="str">
        <f ca="1">IFERROR(__xludf.DUMMYFUNCTION("""COMPUTED_VALUE"""),"| 5 L JAVA % | 6 L NS % | 9 P CPT % ")</f>
        <v xml:space="preserve">| 5 L JAVA % | 6 L NS % | 9 P CPT % </v>
      </c>
      <c r="CI272" s="4" t="str">
        <f ca="1">IFERROR(__xludf.DUMMYFUNCTION("""COMPUTED_VALUE"""),"| 5 L INE @ | 9 P Python % ")</f>
        <v xml:space="preserve">| 5 L INE @ | 9 P Python % </v>
      </c>
      <c r="CJ272" s="4" t="str">
        <f ca="1">IFERROR(__xludf.DUMMYFUNCTION("""COMPUTED_VALUE"""),"| 5 L CPT @ | 6 L PHP-CGM @ ")</f>
        <v xml:space="preserve">| 5 L CPT @ | 6 L PHP-CGM @ </v>
      </c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</row>
    <row r="273" spans="1:102" ht="12.5" x14ac:dyDescent="0.25">
      <c r="A273" s="3">
        <f ca="1">IFERROR(__xludf.DUMMYFUNCTION("""COMPUTED_VALUE"""),1)</f>
        <v>1</v>
      </c>
      <c r="B273" s="3" t="str">
        <f ca="1">IFERROR(__xludf.DUMMYFUNCTION("""COMPUTED_VALUE"""),"D")</f>
        <v>D</v>
      </c>
      <c r="C273" s="32" t="str">
        <f ca="1">IFERROR(__xludf.DUMMYFUNCTION("""COMPUTED_VALUE"""),"23171341013")</f>
        <v>23171341013</v>
      </c>
      <c r="D273" s="4" t="str">
        <f ca="1">IFERROR(__xludf.DUMMYFUNCTION("""COMPUTED_VALUE"""),"BHAVSAR HIT DIPAKKUMAR")</f>
        <v>BHAVSAR HIT DIPAKKUMAR</v>
      </c>
      <c r="E273" s="3" t="str">
        <f ca="1">IFERROR(__xludf.DUMMYFUNCTION("""COMPUTED_VALUE"""),"ZPP - Eve")</f>
        <v>ZPP - Eve</v>
      </c>
      <c r="F273" s="3">
        <f ca="1">IFERROR(__xludf.DUMMYFUNCTION("""COMPUTED_VALUE"""),7574884172)</f>
        <v>7574884172</v>
      </c>
      <c r="G273" s="3">
        <f ca="1">IFERROR(__xludf.DUMMYFUNCTION("""COMPUTED_VALUE"""),9624186469)</f>
        <v>9624186469</v>
      </c>
      <c r="H273" s="33">
        <f ca="1">IFERROR(__xludf.DUMMYFUNCTION("""COMPUTED_VALUE"""),0.603524229074889)</f>
        <v>0.60352422907488901</v>
      </c>
      <c r="I273" s="25">
        <f ca="1">IFERROR(__xludf.DUMMYFUNCTION("""COMPUTED_VALUE"""),0.514285714285714)</f>
        <v>0.51428571428571401</v>
      </c>
      <c r="J273" s="25">
        <f ca="1">IFERROR(__xludf.DUMMYFUNCTION("""COMPUTED_VALUE"""),0.454545454545454)</f>
        <v>0.45454545454545398</v>
      </c>
      <c r="K273" s="25">
        <f ca="1">IFERROR(__xludf.DUMMYFUNCTION("""COMPUTED_VALUE"""),0.78125)</f>
        <v>0.78125</v>
      </c>
      <c r="L273" s="25">
        <f ca="1">IFERROR(__xludf.DUMMYFUNCTION("""COMPUTED_VALUE"""),0.555555555555555)</f>
        <v>0.55555555555555503</v>
      </c>
      <c r="M273" s="25">
        <f ca="1">IFERROR(__xludf.DUMMYFUNCTION("""COMPUTED_VALUE"""),0.527777777777777)</f>
        <v>0.52777777777777701</v>
      </c>
      <c r="N273" s="25">
        <f ca="1">IFERROR(__xludf.DUMMYFUNCTION("""COMPUTED_VALUE"""),0.555555555555555)</f>
        <v>0.55555555555555503</v>
      </c>
      <c r="O273" s="25">
        <f ca="1">IFERROR(__xludf.DUMMYFUNCTION("""COMPUTED_VALUE"""),0.666666666666666)</f>
        <v>0.66666666666666596</v>
      </c>
      <c r="P273" s="25">
        <f ca="1">IFERROR(__xludf.DUMMYFUNCTION("""COMPUTED_VALUE"""),0.526315789473684)</f>
        <v>0.52631578947368396</v>
      </c>
      <c r="Q273" s="25">
        <f ca="1">IFERROR(__xludf.DUMMYFUNCTION("""COMPUTED_VALUE"""),0)</f>
        <v>0</v>
      </c>
      <c r="R273" s="25">
        <f ca="1">IFERROR(__xludf.DUMMYFUNCTION("""COMPUTED_VALUE"""),0.5)</f>
        <v>0.5</v>
      </c>
      <c r="S273" s="25">
        <f ca="1">IFERROR(__xludf.DUMMYFUNCTION("""COMPUTED_VALUE"""),0.923076923076923)</f>
        <v>0.92307692307692302</v>
      </c>
      <c r="T273" s="25">
        <f ca="1">IFERROR(__xludf.DUMMYFUNCTION("""COMPUTED_VALUE"""),1)</f>
        <v>1</v>
      </c>
      <c r="U273" s="25">
        <f ca="1">IFERROR(__xludf.DUMMYFUNCTION("""COMPUTED_VALUE"""),0.5)</f>
        <v>0.5</v>
      </c>
      <c r="V273" s="25">
        <f ca="1">IFERROR(__xludf.DUMMYFUNCTION("""COMPUTED_VALUE"""),0)</f>
        <v>0</v>
      </c>
      <c r="W273" s="4"/>
      <c r="X273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Y273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73" s="4" t="str">
        <f ca="1">IFERROR(__xludf.DUMMYFUNCTION("""COMPUTED_VALUE"""),"| 5 L NS % | 6 L JAVA % | 7 L PRO % | 8 L PRO % | 9 P CPT % ")</f>
        <v xml:space="preserve">| 5 L NS % | 6 L JAVA % | 7 L PRO % | 8 L PRO % | 9 P CPT % </v>
      </c>
      <c r="AA273" s="4" t="str">
        <f ca="1">IFERROR(__xludf.DUMMYFUNCTION("""COMPUTED_VALUE"""),"| 7 P JAVA % | 9 P Python % ")</f>
        <v xml:space="preserve">| 7 P JAVA % | 9 P Python % </v>
      </c>
      <c r="AB273" s="4" t="str">
        <f ca="1">IFERROR(__xludf.DUMMYFUNCTION("""COMPUTED_VALUE"""),"| 5 L JAVA % | 6 L PHP-CGM % | 7 P NS % | 9 P Python @ ")</f>
        <v xml:space="preserve">| 5 L JAVA % | 6 L PHP-CGM % | 7 P NS % | 9 P Python @ </v>
      </c>
      <c r="AC273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3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AE273" s="4" t="str">
        <f ca="1">IFERROR(__xludf.DUMMYFUNCTION("""COMPUTED_VALUE"""),"| 5 L JAVA % | 6 L NS % | 7 L PRO % | 9 P CPT % ")</f>
        <v xml:space="preserve">| 5 L JAVA % | 6 L NS % | 7 L PRO % | 9 P CPT % </v>
      </c>
      <c r="AF273" s="4" t="str">
        <f ca="1">IFERROR(__xludf.DUMMYFUNCTION("""COMPUTED_VALUE"""),"| 7 P JAVA @ ")</f>
        <v xml:space="preserve">| 7 P JAVA @ </v>
      </c>
      <c r="AG273" s="4" t="str">
        <f ca="1">IFERROR(__xludf.DUMMYFUNCTION("""COMPUTED_VALUE"""),"| 5 L CPT % | 6 L PHP-CGM % | 7 P NS % | 9 P Python @ ")</f>
        <v xml:space="preserve">| 5 L CPT % | 6 L PHP-CGM % | 7 P NS % | 9 P Python @ </v>
      </c>
      <c r="AH273" s="4" t="str">
        <f ca="1">IFERROR(__xludf.DUMMYFUNCTION("""COMPUTED_VALUE"""),"| 7 P JAVA % | 9 P Python % ")</f>
        <v xml:space="preserve">| 7 P JAVA % | 9 P Python % </v>
      </c>
      <c r="AI273" s="4" t="str">
        <f ca="1">IFERROR(__xludf.DUMMYFUNCTION("""COMPUTED_VALUE"""),"| 5 L CPT % | 6 L PHP-CGM % | 7 P NS % | 9 P Python @ ")</f>
        <v xml:space="preserve">| 5 L CPT % | 6 L PHP-CGM % | 7 P NS % | 9 P Python @ </v>
      </c>
      <c r="AJ273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73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3" s="4" t="str">
        <f ca="1">IFERROR(__xludf.DUMMYFUNCTION("""COMPUTED_VALUE"""),"| 6 L NS % | 7 L NS % | 7 L PRO % | 8 L PRO % | 9 P CPT @ ")</f>
        <v xml:space="preserve">| 6 L NS % | 7 L NS % | 7 L PRO % | 8 L PRO % | 9 P CPT @ </v>
      </c>
      <c r="AM273" s="4" t="str">
        <f ca="1">IFERROR(__xludf.DUMMYFUNCTION("""COMPUTED_VALUE"""),"| 5 L INE @ | 7 P JAVA @ | 9 P Python @ ")</f>
        <v xml:space="preserve">| 5 L INE @ | 7 P JAVA @ | 9 P Python @ </v>
      </c>
      <c r="AN273" s="4" t="str">
        <f ca="1">IFERROR(__xludf.DUMMYFUNCTION("""COMPUTED_VALUE"""),"| 5 L CPT @ | 6 L PHP-CGM @ ")</f>
        <v xml:space="preserve">| 5 L CPT @ | 6 L PHP-CGM @ </v>
      </c>
      <c r="AO273" s="4" t="str">
        <f ca="1">IFERROR(__xludf.DUMMYFUNCTION("""COMPUTED_VALUE"""),"| 5 L JAVA % | 5 L NS % | 7 L PHP-CGM % | 8 L CPT % ")</f>
        <v xml:space="preserve">| 5 L JAVA % | 5 L NS % | 7 L PHP-CGM % | 8 L CPT % </v>
      </c>
      <c r="AP273" s="4" t="str">
        <f ca="1">IFERROR(__xludf.DUMMYFUNCTION("""COMPUTED_VALUE"""),"| 5 L PHP-CGM % | 6 L CPT % | 7 L JAVA % | 7 L NS % ")</f>
        <v xml:space="preserve">| 5 L PHP-CGM % | 6 L CPT % | 7 L JAVA % | 7 L NS % </v>
      </c>
      <c r="AQ273" s="4" t="str">
        <f ca="1">IFERROR(__xludf.DUMMYFUNCTION("""COMPUTED_VALUE"""),"| 5 L JAVA % | 6 L NS % | 7 L PRO % | 8 L PRO % | 9 P CPT % ")</f>
        <v xml:space="preserve">| 5 L JAVA % | 6 L NS % | 7 L PRO % | 8 L PRO % | 9 P CPT % </v>
      </c>
      <c r="AR273" s="4" t="str">
        <f ca="1">IFERROR(__xludf.DUMMYFUNCTION("""COMPUTED_VALUE"""),"| 5 L INE % ")</f>
        <v xml:space="preserve">| 5 L INE % </v>
      </c>
      <c r="AS273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AT273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73" s="4" t="str">
        <f ca="1">IFERROR(__xludf.DUMMYFUNCTION("""COMPUTED_VALUE"""),"| 5 L JAVA % | 6 L NS % | 7 P PRO % | 9 P CPT @ ")</f>
        <v xml:space="preserve">| 5 L JAVA % | 6 L NS % | 7 P PRO % | 9 P CPT @ </v>
      </c>
      <c r="AV273" s="4" t="str">
        <f ca="1">IFERROR(__xludf.DUMMYFUNCTION("""COMPUTED_VALUE"""),"| 5 L INE % | 7 P JAVA % | 9 P Python % ")</f>
        <v xml:space="preserve">| 5 L INE % | 7 P JAVA % | 9 P Python % </v>
      </c>
      <c r="AW273" s="4" t="str">
        <f ca="1">IFERROR(__xludf.DUMMYFUNCTION("""COMPUTED_VALUE"""),"| 5 L CPT % | 6 L PHP-CGM % | 7 P NS % | 9 P Python % ")</f>
        <v xml:space="preserve">| 5 L CPT % | 6 L PHP-CGM % | 7 P NS % | 9 P Python % </v>
      </c>
      <c r="AX273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73" s="4" t="str">
        <f ca="1">IFERROR(__xludf.DUMMYFUNCTION("""COMPUTED_VALUE"""),"| 5 L PHP-CGM % | 6 L CPT % | 7 L NS % | 8 L NS % | 9 P PHP-CGM @ ")</f>
        <v xml:space="preserve">| 5 L PHP-CGM % | 6 L CPT % | 7 L NS % | 8 L NS % | 9 P PHP-CGM @ </v>
      </c>
      <c r="AZ273" s="4" t="str">
        <f ca="1">IFERROR(__xludf.DUMMYFUNCTION("""COMPUTED_VALUE"""),"| 5 L INE @ | 7 P JAVA % ")</f>
        <v xml:space="preserve">| 5 L INE @ | 7 P JAVA % </v>
      </c>
      <c r="BA273" s="4" t="str">
        <f ca="1">IFERROR(__xludf.DUMMYFUNCTION("""COMPUTED_VALUE"""),"| 5 L CPT @ | 6 L PHP-CGM @ | 7 P NS @ | 9 P Python @ ")</f>
        <v xml:space="preserve">| 5 L CPT @ | 6 L PHP-CGM @ | 7 P NS @ | 9 P Python @ </v>
      </c>
      <c r="BB273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73" s="4" t="str">
        <f ca="1">IFERROR(__xludf.DUMMYFUNCTION("""COMPUTED_VALUE"""),"| 5 L PHP-CGM % | 6 L CPT % | 7 L JAVA @ | 8 L NS @ | 9 P PHP-CGM % ")</f>
        <v xml:space="preserve">| 5 L PHP-CGM % | 6 L CPT % | 7 L JAVA @ | 8 L NS @ | 9 P PHP-CGM % </v>
      </c>
      <c r="BD273" s="4" t="str">
        <f ca="1">IFERROR(__xludf.DUMMYFUNCTION("""COMPUTED_VALUE"""),"| 5 L JAVA % | 6 L NS % | 7 L PRO % | 8 L PRO % | 9 P CPT @ ")</f>
        <v xml:space="preserve">| 5 L JAVA % | 6 L NS % | 7 L PRO % | 8 L PRO % | 9 P CPT @ </v>
      </c>
      <c r="BE273" s="4" t="str">
        <f ca="1">IFERROR(__xludf.DUMMYFUNCTION("""COMPUTED_VALUE"""),"| 5 L INE % | 7 P JAVA @ | 9 P Python % ")</f>
        <v xml:space="preserve">| 5 L INE % | 7 P JAVA @ | 9 P Python % </v>
      </c>
      <c r="BF273" s="4" t="str">
        <f ca="1">IFERROR(__xludf.DUMMYFUNCTION("""COMPUTED_VALUE"""),"| 5 L CPT % | 6 L PHP-CGM % | 7 P NS % | 9 P Python @ ")</f>
        <v xml:space="preserve">| 5 L CPT % | 6 L PHP-CGM % | 7 P NS % | 9 P Python @ </v>
      </c>
      <c r="BG273" s="4" t="str">
        <f ca="1">IFERROR(__xludf.DUMMYFUNCTION("""COMPUTED_VALUE"""),"| 5 L PHP-CGM % | 6 L CPT % | 7 L JAVA % | 8 L NS % | 9 P PHP-CGM @ ")</f>
        <v xml:space="preserve">| 5 L PHP-CGM % | 6 L CPT % | 7 L JAVA % | 8 L NS % | 9 P PHP-CGM @ </v>
      </c>
      <c r="BH273" s="4" t="str">
        <f ca="1">IFERROR(__xludf.DUMMYFUNCTION("""COMPUTED_VALUE"""),"| 5 L JAVA % | 6 L NS % | 7 L PRO @ | 9 P CPT % ")</f>
        <v xml:space="preserve">| 5 L JAVA % | 6 L NS % | 7 L PRO @ | 9 P CPT % </v>
      </c>
      <c r="BI273" s="4" t="str">
        <f ca="1">IFERROR(__xludf.DUMMYFUNCTION("""COMPUTED_VALUE"""),"| 5 L INE % | 7 P JAVA % | 9 P Python % ")</f>
        <v xml:space="preserve">| 5 L INE % | 7 P JAVA % | 9 P Python % </v>
      </c>
      <c r="BJ273" s="4" t="str">
        <f ca="1">IFERROR(__xludf.DUMMYFUNCTION("""COMPUTED_VALUE"""),"| 5 L CPT @ | 6 L PHP-CGM @ | 7 P NS @ ")</f>
        <v xml:space="preserve">| 5 L CPT @ | 6 L PHP-CGM @ | 7 P NS @ </v>
      </c>
      <c r="BK273" s="4" t="str">
        <f ca="1">IFERROR(__xludf.DUMMYFUNCTION("""COMPUTED_VALUE"""),"| 5 L JAVA @ | 7 L PHP-CGM @ | 8 L CPT @ ")</f>
        <v xml:space="preserve">| 5 L JAVA @ | 7 L PHP-CGM @ | 8 L CPT @ </v>
      </c>
      <c r="BL273" s="4" t="str">
        <f ca="1">IFERROR(__xludf.DUMMYFUNCTION("""COMPUTED_VALUE"""),"| 5 L PHP-CGM % | 6 L CPT % | 8 L NS % ")</f>
        <v xml:space="preserve">| 5 L PHP-CGM % | 6 L CPT % | 8 L NS % </v>
      </c>
      <c r="BM273" s="4" t="str">
        <f ca="1">IFERROR(__xludf.DUMMYFUNCTION("""COMPUTED_VALUE"""),"| 5 L JAVA % | 6 L NS % | 7 L PRO % | 8 L PRO % | 9 P CPT @ ")</f>
        <v xml:space="preserve">| 5 L JAVA % | 6 L NS % | 7 L PRO % | 8 L PRO % | 9 P CPT @ </v>
      </c>
      <c r="BN273" s="4" t="str">
        <f ca="1">IFERROR(__xludf.DUMMYFUNCTION("""COMPUTED_VALUE"""),"| 5 L INE @ ")</f>
        <v xml:space="preserve">| 5 L INE @ </v>
      </c>
      <c r="BO273" s="4" t="str">
        <f ca="1">IFERROR(__xludf.DUMMYFUNCTION("""COMPUTED_VALUE"""),"| 5 L CPT @ | 6 L PHP-CGM @ ")</f>
        <v xml:space="preserve">| 5 L CPT @ | 6 L PHP-CGM @ </v>
      </c>
      <c r="BP273" s="4" t="str">
        <f ca="1">IFERROR(__xludf.DUMMYFUNCTION("""COMPUTED_VALUE"""),"| 5 L JAVA @ | 6 L JAVA @ | 7 L PHP-CGM @ | 8 L CPT @ ")</f>
        <v xml:space="preserve">| 5 L JAVA @ | 6 L JAVA @ | 7 L PHP-CGM @ | 8 L CPT @ </v>
      </c>
      <c r="BQ273" s="4" t="str">
        <f ca="1">IFERROR(__xludf.DUMMYFUNCTION("""COMPUTED_VALUE"""),"| 5 L JAVA @ ")</f>
        <v xml:space="preserve">| 5 L JAVA @ </v>
      </c>
      <c r="BR273" s="4"/>
      <c r="BS273" s="4"/>
      <c r="BT273" s="4" t="str">
        <f ca="1">IFERROR(__xludf.DUMMYFUNCTION("""COMPUTED_VALUE"""),"| 7 L PHP-CGM @ | 8 L CPT @ ")</f>
        <v xml:space="preserve">| 7 L PHP-CGM @ | 8 L CPT @ </v>
      </c>
      <c r="BU273" s="4" t="str">
        <f ca="1">IFERROR(__xludf.DUMMYFUNCTION("""COMPUTED_VALUE"""),"| 8 L NS @ ")</f>
        <v xml:space="preserve">| 8 L NS @ </v>
      </c>
      <c r="BV273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3" s="4"/>
      <c r="BX273" s="4" t="str">
        <f ca="1">IFERROR(__xludf.DUMMYFUNCTION("""COMPUTED_VALUE"""),"| 5 L JAVA % | 6 L NS % | 7 L PRO % | 9 P CPT % ")</f>
        <v xml:space="preserve">| 5 L JAVA % | 6 L NS % | 7 L PRO % | 9 P CPT % </v>
      </c>
      <c r="BY273" s="4" t="str">
        <f ca="1">IFERROR(__xludf.DUMMYFUNCTION("""COMPUTED_VALUE"""),"| 5 L INE @ | 7 P JAVA @ | 9 P Python @ ")</f>
        <v xml:space="preserve">| 5 L INE @ | 7 P JAVA @ | 9 P Python @ </v>
      </c>
      <c r="BZ273" s="4" t="str">
        <f ca="1">IFERROR(__xludf.DUMMYFUNCTION("""COMPUTED_VALUE"""),"| 5 L CPT @ | 6 L PHP-CGM @ | 7 P NS @ | 9 P Python % ")</f>
        <v xml:space="preserve">| 5 L CPT @ | 6 L PHP-CGM @ | 7 P NS @ | 9 P Python % </v>
      </c>
      <c r="CA273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CB273" s="4" t="str">
        <f ca="1">IFERROR(__xludf.DUMMYFUNCTION("""COMPUTED_VALUE"""),"| 5 L PHP-CGM @ | 6 L CPT @ | 7 L NS @ | 9 P PHP-CGM @ ")</f>
        <v xml:space="preserve">| 5 L PHP-CGM @ | 6 L CPT @ | 7 L NS @ | 9 P PHP-CGM @ </v>
      </c>
      <c r="CC273" s="4" t="str">
        <f ca="1">IFERROR(__xludf.DUMMYFUNCTION("""COMPUTED_VALUE"""),"| 5 L JAVA @ | 6 L NS @ | 9 P CPT @ ")</f>
        <v xml:space="preserve">| 5 L JAVA @ | 6 L NS @ | 9 P CPT @ </v>
      </c>
      <c r="CD273" s="4" t="str">
        <f ca="1">IFERROR(__xludf.DUMMYFUNCTION("""COMPUTED_VALUE"""),"| 5 L INE % | 7 P NS @ ")</f>
        <v xml:space="preserve">| 5 L INE % | 7 P NS @ </v>
      </c>
      <c r="CE273" s="4" t="str">
        <f ca="1">IFERROR(__xludf.DUMMYFUNCTION("""COMPUTED_VALUE"""),"| 5 L CPT @ | 6 L PHP-CGM @ | 7 P JAVA @ | 9 P Python @ ")</f>
        <v xml:space="preserve">| 5 L CPT @ | 6 L PHP-CGM @ | 7 P JAVA @ | 9 P Python @ </v>
      </c>
      <c r="CF273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CG273" s="4" t="str">
        <f ca="1">IFERROR(__xludf.DUMMYFUNCTION("""COMPUTED_VALUE"""),"| 5 L PHP-CGM @ | 6 L CPT @ | 7 L JAVA @ | 8 L NS % | 9 P PHP-CGM % ")</f>
        <v xml:space="preserve">| 5 L PHP-CGM @ | 6 L CPT @ | 7 L JAVA @ | 8 L NS % | 9 P PHP-CGM % </v>
      </c>
      <c r="CH273" s="4" t="str">
        <f ca="1">IFERROR(__xludf.DUMMYFUNCTION("""COMPUTED_VALUE"""),"| 5 L JAVA @ | 6 L NS @ | 9 P CPT @ ")</f>
        <v xml:space="preserve">| 5 L JAVA @ | 6 L NS @ | 9 P CPT @ </v>
      </c>
      <c r="CI273" s="4" t="str">
        <f ca="1">IFERROR(__xludf.DUMMYFUNCTION("""COMPUTED_VALUE"""),"| 5 L INE @ | 9 P Python % ")</f>
        <v xml:space="preserve">| 5 L INE @ | 9 P Python % </v>
      </c>
      <c r="CJ273" s="4" t="str">
        <f ca="1">IFERROR(__xludf.DUMMYFUNCTION("""COMPUTED_VALUE"""),"| 5 L CPT @ | 6 L PHP-CGM @ ")</f>
        <v xml:space="preserve">| 5 L CPT @ | 6 L PHP-CGM @ </v>
      </c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</row>
    <row r="274" spans="1:102" ht="12.5" x14ac:dyDescent="0.25">
      <c r="A274" s="3">
        <f ca="1">IFERROR(__xludf.DUMMYFUNCTION("""COMPUTED_VALUE"""),1)</f>
        <v>1</v>
      </c>
      <c r="B274" s="3" t="str">
        <f ca="1">IFERROR(__xludf.DUMMYFUNCTION("""COMPUTED_VALUE"""),"D")</f>
        <v>D</v>
      </c>
      <c r="C274" s="32" t="str">
        <f ca="1">IFERROR(__xludf.DUMMYFUNCTION("""COMPUTED_VALUE"""),"23171341014")</f>
        <v>23171341014</v>
      </c>
      <c r="D274" s="4" t="str">
        <f ca="1">IFERROR(__xludf.DUMMYFUNCTION("""COMPUTED_VALUE"""),"CHAUDHARI KRISH DHIRAJKUMAR")</f>
        <v>CHAUDHARI KRISH DHIRAJKUMAR</v>
      </c>
      <c r="E274" s="3" t="str">
        <f ca="1">IFERROR(__xludf.DUMMYFUNCTION("""COMPUTED_VALUE"""),"ZPP - Eve")</f>
        <v>ZPP - Eve</v>
      </c>
      <c r="F274" s="3">
        <f ca="1">IFERROR(__xludf.DUMMYFUNCTION("""COMPUTED_VALUE"""),8128062399)</f>
        <v>8128062399</v>
      </c>
      <c r="G274" s="3">
        <f ca="1">IFERROR(__xludf.DUMMYFUNCTION("""COMPUTED_VALUE"""),9825998299)</f>
        <v>9825998299</v>
      </c>
      <c r="H274" s="33">
        <f ca="1">IFERROR(__xludf.DUMMYFUNCTION("""COMPUTED_VALUE"""),0.471365638766519)</f>
        <v>0.47136563876651899</v>
      </c>
      <c r="I274" s="25">
        <f ca="1">IFERROR(__xludf.DUMMYFUNCTION("""COMPUTED_VALUE"""),0.485714285714285)</f>
        <v>0.48571428571428499</v>
      </c>
      <c r="J274" s="25">
        <f ca="1">IFERROR(__xludf.DUMMYFUNCTION("""COMPUTED_VALUE"""),0.272727272727272)</f>
        <v>0.27272727272727199</v>
      </c>
      <c r="K274" s="25">
        <f ca="1">IFERROR(__xludf.DUMMYFUNCTION("""COMPUTED_VALUE"""),0.53125)</f>
        <v>0.53125</v>
      </c>
      <c r="L274" s="25">
        <f ca="1">IFERROR(__xludf.DUMMYFUNCTION("""COMPUTED_VALUE"""),0.777777777777777)</f>
        <v>0.77777777777777701</v>
      </c>
      <c r="M274" s="25">
        <f ca="1">IFERROR(__xludf.DUMMYFUNCTION("""COMPUTED_VALUE"""),0.5)</f>
        <v>0.5</v>
      </c>
      <c r="N274" s="25">
        <f ca="1">IFERROR(__xludf.DUMMYFUNCTION("""COMPUTED_VALUE"""),0.444444444444444)</f>
        <v>0.44444444444444398</v>
      </c>
      <c r="O274" s="25">
        <f ca="1">IFERROR(__xludf.DUMMYFUNCTION("""COMPUTED_VALUE"""),0.444444444444444)</f>
        <v>0.44444444444444398</v>
      </c>
      <c r="P274" s="25">
        <f ca="1">IFERROR(__xludf.DUMMYFUNCTION("""COMPUTED_VALUE"""),0.421052631578947)</f>
        <v>0.42105263157894701</v>
      </c>
      <c r="Q274" s="25">
        <f ca="1">IFERROR(__xludf.DUMMYFUNCTION("""COMPUTED_VALUE"""),0)</f>
        <v>0</v>
      </c>
      <c r="R274" s="25">
        <f ca="1">IFERROR(__xludf.DUMMYFUNCTION("""COMPUTED_VALUE"""),0.5)</f>
        <v>0.5</v>
      </c>
      <c r="S274" s="25">
        <f ca="1">IFERROR(__xludf.DUMMYFUNCTION("""COMPUTED_VALUE"""),0.461538461538461)</f>
        <v>0.46153846153846101</v>
      </c>
      <c r="T274" s="25">
        <f ca="1">IFERROR(__xludf.DUMMYFUNCTION("""COMPUTED_VALUE"""),0)</f>
        <v>0</v>
      </c>
      <c r="U274" s="25">
        <f ca="1">IFERROR(__xludf.DUMMYFUNCTION("""COMPUTED_VALUE"""),0.3)</f>
        <v>0.3</v>
      </c>
      <c r="V274" s="25">
        <f ca="1">IFERROR(__xludf.DUMMYFUNCTION("""COMPUTED_VALUE"""),0)</f>
        <v>0</v>
      </c>
      <c r="W274" s="4"/>
      <c r="X274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Y274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Z274" s="4" t="str">
        <f ca="1">IFERROR(__xludf.DUMMYFUNCTION("""COMPUTED_VALUE"""),"| 5 L NS % | 6 L JAVA % | 7 L PRO % | 8 L PRO % | 9 P CPT @ ")</f>
        <v xml:space="preserve">| 5 L NS % | 6 L JAVA % | 7 L PRO % | 8 L PRO % | 9 P CPT @ </v>
      </c>
      <c r="AA274" s="4" t="str">
        <f ca="1">IFERROR(__xludf.DUMMYFUNCTION("""COMPUTED_VALUE"""),"| 7 P JAVA @ | 9 P Python @ ")</f>
        <v xml:space="preserve">| 7 P JAVA @ | 9 P Python @ </v>
      </c>
      <c r="AB274" s="4" t="str">
        <f ca="1">IFERROR(__xludf.DUMMYFUNCTION("""COMPUTED_VALUE"""),"| 5 L JAVA % | 6 L PHP-CGM % | 7 P NS % | 9 P Python @ ")</f>
        <v xml:space="preserve">| 5 L JAVA % | 6 L PHP-CGM % | 7 P NS % | 9 P Python @ </v>
      </c>
      <c r="AC274" s="4" t="str">
        <f ca="1">IFERROR(__xludf.DUMMYFUNCTION("""COMPUTED_VALUE"""),"| 5 L JAVA @ | 6 L NS @ | 7 L PHP-CGM % | 9 P JAVA % | 8 L CPT % ")</f>
        <v xml:space="preserve">| 5 L JAVA @ | 6 L NS @ | 7 L PHP-CGM % | 9 P JAVA % | 8 L CPT % </v>
      </c>
      <c r="AD274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AE274" s="4" t="str">
        <f ca="1">IFERROR(__xludf.DUMMYFUNCTION("""COMPUTED_VALUE"""),"| 5 L JAVA % | 6 L NS % | 7 L PRO @ | 9 P CPT @ ")</f>
        <v xml:space="preserve">| 5 L JAVA % | 6 L NS % | 7 L PRO @ | 9 P CPT @ </v>
      </c>
      <c r="AF274" s="4" t="str">
        <f ca="1">IFERROR(__xludf.DUMMYFUNCTION("""COMPUTED_VALUE"""),"| 7 P JAVA @ ")</f>
        <v xml:space="preserve">| 7 P JAVA @ </v>
      </c>
      <c r="AG274" s="4" t="str">
        <f ca="1">IFERROR(__xludf.DUMMYFUNCTION("""COMPUTED_VALUE"""),"| 5 L CPT % | 6 L PHP-CGM % | 7 P NS % | 9 P Python @ ")</f>
        <v xml:space="preserve">| 5 L CPT % | 6 L PHP-CGM % | 7 P NS % | 9 P Python @ </v>
      </c>
      <c r="AH274" s="4" t="str">
        <f ca="1">IFERROR(__xludf.DUMMYFUNCTION("""COMPUTED_VALUE"""),"| 7 P JAVA % | 9 P Python % ")</f>
        <v xml:space="preserve">| 7 P JAVA % | 9 P Python % </v>
      </c>
      <c r="AI274" s="4" t="str">
        <f ca="1">IFERROR(__xludf.DUMMYFUNCTION("""COMPUTED_VALUE"""),"| 5 L CPT % | 6 L PHP-CGM % | 7 P NS % | 9 P Python % ")</f>
        <v xml:space="preserve">| 5 L CPT % | 6 L PHP-CGM % | 7 P NS % | 9 P Python % </v>
      </c>
      <c r="AJ274" s="4" t="str">
        <f ca="1">IFERROR(__xludf.DUMMYFUNCTION("""COMPUTED_VALUE"""),"| 5 L JAVA @ | 6 L NS @ | 7 L PHP-CGM @ | 9 P JAVA @ | 8 L CPT @ ")</f>
        <v xml:space="preserve">| 5 L JAVA @ | 6 L NS @ | 7 L PHP-CGM @ | 9 P JAVA @ | 8 L CPT @ </v>
      </c>
      <c r="AK274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4" s="4" t="str">
        <f ca="1">IFERROR(__xludf.DUMMYFUNCTION("""COMPUTED_VALUE"""),"| 6 L NS % | 7 L NS % | 7 L PRO % | 8 L PRO % | 9 P CPT % ")</f>
        <v xml:space="preserve">| 6 L NS % | 7 L NS % | 7 L PRO % | 8 L PRO % | 9 P CPT % </v>
      </c>
      <c r="AM274" s="4" t="str">
        <f ca="1">IFERROR(__xludf.DUMMYFUNCTION("""COMPUTED_VALUE"""),"| 5 L INE @ | 7 P JAVA % | 9 P Python % ")</f>
        <v xml:space="preserve">| 5 L INE @ | 7 P JAVA % | 9 P Python % </v>
      </c>
      <c r="AN274" s="4" t="str">
        <f ca="1">IFERROR(__xludf.DUMMYFUNCTION("""COMPUTED_VALUE"""),"| 5 L CPT @ | 6 L PHP-CGM @ ")</f>
        <v xml:space="preserve">| 5 L CPT @ | 6 L PHP-CGM @ </v>
      </c>
      <c r="AO274" s="4" t="str">
        <f ca="1">IFERROR(__xludf.DUMMYFUNCTION("""COMPUTED_VALUE"""),"| 5 L JAVA @ | 5 L NS @ | 7 L PHP-CGM @ | 8 L CPT @ ")</f>
        <v xml:space="preserve">| 5 L JAVA @ | 5 L NS @ | 7 L PHP-CGM @ | 8 L CPT @ </v>
      </c>
      <c r="AP274" s="4" t="str">
        <f ca="1">IFERROR(__xludf.DUMMYFUNCTION("""COMPUTED_VALUE"""),"| 5 L PHP-CGM @ | 6 L CPT @ | 7 L JAVA @ | 7 L NS @ ")</f>
        <v xml:space="preserve">| 5 L PHP-CGM @ | 6 L CPT @ | 7 L JAVA @ | 7 L NS @ </v>
      </c>
      <c r="AQ274" s="4" t="str">
        <f ca="1">IFERROR(__xludf.DUMMYFUNCTION("""COMPUTED_VALUE"""),"| 5 L JAVA % | 6 L NS % | 7 L PRO % | 8 L PRO % | 9 P CPT @ ")</f>
        <v xml:space="preserve">| 5 L JAVA % | 6 L NS % | 7 L PRO % | 8 L PRO % | 9 P CPT @ </v>
      </c>
      <c r="AR274" s="4" t="str">
        <f ca="1">IFERROR(__xludf.DUMMYFUNCTION("""COMPUTED_VALUE"""),"| 5 L INE @ ")</f>
        <v xml:space="preserve">| 5 L INE @ </v>
      </c>
      <c r="AS274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AT274" s="4" t="str">
        <f ca="1">IFERROR(__xludf.DUMMYFUNCTION("""COMPUTED_VALUE"""),"| 5 L PHP-CGM @ | 6 L CPT @ | 7 L JAVA @ | 8 L JAVA @ | 9 P PHP-CGM @ ")</f>
        <v xml:space="preserve">| 5 L PHP-CGM @ | 6 L CPT @ | 7 L JAVA @ | 8 L JAVA @ | 9 P PHP-CGM @ </v>
      </c>
      <c r="AU274" s="4" t="str">
        <f ca="1">IFERROR(__xludf.DUMMYFUNCTION("""COMPUTED_VALUE"""),"| 5 L JAVA @ | 6 L NS @ | 7 P PRO @ | 9 P CPT @ ")</f>
        <v xml:space="preserve">| 5 L JAVA @ | 6 L NS @ | 7 P PRO @ | 9 P CPT @ </v>
      </c>
      <c r="AV274" s="4" t="str">
        <f ca="1">IFERROR(__xludf.DUMMYFUNCTION("""COMPUTED_VALUE"""),"| 5 L INE @ | 7 P JAVA @ | 9 P Python @ ")</f>
        <v xml:space="preserve">| 5 L INE @ | 7 P JAVA @ | 9 P Python @ </v>
      </c>
      <c r="AW274" s="4" t="str">
        <f ca="1">IFERROR(__xludf.DUMMYFUNCTION("""COMPUTED_VALUE"""),"| 5 L CPT % | 6 L PHP-CGM % | 7 P NS % | 9 P Python % ")</f>
        <v xml:space="preserve">| 5 L CPT % | 6 L PHP-CGM % | 7 P NS % | 9 P Python % </v>
      </c>
      <c r="AX274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74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74" s="4" t="str">
        <f ca="1">IFERROR(__xludf.DUMMYFUNCTION("""COMPUTED_VALUE"""),"| 5 L INE % | 7 P JAVA % ")</f>
        <v xml:space="preserve">| 5 L INE % | 7 P JAVA % </v>
      </c>
      <c r="BA274" s="4" t="str">
        <f ca="1">IFERROR(__xludf.DUMMYFUNCTION("""COMPUTED_VALUE"""),"| 5 L CPT @ | 6 L PHP-CGM @ | 7 P NS @ | 9 P Python @ ")</f>
        <v xml:space="preserve">| 5 L CPT @ | 6 L PHP-CGM @ | 7 P NS @ | 9 P Python @ </v>
      </c>
      <c r="BB274" s="4" t="str">
        <f ca="1">IFERROR(__xludf.DUMMYFUNCTION("""COMPUTED_VALUE"""),"| 5 L JAVA % | 6 L NS % | 7 L PHP-CGM @ | 8 L CPT @ | 9 P JAVA @ ")</f>
        <v xml:space="preserve">| 5 L JAVA % | 6 L NS % | 7 L PHP-CGM @ | 8 L CPT @ | 9 P JAVA @ </v>
      </c>
      <c r="BC274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D274" s="4" t="str">
        <f ca="1">IFERROR(__xludf.DUMMYFUNCTION("""COMPUTED_VALUE"""),"| 5 L JAVA @ | 6 L NS @ | 7 L PRO @ | 8 L PRO @ | 9 P CPT @ ")</f>
        <v xml:space="preserve">| 5 L JAVA @ | 6 L NS @ | 7 L PRO @ | 8 L PRO @ | 9 P CPT @ </v>
      </c>
      <c r="BE274" s="4" t="str">
        <f ca="1">IFERROR(__xludf.DUMMYFUNCTION("""COMPUTED_VALUE"""),"| 5 L INE @ | 7 P JAVA % | 9 P Python % ")</f>
        <v xml:space="preserve">| 5 L INE @ | 7 P JAVA % | 9 P Python % </v>
      </c>
      <c r="BF274" s="4" t="str">
        <f ca="1">IFERROR(__xludf.DUMMYFUNCTION("""COMPUTED_VALUE"""),"| 5 L CPT % | 6 L PHP-CGM % | 7 P NS % | 9 P Python % ")</f>
        <v xml:space="preserve">| 5 L CPT % | 6 L PHP-CGM % | 7 P NS % | 9 P Python % </v>
      </c>
      <c r="BG274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74" s="4" t="str">
        <f ca="1">IFERROR(__xludf.DUMMYFUNCTION("""COMPUTED_VALUE"""),"| 5 L JAVA % | 6 L NS % | 7 L PRO @ | 9 P CPT % ")</f>
        <v xml:space="preserve">| 5 L JAVA % | 6 L NS % | 7 L PRO @ | 9 P CPT % </v>
      </c>
      <c r="BI274" s="4" t="str">
        <f ca="1">IFERROR(__xludf.DUMMYFUNCTION("""COMPUTED_VALUE"""),"| 5 L INE % | 7 P JAVA % | 9 P Python % ")</f>
        <v xml:space="preserve">| 5 L INE % | 7 P JAVA % | 9 P Python % </v>
      </c>
      <c r="BJ274" s="4" t="str">
        <f ca="1">IFERROR(__xludf.DUMMYFUNCTION("""COMPUTED_VALUE"""),"| 5 L CPT % | 6 L PHP-CGM % | 7 P NS % ")</f>
        <v xml:space="preserve">| 5 L CPT % | 6 L PHP-CGM % | 7 P NS % </v>
      </c>
      <c r="BK274" s="4" t="str">
        <f ca="1">IFERROR(__xludf.DUMMYFUNCTION("""COMPUTED_VALUE"""),"| 5 L JAVA @ | 7 L PHP-CGM @ | 8 L CPT @ ")</f>
        <v xml:space="preserve">| 5 L JAVA @ | 7 L PHP-CGM @ | 8 L CPT @ </v>
      </c>
      <c r="BL274" s="4" t="str">
        <f ca="1">IFERROR(__xludf.DUMMYFUNCTION("""COMPUTED_VALUE"""),"| 5 L PHP-CGM % | 6 L CPT % | 8 L NS @ ")</f>
        <v xml:space="preserve">| 5 L PHP-CGM % | 6 L CPT % | 8 L NS @ </v>
      </c>
      <c r="BM274" s="4" t="str">
        <f ca="1">IFERROR(__xludf.DUMMYFUNCTION("""COMPUTED_VALUE"""),"| 5 L JAVA @ | 6 L NS @ | 7 L PRO @ | 8 L PRO @ | 9 P CPT @ ")</f>
        <v xml:space="preserve">| 5 L JAVA @ | 6 L NS @ | 7 L PRO @ | 8 L PRO @ | 9 P CPT @ </v>
      </c>
      <c r="BN274" s="4" t="str">
        <f ca="1">IFERROR(__xludf.DUMMYFUNCTION("""COMPUTED_VALUE"""),"| 5 L INE @ ")</f>
        <v xml:space="preserve">| 5 L INE @ </v>
      </c>
      <c r="BO274" s="4" t="str">
        <f ca="1">IFERROR(__xludf.DUMMYFUNCTION("""COMPUTED_VALUE"""),"| 5 L CPT @ | 6 L PHP-CGM @ ")</f>
        <v xml:space="preserve">| 5 L CPT @ | 6 L PHP-CGM @ </v>
      </c>
      <c r="BP274" s="4" t="str">
        <f ca="1">IFERROR(__xludf.DUMMYFUNCTION("""COMPUTED_VALUE"""),"| 5 L JAVA @ | 6 L JAVA @ | 7 L PHP-CGM @ | 8 L CPT @ ")</f>
        <v xml:space="preserve">| 5 L JAVA @ | 6 L JAVA @ | 7 L PHP-CGM @ | 8 L CPT @ </v>
      </c>
      <c r="BQ274" s="4" t="str">
        <f ca="1">IFERROR(__xludf.DUMMYFUNCTION("""COMPUTED_VALUE"""),"| 5 L JAVA @ ")</f>
        <v xml:space="preserve">| 5 L JAVA @ </v>
      </c>
      <c r="BR274" s="4"/>
      <c r="BS274" s="4"/>
      <c r="BT274" s="4" t="str">
        <f ca="1">IFERROR(__xludf.DUMMYFUNCTION("""COMPUTED_VALUE"""),"| 7 L PHP-CGM @ | 8 L CPT @ ")</f>
        <v xml:space="preserve">| 7 L PHP-CGM @ | 8 L CPT @ </v>
      </c>
      <c r="BU274" s="4" t="str">
        <f ca="1">IFERROR(__xludf.DUMMYFUNCTION("""COMPUTED_VALUE"""),"| 8 L NS @ ")</f>
        <v xml:space="preserve">| 8 L NS @ </v>
      </c>
      <c r="BV274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4" s="4"/>
      <c r="BX274" s="4" t="str">
        <f ca="1">IFERROR(__xludf.DUMMYFUNCTION("""COMPUTED_VALUE"""),"| 5 L JAVA @ | 6 L NS @ | 7 L PRO @ | 9 P CPT @ ")</f>
        <v xml:space="preserve">| 5 L JAVA @ | 6 L NS @ | 7 L PRO @ | 9 P CPT @ </v>
      </c>
      <c r="BY274" s="4" t="str">
        <f ca="1">IFERROR(__xludf.DUMMYFUNCTION("""COMPUTED_VALUE"""),"| 5 L INE @ | 7 P JAVA @ | 9 P Python @ ")</f>
        <v xml:space="preserve">| 5 L INE @ | 7 P JAVA @ | 9 P Python @ </v>
      </c>
      <c r="BZ274" s="4" t="str">
        <f ca="1">IFERROR(__xludf.DUMMYFUNCTION("""COMPUTED_VALUE"""),"| 5 L CPT @ | 6 L PHP-CGM @ | 7 P NS @ | 9 P Python @ ")</f>
        <v xml:space="preserve">| 5 L CPT @ | 6 L PHP-CGM @ | 7 P NS @ | 9 P Python @ </v>
      </c>
      <c r="CA274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74" s="4" t="str">
        <f ca="1">IFERROR(__xludf.DUMMYFUNCTION("""COMPUTED_VALUE"""),"| 5 L PHP-CGM % | 6 L CPT % | 7 L NS % | 9 P PHP-CGM @ ")</f>
        <v xml:space="preserve">| 5 L PHP-CGM % | 6 L CPT % | 7 L NS % | 9 P PHP-CGM @ </v>
      </c>
      <c r="CC274" s="4" t="str">
        <f ca="1">IFERROR(__xludf.DUMMYFUNCTION("""COMPUTED_VALUE"""),"| 5 L JAVA @ | 6 L NS @ | 9 P CPT @ ")</f>
        <v xml:space="preserve">| 5 L JAVA @ | 6 L NS @ | 9 P CPT @ </v>
      </c>
      <c r="CD274" s="4" t="str">
        <f ca="1">IFERROR(__xludf.DUMMYFUNCTION("""COMPUTED_VALUE"""),"| 5 L INE % | 7 P NS % ")</f>
        <v xml:space="preserve">| 5 L INE % | 7 P NS % </v>
      </c>
      <c r="CE274" s="4" t="str">
        <f ca="1">IFERROR(__xludf.DUMMYFUNCTION("""COMPUTED_VALUE"""),"| 5 L CPT @ | 6 L PHP-CGM @ | 7 P JAVA @ | 9 P Python @ ")</f>
        <v xml:space="preserve">| 5 L CPT @ | 6 L PHP-CGM @ | 7 P JAVA @ | 9 P Python @ </v>
      </c>
      <c r="CF274" s="4" t="str">
        <f ca="1">IFERROR(__xludf.DUMMYFUNCTION("""COMPUTED_VALUE"""),"| 5 L JAVA @ | 6 L NS @ | 7 L PHP-CGM @ | 8 L CPT @ | 9 P JAVA % ")</f>
        <v xml:space="preserve">| 5 L JAVA @ | 6 L NS @ | 7 L PHP-CGM @ | 8 L CPT @ | 9 P JAVA % </v>
      </c>
      <c r="CG274" s="4" t="str">
        <f ca="1">IFERROR(__xludf.DUMMYFUNCTION("""COMPUTED_VALUE"""),"| 5 L PHP-CGM @ | 6 L CPT @ | 7 L JAVA @ | 8 L NS % | 9 P PHP-CGM % ")</f>
        <v xml:space="preserve">| 5 L PHP-CGM @ | 6 L CPT @ | 7 L JAVA @ | 8 L NS % | 9 P PHP-CGM % </v>
      </c>
      <c r="CH274" s="4" t="str">
        <f ca="1">IFERROR(__xludf.DUMMYFUNCTION("""COMPUTED_VALUE"""),"| 5 L JAVA @ | 6 L NS @ | 9 P CPT % ")</f>
        <v xml:space="preserve">| 5 L JAVA @ | 6 L NS @ | 9 P CPT % </v>
      </c>
      <c r="CI274" s="4" t="str">
        <f ca="1">IFERROR(__xludf.DUMMYFUNCTION("""COMPUTED_VALUE"""),"| 5 L INE @ | 9 P Python % ")</f>
        <v xml:space="preserve">| 5 L INE @ | 9 P Python % </v>
      </c>
      <c r="CJ274" s="4" t="str">
        <f ca="1">IFERROR(__xludf.DUMMYFUNCTION("""COMPUTED_VALUE"""),"| 5 L CPT @ | 6 L PHP-CGM @ ")</f>
        <v xml:space="preserve">| 5 L CPT @ | 6 L PHP-CGM @ </v>
      </c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</row>
    <row r="275" spans="1:102" ht="12.5" x14ac:dyDescent="0.25">
      <c r="A275" s="3">
        <f ca="1">IFERROR(__xludf.DUMMYFUNCTION("""COMPUTED_VALUE"""),1)</f>
        <v>1</v>
      </c>
      <c r="B275" s="3" t="str">
        <f ca="1">IFERROR(__xludf.DUMMYFUNCTION("""COMPUTED_VALUE"""),"D")</f>
        <v>D</v>
      </c>
      <c r="C275" s="32" t="str">
        <f ca="1">IFERROR(__xludf.DUMMYFUNCTION("""COMPUTED_VALUE"""),"23171341017")</f>
        <v>23171341017</v>
      </c>
      <c r="D275" s="4" t="str">
        <f ca="1">IFERROR(__xludf.DUMMYFUNCTION("""COMPUTED_VALUE"""),"CHAUDHARI SUJAL ASHOKBHAI")</f>
        <v>CHAUDHARI SUJAL ASHOKBHAI</v>
      </c>
      <c r="E275" s="3" t="str">
        <f ca="1">IFERROR(__xludf.DUMMYFUNCTION("""COMPUTED_VALUE"""),"ZPP - Eve")</f>
        <v>ZPP - Eve</v>
      </c>
      <c r="F275" s="3">
        <f ca="1">IFERROR(__xludf.DUMMYFUNCTION("""COMPUTED_VALUE"""),6351498341)</f>
        <v>6351498341</v>
      </c>
      <c r="G275" s="3">
        <f ca="1">IFERROR(__xludf.DUMMYFUNCTION("""COMPUTED_VALUE"""),9265719818)</f>
        <v>9265719818</v>
      </c>
      <c r="H275" s="33">
        <f ca="1">IFERROR(__xludf.DUMMYFUNCTION("""COMPUTED_VALUE"""),0.361233480176211)</f>
        <v>0.36123348017621099</v>
      </c>
      <c r="I275" s="25">
        <f ca="1">IFERROR(__xludf.DUMMYFUNCTION("""COMPUTED_VALUE"""),0.457142857142857)</f>
        <v>0.45714285714285702</v>
      </c>
      <c r="J275" s="25">
        <f ca="1">IFERROR(__xludf.DUMMYFUNCTION("""COMPUTED_VALUE"""),0.181818181818181)</f>
        <v>0.18181818181818099</v>
      </c>
      <c r="K275" s="25">
        <f ca="1">IFERROR(__xludf.DUMMYFUNCTION("""COMPUTED_VALUE"""),0.40625)</f>
        <v>0.40625</v>
      </c>
      <c r="L275" s="25">
        <f ca="1">IFERROR(__xludf.DUMMYFUNCTION("""COMPUTED_VALUE"""),0.444444444444444)</f>
        <v>0.44444444444444398</v>
      </c>
      <c r="M275" s="25">
        <f ca="1">IFERROR(__xludf.DUMMYFUNCTION("""COMPUTED_VALUE"""),0.416666666666666)</f>
        <v>0.41666666666666602</v>
      </c>
      <c r="N275" s="25">
        <f ca="1">IFERROR(__xludf.DUMMYFUNCTION("""COMPUTED_VALUE"""),0.222222222222222)</f>
        <v>0.22222222222222199</v>
      </c>
      <c r="O275" s="25">
        <f ca="1">IFERROR(__xludf.DUMMYFUNCTION("""COMPUTED_VALUE"""),0.388888888888888)</f>
        <v>0.38888888888888801</v>
      </c>
      <c r="P275" s="25">
        <f ca="1">IFERROR(__xludf.DUMMYFUNCTION("""COMPUTED_VALUE"""),0.368421052631578)</f>
        <v>0.36842105263157798</v>
      </c>
      <c r="Q275" s="25">
        <f ca="1">IFERROR(__xludf.DUMMYFUNCTION("""COMPUTED_VALUE"""),0)</f>
        <v>0</v>
      </c>
      <c r="R275" s="25">
        <f ca="1">IFERROR(__xludf.DUMMYFUNCTION("""COMPUTED_VALUE"""),0.125)</f>
        <v>0.125</v>
      </c>
      <c r="S275" s="25">
        <f ca="1">IFERROR(__xludf.DUMMYFUNCTION("""COMPUTED_VALUE"""),0.307692307692307)</f>
        <v>0.30769230769230699</v>
      </c>
      <c r="T275" s="25">
        <f ca="1">IFERROR(__xludf.DUMMYFUNCTION("""COMPUTED_VALUE"""),1)</f>
        <v>1</v>
      </c>
      <c r="U275" s="25">
        <f ca="1">IFERROR(__xludf.DUMMYFUNCTION("""COMPUTED_VALUE"""),0.2)</f>
        <v>0.2</v>
      </c>
      <c r="V275" s="25">
        <f ca="1">IFERROR(__xludf.DUMMYFUNCTION("""COMPUTED_VALUE"""),0)</f>
        <v>0</v>
      </c>
      <c r="W275" s="4"/>
      <c r="X275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Y275" s="4" t="str">
        <f ca="1">IFERROR(__xludf.DUMMYFUNCTION("""COMPUTED_VALUE"""),"| 5 L PHP-CGM @ | 6 L CPT @ | 7 L NS @ | 8 L JAVA @ | 9 P PHP-CGM @ ")</f>
        <v xml:space="preserve">| 5 L PHP-CGM @ | 6 L CPT @ | 7 L NS @ | 8 L JAVA @ | 9 P PHP-CGM @ </v>
      </c>
      <c r="Z275" s="4" t="str">
        <f ca="1">IFERROR(__xludf.DUMMYFUNCTION("""COMPUTED_VALUE"""),"| 5 L NS @ | 6 L JAVA @ | 7 L PRO @ | 8 L PRO @ | 9 P CPT @ ")</f>
        <v xml:space="preserve">| 5 L NS @ | 6 L JAVA @ | 7 L PRO @ | 8 L PRO @ | 9 P CPT @ </v>
      </c>
      <c r="AA275" s="4" t="str">
        <f ca="1">IFERROR(__xludf.DUMMYFUNCTION("""COMPUTED_VALUE"""),"| 7 P JAVA @ | 9 P Python @ ")</f>
        <v xml:space="preserve">| 7 P JAVA @ | 9 P Python @ </v>
      </c>
      <c r="AB275" s="4" t="str">
        <f ca="1">IFERROR(__xludf.DUMMYFUNCTION("""COMPUTED_VALUE"""),"| 5 L JAVA @ | 6 L PHP-CGM @ | 7 P NS @ | 9 P Python @ ")</f>
        <v xml:space="preserve">| 5 L JAVA @ | 6 L PHP-CGM @ | 7 P NS @ | 9 P Python @ </v>
      </c>
      <c r="AC275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5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AE275" s="4" t="str">
        <f ca="1">IFERROR(__xludf.DUMMYFUNCTION("""COMPUTED_VALUE"""),"| 5 L JAVA % | 6 L NS % | 7 L PRO % | 9 P CPT @ ")</f>
        <v xml:space="preserve">| 5 L JAVA % | 6 L NS % | 7 L PRO % | 9 P CPT @ </v>
      </c>
      <c r="AF275" s="4" t="str">
        <f ca="1">IFERROR(__xludf.DUMMYFUNCTION("""COMPUTED_VALUE"""),"| 7 P JAVA % ")</f>
        <v xml:space="preserve">| 7 P JAVA % </v>
      </c>
      <c r="AG275" s="4" t="str">
        <f ca="1">IFERROR(__xludf.DUMMYFUNCTION("""COMPUTED_VALUE"""),"| 5 L CPT % | 6 L PHP-CGM % | 7 P NS @ | 9 P Python @ ")</f>
        <v xml:space="preserve">| 5 L CPT % | 6 L PHP-CGM % | 7 P NS @ | 9 P Python @ </v>
      </c>
      <c r="AH275" s="4" t="str">
        <f ca="1">IFERROR(__xludf.DUMMYFUNCTION("""COMPUTED_VALUE"""),"| 7 P JAVA % | 9 P Python @ ")</f>
        <v xml:space="preserve">| 7 P JAVA % | 9 P Python @ </v>
      </c>
      <c r="AI275" s="4" t="str">
        <f ca="1">IFERROR(__xludf.DUMMYFUNCTION("""COMPUTED_VALUE"""),"| 5 L CPT % | 6 L PHP-CGM % | 7 P NS % | 9 P Python % ")</f>
        <v xml:space="preserve">| 5 L CPT % | 6 L PHP-CGM % | 7 P NS % | 9 P Python % </v>
      </c>
      <c r="AJ275" s="4" t="str">
        <f ca="1">IFERROR(__xludf.DUMMYFUNCTION("""COMPUTED_VALUE"""),"| 5 L JAVA % | 6 L NS % | 7 L PHP-CGM % | 9 P JAVA @ | 8 L CPT % ")</f>
        <v xml:space="preserve">| 5 L JAVA % | 6 L NS % | 7 L PHP-CGM % | 9 P JAVA @ | 8 L CPT % </v>
      </c>
      <c r="AK275" s="4" t="str">
        <f ca="1">IFERROR(__xludf.DUMMYFUNCTION("""COMPUTED_VALUE"""),"| 5 L PHP-CGM % | 6 L CPT % | 8 L JAVA % | 7 L NS % | 9 P PHP-CGM @ ")</f>
        <v xml:space="preserve">| 5 L PHP-CGM % | 6 L CPT % | 8 L JAVA % | 7 L NS % | 9 P PHP-CGM @ </v>
      </c>
      <c r="AL275" s="4" t="str">
        <f ca="1">IFERROR(__xludf.DUMMYFUNCTION("""COMPUTED_VALUE"""),"| 6 L NS @ | 7 L NS @ | 7 L PRO @ | 8 L PRO @ | 9 P CPT @ ")</f>
        <v xml:space="preserve">| 6 L NS @ | 7 L NS @ | 7 L PRO @ | 8 L PRO @ | 9 P CPT @ </v>
      </c>
      <c r="AM275" s="4" t="str">
        <f ca="1">IFERROR(__xludf.DUMMYFUNCTION("""COMPUTED_VALUE"""),"| 5 L INE @ | 7 P JAVA @ | 9 P Python @ ")</f>
        <v xml:space="preserve">| 5 L INE @ | 7 P JAVA @ | 9 P Python @ </v>
      </c>
      <c r="AN275" s="4" t="str">
        <f ca="1">IFERROR(__xludf.DUMMYFUNCTION("""COMPUTED_VALUE"""),"| 5 L CPT @ | 6 L PHP-CGM @ ")</f>
        <v xml:space="preserve">| 5 L CPT @ | 6 L PHP-CGM @ </v>
      </c>
      <c r="AO275" s="4" t="str">
        <f ca="1">IFERROR(__xludf.DUMMYFUNCTION("""COMPUTED_VALUE"""),"| 5 L JAVA @ | 5 L NS @ | 7 L PHP-CGM @ | 8 L CPT @ ")</f>
        <v xml:space="preserve">| 5 L JAVA @ | 5 L NS @ | 7 L PHP-CGM @ | 8 L CPT @ </v>
      </c>
      <c r="AP275" s="4" t="str">
        <f ca="1">IFERROR(__xludf.DUMMYFUNCTION("""COMPUTED_VALUE"""),"| 5 L PHP-CGM % | 6 L CPT % | 7 L JAVA @ | 7 L NS @ ")</f>
        <v xml:space="preserve">| 5 L PHP-CGM % | 6 L CPT % | 7 L JAVA @ | 7 L NS @ </v>
      </c>
      <c r="AQ275" s="4" t="str">
        <f ca="1">IFERROR(__xludf.DUMMYFUNCTION("""COMPUTED_VALUE"""),"| 5 L JAVA @ | 6 L NS @ | 7 L PRO @ | 8 L PRO @ | 9 P CPT @ ")</f>
        <v xml:space="preserve">| 5 L JAVA @ | 6 L NS @ | 7 L PRO @ | 8 L PRO @ | 9 P CPT @ </v>
      </c>
      <c r="AR275" s="4" t="str">
        <f ca="1">IFERROR(__xludf.DUMMYFUNCTION("""COMPUTED_VALUE"""),"| 5 L INE @ ")</f>
        <v xml:space="preserve">| 5 L INE @ </v>
      </c>
      <c r="AS275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75" s="4" t="str">
        <f ca="1">IFERROR(__xludf.DUMMYFUNCTION("""COMPUTED_VALUE"""),"| 5 L PHP-CGM @ | 6 L CPT @ | 7 L JAVA @ | 8 L JAVA @ | 9 P PHP-CGM @ ")</f>
        <v xml:space="preserve">| 5 L PHP-CGM @ | 6 L CPT @ | 7 L JAVA @ | 8 L JAVA @ | 9 P PHP-CGM @ </v>
      </c>
      <c r="AU275" s="4" t="str">
        <f ca="1">IFERROR(__xludf.DUMMYFUNCTION("""COMPUTED_VALUE"""),"| 5 L JAVA % | 6 L NS % | 7 P PRO % | 9 P CPT % ")</f>
        <v xml:space="preserve">| 5 L JAVA % | 6 L NS % | 7 P PRO % | 9 P CPT % </v>
      </c>
      <c r="AV275" s="4" t="str">
        <f ca="1">IFERROR(__xludf.DUMMYFUNCTION("""COMPUTED_VALUE"""),"| 5 L INE @ | 7 P JAVA @ | 9 P Python @ ")</f>
        <v xml:space="preserve">| 5 L INE @ | 7 P JAVA @ | 9 P Python @ </v>
      </c>
      <c r="AW275" s="4" t="str">
        <f ca="1">IFERROR(__xludf.DUMMYFUNCTION("""COMPUTED_VALUE"""),"| 5 L CPT % | 6 L PHP-CGM % | 7 P NS % | 9 P Python @ ")</f>
        <v xml:space="preserve">| 5 L CPT % | 6 L PHP-CGM % | 7 P NS % | 9 P Python @ </v>
      </c>
      <c r="AX275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AY275" s="4" t="str">
        <f ca="1">IFERROR(__xludf.DUMMYFUNCTION("""COMPUTED_VALUE"""),"| 5 L PHP-CGM % | 6 L CPT % | 7 L NS % | 8 L NS % | 9 P PHP-CGM @ ")</f>
        <v xml:space="preserve">| 5 L PHP-CGM % | 6 L CPT % | 7 L NS % | 8 L NS % | 9 P PHP-CGM @ </v>
      </c>
      <c r="AZ275" s="4" t="str">
        <f ca="1">IFERROR(__xludf.DUMMYFUNCTION("""COMPUTED_VALUE"""),"| 5 L INE @ | 7 P JAVA @ ")</f>
        <v xml:space="preserve">| 5 L INE @ | 7 P JAVA @ </v>
      </c>
      <c r="BA275" s="4" t="str">
        <f ca="1">IFERROR(__xludf.DUMMYFUNCTION("""COMPUTED_VALUE"""),"| 5 L CPT @ | 6 L PHP-CGM @ | 7 P NS @ | 9 P Python @ ")</f>
        <v xml:space="preserve">| 5 L CPT @ | 6 L PHP-CGM @ | 7 P NS @ | 9 P Python @ </v>
      </c>
      <c r="BB275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C275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D275" s="4" t="str">
        <f ca="1">IFERROR(__xludf.DUMMYFUNCTION("""COMPUTED_VALUE"""),"| 5 L JAVA % | 6 L NS % | 7 L PRO % | 8 L PRO % | 9 P CPT @ ")</f>
        <v xml:space="preserve">| 5 L JAVA % | 6 L NS % | 7 L PRO % | 8 L PRO % | 9 P CPT @ </v>
      </c>
      <c r="BE275" s="4" t="str">
        <f ca="1">IFERROR(__xludf.DUMMYFUNCTION("""COMPUTED_VALUE"""),"| 5 L INE @ | 7 P JAVA @ | 9 P Python @ ")</f>
        <v xml:space="preserve">| 5 L INE @ | 7 P JAVA @ | 9 P Python @ </v>
      </c>
      <c r="BF275" s="4" t="str">
        <f ca="1">IFERROR(__xludf.DUMMYFUNCTION("""COMPUTED_VALUE"""),"| 5 L CPT % | 6 L PHP-CGM % | 7 P NS @ | 9 P Python @ ")</f>
        <v xml:space="preserve">| 5 L CPT % | 6 L PHP-CGM % | 7 P NS @ | 9 P Python @ </v>
      </c>
      <c r="BG275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75" s="4" t="str">
        <f ca="1">IFERROR(__xludf.DUMMYFUNCTION("""COMPUTED_VALUE"""),"| 5 L JAVA % | 6 L NS % | 7 L PRO % | 9 P CPT @ ")</f>
        <v xml:space="preserve">| 5 L JAVA % | 6 L NS % | 7 L PRO % | 9 P CPT @ </v>
      </c>
      <c r="BI275" s="4" t="str">
        <f ca="1">IFERROR(__xludf.DUMMYFUNCTION("""COMPUTED_VALUE"""),"| 5 L INE % | 7 P JAVA % | 9 P Python @ ")</f>
        <v xml:space="preserve">| 5 L INE % | 7 P JAVA % | 9 P Python @ </v>
      </c>
      <c r="BJ275" s="4" t="str">
        <f ca="1">IFERROR(__xludf.DUMMYFUNCTION("""COMPUTED_VALUE"""),"| 5 L CPT % | 6 L PHP-CGM % | 7 P NS @ ")</f>
        <v xml:space="preserve">| 5 L CPT % | 6 L PHP-CGM % | 7 P NS @ </v>
      </c>
      <c r="BK275" s="4" t="str">
        <f ca="1">IFERROR(__xludf.DUMMYFUNCTION("""COMPUTED_VALUE"""),"| 5 L JAVA @ | 7 L PHP-CGM @ | 8 L CPT @ ")</f>
        <v xml:space="preserve">| 5 L JAVA @ | 7 L PHP-CGM @ | 8 L CPT @ </v>
      </c>
      <c r="BL275" s="4" t="str">
        <f ca="1">IFERROR(__xludf.DUMMYFUNCTION("""COMPUTED_VALUE"""),"| 5 L PHP-CGM @ | 6 L CPT @ | 8 L NS @ ")</f>
        <v xml:space="preserve">| 5 L PHP-CGM @ | 6 L CPT @ | 8 L NS @ </v>
      </c>
      <c r="BM275" s="4" t="str">
        <f ca="1">IFERROR(__xludf.DUMMYFUNCTION("""COMPUTED_VALUE"""),"| 5 L JAVA @ | 6 L NS @ | 7 L PRO @ | 8 L PRO @ | 9 P CPT @ ")</f>
        <v xml:space="preserve">| 5 L JAVA @ | 6 L NS @ | 7 L PRO @ | 8 L PRO @ | 9 P CPT @ </v>
      </c>
      <c r="BN275" s="4" t="str">
        <f ca="1">IFERROR(__xludf.DUMMYFUNCTION("""COMPUTED_VALUE"""),"| 5 L INE @ ")</f>
        <v xml:space="preserve">| 5 L INE @ </v>
      </c>
      <c r="BO275" s="4" t="str">
        <f ca="1">IFERROR(__xludf.DUMMYFUNCTION("""COMPUTED_VALUE"""),"| 5 L CPT @ | 6 L PHP-CGM @ ")</f>
        <v xml:space="preserve">| 5 L CPT @ | 6 L PHP-CGM @ </v>
      </c>
      <c r="BP275" s="4" t="str">
        <f ca="1">IFERROR(__xludf.DUMMYFUNCTION("""COMPUTED_VALUE"""),"| 5 L JAVA @ | 6 L JAVA @ | 7 L PHP-CGM @ | 8 L CPT @ ")</f>
        <v xml:space="preserve">| 5 L JAVA @ | 6 L JAVA @ | 7 L PHP-CGM @ | 8 L CPT @ </v>
      </c>
      <c r="BQ275" s="4" t="str">
        <f ca="1">IFERROR(__xludf.DUMMYFUNCTION("""COMPUTED_VALUE"""),"| 5 L JAVA @ ")</f>
        <v xml:space="preserve">| 5 L JAVA @ </v>
      </c>
      <c r="BR275" s="4"/>
      <c r="BS275" s="4"/>
      <c r="BT275" s="4" t="str">
        <f ca="1">IFERROR(__xludf.DUMMYFUNCTION("""COMPUTED_VALUE"""),"| 7 L PHP-CGM @ | 8 L CPT @ ")</f>
        <v xml:space="preserve">| 7 L PHP-CGM @ | 8 L CPT @ </v>
      </c>
      <c r="BU275" s="4" t="str">
        <f ca="1">IFERROR(__xludf.DUMMYFUNCTION("""COMPUTED_VALUE"""),"| 8 L NS % ")</f>
        <v xml:space="preserve">| 8 L NS % </v>
      </c>
      <c r="BV275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5" s="4"/>
      <c r="BX275" s="4" t="str">
        <f ca="1">IFERROR(__xludf.DUMMYFUNCTION("""COMPUTED_VALUE"""),"| 5 L JAVA % | 6 L NS % | 7 L PRO @ | 9 P CPT @ ")</f>
        <v xml:space="preserve">| 5 L JAVA % | 6 L NS % | 7 L PRO @ | 9 P CPT @ </v>
      </c>
      <c r="BY275" s="4" t="str">
        <f ca="1">IFERROR(__xludf.DUMMYFUNCTION("""COMPUTED_VALUE"""),"| 5 L INE @ | 7 P JAVA % | 9 P Python @ ")</f>
        <v xml:space="preserve">| 5 L INE @ | 7 P JAVA % | 9 P Python @ </v>
      </c>
      <c r="BZ275" s="4" t="str">
        <f ca="1">IFERROR(__xludf.DUMMYFUNCTION("""COMPUTED_VALUE"""),"| 5 L CPT % | 6 L PHP-CGM % | 7 P NS % | 9 P Python % ")</f>
        <v xml:space="preserve">| 5 L CPT % | 6 L PHP-CGM % | 7 P NS % | 9 P Python % </v>
      </c>
      <c r="CA275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75" s="4" t="str">
        <f ca="1">IFERROR(__xludf.DUMMYFUNCTION("""COMPUTED_VALUE"""),"| 5 L PHP-CGM @ | 6 L CPT @ | 7 L NS @ | 9 P PHP-CGM @ ")</f>
        <v xml:space="preserve">| 5 L PHP-CGM @ | 6 L CPT @ | 7 L NS @ | 9 P PHP-CGM @ </v>
      </c>
      <c r="CC275" s="4" t="str">
        <f ca="1">IFERROR(__xludf.DUMMYFUNCTION("""COMPUTED_VALUE"""),"| 5 L JAVA @ | 6 L NS @ | 9 P CPT @ ")</f>
        <v xml:space="preserve">| 5 L JAVA @ | 6 L NS @ | 9 P CPT @ </v>
      </c>
      <c r="CD275" s="4" t="str">
        <f ca="1">IFERROR(__xludf.DUMMYFUNCTION("""COMPUTED_VALUE"""),"| 5 L INE % | 7 P NS % ")</f>
        <v xml:space="preserve">| 5 L INE % | 7 P NS % </v>
      </c>
      <c r="CE275" s="4" t="str">
        <f ca="1">IFERROR(__xludf.DUMMYFUNCTION("""COMPUTED_VALUE"""),"| 5 L CPT @ | 6 L PHP-CGM @ | 7 P JAVA % | 9 P Python @ ")</f>
        <v xml:space="preserve">| 5 L CPT @ | 6 L PHP-CGM @ | 7 P JAVA % | 9 P Python @ </v>
      </c>
      <c r="CF275" s="4" t="str">
        <f ca="1">IFERROR(__xludf.DUMMYFUNCTION("""COMPUTED_VALUE"""),"| 5 L JAVA @ | 6 L NS @ | 7 L PHP-CGM @ | 8 L CPT @ | 9 P JAVA % ")</f>
        <v xml:space="preserve">| 5 L JAVA @ | 6 L NS @ | 7 L PHP-CGM @ | 8 L CPT @ | 9 P JAVA % </v>
      </c>
      <c r="CG275" s="4" t="str">
        <f ca="1">IFERROR(__xludf.DUMMYFUNCTION("""COMPUTED_VALUE"""),"| 5 L PHP-CGM @ | 6 L CPT @ | 7 L JAVA @ | 8 L NS @ | 9 P PHP-CGM % ")</f>
        <v xml:space="preserve">| 5 L PHP-CGM @ | 6 L CPT @ | 7 L JAVA @ | 8 L NS @ | 9 P PHP-CGM % </v>
      </c>
      <c r="CH275" s="4" t="str">
        <f ca="1">IFERROR(__xludf.DUMMYFUNCTION("""COMPUTED_VALUE"""),"| 5 L JAVA @ | 6 L NS @ | 9 P CPT % ")</f>
        <v xml:space="preserve">| 5 L JAVA @ | 6 L NS @ | 9 P CPT % </v>
      </c>
      <c r="CI275" s="4" t="str">
        <f ca="1">IFERROR(__xludf.DUMMYFUNCTION("""COMPUTED_VALUE"""),"| 5 L INE @ | 9 P Python @ ")</f>
        <v xml:space="preserve">| 5 L INE @ | 9 P Python @ </v>
      </c>
      <c r="CJ275" s="4" t="str">
        <f ca="1">IFERROR(__xludf.DUMMYFUNCTION("""COMPUTED_VALUE"""),"| 5 L CPT % | 6 L PHP-CGM @ ")</f>
        <v xml:space="preserve">| 5 L CPT % | 6 L PHP-CGM @ </v>
      </c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</row>
    <row r="276" spans="1:102" ht="12.5" x14ac:dyDescent="0.25">
      <c r="A276" s="3">
        <f ca="1">IFERROR(__xludf.DUMMYFUNCTION("""COMPUTED_VALUE"""),1)</f>
        <v>1</v>
      </c>
      <c r="B276" s="3" t="str">
        <f ca="1">IFERROR(__xludf.DUMMYFUNCTION("""COMPUTED_VALUE"""),"D")</f>
        <v>D</v>
      </c>
      <c r="C276" s="32" t="str">
        <f ca="1">IFERROR(__xludf.DUMMYFUNCTION("""COMPUTED_VALUE"""),"23171341018")</f>
        <v>23171341018</v>
      </c>
      <c r="D276" s="4" t="str">
        <f ca="1">IFERROR(__xludf.DUMMYFUNCTION("""COMPUTED_VALUE"""),"CHAUDHARY DEVRAJ PIYUSHBHAI")</f>
        <v>CHAUDHARY DEVRAJ PIYUSHBHAI</v>
      </c>
      <c r="E276" s="3" t="str">
        <f ca="1">IFERROR(__xludf.DUMMYFUNCTION("""COMPUTED_VALUE"""),"ZPP - Eve")</f>
        <v>ZPP - Eve</v>
      </c>
      <c r="F276" s="3" t="str">
        <f ca="1">IFERROR(__xludf.DUMMYFUNCTION("""COMPUTED_VALUE"""),"9327871623‬‬, 7096015379")</f>
        <v>9327871623‬‬, 7096015379</v>
      </c>
      <c r="G276" s="3">
        <f ca="1">IFERROR(__xludf.DUMMYFUNCTION("""COMPUTED_VALUE"""),8141163239)</f>
        <v>8141163239</v>
      </c>
      <c r="H276" s="33">
        <f ca="1">IFERROR(__xludf.DUMMYFUNCTION("""COMPUTED_VALUE"""),0.806167400881057)</f>
        <v>0.80616740088105698</v>
      </c>
      <c r="I276" s="25">
        <f ca="1">IFERROR(__xludf.DUMMYFUNCTION("""COMPUTED_VALUE"""),0.771428571428571)</f>
        <v>0.77142857142857102</v>
      </c>
      <c r="J276" s="25">
        <f ca="1">IFERROR(__xludf.DUMMYFUNCTION("""COMPUTED_VALUE"""),0.454545454545454)</f>
        <v>0.45454545454545398</v>
      </c>
      <c r="K276" s="25">
        <f ca="1">IFERROR(__xludf.DUMMYFUNCTION("""COMPUTED_VALUE"""),0.96875)</f>
        <v>0.96875</v>
      </c>
      <c r="L276" s="25">
        <f ca="1">IFERROR(__xludf.DUMMYFUNCTION("""COMPUTED_VALUE"""),0.777777777777777)</f>
        <v>0.77777777777777701</v>
      </c>
      <c r="M276" s="25">
        <f ca="1">IFERROR(__xludf.DUMMYFUNCTION("""COMPUTED_VALUE"""),0.777777777777777)</f>
        <v>0.77777777777777701</v>
      </c>
      <c r="N276" s="25">
        <f ca="1">IFERROR(__xludf.DUMMYFUNCTION("""COMPUTED_VALUE"""),0.777777777777777)</f>
        <v>0.77777777777777701</v>
      </c>
      <c r="O276" s="25">
        <f ca="1">IFERROR(__xludf.DUMMYFUNCTION("""COMPUTED_VALUE"""),0.972222222222222)</f>
        <v>0.97222222222222199</v>
      </c>
      <c r="P276" s="25">
        <f ca="1">IFERROR(__xludf.DUMMYFUNCTION("""COMPUTED_VALUE"""),0.736842105263157)</f>
        <v>0.73684210526315697</v>
      </c>
      <c r="Q276" s="25">
        <f ca="1">IFERROR(__xludf.DUMMYFUNCTION("""COMPUTED_VALUE"""),0)</f>
        <v>0</v>
      </c>
      <c r="R276" s="25">
        <f ca="1">IFERROR(__xludf.DUMMYFUNCTION("""COMPUTED_VALUE"""),0.5625)</f>
        <v>0.5625</v>
      </c>
      <c r="S276" s="25">
        <f ca="1">IFERROR(__xludf.DUMMYFUNCTION("""COMPUTED_VALUE"""),0.769230769230769)</f>
        <v>0.76923076923076905</v>
      </c>
      <c r="T276" s="25">
        <f ca="1">IFERROR(__xludf.DUMMYFUNCTION("""COMPUTED_VALUE"""),1)</f>
        <v>1</v>
      </c>
      <c r="U276" s="25">
        <f ca="1">IFERROR(__xludf.DUMMYFUNCTION("""COMPUTED_VALUE"""),0.9)</f>
        <v>0.9</v>
      </c>
      <c r="V276" s="25">
        <f ca="1">IFERROR(__xludf.DUMMYFUNCTION("""COMPUTED_VALUE"""),0)</f>
        <v>0</v>
      </c>
      <c r="W276" s="4"/>
      <c r="X276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76" s="4" t="str">
        <f ca="1">IFERROR(__xludf.DUMMYFUNCTION("""COMPUTED_VALUE"""),"| 5 L PHP-CGM @ | 6 L CPT @ | 7 L NS % | 8 L JAVA % | 9 P PHP-CGM @ ")</f>
        <v xml:space="preserve">| 5 L PHP-CGM @ | 6 L CPT @ | 7 L NS % | 8 L JAVA % | 9 P PHP-CGM @ </v>
      </c>
      <c r="Z276" s="4" t="str">
        <f ca="1">IFERROR(__xludf.DUMMYFUNCTION("""COMPUTED_VALUE"""),"| 5 L NS % | 6 L JAVA % | 7 L PRO % | 8 L PRO % | 9 P CPT @ ")</f>
        <v xml:space="preserve">| 5 L NS % | 6 L JAVA % | 7 L PRO % | 8 L PRO % | 9 P CPT @ </v>
      </c>
      <c r="AA276" s="4" t="str">
        <f ca="1">IFERROR(__xludf.DUMMYFUNCTION("""COMPUTED_VALUE"""),"| 7 P JAVA @ | 9 P Python % ")</f>
        <v xml:space="preserve">| 7 P JAVA @ | 9 P Python % </v>
      </c>
      <c r="AB276" s="4" t="str">
        <f ca="1">IFERROR(__xludf.DUMMYFUNCTION("""COMPUTED_VALUE"""),"| 5 L JAVA % | 6 L PHP-CGM % | 7 P NS % | 9 P Python % ")</f>
        <v xml:space="preserve">| 5 L JAVA % | 6 L PHP-CGM % | 7 P NS % | 9 P Python % </v>
      </c>
      <c r="AC276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6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76" s="4" t="str">
        <f ca="1">IFERROR(__xludf.DUMMYFUNCTION("""COMPUTED_VALUE"""),"| 5 L JAVA % | 6 L NS % | 7 L PRO % | 9 P CPT % ")</f>
        <v xml:space="preserve">| 5 L JAVA % | 6 L NS % | 7 L PRO % | 9 P CPT % </v>
      </c>
      <c r="AF276" s="4" t="str">
        <f ca="1">IFERROR(__xludf.DUMMYFUNCTION("""COMPUTED_VALUE"""),"| 7 P JAVA % ")</f>
        <v xml:space="preserve">| 7 P JAVA % </v>
      </c>
      <c r="AG276" s="4" t="str">
        <f ca="1">IFERROR(__xludf.DUMMYFUNCTION("""COMPUTED_VALUE"""),"| 5 L CPT % | 6 L PHP-CGM % | 7 P NS % | 9 P Python % ")</f>
        <v xml:space="preserve">| 5 L CPT % | 6 L PHP-CGM % | 7 P NS % | 9 P Python % </v>
      </c>
      <c r="AH276" s="4" t="str">
        <f ca="1">IFERROR(__xludf.DUMMYFUNCTION("""COMPUTED_VALUE"""),"| 7 P JAVA % | 9 P Python % ")</f>
        <v xml:space="preserve">| 7 P JAVA % | 9 P Python % </v>
      </c>
      <c r="AI276" s="4" t="str">
        <f ca="1">IFERROR(__xludf.DUMMYFUNCTION("""COMPUTED_VALUE"""),"| 5 L CPT % | 6 L PHP-CGM % | 7 P NS % | 9 P Python @ ")</f>
        <v xml:space="preserve">| 5 L CPT % | 6 L PHP-CGM % | 7 P NS % | 9 P Python @ </v>
      </c>
      <c r="AJ276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76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6" s="4" t="str">
        <f ca="1">IFERROR(__xludf.DUMMYFUNCTION("""COMPUTED_VALUE"""),"| 6 L NS % | 7 L NS % | 7 L PRO % | 8 L PRO % | 9 P CPT % ")</f>
        <v xml:space="preserve">| 6 L NS % | 7 L NS % | 7 L PRO % | 8 L PRO % | 9 P CPT % </v>
      </c>
      <c r="AM276" s="4" t="str">
        <f ca="1">IFERROR(__xludf.DUMMYFUNCTION("""COMPUTED_VALUE"""),"| 5 L INE % | 7 P JAVA % | 9 P Python % ")</f>
        <v xml:space="preserve">| 5 L INE % | 7 P JAVA % | 9 P Python % </v>
      </c>
      <c r="AN276" s="4" t="str">
        <f ca="1">IFERROR(__xludf.DUMMYFUNCTION("""COMPUTED_VALUE"""),"| 5 L CPT % | 6 L PHP-CGM % ")</f>
        <v xml:space="preserve">| 5 L CPT % | 6 L PHP-CGM % </v>
      </c>
      <c r="AO276" s="4" t="str">
        <f ca="1">IFERROR(__xludf.DUMMYFUNCTION("""COMPUTED_VALUE"""),"| 5 L JAVA % | 5 L NS % | 7 L PHP-CGM % | 8 L CPT % ")</f>
        <v xml:space="preserve">| 5 L JAVA % | 5 L NS % | 7 L PHP-CGM % | 8 L CPT % </v>
      </c>
      <c r="AP276" s="4" t="str">
        <f ca="1">IFERROR(__xludf.DUMMYFUNCTION("""COMPUTED_VALUE"""),"| 5 L PHP-CGM % | 6 L CPT % | 7 L JAVA % | 7 L NS % ")</f>
        <v xml:space="preserve">| 5 L PHP-CGM % | 6 L CPT % | 7 L JAVA % | 7 L NS % </v>
      </c>
      <c r="AQ276" s="4" t="str">
        <f ca="1">IFERROR(__xludf.DUMMYFUNCTION("""COMPUTED_VALUE"""),"| 5 L JAVA % | 6 L NS % | 7 L PRO % | 8 L PRO % | 9 P CPT @ ")</f>
        <v xml:space="preserve">| 5 L JAVA % | 6 L NS % | 7 L PRO % | 8 L PRO % | 9 P CPT @ </v>
      </c>
      <c r="AR276" s="4" t="str">
        <f ca="1">IFERROR(__xludf.DUMMYFUNCTION("""COMPUTED_VALUE"""),"| 5 L INE % ")</f>
        <v xml:space="preserve">| 5 L INE % </v>
      </c>
      <c r="AS276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AT276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76" s="4" t="str">
        <f ca="1">IFERROR(__xludf.DUMMYFUNCTION("""COMPUTED_VALUE"""),"| 5 L JAVA % | 6 L NS % | 7 P PRO % | 9 P CPT % ")</f>
        <v xml:space="preserve">| 5 L JAVA % | 6 L NS % | 7 P PRO % | 9 P CPT % </v>
      </c>
      <c r="AV276" s="4" t="str">
        <f ca="1">IFERROR(__xludf.DUMMYFUNCTION("""COMPUTED_VALUE"""),"| 5 L INE % | 7 P JAVA % | 9 P Python % ")</f>
        <v xml:space="preserve">| 5 L INE % | 7 P JAVA % | 9 P Python % </v>
      </c>
      <c r="AW276" s="4" t="str">
        <f ca="1">IFERROR(__xludf.DUMMYFUNCTION("""COMPUTED_VALUE"""),"| 5 L CPT % | 6 L PHP-CGM % | 7 P NS % | 9 P Python @ ")</f>
        <v xml:space="preserve">| 5 L CPT % | 6 L PHP-CGM % | 7 P NS % | 9 P Python @ </v>
      </c>
      <c r="AX276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76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76" s="4" t="str">
        <f ca="1">IFERROR(__xludf.DUMMYFUNCTION("""COMPUTED_VALUE"""),"| 5 L INE % | 7 P JAVA % ")</f>
        <v xml:space="preserve">| 5 L INE % | 7 P JAVA % </v>
      </c>
      <c r="BA276" s="4" t="str">
        <f ca="1">IFERROR(__xludf.DUMMYFUNCTION("""COMPUTED_VALUE"""),"| 5 L CPT @ | 6 L PHP-CGM @ | 7 P NS @ | 9 P Python % ")</f>
        <v xml:space="preserve">| 5 L CPT @ | 6 L PHP-CGM @ | 7 P NS @ | 9 P Python % </v>
      </c>
      <c r="BB276" s="4" t="str">
        <f ca="1">IFERROR(__xludf.DUMMYFUNCTION("""COMPUTED_VALUE"""),"| 5 L JAVA % | 6 L NS % | 7 L PHP-CGM @ | 8 L CPT @ | 9 P JAVA @ ")</f>
        <v xml:space="preserve">| 5 L JAVA % | 6 L NS % | 7 L PHP-CGM @ | 8 L CPT @ | 9 P JAVA @ </v>
      </c>
      <c r="BC276" s="4" t="str">
        <f ca="1">IFERROR(__xludf.DUMMYFUNCTION("""COMPUTED_VALUE"""),"| 5 L PHP-CGM @ | 6 L CPT @ | 7 L JAVA % | 8 L NS % | 9 P PHP-CGM % ")</f>
        <v xml:space="preserve">| 5 L PHP-CGM @ | 6 L CPT @ | 7 L JAVA % | 8 L NS % | 9 P PHP-CGM % </v>
      </c>
      <c r="BD276" s="4" t="str">
        <f ca="1">IFERROR(__xludf.DUMMYFUNCTION("""COMPUTED_VALUE"""),"| 5 L JAVA % | 6 L NS % | 7 L PRO % | 8 L PRO % | 9 P CPT @ ")</f>
        <v xml:space="preserve">| 5 L JAVA % | 6 L NS % | 7 L PRO % | 8 L PRO % | 9 P CPT @ </v>
      </c>
      <c r="BE276" s="4" t="str">
        <f ca="1">IFERROR(__xludf.DUMMYFUNCTION("""COMPUTED_VALUE"""),"| 5 L INE % | 7 P JAVA % | 9 P Python @ ")</f>
        <v xml:space="preserve">| 5 L INE % | 7 P JAVA % | 9 P Python @ </v>
      </c>
      <c r="BF276" s="4" t="str">
        <f ca="1">IFERROR(__xludf.DUMMYFUNCTION("""COMPUTED_VALUE"""),"| 5 L CPT @ | 6 L PHP-CGM @ | 7 P NS @ | 9 P Python @ ")</f>
        <v xml:space="preserve">| 5 L CPT @ | 6 L PHP-CGM @ | 7 P NS @ | 9 P Python @ </v>
      </c>
      <c r="BG276" s="4" t="str">
        <f ca="1">IFERROR(__xludf.DUMMYFUNCTION("""COMPUTED_VALUE"""),"| 5 L PHP-CGM % | 6 L CPT % | 7 L JAVA % | 8 L NS % | 9 P PHP-CGM @ ")</f>
        <v xml:space="preserve">| 5 L PHP-CGM % | 6 L CPT % | 7 L JAVA % | 8 L NS % | 9 P PHP-CGM @ </v>
      </c>
      <c r="BH276" s="4" t="str">
        <f ca="1">IFERROR(__xludf.DUMMYFUNCTION("""COMPUTED_VALUE"""),"| 5 L JAVA @ | 6 L NS @ | 7 L PRO @ | 9 P CPT @ ")</f>
        <v xml:space="preserve">| 5 L JAVA @ | 6 L NS @ | 7 L PRO @ | 9 P CPT @ </v>
      </c>
      <c r="BI276" s="4" t="str">
        <f ca="1">IFERROR(__xludf.DUMMYFUNCTION("""COMPUTED_VALUE"""),"| 5 L INE @ | 7 P JAVA @ | 9 P Python @ ")</f>
        <v xml:space="preserve">| 5 L INE @ | 7 P JAVA @ | 9 P Python @ </v>
      </c>
      <c r="BJ276" s="4" t="str">
        <f ca="1">IFERROR(__xludf.DUMMYFUNCTION("""COMPUTED_VALUE"""),"| 5 L CPT @ | 6 L PHP-CGM @ | 7 P NS % ")</f>
        <v xml:space="preserve">| 5 L CPT @ | 6 L PHP-CGM @ | 7 P NS % </v>
      </c>
      <c r="BK276" s="4" t="str">
        <f ca="1">IFERROR(__xludf.DUMMYFUNCTION("""COMPUTED_VALUE"""),"| 5 L JAVA % | 7 L PHP-CGM % | 8 L CPT % ")</f>
        <v xml:space="preserve">| 5 L JAVA % | 7 L PHP-CGM % | 8 L CPT % </v>
      </c>
      <c r="BL276" s="4" t="str">
        <f ca="1">IFERROR(__xludf.DUMMYFUNCTION("""COMPUTED_VALUE"""),"| 5 L PHP-CGM % | 6 L CPT % | 8 L NS % ")</f>
        <v xml:space="preserve">| 5 L PHP-CGM % | 6 L CPT % | 8 L NS % </v>
      </c>
      <c r="BM276" s="4" t="str">
        <f ca="1">IFERROR(__xludf.DUMMYFUNCTION("""COMPUTED_VALUE"""),"| 5 L JAVA % | 6 L NS % | 7 L PRO @ | 8 L PRO @ | 9 P CPT % ")</f>
        <v xml:space="preserve">| 5 L JAVA % | 6 L NS % | 7 L PRO @ | 8 L PRO @ | 9 P CPT % </v>
      </c>
      <c r="BN276" s="4" t="str">
        <f ca="1">IFERROR(__xludf.DUMMYFUNCTION("""COMPUTED_VALUE"""),"| 5 L INE % ")</f>
        <v xml:space="preserve">| 5 L INE % </v>
      </c>
      <c r="BO276" s="4" t="str">
        <f ca="1">IFERROR(__xludf.DUMMYFUNCTION("""COMPUTED_VALUE"""),"| 5 L CPT @ | 6 L PHP-CGM @ ")</f>
        <v xml:space="preserve">| 5 L CPT @ | 6 L PHP-CGM @ </v>
      </c>
      <c r="BP276" s="4" t="str">
        <f ca="1">IFERROR(__xludf.DUMMYFUNCTION("""COMPUTED_VALUE"""),"| 5 L JAVA % | 6 L JAVA % | 7 L PHP-CGM % | 8 L CPT % ")</f>
        <v xml:space="preserve">| 5 L JAVA % | 6 L JAVA % | 7 L PHP-CGM % | 8 L CPT % </v>
      </c>
      <c r="BQ276" s="4" t="str">
        <f ca="1">IFERROR(__xludf.DUMMYFUNCTION("""COMPUTED_VALUE"""),"| 5 L JAVA % ")</f>
        <v xml:space="preserve">| 5 L JAVA % </v>
      </c>
      <c r="BR276" s="4"/>
      <c r="BS276" s="4"/>
      <c r="BT276" s="4" t="str">
        <f ca="1">IFERROR(__xludf.DUMMYFUNCTION("""COMPUTED_VALUE"""),"| 7 L PHP-CGM % | 8 L CPT % ")</f>
        <v xml:space="preserve">| 7 L PHP-CGM % | 8 L CPT % </v>
      </c>
      <c r="BU276" s="4" t="str">
        <f ca="1">IFERROR(__xludf.DUMMYFUNCTION("""COMPUTED_VALUE"""),"| 8 L NS % ")</f>
        <v xml:space="preserve">| 8 L NS % </v>
      </c>
      <c r="BV276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BW276" s="4"/>
      <c r="BX276" s="4" t="str">
        <f ca="1">IFERROR(__xludf.DUMMYFUNCTION("""COMPUTED_VALUE"""),"| 5 L JAVA % | 6 L NS % | 7 L PRO % | 9 P CPT % ")</f>
        <v xml:space="preserve">| 5 L JAVA % | 6 L NS % | 7 L PRO % | 9 P CPT % </v>
      </c>
      <c r="BY276" s="4" t="str">
        <f ca="1">IFERROR(__xludf.DUMMYFUNCTION("""COMPUTED_VALUE"""),"| 5 L INE % | 7 P JAVA % | 9 P Python % ")</f>
        <v xml:space="preserve">| 5 L INE % | 7 P JAVA % | 9 P Python % </v>
      </c>
      <c r="BZ276" s="4" t="str">
        <f ca="1">IFERROR(__xludf.DUMMYFUNCTION("""COMPUTED_VALUE"""),"| 5 L CPT % | 6 L PHP-CGM % | 7 P NS % | 9 P Python @ ")</f>
        <v xml:space="preserve">| 5 L CPT % | 6 L PHP-CGM % | 7 P NS % | 9 P Python @ </v>
      </c>
      <c r="CA276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76" s="4" t="str">
        <f ca="1">IFERROR(__xludf.DUMMYFUNCTION("""COMPUTED_VALUE"""),"| 5 L PHP-CGM % | 6 L CPT % | 7 L NS % | 9 P PHP-CGM % ")</f>
        <v xml:space="preserve">| 5 L PHP-CGM % | 6 L CPT % | 7 L NS % | 9 P PHP-CGM % </v>
      </c>
      <c r="CC276" s="4" t="str">
        <f ca="1">IFERROR(__xludf.DUMMYFUNCTION("""COMPUTED_VALUE"""),"| 5 L JAVA % | 6 L NS % | 9 P CPT @ ")</f>
        <v xml:space="preserve">| 5 L JAVA % | 6 L NS % | 9 P CPT @ </v>
      </c>
      <c r="CD276" s="4" t="str">
        <f ca="1">IFERROR(__xludf.DUMMYFUNCTION("""COMPUTED_VALUE"""),"| 5 L INE % | 7 P NS % ")</f>
        <v xml:space="preserve">| 5 L INE % | 7 P NS % </v>
      </c>
      <c r="CE276" s="4" t="str">
        <f ca="1">IFERROR(__xludf.DUMMYFUNCTION("""COMPUTED_VALUE"""),"| 5 L CPT % | 6 L PHP-CGM % | 7 P JAVA % | 9 P Python % ")</f>
        <v xml:space="preserve">| 5 L CPT % | 6 L PHP-CGM % | 7 P JAVA % | 9 P Python % </v>
      </c>
      <c r="CF276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CG276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CH276" s="4" t="str">
        <f ca="1">IFERROR(__xludf.DUMMYFUNCTION("""COMPUTED_VALUE"""),"| 5 L JAVA % | 6 L NS % | 9 P CPT @ ")</f>
        <v xml:space="preserve">| 5 L JAVA % | 6 L NS % | 9 P CPT @ </v>
      </c>
      <c r="CI276" s="4" t="str">
        <f ca="1">IFERROR(__xludf.DUMMYFUNCTION("""COMPUTED_VALUE"""),"| 5 L INE % | 9 P Python @ ")</f>
        <v xml:space="preserve">| 5 L INE % | 9 P Python @ </v>
      </c>
      <c r="CJ276" s="4" t="str">
        <f ca="1">IFERROR(__xludf.DUMMYFUNCTION("""COMPUTED_VALUE"""),"| 5 L CPT % | 6 L PHP-CGM % ")</f>
        <v xml:space="preserve">| 5 L CPT % | 6 L PHP-CGM % </v>
      </c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</row>
    <row r="277" spans="1:102" ht="12.5" x14ac:dyDescent="0.25">
      <c r="A277" s="3">
        <f ca="1">IFERROR(__xludf.DUMMYFUNCTION("""COMPUTED_VALUE"""),1)</f>
        <v>1</v>
      </c>
      <c r="B277" s="3" t="str">
        <f ca="1">IFERROR(__xludf.DUMMYFUNCTION("""COMPUTED_VALUE"""),"D")</f>
        <v>D</v>
      </c>
      <c r="C277" s="32" t="str">
        <f ca="1">IFERROR(__xludf.DUMMYFUNCTION("""COMPUTED_VALUE"""),"23171341023")</f>
        <v>23171341023</v>
      </c>
      <c r="D277" s="4" t="str">
        <f ca="1">IFERROR(__xludf.DUMMYFUNCTION("""COMPUTED_VALUE"""),"DAVE JESAL MEHUL")</f>
        <v>DAVE JESAL MEHUL</v>
      </c>
      <c r="E277" s="3" t="str">
        <f ca="1">IFERROR(__xludf.DUMMYFUNCTION("""COMPUTED_VALUE"""),"ZPP - Eve")</f>
        <v>ZPP - Eve</v>
      </c>
      <c r="F277" s="3">
        <f ca="1">IFERROR(__xludf.DUMMYFUNCTION("""COMPUTED_VALUE"""),9316307077)</f>
        <v>9316307077</v>
      </c>
      <c r="G277" s="3">
        <f ca="1">IFERROR(__xludf.DUMMYFUNCTION("""COMPUTED_VALUE"""),9426620001)</f>
        <v>9426620001</v>
      </c>
      <c r="H277" s="33">
        <f ca="1">IFERROR(__xludf.DUMMYFUNCTION("""COMPUTED_VALUE"""),0.339207048458149)</f>
        <v>0.33920704845814897</v>
      </c>
      <c r="I277" s="25">
        <f ca="1">IFERROR(__xludf.DUMMYFUNCTION("""COMPUTED_VALUE"""),0.371428571428571)</f>
        <v>0.371428571428571</v>
      </c>
      <c r="J277" s="25">
        <f ca="1">IFERROR(__xludf.DUMMYFUNCTION("""COMPUTED_VALUE"""),0.0909090909090909)</f>
        <v>9.0909090909090898E-2</v>
      </c>
      <c r="K277" s="25">
        <f ca="1">IFERROR(__xludf.DUMMYFUNCTION("""COMPUTED_VALUE"""),0.4375)</f>
        <v>0.4375</v>
      </c>
      <c r="L277" s="25">
        <f ca="1">IFERROR(__xludf.DUMMYFUNCTION("""COMPUTED_VALUE"""),0.333333333333333)</f>
        <v>0.33333333333333298</v>
      </c>
      <c r="M277" s="25">
        <f ca="1">IFERROR(__xludf.DUMMYFUNCTION("""COMPUTED_VALUE"""),0.361111111111111)</f>
        <v>0.36111111111111099</v>
      </c>
      <c r="N277" s="25">
        <f ca="1">IFERROR(__xludf.DUMMYFUNCTION("""COMPUTED_VALUE"""),0.111111111111111)</f>
        <v>0.11111111111111099</v>
      </c>
      <c r="O277" s="25">
        <f ca="1">IFERROR(__xludf.DUMMYFUNCTION("""COMPUTED_VALUE"""),0.444444444444444)</f>
        <v>0.44444444444444398</v>
      </c>
      <c r="P277" s="25">
        <f ca="1">IFERROR(__xludf.DUMMYFUNCTION("""COMPUTED_VALUE"""),0.368421052631578)</f>
        <v>0.36842105263157798</v>
      </c>
      <c r="Q277" s="25">
        <f ca="1">IFERROR(__xludf.DUMMYFUNCTION("""COMPUTED_VALUE"""),0)</f>
        <v>0</v>
      </c>
      <c r="R277" s="25">
        <f ca="1">IFERROR(__xludf.DUMMYFUNCTION("""COMPUTED_VALUE"""),0.1875)</f>
        <v>0.1875</v>
      </c>
      <c r="S277" s="25">
        <f ca="1">IFERROR(__xludf.DUMMYFUNCTION("""COMPUTED_VALUE"""),0.153846153846153)</f>
        <v>0.15384615384615299</v>
      </c>
      <c r="T277" s="25">
        <f ca="1">IFERROR(__xludf.DUMMYFUNCTION("""COMPUTED_VALUE"""),0)</f>
        <v>0</v>
      </c>
      <c r="U277" s="25">
        <f ca="1">IFERROR(__xludf.DUMMYFUNCTION("""COMPUTED_VALUE"""),0.4)</f>
        <v>0.4</v>
      </c>
      <c r="V277" s="25">
        <f ca="1">IFERROR(__xludf.DUMMYFUNCTION("""COMPUTED_VALUE"""),0)</f>
        <v>0</v>
      </c>
      <c r="W277" s="4"/>
      <c r="X277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Y277" s="4" t="str">
        <f ca="1">IFERROR(__xludf.DUMMYFUNCTION("""COMPUTED_VALUE"""),"| 5 L PHP-CGM @ | 6 L CPT @ | 7 L NS @ | 8 L JAVA @ | 9 P PHP-CGM @ ")</f>
        <v xml:space="preserve">| 5 L PHP-CGM @ | 6 L CPT @ | 7 L NS @ | 8 L JAVA @ | 9 P PHP-CGM @ </v>
      </c>
      <c r="Z277" s="4" t="str">
        <f ca="1">IFERROR(__xludf.DUMMYFUNCTION("""COMPUTED_VALUE"""),"| 5 L NS @ | 6 L JAVA @ | 7 L PRO @ | 8 L PRO @ | 9 P CPT @ ")</f>
        <v xml:space="preserve">| 5 L NS @ | 6 L JAVA @ | 7 L PRO @ | 8 L PRO @ | 9 P CPT @ </v>
      </c>
      <c r="AA277" s="4" t="str">
        <f ca="1">IFERROR(__xludf.DUMMYFUNCTION("""COMPUTED_VALUE"""),"| 7 P JAVA @ | 9 P Python @ ")</f>
        <v xml:space="preserve">| 7 P JAVA @ | 9 P Python @ </v>
      </c>
      <c r="AB277" s="4" t="str">
        <f ca="1">IFERROR(__xludf.DUMMYFUNCTION("""COMPUTED_VALUE"""),"| 5 L JAVA % | 6 L PHP-CGM % | 7 P NS % | 9 P Python % ")</f>
        <v xml:space="preserve">| 5 L JAVA % | 6 L PHP-CGM % | 7 P NS % | 9 P Python % </v>
      </c>
      <c r="AC277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7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AE277" s="4" t="str">
        <f ca="1">IFERROR(__xludf.DUMMYFUNCTION("""COMPUTED_VALUE"""),"| 5 L JAVA % | 6 L NS % | 7 L PRO @ | 9 P CPT @ ")</f>
        <v xml:space="preserve">| 5 L JAVA % | 6 L NS % | 7 L PRO @ | 9 P CPT @ </v>
      </c>
      <c r="AF277" s="4" t="str">
        <f ca="1">IFERROR(__xludf.DUMMYFUNCTION("""COMPUTED_VALUE"""),"| 7 P JAVA % ")</f>
        <v xml:space="preserve">| 7 P JAVA % </v>
      </c>
      <c r="AG277" s="4" t="str">
        <f ca="1">IFERROR(__xludf.DUMMYFUNCTION("""COMPUTED_VALUE"""),"| 5 L CPT % | 6 L PHP-CGM % | 7 P NS @ | 9 P Python @ ")</f>
        <v xml:space="preserve">| 5 L CPT % | 6 L PHP-CGM % | 7 P NS @ | 9 P Python @ </v>
      </c>
      <c r="AH277" s="4" t="str">
        <f ca="1">IFERROR(__xludf.DUMMYFUNCTION("""COMPUTED_VALUE"""),"| 7 P JAVA @ | 9 P Python @ ")</f>
        <v xml:space="preserve">| 7 P JAVA @ | 9 P Python @ </v>
      </c>
      <c r="AI277" s="4" t="str">
        <f ca="1">IFERROR(__xludf.DUMMYFUNCTION("""COMPUTED_VALUE"""),"| 5 L CPT % | 6 L PHP-CGM % | 7 P NS % | 9 P Python @ ")</f>
        <v xml:space="preserve">| 5 L CPT % | 6 L PHP-CGM % | 7 P NS % | 9 P Python @ </v>
      </c>
      <c r="AJ277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77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7" s="4" t="str">
        <f ca="1">IFERROR(__xludf.DUMMYFUNCTION("""COMPUTED_VALUE"""),"| 6 L NS % | 7 L NS % | 7 L PRO % | 8 L PRO % | 9 P CPT % ")</f>
        <v xml:space="preserve">| 6 L NS % | 7 L NS % | 7 L PRO % | 8 L PRO % | 9 P CPT % </v>
      </c>
      <c r="AM277" s="4" t="str">
        <f ca="1">IFERROR(__xludf.DUMMYFUNCTION("""COMPUTED_VALUE"""),"| 5 L INE % | 7 P JAVA % | 9 P Python @ ")</f>
        <v xml:space="preserve">| 5 L INE % | 7 P JAVA % | 9 P Python @ </v>
      </c>
      <c r="AN277" s="4" t="str">
        <f ca="1">IFERROR(__xludf.DUMMYFUNCTION("""COMPUTED_VALUE"""),"| 5 L CPT @ | 6 L PHP-CGM @ ")</f>
        <v xml:space="preserve">| 5 L CPT @ | 6 L PHP-CGM @ </v>
      </c>
      <c r="AO277" s="4" t="str">
        <f ca="1">IFERROR(__xludf.DUMMYFUNCTION("""COMPUTED_VALUE"""),"| 5 L JAVA @ | 5 L NS @ | 7 L PHP-CGM @ | 8 L CPT @ ")</f>
        <v xml:space="preserve">| 5 L JAVA @ | 5 L NS @ | 7 L PHP-CGM @ | 8 L CPT @ </v>
      </c>
      <c r="AP277" s="4" t="str">
        <f ca="1">IFERROR(__xludf.DUMMYFUNCTION("""COMPUTED_VALUE"""),"| 5 L PHP-CGM @ | 6 L CPT @ | 7 L JAVA @ | 7 L NS @ ")</f>
        <v xml:space="preserve">| 5 L PHP-CGM @ | 6 L CPT @ | 7 L JAVA @ | 7 L NS @ </v>
      </c>
      <c r="AQ277" s="4" t="str">
        <f ca="1">IFERROR(__xludf.DUMMYFUNCTION("""COMPUTED_VALUE"""),"| 5 L JAVA @ | 6 L NS @ | 7 L PRO @ | 8 L PRO @ | 9 P CPT @ ")</f>
        <v xml:space="preserve">| 5 L JAVA @ | 6 L NS @ | 7 L PRO @ | 8 L PRO @ | 9 P CPT @ </v>
      </c>
      <c r="AR277" s="4" t="str">
        <f ca="1">IFERROR(__xludf.DUMMYFUNCTION("""COMPUTED_VALUE"""),"| 5 L INE @ ")</f>
        <v xml:space="preserve">| 5 L INE @ </v>
      </c>
      <c r="AS277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77" s="4" t="str">
        <f ca="1">IFERROR(__xludf.DUMMYFUNCTION("""COMPUTED_VALUE"""),"| 5 L PHP-CGM % | 6 L CPT % | 7 L JAVA @ | 8 L JAVA @ | 9 P PHP-CGM @ ")</f>
        <v xml:space="preserve">| 5 L PHP-CGM % | 6 L CPT % | 7 L JAVA @ | 8 L JAVA @ | 9 P PHP-CGM @ </v>
      </c>
      <c r="AU277" s="4" t="str">
        <f ca="1">IFERROR(__xludf.DUMMYFUNCTION("""COMPUTED_VALUE"""),"| 5 L JAVA @ | 6 L NS @ | 7 P PRO @ | 9 P CPT @ ")</f>
        <v xml:space="preserve">| 5 L JAVA @ | 6 L NS @ | 7 P PRO @ | 9 P CPT @ </v>
      </c>
      <c r="AV277" s="4" t="str">
        <f ca="1">IFERROR(__xludf.DUMMYFUNCTION("""COMPUTED_VALUE"""),"| 5 L INE % | 7 P JAVA % | 9 P Python % ")</f>
        <v xml:space="preserve">| 5 L INE % | 7 P JAVA % | 9 P Python % </v>
      </c>
      <c r="AW277" s="4" t="str">
        <f ca="1">IFERROR(__xludf.DUMMYFUNCTION("""COMPUTED_VALUE"""),"| 5 L CPT % | 6 L PHP-CGM % | 7 P NS % | 9 P Python @ ")</f>
        <v xml:space="preserve">| 5 L CPT % | 6 L PHP-CGM % | 7 P NS % | 9 P Python @ </v>
      </c>
      <c r="AX277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AY277" s="4" t="str">
        <f ca="1">IFERROR(__xludf.DUMMYFUNCTION("""COMPUTED_VALUE"""),"| 5 L PHP-CGM % | 6 L CPT % | 7 L NS % | 8 L NS % | 9 P PHP-CGM @ ")</f>
        <v xml:space="preserve">| 5 L PHP-CGM % | 6 L CPT % | 7 L NS % | 8 L NS % | 9 P PHP-CGM @ </v>
      </c>
      <c r="AZ277" s="4" t="str">
        <f ca="1">IFERROR(__xludf.DUMMYFUNCTION("""COMPUTED_VALUE"""),"| 5 L INE % | 7 P JAVA % ")</f>
        <v xml:space="preserve">| 5 L INE % | 7 P JAVA % </v>
      </c>
      <c r="BA277" s="4" t="str">
        <f ca="1">IFERROR(__xludf.DUMMYFUNCTION("""COMPUTED_VALUE"""),"| 5 L CPT @ | 6 L PHP-CGM @ | 7 P NS @ | 9 P Python @ ")</f>
        <v xml:space="preserve">| 5 L CPT @ | 6 L PHP-CGM @ | 7 P NS @ | 9 P Python @ </v>
      </c>
      <c r="BB277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C277" s="4" t="str">
        <f ca="1">IFERROR(__xludf.DUMMYFUNCTION("""COMPUTED_VALUE"""),"| 5 L PHP-CGM @ | 6 L CPT @ | 7 L JAVA % | 8 L NS @ | 9 P PHP-CGM @ ")</f>
        <v xml:space="preserve">| 5 L PHP-CGM @ | 6 L CPT @ | 7 L JAVA % | 8 L NS @ | 9 P PHP-CGM @ </v>
      </c>
      <c r="BD277" s="4" t="str">
        <f ca="1">IFERROR(__xludf.DUMMYFUNCTION("""COMPUTED_VALUE"""),"| 5 L JAVA % | 6 L NS @ | 7 L PRO @ | 8 L PRO @ | 9 P CPT @ ")</f>
        <v xml:space="preserve">| 5 L JAVA % | 6 L NS @ | 7 L PRO @ | 8 L PRO @ | 9 P CPT @ </v>
      </c>
      <c r="BE277" s="4" t="str">
        <f ca="1">IFERROR(__xludf.DUMMYFUNCTION("""COMPUTED_VALUE"""),"| 5 L INE @ | 7 P JAVA @ | 9 P Python @ ")</f>
        <v xml:space="preserve">| 5 L INE @ | 7 P JAVA @ | 9 P Python @ </v>
      </c>
      <c r="BF277" s="4" t="str">
        <f ca="1">IFERROR(__xludf.DUMMYFUNCTION("""COMPUTED_VALUE"""),"| 5 L CPT @ | 6 L PHP-CGM @ | 7 P NS @ | 9 P Python @ ")</f>
        <v xml:space="preserve">| 5 L CPT @ | 6 L PHP-CGM @ | 7 P NS @ | 9 P Python @ </v>
      </c>
      <c r="BG277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H277" s="4" t="str">
        <f ca="1">IFERROR(__xludf.DUMMYFUNCTION("""COMPUTED_VALUE"""),"| 5 L JAVA % | 6 L NS @ | 7 L PRO @ | 9 P CPT @ ")</f>
        <v xml:space="preserve">| 5 L JAVA % | 6 L NS @ | 7 L PRO @ | 9 P CPT @ </v>
      </c>
      <c r="BI277" s="4" t="str">
        <f ca="1">IFERROR(__xludf.DUMMYFUNCTION("""COMPUTED_VALUE"""),"| 5 L INE @ | 7 P JAVA % | 9 P Python @ ")</f>
        <v xml:space="preserve">| 5 L INE @ | 7 P JAVA % | 9 P Python @ </v>
      </c>
      <c r="BJ277" s="4" t="str">
        <f ca="1">IFERROR(__xludf.DUMMYFUNCTION("""COMPUTED_VALUE"""),"| 5 L CPT @ | 6 L PHP-CGM @ | 7 P NS @ ")</f>
        <v xml:space="preserve">| 5 L CPT @ | 6 L PHP-CGM @ | 7 P NS @ </v>
      </c>
      <c r="BK277" s="4" t="str">
        <f ca="1">IFERROR(__xludf.DUMMYFUNCTION("""COMPUTED_VALUE"""),"| 5 L JAVA % | 7 L PHP-CGM @ | 8 L CPT @ ")</f>
        <v xml:space="preserve">| 5 L JAVA % | 7 L PHP-CGM @ | 8 L CPT @ </v>
      </c>
      <c r="BL277" s="4" t="str">
        <f ca="1">IFERROR(__xludf.DUMMYFUNCTION("""COMPUTED_VALUE"""),"| 5 L PHP-CGM % | 6 L CPT % | 8 L NS @ ")</f>
        <v xml:space="preserve">| 5 L PHP-CGM % | 6 L CPT % | 8 L NS @ </v>
      </c>
      <c r="BM277" s="4" t="str">
        <f ca="1">IFERROR(__xludf.DUMMYFUNCTION("""COMPUTED_VALUE"""),"| 5 L JAVA % | 6 L NS % | 7 L PRO @ | 8 L PRO @ | 9 P CPT @ ")</f>
        <v xml:space="preserve">| 5 L JAVA % | 6 L NS % | 7 L PRO @ | 8 L PRO @ | 9 P CPT @ </v>
      </c>
      <c r="BN277" s="4" t="str">
        <f ca="1">IFERROR(__xludf.DUMMYFUNCTION("""COMPUTED_VALUE"""),"| 5 L INE @ ")</f>
        <v xml:space="preserve">| 5 L INE @ </v>
      </c>
      <c r="BO277" s="4" t="str">
        <f ca="1">IFERROR(__xludf.DUMMYFUNCTION("""COMPUTED_VALUE"""),"| 5 L CPT @ | 6 L PHP-CGM @ ")</f>
        <v xml:space="preserve">| 5 L CPT @ | 6 L PHP-CGM @ </v>
      </c>
      <c r="BP277" s="4" t="str">
        <f ca="1">IFERROR(__xludf.DUMMYFUNCTION("""COMPUTED_VALUE"""),"| 5 L JAVA @ | 6 L JAVA @ | 7 L PHP-CGM @ | 8 L CPT @ ")</f>
        <v xml:space="preserve">| 5 L JAVA @ | 6 L JAVA @ | 7 L PHP-CGM @ | 8 L CPT @ </v>
      </c>
      <c r="BQ277" s="4" t="str">
        <f ca="1">IFERROR(__xludf.DUMMYFUNCTION("""COMPUTED_VALUE"""),"| 5 L JAVA @ ")</f>
        <v xml:space="preserve">| 5 L JAVA @ </v>
      </c>
      <c r="BR277" s="4"/>
      <c r="BS277" s="4"/>
      <c r="BT277" s="4" t="str">
        <f ca="1">IFERROR(__xludf.DUMMYFUNCTION("""COMPUTED_VALUE"""),"| 7 L PHP-CGM @ | 8 L CPT @ ")</f>
        <v xml:space="preserve">| 7 L PHP-CGM @ | 8 L CPT @ </v>
      </c>
      <c r="BU277" s="4" t="str">
        <f ca="1">IFERROR(__xludf.DUMMYFUNCTION("""COMPUTED_VALUE"""),"| 8 L NS @ ")</f>
        <v xml:space="preserve">| 8 L NS @ </v>
      </c>
      <c r="BV277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7" s="4"/>
      <c r="BX277" s="4" t="str">
        <f ca="1">IFERROR(__xludf.DUMMYFUNCTION("""COMPUTED_VALUE"""),"| 5 L JAVA @ | 6 L NS @ | 7 L PRO @ | 9 P CPT @ ")</f>
        <v xml:space="preserve">| 5 L JAVA @ | 6 L NS @ | 7 L PRO @ | 9 P CPT @ </v>
      </c>
      <c r="BY277" s="4" t="str">
        <f ca="1">IFERROR(__xludf.DUMMYFUNCTION("""COMPUTED_VALUE"""),"| 5 L INE @ | 7 P JAVA @ | 9 P Python @ ")</f>
        <v xml:space="preserve">| 5 L INE @ | 7 P JAVA @ | 9 P Python @ </v>
      </c>
      <c r="BZ277" s="4" t="str">
        <f ca="1">IFERROR(__xludf.DUMMYFUNCTION("""COMPUTED_VALUE"""),"| 5 L CPT @ | 6 L PHP-CGM @ | 7 P NS @ | 9 P Python @ ")</f>
        <v xml:space="preserve">| 5 L CPT @ | 6 L PHP-CGM @ | 7 P NS @ | 9 P Python @ </v>
      </c>
      <c r="CA277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CB277" s="4" t="str">
        <f ca="1">IFERROR(__xludf.DUMMYFUNCTION("""COMPUTED_VALUE"""),"| 5 L PHP-CGM % | 6 L CPT % | 7 L NS % | 9 P PHP-CGM @ ")</f>
        <v xml:space="preserve">| 5 L PHP-CGM % | 6 L CPT % | 7 L NS % | 9 P PHP-CGM @ </v>
      </c>
      <c r="CC277" s="4" t="str">
        <f ca="1">IFERROR(__xludf.DUMMYFUNCTION("""COMPUTED_VALUE"""),"| 5 L JAVA % | 6 L NS % | 9 P CPT @ ")</f>
        <v xml:space="preserve">| 5 L JAVA % | 6 L NS % | 9 P CPT @ </v>
      </c>
      <c r="CD277" s="4" t="str">
        <f ca="1">IFERROR(__xludf.DUMMYFUNCTION("""COMPUTED_VALUE"""),"| 5 L INE @ | 7 P NS @ ")</f>
        <v xml:space="preserve">| 5 L INE @ | 7 P NS @ </v>
      </c>
      <c r="CE277" s="4" t="str">
        <f ca="1">IFERROR(__xludf.DUMMYFUNCTION("""COMPUTED_VALUE"""),"| 5 L CPT % | 6 L PHP-CGM % | 7 P JAVA @ | 9 P Python @ ")</f>
        <v xml:space="preserve">| 5 L CPT % | 6 L PHP-CGM % | 7 P JAVA @ | 9 P Python @ </v>
      </c>
      <c r="CF277" s="4" t="str">
        <f ca="1">IFERROR(__xludf.DUMMYFUNCTION("""COMPUTED_VALUE"""),"| 5 L JAVA % | 6 L NS % | 7 L PHP-CGM @ | 8 L CPT @ | 9 P JAVA @ ")</f>
        <v xml:space="preserve">| 5 L JAVA % | 6 L NS % | 7 L PHP-CGM @ | 8 L CPT @ | 9 P JAVA @ </v>
      </c>
      <c r="CG277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CH277" s="4" t="str">
        <f ca="1">IFERROR(__xludf.DUMMYFUNCTION("""COMPUTED_VALUE"""),"| 5 L JAVA % | 6 L NS % | 9 P CPT @ ")</f>
        <v xml:space="preserve">| 5 L JAVA % | 6 L NS % | 9 P CPT @ </v>
      </c>
      <c r="CI277" s="4" t="str">
        <f ca="1">IFERROR(__xludf.DUMMYFUNCTION("""COMPUTED_VALUE"""),"| 5 L INE % | 9 P Python % ")</f>
        <v xml:space="preserve">| 5 L INE % | 9 P Python % </v>
      </c>
      <c r="CJ277" s="4" t="str">
        <f ca="1">IFERROR(__xludf.DUMMYFUNCTION("""COMPUTED_VALUE"""),"| 5 L CPT % | 6 L PHP-CGM @ ")</f>
        <v xml:space="preserve">| 5 L CPT % | 6 L PHP-CGM @ </v>
      </c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</row>
    <row r="278" spans="1:102" ht="12.5" x14ac:dyDescent="0.25">
      <c r="A278" s="3">
        <f ca="1">IFERROR(__xludf.DUMMYFUNCTION("""COMPUTED_VALUE"""),1)</f>
        <v>1</v>
      </c>
      <c r="B278" s="3" t="str">
        <f ca="1">IFERROR(__xludf.DUMMYFUNCTION("""COMPUTED_VALUE"""),"D")</f>
        <v>D</v>
      </c>
      <c r="C278" s="32" t="str">
        <f ca="1">IFERROR(__xludf.DUMMYFUNCTION("""COMPUTED_VALUE"""),"23171341025")</f>
        <v>23171341025</v>
      </c>
      <c r="D278" s="4" t="str">
        <f ca="1">IFERROR(__xludf.DUMMYFUNCTION("""COMPUTED_VALUE"""),"DESAI KASHISH DINESHBHAI")</f>
        <v>DESAI KASHISH DINESHBHAI</v>
      </c>
      <c r="E278" s="3" t="str">
        <f ca="1">IFERROR(__xludf.DUMMYFUNCTION("""COMPUTED_VALUE"""),"ZPP - Eve")</f>
        <v>ZPP - Eve</v>
      </c>
      <c r="F278" s="3">
        <f ca="1">IFERROR(__xludf.DUMMYFUNCTION("""COMPUTED_VALUE"""),9979662132)</f>
        <v>9979662132</v>
      </c>
      <c r="G278" s="3">
        <f ca="1">IFERROR(__xludf.DUMMYFUNCTION("""COMPUTED_VALUE"""),9909551228)</f>
        <v>9909551228</v>
      </c>
      <c r="H278" s="33">
        <f ca="1">IFERROR(__xludf.DUMMYFUNCTION("""COMPUTED_VALUE"""),0.599118942731277)</f>
        <v>0.59911894273127697</v>
      </c>
      <c r="I278" s="25">
        <f ca="1">IFERROR(__xludf.DUMMYFUNCTION("""COMPUTED_VALUE"""),0.514285714285714)</f>
        <v>0.51428571428571401</v>
      </c>
      <c r="J278" s="25">
        <f ca="1">IFERROR(__xludf.DUMMYFUNCTION("""COMPUTED_VALUE"""),0.454545454545454)</f>
        <v>0.45454545454545398</v>
      </c>
      <c r="K278" s="25">
        <f ca="1">IFERROR(__xludf.DUMMYFUNCTION("""COMPUTED_VALUE"""),0.65625)</f>
        <v>0.65625</v>
      </c>
      <c r="L278" s="25">
        <f ca="1">IFERROR(__xludf.DUMMYFUNCTION("""COMPUTED_VALUE"""),0.444444444444444)</f>
        <v>0.44444444444444398</v>
      </c>
      <c r="M278" s="25">
        <f ca="1">IFERROR(__xludf.DUMMYFUNCTION("""COMPUTED_VALUE"""),0.555555555555555)</f>
        <v>0.55555555555555503</v>
      </c>
      <c r="N278" s="25">
        <f ca="1">IFERROR(__xludf.DUMMYFUNCTION("""COMPUTED_VALUE"""),0.666666666666666)</f>
        <v>0.66666666666666596</v>
      </c>
      <c r="O278" s="25">
        <f ca="1">IFERROR(__xludf.DUMMYFUNCTION("""COMPUTED_VALUE"""),0.75)</f>
        <v>0.75</v>
      </c>
      <c r="P278" s="25">
        <f ca="1">IFERROR(__xludf.DUMMYFUNCTION("""COMPUTED_VALUE"""),0.578947368421052)</f>
        <v>0.57894736842105199</v>
      </c>
      <c r="Q278" s="25">
        <f ca="1">IFERROR(__xludf.DUMMYFUNCTION("""COMPUTED_VALUE"""),0)</f>
        <v>0</v>
      </c>
      <c r="R278" s="25">
        <f ca="1">IFERROR(__xludf.DUMMYFUNCTION("""COMPUTED_VALUE"""),0.5625)</f>
        <v>0.5625</v>
      </c>
      <c r="S278" s="25">
        <f ca="1">IFERROR(__xludf.DUMMYFUNCTION("""COMPUTED_VALUE"""),0.769230769230769)</f>
        <v>0.76923076923076905</v>
      </c>
      <c r="T278" s="25">
        <f ca="1">IFERROR(__xludf.DUMMYFUNCTION("""COMPUTED_VALUE"""),0)</f>
        <v>0</v>
      </c>
      <c r="U278" s="25">
        <f ca="1">IFERROR(__xludf.DUMMYFUNCTION("""COMPUTED_VALUE"""),0.5)</f>
        <v>0.5</v>
      </c>
      <c r="V278" s="25">
        <f ca="1">IFERROR(__xludf.DUMMYFUNCTION("""COMPUTED_VALUE"""),0)</f>
        <v>0</v>
      </c>
      <c r="W278" s="4"/>
      <c r="X278" s="4" t="str">
        <f ca="1">IFERROR(__xludf.DUMMYFUNCTION("""COMPUTED_VALUE"""),"| 5 L JAVA % | 6 L NS % | 7 L PHP-CGM @ | 8 L CPT @ | 9 P JAVA @ ")</f>
        <v xml:space="preserve">| 5 L JAVA % | 6 L NS % | 7 L PHP-CGM @ | 8 L CPT @ | 9 P JAVA @ </v>
      </c>
      <c r="Y278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78" s="4" t="str">
        <f ca="1">IFERROR(__xludf.DUMMYFUNCTION("""COMPUTED_VALUE"""),"| 5 L NS % | 6 L JAVA % | 7 L PRO % | 8 L PRO % | 9 P CPT % ")</f>
        <v xml:space="preserve">| 5 L NS % | 6 L JAVA % | 7 L PRO % | 8 L PRO % | 9 P CPT % </v>
      </c>
      <c r="AA278" s="4" t="str">
        <f ca="1">IFERROR(__xludf.DUMMYFUNCTION("""COMPUTED_VALUE"""),"| 7 P JAVA % | 9 P Python % ")</f>
        <v xml:space="preserve">| 7 P JAVA % | 9 P Python % </v>
      </c>
      <c r="AB278" s="4" t="str">
        <f ca="1">IFERROR(__xludf.DUMMYFUNCTION("""COMPUTED_VALUE"""),"| 5 L JAVA % | 6 L PHP-CGM % | 7 P NS % | 9 P Python @ ")</f>
        <v xml:space="preserve">| 5 L JAVA % | 6 L PHP-CGM % | 7 P NS % | 9 P Python @ </v>
      </c>
      <c r="AC278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78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78" s="4" t="str">
        <f ca="1">IFERROR(__xludf.DUMMYFUNCTION("""COMPUTED_VALUE"""),"| 5 L JAVA % | 6 L NS % | 7 L PRO % | 9 P CPT % ")</f>
        <v xml:space="preserve">| 5 L JAVA % | 6 L NS % | 7 L PRO % | 9 P CPT % </v>
      </c>
      <c r="AF278" s="4" t="str">
        <f ca="1">IFERROR(__xludf.DUMMYFUNCTION("""COMPUTED_VALUE"""),"| 7 P JAVA @ ")</f>
        <v xml:space="preserve">| 7 P JAVA @ </v>
      </c>
      <c r="AG278" s="4" t="str">
        <f ca="1">IFERROR(__xludf.DUMMYFUNCTION("""COMPUTED_VALUE"""),"| 5 L CPT % | 6 L PHP-CGM % | 7 P NS % | 9 P Python % ")</f>
        <v xml:space="preserve">| 5 L CPT % | 6 L PHP-CGM % | 7 P NS % | 9 P Python % </v>
      </c>
      <c r="AH278" s="4" t="str">
        <f ca="1">IFERROR(__xludf.DUMMYFUNCTION("""COMPUTED_VALUE"""),"| 7 P JAVA % | 9 P Python % ")</f>
        <v xml:space="preserve">| 7 P JAVA % | 9 P Python % </v>
      </c>
      <c r="AI278" s="4" t="str">
        <f ca="1">IFERROR(__xludf.DUMMYFUNCTION("""COMPUTED_VALUE"""),"| 5 L CPT % | 6 L PHP-CGM % | 7 P NS % | 9 P Python % ")</f>
        <v xml:space="preserve">| 5 L CPT % | 6 L PHP-CGM % | 7 P NS % | 9 P Python % </v>
      </c>
      <c r="AJ278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78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78" s="4" t="str">
        <f ca="1">IFERROR(__xludf.DUMMYFUNCTION("""COMPUTED_VALUE"""),"| 6 L NS % | 7 L NS % | 7 L PRO % | 8 L PRO % | 9 P CPT % ")</f>
        <v xml:space="preserve">| 6 L NS % | 7 L NS % | 7 L PRO % | 8 L PRO % | 9 P CPT % </v>
      </c>
      <c r="AM278" s="4" t="str">
        <f ca="1">IFERROR(__xludf.DUMMYFUNCTION("""COMPUTED_VALUE"""),"| 5 L INE % | 7 P JAVA % | 9 P Python % ")</f>
        <v xml:space="preserve">| 5 L INE % | 7 P JAVA % | 9 P Python % </v>
      </c>
      <c r="AN278" s="4" t="str">
        <f ca="1">IFERROR(__xludf.DUMMYFUNCTION("""COMPUTED_VALUE"""),"| 5 L CPT @ | 6 L PHP-CGM @ ")</f>
        <v xml:space="preserve">| 5 L CPT @ | 6 L PHP-CGM @ </v>
      </c>
      <c r="AO278" s="4" t="str">
        <f ca="1">IFERROR(__xludf.DUMMYFUNCTION("""COMPUTED_VALUE"""),"| 5 L JAVA @ | 5 L NS @ | 7 L PHP-CGM @ | 8 L CPT @ ")</f>
        <v xml:space="preserve">| 5 L JAVA @ | 5 L NS @ | 7 L PHP-CGM @ | 8 L CPT @ </v>
      </c>
      <c r="AP278" s="4" t="str">
        <f ca="1">IFERROR(__xludf.DUMMYFUNCTION("""COMPUTED_VALUE"""),"| 5 L PHP-CGM % | 6 L CPT % | 7 L JAVA % | 7 L NS % ")</f>
        <v xml:space="preserve">| 5 L PHP-CGM % | 6 L CPT % | 7 L JAVA % | 7 L NS % </v>
      </c>
      <c r="AQ278" s="4" t="str">
        <f ca="1">IFERROR(__xludf.DUMMYFUNCTION("""COMPUTED_VALUE"""),"| 5 L JAVA % | 6 L NS % | 7 L PRO % | 8 L PRO % | 9 P CPT @ ")</f>
        <v xml:space="preserve">| 5 L JAVA % | 6 L NS % | 7 L PRO % | 8 L PRO % | 9 P CPT @ </v>
      </c>
      <c r="AR278" s="4" t="str">
        <f ca="1">IFERROR(__xludf.DUMMYFUNCTION("""COMPUTED_VALUE"""),"| 5 L INE @ ")</f>
        <v xml:space="preserve">| 5 L INE @ </v>
      </c>
      <c r="AS278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AT278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78" s="4" t="str">
        <f ca="1">IFERROR(__xludf.DUMMYFUNCTION("""COMPUTED_VALUE"""),"| 5 L JAVA % | 6 L NS % | 7 P PRO @ | 9 P CPT @ ")</f>
        <v xml:space="preserve">| 5 L JAVA % | 6 L NS % | 7 P PRO @ | 9 P CPT @ </v>
      </c>
      <c r="AV278" s="4" t="str">
        <f ca="1">IFERROR(__xludf.DUMMYFUNCTION("""COMPUTED_VALUE"""),"| 5 L INE % | 7 P JAVA % | 9 P Python % ")</f>
        <v xml:space="preserve">| 5 L INE % | 7 P JAVA % | 9 P Python % </v>
      </c>
      <c r="AW278" s="4" t="str">
        <f ca="1">IFERROR(__xludf.DUMMYFUNCTION("""COMPUTED_VALUE"""),"| 5 L CPT % | 6 L PHP-CGM % | 7 P NS @ | 9 P Python @ ")</f>
        <v xml:space="preserve">| 5 L CPT % | 6 L PHP-CGM % | 7 P NS @ | 9 P Python @ </v>
      </c>
      <c r="AX278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78" s="4" t="str">
        <f ca="1">IFERROR(__xludf.DUMMYFUNCTION("""COMPUTED_VALUE"""),"| 5 L PHP-CGM % | 6 L CPT % | 7 L NS @ | 8 L NS @ | 9 P PHP-CGM @ ")</f>
        <v xml:space="preserve">| 5 L PHP-CGM % | 6 L CPT % | 7 L NS @ | 8 L NS @ | 9 P PHP-CGM @ </v>
      </c>
      <c r="AZ278" s="4" t="str">
        <f ca="1">IFERROR(__xludf.DUMMYFUNCTION("""COMPUTED_VALUE"""),"| 5 L INE @ | 7 P JAVA @ ")</f>
        <v xml:space="preserve">| 5 L INE @ | 7 P JAVA @ </v>
      </c>
      <c r="BA278" s="4" t="str">
        <f ca="1">IFERROR(__xludf.DUMMYFUNCTION("""COMPUTED_VALUE"""),"| 5 L CPT % | 6 L PHP-CGM % | 7 P NS % | 9 P Python % ")</f>
        <v xml:space="preserve">| 5 L CPT % | 6 L PHP-CGM % | 7 P NS % | 9 P Python % </v>
      </c>
      <c r="BB278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78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78" s="4" t="str">
        <f ca="1">IFERROR(__xludf.DUMMYFUNCTION("""COMPUTED_VALUE"""),"| 5 L JAVA % | 6 L NS % | 7 L PRO % | 8 L PRO % | 9 P CPT % ")</f>
        <v xml:space="preserve">| 5 L JAVA % | 6 L NS % | 7 L PRO % | 8 L PRO % | 9 P CPT % </v>
      </c>
      <c r="BE278" s="4" t="str">
        <f ca="1">IFERROR(__xludf.DUMMYFUNCTION("""COMPUTED_VALUE"""),"| 5 L INE % | 7 P JAVA % | 9 P Python % ")</f>
        <v xml:space="preserve">| 5 L INE % | 7 P JAVA % | 9 P Python % </v>
      </c>
      <c r="BF278" s="4" t="str">
        <f ca="1">IFERROR(__xludf.DUMMYFUNCTION("""COMPUTED_VALUE"""),"| 5 L CPT @ | 6 L PHP-CGM @ | 7 P NS @ | 9 P Python @ ")</f>
        <v xml:space="preserve">| 5 L CPT @ | 6 L PHP-CGM @ | 7 P NS @ | 9 P Python @ </v>
      </c>
      <c r="BG278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78" s="4" t="str">
        <f ca="1">IFERROR(__xludf.DUMMYFUNCTION("""COMPUTED_VALUE"""),"| 5 L JAVA % | 6 L NS % | 7 L PRO @ | 9 P CPT @ ")</f>
        <v xml:space="preserve">| 5 L JAVA % | 6 L NS % | 7 L PRO @ | 9 P CPT @ </v>
      </c>
      <c r="BI278" s="4" t="str">
        <f ca="1">IFERROR(__xludf.DUMMYFUNCTION("""COMPUTED_VALUE"""),"| 5 L INE % | 7 P JAVA % | 9 P Python @ ")</f>
        <v xml:space="preserve">| 5 L INE % | 7 P JAVA % | 9 P Python @ </v>
      </c>
      <c r="BJ278" s="4" t="str">
        <f ca="1">IFERROR(__xludf.DUMMYFUNCTION("""COMPUTED_VALUE"""),"| 5 L CPT % | 6 L PHP-CGM % | 7 P NS @ ")</f>
        <v xml:space="preserve">| 5 L CPT % | 6 L PHP-CGM % | 7 P NS @ </v>
      </c>
      <c r="BK278" s="4" t="str">
        <f ca="1">IFERROR(__xludf.DUMMYFUNCTION("""COMPUTED_VALUE"""),"| 5 L JAVA % | 7 L PHP-CGM @ | 8 L CPT @ ")</f>
        <v xml:space="preserve">| 5 L JAVA % | 7 L PHP-CGM @ | 8 L CPT @ </v>
      </c>
      <c r="BL278" s="4" t="str">
        <f ca="1">IFERROR(__xludf.DUMMYFUNCTION("""COMPUTED_VALUE"""),"| 5 L PHP-CGM @ | 6 L CPT @ | 8 L NS @ ")</f>
        <v xml:space="preserve">| 5 L PHP-CGM @ | 6 L CPT @ | 8 L NS @ </v>
      </c>
      <c r="BM278" s="4" t="str">
        <f ca="1">IFERROR(__xludf.DUMMYFUNCTION("""COMPUTED_VALUE"""),"| 5 L JAVA @ | 6 L NS @ | 7 L PRO @ | 8 L PRO @ | 9 P CPT @ ")</f>
        <v xml:space="preserve">| 5 L JAVA @ | 6 L NS @ | 7 L PRO @ | 8 L PRO @ | 9 P CPT @ </v>
      </c>
      <c r="BN278" s="4" t="str">
        <f ca="1">IFERROR(__xludf.DUMMYFUNCTION("""COMPUTED_VALUE"""),"| 5 L INE @ ")</f>
        <v xml:space="preserve">| 5 L INE @ </v>
      </c>
      <c r="BO278" s="4" t="str">
        <f ca="1">IFERROR(__xludf.DUMMYFUNCTION("""COMPUTED_VALUE"""),"| 5 L CPT @ | 6 L PHP-CGM @ ")</f>
        <v xml:space="preserve">| 5 L CPT @ | 6 L PHP-CGM @ </v>
      </c>
      <c r="BP278" s="4" t="str">
        <f ca="1">IFERROR(__xludf.DUMMYFUNCTION("""COMPUTED_VALUE"""),"| 5 L JAVA % | 6 L JAVA % | 7 L PHP-CGM @ | 8 L CPT @ ")</f>
        <v xml:space="preserve">| 5 L JAVA % | 6 L JAVA % | 7 L PHP-CGM @ | 8 L CPT @ </v>
      </c>
      <c r="BQ278" s="4" t="str">
        <f ca="1">IFERROR(__xludf.DUMMYFUNCTION("""COMPUTED_VALUE"""),"| 5 L JAVA @ ")</f>
        <v xml:space="preserve">| 5 L JAVA @ </v>
      </c>
      <c r="BR278" s="4"/>
      <c r="BS278" s="4"/>
      <c r="BT278" s="4" t="str">
        <f ca="1">IFERROR(__xludf.DUMMYFUNCTION("""COMPUTED_VALUE"""),"| 7 L PHP-CGM @ | 8 L CPT @ ")</f>
        <v xml:space="preserve">| 7 L PHP-CGM @ | 8 L CPT @ </v>
      </c>
      <c r="BU278" s="4" t="str">
        <f ca="1">IFERROR(__xludf.DUMMYFUNCTION("""COMPUTED_VALUE"""),"| 8 L NS @ ")</f>
        <v xml:space="preserve">| 8 L NS @ </v>
      </c>
      <c r="BV278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8" s="4"/>
      <c r="BX278" s="4" t="str">
        <f ca="1">IFERROR(__xludf.DUMMYFUNCTION("""COMPUTED_VALUE"""),"| 5 L JAVA % | 6 L NS % | 7 L PRO % | 9 P CPT % ")</f>
        <v xml:space="preserve">| 5 L JAVA % | 6 L NS % | 7 L PRO % | 9 P CPT % </v>
      </c>
      <c r="BY278" s="4" t="str">
        <f ca="1">IFERROR(__xludf.DUMMYFUNCTION("""COMPUTED_VALUE"""),"| 5 L INE @ | 7 P JAVA @ | 9 P Python @ ")</f>
        <v xml:space="preserve">| 5 L INE @ | 7 P JAVA @ | 9 P Python @ </v>
      </c>
      <c r="BZ278" s="4" t="str">
        <f ca="1">IFERROR(__xludf.DUMMYFUNCTION("""COMPUTED_VALUE"""),"| 5 L CPT @ | 6 L PHP-CGM % | 7 P NS @ | 9 P Python @ ")</f>
        <v xml:space="preserve">| 5 L CPT @ | 6 L PHP-CGM % | 7 P NS @ | 9 P Python @ </v>
      </c>
      <c r="CA278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CB278" s="4" t="str">
        <f ca="1">IFERROR(__xludf.DUMMYFUNCTION("""COMPUTED_VALUE"""),"| 5 L PHP-CGM @ | 6 L CPT @ | 7 L NS @ | 9 P PHP-CGM @ ")</f>
        <v xml:space="preserve">| 5 L PHP-CGM @ | 6 L CPT @ | 7 L NS @ | 9 P PHP-CGM @ </v>
      </c>
      <c r="CC278" s="4" t="str">
        <f ca="1">IFERROR(__xludf.DUMMYFUNCTION("""COMPUTED_VALUE"""),"| 5 L JAVA % | 6 L NS % | 9 P CPT @ ")</f>
        <v xml:space="preserve">| 5 L JAVA % | 6 L NS % | 9 P CPT @ </v>
      </c>
      <c r="CD278" s="4" t="str">
        <f ca="1">IFERROR(__xludf.DUMMYFUNCTION("""COMPUTED_VALUE"""),"| 5 L INE % | 7 P NS @ ")</f>
        <v xml:space="preserve">| 5 L INE % | 7 P NS @ </v>
      </c>
      <c r="CE278" s="4" t="str">
        <f ca="1">IFERROR(__xludf.DUMMYFUNCTION("""COMPUTED_VALUE"""),"| 5 L CPT % | 6 L PHP-CGM % | 7 P JAVA @ | 9 P Python @ ")</f>
        <v xml:space="preserve">| 5 L CPT % | 6 L PHP-CGM % | 7 P JAVA @ | 9 P Python @ </v>
      </c>
      <c r="CF278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CG278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CH278" s="4" t="str">
        <f ca="1">IFERROR(__xludf.DUMMYFUNCTION("""COMPUTED_VALUE"""),"| 5 L JAVA @ | 6 L NS @ | 9 P CPT @ ")</f>
        <v xml:space="preserve">| 5 L JAVA @ | 6 L NS @ | 9 P CPT @ </v>
      </c>
      <c r="CI278" s="4" t="str">
        <f ca="1">IFERROR(__xludf.DUMMYFUNCTION("""COMPUTED_VALUE"""),"| 5 L INE @ | 9 P Python % ")</f>
        <v xml:space="preserve">| 5 L INE @ | 9 P Python % </v>
      </c>
      <c r="CJ278" s="4" t="str">
        <f ca="1">IFERROR(__xludf.DUMMYFUNCTION("""COMPUTED_VALUE"""),"| 5 L CPT @ | 6 L PHP-CGM @ ")</f>
        <v xml:space="preserve">| 5 L CPT @ | 6 L PHP-CGM @ </v>
      </c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</row>
    <row r="279" spans="1:102" ht="12.5" x14ac:dyDescent="0.25">
      <c r="A279" s="3">
        <f ca="1">IFERROR(__xludf.DUMMYFUNCTION("""COMPUTED_VALUE"""),1)</f>
        <v>1</v>
      </c>
      <c r="B279" s="3" t="str">
        <f ca="1">IFERROR(__xludf.DUMMYFUNCTION("""COMPUTED_VALUE"""),"D")</f>
        <v>D</v>
      </c>
      <c r="C279" s="32" t="str">
        <f ca="1">IFERROR(__xludf.DUMMYFUNCTION("""COMPUTED_VALUE"""),"23171341029")</f>
        <v>23171341029</v>
      </c>
      <c r="D279" s="4" t="str">
        <f ca="1">IFERROR(__xludf.DUMMYFUNCTION("""COMPUTED_VALUE"""),"DHODIYA DHRUVESHKUMAR HITESHKUMAR")</f>
        <v>DHODIYA DHRUVESHKUMAR HITESHKUMAR</v>
      </c>
      <c r="E279" s="3" t="str">
        <f ca="1">IFERROR(__xludf.DUMMYFUNCTION("""COMPUTED_VALUE"""),"ZPP - Eve")</f>
        <v>ZPP - Eve</v>
      </c>
      <c r="F279" s="3" t="str">
        <f ca="1">IFERROR(__xludf.DUMMYFUNCTION("""COMPUTED_VALUE"""),"8849745180, 7990354029")</f>
        <v>8849745180, 7990354029</v>
      </c>
      <c r="G279" s="3" t="str">
        <f ca="1">IFERROR(__xludf.DUMMYFUNCTION("""COMPUTED_VALUE"""),"8511297100, 7990354029 ")</f>
        <v xml:space="preserve">8511297100, 7990354029 </v>
      </c>
      <c r="H279" s="33">
        <f ca="1">IFERROR(__xludf.DUMMYFUNCTION("""COMPUTED_VALUE"""),0.603524229074889)</f>
        <v>0.60352422907488901</v>
      </c>
      <c r="I279" s="25">
        <f ca="1">IFERROR(__xludf.DUMMYFUNCTION("""COMPUTED_VALUE"""),0.485714285714285)</f>
        <v>0.48571428571428499</v>
      </c>
      <c r="J279" s="25">
        <f ca="1">IFERROR(__xludf.DUMMYFUNCTION("""COMPUTED_VALUE"""),0.727272727272727)</f>
        <v>0.72727272727272696</v>
      </c>
      <c r="K279" s="25">
        <f ca="1">IFERROR(__xludf.DUMMYFUNCTION("""COMPUTED_VALUE"""),0.65625)</f>
        <v>0.65625</v>
      </c>
      <c r="L279" s="25">
        <f ca="1">IFERROR(__xludf.DUMMYFUNCTION("""COMPUTED_VALUE"""),0.888888888888888)</f>
        <v>0.88888888888888795</v>
      </c>
      <c r="M279" s="25">
        <f ca="1">IFERROR(__xludf.DUMMYFUNCTION("""COMPUTED_VALUE"""),0.472222222222222)</f>
        <v>0.47222222222222199</v>
      </c>
      <c r="N279" s="25">
        <f ca="1">IFERROR(__xludf.DUMMYFUNCTION("""COMPUTED_VALUE"""),0.444444444444444)</f>
        <v>0.44444444444444398</v>
      </c>
      <c r="O279" s="25">
        <f ca="1">IFERROR(__xludf.DUMMYFUNCTION("""COMPUTED_VALUE"""),0.722222222222222)</f>
        <v>0.72222222222222199</v>
      </c>
      <c r="P279" s="25">
        <f ca="1">IFERROR(__xludf.DUMMYFUNCTION("""COMPUTED_VALUE"""),0.421052631578947)</f>
        <v>0.42105263157894701</v>
      </c>
      <c r="Q279" s="25">
        <f ca="1">IFERROR(__xludf.DUMMYFUNCTION("""COMPUTED_VALUE"""),0)</f>
        <v>0</v>
      </c>
      <c r="R279" s="25">
        <f ca="1">IFERROR(__xludf.DUMMYFUNCTION("""COMPUTED_VALUE"""),0.8125)</f>
        <v>0.8125</v>
      </c>
      <c r="S279" s="25">
        <f ca="1">IFERROR(__xludf.DUMMYFUNCTION("""COMPUTED_VALUE"""),0.769230769230769)</f>
        <v>0.76923076923076905</v>
      </c>
      <c r="T279" s="25">
        <f ca="1">IFERROR(__xludf.DUMMYFUNCTION("""COMPUTED_VALUE"""),0)</f>
        <v>0</v>
      </c>
      <c r="U279" s="25">
        <f ca="1">IFERROR(__xludf.DUMMYFUNCTION("""COMPUTED_VALUE"""),0.5)</f>
        <v>0.5</v>
      </c>
      <c r="V279" s="25">
        <f ca="1">IFERROR(__xludf.DUMMYFUNCTION("""COMPUTED_VALUE"""),0)</f>
        <v>0</v>
      </c>
      <c r="W279" s="4"/>
      <c r="X279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Y279" s="4" t="str">
        <f ca="1">IFERROR(__xludf.DUMMYFUNCTION("""COMPUTED_VALUE"""),"| 5 L PHP-CGM @ | 6 L CPT @ | 7 L NS @ | 8 L JAVA @ | 9 P PHP-CGM @ ")</f>
        <v xml:space="preserve">| 5 L PHP-CGM @ | 6 L CPT @ | 7 L NS @ | 8 L JAVA @ | 9 P PHP-CGM @ </v>
      </c>
      <c r="Z279" s="4" t="str">
        <f ca="1">IFERROR(__xludf.DUMMYFUNCTION("""COMPUTED_VALUE"""),"| 5 L NS % | 6 L JAVA % | 7 L PRO % | 8 L PRO % | 9 P CPT % ")</f>
        <v xml:space="preserve">| 5 L NS % | 6 L JAVA % | 7 L PRO % | 8 L PRO % | 9 P CPT % </v>
      </c>
      <c r="AA279" s="4" t="str">
        <f ca="1">IFERROR(__xludf.DUMMYFUNCTION("""COMPUTED_VALUE"""),"| 7 P JAVA % | 9 P Python % ")</f>
        <v xml:space="preserve">| 7 P JAVA % | 9 P Python % </v>
      </c>
      <c r="AB279" s="4" t="str">
        <f ca="1">IFERROR(__xludf.DUMMYFUNCTION("""COMPUTED_VALUE"""),"| 5 L JAVA % | 6 L PHP-CGM % | 7 P NS % | 9 P Python % ")</f>
        <v xml:space="preserve">| 5 L JAVA % | 6 L PHP-CGM % | 7 P NS % | 9 P Python % </v>
      </c>
      <c r="AC279" s="4" t="str">
        <f ca="1">IFERROR(__xludf.DUMMYFUNCTION("""COMPUTED_VALUE"""),"| 5 L JAVA % | 6 L NS % | 7 L PHP-CGM % | 9 P JAVA @ | 8 L CPT % ")</f>
        <v xml:space="preserve">| 5 L JAVA % | 6 L NS % | 7 L PHP-CGM % | 9 P JAVA @ | 8 L CPT % </v>
      </c>
      <c r="AD279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79" s="4" t="str">
        <f ca="1">IFERROR(__xludf.DUMMYFUNCTION("""COMPUTED_VALUE"""),"| 5 L JAVA % | 6 L NS % | 7 L PRO % | 9 P CPT % ")</f>
        <v xml:space="preserve">| 5 L JAVA % | 6 L NS % | 7 L PRO % | 9 P CPT % </v>
      </c>
      <c r="AF279" s="4" t="str">
        <f ca="1">IFERROR(__xludf.DUMMYFUNCTION("""COMPUTED_VALUE"""),"| 7 P JAVA @ ")</f>
        <v xml:space="preserve">| 7 P JAVA @ </v>
      </c>
      <c r="AG279" s="4" t="str">
        <f ca="1">IFERROR(__xludf.DUMMYFUNCTION("""COMPUTED_VALUE"""),"| 5 L CPT % | 6 L PHP-CGM % | 7 P NS % | 9 P Python % ")</f>
        <v xml:space="preserve">| 5 L CPT % | 6 L PHP-CGM % | 7 P NS % | 9 P Python % </v>
      </c>
      <c r="AH279" s="4" t="str">
        <f ca="1">IFERROR(__xludf.DUMMYFUNCTION("""COMPUTED_VALUE"""),"| 7 P JAVA % | 9 P Python % ")</f>
        <v xml:space="preserve">| 7 P JAVA % | 9 P Python % </v>
      </c>
      <c r="AI279" s="4" t="str">
        <f ca="1">IFERROR(__xludf.DUMMYFUNCTION("""COMPUTED_VALUE"""),"| 5 L CPT % | 6 L PHP-CGM % | 7 P NS % | 9 P Python % ")</f>
        <v xml:space="preserve">| 5 L CPT % | 6 L PHP-CGM % | 7 P NS % | 9 P Python % </v>
      </c>
      <c r="AJ279" s="4" t="str">
        <f ca="1">IFERROR(__xludf.DUMMYFUNCTION("""COMPUTED_VALUE"""),"| 5 L JAVA @ | 6 L NS @ | 7 L PHP-CGM @ | 9 P JAVA @ | 8 L CPT @ ")</f>
        <v xml:space="preserve">| 5 L JAVA @ | 6 L NS @ | 7 L PHP-CGM @ | 9 P JAVA @ | 8 L CPT @ </v>
      </c>
      <c r="AK279" s="4" t="str">
        <f ca="1">IFERROR(__xludf.DUMMYFUNCTION("""COMPUTED_VALUE"""),"| 5 L PHP-CGM % | 6 L CPT % | 8 L JAVA % | 7 L NS % | 9 P PHP-CGM @ ")</f>
        <v xml:space="preserve">| 5 L PHP-CGM % | 6 L CPT % | 8 L JAVA % | 7 L NS % | 9 P PHP-CGM @ </v>
      </c>
      <c r="AL279" s="4" t="str">
        <f ca="1">IFERROR(__xludf.DUMMYFUNCTION("""COMPUTED_VALUE"""),"| 6 L NS % | 7 L NS % | 7 L PRO % | 8 L PRO % | 9 P CPT % ")</f>
        <v xml:space="preserve">| 6 L NS % | 7 L NS % | 7 L PRO % | 8 L PRO % | 9 P CPT % </v>
      </c>
      <c r="AM279" s="4" t="str">
        <f ca="1">IFERROR(__xludf.DUMMYFUNCTION("""COMPUTED_VALUE"""),"| 5 L INE % | 7 P JAVA @ | 9 P Python @ ")</f>
        <v xml:space="preserve">| 5 L INE % | 7 P JAVA @ | 9 P Python @ </v>
      </c>
      <c r="AN279" s="4" t="str">
        <f ca="1">IFERROR(__xludf.DUMMYFUNCTION("""COMPUTED_VALUE"""),"| 5 L CPT @ | 6 L PHP-CGM @ ")</f>
        <v xml:space="preserve">| 5 L CPT @ | 6 L PHP-CGM @ </v>
      </c>
      <c r="AO279" s="4" t="str">
        <f ca="1">IFERROR(__xludf.DUMMYFUNCTION("""COMPUTED_VALUE"""),"| 5 L JAVA % | 5 L NS % | 7 L PHP-CGM % | 8 L CPT % ")</f>
        <v xml:space="preserve">| 5 L JAVA % | 5 L NS % | 7 L PHP-CGM % | 8 L CPT % </v>
      </c>
      <c r="AP279" s="4" t="str">
        <f ca="1">IFERROR(__xludf.DUMMYFUNCTION("""COMPUTED_VALUE"""),"| 5 L PHP-CGM % | 6 L CPT % | 7 L JAVA % | 7 L NS % ")</f>
        <v xml:space="preserve">| 5 L PHP-CGM % | 6 L CPT % | 7 L JAVA % | 7 L NS % </v>
      </c>
      <c r="AQ279" s="4" t="str">
        <f ca="1">IFERROR(__xludf.DUMMYFUNCTION("""COMPUTED_VALUE"""),"| 5 L JAVA % | 6 L NS % | 7 L PRO % | 8 L PRO % | 9 P CPT @ ")</f>
        <v xml:space="preserve">| 5 L JAVA % | 6 L NS % | 7 L PRO % | 8 L PRO % | 9 P CPT @ </v>
      </c>
      <c r="AR279" s="4" t="str">
        <f ca="1">IFERROR(__xludf.DUMMYFUNCTION("""COMPUTED_VALUE"""),"| 5 L INE @ ")</f>
        <v xml:space="preserve">| 5 L INE @ </v>
      </c>
      <c r="AS279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AT279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79" s="4" t="str">
        <f ca="1">IFERROR(__xludf.DUMMYFUNCTION("""COMPUTED_VALUE"""),"| 5 L JAVA % | 6 L NS % | 7 P PRO @ | 9 P CPT % ")</f>
        <v xml:space="preserve">| 5 L JAVA % | 6 L NS % | 7 P PRO @ | 9 P CPT % </v>
      </c>
      <c r="AV279" s="4" t="str">
        <f ca="1">IFERROR(__xludf.DUMMYFUNCTION("""COMPUTED_VALUE"""),"| 5 L INE % | 7 P JAVA % | 9 P Python % ")</f>
        <v xml:space="preserve">| 5 L INE % | 7 P JAVA % | 9 P Python % </v>
      </c>
      <c r="AW279" s="4" t="str">
        <f ca="1">IFERROR(__xludf.DUMMYFUNCTION("""COMPUTED_VALUE"""),"| 5 L CPT % | 6 L PHP-CGM % | 7 P NS % | 9 P Python % ")</f>
        <v xml:space="preserve">| 5 L CPT % | 6 L PHP-CGM % | 7 P NS % | 9 P Python % </v>
      </c>
      <c r="AX279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AY279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79" s="4" t="str">
        <f ca="1">IFERROR(__xludf.DUMMYFUNCTION("""COMPUTED_VALUE"""),"| 5 L INE @ | 7 P JAVA % ")</f>
        <v xml:space="preserve">| 5 L INE @ | 7 P JAVA % </v>
      </c>
      <c r="BA279" s="4" t="str">
        <f ca="1">IFERROR(__xludf.DUMMYFUNCTION("""COMPUTED_VALUE"""),"| 5 L CPT % | 6 L PHP-CGM % | 7 P NS % | 9 P Python % ")</f>
        <v xml:space="preserve">| 5 L CPT % | 6 L PHP-CGM % | 7 P NS % | 9 P Python % </v>
      </c>
      <c r="BB279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C279" s="4" t="str">
        <f ca="1">IFERROR(__xludf.DUMMYFUNCTION("""COMPUTED_VALUE"""),"| 5 L PHP-CGM @ | 6 L CPT % | 7 L JAVA % | 8 L NS % | 9 P PHP-CGM @ ")</f>
        <v xml:space="preserve">| 5 L PHP-CGM @ | 6 L CPT % | 7 L JAVA % | 8 L NS % | 9 P PHP-CGM @ </v>
      </c>
      <c r="BD279" s="4" t="str">
        <f ca="1">IFERROR(__xludf.DUMMYFUNCTION("""COMPUTED_VALUE"""),"| 5 L JAVA % | 6 L NS % | 7 L PRO % | 8 L PRO % | 9 P CPT % ")</f>
        <v xml:space="preserve">| 5 L JAVA % | 6 L NS % | 7 L PRO % | 8 L PRO % | 9 P CPT % </v>
      </c>
      <c r="BE279" s="4" t="str">
        <f ca="1">IFERROR(__xludf.DUMMYFUNCTION("""COMPUTED_VALUE"""),"| 5 L INE % | 7 P JAVA % | 9 P Python % ")</f>
        <v xml:space="preserve">| 5 L INE % | 7 P JAVA % | 9 P Python % </v>
      </c>
      <c r="BF279" s="4" t="str">
        <f ca="1">IFERROR(__xludf.DUMMYFUNCTION("""COMPUTED_VALUE"""),"| 5 L CPT @ | 6 L PHP-CGM @ | 7 P NS @ | 9 P Python @ ")</f>
        <v xml:space="preserve">| 5 L CPT @ | 6 L PHP-CGM @ | 7 P NS @ | 9 P Python @ </v>
      </c>
      <c r="BG279" s="4" t="str">
        <f ca="1">IFERROR(__xludf.DUMMYFUNCTION("""COMPUTED_VALUE"""),"| 5 L PHP-CGM @ | 6 L CPT @ | 7 L JAVA % | 8 L NS % | 9 P PHP-CGM @ ")</f>
        <v xml:space="preserve">| 5 L PHP-CGM @ | 6 L CPT @ | 7 L JAVA % | 8 L NS % | 9 P PHP-CGM @ </v>
      </c>
      <c r="BH279" s="4" t="str">
        <f ca="1">IFERROR(__xludf.DUMMYFUNCTION("""COMPUTED_VALUE"""),"| 5 L JAVA % | 6 L NS % | 7 L PRO % | 9 P CPT % ")</f>
        <v xml:space="preserve">| 5 L JAVA % | 6 L NS % | 7 L PRO % | 9 P CPT % </v>
      </c>
      <c r="BI279" s="4" t="str">
        <f ca="1">IFERROR(__xludf.DUMMYFUNCTION("""COMPUTED_VALUE"""),"| 5 L INE % | 7 P JAVA % | 9 P Python % ")</f>
        <v xml:space="preserve">| 5 L INE % | 7 P JAVA % | 9 P Python % </v>
      </c>
      <c r="BJ279" s="4" t="str">
        <f ca="1">IFERROR(__xludf.DUMMYFUNCTION("""COMPUTED_VALUE"""),"| 5 L CPT @ | 6 L PHP-CGM @ | 7 P NS % ")</f>
        <v xml:space="preserve">| 5 L CPT @ | 6 L PHP-CGM @ | 7 P NS % </v>
      </c>
      <c r="BK279" s="4" t="str">
        <f ca="1">IFERROR(__xludf.DUMMYFUNCTION("""COMPUTED_VALUE"""),"| 5 L JAVA @ | 7 L PHP-CGM @ | 8 L CPT @ ")</f>
        <v xml:space="preserve">| 5 L JAVA @ | 7 L PHP-CGM @ | 8 L CPT @ </v>
      </c>
      <c r="BL279" s="4" t="str">
        <f ca="1">IFERROR(__xludf.DUMMYFUNCTION("""COMPUTED_VALUE"""),"| 5 L PHP-CGM % | 6 L CPT % | 8 L NS % ")</f>
        <v xml:space="preserve">| 5 L PHP-CGM % | 6 L CPT % | 8 L NS % </v>
      </c>
      <c r="BM279" s="4" t="str">
        <f ca="1">IFERROR(__xludf.DUMMYFUNCTION("""COMPUTED_VALUE"""),"| 5 L JAVA @ | 6 L NS @ | 7 L PRO @ | 8 L PRO @ | 9 P CPT @ ")</f>
        <v xml:space="preserve">| 5 L JAVA @ | 6 L NS @ | 7 L PRO @ | 8 L PRO @ | 9 P CPT @ </v>
      </c>
      <c r="BN279" s="4" t="str">
        <f ca="1">IFERROR(__xludf.DUMMYFUNCTION("""COMPUTED_VALUE"""),"| 5 L INE @ ")</f>
        <v xml:space="preserve">| 5 L INE @ </v>
      </c>
      <c r="BO279" s="4" t="str">
        <f ca="1">IFERROR(__xludf.DUMMYFUNCTION("""COMPUTED_VALUE"""),"| 5 L CPT @ | 6 L PHP-CGM @ ")</f>
        <v xml:space="preserve">| 5 L CPT @ | 6 L PHP-CGM @ </v>
      </c>
      <c r="BP279" s="4" t="str">
        <f ca="1">IFERROR(__xludf.DUMMYFUNCTION("""COMPUTED_VALUE"""),"| 5 L JAVA % | 6 L JAVA % | 7 L PHP-CGM @ | 8 L CPT @ ")</f>
        <v xml:space="preserve">| 5 L JAVA % | 6 L JAVA % | 7 L PHP-CGM @ | 8 L CPT @ </v>
      </c>
      <c r="BQ279" s="4" t="str">
        <f ca="1">IFERROR(__xludf.DUMMYFUNCTION("""COMPUTED_VALUE"""),"| 5 L JAVA % ")</f>
        <v xml:space="preserve">| 5 L JAVA % </v>
      </c>
      <c r="BR279" s="4"/>
      <c r="BS279" s="4"/>
      <c r="BT279" s="4" t="str">
        <f ca="1">IFERROR(__xludf.DUMMYFUNCTION("""COMPUTED_VALUE"""),"| 7 L PHP-CGM @ | 8 L CPT @ ")</f>
        <v xml:space="preserve">| 7 L PHP-CGM @ | 8 L CPT @ </v>
      </c>
      <c r="BU279" s="4" t="str">
        <f ca="1">IFERROR(__xludf.DUMMYFUNCTION("""COMPUTED_VALUE"""),"| 8 L NS @ ")</f>
        <v xml:space="preserve">| 8 L NS @ </v>
      </c>
      <c r="BV279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79" s="4"/>
      <c r="BX279" s="4" t="str">
        <f ca="1">IFERROR(__xludf.DUMMYFUNCTION("""COMPUTED_VALUE"""),"| 5 L JAVA % | 6 L NS % | 7 L PRO @ | 9 P CPT % ")</f>
        <v xml:space="preserve">| 5 L JAVA % | 6 L NS % | 7 L PRO @ | 9 P CPT % </v>
      </c>
      <c r="BY279" s="4" t="str">
        <f ca="1">IFERROR(__xludf.DUMMYFUNCTION("""COMPUTED_VALUE"""),"| 5 L INE @ | 7 P JAVA @ | 9 P Python @ ")</f>
        <v xml:space="preserve">| 5 L INE @ | 7 P JAVA @ | 9 P Python @ </v>
      </c>
      <c r="BZ279" s="4" t="str">
        <f ca="1">IFERROR(__xludf.DUMMYFUNCTION("""COMPUTED_VALUE"""),"| 5 L CPT % | 6 L PHP-CGM % | 7 P NS % | 9 P Python % ")</f>
        <v xml:space="preserve">| 5 L CPT % | 6 L PHP-CGM % | 7 P NS % | 9 P Python % </v>
      </c>
      <c r="CA279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79" s="4" t="str">
        <f ca="1">IFERROR(__xludf.DUMMYFUNCTION("""COMPUTED_VALUE"""),"| 5 L PHP-CGM @ | 6 L CPT @ | 7 L NS @ | 9 P PHP-CGM @ ")</f>
        <v xml:space="preserve">| 5 L PHP-CGM @ | 6 L CPT @ | 7 L NS @ | 9 P PHP-CGM @ </v>
      </c>
      <c r="CC279" s="4" t="str">
        <f ca="1">IFERROR(__xludf.DUMMYFUNCTION("""COMPUTED_VALUE"""),"| 5 L JAVA @ | 6 L NS @ | 9 P CPT % ")</f>
        <v xml:space="preserve">| 5 L JAVA @ | 6 L NS @ | 9 P CPT % </v>
      </c>
      <c r="CD279" s="4" t="str">
        <f ca="1">IFERROR(__xludf.DUMMYFUNCTION("""COMPUTED_VALUE"""),"| 5 L INE % | 7 P NS % ")</f>
        <v xml:space="preserve">| 5 L INE % | 7 P NS % </v>
      </c>
      <c r="CE279" s="4" t="str">
        <f ca="1">IFERROR(__xludf.DUMMYFUNCTION("""COMPUTED_VALUE"""),"| 5 L CPT % | 6 L PHP-CGM % | 7 P JAVA % | 9 P Python % ")</f>
        <v xml:space="preserve">| 5 L CPT % | 6 L PHP-CGM % | 7 P JAVA % | 9 P Python % </v>
      </c>
      <c r="CF279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CG279" s="4" t="str">
        <f ca="1">IFERROR(__xludf.DUMMYFUNCTION("""COMPUTED_VALUE"""),"| 5 L PHP-CGM @ | 6 L CPT @ | 7 L JAVA % | 8 L NS % | 9 P PHP-CGM % ")</f>
        <v xml:space="preserve">| 5 L PHP-CGM @ | 6 L CPT @ | 7 L JAVA % | 8 L NS % | 9 P PHP-CGM % </v>
      </c>
      <c r="CH279" s="4" t="str">
        <f ca="1">IFERROR(__xludf.DUMMYFUNCTION("""COMPUTED_VALUE"""),"| 5 L JAVA @ | 6 L NS @ | 9 P CPT @ ")</f>
        <v xml:space="preserve">| 5 L JAVA @ | 6 L NS @ | 9 P CPT @ </v>
      </c>
      <c r="CI279" s="4" t="str">
        <f ca="1">IFERROR(__xludf.DUMMYFUNCTION("""COMPUTED_VALUE"""),"| 5 L INE @ | 9 P Python % ")</f>
        <v xml:space="preserve">| 5 L INE @ | 9 P Python % </v>
      </c>
      <c r="CJ279" s="4" t="str">
        <f ca="1">IFERROR(__xludf.DUMMYFUNCTION("""COMPUTED_VALUE"""),"| 5 L CPT @ | 6 L PHP-CGM @ ")</f>
        <v xml:space="preserve">| 5 L CPT @ | 6 L PHP-CGM @ </v>
      </c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</row>
    <row r="280" spans="1:102" ht="12.5" x14ac:dyDescent="0.25">
      <c r="A280" s="3">
        <f ca="1">IFERROR(__xludf.DUMMYFUNCTION("""COMPUTED_VALUE"""),1)</f>
        <v>1</v>
      </c>
      <c r="B280" s="3" t="str">
        <f ca="1">IFERROR(__xludf.DUMMYFUNCTION("""COMPUTED_VALUE"""),"D")</f>
        <v>D</v>
      </c>
      <c r="C280" s="32" t="str">
        <f ca="1">IFERROR(__xludf.DUMMYFUNCTION("""COMPUTED_VALUE"""),"23171341032")</f>
        <v>23171341032</v>
      </c>
      <c r="D280" s="4" t="str">
        <f ca="1">IFERROR(__xludf.DUMMYFUNCTION("""COMPUTED_VALUE"""),"GAMIT ALINKUMAR SUNILBHAI")</f>
        <v>GAMIT ALINKUMAR SUNILBHAI</v>
      </c>
      <c r="E280" s="3" t="str">
        <f ca="1">IFERROR(__xludf.DUMMYFUNCTION("""COMPUTED_VALUE"""),"ZPP - Eve")</f>
        <v>ZPP - Eve</v>
      </c>
      <c r="F280" s="3">
        <f ca="1">IFERROR(__xludf.DUMMYFUNCTION("""COMPUTED_VALUE"""),8849763193)</f>
        <v>8849763193</v>
      </c>
      <c r="G280" s="3">
        <f ca="1">IFERROR(__xludf.DUMMYFUNCTION("""COMPUTED_VALUE"""),9712929830)</f>
        <v>9712929830</v>
      </c>
      <c r="H280" s="33">
        <f ca="1">IFERROR(__xludf.DUMMYFUNCTION("""COMPUTED_VALUE"""),0.466960352422907)</f>
        <v>0.46696035242290701</v>
      </c>
      <c r="I280" s="25">
        <f ca="1">IFERROR(__xludf.DUMMYFUNCTION("""COMPUTED_VALUE"""),0.457142857142857)</f>
        <v>0.45714285714285702</v>
      </c>
      <c r="J280" s="25">
        <f ca="1">IFERROR(__xludf.DUMMYFUNCTION("""COMPUTED_VALUE"""),0.454545454545454)</f>
        <v>0.45454545454545398</v>
      </c>
      <c r="K280" s="25">
        <f ca="1">IFERROR(__xludf.DUMMYFUNCTION("""COMPUTED_VALUE"""),0.53125)</f>
        <v>0.53125</v>
      </c>
      <c r="L280" s="25">
        <f ca="1">IFERROR(__xludf.DUMMYFUNCTION("""COMPUTED_VALUE"""),0.666666666666666)</f>
        <v>0.66666666666666596</v>
      </c>
      <c r="M280" s="25">
        <f ca="1">IFERROR(__xludf.DUMMYFUNCTION("""COMPUTED_VALUE"""),0.444444444444444)</f>
        <v>0.44444444444444398</v>
      </c>
      <c r="N280" s="25">
        <f ca="1">IFERROR(__xludf.DUMMYFUNCTION("""COMPUTED_VALUE"""),0.333333333333333)</f>
        <v>0.33333333333333298</v>
      </c>
      <c r="O280" s="25">
        <f ca="1">IFERROR(__xludf.DUMMYFUNCTION("""COMPUTED_VALUE"""),0.444444444444444)</f>
        <v>0.44444444444444398</v>
      </c>
      <c r="P280" s="25">
        <f ca="1">IFERROR(__xludf.DUMMYFUNCTION("""COMPUTED_VALUE"""),0.368421052631578)</f>
        <v>0.36842105263157798</v>
      </c>
      <c r="Q280" s="25">
        <f ca="1">IFERROR(__xludf.DUMMYFUNCTION("""COMPUTED_VALUE"""),0)</f>
        <v>0</v>
      </c>
      <c r="R280" s="25">
        <f ca="1">IFERROR(__xludf.DUMMYFUNCTION("""COMPUTED_VALUE"""),0.5)</f>
        <v>0.5</v>
      </c>
      <c r="S280" s="25">
        <f ca="1">IFERROR(__xludf.DUMMYFUNCTION("""COMPUTED_VALUE"""),0.615384615384615)</f>
        <v>0.61538461538461497</v>
      </c>
      <c r="T280" s="25">
        <f ca="1">IFERROR(__xludf.DUMMYFUNCTION("""COMPUTED_VALUE"""),1)</f>
        <v>1</v>
      </c>
      <c r="U280" s="25">
        <f ca="1">IFERROR(__xludf.DUMMYFUNCTION("""COMPUTED_VALUE"""),0.3)</f>
        <v>0.3</v>
      </c>
      <c r="V280" s="25">
        <f ca="1">IFERROR(__xludf.DUMMYFUNCTION("""COMPUTED_VALUE"""),0)</f>
        <v>0</v>
      </c>
      <c r="W280" s="4"/>
      <c r="X280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Y280" s="4" t="str">
        <f ca="1">IFERROR(__xludf.DUMMYFUNCTION("""COMPUTED_VALUE"""),"| 5 L PHP-CGM @ | 6 L CPT @ | 7 L NS @ | 8 L JAVA @ | 9 P PHP-CGM @ ")</f>
        <v xml:space="preserve">| 5 L PHP-CGM @ | 6 L CPT @ | 7 L NS @ | 8 L JAVA @ | 9 P PHP-CGM @ </v>
      </c>
      <c r="Z280" s="4" t="str">
        <f ca="1">IFERROR(__xludf.DUMMYFUNCTION("""COMPUTED_VALUE"""),"| 5 L NS @ | 6 L JAVA @ | 7 L PRO @ | 8 L PRO @ | 9 P CPT @ ")</f>
        <v xml:space="preserve">| 5 L NS @ | 6 L JAVA @ | 7 L PRO @ | 8 L PRO @ | 9 P CPT @ </v>
      </c>
      <c r="AA280" s="4" t="str">
        <f ca="1">IFERROR(__xludf.DUMMYFUNCTION("""COMPUTED_VALUE"""),"| 7 P JAVA @ | 9 P Python @ ")</f>
        <v xml:space="preserve">| 7 P JAVA @ | 9 P Python @ </v>
      </c>
      <c r="AB280" s="4" t="str">
        <f ca="1">IFERROR(__xludf.DUMMYFUNCTION("""COMPUTED_VALUE"""),"| 5 L JAVA @ | 6 L PHP-CGM @ | 7 P NS @ | 9 P Python @ ")</f>
        <v xml:space="preserve">| 5 L JAVA @ | 6 L PHP-CGM @ | 7 P NS @ | 9 P Python @ </v>
      </c>
      <c r="AC280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80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80" s="4" t="str">
        <f ca="1">IFERROR(__xludf.DUMMYFUNCTION("""COMPUTED_VALUE"""),"| 5 L JAVA % | 6 L NS % | 7 L PRO % | 9 P CPT % ")</f>
        <v xml:space="preserve">| 5 L JAVA % | 6 L NS % | 7 L PRO % | 9 P CPT % </v>
      </c>
      <c r="AF280" s="4" t="str">
        <f ca="1">IFERROR(__xludf.DUMMYFUNCTION("""COMPUTED_VALUE"""),"| 7 P JAVA % ")</f>
        <v xml:space="preserve">| 7 P JAVA % </v>
      </c>
      <c r="AG280" s="4" t="str">
        <f ca="1">IFERROR(__xludf.DUMMYFUNCTION("""COMPUTED_VALUE"""),"| 5 L CPT % | 6 L PHP-CGM % | 7 P NS % | 9 P Python % ")</f>
        <v xml:space="preserve">| 5 L CPT % | 6 L PHP-CGM % | 7 P NS % | 9 P Python % </v>
      </c>
      <c r="AH280" s="4" t="str">
        <f ca="1">IFERROR(__xludf.DUMMYFUNCTION("""COMPUTED_VALUE"""),"| 7 P JAVA % | 9 P Python % ")</f>
        <v xml:space="preserve">| 7 P JAVA % | 9 P Python % </v>
      </c>
      <c r="AI280" s="4" t="str">
        <f ca="1">IFERROR(__xludf.DUMMYFUNCTION("""COMPUTED_VALUE"""),"| 5 L CPT % | 6 L PHP-CGM % | 7 P NS % | 9 P Python % ")</f>
        <v xml:space="preserve">| 5 L CPT % | 6 L PHP-CGM % | 7 P NS % | 9 P Python % </v>
      </c>
      <c r="AJ280" s="4" t="str">
        <f ca="1">IFERROR(__xludf.DUMMYFUNCTION("""COMPUTED_VALUE"""),"| 5 L JAVA % | 6 L NS % | 7 L PHP-CGM @ | 9 P JAVA @ | 8 L CPT @ ")</f>
        <v xml:space="preserve">| 5 L JAVA % | 6 L NS % | 7 L PHP-CGM @ | 9 P JAVA @ | 8 L CPT @ </v>
      </c>
      <c r="AK280" s="4" t="str">
        <f ca="1">IFERROR(__xludf.DUMMYFUNCTION("""COMPUTED_VALUE"""),"| 5 L PHP-CGM % | 6 L CPT % | 8 L JAVA % | 7 L NS % | 9 P PHP-CGM @ ")</f>
        <v xml:space="preserve">| 5 L PHP-CGM % | 6 L CPT % | 8 L JAVA % | 7 L NS % | 9 P PHP-CGM @ </v>
      </c>
      <c r="AL280" s="4" t="str">
        <f ca="1">IFERROR(__xludf.DUMMYFUNCTION("""COMPUTED_VALUE"""),"| 6 L NS % | 7 L NS % | 7 L PRO % | 8 L PRO % | 9 P CPT % ")</f>
        <v xml:space="preserve">| 6 L NS % | 7 L NS % | 7 L PRO % | 8 L PRO % | 9 P CPT % </v>
      </c>
      <c r="AM280" s="4" t="str">
        <f ca="1">IFERROR(__xludf.DUMMYFUNCTION("""COMPUTED_VALUE"""),"| 5 L INE @ | 7 P JAVA @ | 9 P Python @ ")</f>
        <v xml:space="preserve">| 5 L INE @ | 7 P JAVA @ | 9 P Python @ </v>
      </c>
      <c r="AN280" s="4" t="str">
        <f ca="1">IFERROR(__xludf.DUMMYFUNCTION("""COMPUTED_VALUE"""),"| 5 L CPT @ | 6 L PHP-CGM @ ")</f>
        <v xml:space="preserve">| 5 L CPT @ | 6 L PHP-CGM @ </v>
      </c>
      <c r="AO280" s="4" t="str">
        <f ca="1">IFERROR(__xludf.DUMMYFUNCTION("""COMPUTED_VALUE"""),"| 5 L JAVA @ | 5 L NS @ | 7 L PHP-CGM @ | 8 L CPT @ ")</f>
        <v xml:space="preserve">| 5 L JAVA @ | 5 L NS @ | 7 L PHP-CGM @ | 8 L CPT @ </v>
      </c>
      <c r="AP280" s="4" t="str">
        <f ca="1">IFERROR(__xludf.DUMMYFUNCTION("""COMPUTED_VALUE"""),"| 5 L PHP-CGM % | 6 L CPT % | 7 L JAVA % | 7 L NS % ")</f>
        <v xml:space="preserve">| 5 L PHP-CGM % | 6 L CPT % | 7 L JAVA % | 7 L NS % </v>
      </c>
      <c r="AQ280" s="4" t="str">
        <f ca="1">IFERROR(__xludf.DUMMYFUNCTION("""COMPUTED_VALUE"""),"| 5 L JAVA % | 6 L NS % | 7 L PRO % | 8 L PRO % | 9 P CPT @ ")</f>
        <v xml:space="preserve">| 5 L JAVA % | 6 L NS % | 7 L PRO % | 8 L PRO % | 9 P CPT @ </v>
      </c>
      <c r="AR280" s="4" t="str">
        <f ca="1">IFERROR(__xludf.DUMMYFUNCTION("""COMPUTED_VALUE"""),"| 5 L INE @ ")</f>
        <v xml:space="preserve">| 5 L INE @ </v>
      </c>
      <c r="AS280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AT280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80" s="4" t="str">
        <f ca="1">IFERROR(__xludf.DUMMYFUNCTION("""COMPUTED_VALUE"""),"| 5 L JAVA % | 6 L NS % | 7 P PRO % | 9 P CPT % ")</f>
        <v xml:space="preserve">| 5 L JAVA % | 6 L NS % | 7 P PRO % | 9 P CPT % </v>
      </c>
      <c r="AV280" s="4" t="str">
        <f ca="1">IFERROR(__xludf.DUMMYFUNCTION("""COMPUTED_VALUE"""),"| 5 L INE % | 7 P JAVA % | 9 P Python % ")</f>
        <v xml:space="preserve">| 5 L INE % | 7 P JAVA % | 9 P Python % </v>
      </c>
      <c r="AW280" s="4" t="str">
        <f ca="1">IFERROR(__xludf.DUMMYFUNCTION("""COMPUTED_VALUE"""),"| 5 L CPT % | 6 L PHP-CGM % | 7 P NS % | 9 P Python @ ")</f>
        <v xml:space="preserve">| 5 L CPT % | 6 L PHP-CGM % | 7 P NS % | 9 P Python @ </v>
      </c>
      <c r="AX280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AY280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80" s="4" t="str">
        <f ca="1">IFERROR(__xludf.DUMMYFUNCTION("""COMPUTED_VALUE"""),"| 5 L INE @ | 7 P JAVA @ ")</f>
        <v xml:space="preserve">| 5 L INE @ | 7 P JAVA @ </v>
      </c>
      <c r="BA280" s="4" t="str">
        <f ca="1">IFERROR(__xludf.DUMMYFUNCTION("""COMPUTED_VALUE"""),"| 5 L CPT % | 6 L PHP-CGM % | 7 P NS @ | 9 P Python @ ")</f>
        <v xml:space="preserve">| 5 L CPT % | 6 L PHP-CGM % | 7 P NS @ | 9 P Python @ </v>
      </c>
      <c r="BB280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C280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D280" s="4" t="str">
        <f ca="1">IFERROR(__xludf.DUMMYFUNCTION("""COMPUTED_VALUE"""),"| 5 L JAVA % | 6 L NS % | 7 L PRO % | 8 L PRO % | 9 P CPT % ")</f>
        <v xml:space="preserve">| 5 L JAVA % | 6 L NS % | 7 L PRO % | 8 L PRO % | 9 P CPT % </v>
      </c>
      <c r="BE280" s="4" t="str">
        <f ca="1">IFERROR(__xludf.DUMMYFUNCTION("""COMPUTED_VALUE"""),"| 5 L INE % | 7 P JAVA % | 9 P Python @ ")</f>
        <v xml:space="preserve">| 5 L INE % | 7 P JAVA % | 9 P Python @ </v>
      </c>
      <c r="BF280" s="4" t="str">
        <f ca="1">IFERROR(__xludf.DUMMYFUNCTION("""COMPUTED_VALUE"""),"| 5 L CPT % | 6 L PHP-CGM % | 7 P NS % | 9 P Python @ ")</f>
        <v xml:space="preserve">| 5 L CPT % | 6 L PHP-CGM % | 7 P NS % | 9 P Python @ </v>
      </c>
      <c r="BG280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H280" s="4" t="str">
        <f ca="1">IFERROR(__xludf.DUMMYFUNCTION("""COMPUTED_VALUE"""),"| 5 L JAVA % | 6 L NS % | 7 L PRO % | 9 P CPT % ")</f>
        <v xml:space="preserve">| 5 L JAVA % | 6 L NS % | 7 L PRO % | 9 P CPT % </v>
      </c>
      <c r="BI280" s="4" t="str">
        <f ca="1">IFERROR(__xludf.DUMMYFUNCTION("""COMPUTED_VALUE"""),"| 5 L INE @ | 7 P JAVA % | 9 P Python % ")</f>
        <v xml:space="preserve">| 5 L INE @ | 7 P JAVA % | 9 P Python % </v>
      </c>
      <c r="BJ280" s="4" t="str">
        <f ca="1">IFERROR(__xludf.DUMMYFUNCTION("""COMPUTED_VALUE"""),"| 5 L CPT @ | 6 L PHP-CGM @ | 7 P NS @ ")</f>
        <v xml:space="preserve">| 5 L CPT @ | 6 L PHP-CGM @ | 7 P NS @ </v>
      </c>
      <c r="BK280" s="4" t="str">
        <f ca="1">IFERROR(__xludf.DUMMYFUNCTION("""COMPUTED_VALUE"""),"| 5 L JAVA @ | 7 L PHP-CGM @ | 8 L CPT @ ")</f>
        <v xml:space="preserve">| 5 L JAVA @ | 7 L PHP-CGM @ | 8 L CPT @ </v>
      </c>
      <c r="BL280" s="4" t="str">
        <f ca="1">IFERROR(__xludf.DUMMYFUNCTION("""COMPUTED_VALUE"""),"| 5 L PHP-CGM @ | 6 L CPT @ | 8 L NS @ ")</f>
        <v xml:space="preserve">| 5 L PHP-CGM @ | 6 L CPT @ | 8 L NS @ </v>
      </c>
      <c r="BM280" s="4" t="str">
        <f ca="1">IFERROR(__xludf.DUMMYFUNCTION("""COMPUTED_VALUE"""),"| 5 L JAVA @ | 6 L NS @ | 7 L PRO @ | 8 L PRO @ | 9 P CPT @ ")</f>
        <v xml:space="preserve">| 5 L JAVA @ | 6 L NS @ | 7 L PRO @ | 8 L PRO @ | 9 P CPT @ </v>
      </c>
      <c r="BN280" s="4" t="str">
        <f ca="1">IFERROR(__xludf.DUMMYFUNCTION("""COMPUTED_VALUE"""),"| 5 L INE @ ")</f>
        <v xml:space="preserve">| 5 L INE @ </v>
      </c>
      <c r="BO280" s="4" t="str">
        <f ca="1">IFERROR(__xludf.DUMMYFUNCTION("""COMPUTED_VALUE"""),"| 5 L CPT @ | 6 L PHP-CGM @ ")</f>
        <v xml:space="preserve">| 5 L CPT @ | 6 L PHP-CGM @ </v>
      </c>
      <c r="BP280" s="4" t="str">
        <f ca="1">IFERROR(__xludf.DUMMYFUNCTION("""COMPUTED_VALUE"""),"| 5 L JAVA @ | 6 L JAVA @ | 7 L PHP-CGM @ | 8 L CPT @ ")</f>
        <v xml:space="preserve">| 5 L JAVA @ | 6 L JAVA @ | 7 L PHP-CGM @ | 8 L CPT @ </v>
      </c>
      <c r="BQ280" s="4" t="str">
        <f ca="1">IFERROR(__xludf.DUMMYFUNCTION("""COMPUTED_VALUE"""),"| 5 L JAVA @ ")</f>
        <v xml:space="preserve">| 5 L JAVA @ </v>
      </c>
      <c r="BR280" s="4"/>
      <c r="BS280" s="4"/>
      <c r="BT280" s="4" t="str">
        <f ca="1">IFERROR(__xludf.DUMMYFUNCTION("""COMPUTED_VALUE"""),"| 7 L PHP-CGM @ | 8 L CPT @ ")</f>
        <v xml:space="preserve">| 7 L PHP-CGM @ | 8 L CPT @ </v>
      </c>
      <c r="BU280" s="4" t="str">
        <f ca="1">IFERROR(__xludf.DUMMYFUNCTION("""COMPUTED_VALUE"""),"| 8 L NS @ ")</f>
        <v xml:space="preserve">| 8 L NS @ </v>
      </c>
      <c r="BV280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80" s="4"/>
      <c r="BX280" s="4" t="str">
        <f ca="1">IFERROR(__xludf.DUMMYFUNCTION("""COMPUTED_VALUE"""),"| 5 L JAVA @ | 6 L NS @ | 7 L PRO @ | 9 P CPT @ ")</f>
        <v xml:space="preserve">| 5 L JAVA @ | 6 L NS @ | 7 L PRO @ | 9 P CPT @ </v>
      </c>
      <c r="BY280" s="4" t="str">
        <f ca="1">IFERROR(__xludf.DUMMYFUNCTION("""COMPUTED_VALUE"""),"| 5 L INE @ | 7 P JAVA @ | 9 P Python @ ")</f>
        <v xml:space="preserve">| 5 L INE @ | 7 P JAVA @ | 9 P Python @ </v>
      </c>
      <c r="BZ280" s="4" t="str">
        <f ca="1">IFERROR(__xludf.DUMMYFUNCTION("""COMPUTED_VALUE"""),"| 5 L CPT % | 6 L PHP-CGM % | 7 P NS % | 9 P Python % ")</f>
        <v xml:space="preserve">| 5 L CPT % | 6 L PHP-CGM % | 7 P NS % | 9 P Python % </v>
      </c>
      <c r="CA280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CB280" s="4" t="str">
        <f ca="1">IFERROR(__xludf.DUMMYFUNCTION("""COMPUTED_VALUE"""),"| 5 L PHP-CGM % | 6 L CPT % | 7 L NS % | 9 P PHP-CGM @ ")</f>
        <v xml:space="preserve">| 5 L PHP-CGM % | 6 L CPT % | 7 L NS % | 9 P PHP-CGM @ </v>
      </c>
      <c r="CC280" s="4" t="str">
        <f ca="1">IFERROR(__xludf.DUMMYFUNCTION("""COMPUTED_VALUE"""),"| 5 L JAVA @ | 6 L NS @ | 9 P CPT @ ")</f>
        <v xml:space="preserve">| 5 L JAVA @ | 6 L NS @ | 9 P CPT @ </v>
      </c>
      <c r="CD280" s="4" t="str">
        <f ca="1">IFERROR(__xludf.DUMMYFUNCTION("""COMPUTED_VALUE"""),"| 5 L INE % | 7 P NS % ")</f>
        <v xml:space="preserve">| 5 L INE % | 7 P NS % </v>
      </c>
      <c r="CE280" s="4" t="str">
        <f ca="1">IFERROR(__xludf.DUMMYFUNCTION("""COMPUTED_VALUE"""),"| 5 L CPT % | 6 L PHP-CGM % | 7 P JAVA @ | 9 P Python % ")</f>
        <v xml:space="preserve">| 5 L CPT % | 6 L PHP-CGM % | 7 P JAVA @ | 9 P Python % </v>
      </c>
      <c r="CF280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CG280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CH280" s="4" t="str">
        <f ca="1">IFERROR(__xludf.DUMMYFUNCTION("""COMPUTED_VALUE"""),"| 5 L JAVA @ | 6 L NS @ | 9 P CPT @ ")</f>
        <v xml:space="preserve">| 5 L JAVA @ | 6 L NS @ | 9 P CPT @ </v>
      </c>
      <c r="CI280" s="4" t="str">
        <f ca="1">IFERROR(__xludf.DUMMYFUNCTION("""COMPUTED_VALUE"""),"| 5 L INE @ | 9 P Python % ")</f>
        <v xml:space="preserve">| 5 L INE @ | 9 P Python % </v>
      </c>
      <c r="CJ280" s="4" t="str">
        <f ca="1">IFERROR(__xludf.DUMMYFUNCTION("""COMPUTED_VALUE"""),"| 5 L CPT @ | 6 L PHP-CGM @ ")</f>
        <v xml:space="preserve">| 5 L CPT @ | 6 L PHP-CGM @ </v>
      </c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</row>
    <row r="281" spans="1:102" ht="12.5" x14ac:dyDescent="0.25">
      <c r="A281" s="3">
        <f ca="1">IFERROR(__xludf.DUMMYFUNCTION("""COMPUTED_VALUE"""),1)</f>
        <v>1</v>
      </c>
      <c r="B281" s="3" t="str">
        <f ca="1">IFERROR(__xludf.DUMMYFUNCTION("""COMPUTED_VALUE"""),"D")</f>
        <v>D</v>
      </c>
      <c r="C281" s="32" t="str">
        <f ca="1">IFERROR(__xludf.DUMMYFUNCTION("""COMPUTED_VALUE"""),"23171341033")</f>
        <v>23171341033</v>
      </c>
      <c r="D281" s="4" t="str">
        <f ca="1">IFERROR(__xludf.DUMMYFUNCTION("""COMPUTED_VALUE"""),"GULSHAN E FATHIMA")</f>
        <v>GULSHAN E FATHIMA</v>
      </c>
      <c r="E281" s="3" t="str">
        <f ca="1">IFERROR(__xludf.DUMMYFUNCTION("""COMPUTED_VALUE"""),"ZPP - Eve")</f>
        <v>ZPP - Eve</v>
      </c>
      <c r="F281" s="3">
        <f ca="1">IFERROR(__xludf.DUMMYFUNCTION("""COMPUTED_VALUE"""),7777974110)</f>
        <v>7777974110</v>
      </c>
      <c r="G281" s="3">
        <f ca="1">IFERROR(__xludf.DUMMYFUNCTION("""COMPUTED_VALUE"""),6309768110)</f>
        <v>6309768110</v>
      </c>
      <c r="H281" s="33">
        <f ca="1">IFERROR(__xludf.DUMMYFUNCTION("""COMPUTED_VALUE"""),0.770925110132158)</f>
        <v>0.77092511013215803</v>
      </c>
      <c r="I281" s="25">
        <f ca="1">IFERROR(__xludf.DUMMYFUNCTION("""COMPUTED_VALUE"""),0.685714285714285)</f>
        <v>0.68571428571428505</v>
      </c>
      <c r="J281" s="25">
        <f ca="1">IFERROR(__xludf.DUMMYFUNCTION("""COMPUTED_VALUE"""),0.818181818181818)</f>
        <v>0.81818181818181801</v>
      </c>
      <c r="K281" s="25">
        <f ca="1">IFERROR(__xludf.DUMMYFUNCTION("""COMPUTED_VALUE"""),0.75)</f>
        <v>0.75</v>
      </c>
      <c r="L281" s="25">
        <f ca="1">IFERROR(__xludf.DUMMYFUNCTION("""COMPUTED_VALUE"""),0.777777777777777)</f>
        <v>0.77777777777777701</v>
      </c>
      <c r="M281" s="25">
        <f ca="1">IFERROR(__xludf.DUMMYFUNCTION("""COMPUTED_VALUE"""),0.694444444444444)</f>
        <v>0.69444444444444398</v>
      </c>
      <c r="N281" s="25">
        <f ca="1">IFERROR(__xludf.DUMMYFUNCTION("""COMPUTED_VALUE"""),0.888888888888888)</f>
        <v>0.88888888888888795</v>
      </c>
      <c r="O281" s="25">
        <f ca="1">IFERROR(__xludf.DUMMYFUNCTION("""COMPUTED_VALUE"""),0.833333333333333)</f>
        <v>0.83333333333333304</v>
      </c>
      <c r="P281" s="25">
        <f ca="1">IFERROR(__xludf.DUMMYFUNCTION("""COMPUTED_VALUE"""),0.894736842105263)</f>
        <v>0.89473684210526305</v>
      </c>
      <c r="Q281" s="25">
        <f ca="1">IFERROR(__xludf.DUMMYFUNCTION("""COMPUTED_VALUE"""),0)</f>
        <v>0</v>
      </c>
      <c r="R281" s="25">
        <f ca="1">IFERROR(__xludf.DUMMYFUNCTION("""COMPUTED_VALUE"""),0.8125)</f>
        <v>0.8125</v>
      </c>
      <c r="S281" s="25">
        <f ca="1">IFERROR(__xludf.DUMMYFUNCTION("""COMPUTED_VALUE"""),0.769230769230769)</f>
        <v>0.76923076923076905</v>
      </c>
      <c r="T281" s="25">
        <f ca="1">IFERROR(__xludf.DUMMYFUNCTION("""COMPUTED_VALUE"""),1)</f>
        <v>1</v>
      </c>
      <c r="U281" s="25">
        <f ca="1">IFERROR(__xludf.DUMMYFUNCTION("""COMPUTED_VALUE"""),0.7)</f>
        <v>0.7</v>
      </c>
      <c r="V281" s="25">
        <f ca="1">IFERROR(__xludf.DUMMYFUNCTION("""COMPUTED_VALUE"""),0)</f>
        <v>0</v>
      </c>
      <c r="W281" s="4"/>
      <c r="X281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81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81" s="4" t="str">
        <f ca="1">IFERROR(__xludf.DUMMYFUNCTION("""COMPUTED_VALUE"""),"| 5 L NS % | 6 L JAVA % | 7 L PRO % | 8 L PRO % | 9 P CPT % ")</f>
        <v xml:space="preserve">| 5 L NS % | 6 L JAVA % | 7 L PRO % | 8 L PRO % | 9 P CPT % </v>
      </c>
      <c r="AA281" s="4" t="str">
        <f ca="1">IFERROR(__xludf.DUMMYFUNCTION("""COMPUTED_VALUE"""),"| 7 P JAVA % | 9 P Python % ")</f>
        <v xml:space="preserve">| 7 P JAVA % | 9 P Python % </v>
      </c>
      <c r="AB281" s="4" t="str">
        <f ca="1">IFERROR(__xludf.DUMMYFUNCTION("""COMPUTED_VALUE"""),"| 5 L JAVA % | 6 L PHP-CGM % | 7 P NS % | 9 P Python % ")</f>
        <v xml:space="preserve">| 5 L JAVA % | 6 L PHP-CGM % | 7 P NS % | 9 P Python % </v>
      </c>
      <c r="AC281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81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81" s="4" t="str">
        <f ca="1">IFERROR(__xludf.DUMMYFUNCTION("""COMPUTED_VALUE"""),"| 5 L JAVA @ | 6 L NS @ | 7 L PRO % | 9 P CPT % ")</f>
        <v xml:space="preserve">| 5 L JAVA @ | 6 L NS @ | 7 L PRO % | 9 P CPT % </v>
      </c>
      <c r="AF281" s="4" t="str">
        <f ca="1">IFERROR(__xludf.DUMMYFUNCTION("""COMPUTED_VALUE"""),"| 7 P JAVA % ")</f>
        <v xml:space="preserve">| 7 P JAVA % </v>
      </c>
      <c r="AG281" s="4" t="str">
        <f ca="1">IFERROR(__xludf.DUMMYFUNCTION("""COMPUTED_VALUE"""),"| 5 L CPT % | 6 L PHP-CGM % | 7 P NS % | 9 P Python % ")</f>
        <v xml:space="preserve">| 5 L CPT % | 6 L PHP-CGM % | 7 P NS % | 9 P Python % </v>
      </c>
      <c r="AH281" s="4" t="str">
        <f ca="1">IFERROR(__xludf.DUMMYFUNCTION("""COMPUTED_VALUE"""),"| 7 P JAVA % | 9 P Python % ")</f>
        <v xml:space="preserve">| 7 P JAVA % | 9 P Python % </v>
      </c>
      <c r="AI281" s="4" t="str">
        <f ca="1">IFERROR(__xludf.DUMMYFUNCTION("""COMPUTED_VALUE"""),"| 5 L CPT @ | 6 L PHP-CGM @ | 7 P NS % | 9 P Python % ")</f>
        <v xml:space="preserve">| 5 L CPT @ | 6 L PHP-CGM @ | 7 P NS % | 9 P Python % </v>
      </c>
      <c r="AJ281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81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81" s="4" t="str">
        <f ca="1">IFERROR(__xludf.DUMMYFUNCTION("""COMPUTED_VALUE"""),"| 6 L NS % | 7 L NS % | 7 L PRO % | 8 L PRO % | 9 P CPT % ")</f>
        <v xml:space="preserve">| 6 L NS % | 7 L NS % | 7 L PRO % | 8 L PRO % | 9 P CPT % </v>
      </c>
      <c r="AM281" s="4" t="str">
        <f ca="1">IFERROR(__xludf.DUMMYFUNCTION("""COMPUTED_VALUE"""),"| 5 L INE % | 7 P JAVA % | 9 P Python % ")</f>
        <v xml:space="preserve">| 5 L INE % | 7 P JAVA % | 9 P Python % </v>
      </c>
      <c r="AN281" s="4" t="str">
        <f ca="1">IFERROR(__xludf.DUMMYFUNCTION("""COMPUTED_VALUE"""),"| 5 L CPT % | 6 L PHP-CGM % ")</f>
        <v xml:space="preserve">| 5 L CPT % | 6 L PHP-CGM % </v>
      </c>
      <c r="AO281" s="4" t="str">
        <f ca="1">IFERROR(__xludf.DUMMYFUNCTION("""COMPUTED_VALUE"""),"| 5 L JAVA % | 5 L NS % | 7 L PHP-CGM % | 8 L CPT % ")</f>
        <v xml:space="preserve">| 5 L JAVA % | 5 L NS % | 7 L PHP-CGM % | 8 L CPT % </v>
      </c>
      <c r="AP281" s="4" t="str">
        <f ca="1">IFERROR(__xludf.DUMMYFUNCTION("""COMPUTED_VALUE"""),"| 5 L PHP-CGM % | 6 L CPT % | 7 L JAVA % | 7 L NS % ")</f>
        <v xml:space="preserve">| 5 L PHP-CGM % | 6 L CPT % | 7 L JAVA % | 7 L NS % </v>
      </c>
      <c r="AQ281" s="4" t="str">
        <f ca="1">IFERROR(__xludf.DUMMYFUNCTION("""COMPUTED_VALUE"""),"| 5 L JAVA % | 6 L NS @ | 7 L PRO % | 8 L PRO % | 9 P CPT % ")</f>
        <v xml:space="preserve">| 5 L JAVA % | 6 L NS @ | 7 L PRO % | 8 L PRO % | 9 P CPT % </v>
      </c>
      <c r="AR281" s="4" t="str">
        <f ca="1">IFERROR(__xludf.DUMMYFUNCTION("""COMPUTED_VALUE"""),"| 5 L INE % ")</f>
        <v xml:space="preserve">| 5 L INE % </v>
      </c>
      <c r="AS281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AT281" s="4" t="str">
        <f ca="1">IFERROR(__xludf.DUMMYFUNCTION("""COMPUTED_VALUE"""),"| 5 L PHP-CGM % | 6 L CPT @ | 7 L JAVA % | 8 L JAVA % | 9 P PHP-CGM % ")</f>
        <v xml:space="preserve">| 5 L PHP-CGM % | 6 L CPT @ | 7 L JAVA % | 8 L JAVA % | 9 P PHP-CGM % </v>
      </c>
      <c r="AU281" s="4" t="str">
        <f ca="1">IFERROR(__xludf.DUMMYFUNCTION("""COMPUTED_VALUE"""),"| 5 L JAVA % | 6 L NS % | 7 P PRO % | 9 P CPT % ")</f>
        <v xml:space="preserve">| 5 L JAVA % | 6 L NS % | 7 P PRO % | 9 P CPT % </v>
      </c>
      <c r="AV281" s="4" t="str">
        <f ca="1">IFERROR(__xludf.DUMMYFUNCTION("""COMPUTED_VALUE"""),"| 5 L INE % | 7 P JAVA % | 9 P Python % ")</f>
        <v xml:space="preserve">| 5 L INE % | 7 P JAVA % | 9 P Python % </v>
      </c>
      <c r="AW281" s="4" t="str">
        <f ca="1">IFERROR(__xludf.DUMMYFUNCTION("""COMPUTED_VALUE"""),"| 5 L CPT % | 6 L PHP-CGM % | 7 P NS % | 9 P Python % ")</f>
        <v xml:space="preserve">| 5 L CPT % | 6 L PHP-CGM % | 7 P NS % | 9 P Python % </v>
      </c>
      <c r="AX281" s="4" t="str">
        <f ca="1">IFERROR(__xludf.DUMMYFUNCTION("""COMPUTED_VALUE"""),"| 5 L JAVA % | 6 L JAVA % | 7 L PHP-CGM @ | 8 L CPT @ | 9 P JAVA @ ")</f>
        <v xml:space="preserve">| 5 L JAVA % | 6 L JAVA % | 7 L PHP-CGM @ | 8 L CPT @ | 9 P JAVA @ </v>
      </c>
      <c r="AY281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81" s="4" t="str">
        <f ca="1">IFERROR(__xludf.DUMMYFUNCTION("""COMPUTED_VALUE"""),"| 5 L INE % | 7 P JAVA % ")</f>
        <v xml:space="preserve">| 5 L INE % | 7 P JAVA % </v>
      </c>
      <c r="BA281" s="4" t="str">
        <f ca="1">IFERROR(__xludf.DUMMYFUNCTION("""COMPUTED_VALUE"""),"| 5 L CPT @ | 6 L PHP-CGM @ | 7 P NS @ | 9 P Python @ ")</f>
        <v xml:space="preserve">| 5 L CPT @ | 6 L PHP-CGM @ | 7 P NS @ | 9 P Python @ </v>
      </c>
      <c r="BB281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81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81" s="4" t="str">
        <f ca="1">IFERROR(__xludf.DUMMYFUNCTION("""COMPUTED_VALUE"""),"| 5 L JAVA % | 6 L NS % | 7 L PRO % | 8 L PRO % | 9 P CPT % ")</f>
        <v xml:space="preserve">| 5 L JAVA % | 6 L NS % | 7 L PRO % | 8 L PRO % | 9 P CPT % </v>
      </c>
      <c r="BE281" s="4" t="str">
        <f ca="1">IFERROR(__xludf.DUMMYFUNCTION("""COMPUTED_VALUE"""),"| 5 L INE @ | 7 P JAVA @ | 9 P Python % ")</f>
        <v xml:space="preserve">| 5 L INE @ | 7 P JAVA @ | 9 P Python % </v>
      </c>
      <c r="BF281" s="4" t="str">
        <f ca="1">IFERROR(__xludf.DUMMYFUNCTION("""COMPUTED_VALUE"""),"| 5 L CPT @ | 6 L PHP-CGM @ | 7 P NS @ | 9 P Python @ ")</f>
        <v xml:space="preserve">| 5 L CPT @ | 6 L PHP-CGM @ | 7 P NS @ | 9 P Python @ </v>
      </c>
      <c r="BG281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81" s="4" t="str">
        <f ca="1">IFERROR(__xludf.DUMMYFUNCTION("""COMPUTED_VALUE"""),"| 5 L JAVA % | 6 L NS % | 7 L PRO % | 9 P CPT % ")</f>
        <v xml:space="preserve">| 5 L JAVA % | 6 L NS % | 7 L PRO % | 9 P CPT % </v>
      </c>
      <c r="BI281" s="4" t="str">
        <f ca="1">IFERROR(__xludf.DUMMYFUNCTION("""COMPUTED_VALUE"""),"| 5 L INE % | 7 P JAVA % | 9 P Python % ")</f>
        <v xml:space="preserve">| 5 L INE % | 7 P JAVA % | 9 P Python % </v>
      </c>
      <c r="BJ281" s="4" t="str">
        <f ca="1">IFERROR(__xludf.DUMMYFUNCTION("""COMPUTED_VALUE"""),"| 5 L CPT % | 6 L PHP-CGM @ | 7 P NS % ")</f>
        <v xml:space="preserve">| 5 L CPT % | 6 L PHP-CGM @ | 7 P NS % </v>
      </c>
      <c r="BK281" s="4" t="str">
        <f ca="1">IFERROR(__xludf.DUMMYFUNCTION("""COMPUTED_VALUE"""),"| 5 L JAVA % | 7 L PHP-CGM @ | 8 L CPT @ ")</f>
        <v xml:space="preserve">| 5 L JAVA % | 7 L PHP-CGM @ | 8 L CPT @ </v>
      </c>
      <c r="BL281" s="4" t="str">
        <f ca="1">IFERROR(__xludf.DUMMYFUNCTION("""COMPUTED_VALUE"""),"| 5 L PHP-CGM % | 6 L CPT % | 8 L NS @ ")</f>
        <v xml:space="preserve">| 5 L PHP-CGM % | 6 L CPT % | 8 L NS @ </v>
      </c>
      <c r="BM281" s="4" t="str">
        <f ca="1">IFERROR(__xludf.DUMMYFUNCTION("""COMPUTED_VALUE"""),"| 5 L JAVA @ | 6 L NS @ | 7 L PRO @ | 8 L PRO @ | 9 P CPT @ ")</f>
        <v xml:space="preserve">| 5 L JAVA @ | 6 L NS @ | 7 L PRO @ | 8 L PRO @ | 9 P CPT @ </v>
      </c>
      <c r="BN281" s="4" t="str">
        <f ca="1">IFERROR(__xludf.DUMMYFUNCTION("""COMPUTED_VALUE"""),"| 5 L INE % ")</f>
        <v xml:space="preserve">| 5 L INE % </v>
      </c>
      <c r="BO281" s="4" t="str">
        <f ca="1">IFERROR(__xludf.DUMMYFUNCTION("""COMPUTED_VALUE"""),"| 5 L CPT @ | 6 L PHP-CGM @ ")</f>
        <v xml:space="preserve">| 5 L CPT @ | 6 L PHP-CGM @ </v>
      </c>
      <c r="BP281" s="4" t="str">
        <f ca="1">IFERROR(__xludf.DUMMYFUNCTION("""COMPUTED_VALUE"""),"| 5 L JAVA @ | 6 L JAVA @ | 7 L PHP-CGM @ | 8 L CPT @ ")</f>
        <v xml:space="preserve">| 5 L JAVA @ | 6 L JAVA @ | 7 L PHP-CGM @ | 8 L CPT @ </v>
      </c>
      <c r="BQ281" s="4" t="str">
        <f ca="1">IFERROR(__xludf.DUMMYFUNCTION("""COMPUTED_VALUE"""),"| 5 L JAVA % ")</f>
        <v xml:space="preserve">| 5 L JAVA % </v>
      </c>
      <c r="BR281" s="4"/>
      <c r="BS281" s="4"/>
      <c r="BT281" s="4" t="str">
        <f ca="1">IFERROR(__xludf.DUMMYFUNCTION("""COMPUTED_VALUE"""),"| 7 L PHP-CGM % | 8 L CPT % ")</f>
        <v xml:space="preserve">| 7 L PHP-CGM % | 8 L CPT % </v>
      </c>
      <c r="BU281" s="4" t="str">
        <f ca="1">IFERROR(__xludf.DUMMYFUNCTION("""COMPUTED_VALUE"""),"| 8 L NS @ ")</f>
        <v xml:space="preserve">| 8 L NS @ </v>
      </c>
      <c r="BV281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W281" s="4"/>
      <c r="BX281" s="4" t="str">
        <f ca="1">IFERROR(__xludf.DUMMYFUNCTION("""COMPUTED_VALUE"""),"| 5 L JAVA @ | 6 L NS @ | 7 L PRO @ | 9 P CPT @ ")</f>
        <v xml:space="preserve">| 5 L JAVA @ | 6 L NS @ | 7 L PRO @ | 9 P CPT @ </v>
      </c>
      <c r="BY281" s="4" t="str">
        <f ca="1">IFERROR(__xludf.DUMMYFUNCTION("""COMPUTED_VALUE"""),"| 5 L INE @ | 7 P JAVA % | 9 P Python % ")</f>
        <v xml:space="preserve">| 5 L INE @ | 7 P JAVA % | 9 P Python % </v>
      </c>
      <c r="BZ281" s="4" t="str">
        <f ca="1">IFERROR(__xludf.DUMMYFUNCTION("""COMPUTED_VALUE"""),"| 5 L CPT % | 6 L PHP-CGM % | 7 P NS % | 9 P Python @ ")</f>
        <v xml:space="preserve">| 5 L CPT % | 6 L PHP-CGM % | 7 P NS % | 9 P Python @ </v>
      </c>
      <c r="CA281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81" s="4" t="str">
        <f ca="1">IFERROR(__xludf.DUMMYFUNCTION("""COMPUTED_VALUE"""),"| 5 L PHP-CGM @ | 6 L CPT @ | 7 L NS @ | 9 P PHP-CGM @ ")</f>
        <v xml:space="preserve">| 5 L PHP-CGM @ | 6 L CPT @ | 7 L NS @ | 9 P PHP-CGM @ </v>
      </c>
      <c r="CC281" s="4" t="str">
        <f ca="1">IFERROR(__xludf.DUMMYFUNCTION("""COMPUTED_VALUE"""),"| 5 L JAVA @ | 6 L NS @ | 9 P CPT % ")</f>
        <v xml:space="preserve">| 5 L JAVA @ | 6 L NS @ | 9 P CPT % </v>
      </c>
      <c r="CD281" s="4" t="str">
        <f ca="1">IFERROR(__xludf.DUMMYFUNCTION("""COMPUTED_VALUE"""),"| 5 L INE % | 7 P NS % ")</f>
        <v xml:space="preserve">| 5 L INE % | 7 P NS % </v>
      </c>
      <c r="CE281" s="4" t="str">
        <f ca="1">IFERROR(__xludf.DUMMYFUNCTION("""COMPUTED_VALUE"""),"| 5 L CPT % | 6 L PHP-CGM % | 7 P JAVA % | 9 P Python % ")</f>
        <v xml:space="preserve">| 5 L CPT % | 6 L PHP-CGM % | 7 P JAVA % | 9 P Python % </v>
      </c>
      <c r="CF281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CG281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CH281" s="4" t="str">
        <f ca="1">IFERROR(__xludf.DUMMYFUNCTION("""COMPUTED_VALUE"""),"| 5 L JAVA % | 6 L NS % | 9 P CPT % ")</f>
        <v xml:space="preserve">| 5 L JAVA % | 6 L NS % | 9 P CPT % </v>
      </c>
      <c r="CI281" s="4" t="str">
        <f ca="1">IFERROR(__xludf.DUMMYFUNCTION("""COMPUTED_VALUE"""),"| 5 L INE @ | 9 P Python % ")</f>
        <v xml:space="preserve">| 5 L INE @ | 9 P Python % </v>
      </c>
      <c r="CJ281" s="4" t="str">
        <f ca="1">IFERROR(__xludf.DUMMYFUNCTION("""COMPUTED_VALUE"""),"| 5 L CPT @ | 6 L PHP-CGM @ ")</f>
        <v xml:space="preserve">| 5 L CPT @ | 6 L PHP-CGM @ </v>
      </c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</row>
    <row r="282" spans="1:102" ht="12.5" x14ac:dyDescent="0.25">
      <c r="A282" s="3">
        <f ca="1">IFERROR(__xludf.DUMMYFUNCTION("""COMPUTED_VALUE"""),1)</f>
        <v>1</v>
      </c>
      <c r="B282" s="3" t="str">
        <f ca="1">IFERROR(__xludf.DUMMYFUNCTION("""COMPUTED_VALUE"""),"D")</f>
        <v>D</v>
      </c>
      <c r="C282" s="32" t="str">
        <f ca="1">IFERROR(__xludf.DUMMYFUNCTION("""COMPUTED_VALUE"""),"23171341037")</f>
        <v>23171341037</v>
      </c>
      <c r="D282" s="4" t="str">
        <f ca="1">IFERROR(__xludf.DUMMYFUNCTION("""COMPUTED_VALUE"""),"JEETKUMAR PAVAR")</f>
        <v>JEETKUMAR PAVAR</v>
      </c>
      <c r="E282" s="3" t="str">
        <f ca="1">IFERROR(__xludf.DUMMYFUNCTION("""COMPUTED_VALUE"""),"ZPP - Eve")</f>
        <v>ZPP - Eve</v>
      </c>
      <c r="F282" s="3">
        <f ca="1">IFERROR(__xludf.DUMMYFUNCTION("""COMPUTED_VALUE"""),9099824400)</f>
        <v>9099824400</v>
      </c>
      <c r="G282" s="3">
        <f ca="1">IFERROR(__xludf.DUMMYFUNCTION("""COMPUTED_VALUE"""),9427484344)</f>
        <v>9427484344</v>
      </c>
      <c r="H282" s="33">
        <f ca="1">IFERROR(__xludf.DUMMYFUNCTION("""COMPUTED_VALUE"""),0.6431718061674)</f>
        <v>0.6431718061674</v>
      </c>
      <c r="I282" s="25">
        <f ca="1">IFERROR(__xludf.DUMMYFUNCTION("""COMPUTED_VALUE"""),0.514285714285714)</f>
        <v>0.51428571428571401</v>
      </c>
      <c r="J282" s="25">
        <f ca="1">IFERROR(__xludf.DUMMYFUNCTION("""COMPUTED_VALUE"""),0.636363636363636)</f>
        <v>0.63636363636363602</v>
      </c>
      <c r="K282" s="25">
        <f ca="1">IFERROR(__xludf.DUMMYFUNCTION("""COMPUTED_VALUE"""),0.6875)</f>
        <v>0.6875</v>
      </c>
      <c r="L282" s="25">
        <f ca="1">IFERROR(__xludf.DUMMYFUNCTION("""COMPUTED_VALUE"""),1)</f>
        <v>1</v>
      </c>
      <c r="M282" s="25">
        <f ca="1">IFERROR(__xludf.DUMMYFUNCTION("""COMPUTED_VALUE"""),0.527777777777777)</f>
        <v>0.52777777777777701</v>
      </c>
      <c r="N282" s="25">
        <f ca="1">IFERROR(__xludf.DUMMYFUNCTION("""COMPUTED_VALUE"""),0.777777777777777)</f>
        <v>0.77777777777777701</v>
      </c>
      <c r="O282" s="25">
        <f ca="1">IFERROR(__xludf.DUMMYFUNCTION("""COMPUTED_VALUE"""),0.722222222222222)</f>
        <v>0.72222222222222199</v>
      </c>
      <c r="P282" s="25">
        <f ca="1">IFERROR(__xludf.DUMMYFUNCTION("""COMPUTED_VALUE"""),0.526315789473684)</f>
        <v>0.52631578947368396</v>
      </c>
      <c r="Q282" s="25">
        <f ca="1">IFERROR(__xludf.DUMMYFUNCTION("""COMPUTED_VALUE"""),0)</f>
        <v>0</v>
      </c>
      <c r="R282" s="25">
        <f ca="1">IFERROR(__xludf.DUMMYFUNCTION("""COMPUTED_VALUE"""),0.75)</f>
        <v>0.75</v>
      </c>
      <c r="S282" s="25">
        <f ca="1">IFERROR(__xludf.DUMMYFUNCTION("""COMPUTED_VALUE"""),0.692307692307692)</f>
        <v>0.69230769230769196</v>
      </c>
      <c r="T282" s="25">
        <f ca="1">IFERROR(__xludf.DUMMYFUNCTION("""COMPUTED_VALUE"""),1)</f>
        <v>1</v>
      </c>
      <c r="U282" s="25">
        <f ca="1">IFERROR(__xludf.DUMMYFUNCTION("""COMPUTED_VALUE"""),0.6)</f>
        <v>0.6</v>
      </c>
      <c r="V282" s="25">
        <f ca="1">IFERROR(__xludf.DUMMYFUNCTION("""COMPUTED_VALUE"""),0)</f>
        <v>0</v>
      </c>
      <c r="W282" s="4"/>
      <c r="X282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Y282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82" s="4" t="str">
        <f ca="1">IFERROR(__xludf.DUMMYFUNCTION("""COMPUTED_VALUE"""),"| 5 L NS % | 6 L JAVA % | 7 L PRO % | 8 L PRO % | 9 P CPT % ")</f>
        <v xml:space="preserve">| 5 L NS % | 6 L JAVA % | 7 L PRO % | 8 L PRO % | 9 P CPT % </v>
      </c>
      <c r="AA282" s="4" t="str">
        <f ca="1">IFERROR(__xludf.DUMMYFUNCTION("""COMPUTED_VALUE"""),"| 7 P JAVA @ | 9 P Python @ ")</f>
        <v xml:space="preserve">| 7 P JAVA @ | 9 P Python @ </v>
      </c>
      <c r="AB282" s="4" t="str">
        <f ca="1">IFERROR(__xludf.DUMMYFUNCTION("""COMPUTED_VALUE"""),"| 5 L JAVA % | 6 L PHP-CGM % | 7 P NS % | 9 P Python % ")</f>
        <v xml:space="preserve">| 5 L JAVA % | 6 L PHP-CGM % | 7 P NS % | 9 P Python % </v>
      </c>
      <c r="AC282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82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82" s="4" t="str">
        <f ca="1">IFERROR(__xludf.DUMMYFUNCTION("""COMPUTED_VALUE"""),"| 5 L JAVA % | 6 L NS % | 7 L PRO % | 9 P CPT % ")</f>
        <v xml:space="preserve">| 5 L JAVA % | 6 L NS % | 7 L PRO % | 9 P CPT % </v>
      </c>
      <c r="AF282" s="4" t="str">
        <f ca="1">IFERROR(__xludf.DUMMYFUNCTION("""COMPUTED_VALUE"""),"| 7 P JAVA @ ")</f>
        <v xml:space="preserve">| 7 P JAVA @ </v>
      </c>
      <c r="AG282" s="4" t="str">
        <f ca="1">IFERROR(__xludf.DUMMYFUNCTION("""COMPUTED_VALUE"""),"| 5 L CPT % | 6 L PHP-CGM % | 7 P NS % | 9 P Python % ")</f>
        <v xml:space="preserve">| 5 L CPT % | 6 L PHP-CGM % | 7 P NS % | 9 P Python % </v>
      </c>
      <c r="AH282" s="4" t="str">
        <f ca="1">IFERROR(__xludf.DUMMYFUNCTION("""COMPUTED_VALUE"""),"| 7 P JAVA % | 9 P Python % ")</f>
        <v xml:space="preserve">| 7 P JAVA % | 9 P Python % </v>
      </c>
      <c r="AI282" s="4" t="str">
        <f ca="1">IFERROR(__xludf.DUMMYFUNCTION("""COMPUTED_VALUE"""),"| 5 L CPT % | 6 L PHP-CGM % | 7 P NS % | 9 P Python @ ")</f>
        <v xml:space="preserve">| 5 L CPT % | 6 L PHP-CGM % | 7 P NS % | 9 P Python @ </v>
      </c>
      <c r="AJ282" s="4" t="str">
        <f ca="1">IFERROR(__xludf.DUMMYFUNCTION("""COMPUTED_VALUE"""),"| 5 L JAVA % | 6 L NS % | 7 L PHP-CGM @ | 9 P JAVA @ | 8 L CPT @ ")</f>
        <v xml:space="preserve">| 5 L JAVA % | 6 L NS % | 7 L PHP-CGM @ | 9 P JAVA @ | 8 L CPT @ </v>
      </c>
      <c r="AK282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82" s="4" t="str">
        <f ca="1">IFERROR(__xludf.DUMMYFUNCTION("""COMPUTED_VALUE"""),"| 6 L NS @ | 7 L NS @ | 7 L PRO @ | 8 L PRO @ | 9 P CPT @ ")</f>
        <v xml:space="preserve">| 6 L NS @ | 7 L NS @ | 7 L PRO @ | 8 L PRO @ | 9 P CPT @ </v>
      </c>
      <c r="AM282" s="4" t="str">
        <f ca="1">IFERROR(__xludf.DUMMYFUNCTION("""COMPUTED_VALUE"""),"| 5 L INE @ | 7 P JAVA @ | 9 P Python @ ")</f>
        <v xml:space="preserve">| 5 L INE @ | 7 P JAVA @ | 9 P Python @ </v>
      </c>
      <c r="AN282" s="4" t="str">
        <f ca="1">IFERROR(__xludf.DUMMYFUNCTION("""COMPUTED_VALUE"""),"| 5 L CPT @ | 6 L PHP-CGM @ ")</f>
        <v xml:space="preserve">| 5 L CPT @ | 6 L PHP-CGM @ </v>
      </c>
      <c r="AO282" s="4" t="str">
        <f ca="1">IFERROR(__xludf.DUMMYFUNCTION("""COMPUTED_VALUE"""),"| 5 L JAVA @ | 5 L NS @ | 7 L PHP-CGM @ | 8 L CPT @ ")</f>
        <v xml:space="preserve">| 5 L JAVA @ | 5 L NS @ | 7 L PHP-CGM @ | 8 L CPT @ </v>
      </c>
      <c r="AP282" s="4" t="str">
        <f ca="1">IFERROR(__xludf.DUMMYFUNCTION("""COMPUTED_VALUE"""),"| 5 L PHP-CGM % | 6 L CPT % | 7 L JAVA % | 7 L NS % ")</f>
        <v xml:space="preserve">| 5 L PHP-CGM % | 6 L CPT % | 7 L JAVA % | 7 L NS % </v>
      </c>
      <c r="AQ282" s="4" t="str">
        <f ca="1">IFERROR(__xludf.DUMMYFUNCTION("""COMPUTED_VALUE"""),"| 5 L JAVA % | 6 L NS % | 7 L PRO % | 8 L PRO % | 9 P CPT % ")</f>
        <v xml:space="preserve">| 5 L JAVA % | 6 L NS % | 7 L PRO % | 8 L PRO % | 9 P CPT % </v>
      </c>
      <c r="AR282" s="4" t="str">
        <f ca="1">IFERROR(__xludf.DUMMYFUNCTION("""COMPUTED_VALUE"""),"| 5 L INE @ ")</f>
        <v xml:space="preserve">| 5 L INE @ </v>
      </c>
      <c r="AS282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AT282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82" s="4" t="str">
        <f ca="1">IFERROR(__xludf.DUMMYFUNCTION("""COMPUTED_VALUE"""),"| 5 L JAVA % | 6 L NS % | 7 P PRO % | 9 P CPT @ ")</f>
        <v xml:space="preserve">| 5 L JAVA % | 6 L NS % | 7 P PRO % | 9 P CPT @ </v>
      </c>
      <c r="AV282" s="4" t="str">
        <f ca="1">IFERROR(__xludf.DUMMYFUNCTION("""COMPUTED_VALUE"""),"| 5 L INE % | 7 P JAVA % | 9 P Python % ")</f>
        <v xml:space="preserve">| 5 L INE % | 7 P JAVA % | 9 P Python % </v>
      </c>
      <c r="AW282" s="4" t="str">
        <f ca="1">IFERROR(__xludf.DUMMYFUNCTION("""COMPUTED_VALUE"""),"| 5 L CPT % | 6 L PHP-CGM % | 7 P NS % | 9 P Python % ")</f>
        <v xml:space="preserve">| 5 L CPT % | 6 L PHP-CGM % | 7 P NS % | 9 P Python % </v>
      </c>
      <c r="AX282" s="4" t="str">
        <f ca="1">IFERROR(__xludf.DUMMYFUNCTION("""COMPUTED_VALUE"""),"| 5 L JAVA % | 6 L JAVA % | 7 L PHP-CGM @ | 8 L CPT @ | 9 P JAVA @ ")</f>
        <v xml:space="preserve">| 5 L JAVA % | 6 L JAVA % | 7 L PHP-CGM @ | 8 L CPT @ | 9 P JAVA @ </v>
      </c>
      <c r="AY282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82" s="4" t="str">
        <f ca="1">IFERROR(__xludf.DUMMYFUNCTION("""COMPUTED_VALUE"""),"| 5 L INE % | 7 P JAVA % ")</f>
        <v xml:space="preserve">| 5 L INE % | 7 P JAVA % </v>
      </c>
      <c r="BA282" s="4" t="str">
        <f ca="1">IFERROR(__xludf.DUMMYFUNCTION("""COMPUTED_VALUE"""),"| 5 L CPT % | 6 L PHP-CGM % | 7 P NS % | 9 P Python % ")</f>
        <v xml:space="preserve">| 5 L CPT % | 6 L PHP-CGM % | 7 P NS % | 9 P Python % </v>
      </c>
      <c r="BB282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C282" s="4" t="str">
        <f ca="1">IFERROR(__xludf.DUMMYFUNCTION("""COMPUTED_VALUE"""),"| 5 L PHP-CGM @ | 6 L CPT @ | 7 L JAVA @ | 8 L NS @ | 9 P PHP-CGM @ ")</f>
        <v xml:space="preserve">| 5 L PHP-CGM @ | 6 L CPT @ | 7 L JAVA @ | 8 L NS @ | 9 P PHP-CGM @ </v>
      </c>
      <c r="BD282" s="4" t="str">
        <f ca="1">IFERROR(__xludf.DUMMYFUNCTION("""COMPUTED_VALUE"""),"| 5 L JAVA % | 6 L NS % | 7 L PRO % | 8 L PRO % | 9 P CPT % ")</f>
        <v xml:space="preserve">| 5 L JAVA % | 6 L NS % | 7 L PRO % | 8 L PRO % | 9 P CPT % </v>
      </c>
      <c r="BE282" s="4" t="str">
        <f ca="1">IFERROR(__xludf.DUMMYFUNCTION("""COMPUTED_VALUE"""),"| 5 L INE % | 7 P JAVA % | 9 P Python % ")</f>
        <v xml:space="preserve">| 5 L INE % | 7 P JAVA % | 9 P Python % </v>
      </c>
      <c r="BF282" s="4" t="str">
        <f ca="1">IFERROR(__xludf.DUMMYFUNCTION("""COMPUTED_VALUE"""),"| 5 L CPT % | 6 L PHP-CGM % | 7 P NS % | 9 P Python % ")</f>
        <v xml:space="preserve">| 5 L CPT % | 6 L PHP-CGM % | 7 P NS % | 9 P Python % </v>
      </c>
      <c r="BG282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82" s="4" t="str">
        <f ca="1">IFERROR(__xludf.DUMMYFUNCTION("""COMPUTED_VALUE"""),"| 5 L JAVA % | 6 L NS % | 7 L PRO % | 9 P CPT % ")</f>
        <v xml:space="preserve">| 5 L JAVA % | 6 L NS % | 7 L PRO % | 9 P CPT % </v>
      </c>
      <c r="BI282" s="4" t="str">
        <f ca="1">IFERROR(__xludf.DUMMYFUNCTION("""COMPUTED_VALUE"""),"| 5 L INE @ | 7 P JAVA % | 9 P Python % ")</f>
        <v xml:space="preserve">| 5 L INE @ | 7 P JAVA % | 9 P Python % </v>
      </c>
      <c r="BJ282" s="4" t="str">
        <f ca="1">IFERROR(__xludf.DUMMYFUNCTION("""COMPUTED_VALUE"""),"| 5 L CPT % | 6 L PHP-CGM % | 7 P NS % ")</f>
        <v xml:space="preserve">| 5 L CPT % | 6 L PHP-CGM % | 7 P NS % </v>
      </c>
      <c r="BK282" s="4" t="str">
        <f ca="1">IFERROR(__xludf.DUMMYFUNCTION("""COMPUTED_VALUE"""),"| 5 L JAVA @ | 7 L PHP-CGM @ | 8 L CPT @ ")</f>
        <v xml:space="preserve">| 5 L JAVA @ | 7 L PHP-CGM @ | 8 L CPT @ </v>
      </c>
      <c r="BL282" s="4" t="str">
        <f ca="1">IFERROR(__xludf.DUMMYFUNCTION("""COMPUTED_VALUE"""),"| 5 L PHP-CGM @ | 6 L CPT @ | 8 L NS @ ")</f>
        <v xml:space="preserve">| 5 L PHP-CGM @ | 6 L CPT @ | 8 L NS @ </v>
      </c>
      <c r="BM282" s="4" t="str">
        <f ca="1">IFERROR(__xludf.DUMMYFUNCTION("""COMPUTED_VALUE"""),"| 5 L JAVA @ | 6 L NS @ | 7 L PRO @ | 8 L PRO @ | 9 P CPT @ ")</f>
        <v xml:space="preserve">| 5 L JAVA @ | 6 L NS @ | 7 L PRO @ | 8 L PRO @ | 9 P CPT @ </v>
      </c>
      <c r="BN282" s="4" t="str">
        <f ca="1">IFERROR(__xludf.DUMMYFUNCTION("""COMPUTED_VALUE"""),"| 5 L INE @ ")</f>
        <v xml:space="preserve">| 5 L INE @ </v>
      </c>
      <c r="BO282" s="4" t="str">
        <f ca="1">IFERROR(__xludf.DUMMYFUNCTION("""COMPUTED_VALUE"""),"| 5 L CPT @ | 6 L PHP-CGM @ ")</f>
        <v xml:space="preserve">| 5 L CPT @ | 6 L PHP-CGM @ </v>
      </c>
      <c r="BP282" s="4" t="str">
        <f ca="1">IFERROR(__xludf.DUMMYFUNCTION("""COMPUTED_VALUE"""),"| 5 L JAVA @ | 6 L JAVA @ | 7 L PHP-CGM @ | 8 L CPT @ ")</f>
        <v xml:space="preserve">| 5 L JAVA @ | 6 L JAVA @ | 7 L PHP-CGM @ | 8 L CPT @ </v>
      </c>
      <c r="BQ282" s="4" t="str">
        <f ca="1">IFERROR(__xludf.DUMMYFUNCTION("""COMPUTED_VALUE"""),"| 5 L JAVA @ ")</f>
        <v xml:space="preserve">| 5 L JAVA @ </v>
      </c>
      <c r="BR282" s="4"/>
      <c r="BS282" s="4"/>
      <c r="BT282" s="4" t="str">
        <f ca="1">IFERROR(__xludf.DUMMYFUNCTION("""COMPUTED_VALUE"""),"| 7 L PHP-CGM @ | 8 L CPT @ ")</f>
        <v xml:space="preserve">| 7 L PHP-CGM @ | 8 L CPT @ </v>
      </c>
      <c r="BU282" s="4" t="str">
        <f ca="1">IFERROR(__xludf.DUMMYFUNCTION("""COMPUTED_VALUE"""),"| 8 L NS @ ")</f>
        <v xml:space="preserve">| 8 L NS @ </v>
      </c>
      <c r="BV282" s="4" t="str">
        <f ca="1">IFERROR(__xludf.DUMMYFUNCTION("""COMPUTED_VALUE"""),"| 5 L JAVA % | 6 L NS % | 7 L PHP-CGM @ | 8 L CPT @ | 9 P JAVA @ ")</f>
        <v xml:space="preserve">| 5 L JAVA % | 6 L NS % | 7 L PHP-CGM @ | 8 L CPT @ | 9 P JAVA @ </v>
      </c>
      <c r="BW282" s="4"/>
      <c r="BX282" s="4" t="str">
        <f ca="1">IFERROR(__xludf.DUMMYFUNCTION("""COMPUTED_VALUE"""),"| 5 L JAVA % | 6 L NS % | 7 L PRO % | 9 P CPT % ")</f>
        <v xml:space="preserve">| 5 L JAVA % | 6 L NS % | 7 L PRO % | 9 P CPT % </v>
      </c>
      <c r="BY282" s="4" t="str">
        <f ca="1">IFERROR(__xludf.DUMMYFUNCTION("""COMPUTED_VALUE"""),"| 5 L INE % | 7 P JAVA % | 9 P Python % ")</f>
        <v xml:space="preserve">| 5 L INE % | 7 P JAVA % | 9 P Python % </v>
      </c>
      <c r="BZ282" s="4" t="str">
        <f ca="1">IFERROR(__xludf.DUMMYFUNCTION("""COMPUTED_VALUE"""),"| 5 L CPT % | 6 L PHP-CGM % | 7 P NS % | 9 P Python @ ")</f>
        <v xml:space="preserve">| 5 L CPT % | 6 L PHP-CGM % | 7 P NS % | 9 P Python @ </v>
      </c>
      <c r="CA282" s="4" t="str">
        <f ca="1">IFERROR(__xludf.DUMMYFUNCTION("""COMPUTED_VALUE"""),"| 5 L JAVA % | 6 L JAVA % | 7 L PHP-CGM @ | 8 L CPT @ | 9 P JAVA @ ")</f>
        <v xml:space="preserve">| 5 L JAVA % | 6 L JAVA % | 7 L PHP-CGM @ | 8 L CPT @ | 9 P JAVA @ </v>
      </c>
      <c r="CB282" s="4" t="str">
        <f ca="1">IFERROR(__xludf.DUMMYFUNCTION("""COMPUTED_VALUE"""),"| 5 L PHP-CGM % | 6 L CPT % | 7 L NS % | 9 P PHP-CGM @ ")</f>
        <v xml:space="preserve">| 5 L PHP-CGM % | 6 L CPT % | 7 L NS % | 9 P PHP-CGM @ </v>
      </c>
      <c r="CC282" s="4" t="str">
        <f ca="1">IFERROR(__xludf.DUMMYFUNCTION("""COMPUTED_VALUE"""),"| 5 L JAVA % | 6 L NS % | 9 P CPT @ ")</f>
        <v xml:space="preserve">| 5 L JAVA % | 6 L NS % | 9 P CPT @ </v>
      </c>
      <c r="CD282" s="4" t="str">
        <f ca="1">IFERROR(__xludf.DUMMYFUNCTION("""COMPUTED_VALUE"""),"| 5 L INE % | 7 P NS % ")</f>
        <v xml:space="preserve">| 5 L INE % | 7 P NS % </v>
      </c>
      <c r="CE282" s="4" t="str">
        <f ca="1">IFERROR(__xludf.DUMMYFUNCTION("""COMPUTED_VALUE"""),"| 5 L CPT % | 6 L PHP-CGM % | 7 P JAVA % | 9 P Python % ")</f>
        <v xml:space="preserve">| 5 L CPT % | 6 L PHP-CGM % | 7 P JAVA % | 9 P Python % </v>
      </c>
      <c r="CF282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CG282" s="4" t="str">
        <f ca="1">IFERROR(__xludf.DUMMYFUNCTION("""COMPUTED_VALUE"""),"| 5 L PHP-CGM @ | 6 L CPT @ | 7 L JAVA % | 8 L NS % | 9 P PHP-CGM % ")</f>
        <v xml:space="preserve">| 5 L PHP-CGM @ | 6 L CPT @ | 7 L JAVA % | 8 L NS % | 9 P PHP-CGM % </v>
      </c>
      <c r="CH282" s="4" t="str">
        <f ca="1">IFERROR(__xludf.DUMMYFUNCTION("""COMPUTED_VALUE"""),"| 5 L JAVA @ | 6 L NS @ | 9 P CPT % ")</f>
        <v xml:space="preserve">| 5 L JAVA @ | 6 L NS @ | 9 P CPT % </v>
      </c>
      <c r="CI282" s="4" t="str">
        <f ca="1">IFERROR(__xludf.DUMMYFUNCTION("""COMPUTED_VALUE"""),"| 5 L INE % | 9 P Python % ")</f>
        <v xml:space="preserve">| 5 L INE % | 9 P Python % </v>
      </c>
      <c r="CJ282" s="4" t="str">
        <f ca="1">IFERROR(__xludf.DUMMYFUNCTION("""COMPUTED_VALUE"""),"| 5 L CPT @ | 6 L PHP-CGM @ ")</f>
        <v xml:space="preserve">| 5 L CPT @ | 6 L PHP-CGM @ </v>
      </c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</row>
    <row r="283" spans="1:102" ht="12.5" x14ac:dyDescent="0.25">
      <c r="A283" s="3">
        <f ca="1">IFERROR(__xludf.DUMMYFUNCTION("""COMPUTED_VALUE"""),1)</f>
        <v>1</v>
      </c>
      <c r="B283" s="3" t="str">
        <f ca="1">IFERROR(__xludf.DUMMYFUNCTION("""COMPUTED_VALUE"""),"D")</f>
        <v>D</v>
      </c>
      <c r="C283" s="32" t="str">
        <f ca="1">IFERROR(__xludf.DUMMYFUNCTION("""COMPUTED_VALUE"""),"23171341039")</f>
        <v>23171341039</v>
      </c>
      <c r="D283" s="4" t="str">
        <f ca="1">IFERROR(__xludf.DUMMYFUNCTION("""COMPUTED_VALUE"""),"JOSHI PREM RAJESHKUMAR")</f>
        <v>JOSHI PREM RAJESHKUMAR</v>
      </c>
      <c r="E283" s="3" t="str">
        <f ca="1">IFERROR(__xludf.DUMMYFUNCTION("""COMPUTED_VALUE"""),"ZPP - Eve")</f>
        <v>ZPP - Eve</v>
      </c>
      <c r="F283" s="3">
        <f ca="1">IFERROR(__xludf.DUMMYFUNCTION("""COMPUTED_VALUE"""),7069417106)</f>
        <v>7069417106</v>
      </c>
      <c r="G283" s="3">
        <f ca="1">IFERROR(__xludf.DUMMYFUNCTION("""COMPUTED_VALUE"""),8238266531)</f>
        <v>8238266531</v>
      </c>
      <c r="H283" s="33">
        <f ca="1">IFERROR(__xludf.DUMMYFUNCTION("""COMPUTED_VALUE"""),0.674008810572687)</f>
        <v>0.67400881057268702</v>
      </c>
      <c r="I283" s="25">
        <f ca="1">IFERROR(__xludf.DUMMYFUNCTION("""COMPUTED_VALUE"""),0.628571428571428)</f>
        <v>0.628571428571428</v>
      </c>
      <c r="J283" s="25">
        <f ca="1">IFERROR(__xludf.DUMMYFUNCTION("""COMPUTED_VALUE"""),0.545454545454545)</f>
        <v>0.54545454545454497</v>
      </c>
      <c r="K283" s="25">
        <f ca="1">IFERROR(__xludf.DUMMYFUNCTION("""COMPUTED_VALUE"""),0.78125)</f>
        <v>0.78125</v>
      </c>
      <c r="L283" s="25">
        <f ca="1">IFERROR(__xludf.DUMMYFUNCTION("""COMPUTED_VALUE"""),0.555555555555555)</f>
        <v>0.55555555555555503</v>
      </c>
      <c r="M283" s="25">
        <f ca="1">IFERROR(__xludf.DUMMYFUNCTION("""COMPUTED_VALUE"""),0.638888888888888)</f>
        <v>0.63888888888888795</v>
      </c>
      <c r="N283" s="25">
        <f ca="1">IFERROR(__xludf.DUMMYFUNCTION("""COMPUTED_VALUE"""),0.777777777777777)</f>
        <v>0.77777777777777701</v>
      </c>
      <c r="O283" s="25">
        <f ca="1">IFERROR(__xludf.DUMMYFUNCTION("""COMPUTED_VALUE"""),0.805555555555555)</f>
        <v>0.80555555555555503</v>
      </c>
      <c r="P283" s="25">
        <f ca="1">IFERROR(__xludf.DUMMYFUNCTION("""COMPUTED_VALUE"""),0.684210526315789)</f>
        <v>0.68421052631578905</v>
      </c>
      <c r="Q283" s="25">
        <f ca="1">IFERROR(__xludf.DUMMYFUNCTION("""COMPUTED_VALUE"""),0)</f>
        <v>0</v>
      </c>
      <c r="R283" s="25">
        <f ca="1">IFERROR(__xludf.DUMMYFUNCTION("""COMPUTED_VALUE"""),0.5625)</f>
        <v>0.5625</v>
      </c>
      <c r="S283" s="25">
        <f ca="1">IFERROR(__xludf.DUMMYFUNCTION("""COMPUTED_VALUE"""),0.692307692307692)</f>
        <v>0.69230769230769196</v>
      </c>
      <c r="T283" s="25">
        <f ca="1">IFERROR(__xludf.DUMMYFUNCTION("""COMPUTED_VALUE"""),1)</f>
        <v>1</v>
      </c>
      <c r="U283" s="25">
        <f ca="1">IFERROR(__xludf.DUMMYFUNCTION("""COMPUTED_VALUE"""),0.4)</f>
        <v>0.4</v>
      </c>
      <c r="V283" s="25">
        <f ca="1">IFERROR(__xludf.DUMMYFUNCTION("""COMPUTED_VALUE"""),0)</f>
        <v>0</v>
      </c>
      <c r="W283" s="4"/>
      <c r="X283" s="4" t="str">
        <f ca="1">IFERROR(__xludf.DUMMYFUNCTION("""COMPUTED_VALUE"""),"| 5 L JAVA % | 6 L NS % | 7 L PHP-CGM % | 8 L CPT % | 9 P JAVA @ ")</f>
        <v xml:space="preserve">| 5 L JAVA % | 6 L NS % | 7 L PHP-CGM % | 8 L CPT % | 9 P JAVA @ </v>
      </c>
      <c r="Y283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83" s="4" t="str">
        <f ca="1">IFERROR(__xludf.DUMMYFUNCTION("""COMPUTED_VALUE"""),"| 5 L NS % | 6 L JAVA % | 7 L PRO % | 8 L PRO % | 9 P CPT % ")</f>
        <v xml:space="preserve">| 5 L NS % | 6 L JAVA % | 7 L PRO % | 8 L PRO % | 9 P CPT % </v>
      </c>
      <c r="AA283" s="4" t="str">
        <f ca="1">IFERROR(__xludf.DUMMYFUNCTION("""COMPUTED_VALUE"""),"| 7 P JAVA % | 9 P Python % ")</f>
        <v xml:space="preserve">| 7 P JAVA % | 9 P Python % </v>
      </c>
      <c r="AB283" s="4" t="str">
        <f ca="1">IFERROR(__xludf.DUMMYFUNCTION("""COMPUTED_VALUE"""),"| 5 L JAVA % | 6 L PHP-CGM % | 7 P NS % | 9 P Python @ ")</f>
        <v xml:space="preserve">| 5 L JAVA % | 6 L PHP-CGM % | 7 P NS % | 9 P Python @ </v>
      </c>
      <c r="AC283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83" s="4" t="str">
        <f ca="1">IFERROR(__xludf.DUMMYFUNCTION("""COMPUTED_VALUE"""),"| 5 L PHP-CGM % | 6 L CPT % | 7 L NS % | 8 L JAVA % | 9 P PHP-CGM @ ")</f>
        <v xml:space="preserve">| 5 L PHP-CGM % | 6 L CPT % | 7 L NS % | 8 L JAVA % | 9 P PHP-CGM @ </v>
      </c>
      <c r="AE283" s="4" t="str">
        <f ca="1">IFERROR(__xludf.DUMMYFUNCTION("""COMPUTED_VALUE"""),"| 5 L JAVA % | 6 L NS % | 7 L PRO % | 9 P CPT % ")</f>
        <v xml:space="preserve">| 5 L JAVA % | 6 L NS % | 7 L PRO % | 9 P CPT % </v>
      </c>
      <c r="AF283" s="4" t="str">
        <f ca="1">IFERROR(__xludf.DUMMYFUNCTION("""COMPUTED_VALUE"""),"| 7 P JAVA @ ")</f>
        <v xml:space="preserve">| 7 P JAVA @ </v>
      </c>
      <c r="AG283" s="4" t="str">
        <f ca="1">IFERROR(__xludf.DUMMYFUNCTION("""COMPUTED_VALUE"""),"| 5 L CPT % | 6 L PHP-CGM % | 7 P NS % | 9 P Python % ")</f>
        <v xml:space="preserve">| 5 L CPT % | 6 L PHP-CGM % | 7 P NS % | 9 P Python % </v>
      </c>
      <c r="AH283" s="4" t="str">
        <f ca="1">IFERROR(__xludf.DUMMYFUNCTION("""COMPUTED_VALUE"""),"| 7 P JAVA % | 9 P Python % ")</f>
        <v xml:space="preserve">| 7 P JAVA % | 9 P Python % </v>
      </c>
      <c r="AI283" s="4" t="str">
        <f ca="1">IFERROR(__xludf.DUMMYFUNCTION("""COMPUTED_VALUE"""),"| 5 L CPT % | 6 L PHP-CGM % | 7 P NS % | 9 P Python @ ")</f>
        <v xml:space="preserve">| 5 L CPT % | 6 L PHP-CGM % | 7 P NS % | 9 P Python @ </v>
      </c>
      <c r="AJ283" s="4" t="str">
        <f ca="1">IFERROR(__xludf.DUMMYFUNCTION("""COMPUTED_VALUE"""),"| 5 L JAVA % | 6 L NS % | 7 L PHP-CGM @ | 9 P JAVA % | 8 L CPT @ ")</f>
        <v xml:space="preserve">| 5 L JAVA % | 6 L NS % | 7 L PHP-CGM @ | 9 P JAVA % | 8 L CPT @ </v>
      </c>
      <c r="AK283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83" s="4" t="str">
        <f ca="1">IFERROR(__xludf.DUMMYFUNCTION("""COMPUTED_VALUE"""),"| 6 L NS % | 7 L NS % | 7 L PRO % | 8 L PRO % | 9 P CPT % ")</f>
        <v xml:space="preserve">| 6 L NS % | 7 L NS % | 7 L PRO % | 8 L PRO % | 9 P CPT % </v>
      </c>
      <c r="AM283" s="4" t="str">
        <f ca="1">IFERROR(__xludf.DUMMYFUNCTION("""COMPUTED_VALUE"""),"| 5 L INE @ | 7 P JAVA % | 9 P Python % ")</f>
        <v xml:space="preserve">| 5 L INE @ | 7 P JAVA % | 9 P Python % </v>
      </c>
      <c r="AN283" s="4" t="str">
        <f ca="1">IFERROR(__xludf.DUMMYFUNCTION("""COMPUTED_VALUE"""),"| 5 L CPT @ | 6 L PHP-CGM @ ")</f>
        <v xml:space="preserve">| 5 L CPT @ | 6 L PHP-CGM @ </v>
      </c>
      <c r="AO283" s="4" t="str">
        <f ca="1">IFERROR(__xludf.DUMMYFUNCTION("""COMPUTED_VALUE"""),"| 5 L JAVA % | 5 L NS % | 7 L PHP-CGM % | 8 L CPT % ")</f>
        <v xml:space="preserve">| 5 L JAVA % | 5 L NS % | 7 L PHP-CGM % | 8 L CPT % </v>
      </c>
      <c r="AP283" s="4" t="str">
        <f ca="1">IFERROR(__xludf.DUMMYFUNCTION("""COMPUTED_VALUE"""),"| 5 L PHP-CGM % | 6 L CPT % | 7 L JAVA % | 7 L NS % ")</f>
        <v xml:space="preserve">| 5 L PHP-CGM % | 6 L CPT % | 7 L JAVA % | 7 L NS % </v>
      </c>
      <c r="AQ283" s="4" t="str">
        <f ca="1">IFERROR(__xludf.DUMMYFUNCTION("""COMPUTED_VALUE"""),"| 5 L JAVA % | 6 L NS % | 7 L PRO % | 8 L PRO % | 9 P CPT % ")</f>
        <v xml:space="preserve">| 5 L JAVA % | 6 L NS % | 7 L PRO % | 8 L PRO % | 9 P CPT % </v>
      </c>
      <c r="AR283" s="4" t="str">
        <f ca="1">IFERROR(__xludf.DUMMYFUNCTION("""COMPUTED_VALUE"""),"| 5 L INE @ ")</f>
        <v xml:space="preserve">| 5 L INE @ </v>
      </c>
      <c r="AS283" s="4" t="str">
        <f ca="1">IFERROR(__xludf.DUMMYFUNCTION("""COMPUTED_VALUE"""),"| 5 L JAVA % | 6 L NS % | 7 L PHP-CGM @ | 8 L CPT @ | 9 P JAVA % ")</f>
        <v xml:space="preserve">| 5 L JAVA % | 6 L NS % | 7 L PHP-CGM @ | 8 L CPT @ | 9 P JAVA % </v>
      </c>
      <c r="AT283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83" s="4" t="str">
        <f ca="1">IFERROR(__xludf.DUMMYFUNCTION("""COMPUTED_VALUE"""),"| 5 L JAVA % | 6 L NS % | 7 P PRO % | 9 P CPT @ ")</f>
        <v xml:space="preserve">| 5 L JAVA % | 6 L NS % | 7 P PRO % | 9 P CPT @ </v>
      </c>
      <c r="AV283" s="4" t="str">
        <f ca="1">IFERROR(__xludf.DUMMYFUNCTION("""COMPUTED_VALUE"""),"| 5 L INE % | 7 P JAVA @ | 9 P Python @ ")</f>
        <v xml:space="preserve">| 5 L INE % | 7 P JAVA @ | 9 P Python @ </v>
      </c>
      <c r="AW283" s="4" t="str">
        <f ca="1">IFERROR(__xludf.DUMMYFUNCTION("""COMPUTED_VALUE"""),"| 5 L CPT % | 6 L PHP-CGM % | 7 P NS % | 9 P Python % ")</f>
        <v xml:space="preserve">| 5 L CPT % | 6 L PHP-CGM % | 7 P NS % | 9 P Python % </v>
      </c>
      <c r="AX283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AY283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83" s="4" t="str">
        <f ca="1">IFERROR(__xludf.DUMMYFUNCTION("""COMPUTED_VALUE"""),"| 5 L INE @ | 7 P JAVA % ")</f>
        <v xml:space="preserve">| 5 L INE @ | 7 P JAVA % </v>
      </c>
      <c r="BA283" s="4" t="str">
        <f ca="1">IFERROR(__xludf.DUMMYFUNCTION("""COMPUTED_VALUE"""),"| 5 L CPT @ | 6 L PHP-CGM @ | 7 P NS @ | 9 P Python @ ")</f>
        <v xml:space="preserve">| 5 L CPT @ | 6 L PHP-CGM @ | 7 P NS @ | 9 P Python @ </v>
      </c>
      <c r="BB283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C283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83" s="4" t="str">
        <f ca="1">IFERROR(__xludf.DUMMYFUNCTION("""COMPUTED_VALUE"""),"| 5 L JAVA % | 6 L NS % | 7 L PRO % | 8 L PRO % | 9 P CPT % ")</f>
        <v xml:space="preserve">| 5 L JAVA % | 6 L NS % | 7 L PRO % | 8 L PRO % | 9 P CPT % </v>
      </c>
      <c r="BE283" s="4" t="str">
        <f ca="1">IFERROR(__xludf.DUMMYFUNCTION("""COMPUTED_VALUE"""),"| 5 L INE % | 7 P JAVA @ | 9 P Python % ")</f>
        <v xml:space="preserve">| 5 L INE % | 7 P JAVA @ | 9 P Python % </v>
      </c>
      <c r="BF283" s="4" t="str">
        <f ca="1">IFERROR(__xludf.DUMMYFUNCTION("""COMPUTED_VALUE"""),"| 5 L CPT % | 6 L PHP-CGM % | 7 P NS % | 9 P Python @ ")</f>
        <v xml:space="preserve">| 5 L CPT % | 6 L PHP-CGM % | 7 P NS % | 9 P Python @ </v>
      </c>
      <c r="BG283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83" s="4" t="str">
        <f ca="1">IFERROR(__xludf.DUMMYFUNCTION("""COMPUTED_VALUE"""),"| 5 L JAVA @ | 6 L NS % | 7 L PRO @ | 9 P CPT @ ")</f>
        <v xml:space="preserve">| 5 L JAVA @ | 6 L NS % | 7 L PRO @ | 9 P CPT @ </v>
      </c>
      <c r="BI283" s="4" t="str">
        <f ca="1">IFERROR(__xludf.DUMMYFUNCTION("""COMPUTED_VALUE"""),"| 5 L INE @ | 7 P JAVA @ | 9 P Python @ ")</f>
        <v xml:space="preserve">| 5 L INE @ | 7 P JAVA @ | 9 P Python @ </v>
      </c>
      <c r="BJ283" s="4" t="str">
        <f ca="1">IFERROR(__xludf.DUMMYFUNCTION("""COMPUTED_VALUE"""),"| 5 L CPT @ | 6 L PHP-CGM @ | 7 P NS @ ")</f>
        <v xml:space="preserve">| 5 L CPT @ | 6 L PHP-CGM @ | 7 P NS @ </v>
      </c>
      <c r="BK283" s="4" t="str">
        <f ca="1">IFERROR(__xludf.DUMMYFUNCTION("""COMPUTED_VALUE"""),"| 5 L JAVA % | 7 L PHP-CGM % | 8 L CPT % ")</f>
        <v xml:space="preserve">| 5 L JAVA % | 7 L PHP-CGM % | 8 L CPT % </v>
      </c>
      <c r="BL283" s="4" t="str">
        <f ca="1">IFERROR(__xludf.DUMMYFUNCTION("""COMPUTED_VALUE"""),"| 5 L PHP-CGM % | 6 L CPT % | 8 L NS % ")</f>
        <v xml:space="preserve">| 5 L PHP-CGM % | 6 L CPT % | 8 L NS % </v>
      </c>
      <c r="BM283" s="4" t="str">
        <f ca="1">IFERROR(__xludf.DUMMYFUNCTION("""COMPUTED_VALUE"""),"| 5 L JAVA @ | 6 L NS @ | 7 L PRO @ | 8 L PRO @ | 9 P CPT @ ")</f>
        <v xml:space="preserve">| 5 L JAVA @ | 6 L NS @ | 7 L PRO @ | 8 L PRO @ | 9 P CPT @ </v>
      </c>
      <c r="BN283" s="4" t="str">
        <f ca="1">IFERROR(__xludf.DUMMYFUNCTION("""COMPUTED_VALUE"""),"| 5 L INE @ ")</f>
        <v xml:space="preserve">| 5 L INE @ </v>
      </c>
      <c r="BO283" s="4" t="str">
        <f ca="1">IFERROR(__xludf.DUMMYFUNCTION("""COMPUTED_VALUE"""),"| 5 L CPT @ | 6 L PHP-CGM @ ")</f>
        <v xml:space="preserve">| 5 L CPT @ | 6 L PHP-CGM @ </v>
      </c>
      <c r="BP283" s="4" t="str">
        <f ca="1">IFERROR(__xludf.DUMMYFUNCTION("""COMPUTED_VALUE"""),"| 5 L JAVA % | 6 L JAVA % | 7 L PHP-CGM % | 8 L CPT % ")</f>
        <v xml:space="preserve">| 5 L JAVA % | 6 L JAVA % | 7 L PHP-CGM % | 8 L CPT % </v>
      </c>
      <c r="BQ283" s="4" t="str">
        <f ca="1">IFERROR(__xludf.DUMMYFUNCTION("""COMPUTED_VALUE"""),"| 5 L JAVA % ")</f>
        <v xml:space="preserve">| 5 L JAVA % </v>
      </c>
      <c r="BR283" s="4"/>
      <c r="BS283" s="4"/>
      <c r="BT283" s="4" t="str">
        <f ca="1">IFERROR(__xludf.DUMMYFUNCTION("""COMPUTED_VALUE"""),"| 7 L PHP-CGM @ | 8 L CPT @ ")</f>
        <v xml:space="preserve">| 7 L PHP-CGM @ | 8 L CPT @ </v>
      </c>
      <c r="BU283" s="4" t="str">
        <f ca="1">IFERROR(__xludf.DUMMYFUNCTION("""COMPUTED_VALUE"""),"| 8 L NS @ ")</f>
        <v xml:space="preserve">| 8 L NS @ </v>
      </c>
      <c r="BV283" s="4" t="str">
        <f ca="1">IFERROR(__xludf.DUMMYFUNCTION("""COMPUTED_VALUE"""),"| 5 L JAVA @ | 6 L NS @ | 7 L PHP-CGM @ | 8 L CPT @ | 9 P JAVA @ ")</f>
        <v xml:space="preserve">| 5 L JAVA @ | 6 L NS @ | 7 L PHP-CGM @ | 8 L CPT @ | 9 P JAVA @ </v>
      </c>
      <c r="BW283" s="4"/>
      <c r="BX283" s="4" t="str">
        <f ca="1">IFERROR(__xludf.DUMMYFUNCTION("""COMPUTED_VALUE"""),"| 5 L JAVA @ | 6 L NS @ | 7 L PRO @ | 9 P CPT @ ")</f>
        <v xml:space="preserve">| 5 L JAVA @ | 6 L NS @ | 7 L PRO @ | 9 P CPT @ </v>
      </c>
      <c r="BY283" s="4" t="str">
        <f ca="1">IFERROR(__xludf.DUMMYFUNCTION("""COMPUTED_VALUE"""),"| 5 L INE % | 7 P JAVA % | 9 P Python % ")</f>
        <v xml:space="preserve">| 5 L INE % | 7 P JAVA % | 9 P Python % </v>
      </c>
      <c r="BZ283" s="4" t="str">
        <f ca="1">IFERROR(__xludf.DUMMYFUNCTION("""COMPUTED_VALUE"""),"| 5 L CPT @ | 6 L PHP-CGM @ | 7 P NS @ | 9 P Python @ ")</f>
        <v xml:space="preserve">| 5 L CPT @ | 6 L PHP-CGM @ | 7 P NS @ | 9 P Python @ </v>
      </c>
      <c r="CA283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83" s="4" t="str">
        <f ca="1">IFERROR(__xludf.DUMMYFUNCTION("""COMPUTED_VALUE"""),"| 5 L PHP-CGM @ | 6 L CPT @ | 7 L NS @ | 9 P PHP-CGM @ ")</f>
        <v xml:space="preserve">| 5 L PHP-CGM @ | 6 L CPT @ | 7 L NS @ | 9 P PHP-CGM @ </v>
      </c>
      <c r="CC283" s="4" t="str">
        <f ca="1">IFERROR(__xludf.DUMMYFUNCTION("""COMPUTED_VALUE"""),"| 5 L JAVA @ | 6 L NS @ | 9 P CPT @ ")</f>
        <v xml:space="preserve">| 5 L JAVA @ | 6 L NS @ | 9 P CPT @ </v>
      </c>
      <c r="CD283" s="4" t="str">
        <f ca="1">IFERROR(__xludf.DUMMYFUNCTION("""COMPUTED_VALUE"""),"| 5 L INE % | 7 P NS @ ")</f>
        <v xml:space="preserve">| 5 L INE % | 7 P NS @ </v>
      </c>
      <c r="CE283" s="4" t="str">
        <f ca="1">IFERROR(__xludf.DUMMYFUNCTION("""COMPUTED_VALUE"""),"| 5 L CPT % | 6 L PHP-CGM % | 7 P JAVA % | 9 P Python % ")</f>
        <v xml:space="preserve">| 5 L CPT % | 6 L PHP-CGM % | 7 P JAVA % | 9 P Python % </v>
      </c>
      <c r="CF283" s="4" t="str">
        <f ca="1">IFERROR(__xludf.DUMMYFUNCTION("""COMPUTED_VALUE"""),"| 5 L JAVA @ | 6 L NS @ | 7 L PHP-CGM @ | 8 L CPT @ | 9 P JAVA % ")</f>
        <v xml:space="preserve">| 5 L JAVA @ | 6 L NS @ | 7 L PHP-CGM @ | 8 L CPT @ | 9 P JAVA % </v>
      </c>
      <c r="CG283" s="4" t="str">
        <f ca="1">IFERROR(__xludf.DUMMYFUNCTION("""COMPUTED_VALUE"""),"| 5 L PHP-CGM @ | 6 L CPT @ | 7 L JAVA @ | 8 L NS % | 9 P PHP-CGM % ")</f>
        <v xml:space="preserve">| 5 L PHP-CGM @ | 6 L CPT @ | 7 L JAVA @ | 8 L NS % | 9 P PHP-CGM % </v>
      </c>
      <c r="CH283" s="4" t="str">
        <f ca="1">IFERROR(__xludf.DUMMYFUNCTION("""COMPUTED_VALUE"""),"| 5 L JAVA % | 6 L NS % | 9 P CPT % ")</f>
        <v xml:space="preserve">| 5 L JAVA % | 6 L NS % | 9 P CPT % </v>
      </c>
      <c r="CI283" s="4" t="str">
        <f ca="1">IFERROR(__xludf.DUMMYFUNCTION("""COMPUTED_VALUE"""),"| 5 L INE @ | 9 P Python % ")</f>
        <v xml:space="preserve">| 5 L INE @ | 9 P Python % </v>
      </c>
      <c r="CJ283" s="4" t="str">
        <f ca="1">IFERROR(__xludf.DUMMYFUNCTION("""COMPUTED_VALUE"""),"| 5 L CPT @ | 6 L PHP-CGM @ ")</f>
        <v xml:space="preserve">| 5 L CPT @ | 6 L PHP-CGM @ </v>
      </c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</row>
    <row r="284" spans="1:102" ht="12.5" x14ac:dyDescent="0.25">
      <c r="A284" s="3">
        <f ca="1">IFERROR(__xludf.DUMMYFUNCTION("""COMPUTED_VALUE"""),1)</f>
        <v>1</v>
      </c>
      <c r="B284" s="3" t="str">
        <f ca="1">IFERROR(__xludf.DUMMYFUNCTION("""COMPUTED_VALUE"""),"D")</f>
        <v>D</v>
      </c>
      <c r="C284" s="32" t="str">
        <f ca="1">IFERROR(__xludf.DUMMYFUNCTION("""COMPUTED_VALUE"""),"23171341041")</f>
        <v>23171341041</v>
      </c>
      <c r="D284" s="4" t="str">
        <f ca="1">IFERROR(__xludf.DUMMYFUNCTION("""COMPUTED_VALUE"""),"KANSARA HARDI PANKAJKUMAR")</f>
        <v>KANSARA HARDI PANKAJKUMAR</v>
      </c>
      <c r="E284" s="3" t="str">
        <f ca="1">IFERROR(__xludf.DUMMYFUNCTION("""COMPUTED_VALUE"""),"ZPP - Eve")</f>
        <v>ZPP - Eve</v>
      </c>
      <c r="F284" s="3">
        <f ca="1">IFERROR(__xludf.DUMMYFUNCTION("""COMPUTED_VALUE"""),9427259394)</f>
        <v>9427259394</v>
      </c>
      <c r="G284" s="3">
        <f ca="1">IFERROR(__xludf.DUMMYFUNCTION("""COMPUTED_VALUE"""),9898293783)</f>
        <v>9898293783</v>
      </c>
      <c r="H284" s="33">
        <f ca="1">IFERROR(__xludf.DUMMYFUNCTION("""COMPUTED_VALUE"""),0.806167400881057)</f>
        <v>0.80616740088105698</v>
      </c>
      <c r="I284" s="25">
        <f ca="1">IFERROR(__xludf.DUMMYFUNCTION("""COMPUTED_VALUE"""),0.742857142857142)</f>
        <v>0.74285714285714199</v>
      </c>
      <c r="J284" s="25">
        <f ca="1">IFERROR(__xludf.DUMMYFUNCTION("""COMPUTED_VALUE"""),0.818181818181818)</f>
        <v>0.81818181818181801</v>
      </c>
      <c r="K284" s="25">
        <f ca="1">IFERROR(__xludf.DUMMYFUNCTION("""COMPUTED_VALUE"""),0.90625)</f>
        <v>0.90625</v>
      </c>
      <c r="L284" s="25">
        <f ca="1">IFERROR(__xludf.DUMMYFUNCTION("""COMPUTED_VALUE"""),0.777777777777777)</f>
        <v>0.77777777777777701</v>
      </c>
      <c r="M284" s="25">
        <f ca="1">IFERROR(__xludf.DUMMYFUNCTION("""COMPUTED_VALUE"""),0.75)</f>
        <v>0.75</v>
      </c>
      <c r="N284" s="25">
        <f ca="1">IFERROR(__xludf.DUMMYFUNCTION("""COMPUTED_VALUE"""),0.888888888888888)</f>
        <v>0.88888888888888795</v>
      </c>
      <c r="O284" s="25">
        <f ca="1">IFERROR(__xludf.DUMMYFUNCTION("""COMPUTED_VALUE"""),0.861111111111111)</f>
        <v>0.86111111111111105</v>
      </c>
      <c r="P284" s="25">
        <f ca="1">IFERROR(__xludf.DUMMYFUNCTION("""COMPUTED_VALUE"""),0.894736842105263)</f>
        <v>0.89473684210526305</v>
      </c>
      <c r="Q284" s="25">
        <f ca="1">IFERROR(__xludf.DUMMYFUNCTION("""COMPUTED_VALUE"""),0)</f>
        <v>0</v>
      </c>
      <c r="R284" s="25">
        <f ca="1">IFERROR(__xludf.DUMMYFUNCTION("""COMPUTED_VALUE"""),0.75)</f>
        <v>0.75</v>
      </c>
      <c r="S284" s="25">
        <f ca="1">IFERROR(__xludf.DUMMYFUNCTION("""COMPUTED_VALUE"""),0.769230769230769)</f>
        <v>0.76923076923076905</v>
      </c>
      <c r="T284" s="25">
        <f ca="1">IFERROR(__xludf.DUMMYFUNCTION("""COMPUTED_VALUE"""),1)</f>
        <v>1</v>
      </c>
      <c r="U284" s="25">
        <f ca="1">IFERROR(__xludf.DUMMYFUNCTION("""COMPUTED_VALUE"""),0.6)</f>
        <v>0.6</v>
      </c>
      <c r="V284" s="25">
        <f ca="1">IFERROR(__xludf.DUMMYFUNCTION("""COMPUTED_VALUE"""),0)</f>
        <v>0</v>
      </c>
      <c r="W284" s="4"/>
      <c r="X284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84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84" s="4" t="str">
        <f ca="1">IFERROR(__xludf.DUMMYFUNCTION("""COMPUTED_VALUE"""),"| 5 L NS % | 6 L JAVA % | 7 L PRO % | 8 L PRO % | 9 P CPT % ")</f>
        <v xml:space="preserve">| 5 L NS % | 6 L JAVA % | 7 L PRO % | 8 L PRO % | 9 P CPT % </v>
      </c>
      <c r="AA284" s="4" t="str">
        <f ca="1">IFERROR(__xludf.DUMMYFUNCTION("""COMPUTED_VALUE"""),"| 7 P JAVA % | 9 P Python % ")</f>
        <v xml:space="preserve">| 7 P JAVA % | 9 P Python % </v>
      </c>
      <c r="AB284" s="4" t="str">
        <f ca="1">IFERROR(__xludf.DUMMYFUNCTION("""COMPUTED_VALUE"""),"| 5 L JAVA % | 6 L PHP-CGM % | 7 P NS % | 9 P Python % ")</f>
        <v xml:space="preserve">| 5 L JAVA % | 6 L PHP-CGM % | 7 P NS % | 9 P Python % </v>
      </c>
      <c r="AC284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84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84" s="4" t="str">
        <f ca="1">IFERROR(__xludf.DUMMYFUNCTION("""COMPUTED_VALUE"""),"| 5 L JAVA % | 6 L NS % | 7 L PRO % | 9 P CPT % ")</f>
        <v xml:space="preserve">| 5 L JAVA % | 6 L NS % | 7 L PRO % | 9 P CPT % </v>
      </c>
      <c r="AF284" s="4" t="str">
        <f ca="1">IFERROR(__xludf.DUMMYFUNCTION("""COMPUTED_VALUE"""),"| 7 P JAVA % ")</f>
        <v xml:space="preserve">| 7 P JAVA % </v>
      </c>
      <c r="AG284" s="4" t="str">
        <f ca="1">IFERROR(__xludf.DUMMYFUNCTION("""COMPUTED_VALUE"""),"| 5 L CPT % | 6 L PHP-CGM % | 7 P NS % | 9 P Python % ")</f>
        <v xml:space="preserve">| 5 L CPT % | 6 L PHP-CGM % | 7 P NS % | 9 P Python % </v>
      </c>
      <c r="AH284" s="4" t="str">
        <f ca="1">IFERROR(__xludf.DUMMYFUNCTION("""COMPUTED_VALUE"""),"| 7 P JAVA % | 9 P Python % ")</f>
        <v xml:space="preserve">| 7 P JAVA % | 9 P Python % </v>
      </c>
      <c r="AI284" s="4" t="str">
        <f ca="1">IFERROR(__xludf.DUMMYFUNCTION("""COMPUTED_VALUE"""),"| 5 L CPT % | 6 L PHP-CGM % | 7 P NS @ | 9 P Python @ ")</f>
        <v xml:space="preserve">| 5 L CPT % | 6 L PHP-CGM % | 7 P NS @ | 9 P Python @ </v>
      </c>
      <c r="AJ284" s="4" t="str">
        <f ca="1">IFERROR(__xludf.DUMMYFUNCTION("""COMPUTED_VALUE"""),"| 5 L JAVA % | 6 L NS % | 7 L PHP-CGM @ | 9 P JAVA @ | 8 L CPT @ ")</f>
        <v xml:space="preserve">| 5 L JAVA % | 6 L NS % | 7 L PHP-CGM @ | 9 P JAVA @ | 8 L CPT @ </v>
      </c>
      <c r="AK284" s="4" t="str">
        <f ca="1">IFERROR(__xludf.DUMMYFUNCTION("""COMPUTED_VALUE"""),"| 5 L PHP-CGM % | 6 L CPT % | 8 L JAVA % | 7 L NS % | 9 P PHP-CGM @ ")</f>
        <v xml:space="preserve">| 5 L PHP-CGM % | 6 L CPT % | 8 L JAVA % | 7 L NS % | 9 P PHP-CGM @ </v>
      </c>
      <c r="AL284" s="4" t="str">
        <f ca="1">IFERROR(__xludf.DUMMYFUNCTION("""COMPUTED_VALUE"""),"| 6 L NS % | 7 L NS % | 7 L PRO % | 8 L PRO % | 9 P CPT % ")</f>
        <v xml:space="preserve">| 6 L NS % | 7 L NS % | 7 L PRO % | 8 L PRO % | 9 P CPT % </v>
      </c>
      <c r="AM284" s="4" t="str">
        <f ca="1">IFERROR(__xludf.DUMMYFUNCTION("""COMPUTED_VALUE"""),"| 5 L INE % | 7 P JAVA % | 9 P Python @ ")</f>
        <v xml:space="preserve">| 5 L INE % | 7 P JAVA % | 9 P Python @ </v>
      </c>
      <c r="AN284" s="4" t="str">
        <f ca="1">IFERROR(__xludf.DUMMYFUNCTION("""COMPUTED_VALUE"""),"| 5 L CPT @ | 6 L PHP-CGM @ ")</f>
        <v xml:space="preserve">| 5 L CPT @ | 6 L PHP-CGM @ </v>
      </c>
      <c r="AO284" s="4" t="str">
        <f ca="1">IFERROR(__xludf.DUMMYFUNCTION("""COMPUTED_VALUE"""),"| 5 L JAVA % | 5 L NS % | 7 L PHP-CGM % | 8 L CPT % ")</f>
        <v xml:space="preserve">| 5 L JAVA % | 5 L NS % | 7 L PHP-CGM % | 8 L CPT % </v>
      </c>
      <c r="AP284" s="4" t="str">
        <f ca="1">IFERROR(__xludf.DUMMYFUNCTION("""COMPUTED_VALUE"""),"| 5 L PHP-CGM % | 6 L CPT % | 7 L JAVA % | 7 L NS % ")</f>
        <v xml:space="preserve">| 5 L PHP-CGM % | 6 L CPT % | 7 L JAVA % | 7 L NS % </v>
      </c>
      <c r="AQ284" s="4" t="str">
        <f ca="1">IFERROR(__xludf.DUMMYFUNCTION("""COMPUTED_VALUE"""),"| 5 L JAVA % | 6 L NS % | 7 L PRO % | 8 L PRO % | 9 P CPT @ ")</f>
        <v xml:space="preserve">| 5 L JAVA % | 6 L NS % | 7 L PRO % | 8 L PRO % | 9 P CPT @ </v>
      </c>
      <c r="AR284" s="4" t="str">
        <f ca="1">IFERROR(__xludf.DUMMYFUNCTION("""COMPUTED_VALUE"""),"| 5 L INE @ ")</f>
        <v xml:space="preserve">| 5 L INE @ </v>
      </c>
      <c r="AS284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AT284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84" s="4" t="str">
        <f ca="1">IFERROR(__xludf.DUMMYFUNCTION("""COMPUTED_VALUE"""),"| 5 L JAVA % | 6 L NS % | 7 P PRO % | 9 P CPT % ")</f>
        <v xml:space="preserve">| 5 L JAVA % | 6 L NS % | 7 P PRO % | 9 P CPT % </v>
      </c>
      <c r="AV284" s="4" t="str">
        <f ca="1">IFERROR(__xludf.DUMMYFUNCTION("""COMPUTED_VALUE"""),"| 5 L INE % | 7 P JAVA % | 9 P Python % ")</f>
        <v xml:space="preserve">| 5 L INE % | 7 P JAVA % | 9 P Python % </v>
      </c>
      <c r="AW284" s="4" t="str">
        <f ca="1">IFERROR(__xludf.DUMMYFUNCTION("""COMPUTED_VALUE"""),"| 5 L CPT % | 6 L PHP-CGM % | 7 P NS % | 9 P Python % ")</f>
        <v xml:space="preserve">| 5 L CPT % | 6 L PHP-CGM % | 7 P NS % | 9 P Python % </v>
      </c>
      <c r="AX284" s="4" t="str">
        <f ca="1">IFERROR(__xludf.DUMMYFUNCTION("""COMPUTED_VALUE"""),"| 5 L JAVA % | 6 L JAVA % | 7 L PHP-CGM % | 8 L CPT % | 9 P JAVA @ ")</f>
        <v xml:space="preserve">| 5 L JAVA % | 6 L JAVA % | 7 L PHP-CGM % | 8 L CPT % | 9 P JAVA @ </v>
      </c>
      <c r="AY284" s="4" t="str">
        <f ca="1">IFERROR(__xludf.DUMMYFUNCTION("""COMPUTED_VALUE"""),"| 5 L PHP-CGM % | 6 L CPT % | 7 L NS % | 8 L NS % | 9 P PHP-CGM % ")</f>
        <v xml:space="preserve">| 5 L PHP-CGM % | 6 L CPT % | 7 L NS % | 8 L NS % | 9 P PHP-CGM % </v>
      </c>
      <c r="AZ284" s="4" t="str">
        <f ca="1">IFERROR(__xludf.DUMMYFUNCTION("""COMPUTED_VALUE"""),"| 5 L INE % | 7 P JAVA % ")</f>
        <v xml:space="preserve">| 5 L INE % | 7 P JAVA % </v>
      </c>
      <c r="BA284" s="4" t="str">
        <f ca="1">IFERROR(__xludf.DUMMYFUNCTION("""COMPUTED_VALUE"""),"| 5 L CPT @ | 6 L PHP-CGM @ | 7 P NS % | 9 P Python % ")</f>
        <v xml:space="preserve">| 5 L CPT @ | 6 L PHP-CGM @ | 7 P NS % | 9 P Python % </v>
      </c>
      <c r="BB284" s="4" t="str">
        <f ca="1">IFERROR(__xludf.DUMMYFUNCTION("""COMPUTED_VALUE"""),"| 5 L JAVA @ | 6 L NS % | 7 L PHP-CGM % | 8 L CPT % | 9 P JAVA % ")</f>
        <v xml:space="preserve">| 5 L JAVA @ | 6 L NS % | 7 L PHP-CGM % | 8 L CPT % | 9 P JAVA % </v>
      </c>
      <c r="BC284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84" s="4" t="str">
        <f ca="1">IFERROR(__xludf.DUMMYFUNCTION("""COMPUTED_VALUE"""),"| 5 L JAVA % | 6 L NS % | 7 L PRO % | 8 L PRO % | 9 P CPT % ")</f>
        <v xml:space="preserve">| 5 L JAVA % | 6 L NS % | 7 L PRO % | 8 L PRO % | 9 P CPT % </v>
      </c>
      <c r="BE284" s="4" t="str">
        <f ca="1">IFERROR(__xludf.DUMMYFUNCTION("""COMPUTED_VALUE"""),"| 5 L INE @ | 7 P JAVA % | 9 P Python % ")</f>
        <v xml:space="preserve">| 5 L INE @ | 7 P JAVA % | 9 P Python % </v>
      </c>
      <c r="BF284" s="4" t="str">
        <f ca="1">IFERROR(__xludf.DUMMYFUNCTION("""COMPUTED_VALUE"""),"| 5 L CPT @ | 6 L PHP-CGM @ | 7 P NS @ | 9 P Python @ ")</f>
        <v xml:space="preserve">| 5 L CPT @ | 6 L PHP-CGM @ | 7 P NS @ | 9 P Python @ </v>
      </c>
      <c r="BG284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84" s="4" t="str">
        <f ca="1">IFERROR(__xludf.DUMMYFUNCTION("""COMPUTED_VALUE"""),"| 5 L JAVA % | 6 L NS % | 7 L PRO @ | 9 P CPT % ")</f>
        <v xml:space="preserve">| 5 L JAVA % | 6 L NS % | 7 L PRO @ | 9 P CPT % </v>
      </c>
      <c r="BI284" s="4" t="str">
        <f ca="1">IFERROR(__xludf.DUMMYFUNCTION("""COMPUTED_VALUE"""),"| 5 L INE % | 7 P JAVA % | 9 P Python % ")</f>
        <v xml:space="preserve">| 5 L INE % | 7 P JAVA % | 9 P Python % </v>
      </c>
      <c r="BJ284" s="4" t="str">
        <f ca="1">IFERROR(__xludf.DUMMYFUNCTION("""COMPUTED_VALUE"""),"| 5 L CPT % | 6 L PHP-CGM % | 7 P NS % ")</f>
        <v xml:space="preserve">| 5 L CPT % | 6 L PHP-CGM % | 7 P NS % </v>
      </c>
      <c r="BK284" s="4" t="str">
        <f ca="1">IFERROR(__xludf.DUMMYFUNCTION("""COMPUTED_VALUE"""),"| 5 L JAVA @ | 7 L PHP-CGM @ | 8 L CPT @ ")</f>
        <v xml:space="preserve">| 5 L JAVA @ | 7 L PHP-CGM @ | 8 L CPT @ </v>
      </c>
      <c r="BL284" s="4" t="str">
        <f ca="1">IFERROR(__xludf.DUMMYFUNCTION("""COMPUTED_VALUE"""),"| 5 L PHP-CGM @ | 6 L CPT @ | 8 L NS @ ")</f>
        <v xml:space="preserve">| 5 L PHP-CGM @ | 6 L CPT @ | 8 L NS @ </v>
      </c>
      <c r="BM284" s="4" t="str">
        <f ca="1">IFERROR(__xludf.DUMMYFUNCTION("""COMPUTED_VALUE"""),"| 5 L JAVA @ | 6 L NS @ | 7 L PRO @ | 8 L PRO @ | 9 P CPT @ ")</f>
        <v xml:space="preserve">| 5 L JAVA @ | 6 L NS @ | 7 L PRO @ | 8 L PRO @ | 9 P CPT @ </v>
      </c>
      <c r="BN284" s="4" t="str">
        <f ca="1">IFERROR(__xludf.DUMMYFUNCTION("""COMPUTED_VALUE"""),"| 5 L INE @ ")</f>
        <v xml:space="preserve">| 5 L INE @ </v>
      </c>
      <c r="BO284" s="4" t="str">
        <f ca="1">IFERROR(__xludf.DUMMYFUNCTION("""COMPUTED_VALUE"""),"| 5 L CPT @ | 6 L PHP-CGM @ ")</f>
        <v xml:space="preserve">| 5 L CPT @ | 6 L PHP-CGM @ </v>
      </c>
      <c r="BP284" s="4" t="str">
        <f ca="1">IFERROR(__xludf.DUMMYFUNCTION("""COMPUTED_VALUE"""),"| 5 L JAVA @ | 6 L JAVA @ | 7 L PHP-CGM @ | 8 L CPT @ ")</f>
        <v xml:space="preserve">| 5 L JAVA @ | 6 L JAVA @ | 7 L PHP-CGM @ | 8 L CPT @ </v>
      </c>
      <c r="BQ284" s="4" t="str">
        <f ca="1">IFERROR(__xludf.DUMMYFUNCTION("""COMPUTED_VALUE"""),"| 5 L JAVA % ")</f>
        <v xml:space="preserve">| 5 L JAVA % </v>
      </c>
      <c r="BR284" s="4"/>
      <c r="BS284" s="4"/>
      <c r="BT284" s="4" t="str">
        <f ca="1">IFERROR(__xludf.DUMMYFUNCTION("""COMPUTED_VALUE"""),"| 7 L PHP-CGM % | 8 L CPT % ")</f>
        <v xml:space="preserve">| 7 L PHP-CGM % | 8 L CPT % </v>
      </c>
      <c r="BU284" s="4" t="str">
        <f ca="1">IFERROR(__xludf.DUMMYFUNCTION("""COMPUTED_VALUE"""),"| 8 L NS @ ")</f>
        <v xml:space="preserve">| 8 L NS @ </v>
      </c>
      <c r="BV284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W284" s="4"/>
      <c r="BX284" s="4" t="str">
        <f ca="1">IFERROR(__xludf.DUMMYFUNCTION("""COMPUTED_VALUE"""),"| 5 L JAVA % | 6 L NS % | 7 L PRO % | 9 P CPT % ")</f>
        <v xml:space="preserve">| 5 L JAVA % | 6 L NS % | 7 L PRO % | 9 P CPT % </v>
      </c>
      <c r="BY284" s="4" t="str">
        <f ca="1">IFERROR(__xludf.DUMMYFUNCTION("""COMPUTED_VALUE"""),"| 5 L INE % | 7 P JAVA % | 9 P Python % ")</f>
        <v xml:space="preserve">| 5 L INE % | 7 P JAVA % | 9 P Python % </v>
      </c>
      <c r="BZ284" s="4" t="str">
        <f ca="1">IFERROR(__xludf.DUMMYFUNCTION("""COMPUTED_VALUE"""),"| 5 L CPT % | 6 L PHP-CGM % | 7 P NS % | 9 P Python @ ")</f>
        <v xml:space="preserve">| 5 L CPT % | 6 L PHP-CGM % | 7 P NS % | 9 P Python @ </v>
      </c>
      <c r="CA284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84" s="4" t="str">
        <f ca="1">IFERROR(__xludf.DUMMYFUNCTION("""COMPUTED_VALUE"""),"| 5 L PHP-CGM % | 6 L CPT % | 7 L NS % | 9 P PHP-CGM % ")</f>
        <v xml:space="preserve">| 5 L PHP-CGM % | 6 L CPT % | 7 L NS % | 9 P PHP-CGM % </v>
      </c>
      <c r="CC284" s="4" t="str">
        <f ca="1">IFERROR(__xludf.DUMMYFUNCTION("""COMPUTED_VALUE"""),"| 5 L JAVA % | 6 L NS % | 9 P CPT % ")</f>
        <v xml:space="preserve">| 5 L JAVA % | 6 L NS % | 9 P CPT % </v>
      </c>
      <c r="CD284" s="4" t="str">
        <f ca="1">IFERROR(__xludf.DUMMYFUNCTION("""COMPUTED_VALUE"""),"| 5 L INE % | 7 P NS % ")</f>
        <v xml:space="preserve">| 5 L INE % | 7 P NS % </v>
      </c>
      <c r="CE284" s="4" t="str">
        <f ca="1">IFERROR(__xludf.DUMMYFUNCTION("""COMPUTED_VALUE"""),"| 5 L CPT % | 6 L PHP-CGM % | 7 P JAVA % | 9 P Python % ")</f>
        <v xml:space="preserve">| 5 L CPT % | 6 L PHP-CGM % | 7 P JAVA % | 9 P Python % </v>
      </c>
      <c r="CF284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CG284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CH284" s="4" t="str">
        <f ca="1">IFERROR(__xludf.DUMMYFUNCTION("""COMPUTED_VALUE"""),"| 5 L JAVA % | 6 L NS % | 9 P CPT % ")</f>
        <v xml:space="preserve">| 5 L JAVA % | 6 L NS % | 9 P CPT % </v>
      </c>
      <c r="CI284" s="4" t="str">
        <f ca="1">IFERROR(__xludf.DUMMYFUNCTION("""COMPUTED_VALUE"""),"| 5 L INE @ | 9 P Python % ")</f>
        <v xml:space="preserve">| 5 L INE @ | 9 P Python % </v>
      </c>
      <c r="CJ284" s="4" t="str">
        <f ca="1">IFERROR(__xludf.DUMMYFUNCTION("""COMPUTED_VALUE"""),"| 5 L CPT @ | 6 L PHP-CGM @ ")</f>
        <v xml:space="preserve">| 5 L CPT @ | 6 L PHP-CGM @ </v>
      </c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</row>
    <row r="285" spans="1:102" ht="12.5" x14ac:dyDescent="0.25">
      <c r="A285" s="3">
        <f ca="1">IFERROR(__xludf.DUMMYFUNCTION("""COMPUTED_VALUE"""),1)</f>
        <v>1</v>
      </c>
      <c r="B285" s="3" t="str">
        <f ca="1">IFERROR(__xludf.DUMMYFUNCTION("""COMPUTED_VALUE"""),"D")</f>
        <v>D</v>
      </c>
      <c r="C285" s="32" t="str">
        <f ca="1">IFERROR(__xludf.DUMMYFUNCTION("""COMPUTED_VALUE"""),"23171341042")</f>
        <v>23171341042</v>
      </c>
      <c r="D285" s="4" t="str">
        <f ca="1">IFERROR(__xludf.DUMMYFUNCTION("""COMPUTED_VALUE"""),"KAVYA SHAH")</f>
        <v>KAVYA SHAH</v>
      </c>
      <c r="E285" s="3" t="str">
        <f ca="1">IFERROR(__xludf.DUMMYFUNCTION("""COMPUTED_VALUE"""),"ZPP - Eve")</f>
        <v>ZPP - Eve</v>
      </c>
      <c r="F285" s="3">
        <f ca="1">IFERROR(__xludf.DUMMYFUNCTION("""COMPUTED_VALUE"""),9016967760)</f>
        <v>9016967760</v>
      </c>
      <c r="G285" s="3">
        <f ca="1">IFERROR(__xludf.DUMMYFUNCTION("""COMPUTED_VALUE"""),9825651821)</f>
        <v>9825651821</v>
      </c>
      <c r="H285" s="33">
        <f ca="1">IFERROR(__xludf.DUMMYFUNCTION("""COMPUTED_VALUE"""),0.788546255506608)</f>
        <v>0.78854625550660795</v>
      </c>
      <c r="I285" s="25">
        <f ca="1">IFERROR(__xludf.DUMMYFUNCTION("""COMPUTED_VALUE"""),0.714285714285714)</f>
        <v>0.71428571428571397</v>
      </c>
      <c r="J285" s="25">
        <f ca="1">IFERROR(__xludf.DUMMYFUNCTION("""COMPUTED_VALUE"""),0.818181818181818)</f>
        <v>0.81818181818181801</v>
      </c>
      <c r="K285" s="25">
        <f ca="1">IFERROR(__xludf.DUMMYFUNCTION("""COMPUTED_VALUE"""),0.875)</f>
        <v>0.875</v>
      </c>
      <c r="L285" s="25">
        <f ca="1">IFERROR(__xludf.DUMMYFUNCTION("""COMPUTED_VALUE"""),0.888888888888888)</f>
        <v>0.88888888888888795</v>
      </c>
      <c r="M285" s="25">
        <f ca="1">IFERROR(__xludf.DUMMYFUNCTION("""COMPUTED_VALUE"""),0.722222222222222)</f>
        <v>0.72222222222222199</v>
      </c>
      <c r="N285" s="25">
        <f ca="1">IFERROR(__xludf.DUMMYFUNCTION("""COMPUTED_VALUE"""),0.777777777777777)</f>
        <v>0.77777777777777701</v>
      </c>
      <c r="O285" s="25">
        <f ca="1">IFERROR(__xludf.DUMMYFUNCTION("""COMPUTED_VALUE"""),0.805555555555555)</f>
        <v>0.80555555555555503</v>
      </c>
      <c r="P285" s="25">
        <f ca="1">IFERROR(__xludf.DUMMYFUNCTION("""COMPUTED_VALUE"""),0.842105263157894)</f>
        <v>0.84210526315789402</v>
      </c>
      <c r="Q285" s="25">
        <f ca="1">IFERROR(__xludf.DUMMYFUNCTION("""COMPUTED_VALUE"""),0)</f>
        <v>0</v>
      </c>
      <c r="R285" s="25">
        <f ca="1">IFERROR(__xludf.DUMMYFUNCTION("""COMPUTED_VALUE"""),0.875)</f>
        <v>0.875</v>
      </c>
      <c r="S285" s="25">
        <f ca="1">IFERROR(__xludf.DUMMYFUNCTION("""COMPUTED_VALUE"""),0.769230769230769)</f>
        <v>0.76923076923076905</v>
      </c>
      <c r="T285" s="25">
        <f ca="1">IFERROR(__xludf.DUMMYFUNCTION("""COMPUTED_VALUE"""),1)</f>
        <v>1</v>
      </c>
      <c r="U285" s="25">
        <f ca="1">IFERROR(__xludf.DUMMYFUNCTION("""COMPUTED_VALUE"""),0.6)</f>
        <v>0.6</v>
      </c>
      <c r="V285" s="25">
        <f ca="1">IFERROR(__xludf.DUMMYFUNCTION("""COMPUTED_VALUE"""),0)</f>
        <v>0</v>
      </c>
      <c r="W285" s="4"/>
      <c r="X285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Y285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Z285" s="4" t="str">
        <f ca="1">IFERROR(__xludf.DUMMYFUNCTION("""COMPUTED_VALUE"""),"| 5 L NS % | 6 L JAVA % | 7 L PRO % | 8 L PRO % | 9 P CPT % ")</f>
        <v xml:space="preserve">| 5 L NS % | 6 L JAVA % | 7 L PRO % | 8 L PRO % | 9 P CPT % </v>
      </c>
      <c r="AA285" s="4" t="str">
        <f ca="1">IFERROR(__xludf.DUMMYFUNCTION("""COMPUTED_VALUE"""),"| 7 P JAVA % | 9 P Python % ")</f>
        <v xml:space="preserve">| 7 P JAVA % | 9 P Python % </v>
      </c>
      <c r="AB285" s="4" t="str">
        <f ca="1">IFERROR(__xludf.DUMMYFUNCTION("""COMPUTED_VALUE"""),"| 5 L JAVA % | 6 L PHP-CGM % | 7 P NS % | 9 P Python % ")</f>
        <v xml:space="preserve">| 5 L JAVA % | 6 L PHP-CGM % | 7 P NS % | 9 P Python % </v>
      </c>
      <c r="AC285" s="4" t="str">
        <f ca="1">IFERROR(__xludf.DUMMYFUNCTION("""COMPUTED_VALUE"""),"| 5 L JAVA % | 6 L NS % | 7 L PHP-CGM % | 9 P JAVA % | 8 L CPT % ")</f>
        <v xml:space="preserve">| 5 L JAVA % | 6 L NS % | 7 L PHP-CGM % | 9 P JAVA % | 8 L CPT % </v>
      </c>
      <c r="AD285" s="4" t="str">
        <f ca="1">IFERROR(__xludf.DUMMYFUNCTION("""COMPUTED_VALUE"""),"| 5 L PHP-CGM % | 6 L CPT % | 7 L NS % | 8 L JAVA % | 9 P PHP-CGM % ")</f>
        <v xml:space="preserve">| 5 L PHP-CGM % | 6 L CPT % | 7 L NS % | 8 L JAVA % | 9 P PHP-CGM % </v>
      </c>
      <c r="AE285" s="4" t="str">
        <f ca="1">IFERROR(__xludf.DUMMYFUNCTION("""COMPUTED_VALUE"""),"| 5 L JAVA % | 6 L NS % | 7 L PRO % | 9 P CPT % ")</f>
        <v xml:space="preserve">| 5 L JAVA % | 6 L NS % | 7 L PRO % | 9 P CPT % </v>
      </c>
      <c r="AF285" s="4" t="str">
        <f ca="1">IFERROR(__xludf.DUMMYFUNCTION("""COMPUTED_VALUE"""),"| 7 P JAVA % ")</f>
        <v xml:space="preserve">| 7 P JAVA % </v>
      </c>
      <c r="AG285" s="4" t="str">
        <f ca="1">IFERROR(__xludf.DUMMYFUNCTION("""COMPUTED_VALUE"""),"| 5 L CPT % | 6 L PHP-CGM % | 7 P NS % | 9 P Python % ")</f>
        <v xml:space="preserve">| 5 L CPT % | 6 L PHP-CGM % | 7 P NS % | 9 P Python % </v>
      </c>
      <c r="AH285" s="4" t="str">
        <f ca="1">IFERROR(__xludf.DUMMYFUNCTION("""COMPUTED_VALUE"""),"| 7 P JAVA % | 9 P Python % ")</f>
        <v xml:space="preserve">| 7 P JAVA % | 9 P Python % </v>
      </c>
      <c r="AI285" s="4" t="str">
        <f ca="1">IFERROR(__xludf.DUMMYFUNCTION("""COMPUTED_VALUE"""),"| 5 L CPT % | 6 L PHP-CGM % | 7 P NS % | 9 P Python % ")</f>
        <v xml:space="preserve">| 5 L CPT % | 6 L PHP-CGM % | 7 P NS % | 9 P Python % </v>
      </c>
      <c r="AJ285" s="4" t="str">
        <f ca="1">IFERROR(__xludf.DUMMYFUNCTION("""COMPUTED_VALUE"""),"| 5 L JAVA % | 6 L NS % | 7 L PHP-CGM @ | 9 P JAVA @ | 8 L CPT @ ")</f>
        <v xml:space="preserve">| 5 L JAVA % | 6 L NS % | 7 L PHP-CGM @ | 9 P JAVA @ | 8 L CPT @ </v>
      </c>
      <c r="AK285" s="4" t="str">
        <f ca="1">IFERROR(__xludf.DUMMYFUNCTION("""COMPUTED_VALUE"""),"| 5 L PHP-CGM % | 6 L CPT % | 8 L JAVA % | 7 L NS % | 9 P PHP-CGM % ")</f>
        <v xml:space="preserve">| 5 L PHP-CGM % | 6 L CPT % | 8 L JAVA % | 7 L NS % | 9 P PHP-CGM % </v>
      </c>
      <c r="AL285" s="4" t="str">
        <f ca="1">IFERROR(__xludf.DUMMYFUNCTION("""COMPUTED_VALUE"""),"| 6 L NS % | 7 L NS % | 7 L PRO % | 8 L PRO % | 9 P CPT % ")</f>
        <v xml:space="preserve">| 6 L NS % | 7 L NS % | 7 L PRO % | 8 L PRO % | 9 P CPT % </v>
      </c>
      <c r="AM285" s="4" t="str">
        <f ca="1">IFERROR(__xludf.DUMMYFUNCTION("""COMPUTED_VALUE"""),"| 5 L INE % | 7 P JAVA % | 9 P Python % ")</f>
        <v xml:space="preserve">| 5 L INE % | 7 P JAVA % | 9 P Python % </v>
      </c>
      <c r="AN285" s="4" t="str">
        <f ca="1">IFERROR(__xludf.DUMMYFUNCTION("""COMPUTED_VALUE"""),"| 5 L CPT @ | 6 L PHP-CGM @ ")</f>
        <v xml:space="preserve">| 5 L CPT @ | 6 L PHP-CGM @ </v>
      </c>
      <c r="AO285" s="4" t="str">
        <f ca="1">IFERROR(__xludf.DUMMYFUNCTION("""COMPUTED_VALUE"""),"| 5 L JAVA % | 5 L NS % | 7 L PHP-CGM % | 8 L CPT % ")</f>
        <v xml:space="preserve">| 5 L JAVA % | 5 L NS % | 7 L PHP-CGM % | 8 L CPT % </v>
      </c>
      <c r="AP285" s="4" t="str">
        <f ca="1">IFERROR(__xludf.DUMMYFUNCTION("""COMPUTED_VALUE"""),"| 5 L PHP-CGM % | 6 L CPT % | 7 L JAVA % | 7 L NS % ")</f>
        <v xml:space="preserve">| 5 L PHP-CGM % | 6 L CPT % | 7 L JAVA % | 7 L NS % </v>
      </c>
      <c r="AQ285" s="4" t="str">
        <f ca="1">IFERROR(__xludf.DUMMYFUNCTION("""COMPUTED_VALUE"""),"| 5 L JAVA % | 6 L NS % | 7 L PRO % | 8 L PRO % | 9 P CPT @ ")</f>
        <v xml:space="preserve">| 5 L JAVA % | 6 L NS % | 7 L PRO % | 8 L PRO % | 9 P CPT @ </v>
      </c>
      <c r="AR285" s="4" t="str">
        <f ca="1">IFERROR(__xludf.DUMMYFUNCTION("""COMPUTED_VALUE"""),"| 5 L INE @ ")</f>
        <v xml:space="preserve">| 5 L INE @ </v>
      </c>
      <c r="AS285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AT285" s="4" t="str">
        <f ca="1">IFERROR(__xludf.DUMMYFUNCTION("""COMPUTED_VALUE"""),"| 5 L PHP-CGM % | 6 L CPT % | 7 L JAVA % | 8 L JAVA % | 9 P PHP-CGM % ")</f>
        <v xml:space="preserve">| 5 L PHP-CGM % | 6 L CPT % | 7 L JAVA % | 8 L JAVA % | 9 P PHP-CGM % </v>
      </c>
      <c r="AU285" s="4" t="str">
        <f ca="1">IFERROR(__xludf.DUMMYFUNCTION("""COMPUTED_VALUE"""),"| 5 L JAVA % | 6 L NS % | 7 P PRO % | 9 P CPT % ")</f>
        <v xml:space="preserve">| 5 L JAVA % | 6 L NS % | 7 P PRO % | 9 P CPT % </v>
      </c>
      <c r="AV285" s="4" t="str">
        <f ca="1">IFERROR(__xludf.DUMMYFUNCTION("""COMPUTED_VALUE"""),"| 5 L INE % | 7 P JAVA % | 9 P Python % ")</f>
        <v xml:space="preserve">| 5 L INE % | 7 P JAVA % | 9 P Python % </v>
      </c>
      <c r="AW285" s="4" t="str">
        <f ca="1">IFERROR(__xludf.DUMMYFUNCTION("""COMPUTED_VALUE"""),"| 5 L CPT % | 6 L PHP-CGM % | 7 P NS % | 9 P Python % ")</f>
        <v xml:space="preserve">| 5 L CPT % | 6 L PHP-CGM % | 7 P NS % | 9 P Python % </v>
      </c>
      <c r="AX285" s="4" t="str">
        <f ca="1">IFERROR(__xludf.DUMMYFUNCTION("""COMPUTED_VALUE"""),"| 5 L JAVA @ | 6 L JAVA @ | 7 L PHP-CGM @ | 8 L CPT @ | 9 P JAVA @ ")</f>
        <v xml:space="preserve">| 5 L JAVA @ | 6 L JAVA @ | 7 L PHP-CGM @ | 8 L CPT @ | 9 P JAVA @ </v>
      </c>
      <c r="AY285" s="4" t="str">
        <f ca="1">IFERROR(__xludf.DUMMYFUNCTION("""COMPUTED_VALUE"""),"| 5 L PHP-CGM @ | 6 L CPT @ | 7 L NS @ | 8 L NS @ | 9 P PHP-CGM @ ")</f>
        <v xml:space="preserve">| 5 L PHP-CGM @ | 6 L CPT @ | 7 L NS @ | 8 L NS @ | 9 P PHP-CGM @ </v>
      </c>
      <c r="AZ285" s="4" t="str">
        <f ca="1">IFERROR(__xludf.DUMMYFUNCTION("""COMPUTED_VALUE"""),"| 5 L INE @ | 7 P JAVA @ ")</f>
        <v xml:space="preserve">| 5 L INE @ | 7 P JAVA @ </v>
      </c>
      <c r="BA285" s="4" t="str">
        <f ca="1">IFERROR(__xludf.DUMMYFUNCTION("""COMPUTED_VALUE"""),"| 5 L CPT @ | 6 L PHP-CGM @ | 7 P NS @ | 9 P Python @ ")</f>
        <v xml:space="preserve">| 5 L CPT @ | 6 L PHP-CGM @ | 7 P NS @ | 9 P Python @ </v>
      </c>
      <c r="BB285" s="4" t="str">
        <f ca="1">IFERROR(__xludf.DUMMYFUNCTION("""COMPUTED_VALUE"""),"| 5 L JAVA @ | 6 L NS % | 7 L PHP-CGM % | 8 L CPT % | 9 P JAVA % ")</f>
        <v xml:space="preserve">| 5 L JAVA @ | 6 L NS % | 7 L PHP-CGM % | 8 L CPT % | 9 P JAVA % </v>
      </c>
      <c r="BC285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D285" s="4" t="str">
        <f ca="1">IFERROR(__xludf.DUMMYFUNCTION("""COMPUTED_VALUE"""),"| 5 L JAVA % | 6 L NS % | 7 L PRO % | 8 L PRO % | 9 P CPT % ")</f>
        <v xml:space="preserve">| 5 L JAVA % | 6 L NS % | 7 L PRO % | 8 L PRO % | 9 P CPT % </v>
      </c>
      <c r="BE285" s="4" t="str">
        <f ca="1">IFERROR(__xludf.DUMMYFUNCTION("""COMPUTED_VALUE"""),"| 5 L INE % | 7 P JAVA % | 9 P Python % ")</f>
        <v xml:space="preserve">| 5 L INE % | 7 P JAVA % | 9 P Python % </v>
      </c>
      <c r="BF285" s="4" t="str">
        <f ca="1">IFERROR(__xludf.DUMMYFUNCTION("""COMPUTED_VALUE"""),"| 5 L CPT % | 6 L PHP-CGM % | 7 P NS % | 9 P Python % ")</f>
        <v xml:space="preserve">| 5 L CPT % | 6 L PHP-CGM % | 7 P NS % | 9 P Python % </v>
      </c>
      <c r="BG285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BH285" s="4" t="str">
        <f ca="1">IFERROR(__xludf.DUMMYFUNCTION("""COMPUTED_VALUE"""),"| 5 L JAVA % | 6 L NS % | 7 L PRO @ | 9 P CPT % ")</f>
        <v xml:space="preserve">| 5 L JAVA % | 6 L NS % | 7 L PRO @ | 9 P CPT % </v>
      </c>
      <c r="BI285" s="4" t="str">
        <f ca="1">IFERROR(__xludf.DUMMYFUNCTION("""COMPUTED_VALUE"""),"| 5 L INE % | 7 P JAVA % | 9 P Python % ")</f>
        <v xml:space="preserve">| 5 L INE % | 7 P JAVA % | 9 P Python % </v>
      </c>
      <c r="BJ285" s="4" t="str">
        <f ca="1">IFERROR(__xludf.DUMMYFUNCTION("""COMPUTED_VALUE"""),"| 5 L CPT % | 6 L PHP-CGM % | 7 P NS % ")</f>
        <v xml:space="preserve">| 5 L CPT % | 6 L PHP-CGM % | 7 P NS % </v>
      </c>
      <c r="BK285" s="4" t="str">
        <f ca="1">IFERROR(__xludf.DUMMYFUNCTION("""COMPUTED_VALUE"""),"| 5 L JAVA @ | 7 L PHP-CGM @ | 8 L CPT @ ")</f>
        <v xml:space="preserve">| 5 L JAVA @ | 7 L PHP-CGM @ | 8 L CPT @ </v>
      </c>
      <c r="BL285" s="4" t="str">
        <f ca="1">IFERROR(__xludf.DUMMYFUNCTION("""COMPUTED_VALUE"""),"| 5 L PHP-CGM % | 6 L CPT % | 8 L NS % ")</f>
        <v xml:space="preserve">| 5 L PHP-CGM % | 6 L CPT % | 8 L NS % </v>
      </c>
      <c r="BM285" s="4" t="str">
        <f ca="1">IFERROR(__xludf.DUMMYFUNCTION("""COMPUTED_VALUE"""),"| 5 L JAVA @ | 6 L NS @ | 7 L PRO @ | 8 L PRO @ | 9 P CPT @ ")</f>
        <v xml:space="preserve">| 5 L JAVA @ | 6 L NS @ | 7 L PRO @ | 8 L PRO @ | 9 P CPT @ </v>
      </c>
      <c r="BN285" s="4" t="str">
        <f ca="1">IFERROR(__xludf.DUMMYFUNCTION("""COMPUTED_VALUE"""),"| 5 L INE @ ")</f>
        <v xml:space="preserve">| 5 L INE @ </v>
      </c>
      <c r="BO285" s="4" t="str">
        <f ca="1">IFERROR(__xludf.DUMMYFUNCTION("""COMPUTED_VALUE"""),"| 5 L CPT @ | 6 L PHP-CGM @ ")</f>
        <v xml:space="preserve">| 5 L CPT @ | 6 L PHP-CGM @ </v>
      </c>
      <c r="BP285" s="4" t="str">
        <f ca="1">IFERROR(__xludf.DUMMYFUNCTION("""COMPUTED_VALUE"""),"| 5 L JAVA @ | 6 L JAVA @ | 7 L PHP-CGM @ | 8 L CPT @ ")</f>
        <v xml:space="preserve">| 5 L JAVA @ | 6 L JAVA @ | 7 L PHP-CGM @ | 8 L CPT @ </v>
      </c>
      <c r="BQ285" s="4" t="str">
        <f ca="1">IFERROR(__xludf.DUMMYFUNCTION("""COMPUTED_VALUE"""),"| 5 L JAVA % ")</f>
        <v xml:space="preserve">| 5 L JAVA % </v>
      </c>
      <c r="BR285" s="4"/>
      <c r="BS285" s="4"/>
      <c r="BT285" s="4" t="str">
        <f ca="1">IFERROR(__xludf.DUMMYFUNCTION("""COMPUTED_VALUE"""),"| 7 L PHP-CGM @ | 8 L CPT @ ")</f>
        <v xml:space="preserve">| 7 L PHP-CGM @ | 8 L CPT @ </v>
      </c>
      <c r="BU285" s="4" t="str">
        <f ca="1">IFERROR(__xludf.DUMMYFUNCTION("""COMPUTED_VALUE"""),"| 8 L NS @ ")</f>
        <v xml:space="preserve">| 8 L NS @ </v>
      </c>
      <c r="BV285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BW285" s="4"/>
      <c r="BX285" s="4" t="str">
        <f ca="1">IFERROR(__xludf.DUMMYFUNCTION("""COMPUTED_VALUE"""),"| 5 L JAVA % | 6 L NS % | 7 L PRO % | 9 P CPT % ")</f>
        <v xml:space="preserve">| 5 L JAVA % | 6 L NS % | 7 L PRO % | 9 P CPT % </v>
      </c>
      <c r="BY285" s="4" t="str">
        <f ca="1">IFERROR(__xludf.DUMMYFUNCTION("""COMPUTED_VALUE"""),"| 5 L INE % | 7 P JAVA % | 9 P Python % ")</f>
        <v xml:space="preserve">| 5 L INE % | 7 P JAVA % | 9 P Python % </v>
      </c>
      <c r="BZ285" s="4" t="str">
        <f ca="1">IFERROR(__xludf.DUMMYFUNCTION("""COMPUTED_VALUE"""),"| 5 L CPT % | 6 L PHP-CGM % | 7 P NS % | 9 P Python @ ")</f>
        <v xml:space="preserve">| 5 L CPT % | 6 L PHP-CGM % | 7 P NS % | 9 P Python @ </v>
      </c>
      <c r="CA285" s="4" t="str">
        <f ca="1">IFERROR(__xludf.DUMMYFUNCTION("""COMPUTED_VALUE"""),"| 5 L JAVA % | 6 L JAVA % | 7 L PHP-CGM % | 8 L CPT % | 9 P JAVA % ")</f>
        <v xml:space="preserve">| 5 L JAVA % | 6 L JAVA % | 7 L PHP-CGM % | 8 L CPT % | 9 P JAVA % </v>
      </c>
      <c r="CB285" s="4" t="str">
        <f ca="1">IFERROR(__xludf.DUMMYFUNCTION("""COMPUTED_VALUE"""),"| 5 L PHP-CGM % | 6 L CPT % | 7 L NS % | 9 P PHP-CGM @ ")</f>
        <v xml:space="preserve">| 5 L PHP-CGM % | 6 L CPT % | 7 L NS % | 9 P PHP-CGM @ </v>
      </c>
      <c r="CC285" s="4" t="str">
        <f ca="1">IFERROR(__xludf.DUMMYFUNCTION("""COMPUTED_VALUE"""),"| 5 L JAVA % | 6 L NS % | 9 P CPT % ")</f>
        <v xml:space="preserve">| 5 L JAVA % | 6 L NS % | 9 P CPT % </v>
      </c>
      <c r="CD285" s="4" t="str">
        <f ca="1">IFERROR(__xludf.DUMMYFUNCTION("""COMPUTED_VALUE"""),"| 5 L INE % | 7 P NS % ")</f>
        <v xml:space="preserve">| 5 L INE % | 7 P NS % </v>
      </c>
      <c r="CE285" s="4" t="str">
        <f ca="1">IFERROR(__xludf.DUMMYFUNCTION("""COMPUTED_VALUE"""),"| 5 L CPT % | 6 L PHP-CGM % | 7 P JAVA % | 9 P Python % ")</f>
        <v xml:space="preserve">| 5 L CPT % | 6 L PHP-CGM % | 7 P JAVA % | 9 P Python % </v>
      </c>
      <c r="CF285" s="4" t="str">
        <f ca="1">IFERROR(__xludf.DUMMYFUNCTION("""COMPUTED_VALUE"""),"| 5 L JAVA % | 6 L NS % | 7 L PHP-CGM % | 8 L CPT % | 9 P JAVA % ")</f>
        <v xml:space="preserve">| 5 L JAVA % | 6 L NS % | 7 L PHP-CGM % | 8 L CPT % | 9 P JAVA % </v>
      </c>
      <c r="CG285" s="4" t="str">
        <f ca="1">IFERROR(__xludf.DUMMYFUNCTION("""COMPUTED_VALUE"""),"| 5 L PHP-CGM % | 6 L CPT % | 7 L JAVA % | 8 L NS % | 9 P PHP-CGM % ")</f>
        <v xml:space="preserve">| 5 L PHP-CGM % | 6 L CPT % | 7 L JAVA % | 8 L NS % | 9 P PHP-CGM % </v>
      </c>
      <c r="CH285" s="4" t="str">
        <f ca="1">IFERROR(__xludf.DUMMYFUNCTION("""COMPUTED_VALUE"""),"| 5 L JAVA % | 6 L NS % | 9 P CPT % ")</f>
        <v xml:space="preserve">| 5 L JAVA % | 6 L NS % | 9 P CPT % </v>
      </c>
      <c r="CI285" s="4" t="str">
        <f ca="1">IFERROR(__xludf.DUMMYFUNCTION("""COMPUTED_VALUE"""),"| 5 L INE @ | 9 P Python % ")</f>
        <v xml:space="preserve">| 5 L INE @ | 9 P Python % </v>
      </c>
      <c r="CJ285" s="4" t="str">
        <f ca="1">IFERROR(__xludf.DUMMYFUNCTION("""COMPUTED_VALUE"""),"| 5 L CPT @ | 6 L PHP-CGM @ ")</f>
        <v xml:space="preserve">| 5 L CPT @ | 6 L PHP-CGM @ </v>
      </c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</row>
    <row r="286" spans="1:102" ht="12.5" x14ac:dyDescent="0.25">
      <c r="A286" s="3"/>
      <c r="B286" s="3"/>
      <c r="C286" s="32"/>
      <c r="D286" s="4"/>
      <c r="E286" s="3"/>
      <c r="F286" s="3"/>
      <c r="G286" s="3"/>
      <c r="H286" s="33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>
        <f ca="1">IFERROR(__xludf.DUMMYFUNCTION("""COMPUTED_VALUE"""),0)</f>
        <v>0</v>
      </c>
      <c r="V286" s="25">
        <f ca="1">IFERROR(__xludf.DUMMYFUNCTION("""COMPUTED_VALUE"""),0)</f>
        <v>0</v>
      </c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</row>
    <row r="287" spans="1:102" ht="12.5" x14ac:dyDescent="0.25">
      <c r="A287" s="3">
        <f ca="1">IFERROR(__xludf.DUMMYFUNCTION("""COMPUTED_VALUE"""),2)</f>
        <v>2</v>
      </c>
      <c r="B287" s="3" t="str">
        <f ca="1">IFERROR(__xludf.DUMMYFUNCTION("""COMPUTED_VALUE"""),"D")</f>
        <v>D</v>
      </c>
      <c r="C287" s="32" t="str">
        <f ca="1">IFERROR(__xludf.DUMMYFUNCTION("""COMPUTED_VALUE"""),"23171341051")</f>
        <v>23171341051</v>
      </c>
      <c r="D287" s="4" t="str">
        <f ca="1">IFERROR(__xludf.DUMMYFUNCTION("""COMPUTED_VALUE"""),"MEVADA SHREYKUMAR ARVINDBHAI")</f>
        <v>MEVADA SHREYKUMAR ARVINDBHAI</v>
      </c>
      <c r="E287" s="3" t="str">
        <f ca="1">IFERROR(__xludf.DUMMYFUNCTION("""COMPUTED_VALUE"""),"ZPP - Eve")</f>
        <v>ZPP - Eve</v>
      </c>
      <c r="F287" s="3">
        <f ca="1">IFERROR(__xludf.DUMMYFUNCTION("""COMPUTED_VALUE"""),9427490302)</f>
        <v>9427490302</v>
      </c>
      <c r="G287" s="3">
        <f ca="1">IFERROR(__xludf.DUMMYFUNCTION("""COMPUTED_VALUE"""),9925635021)</f>
        <v>9925635021</v>
      </c>
      <c r="H287" s="33">
        <f ca="1">IFERROR(__xludf.DUMMYFUNCTION("""COMPUTED_VALUE"""),0.680672268907563)</f>
        <v>0.68067226890756305</v>
      </c>
      <c r="I287" s="25">
        <f ca="1">IFERROR(__xludf.DUMMYFUNCTION("""COMPUTED_VALUE"""),0.742857142857142)</f>
        <v>0.74285714285714199</v>
      </c>
      <c r="J287" s="25">
        <f ca="1">IFERROR(__xludf.DUMMYFUNCTION("""COMPUTED_VALUE"""),0.5)</f>
        <v>0.5</v>
      </c>
      <c r="K287" s="25">
        <f ca="1">IFERROR(__xludf.DUMMYFUNCTION("""COMPUTED_VALUE"""),0.8125)</f>
        <v>0.8125</v>
      </c>
      <c r="L287" s="25">
        <f ca="1">IFERROR(__xludf.DUMMYFUNCTION("""COMPUTED_VALUE"""),0.833333333333333)</f>
        <v>0.83333333333333304</v>
      </c>
      <c r="M287" s="25">
        <f ca="1">IFERROR(__xludf.DUMMYFUNCTION("""COMPUTED_VALUE"""),0.722222222222222)</f>
        <v>0.72222222222222199</v>
      </c>
      <c r="N287" s="25">
        <f ca="1">IFERROR(__xludf.DUMMYFUNCTION("""COMPUTED_VALUE"""),0.181818181818181)</f>
        <v>0.18181818181818099</v>
      </c>
      <c r="O287" s="25">
        <f ca="1">IFERROR(__xludf.DUMMYFUNCTION("""COMPUTED_VALUE"""),0.861111111111111)</f>
        <v>0.86111111111111105</v>
      </c>
      <c r="P287" s="25">
        <f ca="1">IFERROR(__xludf.DUMMYFUNCTION("""COMPUTED_VALUE"""),0.473684210526315)</f>
        <v>0.47368421052631499</v>
      </c>
      <c r="Q287" s="25">
        <f ca="1">IFERROR(__xludf.DUMMYFUNCTION("""COMPUTED_VALUE"""),0)</f>
        <v>0</v>
      </c>
      <c r="R287" s="25">
        <f ca="1">IFERROR(__xludf.DUMMYFUNCTION("""COMPUTED_VALUE"""),0.285714285714285)</f>
        <v>0.28571428571428498</v>
      </c>
      <c r="S287" s="25">
        <f ca="1">IFERROR(__xludf.DUMMYFUNCTION("""COMPUTED_VALUE"""),0.923076923076923)</f>
        <v>0.92307692307692302</v>
      </c>
      <c r="T287" s="25">
        <f ca="1">IFERROR(__xludf.DUMMYFUNCTION("""COMPUTED_VALUE"""),1)</f>
        <v>1</v>
      </c>
      <c r="U287" s="25">
        <f ca="1">IFERROR(__xludf.DUMMYFUNCTION("""COMPUTED_VALUE"""),0.7)</f>
        <v>0.7</v>
      </c>
      <c r="V287" s="25">
        <f ca="1">IFERROR(__xludf.DUMMYFUNCTION("""COMPUTED_VALUE"""),0)</f>
        <v>0</v>
      </c>
      <c r="W287" s="4"/>
      <c r="X287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Y287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287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87" s="4" t="str">
        <f ca="1">IFERROR(__xludf.DUMMYFUNCTION("""COMPUTED_VALUE"""),"| 7 P NS % | 9 P Python @ ")</f>
        <v xml:space="preserve">| 7 P NS % | 9 P Python @ </v>
      </c>
      <c r="AB287" s="4" t="str">
        <f ca="1">IFERROR(__xludf.DUMMYFUNCTION("""COMPUTED_VALUE"""),"| 5 L JAVA % | 6 L PHP-CGM % | 7 P JAVA % | 9 P CPT @ ")</f>
        <v xml:space="preserve">| 5 L JAVA % | 6 L PHP-CGM % | 7 P JAVA % | 9 P CPT @ </v>
      </c>
      <c r="AC287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87" s="4" t="str">
        <f ca="1">IFERROR(__xludf.DUMMYFUNCTION("""COMPUTED_VALUE"""),"| 5 L PHP-CGM % | 6 L CPT % | 7 L NS % | 8 L JAVA % | 9 P JAVA @ ")</f>
        <v xml:space="preserve">| 5 L PHP-CGM % | 6 L CPT % | 7 L NS % | 8 L JAVA % | 9 P JAVA @ </v>
      </c>
      <c r="AE287" s="4" t="str">
        <f ca="1">IFERROR(__xludf.DUMMYFUNCTION("""COMPUTED_VALUE"""),"| 5 L JAVA % | 6 L NS % | 7 L PRO % | 9 P Python % ")</f>
        <v xml:space="preserve">| 5 L JAVA % | 6 L NS % | 7 L PRO % | 9 P Python % </v>
      </c>
      <c r="AF287" s="4" t="str">
        <f ca="1">IFERROR(__xludf.DUMMYFUNCTION("""COMPUTED_VALUE"""),"| 7 P NS % | 9 P Python @ ")</f>
        <v xml:space="preserve">| 7 P NS % | 9 P Python @ </v>
      </c>
      <c r="AG287" s="4" t="str">
        <f ca="1">IFERROR(__xludf.DUMMYFUNCTION("""COMPUTED_VALUE"""),"| 5 L CPT % | 6 L PHP-CGM % | 7 P JAVA % | 9 P CPT % ")</f>
        <v xml:space="preserve">| 5 L CPT % | 6 L PHP-CGM % | 7 P JAVA % | 9 P CPT % </v>
      </c>
      <c r="AH287" s="4" t="str">
        <f ca="1">IFERROR(__xludf.DUMMYFUNCTION("""COMPUTED_VALUE"""),"| 7 P NS % | 9 P Python % ")</f>
        <v xml:space="preserve">| 7 P NS % | 9 P Python % </v>
      </c>
      <c r="AI287" s="4" t="str">
        <f ca="1">IFERROR(__xludf.DUMMYFUNCTION("""COMPUTED_VALUE"""),"| 5 L CPT % | 6 L PHP-CGM % | 7 P JAVA % | 9 P CPT % ")</f>
        <v xml:space="preserve">| 5 L CPT % | 6 L PHP-CGM % | 7 P JAVA % | 9 P CPT % </v>
      </c>
      <c r="AJ287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87" s="4" t="str">
        <f ca="1">IFERROR(__xludf.DUMMYFUNCTION("""COMPUTED_VALUE"""),"| 5 L PHP-CGM % | 6 L CPT % | 8 L JAVA % | 7 L NS % | 9 P JAVA @ ")</f>
        <v xml:space="preserve">| 5 L PHP-CGM % | 6 L CPT % | 8 L JAVA % | 7 L NS % | 9 P JAVA @ </v>
      </c>
      <c r="AL287" s="4" t="str">
        <f ca="1">IFERROR(__xludf.DUMMYFUNCTION("""COMPUTED_VALUE"""),"| 6 L NS % | 7 L NS % | 7 L PRO % | 8 L PRO % | 9 P Python @ ")</f>
        <v xml:space="preserve">| 6 L NS % | 7 L NS % | 7 L PRO % | 8 L PRO % | 9 P Python @ </v>
      </c>
      <c r="AM287" s="4" t="str">
        <f ca="1">IFERROR(__xludf.DUMMYFUNCTION("""COMPUTED_VALUE"""),"| 5 L INE @ | 7 P NS % | 9 P Python @ ")</f>
        <v xml:space="preserve">| 5 L INE @ | 7 P NS % | 9 P Python @ </v>
      </c>
      <c r="AN287" s="4" t="str">
        <f ca="1">IFERROR(__xludf.DUMMYFUNCTION("""COMPUTED_VALUE"""),"| 5 L CPT % | 6 L PHP-CGM % | 7 P JAVA % | 9 P CPT % ")</f>
        <v xml:space="preserve">| 5 L CPT % | 6 L PHP-CGM % | 7 P JAVA % | 9 P CPT % </v>
      </c>
      <c r="AO287" s="4" t="str">
        <f ca="1">IFERROR(__xludf.DUMMYFUNCTION("""COMPUTED_VALUE"""),"| 5 L JAVA % | 5 L NS % | 7 L PHP-CGM % | 8 L CPT % | 9 P PHP-CGM @ ")</f>
        <v xml:space="preserve">| 5 L JAVA % | 5 L NS % | 7 L PHP-CGM % | 8 L CPT % | 9 P PHP-CGM @ </v>
      </c>
      <c r="AP287" s="4" t="str">
        <f ca="1">IFERROR(__xludf.DUMMYFUNCTION("""COMPUTED_VALUE"""),"| 5 L PHP-CGM % | 6 L CPT % | 7 L JAVA % | 7 L NS % ")</f>
        <v xml:space="preserve">| 5 L PHP-CGM % | 6 L CPT % | 7 L JAVA % | 7 L NS % </v>
      </c>
      <c r="AQ287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AR287" s="4" t="str">
        <f ca="1">IFERROR(__xludf.DUMMYFUNCTION("""COMPUTED_VALUE"""),"| 5 L INE % ")</f>
        <v xml:space="preserve">| 5 L INE % </v>
      </c>
      <c r="AS287" s="4" t="str">
        <f ca="1">IFERROR(__xludf.DUMMYFUNCTION("""COMPUTED_VALUE"""),"| 5 L JAVA % | 6 L NS % | 7 L PHP-CGM @ | 8 L CPT @ | 9 P PHP-CGM @ ")</f>
        <v xml:space="preserve">| 5 L JAVA % | 6 L NS % | 7 L PHP-CGM @ | 8 L CPT @ | 9 P PHP-CGM @ </v>
      </c>
      <c r="AT287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87" s="4" t="str">
        <f ca="1">IFERROR(__xludf.DUMMYFUNCTION("""COMPUTED_VALUE"""),"| 5 L JAVA % | 6 L NS % | 7 P PRO % | 9 P Python @ ")</f>
        <v xml:space="preserve">| 5 L JAVA % | 6 L NS % | 7 P PRO % | 9 P Python @ </v>
      </c>
      <c r="AV287" s="4" t="str">
        <f ca="1">IFERROR(__xludf.DUMMYFUNCTION("""COMPUTED_VALUE"""),"| 5 L INE % | 7 P NS % | 9 P Python % ")</f>
        <v xml:space="preserve">| 5 L INE % | 7 P NS % | 9 P Python % </v>
      </c>
      <c r="AW287" s="4" t="str">
        <f ca="1">IFERROR(__xludf.DUMMYFUNCTION("""COMPUTED_VALUE"""),"| 5 L CPT % | 6 L PHP-CGM % | 7 P JAVA @ | 9 P CPT % ")</f>
        <v xml:space="preserve">| 5 L CPT % | 6 L PHP-CGM % | 7 P JAVA @ | 9 P CPT % </v>
      </c>
      <c r="AX287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AY287" s="4" t="str">
        <f ca="1">IFERROR(__xludf.DUMMYFUNCTION("""COMPUTED_VALUE"""),"| 5 L PHP-CGM % | 6 L CPT % | 7 L NS % | 8 L NS % | 9 P JAVA @ ")</f>
        <v xml:space="preserve">| 5 L PHP-CGM % | 6 L CPT % | 7 L NS % | 8 L NS % | 9 P JAVA @ </v>
      </c>
      <c r="AZ287" s="4" t="str">
        <f ca="1">IFERROR(__xludf.DUMMYFUNCTION("""COMPUTED_VALUE"""),"| 5 L INE @ | 7 P NS % ")</f>
        <v xml:space="preserve">| 5 L INE @ | 7 P NS % </v>
      </c>
      <c r="BA287" s="4" t="str">
        <f ca="1">IFERROR(__xludf.DUMMYFUNCTION("""COMPUTED_VALUE"""),"| 5 L CPT % | 6 L PHP-CGM % | 7 P JAVA % | 9 P CPT % ")</f>
        <v xml:space="preserve">| 5 L CPT % | 6 L PHP-CGM % | 7 P JAVA % | 9 P CPT % </v>
      </c>
      <c r="BB287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BC287" s="4" t="str">
        <f ca="1">IFERROR(__xludf.DUMMYFUNCTION("""COMPUTED_VALUE"""),"| 5 L PHP-CGM % | 6 L CPT % | 7 L JAVA @ | 8 L NS @ | 9 P JAVA @ ")</f>
        <v xml:space="preserve">| 5 L PHP-CGM % | 6 L CPT % | 7 L JAVA @ | 8 L NS @ | 9 P JAVA @ </v>
      </c>
      <c r="BD287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E287" s="4" t="str">
        <f ca="1">IFERROR(__xludf.DUMMYFUNCTION("""COMPUTED_VALUE"""),"| 5 L INE % | 7 P NS % | 9 P Python @ ")</f>
        <v xml:space="preserve">| 5 L INE % | 7 P NS % | 9 P Python @ </v>
      </c>
      <c r="BF287" s="4" t="str">
        <f ca="1">IFERROR(__xludf.DUMMYFUNCTION("""COMPUTED_VALUE"""),"| 5 L CPT @ | 6 L PHP-CGM @ | 7 P JAVA @ | 9 P CPT @ ")</f>
        <v xml:space="preserve">| 5 L CPT @ | 6 L PHP-CGM @ | 7 P JAVA @ | 9 P CPT @ </v>
      </c>
      <c r="BG287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H287" s="4" t="str">
        <f ca="1">IFERROR(__xludf.DUMMYFUNCTION("""COMPUTED_VALUE"""),"| 5 L JAVA % | 6 L NS % | 7 L PRO @ | 9 P Python % ")</f>
        <v xml:space="preserve">| 5 L JAVA % | 6 L NS % | 7 L PRO @ | 9 P Python % </v>
      </c>
      <c r="BI287" s="4" t="str">
        <f ca="1">IFERROR(__xludf.DUMMYFUNCTION("""COMPUTED_VALUE"""),"| 5 L INE % | 7 P NS % | 9 P Python @ ")</f>
        <v xml:space="preserve">| 5 L INE % | 7 P NS % | 9 P Python @ </v>
      </c>
      <c r="BJ287" s="4" t="str">
        <f ca="1">IFERROR(__xludf.DUMMYFUNCTION("""COMPUTED_VALUE"""),"| 5 L CPT % | 6 L PHP-CGM % | 7 P JAVA % | 9 P CPT % ")</f>
        <v xml:space="preserve">| 5 L CPT % | 6 L PHP-CGM % | 7 P JAVA % | 9 P CPT % </v>
      </c>
      <c r="BK287" s="4" t="str">
        <f ca="1">IFERROR(__xludf.DUMMYFUNCTION("""COMPUTED_VALUE"""),"| 5 L JAVA % | 7 L PHP-CGM % | 8 L CPT % | 9 P PHP-CGM @ ")</f>
        <v xml:space="preserve">| 5 L JAVA % | 7 L PHP-CGM % | 8 L CPT % | 9 P PHP-CGM @ </v>
      </c>
      <c r="BL287" s="4" t="str">
        <f ca="1">IFERROR(__xludf.DUMMYFUNCTION("""COMPUTED_VALUE"""),"| 5 L PHP-CGM % | 6 L CPT % | 8 L NS % ")</f>
        <v xml:space="preserve">| 5 L PHP-CGM % | 6 L CPT % | 8 L NS % </v>
      </c>
      <c r="BM287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N287" s="4" t="str">
        <f ca="1">IFERROR(__xludf.DUMMYFUNCTION("""COMPUTED_VALUE"""),"| 5 L INE % | 7 P NS @ | 9 P Python @ ")</f>
        <v xml:space="preserve">| 5 L INE % | 7 P NS @ | 9 P Python @ </v>
      </c>
      <c r="BO287" s="4" t="str">
        <f ca="1">IFERROR(__xludf.DUMMYFUNCTION("""COMPUTED_VALUE"""),"| 5 L CPT @ | 6 L PHP-CGM @ | 9 P CPT @ ")</f>
        <v xml:space="preserve">| 5 L CPT @ | 6 L PHP-CGM @ | 9 P CPT @ </v>
      </c>
      <c r="BP287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BQ287" s="4" t="str">
        <f ca="1">IFERROR(__xludf.DUMMYFUNCTION("""COMPUTED_VALUE"""),"| 5 L JAVA % ")</f>
        <v xml:space="preserve">| 5 L JAVA % </v>
      </c>
      <c r="BR287" s="4"/>
      <c r="BS287" s="4"/>
      <c r="BT287" s="4" t="str">
        <f ca="1">IFERROR(__xludf.DUMMYFUNCTION("""COMPUTED_VALUE"""),"| 7 L PHP-CGM % | 8 L CPT % ")</f>
        <v xml:space="preserve">| 7 L PHP-CGM % | 8 L CPT % </v>
      </c>
      <c r="BU287" s="4" t="str">
        <f ca="1">IFERROR(__xludf.DUMMYFUNCTION("""COMPUTED_VALUE"""),"| 8 L NS @ ")</f>
        <v xml:space="preserve">| 8 L NS @ </v>
      </c>
      <c r="BV287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87" s="4"/>
      <c r="BX287" s="4" t="str">
        <f ca="1">IFERROR(__xludf.DUMMYFUNCTION("""COMPUTED_VALUE"""),"| 5 L JAVA % | 6 L NS % | 7 L PRO % | 9 P Python @ ")</f>
        <v xml:space="preserve">| 5 L JAVA % | 6 L NS % | 7 L PRO % | 9 P Python @ </v>
      </c>
      <c r="BY287" s="4" t="str">
        <f ca="1">IFERROR(__xludf.DUMMYFUNCTION("""COMPUTED_VALUE"""),"| 5 L INE % | 7 P NS % | 9 P Python @ ")</f>
        <v xml:space="preserve">| 5 L INE % | 7 P NS % | 9 P Python @ </v>
      </c>
      <c r="BZ287" s="4" t="str">
        <f ca="1">IFERROR(__xludf.DUMMYFUNCTION("""COMPUTED_VALUE"""),"| 5 L CPT @ | 6 L PHP-CGM @ | 7 P JAVA @ | 9 P CPT @ ")</f>
        <v xml:space="preserve">| 5 L CPT @ | 6 L PHP-CGM @ | 7 P JAVA @ | 9 P CPT @ </v>
      </c>
      <c r="CA287" s="4" t="str">
        <f ca="1">IFERROR(__xludf.DUMMYFUNCTION("""COMPUTED_VALUE"""),"| 5 L JAVA % | 6 L JAVA % | 7 L PHP-CGM % | 8 L CPT % ")</f>
        <v xml:space="preserve">| 5 L JAVA % | 6 L JAVA % | 7 L PHP-CGM % | 8 L CPT % </v>
      </c>
      <c r="CB287" s="4" t="str">
        <f ca="1">IFERROR(__xludf.DUMMYFUNCTION("""COMPUTED_VALUE"""),"| 5 L PHP-CGM % | 6 L CPT % | 7 L NS @ | 9 P JAVA @ ")</f>
        <v xml:space="preserve">| 5 L PHP-CGM % | 6 L CPT % | 7 L NS @ | 9 P JAVA @ </v>
      </c>
      <c r="CC287" s="4" t="str">
        <f ca="1">IFERROR(__xludf.DUMMYFUNCTION("""COMPUTED_VALUE"""),"| 5 L JAVA @ | 6 L NS @ | 9 P Python @ ")</f>
        <v xml:space="preserve">| 5 L JAVA @ | 6 L NS @ | 9 P Python @ </v>
      </c>
      <c r="CD287" s="4" t="str">
        <f ca="1">IFERROR(__xludf.DUMMYFUNCTION("""COMPUTED_VALUE"""),"| 5 L INE % | 7 P NS @ | 9 P Python @ ")</f>
        <v xml:space="preserve">| 5 L INE % | 7 P NS @ | 9 P Python @ </v>
      </c>
      <c r="CE287" s="4" t="str">
        <f ca="1">IFERROR(__xludf.DUMMYFUNCTION("""COMPUTED_VALUE"""),"| 5 L CPT @ | 6 L PHP-CGM @ | 7 P JAVA @ | 9 P CPT @ ")</f>
        <v xml:space="preserve">| 5 L CPT @ | 6 L PHP-CGM @ | 7 P JAVA @ | 9 P CPT @ </v>
      </c>
      <c r="CF287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CG287" s="4" t="str">
        <f ca="1">IFERROR(__xludf.DUMMYFUNCTION("""COMPUTED_VALUE"""),"| 5 L PHP-CGM @ | 6 L CPT @ | 7 L JAVA @ | 8 L NS % | 9 P JAVA % ")</f>
        <v xml:space="preserve">| 5 L PHP-CGM @ | 6 L CPT @ | 7 L JAVA @ | 8 L NS % | 9 P JAVA % </v>
      </c>
      <c r="CH287" s="4" t="str">
        <f ca="1">IFERROR(__xludf.DUMMYFUNCTION("""COMPUTED_VALUE"""),"| 5 L JAVA % | 6 L NS % | 9 P Python % ")</f>
        <v xml:space="preserve">| 5 L JAVA % | 6 L NS % | 9 P Python % </v>
      </c>
      <c r="CI287" s="4" t="str">
        <f ca="1">IFERROR(__xludf.DUMMYFUNCTION("""COMPUTED_VALUE"""),"| 5 L INE @ | 7 P NS % ")</f>
        <v xml:space="preserve">| 5 L INE @ | 7 P NS % </v>
      </c>
      <c r="CJ287" s="4" t="str">
        <f ca="1">IFERROR(__xludf.DUMMYFUNCTION("""COMPUTED_VALUE"""),"| 5 L CPT % | 6 L PHP-CGM @ | 9 P CPT @ ")</f>
        <v xml:space="preserve">| 5 L CPT % | 6 L PHP-CGM @ | 9 P CPT @ </v>
      </c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</row>
    <row r="288" spans="1:102" ht="12.5" x14ac:dyDescent="0.25">
      <c r="A288" s="3">
        <f ca="1">IFERROR(__xludf.DUMMYFUNCTION("""COMPUTED_VALUE"""),2)</f>
        <v>2</v>
      </c>
      <c r="B288" s="3" t="str">
        <f ca="1">IFERROR(__xludf.DUMMYFUNCTION("""COMPUTED_VALUE"""),"D")</f>
        <v>D</v>
      </c>
      <c r="C288" s="32" t="str">
        <f ca="1">IFERROR(__xludf.DUMMYFUNCTION("""COMPUTED_VALUE"""),"23171341053")</f>
        <v>23171341053</v>
      </c>
      <c r="D288" s="4" t="str">
        <f ca="1">IFERROR(__xludf.DUMMYFUNCTION("""COMPUTED_VALUE"""),"MISTRY HARSH RAJANIKANT")</f>
        <v>MISTRY HARSH RAJANIKANT</v>
      </c>
      <c r="E288" s="3" t="str">
        <f ca="1">IFERROR(__xludf.DUMMYFUNCTION("""COMPUTED_VALUE"""),"ZPP - Eve")</f>
        <v>ZPP - Eve</v>
      </c>
      <c r="F288" s="3">
        <f ca="1">IFERROR(__xludf.DUMMYFUNCTION("""COMPUTED_VALUE"""),6351337479)</f>
        <v>6351337479</v>
      </c>
      <c r="G288" s="3">
        <f ca="1">IFERROR(__xludf.DUMMYFUNCTION("""COMPUTED_VALUE"""),9825670175)</f>
        <v>9825670175</v>
      </c>
      <c r="H288" s="33">
        <f ca="1">IFERROR(__xludf.DUMMYFUNCTION("""COMPUTED_VALUE"""),0.487394957983193)</f>
        <v>0.48739495798319299</v>
      </c>
      <c r="I288" s="25">
        <f ca="1">IFERROR(__xludf.DUMMYFUNCTION("""COMPUTED_VALUE"""),0.514285714285714)</f>
        <v>0.51428571428571401</v>
      </c>
      <c r="J288" s="25">
        <f ca="1">IFERROR(__xludf.DUMMYFUNCTION("""COMPUTED_VALUE"""),0.583333333333333)</f>
        <v>0.58333333333333304</v>
      </c>
      <c r="K288" s="25">
        <f ca="1">IFERROR(__xludf.DUMMYFUNCTION("""COMPUTED_VALUE"""),0.46875)</f>
        <v>0.46875</v>
      </c>
      <c r="L288" s="25">
        <f ca="1">IFERROR(__xludf.DUMMYFUNCTION("""COMPUTED_VALUE"""),0.583333333333333)</f>
        <v>0.58333333333333304</v>
      </c>
      <c r="M288" s="25">
        <f ca="1">IFERROR(__xludf.DUMMYFUNCTION("""COMPUTED_VALUE"""),0.5)</f>
        <v>0.5</v>
      </c>
      <c r="N288" s="25">
        <f ca="1">IFERROR(__xludf.DUMMYFUNCTION("""COMPUTED_VALUE"""),0.363636363636363)</f>
        <v>0.36363636363636298</v>
      </c>
      <c r="O288" s="25">
        <f ca="1">IFERROR(__xludf.DUMMYFUNCTION("""COMPUTED_VALUE"""),0.416666666666666)</f>
        <v>0.41666666666666602</v>
      </c>
      <c r="P288" s="25">
        <f ca="1">IFERROR(__xludf.DUMMYFUNCTION("""COMPUTED_VALUE"""),0.526315789473684)</f>
        <v>0.52631578947368396</v>
      </c>
      <c r="Q288" s="25">
        <f ca="1">IFERROR(__xludf.DUMMYFUNCTION("""COMPUTED_VALUE"""),0)</f>
        <v>0</v>
      </c>
      <c r="R288" s="25">
        <f ca="1">IFERROR(__xludf.DUMMYFUNCTION("""COMPUTED_VALUE"""),0.476190476190476)</f>
        <v>0.476190476190476</v>
      </c>
      <c r="S288" s="25">
        <f ca="1">IFERROR(__xludf.DUMMYFUNCTION("""COMPUTED_VALUE"""),0.461538461538461)</f>
        <v>0.46153846153846101</v>
      </c>
      <c r="T288" s="25">
        <f ca="1">IFERROR(__xludf.DUMMYFUNCTION("""COMPUTED_VALUE"""),0)</f>
        <v>0</v>
      </c>
      <c r="U288" s="25">
        <f ca="1">IFERROR(__xludf.DUMMYFUNCTION("""COMPUTED_VALUE"""),0.6)</f>
        <v>0.6</v>
      </c>
      <c r="V288" s="25">
        <f ca="1">IFERROR(__xludf.DUMMYFUNCTION("""COMPUTED_VALUE"""),0)</f>
        <v>0</v>
      </c>
      <c r="W288" s="4"/>
      <c r="X288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288" s="4" t="str">
        <f ca="1">IFERROR(__xludf.DUMMYFUNCTION("""COMPUTED_VALUE"""),"| 5 L PHP-CGM @ | 6 L CPT @ | 7 L NS @ | 8 L JAVA @ | 9 P JAVA @ ")</f>
        <v xml:space="preserve">| 5 L PHP-CGM @ | 6 L CPT @ | 7 L NS @ | 8 L JAVA @ | 9 P JAVA @ </v>
      </c>
      <c r="Z288" s="4" t="str">
        <f ca="1">IFERROR(__xludf.DUMMYFUNCTION("""COMPUTED_VALUE"""),"| 5 L NS @ | 6 L JAVA @ | 7 L PRO @ | 8 L PRO @ | 9 P Python @ ")</f>
        <v xml:space="preserve">| 5 L NS @ | 6 L JAVA @ | 7 L PRO @ | 8 L PRO @ | 9 P Python @ </v>
      </c>
      <c r="AA288" s="4" t="str">
        <f ca="1">IFERROR(__xludf.DUMMYFUNCTION("""COMPUTED_VALUE"""),"| 7 P NS @ | 9 P Python @ ")</f>
        <v xml:space="preserve">| 7 P NS @ | 9 P Python @ </v>
      </c>
      <c r="AB288" s="4" t="str">
        <f ca="1">IFERROR(__xludf.DUMMYFUNCTION("""COMPUTED_VALUE"""),"| 5 L JAVA @ | 6 L PHP-CGM @ | 7 P JAVA @ | 9 P CPT @ ")</f>
        <v xml:space="preserve">| 5 L JAVA @ | 6 L PHP-CGM @ | 7 P JAVA @ | 9 P CPT @ </v>
      </c>
      <c r="AC288" s="4" t="str">
        <f ca="1">IFERROR(__xludf.DUMMYFUNCTION("""COMPUTED_VALUE"""),"| 5 L JAVA @ | 6 L NS @ | 7 L PHP-CGM @ | 9 P PHP-CGM @ | 8 L CPT @ ")</f>
        <v xml:space="preserve">| 5 L JAVA @ | 6 L NS @ | 7 L PHP-CGM @ | 9 P PHP-CGM @ | 8 L CPT @ </v>
      </c>
      <c r="AD288" s="4" t="str">
        <f ca="1">IFERROR(__xludf.DUMMYFUNCTION("""COMPUTED_VALUE"""),"| 5 L PHP-CGM @ | 6 L CPT @ | 7 L NS @ | 8 L JAVA @ | 9 P JAVA @ ")</f>
        <v xml:space="preserve">| 5 L PHP-CGM @ | 6 L CPT @ | 7 L NS @ | 8 L JAVA @ | 9 P JAVA @ </v>
      </c>
      <c r="AE288" s="4" t="str">
        <f ca="1">IFERROR(__xludf.DUMMYFUNCTION("""COMPUTED_VALUE"""),"| 5 L JAVA @ | 6 L NS @ | 7 L PRO @ | 9 P Python @ ")</f>
        <v xml:space="preserve">| 5 L JAVA @ | 6 L NS @ | 7 L PRO @ | 9 P Python @ </v>
      </c>
      <c r="AF288" s="4" t="str">
        <f ca="1">IFERROR(__xludf.DUMMYFUNCTION("""COMPUTED_VALUE"""),"| 7 P NS @ | 9 P Python @ ")</f>
        <v xml:space="preserve">| 7 P NS @ | 9 P Python @ </v>
      </c>
      <c r="AG288" s="4" t="str">
        <f ca="1">IFERROR(__xludf.DUMMYFUNCTION("""COMPUTED_VALUE"""),"| 5 L CPT @ | 6 L PHP-CGM @ | 7 P JAVA @ | 9 P CPT @ ")</f>
        <v xml:space="preserve">| 5 L CPT @ | 6 L PHP-CGM @ | 7 P JAVA @ | 9 P CPT @ </v>
      </c>
      <c r="AH288" s="4" t="str">
        <f ca="1">IFERROR(__xludf.DUMMYFUNCTION("""COMPUTED_VALUE"""),"| 7 P NS @ | 9 P Python @ ")</f>
        <v xml:space="preserve">| 7 P NS @ | 9 P Python @ </v>
      </c>
      <c r="AI288" s="4" t="str">
        <f ca="1">IFERROR(__xludf.DUMMYFUNCTION("""COMPUTED_VALUE"""),"| 5 L CPT @ | 6 L PHP-CGM @ | 7 P JAVA @ | 9 P CPT @ ")</f>
        <v xml:space="preserve">| 5 L CPT @ | 6 L PHP-CGM @ | 7 P JAVA @ | 9 P CPT @ </v>
      </c>
      <c r="AJ288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K288" s="4" t="str">
        <f ca="1">IFERROR(__xludf.DUMMYFUNCTION("""COMPUTED_VALUE"""),"| 5 L PHP-CGM @ | 6 L CPT @ | 8 L JAVA @ | 7 L NS @ | 9 P JAVA @ ")</f>
        <v xml:space="preserve">| 5 L PHP-CGM @ | 6 L CPT @ | 8 L JAVA @ | 7 L NS @ | 9 P JAVA @ </v>
      </c>
      <c r="AL288" s="4" t="str">
        <f ca="1">IFERROR(__xludf.DUMMYFUNCTION("""COMPUTED_VALUE"""),"| 6 L NS @ | 7 L NS @ | 7 L PRO @ | 8 L PRO @ | 9 P Python @ ")</f>
        <v xml:space="preserve">| 6 L NS @ | 7 L NS @ | 7 L PRO @ | 8 L PRO @ | 9 P Python @ </v>
      </c>
      <c r="AM288" s="4" t="str">
        <f ca="1">IFERROR(__xludf.DUMMYFUNCTION("""COMPUTED_VALUE"""),"| 5 L INE @ | 7 P NS @ | 9 P Python @ ")</f>
        <v xml:space="preserve">| 5 L INE @ | 7 P NS @ | 9 P Python @ </v>
      </c>
      <c r="AN288" s="4" t="str">
        <f ca="1">IFERROR(__xludf.DUMMYFUNCTION("""COMPUTED_VALUE"""),"| 5 L CPT @ | 6 L PHP-CGM @ | 7 P JAVA @ | 9 P CPT @ ")</f>
        <v xml:space="preserve">| 5 L CPT @ | 6 L PHP-CGM @ | 7 P JAVA @ | 9 P CPT @ </v>
      </c>
      <c r="AO288" s="4" t="str">
        <f ca="1">IFERROR(__xludf.DUMMYFUNCTION("""COMPUTED_VALUE"""),"| 5 L JAVA @ | 5 L NS @ | 7 L PHP-CGM @ | 8 L CPT @ | 9 P PHP-CGM @ ")</f>
        <v xml:space="preserve">| 5 L JAVA @ | 5 L NS @ | 7 L PHP-CGM @ | 8 L CPT @ | 9 P PHP-CGM @ </v>
      </c>
      <c r="AP288" s="4" t="str">
        <f ca="1">IFERROR(__xludf.DUMMYFUNCTION("""COMPUTED_VALUE"""),"| 5 L PHP-CGM @ | 6 L CPT @ | 7 L JAVA @ | 7 L NS @ ")</f>
        <v xml:space="preserve">| 5 L PHP-CGM @ | 6 L CPT @ | 7 L JAVA @ | 7 L NS @ </v>
      </c>
      <c r="AQ288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AR288" s="4" t="str">
        <f ca="1">IFERROR(__xludf.DUMMYFUNCTION("""COMPUTED_VALUE"""),"| 5 L INE @ ")</f>
        <v xml:space="preserve">| 5 L INE @ </v>
      </c>
      <c r="AS288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T288" s="4" t="str">
        <f ca="1">IFERROR(__xludf.DUMMYFUNCTION("""COMPUTED_VALUE"""),"| 5 L PHP-CGM @ | 6 L CPT @ | 7 L JAVA @ | 8 L JAVA @ | 9 P JAVA @ ")</f>
        <v xml:space="preserve">| 5 L PHP-CGM @ | 6 L CPT @ | 7 L JAVA @ | 8 L JAVA @ | 9 P JAVA @ </v>
      </c>
      <c r="AU288" s="4" t="str">
        <f ca="1">IFERROR(__xludf.DUMMYFUNCTION("""COMPUTED_VALUE"""),"| 5 L JAVA @ | 6 L NS @ | 7 P PRO @ | 9 P Python @ ")</f>
        <v xml:space="preserve">| 5 L JAVA @ | 6 L NS @ | 7 P PRO @ | 9 P Python @ </v>
      </c>
      <c r="AV288" s="4" t="str">
        <f ca="1">IFERROR(__xludf.DUMMYFUNCTION("""COMPUTED_VALUE"""),"| 5 L INE @ | 7 P NS @ | 9 P Python @ ")</f>
        <v xml:space="preserve">| 5 L INE @ | 7 P NS @ | 9 P Python @ </v>
      </c>
      <c r="AW288" s="4" t="str">
        <f ca="1">IFERROR(__xludf.DUMMYFUNCTION("""COMPUTED_VALUE"""),"| 5 L CPT % | 6 L PHP-CGM % | 7 P JAVA % | 9 P CPT % ")</f>
        <v xml:space="preserve">| 5 L CPT % | 6 L PHP-CGM % | 7 P JAVA % | 9 P CPT % </v>
      </c>
      <c r="AX288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88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88" s="4" t="str">
        <f ca="1">IFERROR(__xludf.DUMMYFUNCTION("""COMPUTED_VALUE"""),"| 5 L INE % | 7 P NS % ")</f>
        <v xml:space="preserve">| 5 L INE % | 7 P NS % </v>
      </c>
      <c r="BA288" s="4" t="str">
        <f ca="1">IFERROR(__xludf.DUMMYFUNCTION("""COMPUTED_VALUE"""),"| 5 L CPT % | 6 L PHP-CGM % | 7 P JAVA % | 9 P CPT % ")</f>
        <v xml:space="preserve">| 5 L CPT % | 6 L PHP-CGM % | 7 P JAVA % | 9 P CPT % </v>
      </c>
      <c r="BB28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88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D288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288" s="4" t="str">
        <f ca="1">IFERROR(__xludf.DUMMYFUNCTION("""COMPUTED_VALUE"""),"| 5 L INE % | 7 P NS % | 9 P Python % ")</f>
        <v xml:space="preserve">| 5 L INE % | 7 P NS % | 9 P Python % </v>
      </c>
      <c r="BF288" s="4" t="str">
        <f ca="1">IFERROR(__xludf.DUMMYFUNCTION("""COMPUTED_VALUE"""),"| 5 L CPT % | 6 L PHP-CGM % | 7 P JAVA % | 9 P CPT % ")</f>
        <v xml:space="preserve">| 5 L CPT % | 6 L PHP-CGM % | 7 P JAVA % | 9 P CPT % </v>
      </c>
      <c r="BG288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88" s="4" t="str">
        <f ca="1">IFERROR(__xludf.DUMMYFUNCTION("""COMPUTED_VALUE"""),"| 5 L JAVA % | 6 L NS % | 7 L PRO % | 9 P Python % ")</f>
        <v xml:space="preserve">| 5 L JAVA % | 6 L NS % | 7 L PRO % | 9 P Python % </v>
      </c>
      <c r="BI288" s="4" t="str">
        <f ca="1">IFERROR(__xludf.DUMMYFUNCTION("""COMPUTED_VALUE"""),"| 5 L INE % | 7 P NS % | 9 P Python % ")</f>
        <v xml:space="preserve">| 5 L INE % | 7 P NS % | 9 P Python % </v>
      </c>
      <c r="BJ288" s="4" t="str">
        <f ca="1">IFERROR(__xludf.DUMMYFUNCTION("""COMPUTED_VALUE"""),"| 5 L CPT % | 6 L PHP-CGM % | 7 P JAVA % | 9 P CPT % ")</f>
        <v xml:space="preserve">| 5 L CPT % | 6 L PHP-CGM % | 7 P JAVA % | 9 P CPT % </v>
      </c>
      <c r="BK288" s="4" t="str">
        <f ca="1">IFERROR(__xludf.DUMMYFUNCTION("""COMPUTED_VALUE"""),"| 5 L JAVA % | 7 L PHP-CGM % | 8 L CPT % | 9 P PHP-CGM @ ")</f>
        <v xml:space="preserve">| 5 L JAVA % | 7 L PHP-CGM % | 8 L CPT % | 9 P PHP-CGM @ </v>
      </c>
      <c r="BL288" s="4" t="str">
        <f ca="1">IFERROR(__xludf.DUMMYFUNCTION("""COMPUTED_VALUE"""),"| 5 L PHP-CGM % | 6 L CPT % | 8 L NS % ")</f>
        <v xml:space="preserve">| 5 L PHP-CGM % | 6 L CPT % | 8 L NS % </v>
      </c>
      <c r="BM288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288" s="4" t="str">
        <f ca="1">IFERROR(__xludf.DUMMYFUNCTION("""COMPUTED_VALUE"""),"| 5 L INE % | 7 P NS % | 9 P Python % ")</f>
        <v xml:space="preserve">| 5 L INE % | 7 P NS % | 9 P Python % </v>
      </c>
      <c r="BO288" s="4" t="str">
        <f ca="1">IFERROR(__xludf.DUMMYFUNCTION("""COMPUTED_VALUE"""),"| 5 L CPT % | 6 L PHP-CGM % | 9 P CPT % ")</f>
        <v xml:space="preserve">| 5 L CPT % | 6 L PHP-CGM % | 9 P CPT % </v>
      </c>
      <c r="BP288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BQ288" s="4" t="str">
        <f ca="1">IFERROR(__xludf.DUMMYFUNCTION("""COMPUTED_VALUE"""),"| 5 L JAVA @ ")</f>
        <v xml:space="preserve">| 5 L JAVA @ </v>
      </c>
      <c r="BR288" s="4"/>
      <c r="BS288" s="4"/>
      <c r="BT288" s="4" t="str">
        <f ca="1">IFERROR(__xludf.DUMMYFUNCTION("""COMPUTED_VALUE"""),"| 7 L PHP-CGM % | 8 L CPT % ")</f>
        <v xml:space="preserve">| 7 L PHP-CGM % | 8 L CPT % </v>
      </c>
      <c r="BU288" s="4" t="str">
        <f ca="1">IFERROR(__xludf.DUMMYFUNCTION("""COMPUTED_VALUE"""),"| 8 L NS % ")</f>
        <v xml:space="preserve">| 8 L NS % </v>
      </c>
      <c r="BV288" s="4" t="str">
        <f ca="1">IFERROR(__xludf.DUMMYFUNCTION("""COMPUTED_VALUE"""),"| 5 L JAVA @ | 6 L NS @ | 7 L PHP-CGM % | 8 L CPT % | 9 P PHP-CGM % ")</f>
        <v xml:space="preserve">| 5 L JAVA @ | 6 L NS @ | 7 L PHP-CGM % | 8 L CPT % | 9 P PHP-CGM % </v>
      </c>
      <c r="BW288" s="4"/>
      <c r="BX288" s="4" t="str">
        <f ca="1">IFERROR(__xludf.DUMMYFUNCTION("""COMPUTED_VALUE"""),"| 5 L JAVA % | 6 L NS % | 7 L PRO % | 9 P Python % ")</f>
        <v xml:space="preserve">| 5 L JAVA % | 6 L NS % | 7 L PRO % | 9 P Python % </v>
      </c>
      <c r="BY288" s="4" t="str">
        <f ca="1">IFERROR(__xludf.DUMMYFUNCTION("""COMPUTED_VALUE"""),"| 5 L INE % | 7 P NS % | 9 P Python % ")</f>
        <v xml:space="preserve">| 5 L INE % | 7 P NS % | 9 P Python % </v>
      </c>
      <c r="BZ288" s="4" t="str">
        <f ca="1">IFERROR(__xludf.DUMMYFUNCTION("""COMPUTED_VALUE"""),"| 5 L CPT % | 6 L PHP-CGM % | 7 P JAVA % | 9 P CPT % ")</f>
        <v xml:space="preserve">| 5 L CPT % | 6 L PHP-CGM % | 7 P JAVA % | 9 P CPT % </v>
      </c>
      <c r="CA288" s="4" t="str">
        <f ca="1">IFERROR(__xludf.DUMMYFUNCTION("""COMPUTED_VALUE"""),"| 5 L JAVA % | 6 L JAVA % | 7 L PHP-CGM % | 8 L CPT % ")</f>
        <v xml:space="preserve">| 5 L JAVA % | 6 L JAVA % | 7 L PHP-CGM % | 8 L CPT % </v>
      </c>
      <c r="CB288" s="4" t="str">
        <f ca="1">IFERROR(__xludf.DUMMYFUNCTION("""COMPUTED_VALUE"""),"| 5 L PHP-CGM % | 6 L CPT % | 7 L NS % | 9 P JAVA % ")</f>
        <v xml:space="preserve">| 5 L PHP-CGM % | 6 L CPT % | 7 L NS % | 9 P JAVA % </v>
      </c>
      <c r="CC288" s="4" t="str">
        <f ca="1">IFERROR(__xludf.DUMMYFUNCTION("""COMPUTED_VALUE"""),"| 5 L JAVA % | 6 L NS % | 9 P Python @ ")</f>
        <v xml:space="preserve">| 5 L JAVA % | 6 L NS % | 9 P Python @ </v>
      </c>
      <c r="CD288" s="4" t="str">
        <f ca="1">IFERROR(__xludf.DUMMYFUNCTION("""COMPUTED_VALUE"""),"| 5 L INE % | 7 P NS % | 9 P Python % ")</f>
        <v xml:space="preserve">| 5 L INE % | 7 P NS % | 9 P Python % </v>
      </c>
      <c r="CE288" s="4" t="str">
        <f ca="1">IFERROR(__xludf.DUMMYFUNCTION("""COMPUTED_VALUE"""),"| 5 L CPT @ | 6 L PHP-CGM @ | 7 P JAVA @ | 9 P CPT % ")</f>
        <v xml:space="preserve">| 5 L CPT @ | 6 L PHP-CGM @ | 7 P JAVA @ | 9 P CPT % </v>
      </c>
      <c r="CF28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288" s="4" t="str">
        <f ca="1">IFERROR(__xludf.DUMMYFUNCTION("""COMPUTED_VALUE"""),"| 5 L PHP-CGM @ | 6 L CPT @ | 7 L JAVA @ | 8 L NS @ | 9 P JAVA % ")</f>
        <v xml:space="preserve">| 5 L PHP-CGM @ | 6 L CPT @ | 7 L JAVA @ | 8 L NS @ | 9 P JAVA % </v>
      </c>
      <c r="CH288" s="4" t="str">
        <f ca="1">IFERROR(__xludf.DUMMYFUNCTION("""COMPUTED_VALUE"""),"| 5 L JAVA % | 6 L NS % | 9 P Python % ")</f>
        <v xml:space="preserve">| 5 L JAVA % | 6 L NS % | 9 P Python % </v>
      </c>
      <c r="CI288" s="4" t="str">
        <f ca="1">IFERROR(__xludf.DUMMYFUNCTION("""COMPUTED_VALUE"""),"| 5 L INE @ | 7 P NS % ")</f>
        <v xml:space="preserve">| 5 L INE @ | 7 P NS % </v>
      </c>
      <c r="CJ288" s="4" t="str">
        <f ca="1">IFERROR(__xludf.DUMMYFUNCTION("""COMPUTED_VALUE"""),"| 5 L CPT @ | 6 L PHP-CGM @ | 9 P CPT @ ")</f>
        <v xml:space="preserve">| 5 L CPT @ | 6 L PHP-CGM @ | 9 P CPT @ </v>
      </c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</row>
    <row r="289" spans="1:102" ht="12.5" x14ac:dyDescent="0.25">
      <c r="A289" s="3">
        <f ca="1">IFERROR(__xludf.DUMMYFUNCTION("""COMPUTED_VALUE"""),2)</f>
        <v>2</v>
      </c>
      <c r="B289" s="3" t="str">
        <f ca="1">IFERROR(__xludf.DUMMYFUNCTION("""COMPUTED_VALUE"""),"D")</f>
        <v>D</v>
      </c>
      <c r="C289" s="32" t="str">
        <f ca="1">IFERROR(__xludf.DUMMYFUNCTION("""COMPUTED_VALUE"""),"23171341062")</f>
        <v>23171341062</v>
      </c>
      <c r="D289" s="4" t="str">
        <f ca="1">IFERROR(__xludf.DUMMYFUNCTION("""COMPUTED_VALUE"""),"PANCHANI AYUSH RAJNIKANT")</f>
        <v>PANCHANI AYUSH RAJNIKANT</v>
      </c>
      <c r="E289" s="3" t="str">
        <f ca="1">IFERROR(__xludf.DUMMYFUNCTION("""COMPUTED_VALUE"""),"ZPP - Eve")</f>
        <v>ZPP - Eve</v>
      </c>
      <c r="F289" s="3">
        <f ca="1">IFERROR(__xludf.DUMMYFUNCTION("""COMPUTED_VALUE"""),8200805800)</f>
        <v>8200805800</v>
      </c>
      <c r="G289" s="3">
        <f ca="1">IFERROR(__xludf.DUMMYFUNCTION("""COMPUTED_VALUE"""),9512690624)</f>
        <v>9512690624</v>
      </c>
      <c r="H289" s="33">
        <f ca="1">IFERROR(__xludf.DUMMYFUNCTION("""COMPUTED_VALUE"""),0.626050420168067)</f>
        <v>0.626050420168067</v>
      </c>
      <c r="I289" s="25">
        <f ca="1">IFERROR(__xludf.DUMMYFUNCTION("""COMPUTED_VALUE"""),0.657142857142857)</f>
        <v>0.65714285714285703</v>
      </c>
      <c r="J289" s="25">
        <f ca="1">IFERROR(__xludf.DUMMYFUNCTION("""COMPUTED_VALUE"""),0.333333333333333)</f>
        <v>0.33333333333333298</v>
      </c>
      <c r="K289" s="25">
        <f ca="1">IFERROR(__xludf.DUMMYFUNCTION("""COMPUTED_VALUE"""),0.71875)</f>
        <v>0.71875</v>
      </c>
      <c r="L289" s="25">
        <f ca="1">IFERROR(__xludf.DUMMYFUNCTION("""COMPUTED_VALUE"""),0.75)</f>
        <v>0.75</v>
      </c>
      <c r="M289" s="25">
        <f ca="1">IFERROR(__xludf.DUMMYFUNCTION("""COMPUTED_VALUE"""),0.666666666666666)</f>
        <v>0.66666666666666596</v>
      </c>
      <c r="N289" s="25">
        <f ca="1">IFERROR(__xludf.DUMMYFUNCTION("""COMPUTED_VALUE"""),0.545454545454545)</f>
        <v>0.54545454545454497</v>
      </c>
      <c r="O289" s="25">
        <f ca="1">IFERROR(__xludf.DUMMYFUNCTION("""COMPUTED_VALUE"""),0.694444444444444)</f>
        <v>0.69444444444444398</v>
      </c>
      <c r="P289" s="25">
        <f ca="1">IFERROR(__xludf.DUMMYFUNCTION("""COMPUTED_VALUE"""),0.473684210526315)</f>
        <v>0.47368421052631499</v>
      </c>
      <c r="Q289" s="25">
        <f ca="1">IFERROR(__xludf.DUMMYFUNCTION("""COMPUTED_VALUE"""),0)</f>
        <v>0</v>
      </c>
      <c r="R289" s="25">
        <f ca="1">IFERROR(__xludf.DUMMYFUNCTION("""COMPUTED_VALUE"""),0.476190476190476)</f>
        <v>0.476190476190476</v>
      </c>
      <c r="S289" s="25">
        <f ca="1">IFERROR(__xludf.DUMMYFUNCTION("""COMPUTED_VALUE"""),0.769230769230769)</f>
        <v>0.76923076923076905</v>
      </c>
      <c r="T289" s="25">
        <f ca="1">IFERROR(__xludf.DUMMYFUNCTION("""COMPUTED_VALUE"""),0)</f>
        <v>0</v>
      </c>
      <c r="U289" s="25">
        <f ca="1">IFERROR(__xludf.DUMMYFUNCTION("""COMPUTED_VALUE"""),0.6)</f>
        <v>0.6</v>
      </c>
      <c r="V289" s="25">
        <f ca="1">IFERROR(__xludf.DUMMYFUNCTION("""COMPUTED_VALUE"""),0)</f>
        <v>0</v>
      </c>
      <c r="W289" s="4"/>
      <c r="X289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289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289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89" s="4" t="str">
        <f ca="1">IFERROR(__xludf.DUMMYFUNCTION("""COMPUTED_VALUE"""),"| 7 P NS % | 9 P Python @ ")</f>
        <v xml:space="preserve">| 7 P NS % | 9 P Python @ </v>
      </c>
      <c r="AB289" s="4" t="str">
        <f ca="1">IFERROR(__xludf.DUMMYFUNCTION("""COMPUTED_VALUE"""),"| 5 L JAVA % | 6 L PHP-CGM % | 7 P JAVA @ | 9 P CPT @ ")</f>
        <v xml:space="preserve">| 5 L JAVA % | 6 L PHP-CGM % | 7 P JAVA @ | 9 P CPT @ </v>
      </c>
      <c r="AC289" s="4" t="str">
        <f ca="1">IFERROR(__xludf.DUMMYFUNCTION("""COMPUTED_VALUE"""),"| 5 L JAVA % | 6 L NS % | 7 L PHP-CGM % | 9 P PHP-CGM @ | 8 L CPT % ")</f>
        <v xml:space="preserve">| 5 L JAVA % | 6 L NS % | 7 L PHP-CGM % | 9 P PHP-CGM @ | 8 L CPT % </v>
      </c>
      <c r="AD289" s="4" t="str">
        <f ca="1">IFERROR(__xludf.DUMMYFUNCTION("""COMPUTED_VALUE"""),"| 5 L PHP-CGM % | 6 L CPT % | 7 L NS % | 8 L JAVA % | 9 P JAVA @ ")</f>
        <v xml:space="preserve">| 5 L PHP-CGM % | 6 L CPT % | 7 L NS % | 8 L JAVA % | 9 P JAVA @ </v>
      </c>
      <c r="AE289" s="4" t="str">
        <f ca="1">IFERROR(__xludf.DUMMYFUNCTION("""COMPUTED_VALUE"""),"| 5 L JAVA % | 6 L NS @ | 7 L PRO @ | 9 P Python @ ")</f>
        <v xml:space="preserve">| 5 L JAVA % | 6 L NS @ | 7 L PRO @ | 9 P Python @ </v>
      </c>
      <c r="AF289" s="4" t="str">
        <f ca="1">IFERROR(__xludf.DUMMYFUNCTION("""COMPUTED_VALUE"""),"| 7 P NS @ | 9 P Python @ ")</f>
        <v xml:space="preserve">| 7 P NS @ | 9 P Python @ </v>
      </c>
      <c r="AG289" s="4" t="str">
        <f ca="1">IFERROR(__xludf.DUMMYFUNCTION("""COMPUTED_VALUE"""),"| 5 L CPT % | 6 L PHP-CGM % | 7 P JAVA @ | 9 P CPT @ ")</f>
        <v xml:space="preserve">| 5 L CPT % | 6 L PHP-CGM % | 7 P JAVA @ | 9 P CPT @ </v>
      </c>
      <c r="AH289" s="4" t="str">
        <f ca="1">IFERROR(__xludf.DUMMYFUNCTION("""COMPUTED_VALUE"""),"| 7 P NS % | 9 P Python @ ")</f>
        <v xml:space="preserve">| 7 P NS % | 9 P Python @ </v>
      </c>
      <c r="AI289" s="4" t="str">
        <f ca="1">IFERROR(__xludf.DUMMYFUNCTION("""COMPUTED_VALUE"""),"| 5 L CPT @ | 6 L PHP-CGM @ | 7 P JAVA @ | 9 P CPT @ ")</f>
        <v xml:space="preserve">| 5 L CPT @ | 6 L PHP-CGM @ | 7 P JAVA @ | 9 P CPT @ </v>
      </c>
      <c r="AJ289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K289" s="4" t="str">
        <f ca="1">IFERROR(__xludf.DUMMYFUNCTION("""COMPUTED_VALUE"""),"| 5 L PHP-CGM % | 6 L CPT % | 8 L JAVA % | 7 L NS % | 9 P JAVA @ ")</f>
        <v xml:space="preserve">| 5 L PHP-CGM % | 6 L CPT % | 8 L JAVA % | 7 L NS % | 9 P JAVA @ </v>
      </c>
      <c r="AL289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89" s="4" t="str">
        <f ca="1">IFERROR(__xludf.DUMMYFUNCTION("""COMPUTED_VALUE"""),"| 5 L INE @ | 7 P NS @ | 9 P Python @ ")</f>
        <v xml:space="preserve">| 5 L INE @ | 7 P NS @ | 9 P Python @ </v>
      </c>
      <c r="AN289" s="4" t="str">
        <f ca="1">IFERROR(__xludf.DUMMYFUNCTION("""COMPUTED_VALUE"""),"| 5 L CPT @ | 6 L PHP-CGM @ | 7 P JAVA @ | 9 P CPT @ ")</f>
        <v xml:space="preserve">| 5 L CPT @ | 6 L PHP-CGM @ | 7 P JAVA @ | 9 P CPT @ </v>
      </c>
      <c r="AO289" s="4" t="str">
        <f ca="1">IFERROR(__xludf.DUMMYFUNCTION("""COMPUTED_VALUE"""),"| 5 L JAVA @ | 5 L NS @ | 7 L PHP-CGM @ | 8 L CPT @ | 9 P PHP-CGM @ ")</f>
        <v xml:space="preserve">| 5 L JAVA @ | 5 L NS @ | 7 L PHP-CGM @ | 8 L CPT @ | 9 P PHP-CGM @ </v>
      </c>
      <c r="AP289" s="4" t="str">
        <f ca="1">IFERROR(__xludf.DUMMYFUNCTION("""COMPUTED_VALUE"""),"| 5 L PHP-CGM @ | 6 L CPT @ | 7 L JAVA @ | 7 L NS @ ")</f>
        <v xml:space="preserve">| 5 L PHP-CGM @ | 6 L CPT @ | 7 L JAVA @ | 7 L NS @ </v>
      </c>
      <c r="AQ289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AR289" s="4" t="str">
        <f ca="1">IFERROR(__xludf.DUMMYFUNCTION("""COMPUTED_VALUE"""),"| 5 L INE @ ")</f>
        <v xml:space="preserve">| 5 L INE @ </v>
      </c>
      <c r="AS289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T289" s="4" t="str">
        <f ca="1">IFERROR(__xludf.DUMMYFUNCTION("""COMPUTED_VALUE"""),"| 5 L PHP-CGM @ | 6 L CPT @ | 7 L JAVA @ | 8 L JAVA @ | 9 P JAVA @ ")</f>
        <v xml:space="preserve">| 5 L PHP-CGM @ | 6 L CPT @ | 7 L JAVA @ | 8 L JAVA @ | 9 P JAVA @ </v>
      </c>
      <c r="AU289" s="4" t="str">
        <f ca="1">IFERROR(__xludf.DUMMYFUNCTION("""COMPUTED_VALUE"""),"| 5 L JAVA @ | 6 L NS @ | 7 P PRO @ | 9 P Python @ ")</f>
        <v xml:space="preserve">| 5 L JAVA @ | 6 L NS @ | 7 P PRO @ | 9 P Python @ </v>
      </c>
      <c r="AV289" s="4" t="str">
        <f ca="1">IFERROR(__xludf.DUMMYFUNCTION("""COMPUTED_VALUE"""),"| 5 L INE @ | 7 P NS @ | 9 P Python @ ")</f>
        <v xml:space="preserve">| 5 L INE @ | 7 P NS @ | 9 P Python @ </v>
      </c>
      <c r="AW289" s="4" t="str">
        <f ca="1">IFERROR(__xludf.DUMMYFUNCTION("""COMPUTED_VALUE"""),"| 5 L CPT % | 6 L PHP-CGM % | 7 P JAVA % | 9 P CPT % ")</f>
        <v xml:space="preserve">| 5 L CPT % | 6 L PHP-CGM % | 7 P JAVA % | 9 P CPT % </v>
      </c>
      <c r="AX289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89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89" s="4" t="str">
        <f ca="1">IFERROR(__xludf.DUMMYFUNCTION("""COMPUTED_VALUE"""),"| 5 L INE % | 7 P NS % ")</f>
        <v xml:space="preserve">| 5 L INE % | 7 P NS % </v>
      </c>
      <c r="BA289" s="4" t="str">
        <f ca="1">IFERROR(__xludf.DUMMYFUNCTION("""COMPUTED_VALUE"""),"| 5 L CPT % | 6 L PHP-CGM % | 7 P JAVA % | 9 P CPT % ")</f>
        <v xml:space="preserve">| 5 L CPT % | 6 L PHP-CGM % | 7 P JAVA % | 9 P CPT % </v>
      </c>
      <c r="BB289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89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D289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289" s="4" t="str">
        <f ca="1">IFERROR(__xludf.DUMMYFUNCTION("""COMPUTED_VALUE"""),"| 5 L INE % | 7 P NS % | 9 P Python % ")</f>
        <v xml:space="preserve">| 5 L INE % | 7 P NS % | 9 P Python % </v>
      </c>
      <c r="BF289" s="4" t="str">
        <f ca="1">IFERROR(__xludf.DUMMYFUNCTION("""COMPUTED_VALUE"""),"| 5 L CPT % | 6 L PHP-CGM % | 7 P JAVA % | 9 P CPT % ")</f>
        <v xml:space="preserve">| 5 L CPT % | 6 L PHP-CGM % | 7 P JAVA % | 9 P CPT % </v>
      </c>
      <c r="BG289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89" s="4" t="str">
        <f ca="1">IFERROR(__xludf.DUMMYFUNCTION("""COMPUTED_VALUE"""),"| 5 L JAVA % | 6 L NS % | 7 L PRO % | 9 P Python @ ")</f>
        <v xml:space="preserve">| 5 L JAVA % | 6 L NS % | 7 L PRO % | 9 P Python @ </v>
      </c>
      <c r="BI289" s="4" t="str">
        <f ca="1">IFERROR(__xludf.DUMMYFUNCTION("""COMPUTED_VALUE"""),"| 5 L INE % | 7 P NS % | 9 P Python @ ")</f>
        <v xml:space="preserve">| 5 L INE % | 7 P NS % | 9 P Python @ </v>
      </c>
      <c r="BJ289" s="4" t="str">
        <f ca="1">IFERROR(__xludf.DUMMYFUNCTION("""COMPUTED_VALUE"""),"| 5 L CPT @ | 6 L PHP-CGM @ | 7 P JAVA @ | 9 P CPT @ ")</f>
        <v xml:space="preserve">| 5 L CPT @ | 6 L PHP-CGM @ | 7 P JAVA @ | 9 P CPT @ </v>
      </c>
      <c r="BK289" s="4" t="str">
        <f ca="1">IFERROR(__xludf.DUMMYFUNCTION("""COMPUTED_VALUE"""),"| 5 L JAVA % | 7 L PHP-CGM % | 8 L CPT % | 9 P PHP-CGM @ ")</f>
        <v xml:space="preserve">| 5 L JAVA % | 7 L PHP-CGM % | 8 L CPT % | 9 P PHP-CGM @ </v>
      </c>
      <c r="BL289" s="4" t="str">
        <f ca="1">IFERROR(__xludf.DUMMYFUNCTION("""COMPUTED_VALUE"""),"| 5 L PHP-CGM % | 6 L CPT % | 8 L NS % ")</f>
        <v xml:space="preserve">| 5 L PHP-CGM % | 6 L CPT % | 8 L NS % </v>
      </c>
      <c r="BM289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289" s="4" t="str">
        <f ca="1">IFERROR(__xludf.DUMMYFUNCTION("""COMPUTED_VALUE"""),"| 5 L INE % | 7 P NS % | 9 P Python % ")</f>
        <v xml:space="preserve">| 5 L INE % | 7 P NS % | 9 P Python % </v>
      </c>
      <c r="BO289" s="4" t="str">
        <f ca="1">IFERROR(__xludf.DUMMYFUNCTION("""COMPUTED_VALUE"""),"| 5 L CPT % | 6 L PHP-CGM % | 9 P CPT @ ")</f>
        <v xml:space="preserve">| 5 L CPT % | 6 L PHP-CGM % | 9 P CPT @ </v>
      </c>
      <c r="BP289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BQ289" s="4" t="str">
        <f ca="1">IFERROR(__xludf.DUMMYFUNCTION("""COMPUTED_VALUE"""),"| 5 L JAVA % ")</f>
        <v xml:space="preserve">| 5 L JAVA % </v>
      </c>
      <c r="BR289" s="4"/>
      <c r="BS289" s="4"/>
      <c r="BT289" s="4" t="str">
        <f ca="1">IFERROR(__xludf.DUMMYFUNCTION("""COMPUTED_VALUE"""),"| 7 L PHP-CGM @ | 8 L CPT @ ")</f>
        <v xml:space="preserve">| 7 L PHP-CGM @ | 8 L CPT @ </v>
      </c>
      <c r="BU289" s="4" t="str">
        <f ca="1">IFERROR(__xludf.DUMMYFUNCTION("""COMPUTED_VALUE"""),"| 8 L NS @ ")</f>
        <v xml:space="preserve">| 8 L NS @ </v>
      </c>
      <c r="BV289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289" s="4"/>
      <c r="BX289" s="4" t="str">
        <f ca="1">IFERROR(__xludf.DUMMYFUNCTION("""COMPUTED_VALUE"""),"| 5 L JAVA % | 6 L NS % | 7 L PRO % | 9 P Python % ")</f>
        <v xml:space="preserve">| 5 L JAVA % | 6 L NS % | 7 L PRO % | 9 P Python % </v>
      </c>
      <c r="BY289" s="4" t="str">
        <f ca="1">IFERROR(__xludf.DUMMYFUNCTION("""COMPUTED_VALUE"""),"| 5 L INE % | 7 P NS % | 9 P Python % ")</f>
        <v xml:space="preserve">| 5 L INE % | 7 P NS % | 9 P Python % </v>
      </c>
      <c r="BZ289" s="4" t="str">
        <f ca="1">IFERROR(__xludf.DUMMYFUNCTION("""COMPUTED_VALUE"""),"| 5 L CPT % | 6 L PHP-CGM % | 7 P JAVA % | 9 P CPT % ")</f>
        <v xml:space="preserve">| 5 L CPT % | 6 L PHP-CGM % | 7 P JAVA % | 9 P CPT % </v>
      </c>
      <c r="CA289" s="4" t="str">
        <f ca="1">IFERROR(__xludf.DUMMYFUNCTION("""COMPUTED_VALUE"""),"| 5 L JAVA % | 6 L JAVA % | 7 L PHP-CGM % | 8 L CPT % ")</f>
        <v xml:space="preserve">| 5 L JAVA % | 6 L JAVA % | 7 L PHP-CGM % | 8 L CPT % </v>
      </c>
      <c r="CB289" s="4" t="str">
        <f ca="1">IFERROR(__xludf.DUMMYFUNCTION("""COMPUTED_VALUE"""),"| 5 L PHP-CGM % | 6 L CPT % | 7 L NS % | 9 P JAVA @ ")</f>
        <v xml:space="preserve">| 5 L PHP-CGM % | 6 L CPT % | 7 L NS % | 9 P JAVA @ </v>
      </c>
      <c r="CC289" s="4" t="str">
        <f ca="1">IFERROR(__xludf.DUMMYFUNCTION("""COMPUTED_VALUE"""),"| 5 L JAVA % | 6 L NS % | 9 P Python @ ")</f>
        <v xml:space="preserve">| 5 L JAVA % | 6 L NS % | 9 P Python @ </v>
      </c>
      <c r="CD289" s="4" t="str">
        <f ca="1">IFERROR(__xludf.DUMMYFUNCTION("""COMPUTED_VALUE"""),"| 5 L INE % | 7 P NS % | 9 P Python % ")</f>
        <v xml:space="preserve">| 5 L INE % | 7 P NS % | 9 P Python % </v>
      </c>
      <c r="CE289" s="4" t="str">
        <f ca="1">IFERROR(__xludf.DUMMYFUNCTION("""COMPUTED_VALUE"""),"| 5 L CPT % | 6 L PHP-CGM % | 7 P JAVA @ | 9 P CPT @ ")</f>
        <v xml:space="preserve">| 5 L CPT % | 6 L PHP-CGM % | 7 P JAVA @ | 9 P CPT @ </v>
      </c>
      <c r="CF289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289" s="4" t="str">
        <f ca="1">IFERROR(__xludf.DUMMYFUNCTION("""COMPUTED_VALUE"""),"| 5 L PHP-CGM @ | 6 L CPT @ | 7 L JAVA @ | 8 L NS @ | 9 P JAVA % ")</f>
        <v xml:space="preserve">| 5 L PHP-CGM @ | 6 L CPT @ | 7 L JAVA @ | 8 L NS @ | 9 P JAVA % </v>
      </c>
      <c r="CH289" s="4" t="str">
        <f ca="1">IFERROR(__xludf.DUMMYFUNCTION("""COMPUTED_VALUE"""),"| 5 L JAVA @ | 6 L NS @ | 9 P Python % ")</f>
        <v xml:space="preserve">| 5 L JAVA @ | 6 L NS @ | 9 P Python % </v>
      </c>
      <c r="CI289" s="4" t="str">
        <f ca="1">IFERROR(__xludf.DUMMYFUNCTION("""COMPUTED_VALUE"""),"| 5 L INE @ | 7 P NS % ")</f>
        <v xml:space="preserve">| 5 L INE @ | 7 P NS % </v>
      </c>
      <c r="CJ289" s="4" t="str">
        <f ca="1">IFERROR(__xludf.DUMMYFUNCTION("""COMPUTED_VALUE"""),"| 5 L CPT @ | 6 L PHP-CGM @ | 9 P CPT @ ")</f>
        <v xml:space="preserve">| 5 L CPT @ | 6 L PHP-CGM @ | 9 P CPT @ </v>
      </c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</row>
    <row r="290" spans="1:102" ht="12.5" x14ac:dyDescent="0.25">
      <c r="A290" s="3">
        <f ca="1">IFERROR(__xludf.DUMMYFUNCTION("""COMPUTED_VALUE"""),2)</f>
        <v>2</v>
      </c>
      <c r="B290" s="3" t="str">
        <f ca="1">IFERROR(__xludf.DUMMYFUNCTION("""COMPUTED_VALUE"""),"D")</f>
        <v>D</v>
      </c>
      <c r="C290" s="32" t="str">
        <f ca="1">IFERROR(__xludf.DUMMYFUNCTION("""COMPUTED_VALUE"""),"23171341063")</f>
        <v>23171341063</v>
      </c>
      <c r="D290" s="4" t="str">
        <f ca="1">IFERROR(__xludf.DUMMYFUNCTION("""COMPUTED_VALUE"""),"PANCHOLA PRINCEKUMAR VINODBHAI")</f>
        <v>PANCHOLA PRINCEKUMAR VINODBHAI</v>
      </c>
      <c r="E290" s="3" t="str">
        <f ca="1">IFERROR(__xludf.DUMMYFUNCTION("""COMPUTED_VALUE"""),"ZPP - Eve")</f>
        <v>ZPP - Eve</v>
      </c>
      <c r="F290" s="3">
        <f ca="1">IFERROR(__xludf.DUMMYFUNCTION("""COMPUTED_VALUE"""),9327317525)</f>
        <v>9327317525</v>
      </c>
      <c r="G290" s="3">
        <f ca="1">IFERROR(__xludf.DUMMYFUNCTION("""COMPUTED_VALUE"""),9106739481)</f>
        <v>9106739481</v>
      </c>
      <c r="H290" s="33">
        <f ca="1">IFERROR(__xludf.DUMMYFUNCTION("""COMPUTED_VALUE"""),0.65126050420168)</f>
        <v>0.65126050420168002</v>
      </c>
      <c r="I290" s="25">
        <f ca="1">IFERROR(__xludf.DUMMYFUNCTION("""COMPUTED_VALUE"""),0.6)</f>
        <v>0.6</v>
      </c>
      <c r="J290" s="25">
        <f ca="1">IFERROR(__xludf.DUMMYFUNCTION("""COMPUTED_VALUE"""),0.666666666666666)</f>
        <v>0.66666666666666596</v>
      </c>
      <c r="K290" s="25">
        <f ca="1">IFERROR(__xludf.DUMMYFUNCTION("""COMPUTED_VALUE"""),0.75)</f>
        <v>0.75</v>
      </c>
      <c r="L290" s="25">
        <f ca="1">IFERROR(__xludf.DUMMYFUNCTION("""COMPUTED_VALUE"""),0.833333333333333)</f>
        <v>0.83333333333333304</v>
      </c>
      <c r="M290" s="25">
        <f ca="1">IFERROR(__xludf.DUMMYFUNCTION("""COMPUTED_VALUE"""),0.638888888888888)</f>
        <v>0.63888888888888795</v>
      </c>
      <c r="N290" s="25">
        <f ca="1">IFERROR(__xludf.DUMMYFUNCTION("""COMPUTED_VALUE"""),0.363636363636363)</f>
        <v>0.36363636363636298</v>
      </c>
      <c r="O290" s="25">
        <f ca="1">IFERROR(__xludf.DUMMYFUNCTION("""COMPUTED_VALUE"""),0.75)</f>
        <v>0.75</v>
      </c>
      <c r="P290" s="25">
        <f ca="1">IFERROR(__xludf.DUMMYFUNCTION("""COMPUTED_VALUE"""),0.631578947368421)</f>
        <v>0.63157894736842102</v>
      </c>
      <c r="Q290" s="25">
        <f ca="1">IFERROR(__xludf.DUMMYFUNCTION("""COMPUTED_VALUE"""),0)</f>
        <v>0</v>
      </c>
      <c r="R290" s="25">
        <f ca="1">IFERROR(__xludf.DUMMYFUNCTION("""COMPUTED_VALUE"""),0.571428571428571)</f>
        <v>0.57142857142857095</v>
      </c>
      <c r="S290" s="25">
        <f ca="1">IFERROR(__xludf.DUMMYFUNCTION("""COMPUTED_VALUE"""),0.615384615384615)</f>
        <v>0.61538461538461497</v>
      </c>
      <c r="T290" s="25">
        <f ca="1">IFERROR(__xludf.DUMMYFUNCTION("""COMPUTED_VALUE"""),0)</f>
        <v>0</v>
      </c>
      <c r="U290" s="25">
        <f ca="1">IFERROR(__xludf.DUMMYFUNCTION("""COMPUTED_VALUE"""),0.6)</f>
        <v>0.6</v>
      </c>
      <c r="V290" s="25">
        <f ca="1">IFERROR(__xludf.DUMMYFUNCTION("""COMPUTED_VALUE"""),0)</f>
        <v>0</v>
      </c>
      <c r="W290" s="4"/>
      <c r="X290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290" s="4" t="str">
        <f ca="1">IFERROR(__xludf.DUMMYFUNCTION("""COMPUTED_VALUE"""),"| 5 L PHP-CGM % | 6 L CPT % | 7 L NS % | 8 L JAVA % | 9 P JAVA @ ")</f>
        <v xml:space="preserve">| 5 L PHP-CGM % | 6 L CPT % | 7 L NS % | 8 L JAVA % | 9 P JAVA @ </v>
      </c>
      <c r="Z290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0" s="4" t="str">
        <f ca="1">IFERROR(__xludf.DUMMYFUNCTION("""COMPUTED_VALUE"""),"| 7 P NS % | 9 P Python @ ")</f>
        <v xml:space="preserve">| 7 P NS % | 9 P Python @ </v>
      </c>
      <c r="AB290" s="4" t="str">
        <f ca="1">IFERROR(__xludf.DUMMYFUNCTION("""COMPUTED_VALUE"""),"| 5 L JAVA % | 6 L PHP-CGM % | 7 P JAVA % | 9 P CPT % ")</f>
        <v xml:space="preserve">| 5 L JAVA % | 6 L PHP-CGM % | 7 P JAVA % | 9 P CPT % </v>
      </c>
      <c r="AC290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0" s="4" t="str">
        <f ca="1">IFERROR(__xludf.DUMMYFUNCTION("""COMPUTED_VALUE"""),"| 5 L PHP-CGM % | 6 L CPT % | 7 L NS % | 8 L JAVA % | 9 P JAVA @ ")</f>
        <v xml:space="preserve">| 5 L PHP-CGM % | 6 L CPT % | 7 L NS % | 8 L JAVA % | 9 P JAVA @ </v>
      </c>
      <c r="AE290" s="4" t="str">
        <f ca="1">IFERROR(__xludf.DUMMYFUNCTION("""COMPUTED_VALUE"""),"| 5 L JAVA % | 6 L NS % | 7 L PRO @ | 9 P Python @ ")</f>
        <v xml:space="preserve">| 5 L JAVA % | 6 L NS % | 7 L PRO @ | 9 P Python @ </v>
      </c>
      <c r="AF290" s="4" t="str">
        <f ca="1">IFERROR(__xludf.DUMMYFUNCTION("""COMPUTED_VALUE"""),"| 7 P NS % | 9 P Python % ")</f>
        <v xml:space="preserve">| 7 P NS % | 9 P Python % </v>
      </c>
      <c r="AG290" s="4" t="str">
        <f ca="1">IFERROR(__xludf.DUMMYFUNCTION("""COMPUTED_VALUE"""),"| 5 L CPT % | 6 L PHP-CGM % | 7 P JAVA % | 9 P CPT % ")</f>
        <v xml:space="preserve">| 5 L CPT % | 6 L PHP-CGM % | 7 P JAVA % | 9 P CPT % </v>
      </c>
      <c r="AH290" s="4" t="str">
        <f ca="1">IFERROR(__xludf.DUMMYFUNCTION("""COMPUTED_VALUE"""),"| 7 P NS @ | 9 P Python @ ")</f>
        <v xml:space="preserve">| 7 P NS @ | 9 P Python @ </v>
      </c>
      <c r="AI290" s="4" t="str">
        <f ca="1">IFERROR(__xludf.DUMMYFUNCTION("""COMPUTED_VALUE"""),"| 5 L CPT % | 6 L PHP-CGM % | 7 P JAVA % | 9 P CPT % ")</f>
        <v xml:space="preserve">| 5 L CPT % | 6 L PHP-CGM % | 7 P JAVA % | 9 P CPT % </v>
      </c>
      <c r="AJ290" s="4" t="str">
        <f ca="1">IFERROR(__xludf.DUMMYFUNCTION("""COMPUTED_VALUE"""),"| 5 L JAVA % | 6 L NS % | 7 L PHP-CGM @ | 8 L CPT @ | 9 P PHP-CGM @ ")</f>
        <v xml:space="preserve">| 5 L JAVA % | 6 L NS % | 7 L PHP-CGM @ | 8 L CPT @ | 9 P PHP-CGM @ </v>
      </c>
      <c r="AK290" s="4" t="str">
        <f ca="1">IFERROR(__xludf.DUMMYFUNCTION("""COMPUTED_VALUE"""),"| 5 L PHP-CGM % | 6 L CPT % | 8 L JAVA @ | 7 L NS @ | 9 P JAVA % ")</f>
        <v xml:space="preserve">| 5 L PHP-CGM % | 6 L CPT % | 8 L JAVA @ | 7 L NS @ | 9 P JAVA % </v>
      </c>
      <c r="AL290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0" s="4" t="str">
        <f ca="1">IFERROR(__xludf.DUMMYFUNCTION("""COMPUTED_VALUE"""),"| 5 L INE % | 7 P NS % | 9 P Python % ")</f>
        <v xml:space="preserve">| 5 L INE % | 7 P NS % | 9 P Python % </v>
      </c>
      <c r="AN290" s="4" t="str">
        <f ca="1">IFERROR(__xludf.DUMMYFUNCTION("""COMPUTED_VALUE"""),"| 5 L CPT @ | 6 L PHP-CGM @ | 7 P JAVA % | 9 P CPT @ ")</f>
        <v xml:space="preserve">| 5 L CPT @ | 6 L PHP-CGM @ | 7 P JAVA % | 9 P CPT @ </v>
      </c>
      <c r="AO290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0" s="4" t="str">
        <f ca="1">IFERROR(__xludf.DUMMYFUNCTION("""COMPUTED_VALUE"""),"| 5 L PHP-CGM % | 6 L CPT % | 7 L JAVA % | 7 L NS % ")</f>
        <v xml:space="preserve">| 5 L PHP-CGM % | 6 L CPT % | 7 L JAVA % | 7 L NS % </v>
      </c>
      <c r="AQ290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AR290" s="4" t="str">
        <f ca="1">IFERROR(__xludf.DUMMYFUNCTION("""COMPUTED_VALUE"""),"| 5 L INE @ ")</f>
        <v xml:space="preserve">| 5 L INE @ </v>
      </c>
      <c r="AS290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AT290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0" s="4" t="str">
        <f ca="1">IFERROR(__xludf.DUMMYFUNCTION("""COMPUTED_VALUE"""),"| 5 L JAVA % | 6 L NS % | 7 P PRO @ | 9 P Python % ")</f>
        <v xml:space="preserve">| 5 L JAVA % | 6 L NS % | 7 P PRO @ | 9 P Python % </v>
      </c>
      <c r="AV290" s="4" t="str">
        <f ca="1">IFERROR(__xludf.DUMMYFUNCTION("""COMPUTED_VALUE"""),"| 5 L INE % | 7 P NS % | 9 P Python % ")</f>
        <v xml:space="preserve">| 5 L INE % | 7 P NS % | 9 P Python % </v>
      </c>
      <c r="AW290" s="4" t="str">
        <f ca="1">IFERROR(__xludf.DUMMYFUNCTION("""COMPUTED_VALUE"""),"| 5 L CPT % | 6 L PHP-CGM % | 7 P JAVA @ | 9 P CPT % ")</f>
        <v xml:space="preserve">| 5 L CPT % | 6 L PHP-CGM % | 7 P JAVA @ | 9 P CPT % </v>
      </c>
      <c r="AX290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AY290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0" s="4" t="str">
        <f ca="1">IFERROR(__xludf.DUMMYFUNCTION("""COMPUTED_VALUE"""),"| 5 L INE % | 7 P NS % ")</f>
        <v xml:space="preserve">| 5 L INE % | 7 P NS % </v>
      </c>
      <c r="BA290" s="4" t="str">
        <f ca="1">IFERROR(__xludf.DUMMYFUNCTION("""COMPUTED_VALUE"""),"| 5 L CPT @ | 6 L PHP-CGM @ | 7 P JAVA @ | 9 P CPT @ ")</f>
        <v xml:space="preserve">| 5 L CPT @ | 6 L PHP-CGM @ | 7 P JAVA @ | 9 P CPT @ </v>
      </c>
      <c r="BB290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BC290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D290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E290" s="4" t="str">
        <f ca="1">IFERROR(__xludf.DUMMYFUNCTION("""COMPUTED_VALUE"""),"| 5 L INE % | 7 P NS % | 9 P Python % ")</f>
        <v xml:space="preserve">| 5 L INE % | 7 P NS % | 9 P Python % </v>
      </c>
      <c r="BF290" s="4" t="str">
        <f ca="1">IFERROR(__xludf.DUMMYFUNCTION("""COMPUTED_VALUE"""),"| 5 L CPT % | 6 L PHP-CGM % | 7 P JAVA % | 9 P CPT % ")</f>
        <v xml:space="preserve">| 5 L CPT % | 6 L PHP-CGM % | 7 P JAVA % | 9 P CPT % </v>
      </c>
      <c r="BG290" s="4" t="str">
        <f ca="1">IFERROR(__xludf.DUMMYFUNCTION("""COMPUTED_VALUE"""),"| 5 L PHP-CGM % | 6 L CPT @ | 7 L JAVA % | 8 L NS % | 9 P JAVA @ ")</f>
        <v xml:space="preserve">| 5 L PHP-CGM % | 6 L CPT @ | 7 L JAVA % | 8 L NS % | 9 P JAVA @ </v>
      </c>
      <c r="BH290" s="4" t="str">
        <f ca="1">IFERROR(__xludf.DUMMYFUNCTION("""COMPUTED_VALUE"""),"| 5 L JAVA % | 6 L NS % | 7 L PRO @ | 9 P Python @ ")</f>
        <v xml:space="preserve">| 5 L JAVA % | 6 L NS % | 7 L PRO @ | 9 P Python @ </v>
      </c>
      <c r="BI290" s="4" t="str">
        <f ca="1">IFERROR(__xludf.DUMMYFUNCTION("""COMPUTED_VALUE"""),"| 5 L INE @ | 7 P NS % | 9 P Python % ")</f>
        <v xml:space="preserve">| 5 L INE @ | 7 P NS % | 9 P Python % </v>
      </c>
      <c r="BJ290" s="4" t="str">
        <f ca="1">IFERROR(__xludf.DUMMYFUNCTION("""COMPUTED_VALUE"""),"| 5 L CPT % | 6 L PHP-CGM % | 7 P JAVA % | 9 P CPT % ")</f>
        <v xml:space="preserve">| 5 L CPT % | 6 L PHP-CGM % | 7 P JAVA % | 9 P CPT % </v>
      </c>
      <c r="BK290" s="4" t="str">
        <f ca="1">IFERROR(__xludf.DUMMYFUNCTION("""COMPUTED_VALUE"""),"| 5 L JAVA @ | 7 L PHP-CGM @ | 8 L CPT @ | 9 P PHP-CGM @ ")</f>
        <v xml:space="preserve">| 5 L JAVA @ | 7 L PHP-CGM @ | 8 L CPT @ | 9 P PHP-CGM @ </v>
      </c>
      <c r="BL290" s="4" t="str">
        <f ca="1">IFERROR(__xludf.DUMMYFUNCTION("""COMPUTED_VALUE"""),"| 5 L PHP-CGM % | 6 L CPT % | 8 L NS % ")</f>
        <v xml:space="preserve">| 5 L PHP-CGM % | 6 L CPT % | 8 L NS % </v>
      </c>
      <c r="BM290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290" s="4" t="str">
        <f ca="1">IFERROR(__xludf.DUMMYFUNCTION("""COMPUTED_VALUE"""),"| 5 L INE @ | 7 P NS % | 9 P Python @ ")</f>
        <v xml:space="preserve">| 5 L INE @ | 7 P NS % | 9 P Python @ </v>
      </c>
      <c r="BO290" s="4" t="str">
        <f ca="1">IFERROR(__xludf.DUMMYFUNCTION("""COMPUTED_VALUE"""),"| 5 L CPT @ | 6 L PHP-CGM @ | 9 P CPT @ ")</f>
        <v xml:space="preserve">| 5 L CPT @ | 6 L PHP-CGM @ | 9 P CPT @ </v>
      </c>
      <c r="BP290" s="4" t="str">
        <f ca="1">IFERROR(__xludf.DUMMYFUNCTION("""COMPUTED_VALUE"""),"| 5 L JAVA @ | 6 L JAVA @ | 7 L PHP-CGM @ | 8 L CPT @ | 9 P PHP-CGM % ")</f>
        <v xml:space="preserve">| 5 L JAVA @ | 6 L JAVA @ | 7 L PHP-CGM @ | 8 L CPT @ | 9 P PHP-CGM % </v>
      </c>
      <c r="BQ290" s="4" t="str">
        <f ca="1">IFERROR(__xludf.DUMMYFUNCTION("""COMPUTED_VALUE"""),"| 5 L JAVA % ")</f>
        <v xml:space="preserve">| 5 L JAVA % </v>
      </c>
      <c r="BR290" s="4"/>
      <c r="BS290" s="4"/>
      <c r="BT290" s="4" t="str">
        <f ca="1">IFERROR(__xludf.DUMMYFUNCTION("""COMPUTED_VALUE"""),"| 7 L PHP-CGM @ | 8 L CPT @ ")</f>
        <v xml:space="preserve">| 7 L PHP-CGM @ | 8 L CPT @ </v>
      </c>
      <c r="BU290" s="4" t="str">
        <f ca="1">IFERROR(__xludf.DUMMYFUNCTION("""COMPUTED_VALUE"""),"| 8 L NS @ ")</f>
        <v xml:space="preserve">| 8 L NS @ </v>
      </c>
      <c r="BV290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90" s="4"/>
      <c r="BX290" s="4" t="str">
        <f ca="1">IFERROR(__xludf.DUMMYFUNCTION("""COMPUTED_VALUE"""),"| 5 L JAVA % | 6 L NS % | 7 L PRO @ | 9 P Python % ")</f>
        <v xml:space="preserve">| 5 L JAVA % | 6 L NS % | 7 L PRO @ | 9 P Python % </v>
      </c>
      <c r="BY290" s="4" t="str">
        <f ca="1">IFERROR(__xludf.DUMMYFUNCTION("""COMPUTED_VALUE"""),"| 5 L INE % | 7 P NS @ | 9 P Python @ ")</f>
        <v xml:space="preserve">| 5 L INE % | 7 P NS @ | 9 P Python @ </v>
      </c>
      <c r="BZ290" s="4" t="str">
        <f ca="1">IFERROR(__xludf.DUMMYFUNCTION("""COMPUTED_VALUE"""),"| 5 L CPT % | 6 L PHP-CGM % | 7 P JAVA % | 9 P CPT % ")</f>
        <v xml:space="preserve">| 5 L CPT % | 6 L PHP-CGM % | 7 P JAVA % | 9 P CPT % </v>
      </c>
      <c r="CA290" s="4" t="str">
        <f ca="1">IFERROR(__xludf.DUMMYFUNCTION("""COMPUTED_VALUE"""),"| 5 L JAVA % | 6 L JAVA % | 7 L PHP-CGM % | 8 L CPT % ")</f>
        <v xml:space="preserve">| 5 L JAVA % | 6 L JAVA % | 7 L PHP-CGM % | 8 L CPT % </v>
      </c>
      <c r="CB290" s="4" t="str">
        <f ca="1">IFERROR(__xludf.DUMMYFUNCTION("""COMPUTED_VALUE"""),"| 5 L PHP-CGM @ | 6 L CPT @ | 7 L NS @ | 9 P JAVA @ ")</f>
        <v xml:space="preserve">| 5 L PHP-CGM @ | 6 L CPT @ | 7 L NS @ | 9 P JAVA @ </v>
      </c>
      <c r="CC290" s="4" t="str">
        <f ca="1">IFERROR(__xludf.DUMMYFUNCTION("""COMPUTED_VALUE"""),"| 5 L JAVA @ | 6 L NS @ | 9 P Python % ")</f>
        <v xml:space="preserve">| 5 L JAVA @ | 6 L NS @ | 9 P Python % </v>
      </c>
      <c r="CD290" s="4" t="str">
        <f ca="1">IFERROR(__xludf.DUMMYFUNCTION("""COMPUTED_VALUE"""),"| 5 L INE % | 7 P NS % | 9 P Python % ")</f>
        <v xml:space="preserve">| 5 L INE % | 7 P NS % | 9 P Python % </v>
      </c>
      <c r="CE290" s="4" t="str">
        <f ca="1">IFERROR(__xludf.DUMMYFUNCTION("""COMPUTED_VALUE"""),"| 5 L CPT % | 6 L PHP-CGM % | 7 P JAVA % | 9 P CPT @ ")</f>
        <v xml:space="preserve">| 5 L CPT % | 6 L PHP-CGM % | 7 P JAVA % | 9 P CPT @ </v>
      </c>
      <c r="CF290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CG290" s="4" t="str">
        <f ca="1">IFERROR(__xludf.DUMMYFUNCTION("""COMPUTED_VALUE"""),"| 5 L PHP-CGM @ | 6 L CPT @ | 7 L JAVA % | 8 L NS % | 9 P JAVA % ")</f>
        <v xml:space="preserve">| 5 L PHP-CGM @ | 6 L CPT @ | 7 L JAVA % | 8 L NS % | 9 P JAVA % </v>
      </c>
      <c r="CH290" s="4" t="str">
        <f ca="1">IFERROR(__xludf.DUMMYFUNCTION("""COMPUTED_VALUE"""),"| 5 L JAVA @ | 6 L NS @ | 9 P Python % ")</f>
        <v xml:space="preserve">| 5 L JAVA @ | 6 L NS @ | 9 P Python % </v>
      </c>
      <c r="CI290" s="4" t="str">
        <f ca="1">IFERROR(__xludf.DUMMYFUNCTION("""COMPUTED_VALUE"""),"| 5 L INE @ | 7 P NS % ")</f>
        <v xml:space="preserve">| 5 L INE @ | 7 P NS % </v>
      </c>
      <c r="CJ290" s="4" t="str">
        <f ca="1">IFERROR(__xludf.DUMMYFUNCTION("""COMPUTED_VALUE"""),"| 5 L CPT @ | 6 L PHP-CGM @ | 9 P CPT % ")</f>
        <v xml:space="preserve">| 5 L CPT @ | 6 L PHP-CGM @ | 9 P CPT % </v>
      </c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</row>
    <row r="291" spans="1:102" ht="12.5" x14ac:dyDescent="0.25">
      <c r="A291" s="3">
        <f ca="1">IFERROR(__xludf.DUMMYFUNCTION("""COMPUTED_VALUE"""),2)</f>
        <v>2</v>
      </c>
      <c r="B291" s="3" t="str">
        <f ca="1">IFERROR(__xludf.DUMMYFUNCTION("""COMPUTED_VALUE"""),"D")</f>
        <v>D</v>
      </c>
      <c r="C291" s="32" t="str">
        <f ca="1">IFERROR(__xludf.DUMMYFUNCTION("""COMPUTED_VALUE"""),"23171341066")</f>
        <v>23171341066</v>
      </c>
      <c r="D291" s="4" t="str">
        <f ca="1">IFERROR(__xludf.DUMMYFUNCTION("""COMPUTED_VALUE"""),"PARMAR SANJAYBHAI MANABHAI")</f>
        <v>PARMAR SANJAYBHAI MANABHAI</v>
      </c>
      <c r="E291" s="3" t="str">
        <f ca="1">IFERROR(__xludf.DUMMYFUNCTION("""COMPUTED_VALUE"""),"ZPP - Eve")</f>
        <v>ZPP - Eve</v>
      </c>
      <c r="F291" s="3"/>
      <c r="G291" s="3">
        <f ca="1">IFERROR(__xludf.DUMMYFUNCTION("""COMPUTED_VALUE"""),8511820673)</f>
        <v>8511820673</v>
      </c>
      <c r="H291" s="33">
        <f ca="1">IFERROR(__xludf.DUMMYFUNCTION("""COMPUTED_VALUE"""),0.436974789915966)</f>
        <v>0.436974789915966</v>
      </c>
      <c r="I291" s="25">
        <f ca="1">IFERROR(__xludf.DUMMYFUNCTION("""COMPUTED_VALUE"""),0.314285714285714)</f>
        <v>0.314285714285714</v>
      </c>
      <c r="J291" s="25">
        <f ca="1">IFERROR(__xludf.DUMMYFUNCTION("""COMPUTED_VALUE"""),0.416666666666666)</f>
        <v>0.41666666666666602</v>
      </c>
      <c r="K291" s="25">
        <f ca="1">IFERROR(__xludf.DUMMYFUNCTION("""COMPUTED_VALUE"""),0.5625)</f>
        <v>0.5625</v>
      </c>
      <c r="L291" s="25">
        <f ca="1">IFERROR(__xludf.DUMMYFUNCTION("""COMPUTED_VALUE"""),0.583333333333333)</f>
        <v>0.58333333333333304</v>
      </c>
      <c r="M291" s="25">
        <f ca="1">IFERROR(__xludf.DUMMYFUNCTION("""COMPUTED_VALUE"""),0.333333333333333)</f>
        <v>0.33333333333333298</v>
      </c>
      <c r="N291" s="25">
        <f ca="1">IFERROR(__xludf.DUMMYFUNCTION("""COMPUTED_VALUE"""),0.272727272727272)</f>
        <v>0.27272727272727199</v>
      </c>
      <c r="O291" s="25">
        <f ca="1">IFERROR(__xludf.DUMMYFUNCTION("""COMPUTED_VALUE"""),0.527777777777777)</f>
        <v>0.52777777777777701</v>
      </c>
      <c r="P291" s="25">
        <f ca="1">IFERROR(__xludf.DUMMYFUNCTION("""COMPUTED_VALUE"""),0.31578947368421)</f>
        <v>0.31578947368421001</v>
      </c>
      <c r="Q291" s="25">
        <f ca="1">IFERROR(__xludf.DUMMYFUNCTION("""COMPUTED_VALUE"""),0)</f>
        <v>0</v>
      </c>
      <c r="R291" s="25">
        <f ca="1">IFERROR(__xludf.DUMMYFUNCTION("""COMPUTED_VALUE"""),0.523809523809523)</f>
        <v>0.52380952380952295</v>
      </c>
      <c r="S291" s="25">
        <f ca="1">IFERROR(__xludf.DUMMYFUNCTION("""COMPUTED_VALUE"""),0.461538461538461)</f>
        <v>0.46153846153846101</v>
      </c>
      <c r="T291" s="25">
        <f ca="1">IFERROR(__xludf.DUMMYFUNCTION("""COMPUTED_VALUE"""),0)</f>
        <v>0</v>
      </c>
      <c r="U291" s="25">
        <f ca="1">IFERROR(__xludf.DUMMYFUNCTION("""COMPUTED_VALUE"""),0.6)</f>
        <v>0.6</v>
      </c>
      <c r="V291" s="25">
        <f ca="1">IFERROR(__xludf.DUMMYFUNCTION("""COMPUTED_VALUE"""),0)</f>
        <v>0</v>
      </c>
      <c r="W291" s="4"/>
      <c r="X291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291" s="4" t="str">
        <f ca="1">IFERROR(__xludf.DUMMYFUNCTION("""COMPUTED_VALUE"""),"| 5 L PHP-CGM @ | 6 L CPT @ | 7 L NS @ | 8 L JAVA @ | 9 P JAVA @ ")</f>
        <v xml:space="preserve">| 5 L PHP-CGM @ | 6 L CPT @ | 7 L NS @ | 8 L JAVA @ | 9 P JAVA @ </v>
      </c>
      <c r="Z291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1" s="4" t="str">
        <f ca="1">IFERROR(__xludf.DUMMYFUNCTION("""COMPUTED_VALUE"""),"| 7 P NS % | 9 P Python @ ")</f>
        <v xml:space="preserve">| 7 P NS % | 9 P Python @ </v>
      </c>
      <c r="AB291" s="4" t="str">
        <f ca="1">IFERROR(__xludf.DUMMYFUNCTION("""COMPUTED_VALUE"""),"| 5 L JAVA % | 6 L PHP-CGM % | 7 P JAVA % | 9 P CPT % ")</f>
        <v xml:space="preserve">| 5 L JAVA % | 6 L PHP-CGM % | 7 P JAVA % | 9 P CPT % </v>
      </c>
      <c r="AC291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1" s="4" t="str">
        <f ca="1">IFERROR(__xludf.DUMMYFUNCTION("""COMPUTED_VALUE"""),"| 5 L PHP-CGM % | 6 L CPT % | 7 L NS % | 8 L JAVA % | 9 P JAVA @ ")</f>
        <v xml:space="preserve">| 5 L PHP-CGM % | 6 L CPT % | 7 L NS % | 8 L JAVA % | 9 P JAVA @ </v>
      </c>
      <c r="AE291" s="4" t="str">
        <f ca="1">IFERROR(__xludf.DUMMYFUNCTION("""COMPUTED_VALUE"""),"| 5 L JAVA % | 6 L NS % | 7 L PRO @ | 9 P Python @ ")</f>
        <v xml:space="preserve">| 5 L JAVA % | 6 L NS % | 7 L PRO @ | 9 P Python @ </v>
      </c>
      <c r="AF291" s="4" t="str">
        <f ca="1">IFERROR(__xludf.DUMMYFUNCTION("""COMPUTED_VALUE"""),"| 7 P NS % | 9 P Python % ")</f>
        <v xml:space="preserve">| 7 P NS % | 9 P Python % </v>
      </c>
      <c r="AG291" s="4" t="str">
        <f ca="1">IFERROR(__xludf.DUMMYFUNCTION("""COMPUTED_VALUE"""),"| 5 L CPT % | 6 L PHP-CGM % | 7 P JAVA % | 9 P CPT % ")</f>
        <v xml:space="preserve">| 5 L CPT % | 6 L PHP-CGM % | 7 P JAVA % | 9 P CPT % </v>
      </c>
      <c r="AH291" s="4" t="str">
        <f ca="1">IFERROR(__xludf.DUMMYFUNCTION("""COMPUTED_VALUE"""),"| 7 P NS @ | 9 P Python @ ")</f>
        <v xml:space="preserve">| 7 P NS @ | 9 P Python @ </v>
      </c>
      <c r="AI291" s="4" t="str">
        <f ca="1">IFERROR(__xludf.DUMMYFUNCTION("""COMPUTED_VALUE"""),"| 5 L CPT % | 6 L PHP-CGM % | 7 P JAVA % | 9 P CPT % ")</f>
        <v xml:space="preserve">| 5 L CPT % | 6 L PHP-CGM % | 7 P JAVA % | 9 P CPT % </v>
      </c>
      <c r="AJ291" s="4" t="str">
        <f ca="1">IFERROR(__xludf.DUMMYFUNCTION("""COMPUTED_VALUE"""),"| 5 L JAVA % | 6 L NS % | 7 L PHP-CGM @ | 8 L CPT @ | 9 P PHP-CGM @ ")</f>
        <v xml:space="preserve">| 5 L JAVA % | 6 L NS % | 7 L PHP-CGM @ | 8 L CPT @ | 9 P PHP-CGM @ </v>
      </c>
      <c r="AK291" s="4" t="str">
        <f ca="1">IFERROR(__xludf.DUMMYFUNCTION("""COMPUTED_VALUE"""),"| 5 L PHP-CGM % | 6 L CPT % | 8 L JAVA @ | 7 L NS @ | 9 P JAVA % ")</f>
        <v xml:space="preserve">| 5 L PHP-CGM % | 6 L CPT % | 8 L JAVA @ | 7 L NS @ | 9 P JAVA % </v>
      </c>
      <c r="AL291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1" s="4" t="str">
        <f ca="1">IFERROR(__xludf.DUMMYFUNCTION("""COMPUTED_VALUE"""),"| 5 L INE % | 7 P NS % | 9 P Python % ")</f>
        <v xml:space="preserve">| 5 L INE % | 7 P NS % | 9 P Python % </v>
      </c>
      <c r="AN291" s="4" t="str">
        <f ca="1">IFERROR(__xludf.DUMMYFUNCTION("""COMPUTED_VALUE"""),"| 5 L CPT @ | 6 L PHP-CGM @ | 7 P JAVA @ | 9 P CPT @ ")</f>
        <v xml:space="preserve">| 5 L CPT @ | 6 L PHP-CGM @ | 7 P JAVA @ | 9 P CPT @ </v>
      </c>
      <c r="AO291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1" s="4" t="str">
        <f ca="1">IFERROR(__xludf.DUMMYFUNCTION("""COMPUTED_VALUE"""),"| 5 L PHP-CGM @ | 6 L CPT @ | 7 L JAVA % | 7 L NS % ")</f>
        <v xml:space="preserve">| 5 L PHP-CGM @ | 6 L CPT @ | 7 L JAVA % | 7 L NS % </v>
      </c>
      <c r="AQ291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AR291" s="4" t="str">
        <f ca="1">IFERROR(__xludf.DUMMYFUNCTION("""COMPUTED_VALUE"""),"| 5 L INE @ ")</f>
        <v xml:space="preserve">| 5 L INE @ </v>
      </c>
      <c r="AS291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T291" s="4" t="str">
        <f ca="1">IFERROR(__xludf.DUMMYFUNCTION("""COMPUTED_VALUE"""),"| 5 L PHP-CGM @ | 6 L CPT @ | 7 L JAVA @ | 8 L JAVA @ | 9 P JAVA @ ")</f>
        <v xml:space="preserve">| 5 L PHP-CGM @ | 6 L CPT @ | 7 L JAVA @ | 8 L JAVA @ | 9 P JAVA @ </v>
      </c>
      <c r="AU291" s="4" t="str">
        <f ca="1">IFERROR(__xludf.DUMMYFUNCTION("""COMPUTED_VALUE"""),"| 5 L JAVA % | 6 L NS % | 7 P PRO @ | 9 P Python % ")</f>
        <v xml:space="preserve">| 5 L JAVA % | 6 L NS % | 7 P PRO @ | 9 P Python % </v>
      </c>
      <c r="AV291" s="4" t="str">
        <f ca="1">IFERROR(__xludf.DUMMYFUNCTION("""COMPUTED_VALUE"""),"| 5 L INE % | 7 P NS % | 9 P Python % ")</f>
        <v xml:space="preserve">| 5 L INE % | 7 P NS % | 9 P Python % </v>
      </c>
      <c r="AW291" s="4" t="str">
        <f ca="1">IFERROR(__xludf.DUMMYFUNCTION("""COMPUTED_VALUE"""),"| 5 L CPT % | 6 L PHP-CGM % | 7 P JAVA @ | 9 P CPT % ")</f>
        <v xml:space="preserve">| 5 L CPT % | 6 L PHP-CGM % | 7 P JAVA @ | 9 P CPT % </v>
      </c>
      <c r="AX291" s="4" t="str">
        <f ca="1">IFERROR(__xludf.DUMMYFUNCTION("""COMPUTED_VALUE"""),"| 5 L JAVA % | 6 L JAVA % | 7 L PHP-CGM @ | 8 L CPT @ | 9 P PHP-CGM @ ")</f>
        <v xml:space="preserve">| 5 L JAVA % | 6 L JAVA % | 7 L PHP-CGM @ | 8 L CPT @ | 9 P PHP-CGM @ </v>
      </c>
      <c r="AY291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1" s="4" t="str">
        <f ca="1">IFERROR(__xludf.DUMMYFUNCTION("""COMPUTED_VALUE"""),"| 5 L INE % | 7 P NS % ")</f>
        <v xml:space="preserve">| 5 L INE % | 7 P NS % </v>
      </c>
      <c r="BA291" s="4" t="str">
        <f ca="1">IFERROR(__xludf.DUMMYFUNCTION("""COMPUTED_VALUE"""),"| 5 L CPT @ | 6 L PHP-CGM @ | 7 P JAVA @ | 9 P CPT @ ")</f>
        <v xml:space="preserve">| 5 L CPT @ | 6 L PHP-CGM @ | 7 P JAVA @ | 9 P CPT @ </v>
      </c>
      <c r="BB291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C291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D291" s="4" t="str">
        <f ca="1">IFERROR(__xludf.DUMMYFUNCTION("""COMPUTED_VALUE"""),"| 5 L JAVA @ | 6 L NS @ | 7 L PRO @ | 8 L PRO @ | 9 P Python % ")</f>
        <v xml:space="preserve">| 5 L JAVA @ | 6 L NS @ | 7 L PRO @ | 8 L PRO @ | 9 P Python % </v>
      </c>
      <c r="BE291" s="4" t="str">
        <f ca="1">IFERROR(__xludf.DUMMYFUNCTION("""COMPUTED_VALUE"""),"| 5 L INE @ | 7 P NS @ | 9 P Python @ ")</f>
        <v xml:space="preserve">| 5 L INE @ | 7 P NS @ | 9 P Python @ </v>
      </c>
      <c r="BF291" s="4" t="str">
        <f ca="1">IFERROR(__xludf.DUMMYFUNCTION("""COMPUTED_VALUE"""),"| 5 L CPT @ | 6 L PHP-CGM @ | 7 P JAVA @ | 9 P CPT @ ")</f>
        <v xml:space="preserve">| 5 L CPT @ | 6 L PHP-CGM @ | 7 P JAVA @ | 9 P CPT @ </v>
      </c>
      <c r="BG291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H291" s="4" t="str">
        <f ca="1">IFERROR(__xludf.DUMMYFUNCTION("""COMPUTED_VALUE"""),"| 5 L JAVA % | 6 L NS % | 7 L PRO @ | 9 P Python @ ")</f>
        <v xml:space="preserve">| 5 L JAVA % | 6 L NS % | 7 L PRO @ | 9 P Python @ </v>
      </c>
      <c r="BI291" s="4" t="str">
        <f ca="1">IFERROR(__xludf.DUMMYFUNCTION("""COMPUTED_VALUE"""),"| 5 L INE % | 7 P NS @ | 9 P Python @ ")</f>
        <v xml:space="preserve">| 5 L INE % | 7 P NS @ | 9 P Python @ </v>
      </c>
      <c r="BJ291" s="4" t="str">
        <f ca="1">IFERROR(__xludf.DUMMYFUNCTION("""COMPUTED_VALUE"""),"| 5 L CPT @ | 6 L PHP-CGM @ | 7 P JAVA @ | 9 P CPT @ ")</f>
        <v xml:space="preserve">| 5 L CPT @ | 6 L PHP-CGM @ | 7 P JAVA @ | 9 P CPT @ </v>
      </c>
      <c r="BK291" s="4" t="str">
        <f ca="1">IFERROR(__xludf.DUMMYFUNCTION("""COMPUTED_VALUE"""),"| 5 L JAVA @ | 7 L PHP-CGM @ | 8 L CPT @ | 9 P PHP-CGM @ ")</f>
        <v xml:space="preserve">| 5 L JAVA @ | 7 L PHP-CGM @ | 8 L CPT @ | 9 P PHP-CGM @ </v>
      </c>
      <c r="BL291" s="4" t="str">
        <f ca="1">IFERROR(__xludf.DUMMYFUNCTION("""COMPUTED_VALUE"""),"| 5 L PHP-CGM % | 6 L CPT % | 8 L NS % ")</f>
        <v xml:space="preserve">| 5 L PHP-CGM % | 6 L CPT % | 8 L NS % </v>
      </c>
      <c r="BM291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291" s="4" t="str">
        <f ca="1">IFERROR(__xludf.DUMMYFUNCTION("""COMPUTED_VALUE"""),"| 5 L INE @ | 7 P NS @ | 9 P Python @ ")</f>
        <v xml:space="preserve">| 5 L INE @ | 7 P NS @ | 9 P Python @ </v>
      </c>
      <c r="BO291" s="4" t="str">
        <f ca="1">IFERROR(__xludf.DUMMYFUNCTION("""COMPUTED_VALUE"""),"| 5 L CPT @ | 6 L PHP-CGM @ | 9 P CPT @ ")</f>
        <v xml:space="preserve">| 5 L CPT @ | 6 L PHP-CGM @ | 9 P CPT @ </v>
      </c>
      <c r="BP291" s="4" t="str">
        <f ca="1">IFERROR(__xludf.DUMMYFUNCTION("""COMPUTED_VALUE"""),"| 5 L JAVA @ | 6 L JAVA @ | 7 L PHP-CGM @ | 8 L CPT @ | 9 P PHP-CGM % ")</f>
        <v xml:space="preserve">| 5 L JAVA @ | 6 L JAVA @ | 7 L PHP-CGM @ | 8 L CPT @ | 9 P PHP-CGM % </v>
      </c>
      <c r="BQ291" s="4" t="str">
        <f ca="1">IFERROR(__xludf.DUMMYFUNCTION("""COMPUTED_VALUE"""),"| 5 L JAVA % ")</f>
        <v xml:space="preserve">| 5 L JAVA % </v>
      </c>
      <c r="BR291" s="4"/>
      <c r="BS291" s="4"/>
      <c r="BT291" s="4" t="str">
        <f ca="1">IFERROR(__xludf.DUMMYFUNCTION("""COMPUTED_VALUE"""),"| 7 L PHP-CGM @ | 8 L CPT @ ")</f>
        <v xml:space="preserve">| 7 L PHP-CGM @ | 8 L CPT @ </v>
      </c>
      <c r="BU291" s="4" t="str">
        <f ca="1">IFERROR(__xludf.DUMMYFUNCTION("""COMPUTED_VALUE"""),"| 8 L NS @ ")</f>
        <v xml:space="preserve">| 8 L NS @ </v>
      </c>
      <c r="BV291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91" s="4"/>
      <c r="BX291" s="4" t="str">
        <f ca="1">IFERROR(__xludf.DUMMYFUNCTION("""COMPUTED_VALUE"""),"| 5 L JAVA % | 6 L NS % | 7 L PRO @ | 9 P Python % ")</f>
        <v xml:space="preserve">| 5 L JAVA % | 6 L NS % | 7 L PRO @ | 9 P Python % </v>
      </c>
      <c r="BY291" s="4" t="str">
        <f ca="1">IFERROR(__xludf.DUMMYFUNCTION("""COMPUTED_VALUE"""),"| 5 L INE % | 7 P NS @ | 9 P Python @ ")</f>
        <v xml:space="preserve">| 5 L INE % | 7 P NS @ | 9 P Python @ </v>
      </c>
      <c r="BZ291" s="4" t="str">
        <f ca="1">IFERROR(__xludf.DUMMYFUNCTION("""COMPUTED_VALUE"""),"| 5 L CPT % | 6 L PHP-CGM % | 7 P JAVA % | 9 P CPT % ")</f>
        <v xml:space="preserve">| 5 L CPT % | 6 L PHP-CGM % | 7 P JAVA % | 9 P CPT % </v>
      </c>
      <c r="CA291" s="4" t="str">
        <f ca="1">IFERROR(__xludf.DUMMYFUNCTION("""COMPUTED_VALUE"""),"| 5 L JAVA % | 6 L JAVA % | 7 L PHP-CGM % | 8 L CPT % ")</f>
        <v xml:space="preserve">| 5 L JAVA % | 6 L JAVA % | 7 L PHP-CGM % | 8 L CPT % </v>
      </c>
      <c r="CB291" s="4" t="str">
        <f ca="1">IFERROR(__xludf.DUMMYFUNCTION("""COMPUTED_VALUE"""),"| 5 L PHP-CGM @ | 6 L CPT @ | 7 L NS @ | 9 P JAVA @ ")</f>
        <v xml:space="preserve">| 5 L PHP-CGM @ | 6 L CPT @ | 7 L NS @ | 9 P JAVA @ </v>
      </c>
      <c r="CC291" s="4" t="str">
        <f ca="1">IFERROR(__xludf.DUMMYFUNCTION("""COMPUTED_VALUE"""),"| 5 L JAVA @ | 6 L NS @ | 9 P Python % ")</f>
        <v xml:space="preserve">| 5 L JAVA @ | 6 L NS @ | 9 P Python % </v>
      </c>
      <c r="CD291" s="4" t="str">
        <f ca="1">IFERROR(__xludf.DUMMYFUNCTION("""COMPUTED_VALUE"""),"| 5 L INE % | 7 P NS % | 9 P Python % ")</f>
        <v xml:space="preserve">| 5 L INE % | 7 P NS % | 9 P Python % </v>
      </c>
      <c r="CE291" s="4" t="str">
        <f ca="1">IFERROR(__xludf.DUMMYFUNCTION("""COMPUTED_VALUE"""),"| 5 L CPT @ | 6 L PHP-CGM @ | 7 P JAVA @ | 9 P CPT @ ")</f>
        <v xml:space="preserve">| 5 L CPT @ | 6 L PHP-CGM @ | 7 P JAVA @ | 9 P CPT @ </v>
      </c>
      <c r="CF291" s="4" t="str">
        <f ca="1">IFERROR(__xludf.DUMMYFUNCTION("""COMPUTED_VALUE"""),"| 5 L JAVA % | 6 L NS % | 7 L PHP-CGM @ | 8 L CPT @ | 9 P PHP-CGM @ ")</f>
        <v xml:space="preserve">| 5 L JAVA % | 6 L NS % | 7 L PHP-CGM @ | 8 L CPT @ | 9 P PHP-CGM @ </v>
      </c>
      <c r="CG291" s="4" t="str">
        <f ca="1">IFERROR(__xludf.DUMMYFUNCTION("""COMPUTED_VALUE"""),"| 5 L PHP-CGM @ | 6 L CPT @ | 7 L JAVA % | 8 L NS % | 9 P JAVA @ ")</f>
        <v xml:space="preserve">| 5 L PHP-CGM @ | 6 L CPT @ | 7 L JAVA % | 8 L NS % | 9 P JAVA @ </v>
      </c>
      <c r="CH291" s="4" t="str">
        <f ca="1">IFERROR(__xludf.DUMMYFUNCTION("""COMPUTED_VALUE"""),"| 5 L JAVA @ | 6 L NS @ | 9 P Python % ")</f>
        <v xml:space="preserve">| 5 L JAVA @ | 6 L NS @ | 9 P Python % </v>
      </c>
      <c r="CI291" s="4" t="str">
        <f ca="1">IFERROR(__xludf.DUMMYFUNCTION("""COMPUTED_VALUE"""),"| 5 L INE @ | 7 P NS % ")</f>
        <v xml:space="preserve">| 5 L INE @ | 7 P NS % </v>
      </c>
      <c r="CJ291" s="4" t="str">
        <f ca="1">IFERROR(__xludf.DUMMYFUNCTION("""COMPUTED_VALUE"""),"| 5 L CPT @ | 6 L PHP-CGM @ | 9 P CPT @ ")</f>
        <v xml:space="preserve">| 5 L CPT @ | 6 L PHP-CGM @ | 9 P CPT @ </v>
      </c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</row>
    <row r="292" spans="1:102" ht="12.5" x14ac:dyDescent="0.25">
      <c r="A292" s="3">
        <f ca="1">IFERROR(__xludf.DUMMYFUNCTION("""COMPUTED_VALUE"""),2)</f>
        <v>2</v>
      </c>
      <c r="B292" s="3" t="str">
        <f ca="1">IFERROR(__xludf.DUMMYFUNCTION("""COMPUTED_VALUE"""),"D")</f>
        <v>D</v>
      </c>
      <c r="C292" s="32" t="str">
        <f ca="1">IFERROR(__xludf.DUMMYFUNCTION("""COMPUTED_VALUE"""),"23171341068")</f>
        <v>23171341068</v>
      </c>
      <c r="D292" s="4" t="str">
        <f ca="1">IFERROR(__xludf.DUMMYFUNCTION("""COMPUTED_VALUE"""),"PATEL ANJAL MITULKUMAR")</f>
        <v>PATEL ANJAL MITULKUMAR</v>
      </c>
      <c r="E292" s="3" t="str">
        <f ca="1">IFERROR(__xludf.DUMMYFUNCTION("""COMPUTED_VALUE"""),"ZPP - Eve")</f>
        <v>ZPP - Eve</v>
      </c>
      <c r="F292" s="3">
        <f ca="1">IFERROR(__xludf.DUMMYFUNCTION("""COMPUTED_VALUE"""),8849021564)</f>
        <v>8849021564</v>
      </c>
      <c r="G292" s="3">
        <f ca="1">IFERROR(__xludf.DUMMYFUNCTION("""COMPUTED_VALUE"""),9327368981)</f>
        <v>9327368981</v>
      </c>
      <c r="H292" s="33">
        <f ca="1">IFERROR(__xludf.DUMMYFUNCTION("""COMPUTED_VALUE"""),0.756302521008403)</f>
        <v>0.75630252100840301</v>
      </c>
      <c r="I292" s="25">
        <f ca="1">IFERROR(__xludf.DUMMYFUNCTION("""COMPUTED_VALUE"""),0.771428571428571)</f>
        <v>0.77142857142857102</v>
      </c>
      <c r="J292" s="25">
        <f ca="1">IFERROR(__xludf.DUMMYFUNCTION("""COMPUTED_VALUE"""),0.583333333333333)</f>
        <v>0.58333333333333304</v>
      </c>
      <c r="K292" s="25">
        <f ca="1">IFERROR(__xludf.DUMMYFUNCTION("""COMPUTED_VALUE"""),0.84375)</f>
        <v>0.84375</v>
      </c>
      <c r="L292" s="25">
        <f ca="1">IFERROR(__xludf.DUMMYFUNCTION("""COMPUTED_VALUE"""),0.75)</f>
        <v>0.75</v>
      </c>
      <c r="M292" s="25">
        <f ca="1">IFERROR(__xludf.DUMMYFUNCTION("""COMPUTED_VALUE"""),0.75)</f>
        <v>0.75</v>
      </c>
      <c r="N292" s="25">
        <f ca="1">IFERROR(__xludf.DUMMYFUNCTION("""COMPUTED_VALUE"""),0.545454545454545)</f>
        <v>0.54545454545454497</v>
      </c>
      <c r="O292" s="25">
        <f ca="1">IFERROR(__xludf.DUMMYFUNCTION("""COMPUTED_VALUE"""),0.916666666666666)</f>
        <v>0.91666666666666596</v>
      </c>
      <c r="P292" s="25">
        <f ca="1">IFERROR(__xludf.DUMMYFUNCTION("""COMPUTED_VALUE"""),0.684210526315789)</f>
        <v>0.68421052631578905</v>
      </c>
      <c r="Q292" s="25">
        <f ca="1">IFERROR(__xludf.DUMMYFUNCTION("""COMPUTED_VALUE"""),0)</f>
        <v>0</v>
      </c>
      <c r="R292" s="25">
        <f ca="1">IFERROR(__xludf.DUMMYFUNCTION("""COMPUTED_VALUE"""),0.619047619047619)</f>
        <v>0.61904761904761896</v>
      </c>
      <c r="S292" s="25">
        <f ca="1">IFERROR(__xludf.DUMMYFUNCTION("""COMPUTED_VALUE"""),0.769230769230769)</f>
        <v>0.76923076923076905</v>
      </c>
      <c r="T292" s="25">
        <f ca="1">IFERROR(__xludf.DUMMYFUNCTION("""COMPUTED_VALUE"""),1)</f>
        <v>1</v>
      </c>
      <c r="U292" s="25">
        <f ca="1">IFERROR(__xludf.DUMMYFUNCTION("""COMPUTED_VALUE"""),0.7)</f>
        <v>0.7</v>
      </c>
      <c r="V292" s="25">
        <f ca="1">IFERROR(__xludf.DUMMYFUNCTION("""COMPUTED_VALUE"""),0)</f>
        <v>0</v>
      </c>
      <c r="W292" s="4"/>
      <c r="X292" s="4" t="str">
        <f ca="1">IFERROR(__xludf.DUMMYFUNCTION("""COMPUTED_VALUE"""),"| 5 L JAVA @ | 6 L NS @ | 7 L PHP-CGM % | 8 L CPT % | 9 P PHP-CGM % ")</f>
        <v xml:space="preserve">| 5 L JAVA @ | 6 L NS @ | 7 L PHP-CGM % | 8 L CPT % | 9 P PHP-CGM % </v>
      </c>
      <c r="Y292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292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2" s="4" t="str">
        <f ca="1">IFERROR(__xludf.DUMMYFUNCTION("""COMPUTED_VALUE"""),"| 7 P NS % | 9 P Python % ")</f>
        <v xml:space="preserve">| 7 P NS % | 9 P Python % </v>
      </c>
      <c r="AB292" s="4" t="str">
        <f ca="1">IFERROR(__xludf.DUMMYFUNCTION("""COMPUTED_VALUE"""),"| 5 L JAVA % | 6 L PHP-CGM % | 7 P JAVA @ | 9 P CPT @ ")</f>
        <v xml:space="preserve">| 5 L JAVA % | 6 L PHP-CGM % | 7 P JAVA @ | 9 P CPT @ </v>
      </c>
      <c r="AC292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2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2" s="4" t="str">
        <f ca="1">IFERROR(__xludf.DUMMYFUNCTION("""COMPUTED_VALUE"""),"| 5 L JAVA % | 6 L NS % | 7 L PRO % | 9 P Python % ")</f>
        <v xml:space="preserve">| 5 L JAVA % | 6 L NS % | 7 L PRO % | 9 P Python % </v>
      </c>
      <c r="AF292" s="4" t="str">
        <f ca="1">IFERROR(__xludf.DUMMYFUNCTION("""COMPUTED_VALUE"""),"| 7 P NS % | 9 P Python @ ")</f>
        <v xml:space="preserve">| 7 P NS % | 9 P Python @ </v>
      </c>
      <c r="AG292" s="4" t="str">
        <f ca="1">IFERROR(__xludf.DUMMYFUNCTION("""COMPUTED_VALUE"""),"| 5 L CPT % | 6 L PHP-CGM % | 7 P JAVA % | 9 P CPT % ")</f>
        <v xml:space="preserve">| 5 L CPT % | 6 L PHP-CGM % | 7 P JAVA % | 9 P CPT % </v>
      </c>
      <c r="AH292" s="4" t="str">
        <f ca="1">IFERROR(__xludf.DUMMYFUNCTION("""COMPUTED_VALUE"""),"| 7 P NS % | 9 P Python @ ")</f>
        <v xml:space="preserve">| 7 P NS % | 9 P Python @ </v>
      </c>
      <c r="AI292" s="4" t="str">
        <f ca="1">IFERROR(__xludf.DUMMYFUNCTION("""COMPUTED_VALUE"""),"| 5 L CPT % | 6 L PHP-CGM % | 7 P JAVA % | 9 P CPT % ")</f>
        <v xml:space="preserve">| 5 L CPT % | 6 L PHP-CGM % | 7 P JAVA % | 9 P CPT % </v>
      </c>
      <c r="AJ292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92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292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2" s="4" t="str">
        <f ca="1">IFERROR(__xludf.DUMMYFUNCTION("""COMPUTED_VALUE"""),"| 5 L INE % | 7 P NS % | 9 P Python % ")</f>
        <v xml:space="preserve">| 5 L INE % | 7 P NS % | 9 P Python % </v>
      </c>
      <c r="AN292" s="4" t="str">
        <f ca="1">IFERROR(__xludf.DUMMYFUNCTION("""COMPUTED_VALUE"""),"| 5 L CPT % | 6 L PHP-CGM % | 7 P JAVA @ | 9 P CPT % ")</f>
        <v xml:space="preserve">| 5 L CPT % | 6 L PHP-CGM % | 7 P JAVA @ | 9 P CPT % </v>
      </c>
      <c r="AO292" s="4" t="str">
        <f ca="1">IFERROR(__xludf.DUMMYFUNCTION("""COMPUTED_VALUE"""),"| 5 L JAVA % | 5 L NS % | 7 L PHP-CGM @ | 8 L CPT @ | 9 P PHP-CGM @ ")</f>
        <v xml:space="preserve">| 5 L JAVA % | 5 L NS % | 7 L PHP-CGM @ | 8 L CPT @ | 9 P PHP-CGM @ </v>
      </c>
      <c r="AP292" s="4" t="str">
        <f ca="1">IFERROR(__xludf.DUMMYFUNCTION("""COMPUTED_VALUE"""),"| 5 L PHP-CGM % | 6 L CPT % | 7 L JAVA % | 7 L NS % ")</f>
        <v xml:space="preserve">| 5 L PHP-CGM % | 6 L CPT % | 7 L JAVA % | 7 L NS % </v>
      </c>
      <c r="AQ292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292" s="4" t="str">
        <f ca="1">IFERROR(__xludf.DUMMYFUNCTION("""COMPUTED_VALUE"""),"| 5 L INE @ ")</f>
        <v xml:space="preserve">| 5 L INE @ </v>
      </c>
      <c r="AS292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2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2" s="4" t="str">
        <f ca="1">IFERROR(__xludf.DUMMYFUNCTION("""COMPUTED_VALUE"""),"| 5 L JAVA % | 6 L NS % | 7 P PRO % | 9 P Python % ")</f>
        <v xml:space="preserve">| 5 L JAVA % | 6 L NS % | 7 P PRO % | 9 P Python % </v>
      </c>
      <c r="AV292" s="4" t="str">
        <f ca="1">IFERROR(__xludf.DUMMYFUNCTION("""COMPUTED_VALUE"""),"| 5 L INE % | 7 P NS % | 9 P Python @ ")</f>
        <v xml:space="preserve">| 5 L INE % | 7 P NS % | 9 P Python @ </v>
      </c>
      <c r="AW292" s="4" t="str">
        <f ca="1">IFERROR(__xludf.DUMMYFUNCTION("""COMPUTED_VALUE"""),"| 5 L CPT % | 6 L PHP-CGM % | 7 P JAVA @ | 9 P CPT @ ")</f>
        <v xml:space="preserve">| 5 L CPT % | 6 L PHP-CGM % | 7 P JAVA @ | 9 P CPT @ </v>
      </c>
      <c r="AX292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AY292" s="4" t="str">
        <f ca="1">IFERROR(__xludf.DUMMYFUNCTION("""COMPUTED_VALUE"""),"| 5 L PHP-CGM % | 6 L CPT % | 7 L NS % | 8 L NS % | 9 P JAVA @ ")</f>
        <v xml:space="preserve">| 5 L PHP-CGM % | 6 L CPT % | 7 L NS % | 8 L NS % | 9 P JAVA @ </v>
      </c>
      <c r="AZ292" s="4" t="str">
        <f ca="1">IFERROR(__xludf.DUMMYFUNCTION("""COMPUTED_VALUE"""),"| 5 L INE % | 7 P NS @ ")</f>
        <v xml:space="preserve">| 5 L INE % | 7 P NS @ </v>
      </c>
      <c r="BA292" s="4" t="str">
        <f ca="1">IFERROR(__xludf.DUMMYFUNCTION("""COMPUTED_VALUE"""),"| 5 L CPT % | 6 L PHP-CGM % | 7 P JAVA % | 9 P CPT % ")</f>
        <v xml:space="preserve">| 5 L CPT % | 6 L PHP-CGM % | 7 P JAVA % | 9 P CPT % </v>
      </c>
      <c r="BB292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2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D292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292" s="4" t="str">
        <f ca="1">IFERROR(__xludf.DUMMYFUNCTION("""COMPUTED_VALUE"""),"| 5 L INE % | 7 P NS % | 9 P Python % ")</f>
        <v xml:space="preserve">| 5 L INE % | 7 P NS % | 9 P Python % </v>
      </c>
      <c r="BF292" s="4" t="str">
        <f ca="1">IFERROR(__xludf.DUMMYFUNCTION("""COMPUTED_VALUE"""),"| 5 L CPT % | 6 L PHP-CGM % | 7 P JAVA % | 9 P CPT @ ")</f>
        <v xml:space="preserve">| 5 L CPT % | 6 L PHP-CGM % | 7 P JAVA % | 9 P CPT @ </v>
      </c>
      <c r="BG292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92" s="4" t="str">
        <f ca="1">IFERROR(__xludf.DUMMYFUNCTION("""COMPUTED_VALUE"""),"| 5 L JAVA % | 6 L NS % | 7 L PRO @ | 9 P Python @ ")</f>
        <v xml:space="preserve">| 5 L JAVA % | 6 L NS % | 7 L PRO @ | 9 P Python @ </v>
      </c>
      <c r="BI292" s="4" t="str">
        <f ca="1">IFERROR(__xludf.DUMMYFUNCTION("""COMPUTED_VALUE"""),"| 5 L INE % | 7 P NS % | 9 P Python % ")</f>
        <v xml:space="preserve">| 5 L INE % | 7 P NS % | 9 P Python % </v>
      </c>
      <c r="BJ292" s="4" t="str">
        <f ca="1">IFERROR(__xludf.DUMMYFUNCTION("""COMPUTED_VALUE"""),"| 5 L CPT % | 6 L PHP-CGM % | 7 P JAVA @ | 9 P CPT % ")</f>
        <v xml:space="preserve">| 5 L CPT % | 6 L PHP-CGM % | 7 P JAVA @ | 9 P CPT % </v>
      </c>
      <c r="BK292" s="4" t="str">
        <f ca="1">IFERROR(__xludf.DUMMYFUNCTION("""COMPUTED_VALUE"""),"| 5 L JAVA % | 7 L PHP-CGM @ | 8 L CPT @ | 9 P PHP-CGM @ ")</f>
        <v xml:space="preserve">| 5 L JAVA % | 7 L PHP-CGM @ | 8 L CPT @ | 9 P PHP-CGM @ </v>
      </c>
      <c r="BL292" s="4" t="str">
        <f ca="1">IFERROR(__xludf.DUMMYFUNCTION("""COMPUTED_VALUE"""),"| 5 L PHP-CGM % | 6 L CPT % | 8 L NS @ ")</f>
        <v xml:space="preserve">| 5 L PHP-CGM % | 6 L CPT % | 8 L NS @ </v>
      </c>
      <c r="BM292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292" s="4" t="str">
        <f ca="1">IFERROR(__xludf.DUMMYFUNCTION("""COMPUTED_VALUE"""),"| 5 L INE @ | 7 P NS @ | 9 P Python @ ")</f>
        <v xml:space="preserve">| 5 L INE @ | 7 P NS @ | 9 P Python @ </v>
      </c>
      <c r="BO292" s="4" t="str">
        <f ca="1">IFERROR(__xludf.DUMMYFUNCTION("""COMPUTED_VALUE"""),"| 5 L CPT @ | 6 L PHP-CGM @ | 9 P CPT @ ")</f>
        <v xml:space="preserve">| 5 L CPT @ | 6 L PHP-CGM @ | 9 P CPT @ </v>
      </c>
      <c r="BP292" s="4" t="str">
        <f ca="1">IFERROR(__xludf.DUMMYFUNCTION("""COMPUTED_VALUE"""),"| 5 L JAVA % | 6 L JAVA % | 7 L PHP-CGM @ | 8 L CPT @ | 9 P PHP-CGM @ ")</f>
        <v xml:space="preserve">| 5 L JAVA % | 6 L JAVA % | 7 L PHP-CGM @ | 8 L CPT @ | 9 P PHP-CGM @ </v>
      </c>
      <c r="BQ292" s="4" t="str">
        <f ca="1">IFERROR(__xludf.DUMMYFUNCTION("""COMPUTED_VALUE"""),"| 5 L JAVA % ")</f>
        <v xml:space="preserve">| 5 L JAVA % </v>
      </c>
      <c r="BR292" s="4"/>
      <c r="BS292" s="4"/>
      <c r="BT292" s="4" t="str">
        <f ca="1">IFERROR(__xludf.DUMMYFUNCTION("""COMPUTED_VALUE"""),"| 7 L PHP-CGM @ | 8 L CPT @ ")</f>
        <v xml:space="preserve">| 7 L PHP-CGM @ | 8 L CPT @ </v>
      </c>
      <c r="BU292" s="4" t="str">
        <f ca="1">IFERROR(__xludf.DUMMYFUNCTION("""COMPUTED_VALUE"""),"| 8 L NS @ ")</f>
        <v xml:space="preserve">| 8 L NS @ </v>
      </c>
      <c r="BV292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92" s="4"/>
      <c r="BX292" s="4" t="str">
        <f ca="1">IFERROR(__xludf.DUMMYFUNCTION("""COMPUTED_VALUE"""),"| 5 L JAVA % | 6 L NS % | 7 L PRO % | 9 P Python % ")</f>
        <v xml:space="preserve">| 5 L JAVA % | 6 L NS % | 7 L PRO % | 9 P Python % </v>
      </c>
      <c r="BY292" s="4" t="str">
        <f ca="1">IFERROR(__xludf.DUMMYFUNCTION("""COMPUTED_VALUE"""),"| 5 L INE @ | 7 P NS @ | 9 P Python @ ")</f>
        <v xml:space="preserve">| 5 L INE @ | 7 P NS @ | 9 P Python @ </v>
      </c>
      <c r="BZ292" s="4" t="str">
        <f ca="1">IFERROR(__xludf.DUMMYFUNCTION("""COMPUTED_VALUE"""),"| 5 L CPT % | 6 L PHP-CGM % | 7 P JAVA % | 9 P CPT % ")</f>
        <v xml:space="preserve">| 5 L CPT % | 6 L PHP-CGM % | 7 P JAVA % | 9 P CPT % </v>
      </c>
      <c r="CA292" s="4" t="str">
        <f ca="1">IFERROR(__xludf.DUMMYFUNCTION("""COMPUTED_VALUE"""),"| 5 L JAVA % | 6 L JAVA % | 7 L PHP-CGM @ | 8 L CPT @ ")</f>
        <v xml:space="preserve">| 5 L JAVA % | 6 L JAVA % | 7 L PHP-CGM @ | 8 L CPT @ </v>
      </c>
      <c r="CB292" s="4" t="str">
        <f ca="1">IFERROR(__xludf.DUMMYFUNCTION("""COMPUTED_VALUE"""),"| 5 L PHP-CGM % | 6 L CPT % | 7 L NS % | 9 P JAVA % ")</f>
        <v xml:space="preserve">| 5 L PHP-CGM % | 6 L CPT % | 7 L NS % | 9 P JAVA % </v>
      </c>
      <c r="CC292" s="4" t="str">
        <f ca="1">IFERROR(__xludf.DUMMYFUNCTION("""COMPUTED_VALUE"""),"| 5 L JAVA % | 6 L NS % | 9 P Python @ ")</f>
        <v xml:space="preserve">| 5 L JAVA % | 6 L NS % | 9 P Python @ </v>
      </c>
      <c r="CD292" s="4" t="str">
        <f ca="1">IFERROR(__xludf.DUMMYFUNCTION("""COMPUTED_VALUE"""),"| 5 L INE % | 7 P NS % | 9 P Python % ")</f>
        <v xml:space="preserve">| 5 L INE % | 7 P NS % | 9 P Python % </v>
      </c>
      <c r="CE292" s="4" t="str">
        <f ca="1">IFERROR(__xludf.DUMMYFUNCTION("""COMPUTED_VALUE"""),"| 5 L CPT % | 6 L PHP-CGM % | 7 P JAVA % | 9 P CPT % ")</f>
        <v xml:space="preserve">| 5 L CPT % | 6 L PHP-CGM % | 7 P JAVA % | 9 P CPT % </v>
      </c>
      <c r="CF292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292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CH292" s="4" t="str">
        <f ca="1">IFERROR(__xludf.DUMMYFUNCTION("""COMPUTED_VALUE"""),"| 5 L JAVA % | 6 L NS % | 9 P Python % ")</f>
        <v xml:space="preserve">| 5 L JAVA % | 6 L NS % | 9 P Python % </v>
      </c>
      <c r="CI292" s="4" t="str">
        <f ca="1">IFERROR(__xludf.DUMMYFUNCTION("""COMPUTED_VALUE"""),"| 5 L INE % | 7 P NS % ")</f>
        <v xml:space="preserve">| 5 L INE % | 7 P NS % </v>
      </c>
      <c r="CJ292" s="4" t="str">
        <f ca="1">IFERROR(__xludf.DUMMYFUNCTION("""COMPUTED_VALUE"""),"| 5 L CPT % | 6 L PHP-CGM @ | 9 P CPT @ ")</f>
        <v xml:space="preserve">| 5 L CPT % | 6 L PHP-CGM @ | 9 P CPT @ </v>
      </c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</row>
    <row r="293" spans="1:102" ht="12.5" x14ac:dyDescent="0.25">
      <c r="A293" s="3">
        <f ca="1">IFERROR(__xludf.DUMMYFUNCTION("""COMPUTED_VALUE"""),2)</f>
        <v>2</v>
      </c>
      <c r="B293" s="3" t="str">
        <f ca="1">IFERROR(__xludf.DUMMYFUNCTION("""COMPUTED_VALUE"""),"D")</f>
        <v>D</v>
      </c>
      <c r="C293" s="32" t="str">
        <f ca="1">IFERROR(__xludf.DUMMYFUNCTION("""COMPUTED_VALUE"""),"23171341069")</f>
        <v>23171341069</v>
      </c>
      <c r="D293" s="4" t="str">
        <f ca="1">IFERROR(__xludf.DUMMYFUNCTION("""COMPUTED_VALUE"""),"PATEL ANSHKUMAR ASHVINBHAI")</f>
        <v>PATEL ANSHKUMAR ASHVINBHAI</v>
      </c>
      <c r="E293" s="3" t="str">
        <f ca="1">IFERROR(__xludf.DUMMYFUNCTION("""COMPUTED_VALUE"""),"ZPP - Eve")</f>
        <v>ZPP - Eve</v>
      </c>
      <c r="F293" s="3">
        <f ca="1">IFERROR(__xludf.DUMMYFUNCTION("""COMPUTED_VALUE"""),7359070819)</f>
        <v>7359070819</v>
      </c>
      <c r="G293" s="3">
        <f ca="1">IFERROR(__xludf.DUMMYFUNCTION("""COMPUTED_VALUE"""),9825922882)</f>
        <v>9825922882</v>
      </c>
      <c r="H293" s="33">
        <f ca="1">IFERROR(__xludf.DUMMYFUNCTION("""COMPUTED_VALUE"""),0.626050420168067)</f>
        <v>0.626050420168067</v>
      </c>
      <c r="I293" s="25">
        <f ca="1">IFERROR(__xludf.DUMMYFUNCTION("""COMPUTED_VALUE"""),0.771428571428571)</f>
        <v>0.77142857142857102</v>
      </c>
      <c r="J293" s="25">
        <f ca="1">IFERROR(__xludf.DUMMYFUNCTION("""COMPUTED_VALUE"""),0.75)</f>
        <v>0.75</v>
      </c>
      <c r="K293" s="25">
        <f ca="1">IFERROR(__xludf.DUMMYFUNCTION("""COMPUTED_VALUE"""),0.59375)</f>
        <v>0.59375</v>
      </c>
      <c r="L293" s="25">
        <f ca="1">IFERROR(__xludf.DUMMYFUNCTION("""COMPUTED_VALUE"""),0.666666666666666)</f>
        <v>0.66666666666666596</v>
      </c>
      <c r="M293" s="25">
        <f ca="1">IFERROR(__xludf.DUMMYFUNCTION("""COMPUTED_VALUE"""),0.722222222222222)</f>
        <v>0.72222222222222199</v>
      </c>
      <c r="N293" s="25">
        <f ca="1">IFERROR(__xludf.DUMMYFUNCTION("""COMPUTED_VALUE"""),0.636363636363636)</f>
        <v>0.63636363636363602</v>
      </c>
      <c r="O293" s="25">
        <f ca="1">IFERROR(__xludf.DUMMYFUNCTION("""COMPUTED_VALUE"""),0.638888888888888)</f>
        <v>0.63888888888888795</v>
      </c>
      <c r="P293" s="25">
        <f ca="1">IFERROR(__xludf.DUMMYFUNCTION("""COMPUTED_VALUE"""),0.578947368421052)</f>
        <v>0.57894736842105199</v>
      </c>
      <c r="Q293" s="25">
        <f ca="1">IFERROR(__xludf.DUMMYFUNCTION("""COMPUTED_VALUE"""),0)</f>
        <v>0</v>
      </c>
      <c r="R293" s="25">
        <f ca="1">IFERROR(__xludf.DUMMYFUNCTION("""COMPUTED_VALUE"""),0.428571428571428)</f>
        <v>0.42857142857142799</v>
      </c>
      <c r="S293" s="25">
        <f ca="1">IFERROR(__xludf.DUMMYFUNCTION("""COMPUTED_VALUE"""),0.384615384615384)</f>
        <v>0.38461538461538403</v>
      </c>
      <c r="T293" s="25">
        <f ca="1">IFERROR(__xludf.DUMMYFUNCTION("""COMPUTED_VALUE"""),1)</f>
        <v>1</v>
      </c>
      <c r="U293" s="25">
        <f ca="1">IFERROR(__xludf.DUMMYFUNCTION("""COMPUTED_VALUE"""),0.4)</f>
        <v>0.4</v>
      </c>
      <c r="V293" s="25">
        <f ca="1">IFERROR(__xludf.DUMMYFUNCTION("""COMPUTED_VALUE"""),0)</f>
        <v>0</v>
      </c>
      <c r="W293" s="4"/>
      <c r="X293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293" s="4" t="str">
        <f ca="1">IFERROR(__xludf.DUMMYFUNCTION("""COMPUTED_VALUE"""),"| 5 L PHP-CGM @ | 6 L CPT % | 7 L NS @ | 8 L JAVA @ | 9 P JAVA @ ")</f>
        <v xml:space="preserve">| 5 L PHP-CGM @ | 6 L CPT % | 7 L NS @ | 8 L JAVA @ | 9 P JAVA @ </v>
      </c>
      <c r="Z293" s="4" t="str">
        <f ca="1">IFERROR(__xludf.DUMMYFUNCTION("""COMPUTED_VALUE"""),"| 5 L NS @ | 6 L JAVA @ | 7 L PRO @ | 8 L PRO @ | 9 P Python @ ")</f>
        <v xml:space="preserve">| 5 L NS @ | 6 L JAVA @ | 7 L PRO @ | 8 L PRO @ | 9 P Python @ </v>
      </c>
      <c r="AA293" s="4" t="str">
        <f ca="1">IFERROR(__xludf.DUMMYFUNCTION("""COMPUTED_VALUE"""),"| 7 P NS @ | 9 P Python @ ")</f>
        <v xml:space="preserve">| 7 P NS @ | 9 P Python @ </v>
      </c>
      <c r="AB293" s="4" t="str">
        <f ca="1">IFERROR(__xludf.DUMMYFUNCTION("""COMPUTED_VALUE"""),"| 5 L JAVA % | 6 L PHP-CGM % | 7 P JAVA @ | 9 P CPT @ ")</f>
        <v xml:space="preserve">| 5 L JAVA % | 6 L PHP-CGM % | 7 P JAVA @ | 9 P CPT @ </v>
      </c>
      <c r="AC293" s="4" t="str">
        <f ca="1">IFERROR(__xludf.DUMMYFUNCTION("""COMPUTED_VALUE"""),"| 5 L JAVA % | 6 L NS % | 7 L PHP-CGM @ | 9 P PHP-CGM % | 8 L CPT @ ")</f>
        <v xml:space="preserve">| 5 L JAVA % | 6 L NS % | 7 L PHP-CGM @ | 9 P PHP-CGM % | 8 L CPT @ </v>
      </c>
      <c r="AD293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3" s="4" t="str">
        <f ca="1">IFERROR(__xludf.DUMMYFUNCTION("""COMPUTED_VALUE"""),"| 5 L JAVA % | 6 L NS % | 7 L PRO % | 9 P Python % ")</f>
        <v xml:space="preserve">| 5 L JAVA % | 6 L NS % | 7 L PRO % | 9 P Python % </v>
      </c>
      <c r="AF293" s="4" t="str">
        <f ca="1">IFERROR(__xludf.DUMMYFUNCTION("""COMPUTED_VALUE"""),"| 7 P NS % | 9 P Python % ")</f>
        <v xml:space="preserve">| 7 P NS % | 9 P Python % </v>
      </c>
      <c r="AG293" s="4" t="str">
        <f ca="1">IFERROR(__xludf.DUMMYFUNCTION("""COMPUTED_VALUE"""),"| 5 L CPT % | 6 L PHP-CGM % | 7 P JAVA % | 9 P CPT % ")</f>
        <v xml:space="preserve">| 5 L CPT % | 6 L PHP-CGM % | 7 P JAVA % | 9 P CPT % </v>
      </c>
      <c r="AH293" s="4" t="str">
        <f ca="1">IFERROR(__xludf.DUMMYFUNCTION("""COMPUTED_VALUE"""),"| 7 P NS % | 9 P Python @ ")</f>
        <v xml:space="preserve">| 7 P NS % | 9 P Python @ </v>
      </c>
      <c r="AI293" s="4" t="str">
        <f ca="1">IFERROR(__xludf.DUMMYFUNCTION("""COMPUTED_VALUE"""),"| 5 L CPT % | 6 L PHP-CGM % | 7 P JAVA % | 9 P CPT % ")</f>
        <v xml:space="preserve">| 5 L CPT % | 6 L PHP-CGM % | 7 P JAVA % | 9 P CPT % </v>
      </c>
      <c r="AJ293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93" s="4" t="str">
        <f ca="1">IFERROR(__xludf.DUMMYFUNCTION("""COMPUTED_VALUE"""),"| 5 L PHP-CGM % | 6 L CPT % | 8 L JAVA @ | 7 L NS @ | 9 P JAVA @ ")</f>
        <v xml:space="preserve">| 5 L PHP-CGM % | 6 L CPT % | 8 L JAVA @ | 7 L NS @ | 9 P JAVA @ </v>
      </c>
      <c r="AL293" s="4" t="str">
        <f ca="1">IFERROR(__xludf.DUMMYFUNCTION("""COMPUTED_VALUE"""),"| 6 L NS % | 7 L NS % | 7 L PRO % | 8 L PRO % | 9 P Python @ ")</f>
        <v xml:space="preserve">| 6 L NS % | 7 L NS % | 7 L PRO % | 8 L PRO % | 9 P Python @ </v>
      </c>
      <c r="AM293" s="4" t="str">
        <f ca="1">IFERROR(__xludf.DUMMYFUNCTION("""COMPUTED_VALUE"""),"| 5 L INE @ | 7 P NS % | 9 P Python % ")</f>
        <v xml:space="preserve">| 5 L INE @ | 7 P NS % | 9 P Python % </v>
      </c>
      <c r="AN293" s="4" t="str">
        <f ca="1">IFERROR(__xludf.DUMMYFUNCTION("""COMPUTED_VALUE"""),"| 5 L CPT % | 6 L PHP-CGM % | 7 P JAVA @ | 9 P CPT @ ")</f>
        <v xml:space="preserve">| 5 L CPT % | 6 L PHP-CGM % | 7 P JAVA @ | 9 P CPT @ </v>
      </c>
      <c r="AO293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3" s="4" t="str">
        <f ca="1">IFERROR(__xludf.DUMMYFUNCTION("""COMPUTED_VALUE"""),"| 5 L PHP-CGM % | 6 L CPT % | 7 L JAVA % | 7 L NS % ")</f>
        <v xml:space="preserve">| 5 L PHP-CGM % | 6 L CPT % | 7 L JAVA % | 7 L NS % </v>
      </c>
      <c r="AQ293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AR293" s="4" t="str">
        <f ca="1">IFERROR(__xludf.DUMMYFUNCTION("""COMPUTED_VALUE"""),"| 5 L INE % ")</f>
        <v xml:space="preserve">| 5 L INE % </v>
      </c>
      <c r="AS293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3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3" s="4" t="str">
        <f ca="1">IFERROR(__xludf.DUMMYFUNCTION("""COMPUTED_VALUE"""),"| 5 L JAVA % | 6 L NS % | 7 P PRO % | 9 P Python % ")</f>
        <v xml:space="preserve">| 5 L JAVA % | 6 L NS % | 7 P PRO % | 9 P Python % </v>
      </c>
      <c r="AV293" s="4" t="str">
        <f ca="1">IFERROR(__xludf.DUMMYFUNCTION("""COMPUTED_VALUE"""),"| 5 L INE % | 7 P NS % | 9 P Python % ")</f>
        <v xml:space="preserve">| 5 L INE % | 7 P NS % | 9 P Python % </v>
      </c>
      <c r="AW293" s="4" t="str">
        <f ca="1">IFERROR(__xludf.DUMMYFUNCTION("""COMPUTED_VALUE"""),"| 5 L CPT % | 6 L PHP-CGM % | 7 P JAVA % | 9 P CPT % ")</f>
        <v xml:space="preserve">| 5 L CPT % | 6 L PHP-CGM % | 7 P JAVA % | 9 P CPT % </v>
      </c>
      <c r="AX293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93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3" s="4" t="str">
        <f ca="1">IFERROR(__xludf.DUMMYFUNCTION("""COMPUTED_VALUE"""),"| 5 L INE @ | 7 P NS @ ")</f>
        <v xml:space="preserve">| 5 L INE @ | 7 P NS @ </v>
      </c>
      <c r="BA293" s="4" t="str">
        <f ca="1">IFERROR(__xludf.DUMMYFUNCTION("""COMPUTED_VALUE"""),"| 5 L CPT % | 6 L PHP-CGM % | 7 P JAVA @ | 9 P CPT @ ")</f>
        <v xml:space="preserve">| 5 L CPT % | 6 L PHP-CGM % | 7 P JAVA @ | 9 P CPT @ </v>
      </c>
      <c r="BB293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3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D293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293" s="4" t="str">
        <f ca="1">IFERROR(__xludf.DUMMYFUNCTION("""COMPUTED_VALUE"""),"| 5 L INE % | 7 P NS % | 9 P Python @ ")</f>
        <v xml:space="preserve">| 5 L INE % | 7 P NS % | 9 P Python @ </v>
      </c>
      <c r="BF293" s="4" t="str">
        <f ca="1">IFERROR(__xludf.DUMMYFUNCTION("""COMPUTED_VALUE"""),"| 5 L CPT % | 6 L PHP-CGM % | 7 P JAVA % | 9 P CPT % ")</f>
        <v xml:space="preserve">| 5 L CPT % | 6 L PHP-CGM % | 7 P JAVA % | 9 P CPT % </v>
      </c>
      <c r="BG293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H293" s="4" t="str">
        <f ca="1">IFERROR(__xludf.DUMMYFUNCTION("""COMPUTED_VALUE"""),"| 5 L JAVA % | 6 L NS % | 7 L PRO @ | 9 P Python % ")</f>
        <v xml:space="preserve">| 5 L JAVA % | 6 L NS % | 7 L PRO @ | 9 P Python % </v>
      </c>
      <c r="BI293" s="4" t="str">
        <f ca="1">IFERROR(__xludf.DUMMYFUNCTION("""COMPUTED_VALUE"""),"| 5 L INE @ | 7 P NS @ | 9 P Python @ ")</f>
        <v xml:space="preserve">| 5 L INE @ | 7 P NS @ | 9 P Python @ </v>
      </c>
      <c r="BJ293" s="4" t="str">
        <f ca="1">IFERROR(__xludf.DUMMYFUNCTION("""COMPUTED_VALUE"""),"| 5 L CPT % | 6 L PHP-CGM % | 7 P JAVA % | 9 P CPT % ")</f>
        <v xml:space="preserve">| 5 L CPT % | 6 L PHP-CGM % | 7 P JAVA % | 9 P CPT % </v>
      </c>
      <c r="BK293" s="4" t="str">
        <f ca="1">IFERROR(__xludf.DUMMYFUNCTION("""COMPUTED_VALUE"""),"| 5 L JAVA @ | 7 L PHP-CGM @ | 8 L CPT @ | 9 P PHP-CGM @ ")</f>
        <v xml:space="preserve">| 5 L JAVA @ | 7 L PHP-CGM @ | 8 L CPT @ | 9 P PHP-CGM @ </v>
      </c>
      <c r="BL293" s="4" t="str">
        <f ca="1">IFERROR(__xludf.DUMMYFUNCTION("""COMPUTED_VALUE"""),"| 5 L PHP-CGM % | 6 L CPT % | 8 L NS @ ")</f>
        <v xml:space="preserve">| 5 L PHP-CGM % | 6 L CPT % | 8 L NS @ </v>
      </c>
      <c r="BM293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293" s="4" t="str">
        <f ca="1">IFERROR(__xludf.DUMMYFUNCTION("""COMPUTED_VALUE"""),"| 5 L INE @ | 7 P NS @ | 9 P Python @ ")</f>
        <v xml:space="preserve">| 5 L INE @ | 7 P NS @ | 9 P Python @ </v>
      </c>
      <c r="BO293" s="4" t="str">
        <f ca="1">IFERROR(__xludf.DUMMYFUNCTION("""COMPUTED_VALUE"""),"| 5 L CPT @ | 6 L PHP-CGM @ | 9 P CPT % ")</f>
        <v xml:space="preserve">| 5 L CPT @ | 6 L PHP-CGM @ | 9 P CPT % </v>
      </c>
      <c r="BP293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BQ293" s="4" t="str">
        <f ca="1">IFERROR(__xludf.DUMMYFUNCTION("""COMPUTED_VALUE"""),"| 5 L JAVA @ ")</f>
        <v xml:space="preserve">| 5 L JAVA @ </v>
      </c>
      <c r="BR293" s="4"/>
      <c r="BS293" s="4"/>
      <c r="BT293" s="4" t="str">
        <f ca="1">IFERROR(__xludf.DUMMYFUNCTION("""COMPUTED_VALUE"""),"| 7 L PHP-CGM @ | 8 L CPT @ ")</f>
        <v xml:space="preserve">| 7 L PHP-CGM @ | 8 L CPT @ </v>
      </c>
      <c r="BU293" s="4" t="str">
        <f ca="1">IFERROR(__xludf.DUMMYFUNCTION("""COMPUTED_VALUE"""),"| 8 L NS @ ")</f>
        <v xml:space="preserve">| 8 L NS @ </v>
      </c>
      <c r="BV293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93" s="4"/>
      <c r="BX293" s="4" t="str">
        <f ca="1">IFERROR(__xludf.DUMMYFUNCTION("""COMPUTED_VALUE"""),"| 5 L JAVA @ | 6 L NS @ | 7 L PRO @ | 9 P Python @ ")</f>
        <v xml:space="preserve">| 5 L JAVA @ | 6 L NS @ | 7 L PRO @ | 9 P Python @ </v>
      </c>
      <c r="BY293" s="4" t="str">
        <f ca="1">IFERROR(__xludf.DUMMYFUNCTION("""COMPUTED_VALUE"""),"| 5 L INE @ | 7 P NS % | 9 P Python @ ")</f>
        <v xml:space="preserve">| 5 L INE @ | 7 P NS % | 9 P Python @ </v>
      </c>
      <c r="BZ293" s="4" t="str">
        <f ca="1">IFERROR(__xludf.DUMMYFUNCTION("""COMPUTED_VALUE"""),"| 5 L CPT % | 6 L PHP-CGM % | 7 P JAVA % | 9 P CPT % ")</f>
        <v xml:space="preserve">| 5 L CPT % | 6 L PHP-CGM % | 7 P JAVA % | 9 P CPT % </v>
      </c>
      <c r="CA293" s="4" t="str">
        <f ca="1">IFERROR(__xludf.DUMMYFUNCTION("""COMPUTED_VALUE"""),"| 5 L JAVA % | 6 L JAVA % | 7 L PHP-CGM % | 8 L CPT % ")</f>
        <v xml:space="preserve">| 5 L JAVA % | 6 L JAVA % | 7 L PHP-CGM % | 8 L CPT % </v>
      </c>
      <c r="CB293" s="4" t="str">
        <f ca="1">IFERROR(__xludf.DUMMYFUNCTION("""COMPUTED_VALUE"""),"| 5 L PHP-CGM % | 6 L CPT % | 7 L NS % | 9 P JAVA @ ")</f>
        <v xml:space="preserve">| 5 L PHP-CGM % | 6 L CPT % | 7 L NS % | 9 P JAVA @ </v>
      </c>
      <c r="CC293" s="4" t="str">
        <f ca="1">IFERROR(__xludf.DUMMYFUNCTION("""COMPUTED_VALUE"""),"| 5 L JAVA % | 6 L NS % | 9 P Python @ ")</f>
        <v xml:space="preserve">| 5 L JAVA % | 6 L NS % | 9 P Python @ </v>
      </c>
      <c r="CD293" s="4" t="str">
        <f ca="1">IFERROR(__xludf.DUMMYFUNCTION("""COMPUTED_VALUE"""),"| 5 L INE % | 7 P NS % | 9 P Python % ")</f>
        <v xml:space="preserve">| 5 L INE % | 7 P NS % | 9 P Python % </v>
      </c>
      <c r="CE293" s="4" t="str">
        <f ca="1">IFERROR(__xludf.DUMMYFUNCTION("""COMPUTED_VALUE"""),"| 5 L CPT % | 6 L PHP-CGM % | 7 P JAVA % | 9 P CPT % ")</f>
        <v xml:space="preserve">| 5 L CPT % | 6 L PHP-CGM % | 7 P JAVA % | 9 P CPT % </v>
      </c>
      <c r="CF293" s="4" t="str">
        <f ca="1">IFERROR(__xludf.DUMMYFUNCTION("""COMPUTED_VALUE"""),"| 5 L JAVA @ | 6 L NS @ | 7 L PHP-CGM @ | 8 L CPT @ | 9 P PHP-CGM % ")</f>
        <v xml:space="preserve">| 5 L JAVA @ | 6 L NS @ | 7 L PHP-CGM @ | 8 L CPT @ | 9 P PHP-CGM % </v>
      </c>
      <c r="CG293" s="4" t="str">
        <f ca="1">IFERROR(__xludf.DUMMYFUNCTION("""COMPUTED_VALUE"""),"| 5 L PHP-CGM % | 6 L CPT % | 7 L JAVA @ | 8 L NS @ | 9 P JAVA % ")</f>
        <v xml:space="preserve">| 5 L PHP-CGM % | 6 L CPT % | 7 L JAVA @ | 8 L NS @ | 9 P JAVA % </v>
      </c>
      <c r="CH293" s="4" t="str">
        <f ca="1">IFERROR(__xludf.DUMMYFUNCTION("""COMPUTED_VALUE"""),"| 5 L JAVA @ | 6 L NS @ | 9 P Python % ")</f>
        <v xml:space="preserve">| 5 L JAVA @ | 6 L NS @ | 9 P Python % </v>
      </c>
      <c r="CI293" s="4" t="str">
        <f ca="1">IFERROR(__xludf.DUMMYFUNCTION("""COMPUTED_VALUE"""),"| 5 L INE @ | 7 P NS % ")</f>
        <v xml:space="preserve">| 5 L INE @ | 7 P NS % </v>
      </c>
      <c r="CJ293" s="4" t="str">
        <f ca="1">IFERROR(__xludf.DUMMYFUNCTION("""COMPUTED_VALUE"""),"| 5 L CPT % | 6 L PHP-CGM @ | 9 P CPT % ")</f>
        <v xml:space="preserve">| 5 L CPT % | 6 L PHP-CGM @ | 9 P CPT % </v>
      </c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</row>
    <row r="294" spans="1:102" ht="12.5" x14ac:dyDescent="0.25">
      <c r="A294" s="3">
        <f ca="1">IFERROR(__xludf.DUMMYFUNCTION("""COMPUTED_VALUE"""),2)</f>
        <v>2</v>
      </c>
      <c r="B294" s="3" t="str">
        <f ca="1">IFERROR(__xludf.DUMMYFUNCTION("""COMPUTED_VALUE"""),"D")</f>
        <v>D</v>
      </c>
      <c r="C294" s="32" t="str">
        <f ca="1">IFERROR(__xludf.DUMMYFUNCTION("""COMPUTED_VALUE"""),"23171341071")</f>
        <v>23171341071</v>
      </c>
      <c r="D294" s="4" t="str">
        <f ca="1">IFERROR(__xludf.DUMMYFUNCTION("""COMPUTED_VALUE"""),"PATEL ARCHI KALPESHBHAI")</f>
        <v>PATEL ARCHI KALPESHBHAI</v>
      </c>
      <c r="E294" s="3" t="str">
        <f ca="1">IFERROR(__xludf.DUMMYFUNCTION("""COMPUTED_VALUE"""),"ZPP - Eve")</f>
        <v>ZPP - Eve</v>
      </c>
      <c r="F294" s="3">
        <f ca="1">IFERROR(__xludf.DUMMYFUNCTION("""COMPUTED_VALUE"""),8849932223)</f>
        <v>8849932223</v>
      </c>
      <c r="G294" s="3">
        <f ca="1">IFERROR(__xludf.DUMMYFUNCTION("""COMPUTED_VALUE"""),9998311176)</f>
        <v>9998311176</v>
      </c>
      <c r="H294" s="33">
        <f ca="1">IFERROR(__xludf.DUMMYFUNCTION("""COMPUTED_VALUE"""),0.726890756302521)</f>
        <v>0.72689075630252098</v>
      </c>
      <c r="I294" s="25">
        <f ca="1">IFERROR(__xludf.DUMMYFUNCTION("""COMPUTED_VALUE"""),0.657142857142857)</f>
        <v>0.65714285714285703</v>
      </c>
      <c r="J294" s="25">
        <f ca="1">IFERROR(__xludf.DUMMYFUNCTION("""COMPUTED_VALUE"""),0.583333333333333)</f>
        <v>0.58333333333333304</v>
      </c>
      <c r="K294" s="25">
        <f ca="1">IFERROR(__xludf.DUMMYFUNCTION("""COMPUTED_VALUE"""),0.71875)</f>
        <v>0.71875</v>
      </c>
      <c r="L294" s="25">
        <f ca="1">IFERROR(__xludf.DUMMYFUNCTION("""COMPUTED_VALUE"""),0.916666666666666)</f>
        <v>0.91666666666666596</v>
      </c>
      <c r="M294" s="25">
        <f ca="1">IFERROR(__xludf.DUMMYFUNCTION("""COMPUTED_VALUE"""),0.694444444444444)</f>
        <v>0.69444444444444398</v>
      </c>
      <c r="N294" s="25">
        <f ca="1">IFERROR(__xludf.DUMMYFUNCTION("""COMPUTED_VALUE"""),0.727272727272727)</f>
        <v>0.72727272727272696</v>
      </c>
      <c r="O294" s="25">
        <f ca="1">IFERROR(__xludf.DUMMYFUNCTION("""COMPUTED_VALUE"""),0.805555555555555)</f>
        <v>0.80555555555555503</v>
      </c>
      <c r="P294" s="25">
        <f ca="1">IFERROR(__xludf.DUMMYFUNCTION("""COMPUTED_VALUE"""),0.789473684210526)</f>
        <v>0.78947368421052599</v>
      </c>
      <c r="Q294" s="25">
        <f ca="1">IFERROR(__xludf.DUMMYFUNCTION("""COMPUTED_VALUE"""),0)</f>
        <v>0</v>
      </c>
      <c r="R294" s="25">
        <f ca="1">IFERROR(__xludf.DUMMYFUNCTION("""COMPUTED_VALUE"""),0.714285714285714)</f>
        <v>0.71428571428571397</v>
      </c>
      <c r="S294" s="25">
        <f ca="1">IFERROR(__xludf.DUMMYFUNCTION("""COMPUTED_VALUE"""),0.692307692307692)</f>
        <v>0.69230769230769196</v>
      </c>
      <c r="T294" s="25">
        <f ca="1">IFERROR(__xludf.DUMMYFUNCTION("""COMPUTED_VALUE"""),0)</f>
        <v>0</v>
      </c>
      <c r="U294" s="25">
        <f ca="1">IFERROR(__xludf.DUMMYFUNCTION("""COMPUTED_VALUE"""),0.8)</f>
        <v>0.8</v>
      </c>
      <c r="V294" s="25">
        <f ca="1">IFERROR(__xludf.DUMMYFUNCTION("""COMPUTED_VALUE"""),0)</f>
        <v>0</v>
      </c>
      <c r="W294" s="4"/>
      <c r="X294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294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294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4" s="4" t="str">
        <f ca="1">IFERROR(__xludf.DUMMYFUNCTION("""COMPUTED_VALUE"""),"| 7 P NS % | 9 P Python % ")</f>
        <v xml:space="preserve">| 7 P NS % | 9 P Python % </v>
      </c>
      <c r="AB294" s="4" t="str">
        <f ca="1">IFERROR(__xludf.DUMMYFUNCTION("""COMPUTED_VALUE"""),"| 5 L JAVA % | 6 L PHP-CGM % | 7 P JAVA % | 9 P CPT % ")</f>
        <v xml:space="preserve">| 5 L JAVA % | 6 L PHP-CGM % | 7 P JAVA % | 9 P CPT % </v>
      </c>
      <c r="AC294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4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4" s="4" t="str">
        <f ca="1">IFERROR(__xludf.DUMMYFUNCTION("""COMPUTED_VALUE"""),"| 5 L JAVA % | 6 L NS % | 7 L PRO % | 9 P Python @ ")</f>
        <v xml:space="preserve">| 5 L JAVA % | 6 L NS % | 7 L PRO % | 9 P Python @ </v>
      </c>
      <c r="AF294" s="4" t="str">
        <f ca="1">IFERROR(__xludf.DUMMYFUNCTION("""COMPUTED_VALUE"""),"| 7 P NS % | 9 P Python % ")</f>
        <v xml:space="preserve">| 7 P NS % | 9 P Python % </v>
      </c>
      <c r="AG294" s="4" t="str">
        <f ca="1">IFERROR(__xludf.DUMMYFUNCTION("""COMPUTED_VALUE"""),"| 5 L CPT % | 6 L PHP-CGM % | 7 P JAVA % | 9 P CPT % ")</f>
        <v xml:space="preserve">| 5 L CPT % | 6 L PHP-CGM % | 7 P JAVA % | 9 P CPT % </v>
      </c>
      <c r="AH294" s="4" t="str">
        <f ca="1">IFERROR(__xludf.DUMMYFUNCTION("""COMPUTED_VALUE"""),"| 7 P NS % | 9 P Python % ")</f>
        <v xml:space="preserve">| 7 P NS % | 9 P Python % </v>
      </c>
      <c r="AI294" s="4" t="str">
        <f ca="1">IFERROR(__xludf.DUMMYFUNCTION("""COMPUTED_VALUE"""),"| 5 L CPT % | 6 L PHP-CGM % | 7 P JAVA % | 9 P CPT % ")</f>
        <v xml:space="preserve">| 5 L CPT % | 6 L PHP-CGM % | 7 P JAVA % | 9 P CPT % </v>
      </c>
      <c r="AJ294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K294" s="4" t="str">
        <f ca="1">IFERROR(__xludf.DUMMYFUNCTION("""COMPUTED_VALUE"""),"| 5 L PHP-CGM % | 6 L CPT @ | 8 L JAVA % | 7 L NS % | 9 P JAVA % ")</f>
        <v xml:space="preserve">| 5 L PHP-CGM % | 6 L CPT @ | 8 L JAVA % | 7 L NS % | 9 P JAVA % </v>
      </c>
      <c r="AL294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4" s="4" t="str">
        <f ca="1">IFERROR(__xludf.DUMMYFUNCTION("""COMPUTED_VALUE"""),"| 5 L INE % | 7 P NS % | 9 P Python % ")</f>
        <v xml:space="preserve">| 5 L INE % | 7 P NS % | 9 P Python % </v>
      </c>
      <c r="AN294" s="4" t="str">
        <f ca="1">IFERROR(__xludf.DUMMYFUNCTION("""COMPUTED_VALUE"""),"| 5 L CPT @ | 6 L PHP-CGM @ | 7 P JAVA @ | 9 P CPT @ ")</f>
        <v xml:space="preserve">| 5 L CPT @ | 6 L PHP-CGM @ | 7 P JAVA @ | 9 P CPT @ </v>
      </c>
      <c r="AO294" s="4" t="str">
        <f ca="1">IFERROR(__xludf.DUMMYFUNCTION("""COMPUTED_VALUE"""),"| 5 L JAVA @ | 5 L NS @ | 7 L PHP-CGM @ | 8 L CPT @ | 9 P PHP-CGM @ ")</f>
        <v xml:space="preserve">| 5 L JAVA @ | 5 L NS @ | 7 L PHP-CGM @ | 8 L CPT @ | 9 P PHP-CGM @ </v>
      </c>
      <c r="AP294" s="4" t="str">
        <f ca="1">IFERROR(__xludf.DUMMYFUNCTION("""COMPUTED_VALUE"""),"| 5 L PHP-CGM @ | 6 L CPT @ | 7 L JAVA @ | 7 L NS @ ")</f>
        <v xml:space="preserve">| 5 L PHP-CGM @ | 6 L CPT @ | 7 L JAVA @ | 7 L NS @ </v>
      </c>
      <c r="AQ294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AR294" s="4" t="str">
        <f ca="1">IFERROR(__xludf.DUMMYFUNCTION("""COMPUTED_VALUE"""),"| 5 L INE @ ")</f>
        <v xml:space="preserve">| 5 L INE @ </v>
      </c>
      <c r="AS294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4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4" s="4" t="str">
        <f ca="1">IFERROR(__xludf.DUMMYFUNCTION("""COMPUTED_VALUE"""),"| 5 L JAVA @ | 6 L NS @ | 7 P PRO @ | 9 P Python @ ")</f>
        <v xml:space="preserve">| 5 L JAVA @ | 6 L NS @ | 7 P PRO @ | 9 P Python @ </v>
      </c>
      <c r="AV294" s="4" t="str">
        <f ca="1">IFERROR(__xludf.DUMMYFUNCTION("""COMPUTED_VALUE"""),"| 5 L INE % | 7 P NS % | 9 P Python % ")</f>
        <v xml:space="preserve">| 5 L INE % | 7 P NS % | 9 P Python % </v>
      </c>
      <c r="AW294" s="4" t="str">
        <f ca="1">IFERROR(__xludf.DUMMYFUNCTION("""COMPUTED_VALUE"""),"| 5 L CPT % | 6 L PHP-CGM % | 7 P JAVA % | 9 P CPT % ")</f>
        <v xml:space="preserve">| 5 L CPT % | 6 L PHP-CGM % | 7 P JAVA % | 9 P CPT % </v>
      </c>
      <c r="AX294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94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4" s="4" t="str">
        <f ca="1">IFERROR(__xludf.DUMMYFUNCTION("""COMPUTED_VALUE"""),"| 5 L INE % | 7 P NS % ")</f>
        <v xml:space="preserve">| 5 L INE % | 7 P NS % </v>
      </c>
      <c r="BA294" s="4" t="str">
        <f ca="1">IFERROR(__xludf.DUMMYFUNCTION("""COMPUTED_VALUE"""),"| 5 L CPT @ | 6 L PHP-CGM @ | 7 P JAVA @ | 9 P CPT @ ")</f>
        <v xml:space="preserve">| 5 L CPT @ | 6 L PHP-CGM @ | 7 P JAVA @ | 9 P CPT @ </v>
      </c>
      <c r="BB294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4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D294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294" s="4" t="str">
        <f ca="1">IFERROR(__xludf.DUMMYFUNCTION("""COMPUTED_VALUE"""),"| 5 L INE % | 7 P NS % | 9 P Python % ")</f>
        <v xml:space="preserve">| 5 L INE % | 7 P NS % | 9 P Python % </v>
      </c>
      <c r="BF294" s="4" t="str">
        <f ca="1">IFERROR(__xludf.DUMMYFUNCTION("""COMPUTED_VALUE"""),"| 5 L CPT % | 6 L PHP-CGM % | 7 P JAVA % | 9 P CPT % ")</f>
        <v xml:space="preserve">| 5 L CPT % | 6 L PHP-CGM % | 7 P JAVA % | 9 P CPT % </v>
      </c>
      <c r="BG294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94" s="4" t="str">
        <f ca="1">IFERROR(__xludf.DUMMYFUNCTION("""COMPUTED_VALUE"""),"| 5 L JAVA % | 6 L NS % | 7 L PRO % | 9 P Python @ ")</f>
        <v xml:space="preserve">| 5 L JAVA % | 6 L NS % | 7 L PRO % | 9 P Python @ </v>
      </c>
      <c r="BI294" s="4" t="str">
        <f ca="1">IFERROR(__xludf.DUMMYFUNCTION("""COMPUTED_VALUE"""),"| 5 L INE % | 7 P NS % | 9 P Python % ")</f>
        <v xml:space="preserve">| 5 L INE % | 7 P NS % | 9 P Python % </v>
      </c>
      <c r="BJ294" s="4" t="str">
        <f ca="1">IFERROR(__xludf.DUMMYFUNCTION("""COMPUTED_VALUE"""),"| 5 L CPT % | 6 L PHP-CGM % | 7 P JAVA % | 9 P CPT @ ")</f>
        <v xml:space="preserve">| 5 L CPT % | 6 L PHP-CGM % | 7 P JAVA % | 9 P CPT @ </v>
      </c>
      <c r="BK294" s="4" t="str">
        <f ca="1">IFERROR(__xludf.DUMMYFUNCTION("""COMPUTED_VALUE"""),"| 5 L JAVA @ | 7 L PHP-CGM @ | 8 L CPT @ | 9 P PHP-CGM @ ")</f>
        <v xml:space="preserve">| 5 L JAVA @ | 7 L PHP-CGM @ | 8 L CPT @ | 9 P PHP-CGM @ </v>
      </c>
      <c r="BL294" s="4" t="str">
        <f ca="1">IFERROR(__xludf.DUMMYFUNCTION("""COMPUTED_VALUE"""),"| 5 L PHP-CGM @ | 6 L CPT @ | 8 L NS @ ")</f>
        <v xml:space="preserve">| 5 L PHP-CGM @ | 6 L CPT @ | 8 L NS @ </v>
      </c>
      <c r="BM294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294" s="4" t="str">
        <f ca="1">IFERROR(__xludf.DUMMYFUNCTION("""COMPUTED_VALUE"""),"| 5 L INE @ | 7 P NS @ | 9 P Python @ ")</f>
        <v xml:space="preserve">| 5 L INE @ | 7 P NS @ | 9 P Python @ </v>
      </c>
      <c r="BO294" s="4" t="str">
        <f ca="1">IFERROR(__xludf.DUMMYFUNCTION("""COMPUTED_VALUE"""),"| 5 L CPT @ | 6 L PHP-CGM @ | 9 P CPT @ ")</f>
        <v xml:space="preserve">| 5 L CPT @ | 6 L PHP-CGM @ | 9 P CPT @ </v>
      </c>
      <c r="BP294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BQ294" s="4" t="str">
        <f ca="1">IFERROR(__xludf.DUMMYFUNCTION("""COMPUTED_VALUE"""),"| 5 L JAVA % ")</f>
        <v xml:space="preserve">| 5 L JAVA % </v>
      </c>
      <c r="BR294" s="4"/>
      <c r="BS294" s="4"/>
      <c r="BT294" s="4" t="str">
        <f ca="1">IFERROR(__xludf.DUMMYFUNCTION("""COMPUTED_VALUE"""),"| 7 L PHP-CGM @ | 8 L CPT @ ")</f>
        <v xml:space="preserve">| 7 L PHP-CGM @ | 8 L CPT @ </v>
      </c>
      <c r="BU294" s="4" t="str">
        <f ca="1">IFERROR(__xludf.DUMMYFUNCTION("""COMPUTED_VALUE"""),"| 8 L NS @ ")</f>
        <v xml:space="preserve">| 8 L NS @ </v>
      </c>
      <c r="BV294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294" s="4"/>
      <c r="BX294" s="4" t="str">
        <f ca="1">IFERROR(__xludf.DUMMYFUNCTION("""COMPUTED_VALUE"""),"| 5 L JAVA % | 6 L NS % | 7 L PRO % | 9 P Python % ")</f>
        <v xml:space="preserve">| 5 L JAVA % | 6 L NS % | 7 L PRO % | 9 P Python % </v>
      </c>
      <c r="BY294" s="4" t="str">
        <f ca="1">IFERROR(__xludf.DUMMYFUNCTION("""COMPUTED_VALUE"""),"| 5 L INE % | 7 P NS % | 9 P Python % ")</f>
        <v xml:space="preserve">| 5 L INE % | 7 P NS % | 9 P Python % </v>
      </c>
      <c r="BZ294" s="4" t="str">
        <f ca="1">IFERROR(__xludf.DUMMYFUNCTION("""COMPUTED_VALUE"""),"| 5 L CPT @ | 6 L PHP-CGM @ | 7 P JAVA @ | 9 P CPT @ ")</f>
        <v xml:space="preserve">| 5 L CPT @ | 6 L PHP-CGM @ | 7 P JAVA @ | 9 P CPT @ </v>
      </c>
      <c r="CA294" s="4" t="str">
        <f ca="1">IFERROR(__xludf.DUMMYFUNCTION("""COMPUTED_VALUE"""),"| 5 L JAVA % | 6 L JAVA % | 7 L PHP-CGM % | 8 L CPT % ")</f>
        <v xml:space="preserve">| 5 L JAVA % | 6 L JAVA % | 7 L PHP-CGM % | 8 L CPT % </v>
      </c>
      <c r="CB294" s="4" t="str">
        <f ca="1">IFERROR(__xludf.DUMMYFUNCTION("""COMPUTED_VALUE"""),"| 5 L PHP-CGM @ | 6 L CPT @ | 7 L NS @ | 9 P JAVA @ ")</f>
        <v xml:space="preserve">| 5 L PHP-CGM @ | 6 L CPT @ | 7 L NS @ | 9 P JAVA @ </v>
      </c>
      <c r="CC294" s="4" t="str">
        <f ca="1">IFERROR(__xludf.DUMMYFUNCTION("""COMPUTED_VALUE"""),"| 5 L JAVA % | 6 L NS % | 9 P Python % ")</f>
        <v xml:space="preserve">| 5 L JAVA % | 6 L NS % | 9 P Python % </v>
      </c>
      <c r="CD294" s="4" t="str">
        <f ca="1">IFERROR(__xludf.DUMMYFUNCTION("""COMPUTED_VALUE"""),"| 5 L INE % | 7 P NS % | 9 P Python % ")</f>
        <v xml:space="preserve">| 5 L INE % | 7 P NS % | 9 P Python % </v>
      </c>
      <c r="CE294" s="4" t="str">
        <f ca="1">IFERROR(__xludf.DUMMYFUNCTION("""COMPUTED_VALUE"""),"| 5 L CPT % | 6 L PHP-CGM % | 7 P JAVA % | 9 P CPT % ")</f>
        <v xml:space="preserve">| 5 L CPT % | 6 L PHP-CGM % | 7 P JAVA % | 9 P CPT % </v>
      </c>
      <c r="CF294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294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CH294" s="4" t="str">
        <f ca="1">IFERROR(__xludf.DUMMYFUNCTION("""COMPUTED_VALUE"""),"| 5 L JAVA % | 6 L NS % | 9 P Python % ")</f>
        <v xml:space="preserve">| 5 L JAVA % | 6 L NS % | 9 P Python % </v>
      </c>
      <c r="CI294" s="4" t="str">
        <f ca="1">IFERROR(__xludf.DUMMYFUNCTION("""COMPUTED_VALUE"""),"| 5 L INE % | 7 P NS % ")</f>
        <v xml:space="preserve">| 5 L INE % | 7 P NS % </v>
      </c>
      <c r="CJ294" s="4" t="str">
        <f ca="1">IFERROR(__xludf.DUMMYFUNCTION("""COMPUTED_VALUE"""),"| 5 L CPT % | 6 L PHP-CGM % | 9 P CPT % ")</f>
        <v xml:space="preserve">| 5 L CPT % | 6 L PHP-CGM % | 9 P CPT % </v>
      </c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</row>
    <row r="295" spans="1:102" ht="12.5" x14ac:dyDescent="0.25">
      <c r="A295" s="3">
        <f ca="1">IFERROR(__xludf.DUMMYFUNCTION("""COMPUTED_VALUE"""),2)</f>
        <v>2</v>
      </c>
      <c r="B295" s="3" t="str">
        <f ca="1">IFERROR(__xludf.DUMMYFUNCTION("""COMPUTED_VALUE"""),"D")</f>
        <v>D</v>
      </c>
      <c r="C295" s="32" t="str">
        <f ca="1">IFERROR(__xludf.DUMMYFUNCTION("""COMPUTED_VALUE"""),"23171341072")</f>
        <v>23171341072</v>
      </c>
      <c r="D295" s="4" t="str">
        <f ca="1">IFERROR(__xludf.DUMMYFUNCTION("""COMPUTED_VALUE"""),"PATEL AROHI AJITKUMAR")</f>
        <v>PATEL AROHI AJITKUMAR</v>
      </c>
      <c r="E295" s="3" t="str">
        <f ca="1">IFERROR(__xludf.DUMMYFUNCTION("""COMPUTED_VALUE"""),"ZPP - Eve")</f>
        <v>ZPP - Eve</v>
      </c>
      <c r="F295" s="3">
        <f ca="1">IFERROR(__xludf.DUMMYFUNCTION("""COMPUTED_VALUE"""),9825595160)</f>
        <v>9825595160</v>
      </c>
      <c r="G295" s="3">
        <f ca="1">IFERROR(__xludf.DUMMYFUNCTION("""COMPUTED_VALUE"""),9510283156)</f>
        <v>9510283156</v>
      </c>
      <c r="H295" s="33">
        <f ca="1">IFERROR(__xludf.DUMMYFUNCTION("""COMPUTED_VALUE"""),0.680672268907563)</f>
        <v>0.68067226890756305</v>
      </c>
      <c r="I295" s="25">
        <f ca="1">IFERROR(__xludf.DUMMYFUNCTION("""COMPUTED_VALUE"""),0.685714285714285)</f>
        <v>0.68571428571428505</v>
      </c>
      <c r="J295" s="25">
        <f ca="1">IFERROR(__xludf.DUMMYFUNCTION("""COMPUTED_VALUE"""),0.666666666666666)</f>
        <v>0.66666666666666596</v>
      </c>
      <c r="K295" s="25">
        <f ca="1">IFERROR(__xludf.DUMMYFUNCTION("""COMPUTED_VALUE"""),0.71875)</f>
        <v>0.71875</v>
      </c>
      <c r="L295" s="25">
        <f ca="1">IFERROR(__xludf.DUMMYFUNCTION("""COMPUTED_VALUE"""),0.666666666666666)</f>
        <v>0.66666666666666596</v>
      </c>
      <c r="M295" s="25">
        <f ca="1">IFERROR(__xludf.DUMMYFUNCTION("""COMPUTED_VALUE"""),0.611111111111111)</f>
        <v>0.61111111111111105</v>
      </c>
      <c r="N295" s="25">
        <f ca="1">IFERROR(__xludf.DUMMYFUNCTION("""COMPUTED_VALUE"""),0.636363636363636)</f>
        <v>0.63636363636363602</v>
      </c>
      <c r="O295" s="25">
        <f ca="1">IFERROR(__xludf.DUMMYFUNCTION("""COMPUTED_VALUE"""),0.722222222222222)</f>
        <v>0.72222222222222199</v>
      </c>
      <c r="P295" s="25">
        <f ca="1">IFERROR(__xludf.DUMMYFUNCTION("""COMPUTED_VALUE"""),0.842105263157894)</f>
        <v>0.84210526315789402</v>
      </c>
      <c r="Q295" s="25">
        <f ca="1">IFERROR(__xludf.DUMMYFUNCTION("""COMPUTED_VALUE"""),0)</f>
        <v>0</v>
      </c>
      <c r="R295" s="25">
        <f ca="1">IFERROR(__xludf.DUMMYFUNCTION("""COMPUTED_VALUE"""),0.523809523809523)</f>
        <v>0.52380952380952295</v>
      </c>
      <c r="S295" s="25">
        <f ca="1">IFERROR(__xludf.DUMMYFUNCTION("""COMPUTED_VALUE"""),0.692307692307692)</f>
        <v>0.69230769230769196</v>
      </c>
      <c r="T295" s="25">
        <f ca="1">IFERROR(__xludf.DUMMYFUNCTION("""COMPUTED_VALUE"""),1)</f>
        <v>1</v>
      </c>
      <c r="U295" s="25">
        <f ca="1">IFERROR(__xludf.DUMMYFUNCTION("""COMPUTED_VALUE"""),0.7)</f>
        <v>0.7</v>
      </c>
      <c r="V295" s="25">
        <f ca="1">IFERROR(__xludf.DUMMYFUNCTION("""COMPUTED_VALUE"""),0)</f>
        <v>0</v>
      </c>
      <c r="W295" s="4"/>
      <c r="X295" s="4" t="str">
        <f ca="1">IFERROR(__xludf.DUMMYFUNCTION("""COMPUTED_VALUE"""),"| 5 L JAVA @ | 6 L NS @ | 7 L PHP-CGM % | 8 L CPT % | 9 P PHP-CGM % ")</f>
        <v xml:space="preserve">| 5 L JAVA @ | 6 L NS @ | 7 L PHP-CGM % | 8 L CPT % | 9 P PHP-CGM % </v>
      </c>
      <c r="Y295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295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5" s="4" t="str">
        <f ca="1">IFERROR(__xludf.DUMMYFUNCTION("""COMPUTED_VALUE"""),"| 7 P NS % | 9 P Python @ ")</f>
        <v xml:space="preserve">| 7 P NS % | 9 P Python @ </v>
      </c>
      <c r="AB295" s="4" t="str">
        <f ca="1">IFERROR(__xludf.DUMMYFUNCTION("""COMPUTED_VALUE"""),"| 5 L JAVA @ | 6 L PHP-CGM @ | 7 P JAVA @ | 9 P CPT @ ")</f>
        <v xml:space="preserve">| 5 L JAVA @ | 6 L PHP-CGM @ | 7 P JAVA @ | 9 P CPT @ </v>
      </c>
      <c r="AC295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5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5" s="4" t="str">
        <f ca="1">IFERROR(__xludf.DUMMYFUNCTION("""COMPUTED_VALUE"""),"| 5 L JAVA % | 6 L NS % | 7 L PRO % | 9 P Python % ")</f>
        <v xml:space="preserve">| 5 L JAVA % | 6 L NS % | 7 L PRO % | 9 P Python % </v>
      </c>
      <c r="AF295" s="4" t="str">
        <f ca="1">IFERROR(__xludf.DUMMYFUNCTION("""COMPUTED_VALUE"""),"| 7 P NS % | 9 P Python @ ")</f>
        <v xml:space="preserve">| 7 P NS % | 9 P Python @ </v>
      </c>
      <c r="AG295" s="4" t="str">
        <f ca="1">IFERROR(__xludf.DUMMYFUNCTION("""COMPUTED_VALUE"""),"| 5 L CPT % | 6 L PHP-CGM % | 7 P JAVA % | 9 P CPT % ")</f>
        <v xml:space="preserve">| 5 L CPT % | 6 L PHP-CGM % | 7 P JAVA % | 9 P CPT % </v>
      </c>
      <c r="AH295" s="4" t="str">
        <f ca="1">IFERROR(__xludf.DUMMYFUNCTION("""COMPUTED_VALUE"""),"| 7 P NS @ | 9 P Python @ ")</f>
        <v xml:space="preserve">| 7 P NS @ | 9 P Python @ </v>
      </c>
      <c r="AI295" s="4" t="str">
        <f ca="1">IFERROR(__xludf.DUMMYFUNCTION("""COMPUTED_VALUE"""),"| 5 L CPT % | 6 L PHP-CGM % | 7 P JAVA % | 9 P CPT % ")</f>
        <v xml:space="preserve">| 5 L CPT % | 6 L PHP-CGM % | 7 P JAVA % | 9 P CPT % </v>
      </c>
      <c r="AJ295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95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295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5" s="4" t="str">
        <f ca="1">IFERROR(__xludf.DUMMYFUNCTION("""COMPUTED_VALUE"""),"| 5 L INE % | 7 P NS % | 9 P Python % ")</f>
        <v xml:space="preserve">| 5 L INE % | 7 P NS % | 9 P Python % </v>
      </c>
      <c r="AN295" s="4" t="str">
        <f ca="1">IFERROR(__xludf.DUMMYFUNCTION("""COMPUTED_VALUE"""),"| 5 L CPT % | 6 L PHP-CGM % | 7 P JAVA % | 9 P CPT % ")</f>
        <v xml:space="preserve">| 5 L CPT % | 6 L PHP-CGM % | 7 P JAVA % | 9 P CPT % </v>
      </c>
      <c r="AO295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5" s="4" t="str">
        <f ca="1">IFERROR(__xludf.DUMMYFUNCTION("""COMPUTED_VALUE"""),"| 5 L PHP-CGM % | 6 L CPT % | 7 L JAVA % | 7 L NS % ")</f>
        <v xml:space="preserve">| 5 L PHP-CGM % | 6 L CPT % | 7 L JAVA % | 7 L NS % </v>
      </c>
      <c r="AQ295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295" s="4" t="str">
        <f ca="1">IFERROR(__xludf.DUMMYFUNCTION("""COMPUTED_VALUE"""),"| 5 L INE @ ")</f>
        <v xml:space="preserve">| 5 L INE @ </v>
      </c>
      <c r="AS295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5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5" s="4" t="str">
        <f ca="1">IFERROR(__xludf.DUMMYFUNCTION("""COMPUTED_VALUE"""),"| 5 L JAVA % | 6 L NS % | 7 P PRO % | 9 P Python % ")</f>
        <v xml:space="preserve">| 5 L JAVA % | 6 L NS % | 7 P PRO % | 9 P Python % </v>
      </c>
      <c r="AV295" s="4" t="str">
        <f ca="1">IFERROR(__xludf.DUMMYFUNCTION("""COMPUTED_VALUE"""),"| 5 L INE % | 7 P NS % | 9 P Python % ")</f>
        <v xml:space="preserve">| 5 L INE % | 7 P NS % | 9 P Python % </v>
      </c>
      <c r="AW295" s="4" t="str">
        <f ca="1">IFERROR(__xludf.DUMMYFUNCTION("""COMPUTED_VALUE"""),"| 5 L CPT @ | 6 L PHP-CGM @ | 7 P JAVA @ | 9 P CPT @ ")</f>
        <v xml:space="preserve">| 5 L CPT @ | 6 L PHP-CGM @ | 7 P JAVA @ | 9 P CPT @ </v>
      </c>
      <c r="AX295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AY295" s="4" t="str">
        <f ca="1">IFERROR(__xludf.DUMMYFUNCTION("""COMPUTED_VALUE"""),"| 5 L PHP-CGM @ | 6 L CPT @ | 7 L NS @ | 8 L NS @ | 9 P JAVA @ ")</f>
        <v xml:space="preserve">| 5 L PHP-CGM @ | 6 L CPT @ | 7 L NS @ | 8 L NS @ | 9 P JAVA @ </v>
      </c>
      <c r="AZ295" s="4" t="str">
        <f ca="1">IFERROR(__xludf.DUMMYFUNCTION("""COMPUTED_VALUE"""),"| 5 L INE % | 7 P NS @ ")</f>
        <v xml:space="preserve">| 5 L INE % | 7 P NS @ </v>
      </c>
      <c r="BA295" s="4" t="str">
        <f ca="1">IFERROR(__xludf.DUMMYFUNCTION("""COMPUTED_VALUE"""),"| 5 L CPT % | 6 L PHP-CGM % | 7 P JAVA % | 9 P CPT % ")</f>
        <v xml:space="preserve">| 5 L CPT % | 6 L PHP-CGM % | 7 P JAVA % | 9 P CPT % </v>
      </c>
      <c r="BB295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5" s="4" t="str">
        <f ca="1">IFERROR(__xludf.DUMMYFUNCTION("""COMPUTED_VALUE"""),"| 5 L PHP-CGM % | 6 L CPT % | 7 L JAVA @ | 8 L NS @ | 9 P JAVA % ")</f>
        <v xml:space="preserve">| 5 L PHP-CGM % | 6 L CPT % | 7 L JAVA @ | 8 L NS @ | 9 P JAVA % </v>
      </c>
      <c r="BD295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295" s="4" t="str">
        <f ca="1">IFERROR(__xludf.DUMMYFUNCTION("""COMPUTED_VALUE"""),"| 5 L INE % | 7 P NS % | 9 P Python % ")</f>
        <v xml:space="preserve">| 5 L INE % | 7 P NS % | 9 P Python % </v>
      </c>
      <c r="BF295" s="4" t="str">
        <f ca="1">IFERROR(__xludf.DUMMYFUNCTION("""COMPUTED_VALUE"""),"| 5 L CPT % | 6 L PHP-CGM % | 7 P JAVA % | 9 P CPT % ")</f>
        <v xml:space="preserve">| 5 L CPT % | 6 L PHP-CGM % | 7 P JAVA % | 9 P CPT % </v>
      </c>
      <c r="BG295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95" s="4" t="str">
        <f ca="1">IFERROR(__xludf.DUMMYFUNCTION("""COMPUTED_VALUE"""),"| 5 L JAVA % | 6 L NS % | 7 L PRO @ | 9 P Python @ ")</f>
        <v xml:space="preserve">| 5 L JAVA % | 6 L NS % | 7 L PRO @ | 9 P Python @ </v>
      </c>
      <c r="BI295" s="4" t="str">
        <f ca="1">IFERROR(__xludf.DUMMYFUNCTION("""COMPUTED_VALUE"""),"| 5 L INE % | 7 P NS % | 9 P Python % ")</f>
        <v xml:space="preserve">| 5 L INE % | 7 P NS % | 9 P Python % </v>
      </c>
      <c r="BJ295" s="4" t="str">
        <f ca="1">IFERROR(__xludf.DUMMYFUNCTION("""COMPUTED_VALUE"""),"| 5 L CPT % | 6 L PHP-CGM % | 7 P JAVA % | 9 P CPT % ")</f>
        <v xml:space="preserve">| 5 L CPT % | 6 L PHP-CGM % | 7 P JAVA % | 9 P CPT % </v>
      </c>
      <c r="BK295" s="4" t="str">
        <f ca="1">IFERROR(__xludf.DUMMYFUNCTION("""COMPUTED_VALUE"""),"| 5 L JAVA % | 7 L PHP-CGM @ | 8 L CPT @ | 9 P PHP-CGM @ ")</f>
        <v xml:space="preserve">| 5 L JAVA % | 7 L PHP-CGM @ | 8 L CPT @ | 9 P PHP-CGM @ </v>
      </c>
      <c r="BL295" s="4" t="str">
        <f ca="1">IFERROR(__xludf.DUMMYFUNCTION("""COMPUTED_VALUE"""),"| 5 L PHP-CGM @ | 6 L CPT @ | 8 L NS @ ")</f>
        <v xml:space="preserve">| 5 L PHP-CGM @ | 6 L CPT @ | 8 L NS @ </v>
      </c>
      <c r="BM295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295" s="4" t="str">
        <f ca="1">IFERROR(__xludf.DUMMYFUNCTION("""COMPUTED_VALUE"""),"| 5 L INE @ | 7 P NS @ | 9 P Python @ ")</f>
        <v xml:space="preserve">| 5 L INE @ | 7 P NS @ | 9 P Python @ </v>
      </c>
      <c r="BO295" s="4" t="str">
        <f ca="1">IFERROR(__xludf.DUMMYFUNCTION("""COMPUTED_VALUE"""),"| 5 L CPT @ | 6 L PHP-CGM @ | 9 P CPT @ ")</f>
        <v xml:space="preserve">| 5 L CPT @ | 6 L PHP-CGM @ | 9 P CPT @ </v>
      </c>
      <c r="BP295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BQ295" s="4" t="str">
        <f ca="1">IFERROR(__xludf.DUMMYFUNCTION("""COMPUTED_VALUE"""),"| 5 L JAVA % ")</f>
        <v xml:space="preserve">| 5 L JAVA % </v>
      </c>
      <c r="BR295" s="4"/>
      <c r="BS295" s="4"/>
      <c r="BT295" s="4" t="str">
        <f ca="1">IFERROR(__xludf.DUMMYFUNCTION("""COMPUTED_VALUE"""),"| 7 L PHP-CGM @ | 8 L CPT @ ")</f>
        <v xml:space="preserve">| 7 L PHP-CGM @ | 8 L CPT @ </v>
      </c>
      <c r="BU295" s="4" t="str">
        <f ca="1">IFERROR(__xludf.DUMMYFUNCTION("""COMPUTED_VALUE"""),"| 8 L NS @ ")</f>
        <v xml:space="preserve">| 8 L NS @ </v>
      </c>
      <c r="BV295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95" s="4"/>
      <c r="BX295" s="4" t="str">
        <f ca="1">IFERROR(__xludf.DUMMYFUNCTION("""COMPUTED_VALUE"""),"| 5 L JAVA @ | 6 L NS @ | 7 L PRO @ | 9 P Python @ ")</f>
        <v xml:space="preserve">| 5 L JAVA @ | 6 L NS @ | 7 L PRO @ | 9 P Python @ </v>
      </c>
      <c r="BY295" s="4" t="str">
        <f ca="1">IFERROR(__xludf.DUMMYFUNCTION("""COMPUTED_VALUE"""),"| 5 L INE @ | 7 P NS @ | 9 P Python @ ")</f>
        <v xml:space="preserve">| 5 L INE @ | 7 P NS @ | 9 P Python @ </v>
      </c>
      <c r="BZ295" s="4" t="str">
        <f ca="1">IFERROR(__xludf.DUMMYFUNCTION("""COMPUTED_VALUE"""),"| 5 L CPT % | 6 L PHP-CGM % | 7 P JAVA % | 9 P CPT % ")</f>
        <v xml:space="preserve">| 5 L CPT % | 6 L PHP-CGM % | 7 P JAVA % | 9 P CPT % </v>
      </c>
      <c r="CA295" s="4" t="str">
        <f ca="1">IFERROR(__xludf.DUMMYFUNCTION("""COMPUTED_VALUE"""),"| 5 L JAVA % | 6 L JAVA % | 7 L PHP-CGM @ | 8 L CPT @ ")</f>
        <v xml:space="preserve">| 5 L JAVA % | 6 L JAVA % | 7 L PHP-CGM @ | 8 L CPT @ </v>
      </c>
      <c r="CB295" s="4" t="str">
        <f ca="1">IFERROR(__xludf.DUMMYFUNCTION("""COMPUTED_VALUE"""),"| 5 L PHP-CGM % | 6 L CPT % | 7 L NS % | 9 P JAVA % ")</f>
        <v xml:space="preserve">| 5 L PHP-CGM % | 6 L CPT % | 7 L NS % | 9 P JAVA % </v>
      </c>
      <c r="CC295" s="4" t="str">
        <f ca="1">IFERROR(__xludf.DUMMYFUNCTION("""COMPUTED_VALUE"""),"| 5 L JAVA % | 6 L NS % | 9 P Python @ ")</f>
        <v xml:space="preserve">| 5 L JAVA % | 6 L NS % | 9 P Python @ </v>
      </c>
      <c r="CD295" s="4" t="str">
        <f ca="1">IFERROR(__xludf.DUMMYFUNCTION("""COMPUTED_VALUE"""),"| 5 L INE % | 7 P NS % | 9 P Python @ ")</f>
        <v xml:space="preserve">| 5 L INE % | 7 P NS % | 9 P Python @ </v>
      </c>
      <c r="CE295" s="4" t="str">
        <f ca="1">IFERROR(__xludf.DUMMYFUNCTION("""COMPUTED_VALUE"""),"| 5 L CPT % | 6 L PHP-CGM % | 7 P JAVA % | 9 P CPT % ")</f>
        <v xml:space="preserve">| 5 L CPT % | 6 L PHP-CGM % | 7 P JAVA % | 9 P CPT % </v>
      </c>
      <c r="CF295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295" s="4" t="str">
        <f ca="1">IFERROR(__xludf.DUMMYFUNCTION("""COMPUTED_VALUE"""),"| 5 L PHP-CGM @ | 6 L CPT % | 7 L JAVA % | 8 L NS % | 9 P JAVA % ")</f>
        <v xml:space="preserve">| 5 L PHP-CGM @ | 6 L CPT % | 7 L JAVA % | 8 L NS % | 9 P JAVA % </v>
      </c>
      <c r="CH295" s="4" t="str">
        <f ca="1">IFERROR(__xludf.DUMMYFUNCTION("""COMPUTED_VALUE"""),"| 5 L JAVA % | 6 L NS % | 9 P Python % ")</f>
        <v xml:space="preserve">| 5 L JAVA % | 6 L NS % | 9 P Python % </v>
      </c>
      <c r="CI295" s="4" t="str">
        <f ca="1">IFERROR(__xludf.DUMMYFUNCTION("""COMPUTED_VALUE"""),"| 5 L INE % | 7 P NS % ")</f>
        <v xml:space="preserve">| 5 L INE % | 7 P NS % </v>
      </c>
      <c r="CJ295" s="4" t="str">
        <f ca="1">IFERROR(__xludf.DUMMYFUNCTION("""COMPUTED_VALUE"""),"| 5 L CPT % | 6 L PHP-CGM @ | 9 P CPT @ ")</f>
        <v xml:space="preserve">| 5 L CPT % | 6 L PHP-CGM @ | 9 P CPT @ </v>
      </c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</row>
    <row r="296" spans="1:102" ht="12.5" x14ac:dyDescent="0.25">
      <c r="A296" s="3">
        <f ca="1">IFERROR(__xludf.DUMMYFUNCTION("""COMPUTED_VALUE"""),2)</f>
        <v>2</v>
      </c>
      <c r="B296" s="3" t="str">
        <f ca="1">IFERROR(__xludf.DUMMYFUNCTION("""COMPUTED_VALUE"""),"D")</f>
        <v>D</v>
      </c>
      <c r="C296" s="32" t="str">
        <f ca="1">IFERROR(__xludf.DUMMYFUNCTION("""COMPUTED_VALUE"""),"23171341073")</f>
        <v>23171341073</v>
      </c>
      <c r="D296" s="4" t="str">
        <f ca="1">IFERROR(__xludf.DUMMYFUNCTION("""COMPUTED_VALUE"""),"Patel aryan chandrakantbhai")</f>
        <v>Patel aryan chandrakantbhai</v>
      </c>
      <c r="E296" s="3" t="str">
        <f ca="1">IFERROR(__xludf.DUMMYFUNCTION("""COMPUTED_VALUE"""),"ZPP - Eve")</f>
        <v>ZPP - Eve</v>
      </c>
      <c r="F296" s="3">
        <f ca="1">IFERROR(__xludf.DUMMYFUNCTION("""COMPUTED_VALUE"""),9773185548)</f>
        <v>9773185548</v>
      </c>
      <c r="G296" s="3">
        <f ca="1">IFERROR(__xludf.DUMMYFUNCTION("""COMPUTED_VALUE"""),9898288371)</f>
        <v>9898288371</v>
      </c>
      <c r="H296" s="33">
        <f ca="1">IFERROR(__xludf.DUMMYFUNCTION("""COMPUTED_VALUE"""),0.781512605042016)</f>
        <v>0.78151260504201603</v>
      </c>
      <c r="I296" s="25">
        <f ca="1">IFERROR(__xludf.DUMMYFUNCTION("""COMPUTED_VALUE"""),0.742857142857142)</f>
        <v>0.74285714285714199</v>
      </c>
      <c r="J296" s="25">
        <f ca="1">IFERROR(__xludf.DUMMYFUNCTION("""COMPUTED_VALUE"""),0.75)</f>
        <v>0.75</v>
      </c>
      <c r="K296" s="25">
        <f ca="1">IFERROR(__xludf.DUMMYFUNCTION("""COMPUTED_VALUE"""),0.8125)</f>
        <v>0.8125</v>
      </c>
      <c r="L296" s="25">
        <f ca="1">IFERROR(__xludf.DUMMYFUNCTION("""COMPUTED_VALUE"""),0.916666666666666)</f>
        <v>0.91666666666666596</v>
      </c>
      <c r="M296" s="25">
        <f ca="1">IFERROR(__xludf.DUMMYFUNCTION("""COMPUTED_VALUE"""),0.777777777777777)</f>
        <v>0.77777777777777701</v>
      </c>
      <c r="N296" s="25">
        <f ca="1">IFERROR(__xludf.DUMMYFUNCTION("""COMPUTED_VALUE"""),0.818181818181818)</f>
        <v>0.81818181818181801</v>
      </c>
      <c r="O296" s="25">
        <f ca="1">IFERROR(__xludf.DUMMYFUNCTION("""COMPUTED_VALUE"""),0.75)</f>
        <v>0.75</v>
      </c>
      <c r="P296" s="25">
        <f ca="1">IFERROR(__xludf.DUMMYFUNCTION("""COMPUTED_VALUE"""),0.842105263157894)</f>
        <v>0.84210526315789402</v>
      </c>
      <c r="Q296" s="25">
        <f ca="1">IFERROR(__xludf.DUMMYFUNCTION("""COMPUTED_VALUE"""),0)</f>
        <v>0</v>
      </c>
      <c r="R296" s="25">
        <f ca="1">IFERROR(__xludf.DUMMYFUNCTION("""COMPUTED_VALUE"""),0.714285714285714)</f>
        <v>0.71428571428571397</v>
      </c>
      <c r="S296" s="25">
        <f ca="1">IFERROR(__xludf.DUMMYFUNCTION("""COMPUTED_VALUE"""),0.923076923076923)</f>
        <v>0.92307692307692302</v>
      </c>
      <c r="T296" s="25">
        <f ca="1">IFERROR(__xludf.DUMMYFUNCTION("""COMPUTED_VALUE"""),1)</f>
        <v>1</v>
      </c>
      <c r="U296" s="25">
        <f ca="1">IFERROR(__xludf.DUMMYFUNCTION("""COMPUTED_VALUE"""),0.6)</f>
        <v>0.6</v>
      </c>
      <c r="V296" s="25">
        <f ca="1">IFERROR(__xludf.DUMMYFUNCTION("""COMPUTED_VALUE"""),0)</f>
        <v>0</v>
      </c>
      <c r="W296" s="4"/>
      <c r="X296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296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296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6" s="4" t="str">
        <f ca="1">IFERROR(__xludf.DUMMYFUNCTION("""COMPUTED_VALUE"""),"| 7 P NS % | 9 P Python % ")</f>
        <v xml:space="preserve">| 7 P NS % | 9 P Python % </v>
      </c>
      <c r="AB296" s="4" t="str">
        <f ca="1">IFERROR(__xludf.DUMMYFUNCTION("""COMPUTED_VALUE"""),"| 5 L JAVA % | 6 L PHP-CGM % | 7 P JAVA % | 9 P CPT % ")</f>
        <v xml:space="preserve">| 5 L JAVA % | 6 L PHP-CGM % | 7 P JAVA % | 9 P CPT % </v>
      </c>
      <c r="AC296" s="4" t="str">
        <f ca="1">IFERROR(__xludf.DUMMYFUNCTION("""COMPUTED_VALUE"""),"| 5 L JAVA % | 6 L NS % | 7 L PHP-CGM @ | 9 P PHP-CGM % | 8 L CPT @ ")</f>
        <v xml:space="preserve">| 5 L JAVA % | 6 L NS % | 7 L PHP-CGM @ | 9 P PHP-CGM % | 8 L CPT @ </v>
      </c>
      <c r="AD296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6" s="4" t="str">
        <f ca="1">IFERROR(__xludf.DUMMYFUNCTION("""COMPUTED_VALUE"""),"| 5 L JAVA % | 6 L NS % | 7 L PRO % | 9 P Python @ ")</f>
        <v xml:space="preserve">| 5 L JAVA % | 6 L NS % | 7 L PRO % | 9 P Python @ </v>
      </c>
      <c r="AF296" s="4" t="str">
        <f ca="1">IFERROR(__xludf.DUMMYFUNCTION("""COMPUTED_VALUE"""),"| 7 P NS % | 9 P Python % ")</f>
        <v xml:space="preserve">| 7 P NS % | 9 P Python % </v>
      </c>
      <c r="AG296" s="4" t="str">
        <f ca="1">IFERROR(__xludf.DUMMYFUNCTION("""COMPUTED_VALUE"""),"| 5 L CPT % | 6 L PHP-CGM % | 7 P JAVA % | 9 P CPT % ")</f>
        <v xml:space="preserve">| 5 L CPT % | 6 L PHP-CGM % | 7 P JAVA % | 9 P CPT % </v>
      </c>
      <c r="AH296" s="4" t="str">
        <f ca="1">IFERROR(__xludf.DUMMYFUNCTION("""COMPUTED_VALUE"""),"| 7 P NS % | 9 P Python % ")</f>
        <v xml:space="preserve">| 7 P NS % | 9 P Python % </v>
      </c>
      <c r="AI296" s="4" t="str">
        <f ca="1">IFERROR(__xludf.DUMMYFUNCTION("""COMPUTED_VALUE"""),"| 5 L CPT % | 6 L PHP-CGM % | 7 P JAVA % | 9 P CPT % ")</f>
        <v xml:space="preserve">| 5 L CPT % | 6 L PHP-CGM % | 7 P JAVA % | 9 P CPT % </v>
      </c>
      <c r="AJ296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96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296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6" s="4" t="str">
        <f ca="1">IFERROR(__xludf.DUMMYFUNCTION("""COMPUTED_VALUE"""),"| 5 L INE % | 7 P NS % | 9 P Python % ")</f>
        <v xml:space="preserve">| 5 L INE % | 7 P NS % | 9 P Python % </v>
      </c>
      <c r="AN296" s="4" t="str">
        <f ca="1">IFERROR(__xludf.DUMMYFUNCTION("""COMPUTED_VALUE"""),"| 5 L CPT % | 6 L PHP-CGM % | 7 P JAVA % | 9 P CPT % ")</f>
        <v xml:space="preserve">| 5 L CPT % | 6 L PHP-CGM % | 7 P JAVA % | 9 P CPT % </v>
      </c>
      <c r="AO296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6" s="4" t="str">
        <f ca="1">IFERROR(__xludf.DUMMYFUNCTION("""COMPUTED_VALUE"""),"| 5 L PHP-CGM % | 6 L CPT % | 7 L JAVA % | 7 L NS % ")</f>
        <v xml:space="preserve">| 5 L PHP-CGM % | 6 L CPT % | 7 L JAVA % | 7 L NS % </v>
      </c>
      <c r="AQ296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296" s="4" t="str">
        <f ca="1">IFERROR(__xludf.DUMMYFUNCTION("""COMPUTED_VALUE"""),"| 5 L INE @ ")</f>
        <v xml:space="preserve">| 5 L INE @ </v>
      </c>
      <c r="AS296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6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6" s="4" t="str">
        <f ca="1">IFERROR(__xludf.DUMMYFUNCTION("""COMPUTED_VALUE"""),"| 5 L JAVA % | 6 L NS % | 7 P PRO % | 9 P Python % ")</f>
        <v xml:space="preserve">| 5 L JAVA % | 6 L NS % | 7 P PRO % | 9 P Python % </v>
      </c>
      <c r="AV296" s="4" t="str">
        <f ca="1">IFERROR(__xludf.DUMMYFUNCTION("""COMPUTED_VALUE"""),"| 5 L INE % | 7 P NS % | 9 P Python % ")</f>
        <v xml:space="preserve">| 5 L INE % | 7 P NS % | 9 P Python % </v>
      </c>
      <c r="AW296" s="4" t="str">
        <f ca="1">IFERROR(__xludf.DUMMYFUNCTION("""COMPUTED_VALUE"""),"| 5 L CPT @ | 6 L PHP-CGM @ | 7 P JAVA @ | 9 P CPT @ ")</f>
        <v xml:space="preserve">| 5 L CPT @ | 6 L PHP-CGM @ | 7 P JAVA @ | 9 P CPT @ </v>
      </c>
      <c r="AX296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96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6" s="4" t="str">
        <f ca="1">IFERROR(__xludf.DUMMYFUNCTION("""COMPUTED_VALUE"""),"| 5 L INE % | 7 P NS % ")</f>
        <v xml:space="preserve">| 5 L INE % | 7 P NS % </v>
      </c>
      <c r="BA296" s="4" t="str">
        <f ca="1">IFERROR(__xludf.DUMMYFUNCTION("""COMPUTED_VALUE"""),"| 5 L CPT % | 6 L PHP-CGM % | 7 P JAVA % | 9 P CPT % ")</f>
        <v xml:space="preserve">| 5 L CPT % | 6 L PHP-CGM % | 7 P JAVA % | 9 P CPT % </v>
      </c>
      <c r="BB296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6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D296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E296" s="4" t="str">
        <f ca="1">IFERROR(__xludf.DUMMYFUNCTION("""COMPUTED_VALUE"""),"| 5 L INE % | 7 P NS % | 9 P Python % ")</f>
        <v xml:space="preserve">| 5 L INE % | 7 P NS % | 9 P Python % </v>
      </c>
      <c r="BF296" s="4" t="str">
        <f ca="1">IFERROR(__xludf.DUMMYFUNCTION("""COMPUTED_VALUE"""),"| 5 L CPT % | 6 L PHP-CGM % | 7 P JAVA % | 9 P CPT % ")</f>
        <v xml:space="preserve">| 5 L CPT % | 6 L PHP-CGM % | 7 P JAVA % | 9 P CPT % </v>
      </c>
      <c r="BG296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96" s="4" t="str">
        <f ca="1">IFERROR(__xludf.DUMMYFUNCTION("""COMPUTED_VALUE"""),"| 5 L JAVA % | 6 L NS % | 7 L PRO % | 9 P Python @ ")</f>
        <v xml:space="preserve">| 5 L JAVA % | 6 L NS % | 7 L PRO % | 9 P Python @ </v>
      </c>
      <c r="BI296" s="4" t="str">
        <f ca="1">IFERROR(__xludf.DUMMYFUNCTION("""COMPUTED_VALUE"""),"| 5 L INE @ | 7 P NS % | 9 P Python @ ")</f>
        <v xml:space="preserve">| 5 L INE @ | 7 P NS % | 9 P Python @ </v>
      </c>
      <c r="BJ296" s="4" t="str">
        <f ca="1">IFERROR(__xludf.DUMMYFUNCTION("""COMPUTED_VALUE"""),"| 5 L CPT % | 6 L PHP-CGM % | 7 P JAVA % | 9 P CPT % ")</f>
        <v xml:space="preserve">| 5 L CPT % | 6 L PHP-CGM % | 7 P JAVA % | 9 P CPT % </v>
      </c>
      <c r="BK296" s="4" t="str">
        <f ca="1">IFERROR(__xludf.DUMMYFUNCTION("""COMPUTED_VALUE"""),"| 5 L JAVA % | 7 L PHP-CGM % | 8 L CPT % | 9 P PHP-CGM @ ")</f>
        <v xml:space="preserve">| 5 L JAVA % | 7 L PHP-CGM % | 8 L CPT % | 9 P PHP-CGM @ </v>
      </c>
      <c r="BL296" s="4" t="str">
        <f ca="1">IFERROR(__xludf.DUMMYFUNCTION("""COMPUTED_VALUE"""),"| 5 L PHP-CGM % | 6 L CPT % | 8 L NS % ")</f>
        <v xml:space="preserve">| 5 L PHP-CGM % | 6 L CPT % | 8 L NS % </v>
      </c>
      <c r="BM296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296" s="4" t="str">
        <f ca="1">IFERROR(__xludf.DUMMYFUNCTION("""COMPUTED_VALUE"""),"| 5 L INE % | 7 P NS % | 9 P Python % ")</f>
        <v xml:space="preserve">| 5 L INE % | 7 P NS % | 9 P Python % </v>
      </c>
      <c r="BO296" s="4" t="str">
        <f ca="1">IFERROR(__xludf.DUMMYFUNCTION("""COMPUTED_VALUE"""),"| 5 L CPT % | 6 L PHP-CGM % | 9 P CPT @ ")</f>
        <v xml:space="preserve">| 5 L CPT % | 6 L PHP-CGM % | 9 P CPT @ </v>
      </c>
      <c r="BP296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BQ296" s="4" t="str">
        <f ca="1">IFERROR(__xludf.DUMMYFUNCTION("""COMPUTED_VALUE"""),"| 5 L JAVA @ ")</f>
        <v xml:space="preserve">| 5 L JAVA @ </v>
      </c>
      <c r="BR296" s="4"/>
      <c r="BS296" s="4"/>
      <c r="BT296" s="4" t="str">
        <f ca="1">IFERROR(__xludf.DUMMYFUNCTION("""COMPUTED_VALUE"""),"| 7 L PHP-CGM @ | 8 L CPT @ ")</f>
        <v xml:space="preserve">| 7 L PHP-CGM @ | 8 L CPT @ </v>
      </c>
      <c r="BU296" s="4" t="str">
        <f ca="1">IFERROR(__xludf.DUMMYFUNCTION("""COMPUTED_VALUE"""),"| 8 L NS @ ")</f>
        <v xml:space="preserve">| 8 L NS @ </v>
      </c>
      <c r="BV296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96" s="4"/>
      <c r="BX296" s="4" t="str">
        <f ca="1">IFERROR(__xludf.DUMMYFUNCTION("""COMPUTED_VALUE"""),"| 5 L JAVA @ | 6 L NS @ | 7 L PRO @ | 9 P Python @ ")</f>
        <v xml:space="preserve">| 5 L JAVA @ | 6 L NS @ | 7 L PRO @ | 9 P Python @ </v>
      </c>
      <c r="BY296" s="4" t="str">
        <f ca="1">IFERROR(__xludf.DUMMYFUNCTION("""COMPUTED_VALUE"""),"| 5 L INE @ | 7 P NS @ | 9 P Python @ ")</f>
        <v xml:space="preserve">| 5 L INE @ | 7 P NS @ | 9 P Python @ </v>
      </c>
      <c r="BZ296" s="4" t="str">
        <f ca="1">IFERROR(__xludf.DUMMYFUNCTION("""COMPUTED_VALUE"""),"| 5 L CPT @ | 6 L PHP-CGM @ | 7 P JAVA @ | 9 P CPT @ ")</f>
        <v xml:space="preserve">| 5 L CPT @ | 6 L PHP-CGM @ | 7 P JAVA @ | 9 P CPT @ </v>
      </c>
      <c r="CA296" s="4" t="str">
        <f ca="1">IFERROR(__xludf.DUMMYFUNCTION("""COMPUTED_VALUE"""),"| 5 L JAVA @ | 6 L JAVA @ | 7 L PHP-CGM @ | 8 L CPT @ ")</f>
        <v xml:space="preserve">| 5 L JAVA @ | 6 L JAVA @ | 7 L PHP-CGM @ | 8 L CPT @ </v>
      </c>
      <c r="CB296" s="4" t="str">
        <f ca="1">IFERROR(__xludf.DUMMYFUNCTION("""COMPUTED_VALUE"""),"| 5 L PHP-CGM % | 6 L CPT % | 7 L NS % | 9 P JAVA % ")</f>
        <v xml:space="preserve">| 5 L PHP-CGM % | 6 L CPT % | 7 L NS % | 9 P JAVA % </v>
      </c>
      <c r="CC296" s="4" t="str">
        <f ca="1">IFERROR(__xludf.DUMMYFUNCTION("""COMPUTED_VALUE"""),"| 5 L JAVA @ | 6 L NS @ | 9 P Python % ")</f>
        <v xml:space="preserve">| 5 L JAVA @ | 6 L NS @ | 9 P Python % </v>
      </c>
      <c r="CD296" s="4" t="str">
        <f ca="1">IFERROR(__xludf.DUMMYFUNCTION("""COMPUTED_VALUE"""),"| 5 L INE % | 7 P NS % | 9 P Python % ")</f>
        <v xml:space="preserve">| 5 L INE % | 7 P NS % | 9 P Python % </v>
      </c>
      <c r="CE296" s="4" t="str">
        <f ca="1">IFERROR(__xludf.DUMMYFUNCTION("""COMPUTED_VALUE"""),"| 5 L CPT % | 6 L PHP-CGM % | 7 P JAVA % | 9 P CPT % ")</f>
        <v xml:space="preserve">| 5 L CPT % | 6 L PHP-CGM % | 7 P JAVA % | 9 P CPT % </v>
      </c>
      <c r="CF296" s="4" t="str">
        <f ca="1">IFERROR(__xludf.DUMMYFUNCTION("""COMPUTED_VALUE"""),"| 5 L JAVA @ | 6 L NS @ | 7 L PHP-CGM % | 8 L CPT @ | 9 P PHP-CGM % ")</f>
        <v xml:space="preserve">| 5 L JAVA @ | 6 L NS @ | 7 L PHP-CGM % | 8 L CPT @ | 9 P PHP-CGM % </v>
      </c>
      <c r="CG296" s="4" t="str">
        <f ca="1">IFERROR(__xludf.DUMMYFUNCTION("""COMPUTED_VALUE"""),"| 5 L PHP-CGM @ | 6 L CPT @ | 7 L JAVA @ | 8 L NS @ | 9 P JAVA % ")</f>
        <v xml:space="preserve">| 5 L PHP-CGM @ | 6 L CPT @ | 7 L JAVA @ | 8 L NS @ | 9 P JAVA % </v>
      </c>
      <c r="CH296" s="4" t="str">
        <f ca="1">IFERROR(__xludf.DUMMYFUNCTION("""COMPUTED_VALUE"""),"| 5 L JAVA @ | 6 L NS % | 9 P Python % ")</f>
        <v xml:space="preserve">| 5 L JAVA @ | 6 L NS % | 9 P Python % </v>
      </c>
      <c r="CI296" s="4" t="str">
        <f ca="1">IFERROR(__xludf.DUMMYFUNCTION("""COMPUTED_VALUE"""),"| 5 L INE @ | 7 P NS % ")</f>
        <v xml:space="preserve">| 5 L INE @ | 7 P NS % </v>
      </c>
      <c r="CJ296" s="4" t="str">
        <f ca="1">IFERROR(__xludf.DUMMYFUNCTION("""COMPUTED_VALUE"""),"| 5 L CPT % | 6 L PHP-CGM % | 9 P CPT % ")</f>
        <v xml:space="preserve">| 5 L CPT % | 6 L PHP-CGM % | 9 P CPT % </v>
      </c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</row>
    <row r="297" spans="1:102" ht="12.5" x14ac:dyDescent="0.25">
      <c r="A297" s="3">
        <f ca="1">IFERROR(__xludf.DUMMYFUNCTION("""COMPUTED_VALUE"""),2)</f>
        <v>2</v>
      </c>
      <c r="B297" s="3" t="str">
        <f ca="1">IFERROR(__xludf.DUMMYFUNCTION("""COMPUTED_VALUE"""),"D")</f>
        <v>D</v>
      </c>
      <c r="C297" s="32" t="str">
        <f ca="1">IFERROR(__xludf.DUMMYFUNCTION("""COMPUTED_VALUE"""),"23171341083")</f>
        <v>23171341083</v>
      </c>
      <c r="D297" s="4" t="str">
        <f ca="1">IFERROR(__xludf.DUMMYFUNCTION("""COMPUTED_VALUE"""),"PATEL HANI JAYESHKUMAR")</f>
        <v>PATEL HANI JAYESHKUMAR</v>
      </c>
      <c r="E297" s="3" t="str">
        <f ca="1">IFERROR(__xludf.DUMMYFUNCTION("""COMPUTED_VALUE"""),"ZPP - Eve")</f>
        <v>ZPP - Eve</v>
      </c>
      <c r="F297" s="3">
        <f ca="1">IFERROR(__xludf.DUMMYFUNCTION("""COMPUTED_VALUE"""),9723013185)</f>
        <v>9723013185</v>
      </c>
      <c r="G297" s="3">
        <f ca="1">IFERROR(__xludf.DUMMYFUNCTION("""COMPUTED_VALUE"""),9978315597)</f>
        <v>9978315597</v>
      </c>
      <c r="H297" s="33">
        <f ca="1">IFERROR(__xludf.DUMMYFUNCTION("""COMPUTED_VALUE"""),0.936974789915966)</f>
        <v>0.93697478991596606</v>
      </c>
      <c r="I297" s="25">
        <f ca="1">IFERROR(__xludf.DUMMYFUNCTION("""COMPUTED_VALUE"""),0.914285714285714)</f>
        <v>0.91428571428571404</v>
      </c>
      <c r="J297" s="25">
        <f ca="1">IFERROR(__xludf.DUMMYFUNCTION("""COMPUTED_VALUE"""),0.916666666666666)</f>
        <v>0.91666666666666596</v>
      </c>
      <c r="K297" s="25">
        <f ca="1">IFERROR(__xludf.DUMMYFUNCTION("""COMPUTED_VALUE"""),0.96875)</f>
        <v>0.96875</v>
      </c>
      <c r="L297" s="25">
        <f ca="1">IFERROR(__xludf.DUMMYFUNCTION("""COMPUTED_VALUE"""),1)</f>
        <v>1</v>
      </c>
      <c r="M297" s="25">
        <f ca="1">IFERROR(__xludf.DUMMYFUNCTION("""COMPUTED_VALUE"""),0.916666666666666)</f>
        <v>0.91666666666666596</v>
      </c>
      <c r="N297" s="25">
        <f ca="1">IFERROR(__xludf.DUMMYFUNCTION("""COMPUTED_VALUE"""),0.909090909090909)</f>
        <v>0.90909090909090895</v>
      </c>
      <c r="O297" s="25">
        <f ca="1">IFERROR(__xludf.DUMMYFUNCTION("""COMPUTED_VALUE"""),0.944444444444444)</f>
        <v>0.94444444444444398</v>
      </c>
      <c r="P297" s="25">
        <f ca="1">IFERROR(__xludf.DUMMYFUNCTION("""COMPUTED_VALUE"""),1)</f>
        <v>1</v>
      </c>
      <c r="Q297" s="25">
        <f ca="1">IFERROR(__xludf.DUMMYFUNCTION("""COMPUTED_VALUE"""),0)</f>
        <v>0</v>
      </c>
      <c r="R297" s="25">
        <f ca="1">IFERROR(__xludf.DUMMYFUNCTION("""COMPUTED_VALUE"""),0.904761904761904)</f>
        <v>0.90476190476190399</v>
      </c>
      <c r="S297" s="25">
        <f ca="1">IFERROR(__xludf.DUMMYFUNCTION("""COMPUTED_VALUE"""),0.923076923076923)</f>
        <v>0.92307692307692302</v>
      </c>
      <c r="T297" s="25">
        <f ca="1">IFERROR(__xludf.DUMMYFUNCTION("""COMPUTED_VALUE"""),1)</f>
        <v>1</v>
      </c>
      <c r="U297" s="25">
        <f ca="1">IFERROR(__xludf.DUMMYFUNCTION("""COMPUTED_VALUE"""),0.9)</f>
        <v>0.9</v>
      </c>
      <c r="V297" s="25">
        <f ca="1">IFERROR(__xludf.DUMMYFUNCTION("""COMPUTED_VALUE"""),0)</f>
        <v>0</v>
      </c>
      <c r="W297" s="4"/>
      <c r="X297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297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297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7" s="4" t="str">
        <f ca="1">IFERROR(__xludf.DUMMYFUNCTION("""COMPUTED_VALUE"""),"| 7 P NS % | 9 P Python % ")</f>
        <v xml:space="preserve">| 7 P NS % | 9 P Python % </v>
      </c>
      <c r="AB297" s="4" t="str">
        <f ca="1">IFERROR(__xludf.DUMMYFUNCTION("""COMPUTED_VALUE"""),"| 5 L JAVA % | 6 L PHP-CGM % | 7 P JAVA % | 9 P CPT % ")</f>
        <v xml:space="preserve">| 5 L JAVA % | 6 L PHP-CGM % | 7 P JAVA % | 9 P CPT % </v>
      </c>
      <c r="AC297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7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7" s="4" t="str">
        <f ca="1">IFERROR(__xludf.DUMMYFUNCTION("""COMPUTED_VALUE"""),"| 5 L JAVA % | 6 L NS % | 7 L PRO % | 9 P Python % ")</f>
        <v xml:space="preserve">| 5 L JAVA % | 6 L NS % | 7 L PRO % | 9 P Python % </v>
      </c>
      <c r="AF297" s="4" t="str">
        <f ca="1">IFERROR(__xludf.DUMMYFUNCTION("""COMPUTED_VALUE"""),"| 7 P NS % | 9 P Python % ")</f>
        <v xml:space="preserve">| 7 P NS % | 9 P Python % </v>
      </c>
      <c r="AG297" s="4" t="str">
        <f ca="1">IFERROR(__xludf.DUMMYFUNCTION("""COMPUTED_VALUE"""),"| 5 L CPT % | 6 L PHP-CGM % | 7 P JAVA % | 9 P CPT % ")</f>
        <v xml:space="preserve">| 5 L CPT % | 6 L PHP-CGM % | 7 P JAVA % | 9 P CPT % </v>
      </c>
      <c r="AH297" s="4" t="str">
        <f ca="1">IFERROR(__xludf.DUMMYFUNCTION("""COMPUTED_VALUE"""),"| 7 P NS % | 9 P Python % ")</f>
        <v xml:space="preserve">| 7 P NS % | 9 P Python % </v>
      </c>
      <c r="AI297" s="4" t="str">
        <f ca="1">IFERROR(__xludf.DUMMYFUNCTION("""COMPUTED_VALUE"""),"| 5 L CPT % | 6 L PHP-CGM % | 7 P JAVA % | 9 P CPT % ")</f>
        <v xml:space="preserve">| 5 L CPT % | 6 L PHP-CGM % | 7 P JAVA % | 9 P CPT % </v>
      </c>
      <c r="AJ297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97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297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7" s="4" t="str">
        <f ca="1">IFERROR(__xludf.DUMMYFUNCTION("""COMPUTED_VALUE"""),"| 5 L INE % | 7 P NS % | 9 P Python % ")</f>
        <v xml:space="preserve">| 5 L INE % | 7 P NS % | 9 P Python % </v>
      </c>
      <c r="AN297" s="4" t="str">
        <f ca="1">IFERROR(__xludf.DUMMYFUNCTION("""COMPUTED_VALUE"""),"| 5 L CPT % | 6 L PHP-CGM % | 7 P JAVA % | 9 P CPT % ")</f>
        <v xml:space="preserve">| 5 L CPT % | 6 L PHP-CGM % | 7 P JAVA % | 9 P CPT % </v>
      </c>
      <c r="AO297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7" s="4" t="str">
        <f ca="1">IFERROR(__xludf.DUMMYFUNCTION("""COMPUTED_VALUE"""),"| 5 L PHP-CGM % | 6 L CPT % | 7 L JAVA % | 7 L NS % ")</f>
        <v xml:space="preserve">| 5 L PHP-CGM % | 6 L CPT % | 7 L JAVA % | 7 L NS % </v>
      </c>
      <c r="AQ297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297" s="4" t="str">
        <f ca="1">IFERROR(__xludf.DUMMYFUNCTION("""COMPUTED_VALUE"""),"| 5 L INE % ")</f>
        <v xml:space="preserve">| 5 L INE % </v>
      </c>
      <c r="AS297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7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7" s="4" t="str">
        <f ca="1">IFERROR(__xludf.DUMMYFUNCTION("""COMPUTED_VALUE"""),"| 5 L JAVA % | 6 L NS % | 7 P PRO % | 9 P Python % ")</f>
        <v xml:space="preserve">| 5 L JAVA % | 6 L NS % | 7 P PRO % | 9 P Python % </v>
      </c>
      <c r="AV297" s="4" t="str">
        <f ca="1">IFERROR(__xludf.DUMMYFUNCTION("""COMPUTED_VALUE"""),"| 5 L INE % | 7 P NS % | 9 P Python % ")</f>
        <v xml:space="preserve">| 5 L INE % | 7 P NS % | 9 P Python % </v>
      </c>
      <c r="AW297" s="4" t="str">
        <f ca="1">IFERROR(__xludf.DUMMYFUNCTION("""COMPUTED_VALUE"""),"| 5 L CPT % | 6 L PHP-CGM % | 7 P JAVA % | 9 P CPT % ")</f>
        <v xml:space="preserve">| 5 L CPT % | 6 L PHP-CGM % | 7 P JAVA % | 9 P CPT % </v>
      </c>
      <c r="AX297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97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7" s="4" t="str">
        <f ca="1">IFERROR(__xludf.DUMMYFUNCTION("""COMPUTED_VALUE"""),"| 5 L INE % | 7 P NS % ")</f>
        <v xml:space="preserve">| 5 L INE % | 7 P NS % </v>
      </c>
      <c r="BA297" s="4" t="str">
        <f ca="1">IFERROR(__xludf.DUMMYFUNCTION("""COMPUTED_VALUE"""),"| 5 L CPT % | 6 L PHP-CGM % | 7 P JAVA % | 9 P CPT % ")</f>
        <v xml:space="preserve">| 5 L CPT % | 6 L PHP-CGM % | 7 P JAVA % | 9 P CPT % </v>
      </c>
      <c r="BB297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7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D297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E297" s="4" t="str">
        <f ca="1">IFERROR(__xludf.DUMMYFUNCTION("""COMPUTED_VALUE"""),"| 5 L INE % | 7 P NS % | 9 P Python % ")</f>
        <v xml:space="preserve">| 5 L INE % | 7 P NS % | 9 P Python % </v>
      </c>
      <c r="BF297" s="4" t="str">
        <f ca="1">IFERROR(__xludf.DUMMYFUNCTION("""COMPUTED_VALUE"""),"| 5 L CPT % | 6 L PHP-CGM % | 7 P JAVA % | 9 P CPT % ")</f>
        <v xml:space="preserve">| 5 L CPT % | 6 L PHP-CGM % | 7 P JAVA % | 9 P CPT % </v>
      </c>
      <c r="BG297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97" s="4" t="str">
        <f ca="1">IFERROR(__xludf.DUMMYFUNCTION("""COMPUTED_VALUE"""),"| 5 L JAVA @ | 6 L NS @ | 7 L PRO @ | 9 P Python @ ")</f>
        <v xml:space="preserve">| 5 L JAVA @ | 6 L NS @ | 7 L PRO @ | 9 P Python @ </v>
      </c>
      <c r="BI297" s="4" t="str">
        <f ca="1">IFERROR(__xludf.DUMMYFUNCTION("""COMPUTED_VALUE"""),"| 5 L INE % | 7 P NS % | 9 P Python % ")</f>
        <v xml:space="preserve">| 5 L INE % | 7 P NS % | 9 P Python % </v>
      </c>
      <c r="BJ297" s="4" t="str">
        <f ca="1">IFERROR(__xludf.DUMMYFUNCTION("""COMPUTED_VALUE"""),"| 5 L CPT % | 6 L PHP-CGM % | 7 P JAVA % | 9 P CPT % ")</f>
        <v xml:space="preserve">| 5 L CPT % | 6 L PHP-CGM % | 7 P JAVA % | 9 P CPT % </v>
      </c>
      <c r="BK297" s="4" t="str">
        <f ca="1">IFERROR(__xludf.DUMMYFUNCTION("""COMPUTED_VALUE"""),"| 5 L JAVA % | 7 L PHP-CGM % | 8 L CPT % | 9 P PHP-CGM @ ")</f>
        <v xml:space="preserve">| 5 L JAVA % | 7 L PHP-CGM % | 8 L CPT % | 9 P PHP-CGM @ </v>
      </c>
      <c r="BL297" s="4" t="str">
        <f ca="1">IFERROR(__xludf.DUMMYFUNCTION("""COMPUTED_VALUE"""),"| 5 L PHP-CGM @ | 6 L CPT @ | 8 L NS % ")</f>
        <v xml:space="preserve">| 5 L PHP-CGM @ | 6 L CPT @ | 8 L NS % </v>
      </c>
      <c r="BM297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297" s="4" t="str">
        <f ca="1">IFERROR(__xludf.DUMMYFUNCTION("""COMPUTED_VALUE"""),"| 5 L INE @ | 7 P NS % | 9 P Python % ")</f>
        <v xml:space="preserve">| 5 L INE @ | 7 P NS % | 9 P Python % </v>
      </c>
      <c r="BO297" s="4" t="str">
        <f ca="1">IFERROR(__xludf.DUMMYFUNCTION("""COMPUTED_VALUE"""),"| 5 L CPT @ | 6 L PHP-CGM @ | 9 P CPT @ ")</f>
        <v xml:space="preserve">| 5 L CPT @ | 6 L PHP-CGM @ | 9 P CPT @ </v>
      </c>
      <c r="BP297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BQ297" s="4" t="str">
        <f ca="1">IFERROR(__xludf.DUMMYFUNCTION("""COMPUTED_VALUE"""),"| 5 L JAVA @ ")</f>
        <v xml:space="preserve">| 5 L JAVA @ </v>
      </c>
      <c r="BR297" s="4"/>
      <c r="BS297" s="4"/>
      <c r="BT297" s="4" t="str">
        <f ca="1">IFERROR(__xludf.DUMMYFUNCTION("""COMPUTED_VALUE"""),"| 7 L PHP-CGM % | 8 L CPT % ")</f>
        <v xml:space="preserve">| 7 L PHP-CGM % | 8 L CPT % </v>
      </c>
      <c r="BU297" s="4" t="str">
        <f ca="1">IFERROR(__xludf.DUMMYFUNCTION("""COMPUTED_VALUE"""),"| 8 L NS % ")</f>
        <v xml:space="preserve">| 8 L NS % </v>
      </c>
      <c r="BV297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297" s="4"/>
      <c r="BX297" s="4" t="str">
        <f ca="1">IFERROR(__xludf.DUMMYFUNCTION("""COMPUTED_VALUE"""),"| 5 L JAVA % | 6 L NS % | 7 L PRO % | 9 P Python % ")</f>
        <v xml:space="preserve">| 5 L JAVA % | 6 L NS % | 7 L PRO % | 9 P Python % </v>
      </c>
      <c r="BY297" s="4" t="str">
        <f ca="1">IFERROR(__xludf.DUMMYFUNCTION("""COMPUTED_VALUE"""),"| 5 L INE % | 7 P NS % | 9 P Python % ")</f>
        <v xml:space="preserve">| 5 L INE % | 7 P NS % | 9 P Python % </v>
      </c>
      <c r="BZ297" s="4" t="str">
        <f ca="1">IFERROR(__xludf.DUMMYFUNCTION("""COMPUTED_VALUE"""),"| 5 L CPT % | 6 L PHP-CGM % | 7 P JAVA % | 9 P CPT % ")</f>
        <v xml:space="preserve">| 5 L CPT % | 6 L PHP-CGM % | 7 P JAVA % | 9 P CPT % </v>
      </c>
      <c r="CA297" s="4" t="str">
        <f ca="1">IFERROR(__xludf.DUMMYFUNCTION("""COMPUTED_VALUE"""),"| 5 L JAVA % | 6 L JAVA % | 7 L PHP-CGM % | 8 L CPT % ")</f>
        <v xml:space="preserve">| 5 L JAVA % | 6 L JAVA % | 7 L PHP-CGM % | 8 L CPT % </v>
      </c>
      <c r="CB297" s="4" t="str">
        <f ca="1">IFERROR(__xludf.DUMMYFUNCTION("""COMPUTED_VALUE"""),"| 5 L PHP-CGM % | 6 L CPT % | 7 L NS % | 9 P JAVA % ")</f>
        <v xml:space="preserve">| 5 L PHP-CGM % | 6 L CPT % | 7 L NS % | 9 P JAVA % </v>
      </c>
      <c r="CC297" s="4" t="str">
        <f ca="1">IFERROR(__xludf.DUMMYFUNCTION("""COMPUTED_VALUE"""),"| 5 L JAVA % | 6 L NS % | 9 P Python % ")</f>
        <v xml:space="preserve">| 5 L JAVA % | 6 L NS % | 9 P Python % </v>
      </c>
      <c r="CD297" s="4" t="str">
        <f ca="1">IFERROR(__xludf.DUMMYFUNCTION("""COMPUTED_VALUE"""),"| 5 L INE % | 7 P NS % | 9 P Python % ")</f>
        <v xml:space="preserve">| 5 L INE % | 7 P NS % | 9 P Python % </v>
      </c>
      <c r="CE297" s="4" t="str">
        <f ca="1">IFERROR(__xludf.DUMMYFUNCTION("""COMPUTED_VALUE"""),"| 5 L CPT % | 6 L PHP-CGM % | 7 P JAVA % | 9 P CPT % ")</f>
        <v xml:space="preserve">| 5 L CPT % | 6 L PHP-CGM % | 7 P JAVA % | 9 P CPT % </v>
      </c>
      <c r="CF297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297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CH297" s="4" t="str">
        <f ca="1">IFERROR(__xludf.DUMMYFUNCTION("""COMPUTED_VALUE"""),"| 5 L JAVA % | 6 L NS % | 9 P Python % ")</f>
        <v xml:space="preserve">| 5 L JAVA % | 6 L NS % | 9 P Python % </v>
      </c>
      <c r="CI297" s="4" t="str">
        <f ca="1">IFERROR(__xludf.DUMMYFUNCTION("""COMPUTED_VALUE"""),"| 5 L INE % | 7 P NS % ")</f>
        <v xml:space="preserve">| 5 L INE % | 7 P NS % </v>
      </c>
      <c r="CJ297" s="4" t="str">
        <f ca="1">IFERROR(__xludf.DUMMYFUNCTION("""COMPUTED_VALUE"""),"| 5 L CPT % | 6 L PHP-CGM % | 9 P CPT % ")</f>
        <v xml:space="preserve">| 5 L CPT % | 6 L PHP-CGM % | 9 P CPT % </v>
      </c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</row>
    <row r="298" spans="1:102" ht="12.5" x14ac:dyDescent="0.25">
      <c r="A298" s="3">
        <f ca="1">IFERROR(__xludf.DUMMYFUNCTION("""COMPUTED_VALUE"""),2)</f>
        <v>2</v>
      </c>
      <c r="B298" s="3" t="str">
        <f ca="1">IFERROR(__xludf.DUMMYFUNCTION("""COMPUTED_VALUE"""),"D")</f>
        <v>D</v>
      </c>
      <c r="C298" s="32" t="str">
        <f ca="1">IFERROR(__xludf.DUMMYFUNCTION("""COMPUTED_VALUE"""),"23171341086")</f>
        <v>23171341086</v>
      </c>
      <c r="D298" s="4" t="str">
        <f ca="1">IFERROR(__xludf.DUMMYFUNCTION("""COMPUTED_VALUE"""),"PATEL HENIL PRADIPKUMAR")</f>
        <v>PATEL HENIL PRADIPKUMAR</v>
      </c>
      <c r="E298" s="3" t="str">
        <f ca="1">IFERROR(__xludf.DUMMYFUNCTION("""COMPUTED_VALUE"""),"ZPP - Eve")</f>
        <v>ZPP - Eve</v>
      </c>
      <c r="F298" s="3">
        <f ca="1">IFERROR(__xludf.DUMMYFUNCTION("""COMPUTED_VALUE"""),7016457722)</f>
        <v>7016457722</v>
      </c>
      <c r="G298" s="3">
        <f ca="1">IFERROR(__xludf.DUMMYFUNCTION("""COMPUTED_VALUE"""),7016457722)</f>
        <v>7016457722</v>
      </c>
      <c r="H298" s="33">
        <f ca="1">IFERROR(__xludf.DUMMYFUNCTION("""COMPUTED_VALUE"""),0.663865546218487)</f>
        <v>0.66386554621848703</v>
      </c>
      <c r="I298" s="25">
        <f ca="1">IFERROR(__xludf.DUMMYFUNCTION("""COMPUTED_VALUE"""),0.685714285714285)</f>
        <v>0.68571428571428505</v>
      </c>
      <c r="J298" s="25">
        <f ca="1">IFERROR(__xludf.DUMMYFUNCTION("""COMPUTED_VALUE"""),0.583333333333333)</f>
        <v>0.58333333333333304</v>
      </c>
      <c r="K298" s="25">
        <f ca="1">IFERROR(__xludf.DUMMYFUNCTION("""COMPUTED_VALUE"""),0.6875)</f>
        <v>0.6875</v>
      </c>
      <c r="L298" s="25">
        <f ca="1">IFERROR(__xludf.DUMMYFUNCTION("""COMPUTED_VALUE"""),0.833333333333333)</f>
        <v>0.83333333333333304</v>
      </c>
      <c r="M298" s="25">
        <f ca="1">IFERROR(__xludf.DUMMYFUNCTION("""COMPUTED_VALUE"""),0.666666666666666)</f>
        <v>0.66666666666666596</v>
      </c>
      <c r="N298" s="25">
        <f ca="1">IFERROR(__xludf.DUMMYFUNCTION("""COMPUTED_VALUE"""),0.636363636363636)</f>
        <v>0.63636363636363602</v>
      </c>
      <c r="O298" s="25">
        <f ca="1">IFERROR(__xludf.DUMMYFUNCTION("""COMPUTED_VALUE"""),0.638888888888888)</f>
        <v>0.63888888888888795</v>
      </c>
      <c r="P298" s="25">
        <f ca="1">IFERROR(__xludf.DUMMYFUNCTION("""COMPUTED_VALUE"""),0.736842105263157)</f>
        <v>0.73684210526315697</v>
      </c>
      <c r="Q298" s="25">
        <f ca="1">IFERROR(__xludf.DUMMYFUNCTION("""COMPUTED_VALUE"""),0)</f>
        <v>0</v>
      </c>
      <c r="R298" s="25">
        <f ca="1">IFERROR(__xludf.DUMMYFUNCTION("""COMPUTED_VALUE"""),0.571428571428571)</f>
        <v>0.57142857142857095</v>
      </c>
      <c r="S298" s="25">
        <f ca="1">IFERROR(__xludf.DUMMYFUNCTION("""COMPUTED_VALUE"""),0.692307692307692)</f>
        <v>0.69230769230769196</v>
      </c>
      <c r="T298" s="25">
        <f ca="1">IFERROR(__xludf.DUMMYFUNCTION("""COMPUTED_VALUE"""),1)</f>
        <v>1</v>
      </c>
      <c r="U298" s="25">
        <f ca="1">IFERROR(__xludf.DUMMYFUNCTION("""COMPUTED_VALUE"""),0.5)</f>
        <v>0.5</v>
      </c>
      <c r="V298" s="25">
        <f ca="1">IFERROR(__xludf.DUMMYFUNCTION("""COMPUTED_VALUE"""),0)</f>
        <v>0</v>
      </c>
      <c r="W298" s="4"/>
      <c r="X298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Y298" s="4" t="str">
        <f ca="1">IFERROR(__xludf.DUMMYFUNCTION("""COMPUTED_VALUE"""),"| 5 L PHP-CGM % | 6 L CPT % | 7 L NS % | 8 L JAVA % | 9 P JAVA @ ")</f>
        <v xml:space="preserve">| 5 L PHP-CGM % | 6 L CPT % | 7 L NS % | 8 L JAVA % | 9 P JAVA @ </v>
      </c>
      <c r="Z298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8" s="4" t="str">
        <f ca="1">IFERROR(__xludf.DUMMYFUNCTION("""COMPUTED_VALUE"""),"| 7 P NS % | 9 P Python % ")</f>
        <v xml:space="preserve">| 7 P NS % | 9 P Python % </v>
      </c>
      <c r="AB298" s="4" t="str">
        <f ca="1">IFERROR(__xludf.DUMMYFUNCTION("""COMPUTED_VALUE"""),"| 5 L JAVA % | 6 L PHP-CGM % | 7 P JAVA % | 9 P CPT @ ")</f>
        <v xml:space="preserve">| 5 L JAVA % | 6 L PHP-CGM % | 7 P JAVA % | 9 P CPT @ </v>
      </c>
      <c r="AC298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8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8" s="4" t="str">
        <f ca="1">IFERROR(__xludf.DUMMYFUNCTION("""COMPUTED_VALUE"""),"| 5 L JAVA % | 6 L NS % | 7 L PRO % | 9 P Python @ ")</f>
        <v xml:space="preserve">| 5 L JAVA % | 6 L NS % | 7 L PRO % | 9 P Python @ </v>
      </c>
      <c r="AF298" s="4" t="str">
        <f ca="1">IFERROR(__xludf.DUMMYFUNCTION("""COMPUTED_VALUE"""),"| 7 P NS % | 9 P Python % ")</f>
        <v xml:space="preserve">| 7 P NS % | 9 P Python % </v>
      </c>
      <c r="AG298" s="4" t="str">
        <f ca="1">IFERROR(__xludf.DUMMYFUNCTION("""COMPUTED_VALUE"""),"| 5 L CPT % | 6 L PHP-CGM % | 7 P JAVA % | 9 P CPT % ")</f>
        <v xml:space="preserve">| 5 L CPT % | 6 L PHP-CGM % | 7 P JAVA % | 9 P CPT % </v>
      </c>
      <c r="AH298" s="4" t="str">
        <f ca="1">IFERROR(__xludf.DUMMYFUNCTION("""COMPUTED_VALUE"""),"| 7 P NS % | 9 P Python % ")</f>
        <v xml:space="preserve">| 7 P NS % | 9 P Python % </v>
      </c>
      <c r="AI298" s="4" t="str">
        <f ca="1">IFERROR(__xludf.DUMMYFUNCTION("""COMPUTED_VALUE"""),"| 5 L CPT % | 6 L PHP-CGM % | 7 P JAVA % | 9 P CPT % ")</f>
        <v xml:space="preserve">| 5 L CPT % | 6 L PHP-CGM % | 7 P JAVA % | 9 P CPT % </v>
      </c>
      <c r="AJ298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98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298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8" s="4" t="str">
        <f ca="1">IFERROR(__xludf.DUMMYFUNCTION("""COMPUTED_VALUE"""),"| 5 L INE @ | 7 P NS % | 9 P Python % ")</f>
        <v xml:space="preserve">| 5 L INE @ | 7 P NS % | 9 P Python % </v>
      </c>
      <c r="AN298" s="4" t="str">
        <f ca="1">IFERROR(__xludf.DUMMYFUNCTION("""COMPUTED_VALUE"""),"| 5 L CPT @ | 6 L PHP-CGM @ | 7 P JAVA @ | 9 P CPT @ ")</f>
        <v xml:space="preserve">| 5 L CPT @ | 6 L PHP-CGM @ | 7 P JAVA @ | 9 P CPT @ </v>
      </c>
      <c r="AO298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8" s="4" t="str">
        <f ca="1">IFERROR(__xludf.DUMMYFUNCTION("""COMPUTED_VALUE"""),"| 5 L PHP-CGM % | 6 L CPT % | 7 L JAVA % | 7 L NS % ")</f>
        <v xml:space="preserve">| 5 L PHP-CGM % | 6 L CPT % | 7 L JAVA % | 7 L NS % </v>
      </c>
      <c r="AQ298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298" s="4" t="str">
        <f ca="1">IFERROR(__xludf.DUMMYFUNCTION("""COMPUTED_VALUE"""),"| 5 L INE % ")</f>
        <v xml:space="preserve">| 5 L INE % </v>
      </c>
      <c r="AS29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8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8" s="4" t="str">
        <f ca="1">IFERROR(__xludf.DUMMYFUNCTION("""COMPUTED_VALUE"""),"| 5 L JAVA % | 6 L NS % | 7 P PRO % | 9 P Python % ")</f>
        <v xml:space="preserve">| 5 L JAVA % | 6 L NS % | 7 P PRO % | 9 P Python % </v>
      </c>
      <c r="AV298" s="4" t="str">
        <f ca="1">IFERROR(__xludf.DUMMYFUNCTION("""COMPUTED_VALUE"""),"| 5 L INE % | 7 P NS % | 9 P Python @ ")</f>
        <v xml:space="preserve">| 5 L INE % | 7 P NS % | 9 P Python @ </v>
      </c>
      <c r="AW298" s="4" t="str">
        <f ca="1">IFERROR(__xludf.DUMMYFUNCTION("""COMPUTED_VALUE"""),"| 5 L CPT % | 6 L PHP-CGM % | 7 P JAVA % | 9 P CPT % ")</f>
        <v xml:space="preserve">| 5 L CPT % | 6 L PHP-CGM % | 7 P JAVA % | 9 P CPT % </v>
      </c>
      <c r="AX298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98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8" s="4" t="str">
        <f ca="1">IFERROR(__xludf.DUMMYFUNCTION("""COMPUTED_VALUE"""),"| 5 L INE % | 7 P NS % ")</f>
        <v xml:space="preserve">| 5 L INE % | 7 P NS % </v>
      </c>
      <c r="BA298" s="4" t="str">
        <f ca="1">IFERROR(__xludf.DUMMYFUNCTION("""COMPUTED_VALUE"""),"| 5 L CPT % | 6 L PHP-CGM % | 7 P JAVA % | 9 P CPT % ")</f>
        <v xml:space="preserve">| 5 L CPT % | 6 L PHP-CGM % | 7 P JAVA % | 9 P CPT % </v>
      </c>
      <c r="BB29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8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D298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E298" s="4" t="str">
        <f ca="1">IFERROR(__xludf.DUMMYFUNCTION("""COMPUTED_VALUE"""),"| 5 L INE % | 7 P NS % | 9 P Python % ")</f>
        <v xml:space="preserve">| 5 L INE % | 7 P NS % | 9 P Python % </v>
      </c>
      <c r="BF298" s="4" t="str">
        <f ca="1">IFERROR(__xludf.DUMMYFUNCTION("""COMPUTED_VALUE"""),"| 5 L CPT % | 6 L PHP-CGM % | 7 P JAVA % | 9 P CPT % ")</f>
        <v xml:space="preserve">| 5 L CPT % | 6 L PHP-CGM % | 7 P JAVA % | 9 P CPT % </v>
      </c>
      <c r="BG298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98" s="4" t="str">
        <f ca="1">IFERROR(__xludf.DUMMYFUNCTION("""COMPUTED_VALUE"""),"| 5 L JAVA @ | 6 L NS @ | 7 L PRO @ | 9 P Python @ ")</f>
        <v xml:space="preserve">| 5 L JAVA @ | 6 L NS @ | 7 L PRO @ | 9 P Python @ </v>
      </c>
      <c r="BI298" s="4" t="str">
        <f ca="1">IFERROR(__xludf.DUMMYFUNCTION("""COMPUTED_VALUE"""),"| 5 L INE @ | 7 P NS % | 9 P Python @ ")</f>
        <v xml:space="preserve">| 5 L INE @ | 7 P NS % | 9 P Python @ </v>
      </c>
      <c r="BJ298" s="4" t="str">
        <f ca="1">IFERROR(__xludf.DUMMYFUNCTION("""COMPUTED_VALUE"""),"| 5 L CPT @ | 6 L PHP-CGM @ | 7 P JAVA % | 9 P CPT % ")</f>
        <v xml:space="preserve">| 5 L CPT @ | 6 L PHP-CGM @ | 7 P JAVA % | 9 P CPT % </v>
      </c>
      <c r="BK298" s="4" t="str">
        <f ca="1">IFERROR(__xludf.DUMMYFUNCTION("""COMPUTED_VALUE"""),"| 5 L JAVA @ | 7 L PHP-CGM @ | 8 L CPT @ | 9 P PHP-CGM @ ")</f>
        <v xml:space="preserve">| 5 L JAVA @ | 7 L PHP-CGM @ | 8 L CPT @ | 9 P PHP-CGM @ </v>
      </c>
      <c r="BL298" s="4" t="str">
        <f ca="1">IFERROR(__xludf.DUMMYFUNCTION("""COMPUTED_VALUE"""),"| 5 L PHP-CGM % | 6 L CPT % | 8 L NS @ ")</f>
        <v xml:space="preserve">| 5 L PHP-CGM % | 6 L CPT % | 8 L NS @ </v>
      </c>
      <c r="BM298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298" s="4" t="str">
        <f ca="1">IFERROR(__xludf.DUMMYFUNCTION("""COMPUTED_VALUE"""),"| 5 L INE @ | 7 P NS @ | 9 P Python @ ")</f>
        <v xml:space="preserve">| 5 L INE @ | 7 P NS @ | 9 P Python @ </v>
      </c>
      <c r="BO298" s="4" t="str">
        <f ca="1">IFERROR(__xludf.DUMMYFUNCTION("""COMPUTED_VALUE"""),"| 5 L CPT % | 6 L PHP-CGM % | 9 P CPT @ ")</f>
        <v xml:space="preserve">| 5 L CPT % | 6 L PHP-CGM % | 9 P CPT @ </v>
      </c>
      <c r="BP298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BQ298" s="4" t="str">
        <f ca="1">IFERROR(__xludf.DUMMYFUNCTION("""COMPUTED_VALUE"""),"| 5 L JAVA @ ")</f>
        <v xml:space="preserve">| 5 L JAVA @ </v>
      </c>
      <c r="BR298" s="4"/>
      <c r="BS298" s="4"/>
      <c r="BT298" s="4" t="str">
        <f ca="1">IFERROR(__xludf.DUMMYFUNCTION("""COMPUTED_VALUE"""),"| 7 L PHP-CGM % | 8 L CPT % ")</f>
        <v xml:space="preserve">| 7 L PHP-CGM % | 8 L CPT % </v>
      </c>
      <c r="BU298" s="4" t="str">
        <f ca="1">IFERROR(__xludf.DUMMYFUNCTION("""COMPUTED_VALUE"""),"| 8 L NS @ ")</f>
        <v xml:space="preserve">| 8 L NS @ </v>
      </c>
      <c r="BV298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298" s="4"/>
      <c r="BX298" s="4" t="str">
        <f ca="1">IFERROR(__xludf.DUMMYFUNCTION("""COMPUTED_VALUE"""),"| 5 L JAVA @ | 6 L NS @ | 7 L PRO @ | 9 P Python @ ")</f>
        <v xml:space="preserve">| 5 L JAVA @ | 6 L NS @ | 7 L PRO @ | 9 P Python @ </v>
      </c>
      <c r="BY298" s="4" t="str">
        <f ca="1">IFERROR(__xludf.DUMMYFUNCTION("""COMPUTED_VALUE"""),"| 5 L INE % | 7 P NS % | 9 P Python % ")</f>
        <v xml:space="preserve">| 5 L INE % | 7 P NS % | 9 P Python % </v>
      </c>
      <c r="BZ298" s="4" t="str">
        <f ca="1">IFERROR(__xludf.DUMMYFUNCTION("""COMPUTED_VALUE"""),"| 5 L CPT % | 6 L PHP-CGM % | 7 P JAVA % | 9 P CPT % ")</f>
        <v xml:space="preserve">| 5 L CPT % | 6 L PHP-CGM % | 7 P JAVA % | 9 P CPT % </v>
      </c>
      <c r="CA298" s="4" t="str">
        <f ca="1">IFERROR(__xludf.DUMMYFUNCTION("""COMPUTED_VALUE"""),"| 5 L JAVA @ | 6 L JAVA @ | 7 L PHP-CGM @ | 8 L CPT @ ")</f>
        <v xml:space="preserve">| 5 L JAVA @ | 6 L JAVA @ | 7 L PHP-CGM @ | 8 L CPT @ </v>
      </c>
      <c r="CB298" s="4" t="str">
        <f ca="1">IFERROR(__xludf.DUMMYFUNCTION("""COMPUTED_VALUE"""),"| 5 L PHP-CGM @ | 6 L CPT @ | 7 L NS @ | 9 P JAVA @ ")</f>
        <v xml:space="preserve">| 5 L PHP-CGM @ | 6 L CPT @ | 7 L NS @ | 9 P JAVA @ </v>
      </c>
      <c r="CC298" s="4" t="str">
        <f ca="1">IFERROR(__xludf.DUMMYFUNCTION("""COMPUTED_VALUE"""),"| 5 L JAVA @ | 6 L NS @ | 9 P Python @ ")</f>
        <v xml:space="preserve">| 5 L JAVA @ | 6 L NS @ | 9 P Python @ </v>
      </c>
      <c r="CD298" s="4" t="str">
        <f ca="1">IFERROR(__xludf.DUMMYFUNCTION("""COMPUTED_VALUE"""),"| 5 L INE @ | 7 P NS @ | 9 P Python @ ")</f>
        <v xml:space="preserve">| 5 L INE @ | 7 P NS @ | 9 P Python @ </v>
      </c>
      <c r="CE298" s="4" t="str">
        <f ca="1">IFERROR(__xludf.DUMMYFUNCTION("""COMPUTED_VALUE"""),"| 5 L CPT @ | 6 L PHP-CGM @ | 7 P JAVA @ | 9 P CPT @ ")</f>
        <v xml:space="preserve">| 5 L CPT @ | 6 L PHP-CGM @ | 7 P JAVA @ | 9 P CPT @ </v>
      </c>
      <c r="CF298" s="4" t="str">
        <f ca="1">IFERROR(__xludf.DUMMYFUNCTION("""COMPUTED_VALUE"""),"| 5 L JAVA @ | 6 L NS @ | 7 L PHP-CGM @ | 8 L CPT @ | 9 P PHP-CGM % ")</f>
        <v xml:space="preserve">| 5 L JAVA @ | 6 L NS @ | 7 L PHP-CGM @ | 8 L CPT @ | 9 P PHP-CGM % </v>
      </c>
      <c r="CG298" s="4" t="str">
        <f ca="1">IFERROR(__xludf.DUMMYFUNCTION("""COMPUTED_VALUE"""),"| 5 L PHP-CGM @ | 6 L CPT @ | 7 L JAVA @ | 8 L NS % | 9 P JAVA % ")</f>
        <v xml:space="preserve">| 5 L PHP-CGM @ | 6 L CPT @ | 7 L JAVA @ | 8 L NS % | 9 P JAVA % </v>
      </c>
      <c r="CH298" s="4" t="str">
        <f ca="1">IFERROR(__xludf.DUMMYFUNCTION("""COMPUTED_VALUE"""),"| 5 L JAVA @ | 6 L NS % | 9 P Python % ")</f>
        <v xml:space="preserve">| 5 L JAVA @ | 6 L NS % | 9 P Python % </v>
      </c>
      <c r="CI298" s="4" t="str">
        <f ca="1">IFERROR(__xludf.DUMMYFUNCTION("""COMPUTED_VALUE"""),"| 5 L INE @ | 7 P NS % ")</f>
        <v xml:space="preserve">| 5 L INE @ | 7 P NS % </v>
      </c>
      <c r="CJ298" s="4" t="str">
        <f ca="1">IFERROR(__xludf.DUMMYFUNCTION("""COMPUTED_VALUE"""),"| 5 L CPT % | 6 L PHP-CGM @ | 9 P CPT @ ")</f>
        <v xml:space="preserve">| 5 L CPT % | 6 L PHP-CGM @ | 9 P CPT @ </v>
      </c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</row>
    <row r="299" spans="1:102" ht="12.5" x14ac:dyDescent="0.25">
      <c r="A299" s="3">
        <f ca="1">IFERROR(__xludf.DUMMYFUNCTION("""COMPUTED_VALUE"""),2)</f>
        <v>2</v>
      </c>
      <c r="B299" s="3" t="str">
        <f ca="1">IFERROR(__xludf.DUMMYFUNCTION("""COMPUTED_VALUE"""),"D")</f>
        <v>D</v>
      </c>
      <c r="C299" s="32" t="str">
        <f ca="1">IFERROR(__xludf.DUMMYFUNCTION("""COMPUTED_VALUE"""),"23171341088")</f>
        <v>23171341088</v>
      </c>
      <c r="D299" s="4" t="str">
        <f ca="1">IFERROR(__xludf.DUMMYFUNCTION("""COMPUTED_VALUE"""),"PATEL HET NILESHKUMAR")</f>
        <v>PATEL HET NILESHKUMAR</v>
      </c>
      <c r="E299" s="3" t="str">
        <f ca="1">IFERROR(__xludf.DUMMYFUNCTION("""COMPUTED_VALUE"""),"ZPP - Eve")</f>
        <v>ZPP - Eve</v>
      </c>
      <c r="F299" s="3">
        <f ca="1">IFERROR(__xludf.DUMMYFUNCTION("""COMPUTED_VALUE"""),9081911504)</f>
        <v>9081911504</v>
      </c>
      <c r="G299" s="3">
        <f ca="1">IFERROR(__xludf.DUMMYFUNCTION("""COMPUTED_VALUE"""),9909536791)</f>
        <v>9909536791</v>
      </c>
      <c r="H299" s="33">
        <f ca="1">IFERROR(__xludf.DUMMYFUNCTION("""COMPUTED_VALUE"""),0.836134453781512)</f>
        <v>0.83613445378151197</v>
      </c>
      <c r="I299" s="25">
        <f ca="1">IFERROR(__xludf.DUMMYFUNCTION("""COMPUTED_VALUE"""),0.885714285714285)</f>
        <v>0.88571428571428501</v>
      </c>
      <c r="J299" s="25">
        <f ca="1">IFERROR(__xludf.DUMMYFUNCTION("""COMPUTED_VALUE"""),0.75)</f>
        <v>0.75</v>
      </c>
      <c r="K299" s="25">
        <f ca="1">IFERROR(__xludf.DUMMYFUNCTION("""COMPUTED_VALUE"""),0.875)</f>
        <v>0.875</v>
      </c>
      <c r="L299" s="25">
        <f ca="1">IFERROR(__xludf.DUMMYFUNCTION("""COMPUTED_VALUE"""),0.916666666666666)</f>
        <v>0.91666666666666596</v>
      </c>
      <c r="M299" s="25">
        <f ca="1">IFERROR(__xludf.DUMMYFUNCTION("""COMPUTED_VALUE"""),0.888888888888888)</f>
        <v>0.88888888888888795</v>
      </c>
      <c r="N299" s="25">
        <f ca="1">IFERROR(__xludf.DUMMYFUNCTION("""COMPUTED_VALUE"""),0.636363636363636)</f>
        <v>0.63636363636363602</v>
      </c>
      <c r="O299" s="25">
        <f ca="1">IFERROR(__xludf.DUMMYFUNCTION("""COMPUTED_VALUE"""),0.861111111111111)</f>
        <v>0.86111111111111105</v>
      </c>
      <c r="P299" s="25">
        <f ca="1">IFERROR(__xludf.DUMMYFUNCTION("""COMPUTED_VALUE"""),0.842105263157894)</f>
        <v>0.84210526315789402</v>
      </c>
      <c r="Q299" s="25">
        <f ca="1">IFERROR(__xludf.DUMMYFUNCTION("""COMPUTED_VALUE"""),0)</f>
        <v>0</v>
      </c>
      <c r="R299" s="25">
        <f ca="1">IFERROR(__xludf.DUMMYFUNCTION("""COMPUTED_VALUE"""),0.619047619047619)</f>
        <v>0.61904761904761896</v>
      </c>
      <c r="S299" s="25">
        <f ca="1">IFERROR(__xludf.DUMMYFUNCTION("""COMPUTED_VALUE"""),0.923076923076923)</f>
        <v>0.92307692307692302</v>
      </c>
      <c r="T299" s="25">
        <f ca="1">IFERROR(__xludf.DUMMYFUNCTION("""COMPUTED_VALUE"""),1)</f>
        <v>1</v>
      </c>
      <c r="U299" s="25">
        <f ca="1">IFERROR(__xludf.DUMMYFUNCTION("""COMPUTED_VALUE"""),0.8)</f>
        <v>0.8</v>
      </c>
      <c r="V299" s="25">
        <f ca="1">IFERROR(__xludf.DUMMYFUNCTION("""COMPUTED_VALUE"""),0)</f>
        <v>0</v>
      </c>
      <c r="W299" s="4"/>
      <c r="X299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299" s="4" t="str">
        <f ca="1">IFERROR(__xludf.DUMMYFUNCTION("""COMPUTED_VALUE"""),"| 5 L PHP-CGM % | 6 L CPT % | 7 L NS % | 8 L JAVA % | 9 P JAVA @ ")</f>
        <v xml:space="preserve">| 5 L PHP-CGM % | 6 L CPT % | 7 L NS % | 8 L JAVA % | 9 P JAVA @ </v>
      </c>
      <c r="Z299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299" s="4" t="str">
        <f ca="1">IFERROR(__xludf.DUMMYFUNCTION("""COMPUTED_VALUE"""),"| 7 P NS % | 9 P Python % ")</f>
        <v xml:space="preserve">| 7 P NS % | 9 P Python % </v>
      </c>
      <c r="AB299" s="4" t="str">
        <f ca="1">IFERROR(__xludf.DUMMYFUNCTION("""COMPUTED_VALUE"""),"| 5 L JAVA % | 6 L PHP-CGM % | 7 P JAVA % | 9 P CPT @ ")</f>
        <v xml:space="preserve">| 5 L JAVA % | 6 L PHP-CGM % | 7 P JAVA % | 9 P CPT @ </v>
      </c>
      <c r="AC299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299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299" s="4" t="str">
        <f ca="1">IFERROR(__xludf.DUMMYFUNCTION("""COMPUTED_VALUE"""),"| 5 L JAVA % | 6 L NS % | 7 L PRO % | 9 P Python @ ")</f>
        <v xml:space="preserve">| 5 L JAVA % | 6 L NS % | 7 L PRO % | 9 P Python @ </v>
      </c>
      <c r="AF299" s="4" t="str">
        <f ca="1">IFERROR(__xludf.DUMMYFUNCTION("""COMPUTED_VALUE"""),"| 7 P NS % | 9 P Python % ")</f>
        <v xml:space="preserve">| 7 P NS % | 9 P Python % </v>
      </c>
      <c r="AG299" s="4" t="str">
        <f ca="1">IFERROR(__xludf.DUMMYFUNCTION("""COMPUTED_VALUE"""),"| 5 L CPT % | 6 L PHP-CGM % | 7 P JAVA % | 9 P CPT % ")</f>
        <v xml:space="preserve">| 5 L CPT % | 6 L PHP-CGM % | 7 P JAVA % | 9 P CPT % </v>
      </c>
      <c r="AH299" s="4" t="str">
        <f ca="1">IFERROR(__xludf.DUMMYFUNCTION("""COMPUTED_VALUE"""),"| 7 P NS % | 9 P Python % ")</f>
        <v xml:space="preserve">| 7 P NS % | 9 P Python % </v>
      </c>
      <c r="AI299" s="4" t="str">
        <f ca="1">IFERROR(__xludf.DUMMYFUNCTION("""COMPUTED_VALUE"""),"| 5 L CPT % | 6 L PHP-CGM % | 7 P JAVA % | 9 P CPT % ")</f>
        <v xml:space="preserve">| 5 L CPT % | 6 L PHP-CGM % | 7 P JAVA % | 9 P CPT % </v>
      </c>
      <c r="AJ299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299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299" s="4" t="str">
        <f ca="1">IFERROR(__xludf.DUMMYFUNCTION("""COMPUTED_VALUE"""),"| 6 L NS % | 7 L NS % | 7 L PRO % | 8 L PRO % | 9 P Python % ")</f>
        <v xml:space="preserve">| 6 L NS % | 7 L NS % | 7 L PRO % | 8 L PRO % | 9 P Python % </v>
      </c>
      <c r="AM299" s="4" t="str">
        <f ca="1">IFERROR(__xludf.DUMMYFUNCTION("""COMPUTED_VALUE"""),"| 5 L INE % | 7 P NS % | 9 P Python % ")</f>
        <v xml:space="preserve">| 5 L INE % | 7 P NS % | 9 P Python % </v>
      </c>
      <c r="AN299" s="4" t="str">
        <f ca="1">IFERROR(__xludf.DUMMYFUNCTION("""COMPUTED_VALUE"""),"| 5 L CPT % | 6 L PHP-CGM % | 7 P JAVA @ | 9 P CPT @ ")</f>
        <v xml:space="preserve">| 5 L CPT % | 6 L PHP-CGM % | 7 P JAVA @ | 9 P CPT @ </v>
      </c>
      <c r="AO299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299" s="4" t="str">
        <f ca="1">IFERROR(__xludf.DUMMYFUNCTION("""COMPUTED_VALUE"""),"| 5 L PHP-CGM % | 6 L CPT % | 7 L JAVA % | 7 L NS % ")</f>
        <v xml:space="preserve">| 5 L PHP-CGM % | 6 L CPT % | 7 L JAVA % | 7 L NS % </v>
      </c>
      <c r="AQ299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AR299" s="4" t="str">
        <f ca="1">IFERROR(__xludf.DUMMYFUNCTION("""COMPUTED_VALUE"""),"| 5 L INE % ")</f>
        <v xml:space="preserve">| 5 L INE % </v>
      </c>
      <c r="AS299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299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299" s="4" t="str">
        <f ca="1">IFERROR(__xludf.DUMMYFUNCTION("""COMPUTED_VALUE"""),"| 5 L JAVA % | 6 L NS % | 7 P PRO % | 9 P Python % ")</f>
        <v xml:space="preserve">| 5 L JAVA % | 6 L NS % | 7 P PRO % | 9 P Python % </v>
      </c>
      <c r="AV299" s="4" t="str">
        <f ca="1">IFERROR(__xludf.DUMMYFUNCTION("""COMPUTED_VALUE"""),"| 5 L INE % | 7 P NS % | 9 P Python @ ")</f>
        <v xml:space="preserve">| 5 L INE % | 7 P NS % | 9 P Python @ </v>
      </c>
      <c r="AW299" s="4" t="str">
        <f ca="1">IFERROR(__xludf.DUMMYFUNCTION("""COMPUTED_VALUE"""),"| 5 L CPT % | 6 L PHP-CGM % | 7 P JAVA % | 9 P CPT % ")</f>
        <v xml:space="preserve">| 5 L CPT % | 6 L PHP-CGM % | 7 P JAVA % | 9 P CPT % </v>
      </c>
      <c r="AX299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299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299" s="4" t="str">
        <f ca="1">IFERROR(__xludf.DUMMYFUNCTION("""COMPUTED_VALUE"""),"| 5 L INE % | 7 P NS % ")</f>
        <v xml:space="preserve">| 5 L INE % | 7 P NS % </v>
      </c>
      <c r="BA299" s="4" t="str">
        <f ca="1">IFERROR(__xludf.DUMMYFUNCTION("""COMPUTED_VALUE"""),"| 5 L CPT % | 6 L PHP-CGM % | 7 P JAVA % | 9 P CPT % ")</f>
        <v xml:space="preserve">| 5 L CPT % | 6 L PHP-CGM % | 7 P JAVA % | 9 P CPT % </v>
      </c>
      <c r="BB299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299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D299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E299" s="4" t="str">
        <f ca="1">IFERROR(__xludf.DUMMYFUNCTION("""COMPUTED_VALUE"""),"| 5 L INE % | 7 P NS % | 9 P Python % ")</f>
        <v xml:space="preserve">| 5 L INE % | 7 P NS % | 9 P Python % </v>
      </c>
      <c r="BF299" s="4" t="str">
        <f ca="1">IFERROR(__xludf.DUMMYFUNCTION("""COMPUTED_VALUE"""),"| 5 L CPT % | 6 L PHP-CGM % | 7 P JAVA % | 9 P CPT % ")</f>
        <v xml:space="preserve">| 5 L CPT % | 6 L PHP-CGM % | 7 P JAVA % | 9 P CPT % </v>
      </c>
      <c r="BG299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299" s="4" t="str">
        <f ca="1">IFERROR(__xludf.DUMMYFUNCTION("""COMPUTED_VALUE"""),"| 5 L JAVA % | 6 L NS % | 7 L PRO % | 9 P Python @ ")</f>
        <v xml:space="preserve">| 5 L JAVA % | 6 L NS % | 7 L PRO % | 9 P Python @ </v>
      </c>
      <c r="BI299" s="4" t="str">
        <f ca="1">IFERROR(__xludf.DUMMYFUNCTION("""COMPUTED_VALUE"""),"| 5 L INE @ | 7 P NS @ | 9 P Python @ ")</f>
        <v xml:space="preserve">| 5 L INE @ | 7 P NS @ | 9 P Python @ </v>
      </c>
      <c r="BJ299" s="4" t="str">
        <f ca="1">IFERROR(__xludf.DUMMYFUNCTION("""COMPUTED_VALUE"""),"| 5 L CPT % | 6 L PHP-CGM % | 7 P JAVA % | 9 P CPT % ")</f>
        <v xml:space="preserve">| 5 L CPT % | 6 L PHP-CGM % | 7 P JAVA % | 9 P CPT % </v>
      </c>
      <c r="BK299" s="4" t="str">
        <f ca="1">IFERROR(__xludf.DUMMYFUNCTION("""COMPUTED_VALUE"""),"| 5 L JAVA % | 7 L PHP-CGM % | 8 L CPT % | 9 P PHP-CGM @ ")</f>
        <v xml:space="preserve">| 5 L JAVA % | 7 L PHP-CGM % | 8 L CPT % | 9 P PHP-CGM @ </v>
      </c>
      <c r="BL299" s="4" t="str">
        <f ca="1">IFERROR(__xludf.DUMMYFUNCTION("""COMPUTED_VALUE"""),"| 5 L PHP-CGM % | 6 L CPT % | 8 L NS % ")</f>
        <v xml:space="preserve">| 5 L PHP-CGM % | 6 L CPT % | 8 L NS % </v>
      </c>
      <c r="BM299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299" s="4" t="str">
        <f ca="1">IFERROR(__xludf.DUMMYFUNCTION("""COMPUTED_VALUE"""),"| 5 L INE % | 7 P NS % | 9 P Python % ")</f>
        <v xml:space="preserve">| 5 L INE % | 7 P NS % | 9 P Python % </v>
      </c>
      <c r="BO299" s="4" t="str">
        <f ca="1">IFERROR(__xludf.DUMMYFUNCTION("""COMPUTED_VALUE"""),"| 5 L CPT @ | 6 L PHP-CGM @ | 9 P CPT @ ")</f>
        <v xml:space="preserve">| 5 L CPT @ | 6 L PHP-CGM @ | 9 P CPT @ </v>
      </c>
      <c r="BP299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BQ299" s="4" t="str">
        <f ca="1">IFERROR(__xludf.DUMMYFUNCTION("""COMPUTED_VALUE"""),"| 5 L JAVA @ ")</f>
        <v xml:space="preserve">| 5 L JAVA @ </v>
      </c>
      <c r="BR299" s="4"/>
      <c r="BS299" s="4"/>
      <c r="BT299" s="4" t="str">
        <f ca="1">IFERROR(__xludf.DUMMYFUNCTION("""COMPUTED_VALUE"""),"| 7 L PHP-CGM % | 8 L CPT % ")</f>
        <v xml:space="preserve">| 7 L PHP-CGM % | 8 L CPT % </v>
      </c>
      <c r="BU299" s="4" t="str">
        <f ca="1">IFERROR(__xludf.DUMMYFUNCTION("""COMPUTED_VALUE"""),"| 8 L NS @ ")</f>
        <v xml:space="preserve">| 8 L NS @ </v>
      </c>
      <c r="BV299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BW299" s="4"/>
      <c r="BX299" s="4" t="str">
        <f ca="1">IFERROR(__xludf.DUMMYFUNCTION("""COMPUTED_VALUE"""),"| 5 L JAVA @ | 6 L NS @ | 7 L PRO @ | 9 P Python @ ")</f>
        <v xml:space="preserve">| 5 L JAVA @ | 6 L NS @ | 7 L PRO @ | 9 P Python @ </v>
      </c>
      <c r="BY299" s="4" t="str">
        <f ca="1">IFERROR(__xludf.DUMMYFUNCTION("""COMPUTED_VALUE"""),"| 5 L INE % | 7 P NS % | 9 P Python % ")</f>
        <v xml:space="preserve">| 5 L INE % | 7 P NS % | 9 P Python % </v>
      </c>
      <c r="BZ299" s="4" t="str">
        <f ca="1">IFERROR(__xludf.DUMMYFUNCTION("""COMPUTED_VALUE"""),"| 5 L CPT % | 6 L PHP-CGM % | 7 P JAVA % | 9 P CPT % ")</f>
        <v xml:space="preserve">| 5 L CPT % | 6 L PHP-CGM % | 7 P JAVA % | 9 P CPT % </v>
      </c>
      <c r="CA299" s="4" t="str">
        <f ca="1">IFERROR(__xludf.DUMMYFUNCTION("""COMPUTED_VALUE"""),"| 5 L JAVA % | 6 L JAVA % | 7 L PHP-CGM % | 8 L CPT % ")</f>
        <v xml:space="preserve">| 5 L JAVA % | 6 L JAVA % | 7 L PHP-CGM % | 8 L CPT % </v>
      </c>
      <c r="CB299" s="4" t="str">
        <f ca="1">IFERROR(__xludf.DUMMYFUNCTION("""COMPUTED_VALUE"""),"| 5 L PHP-CGM % | 6 L CPT % | 7 L NS % | 9 P JAVA % ")</f>
        <v xml:space="preserve">| 5 L PHP-CGM % | 6 L CPT % | 7 L NS % | 9 P JAVA % </v>
      </c>
      <c r="CC299" s="4" t="str">
        <f ca="1">IFERROR(__xludf.DUMMYFUNCTION("""COMPUTED_VALUE"""),"| 5 L JAVA @ | 6 L NS @ | 9 P Python @ ")</f>
        <v xml:space="preserve">| 5 L JAVA @ | 6 L NS @ | 9 P Python @ </v>
      </c>
      <c r="CD299" s="4" t="str">
        <f ca="1">IFERROR(__xludf.DUMMYFUNCTION("""COMPUTED_VALUE"""),"| 5 L INE % | 7 P NS % | 9 P Python % ")</f>
        <v xml:space="preserve">| 5 L INE % | 7 P NS % | 9 P Python % </v>
      </c>
      <c r="CE299" s="4" t="str">
        <f ca="1">IFERROR(__xludf.DUMMYFUNCTION("""COMPUTED_VALUE"""),"| 5 L CPT % | 6 L PHP-CGM % | 7 P JAVA % | 9 P CPT % ")</f>
        <v xml:space="preserve">| 5 L CPT % | 6 L PHP-CGM % | 7 P JAVA % | 9 P CPT % </v>
      </c>
      <c r="CF299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299" s="4" t="str">
        <f ca="1">IFERROR(__xludf.DUMMYFUNCTION("""COMPUTED_VALUE"""),"| 5 L PHP-CGM @ | 6 L CPT @ | 7 L JAVA % | 8 L NS % | 9 P JAVA % ")</f>
        <v xml:space="preserve">| 5 L PHP-CGM @ | 6 L CPT @ | 7 L JAVA % | 8 L NS % | 9 P JAVA % </v>
      </c>
      <c r="CH299" s="4" t="str">
        <f ca="1">IFERROR(__xludf.DUMMYFUNCTION("""COMPUTED_VALUE"""),"| 5 L JAVA @ | 6 L NS % | 9 P Python % ")</f>
        <v xml:space="preserve">| 5 L JAVA @ | 6 L NS % | 9 P Python % </v>
      </c>
      <c r="CI299" s="4" t="str">
        <f ca="1">IFERROR(__xludf.DUMMYFUNCTION("""COMPUTED_VALUE"""),"| 5 L INE @ | 7 P NS % ")</f>
        <v xml:space="preserve">| 5 L INE @ | 7 P NS % </v>
      </c>
      <c r="CJ299" s="4" t="str">
        <f ca="1">IFERROR(__xludf.DUMMYFUNCTION("""COMPUTED_VALUE"""),"| 5 L CPT % | 6 L PHP-CGM % | 9 P CPT % ")</f>
        <v xml:space="preserve">| 5 L CPT % | 6 L PHP-CGM % | 9 P CPT % </v>
      </c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</row>
    <row r="300" spans="1:102" ht="12.5" x14ac:dyDescent="0.25">
      <c r="A300" s="3">
        <f ca="1">IFERROR(__xludf.DUMMYFUNCTION("""COMPUTED_VALUE"""),2)</f>
        <v>2</v>
      </c>
      <c r="B300" s="3" t="str">
        <f ca="1">IFERROR(__xludf.DUMMYFUNCTION("""COMPUTED_VALUE"""),"D")</f>
        <v>D</v>
      </c>
      <c r="C300" s="32" t="str">
        <f ca="1">IFERROR(__xludf.DUMMYFUNCTION("""COMPUTED_VALUE"""),"23171341091")</f>
        <v>23171341091</v>
      </c>
      <c r="D300" s="4" t="str">
        <f ca="1">IFERROR(__xludf.DUMMYFUNCTION("""COMPUTED_VALUE"""),"PATEL JAINAM ANILKUMAR")</f>
        <v>PATEL JAINAM ANILKUMAR</v>
      </c>
      <c r="E300" s="3" t="str">
        <f ca="1">IFERROR(__xludf.DUMMYFUNCTION("""COMPUTED_VALUE"""),"ZPP - Eve")</f>
        <v>ZPP - Eve</v>
      </c>
      <c r="F300" s="3" t="str">
        <f ca="1">IFERROR(__xludf.DUMMYFUNCTION("""COMPUTED_VALUE"""),"9510189128‬‬, 7874697001")</f>
        <v>9510189128‬‬, 7874697001</v>
      </c>
      <c r="G300" s="3">
        <f ca="1">IFERROR(__xludf.DUMMYFUNCTION("""COMPUTED_VALUE"""),9909291792)</f>
        <v>9909291792</v>
      </c>
      <c r="H300" s="33">
        <f ca="1">IFERROR(__xludf.DUMMYFUNCTION("""COMPUTED_VALUE"""),0.739495798319327)</f>
        <v>0.73949579831932699</v>
      </c>
      <c r="I300" s="25">
        <f ca="1">IFERROR(__xludf.DUMMYFUNCTION("""COMPUTED_VALUE"""),0.657142857142857)</f>
        <v>0.65714285714285703</v>
      </c>
      <c r="J300" s="25">
        <f ca="1">IFERROR(__xludf.DUMMYFUNCTION("""COMPUTED_VALUE"""),0.416666666666666)</f>
        <v>0.41666666666666602</v>
      </c>
      <c r="K300" s="25">
        <f ca="1">IFERROR(__xludf.DUMMYFUNCTION("""COMPUTED_VALUE"""),0.875)</f>
        <v>0.875</v>
      </c>
      <c r="L300" s="25">
        <f ca="1">IFERROR(__xludf.DUMMYFUNCTION("""COMPUTED_VALUE"""),0.666666666666666)</f>
        <v>0.66666666666666596</v>
      </c>
      <c r="M300" s="25">
        <f ca="1">IFERROR(__xludf.DUMMYFUNCTION("""COMPUTED_VALUE"""),0.666666666666666)</f>
        <v>0.66666666666666596</v>
      </c>
      <c r="N300" s="25">
        <f ca="1">IFERROR(__xludf.DUMMYFUNCTION("""COMPUTED_VALUE"""),0.636363636363636)</f>
        <v>0.63636363636363602</v>
      </c>
      <c r="O300" s="25">
        <f ca="1">IFERROR(__xludf.DUMMYFUNCTION("""COMPUTED_VALUE"""),0.916666666666666)</f>
        <v>0.91666666666666596</v>
      </c>
      <c r="P300" s="25">
        <f ca="1">IFERROR(__xludf.DUMMYFUNCTION("""COMPUTED_VALUE"""),0.947368421052631)</f>
        <v>0.94736842105263097</v>
      </c>
      <c r="Q300" s="25">
        <f ca="1">IFERROR(__xludf.DUMMYFUNCTION("""COMPUTED_VALUE"""),0)</f>
        <v>0</v>
      </c>
      <c r="R300" s="25">
        <f ca="1">IFERROR(__xludf.DUMMYFUNCTION("""COMPUTED_VALUE"""),0.619047619047619)</f>
        <v>0.61904761904761896</v>
      </c>
      <c r="S300" s="25">
        <f ca="1">IFERROR(__xludf.DUMMYFUNCTION("""COMPUTED_VALUE"""),0.769230769230769)</f>
        <v>0.76923076923076905</v>
      </c>
      <c r="T300" s="25">
        <f ca="1">IFERROR(__xludf.DUMMYFUNCTION("""COMPUTED_VALUE"""),1)</f>
        <v>1</v>
      </c>
      <c r="U300" s="25">
        <f ca="1">IFERROR(__xludf.DUMMYFUNCTION("""COMPUTED_VALUE"""),0.6)</f>
        <v>0.6</v>
      </c>
      <c r="V300" s="25">
        <f ca="1">IFERROR(__xludf.DUMMYFUNCTION("""COMPUTED_VALUE"""),0)</f>
        <v>0</v>
      </c>
      <c r="W300" s="4"/>
      <c r="X300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300" s="4" t="str">
        <f ca="1">IFERROR(__xludf.DUMMYFUNCTION("""COMPUTED_VALUE"""),"| 5 L PHP-CGM @ | 6 L CPT @ | 7 L NS % | 8 L JAVA % | 9 P JAVA % ")</f>
        <v xml:space="preserve">| 5 L PHP-CGM @ | 6 L CPT @ | 7 L NS % | 8 L JAVA % | 9 P JAVA % </v>
      </c>
      <c r="Z300" s="4" t="str">
        <f ca="1">IFERROR(__xludf.DUMMYFUNCTION("""COMPUTED_VALUE"""),"| 5 L NS % | 6 L JAVA % | 7 L PRO % | 8 L PRO % | 9 P Python @ ")</f>
        <v xml:space="preserve">| 5 L NS % | 6 L JAVA % | 7 L PRO % | 8 L PRO % | 9 P Python @ </v>
      </c>
      <c r="AA300" s="4" t="str">
        <f ca="1">IFERROR(__xludf.DUMMYFUNCTION("""COMPUTED_VALUE"""),"| 7 P NS @ | 9 P Python @ ")</f>
        <v xml:space="preserve">| 7 P NS @ | 9 P Python @ </v>
      </c>
      <c r="AB300" s="4" t="str">
        <f ca="1">IFERROR(__xludf.DUMMYFUNCTION("""COMPUTED_VALUE"""),"| 5 L JAVA % | 6 L PHP-CGM % | 7 P JAVA % | 9 P CPT % ")</f>
        <v xml:space="preserve">| 5 L JAVA % | 6 L PHP-CGM % | 7 P JAVA % | 9 P CPT % </v>
      </c>
      <c r="AC300" s="4" t="str">
        <f ca="1">IFERROR(__xludf.DUMMYFUNCTION("""COMPUTED_VALUE"""),"| 5 L JAVA % | 6 L NS % | 7 L PHP-CGM @ | 9 P PHP-CGM % | 8 L CPT @ ")</f>
        <v xml:space="preserve">| 5 L JAVA % | 6 L NS % | 7 L PHP-CGM @ | 9 P PHP-CGM % | 8 L CPT @ </v>
      </c>
      <c r="AD300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0" s="4" t="str">
        <f ca="1">IFERROR(__xludf.DUMMYFUNCTION("""COMPUTED_VALUE"""),"| 5 L JAVA % | 6 L NS % | 7 L PRO % | 9 P Python % ")</f>
        <v xml:space="preserve">| 5 L JAVA % | 6 L NS % | 7 L PRO % | 9 P Python % </v>
      </c>
      <c r="AF300" s="4" t="str">
        <f ca="1">IFERROR(__xludf.DUMMYFUNCTION("""COMPUTED_VALUE"""),"| 7 P NS % | 9 P Python % ")</f>
        <v xml:space="preserve">| 7 P NS % | 9 P Python % </v>
      </c>
      <c r="AG300" s="4" t="str">
        <f ca="1">IFERROR(__xludf.DUMMYFUNCTION("""COMPUTED_VALUE"""),"| 5 L CPT % | 6 L PHP-CGM % | 7 P JAVA % | 9 P CPT % ")</f>
        <v xml:space="preserve">| 5 L CPT % | 6 L PHP-CGM % | 7 P JAVA % | 9 P CPT % </v>
      </c>
      <c r="AH300" s="4" t="str">
        <f ca="1">IFERROR(__xludf.DUMMYFUNCTION("""COMPUTED_VALUE"""),"| 7 P NS % | 9 P Python % ")</f>
        <v xml:space="preserve">| 7 P NS % | 9 P Python % </v>
      </c>
      <c r="AI300" s="4" t="str">
        <f ca="1">IFERROR(__xludf.DUMMYFUNCTION("""COMPUTED_VALUE"""),"| 5 L CPT % | 6 L PHP-CGM % | 7 P JAVA % | 9 P CPT % ")</f>
        <v xml:space="preserve">| 5 L CPT % | 6 L PHP-CGM % | 7 P JAVA % | 9 P CPT % </v>
      </c>
      <c r="AJ300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300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300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0" s="4" t="str">
        <f ca="1">IFERROR(__xludf.DUMMYFUNCTION("""COMPUTED_VALUE"""),"| 5 L INE % | 7 P NS % | 9 P Python % ")</f>
        <v xml:space="preserve">| 5 L INE % | 7 P NS % | 9 P Python % </v>
      </c>
      <c r="AN300" s="4" t="str">
        <f ca="1">IFERROR(__xludf.DUMMYFUNCTION("""COMPUTED_VALUE"""),"| 5 L CPT % | 6 L PHP-CGM % | 7 P JAVA % | 9 P CPT % ")</f>
        <v xml:space="preserve">| 5 L CPT % | 6 L PHP-CGM % | 7 P JAVA % | 9 P CPT % </v>
      </c>
      <c r="AO300" s="4" t="str">
        <f ca="1">IFERROR(__xludf.DUMMYFUNCTION("""COMPUTED_VALUE"""),"| 5 L JAVA % | 5 L NS % | 7 L PHP-CGM % | 8 L CPT % | 9 P PHP-CGM @ ")</f>
        <v xml:space="preserve">| 5 L JAVA % | 5 L NS % | 7 L PHP-CGM % | 8 L CPT % | 9 P PHP-CGM @ </v>
      </c>
      <c r="AP300" s="4" t="str">
        <f ca="1">IFERROR(__xludf.DUMMYFUNCTION("""COMPUTED_VALUE"""),"| 5 L PHP-CGM % | 6 L CPT % | 7 L JAVA % | 7 L NS % ")</f>
        <v xml:space="preserve">| 5 L PHP-CGM % | 6 L CPT % | 7 L JAVA % | 7 L NS % </v>
      </c>
      <c r="AQ300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AR300" s="4" t="str">
        <f ca="1">IFERROR(__xludf.DUMMYFUNCTION("""COMPUTED_VALUE"""),"| 5 L INE @ ")</f>
        <v xml:space="preserve">| 5 L INE @ </v>
      </c>
      <c r="AS300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AT300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300" s="4" t="str">
        <f ca="1">IFERROR(__xludf.DUMMYFUNCTION("""COMPUTED_VALUE"""),"| 5 L JAVA % | 6 L NS % | 7 P PRO % | 9 P Python % ")</f>
        <v xml:space="preserve">| 5 L JAVA % | 6 L NS % | 7 P PRO % | 9 P Python % </v>
      </c>
      <c r="AV300" s="4" t="str">
        <f ca="1">IFERROR(__xludf.DUMMYFUNCTION("""COMPUTED_VALUE"""),"| 5 L INE @ | 7 P NS @ | 9 P Python @ ")</f>
        <v xml:space="preserve">| 5 L INE @ | 7 P NS @ | 9 P Python @ </v>
      </c>
      <c r="AW300" s="4" t="str">
        <f ca="1">IFERROR(__xludf.DUMMYFUNCTION("""COMPUTED_VALUE"""),"| 5 L CPT % | 6 L PHP-CGM % | 7 P JAVA % | 9 P CPT @ ")</f>
        <v xml:space="preserve">| 5 L CPT % | 6 L PHP-CGM % | 7 P JAVA % | 9 P CPT @ </v>
      </c>
      <c r="AX300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300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300" s="4" t="str">
        <f ca="1">IFERROR(__xludf.DUMMYFUNCTION("""COMPUTED_VALUE"""),"| 5 L INE % | 7 P NS % ")</f>
        <v xml:space="preserve">| 5 L INE % | 7 P NS % </v>
      </c>
      <c r="BA300" s="4" t="str">
        <f ca="1">IFERROR(__xludf.DUMMYFUNCTION("""COMPUTED_VALUE"""),"| 5 L CPT % | 6 L PHP-CGM % | 7 P JAVA % | 9 P CPT % ")</f>
        <v xml:space="preserve">| 5 L CPT % | 6 L PHP-CGM % | 7 P JAVA % | 9 P CPT % </v>
      </c>
      <c r="BB300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BC300" s="4" t="str">
        <f ca="1">IFERROR(__xludf.DUMMYFUNCTION("""COMPUTED_VALUE"""),"| 5 L PHP-CGM @ | 6 L CPT @ | 7 L JAVA % | 8 L NS % | 9 P JAVA % ")</f>
        <v xml:space="preserve">| 5 L PHP-CGM @ | 6 L CPT @ | 7 L JAVA % | 8 L NS % | 9 P JAVA % </v>
      </c>
      <c r="BD300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300" s="4" t="str">
        <f ca="1">IFERROR(__xludf.DUMMYFUNCTION("""COMPUTED_VALUE"""),"| 5 L INE % | 7 P NS % | 9 P Python % ")</f>
        <v xml:space="preserve">| 5 L INE % | 7 P NS % | 9 P Python % </v>
      </c>
      <c r="BF300" s="4" t="str">
        <f ca="1">IFERROR(__xludf.DUMMYFUNCTION("""COMPUTED_VALUE"""),"| 5 L CPT @ | 6 L PHP-CGM @ | 7 P JAVA @ | 9 P CPT @ ")</f>
        <v xml:space="preserve">| 5 L CPT @ | 6 L PHP-CGM @ | 7 P JAVA @ | 9 P CPT @ </v>
      </c>
      <c r="BG300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300" s="4" t="str">
        <f ca="1">IFERROR(__xludf.DUMMYFUNCTION("""COMPUTED_VALUE"""),"| 5 L JAVA % | 6 L NS % | 7 L PRO @ | 9 P Python @ ")</f>
        <v xml:space="preserve">| 5 L JAVA % | 6 L NS % | 7 L PRO @ | 9 P Python @ </v>
      </c>
      <c r="BI300" s="4" t="str">
        <f ca="1">IFERROR(__xludf.DUMMYFUNCTION("""COMPUTED_VALUE"""),"| 5 L INE @ | 7 P NS @ | 9 P Python @ ")</f>
        <v xml:space="preserve">| 5 L INE @ | 7 P NS @ | 9 P Python @ </v>
      </c>
      <c r="BJ300" s="4" t="str">
        <f ca="1">IFERROR(__xludf.DUMMYFUNCTION("""COMPUTED_VALUE"""),"| 5 L CPT @ | 6 L PHP-CGM @ | 7 P JAVA % | 9 P CPT @ ")</f>
        <v xml:space="preserve">| 5 L CPT @ | 6 L PHP-CGM @ | 7 P JAVA % | 9 P CPT @ </v>
      </c>
      <c r="BK300" s="4" t="str">
        <f ca="1">IFERROR(__xludf.DUMMYFUNCTION("""COMPUTED_VALUE"""),"| 5 L JAVA @ | 7 L PHP-CGM @ | 8 L CPT @ | 9 P PHP-CGM @ ")</f>
        <v xml:space="preserve">| 5 L JAVA @ | 7 L PHP-CGM @ | 8 L CPT @ | 9 P PHP-CGM @ </v>
      </c>
      <c r="BL300" s="4" t="str">
        <f ca="1">IFERROR(__xludf.DUMMYFUNCTION("""COMPUTED_VALUE"""),"| 5 L PHP-CGM % | 6 L CPT % | 8 L NS @ ")</f>
        <v xml:space="preserve">| 5 L PHP-CGM % | 6 L CPT % | 8 L NS @ </v>
      </c>
      <c r="BM300" s="4" t="str">
        <f ca="1">IFERROR(__xludf.DUMMYFUNCTION("""COMPUTED_VALUE"""),"| 5 L JAVA @ | 6 L NS @ | 7 L PRO @ | 8 L PRO @ | 9 P Python % ")</f>
        <v xml:space="preserve">| 5 L JAVA @ | 6 L NS @ | 7 L PRO @ | 8 L PRO @ | 9 P Python % </v>
      </c>
      <c r="BN300" s="4" t="str">
        <f ca="1">IFERROR(__xludf.DUMMYFUNCTION("""COMPUTED_VALUE"""),"| 5 L INE @ | 7 P NS @ | 9 P Python @ ")</f>
        <v xml:space="preserve">| 5 L INE @ | 7 P NS @ | 9 P Python @ </v>
      </c>
      <c r="BO300" s="4" t="str">
        <f ca="1">IFERROR(__xludf.DUMMYFUNCTION("""COMPUTED_VALUE"""),"| 5 L CPT @ | 6 L PHP-CGM @ | 9 P CPT @ ")</f>
        <v xml:space="preserve">| 5 L CPT @ | 6 L PHP-CGM @ | 9 P CPT @ </v>
      </c>
      <c r="BP300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BQ300" s="4" t="str">
        <f ca="1">IFERROR(__xludf.DUMMYFUNCTION("""COMPUTED_VALUE"""),"| 5 L JAVA % ")</f>
        <v xml:space="preserve">| 5 L JAVA % </v>
      </c>
      <c r="BR300" s="4"/>
      <c r="BS300" s="4"/>
      <c r="BT300" s="4" t="str">
        <f ca="1">IFERROR(__xludf.DUMMYFUNCTION("""COMPUTED_VALUE"""),"| 7 L PHP-CGM @ | 8 L CPT @ ")</f>
        <v xml:space="preserve">| 7 L PHP-CGM @ | 8 L CPT @ </v>
      </c>
      <c r="BU300" s="4" t="str">
        <f ca="1">IFERROR(__xludf.DUMMYFUNCTION("""COMPUTED_VALUE"""),"| 8 L NS @ ")</f>
        <v xml:space="preserve">| 8 L NS @ </v>
      </c>
      <c r="BV300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300" s="4"/>
      <c r="BX300" s="4" t="str">
        <f ca="1">IFERROR(__xludf.DUMMYFUNCTION("""COMPUTED_VALUE"""),"| 5 L JAVA % | 6 L NS % | 7 L PRO % | 9 P Python % ")</f>
        <v xml:space="preserve">| 5 L JAVA % | 6 L NS % | 7 L PRO % | 9 P Python % </v>
      </c>
      <c r="BY300" s="4" t="str">
        <f ca="1">IFERROR(__xludf.DUMMYFUNCTION("""COMPUTED_VALUE"""),"| 5 L INE % | 7 P NS % | 9 P Python % ")</f>
        <v xml:space="preserve">| 5 L INE % | 7 P NS % | 9 P Python % </v>
      </c>
      <c r="BZ300" s="4" t="str">
        <f ca="1">IFERROR(__xludf.DUMMYFUNCTION("""COMPUTED_VALUE"""),"| 5 L CPT % | 6 L PHP-CGM % | 7 P JAVA % | 9 P CPT @ ")</f>
        <v xml:space="preserve">| 5 L CPT % | 6 L PHP-CGM % | 7 P JAVA % | 9 P CPT @ </v>
      </c>
      <c r="CA300" s="4" t="str">
        <f ca="1">IFERROR(__xludf.DUMMYFUNCTION("""COMPUTED_VALUE"""),"| 5 L JAVA % | 6 L JAVA % | 7 L PHP-CGM % | 8 L CPT % ")</f>
        <v xml:space="preserve">| 5 L JAVA % | 6 L JAVA % | 7 L PHP-CGM % | 8 L CPT % </v>
      </c>
      <c r="CB300" s="4" t="str">
        <f ca="1">IFERROR(__xludf.DUMMYFUNCTION("""COMPUTED_VALUE"""),"| 5 L PHP-CGM % | 6 L CPT % | 7 L NS % | 9 P JAVA % ")</f>
        <v xml:space="preserve">| 5 L PHP-CGM % | 6 L CPT % | 7 L NS % | 9 P JAVA % </v>
      </c>
      <c r="CC300" s="4" t="str">
        <f ca="1">IFERROR(__xludf.DUMMYFUNCTION("""COMPUTED_VALUE"""),"| 5 L JAVA % | 6 L NS % | 9 P Python @ ")</f>
        <v xml:space="preserve">| 5 L JAVA % | 6 L NS % | 9 P Python @ </v>
      </c>
      <c r="CD300" s="4" t="str">
        <f ca="1">IFERROR(__xludf.DUMMYFUNCTION("""COMPUTED_VALUE"""),"| 5 L INE % | 7 P NS % | 9 P Python % ")</f>
        <v xml:space="preserve">| 5 L INE % | 7 P NS % | 9 P Python % </v>
      </c>
      <c r="CE300" s="4" t="str">
        <f ca="1">IFERROR(__xludf.DUMMYFUNCTION("""COMPUTED_VALUE"""),"| 5 L CPT % | 6 L PHP-CGM % | 7 P JAVA % | 9 P CPT @ ")</f>
        <v xml:space="preserve">| 5 L CPT % | 6 L PHP-CGM % | 7 P JAVA % | 9 P CPT @ </v>
      </c>
      <c r="CF300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CG300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CH300" s="4" t="str">
        <f ca="1">IFERROR(__xludf.DUMMYFUNCTION("""COMPUTED_VALUE"""),"| 5 L JAVA % | 6 L NS % | 9 P Python % ")</f>
        <v xml:space="preserve">| 5 L JAVA % | 6 L NS % | 9 P Python % </v>
      </c>
      <c r="CI300" s="4" t="str">
        <f ca="1">IFERROR(__xludf.DUMMYFUNCTION("""COMPUTED_VALUE"""),"| 5 L INE % | 7 P NS % ")</f>
        <v xml:space="preserve">| 5 L INE % | 7 P NS % </v>
      </c>
      <c r="CJ300" s="4" t="str">
        <f ca="1">IFERROR(__xludf.DUMMYFUNCTION("""COMPUTED_VALUE"""),"| 5 L CPT @ | 6 L PHP-CGM @ | 9 P CPT @ ")</f>
        <v xml:space="preserve">| 5 L CPT @ | 6 L PHP-CGM @ | 9 P CPT @ </v>
      </c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</row>
    <row r="301" spans="1:102" ht="12.5" x14ac:dyDescent="0.25">
      <c r="A301" s="3">
        <f ca="1">IFERROR(__xludf.DUMMYFUNCTION("""COMPUTED_VALUE"""),2)</f>
        <v>2</v>
      </c>
      <c r="B301" s="3" t="str">
        <f ca="1">IFERROR(__xludf.DUMMYFUNCTION("""COMPUTED_VALUE"""),"D")</f>
        <v>D</v>
      </c>
      <c r="C301" s="32" t="str">
        <f ca="1">IFERROR(__xludf.DUMMYFUNCTION("""COMPUTED_VALUE"""),"23171341093")</f>
        <v>23171341093</v>
      </c>
      <c r="D301" s="4" t="str">
        <f ca="1">IFERROR(__xludf.DUMMYFUNCTION("""COMPUTED_VALUE"""),"PATEL JENIS ALPESHKUMAR")</f>
        <v>PATEL JENIS ALPESHKUMAR</v>
      </c>
      <c r="E301" s="3" t="str">
        <f ca="1">IFERROR(__xludf.DUMMYFUNCTION("""COMPUTED_VALUE"""),"ZPP - Eve")</f>
        <v>ZPP - Eve</v>
      </c>
      <c r="F301" s="3" t="str">
        <f ca="1">IFERROR(__xludf.DUMMYFUNCTION("""COMPUTED_VALUE"""),"8780920198‬‬, 9979212077")</f>
        <v>8780920198‬‬, 9979212077</v>
      </c>
      <c r="G301" s="3">
        <f ca="1">IFERROR(__xludf.DUMMYFUNCTION("""COMPUTED_VALUE"""),9979212077)</f>
        <v>9979212077</v>
      </c>
      <c r="H301" s="33">
        <f ca="1">IFERROR(__xludf.DUMMYFUNCTION("""COMPUTED_VALUE"""),0.739495798319327)</f>
        <v>0.73949579831932699</v>
      </c>
      <c r="I301" s="25">
        <f ca="1">IFERROR(__xludf.DUMMYFUNCTION("""COMPUTED_VALUE"""),0.771428571428571)</f>
        <v>0.77142857142857102</v>
      </c>
      <c r="J301" s="25">
        <f ca="1">IFERROR(__xludf.DUMMYFUNCTION("""COMPUTED_VALUE"""),0.666666666666666)</f>
        <v>0.66666666666666596</v>
      </c>
      <c r="K301" s="25">
        <f ca="1">IFERROR(__xludf.DUMMYFUNCTION("""COMPUTED_VALUE"""),0.75)</f>
        <v>0.75</v>
      </c>
      <c r="L301" s="25">
        <f ca="1">IFERROR(__xludf.DUMMYFUNCTION("""COMPUTED_VALUE"""),0.75)</f>
        <v>0.75</v>
      </c>
      <c r="M301" s="25">
        <f ca="1">IFERROR(__xludf.DUMMYFUNCTION("""COMPUTED_VALUE"""),0.75)</f>
        <v>0.75</v>
      </c>
      <c r="N301" s="25">
        <f ca="1">IFERROR(__xludf.DUMMYFUNCTION("""COMPUTED_VALUE"""),0.727272727272727)</f>
        <v>0.72727272727272696</v>
      </c>
      <c r="O301" s="25">
        <f ca="1">IFERROR(__xludf.DUMMYFUNCTION("""COMPUTED_VALUE"""),0.75)</f>
        <v>0.75</v>
      </c>
      <c r="P301" s="25">
        <f ca="1">IFERROR(__xludf.DUMMYFUNCTION("""COMPUTED_VALUE"""),0.736842105263157)</f>
        <v>0.73684210526315697</v>
      </c>
      <c r="Q301" s="25">
        <f ca="1">IFERROR(__xludf.DUMMYFUNCTION("""COMPUTED_VALUE"""),0)</f>
        <v>0</v>
      </c>
      <c r="R301" s="25">
        <f ca="1">IFERROR(__xludf.DUMMYFUNCTION("""COMPUTED_VALUE"""),0.714285714285714)</f>
        <v>0.71428571428571397</v>
      </c>
      <c r="S301" s="25">
        <f ca="1">IFERROR(__xludf.DUMMYFUNCTION("""COMPUTED_VALUE"""),0.692307692307692)</f>
        <v>0.69230769230769196</v>
      </c>
      <c r="T301" s="25">
        <f ca="1">IFERROR(__xludf.DUMMYFUNCTION("""COMPUTED_VALUE"""),1)</f>
        <v>1</v>
      </c>
      <c r="U301" s="25">
        <f ca="1">IFERROR(__xludf.DUMMYFUNCTION("""COMPUTED_VALUE"""),0.7)</f>
        <v>0.7</v>
      </c>
      <c r="V301" s="25">
        <f ca="1">IFERROR(__xludf.DUMMYFUNCTION("""COMPUTED_VALUE"""),0)</f>
        <v>0</v>
      </c>
      <c r="W301" s="4"/>
      <c r="X301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301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301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301" s="4" t="str">
        <f ca="1">IFERROR(__xludf.DUMMYFUNCTION("""COMPUTED_VALUE"""),"| 7 P NS % | 9 P Python % ")</f>
        <v xml:space="preserve">| 7 P NS % | 9 P Python % </v>
      </c>
      <c r="AB301" s="4" t="str">
        <f ca="1">IFERROR(__xludf.DUMMYFUNCTION("""COMPUTED_VALUE"""),"| 5 L JAVA @ | 6 L PHP-CGM @ | 7 P JAVA @ | 9 P CPT @ ")</f>
        <v xml:space="preserve">| 5 L JAVA @ | 6 L PHP-CGM @ | 7 P JAVA @ | 9 P CPT @ </v>
      </c>
      <c r="AC301" s="4" t="str">
        <f ca="1">IFERROR(__xludf.DUMMYFUNCTION("""COMPUTED_VALUE"""),"| 5 L JAVA % | 6 L NS % | 7 L PHP-CGM @ | 9 P PHP-CGM % | 8 L CPT @ ")</f>
        <v xml:space="preserve">| 5 L JAVA % | 6 L NS % | 7 L PHP-CGM @ | 9 P PHP-CGM % | 8 L CPT @ </v>
      </c>
      <c r="AD301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1" s="4" t="str">
        <f ca="1">IFERROR(__xludf.DUMMYFUNCTION("""COMPUTED_VALUE"""),"| 5 L JAVA % | 6 L NS % | 7 L PRO % | 9 P Python % ")</f>
        <v xml:space="preserve">| 5 L JAVA % | 6 L NS % | 7 L PRO % | 9 P Python % </v>
      </c>
      <c r="AF301" s="4" t="str">
        <f ca="1">IFERROR(__xludf.DUMMYFUNCTION("""COMPUTED_VALUE"""),"| 7 P NS % | 9 P Python % ")</f>
        <v xml:space="preserve">| 7 P NS % | 9 P Python % </v>
      </c>
      <c r="AG301" s="4" t="str">
        <f ca="1">IFERROR(__xludf.DUMMYFUNCTION("""COMPUTED_VALUE"""),"| 5 L CPT % | 6 L PHP-CGM % | 7 P JAVA % | 9 P CPT % ")</f>
        <v xml:space="preserve">| 5 L CPT % | 6 L PHP-CGM % | 7 P JAVA % | 9 P CPT % </v>
      </c>
      <c r="AH301" s="4" t="str">
        <f ca="1">IFERROR(__xludf.DUMMYFUNCTION("""COMPUTED_VALUE"""),"| 7 P NS % | 9 P Python % ")</f>
        <v xml:space="preserve">| 7 P NS % | 9 P Python % </v>
      </c>
      <c r="AI301" s="4" t="str">
        <f ca="1">IFERROR(__xludf.DUMMYFUNCTION("""COMPUTED_VALUE"""),"| 5 L CPT % | 6 L PHP-CGM % | 7 P JAVA % | 9 P CPT % ")</f>
        <v xml:space="preserve">| 5 L CPT % | 6 L PHP-CGM % | 7 P JAVA % | 9 P CPT % </v>
      </c>
      <c r="AJ301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301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301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1" s="4" t="str">
        <f ca="1">IFERROR(__xludf.DUMMYFUNCTION("""COMPUTED_VALUE"""),"| 5 L INE % | 7 P NS % | 9 P Python % ")</f>
        <v xml:space="preserve">| 5 L INE % | 7 P NS % | 9 P Python % </v>
      </c>
      <c r="AN301" s="4" t="str">
        <f ca="1">IFERROR(__xludf.DUMMYFUNCTION("""COMPUTED_VALUE"""),"| 5 L CPT % | 6 L PHP-CGM % | 7 P JAVA % | 9 P CPT % ")</f>
        <v xml:space="preserve">| 5 L CPT % | 6 L PHP-CGM % | 7 P JAVA % | 9 P CPT % </v>
      </c>
      <c r="AO301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301" s="4" t="str">
        <f ca="1">IFERROR(__xludf.DUMMYFUNCTION("""COMPUTED_VALUE"""),"| 5 L PHP-CGM % | 6 L CPT % | 7 L JAVA % | 7 L NS % ")</f>
        <v xml:space="preserve">| 5 L PHP-CGM % | 6 L CPT % | 7 L JAVA % | 7 L NS % </v>
      </c>
      <c r="AQ301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301" s="4" t="str">
        <f ca="1">IFERROR(__xludf.DUMMYFUNCTION("""COMPUTED_VALUE"""),"| 5 L INE % ")</f>
        <v xml:space="preserve">| 5 L INE % </v>
      </c>
      <c r="AS301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301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301" s="4" t="str">
        <f ca="1">IFERROR(__xludf.DUMMYFUNCTION("""COMPUTED_VALUE"""),"| 5 L JAVA % | 6 L NS % | 7 P PRO % | 9 P Python % ")</f>
        <v xml:space="preserve">| 5 L JAVA % | 6 L NS % | 7 P PRO % | 9 P Python % </v>
      </c>
      <c r="AV301" s="4" t="str">
        <f ca="1">IFERROR(__xludf.DUMMYFUNCTION("""COMPUTED_VALUE"""),"| 5 L INE % | 7 P NS % | 9 P Python % ")</f>
        <v xml:space="preserve">| 5 L INE % | 7 P NS % | 9 P Python % </v>
      </c>
      <c r="AW301" s="4" t="str">
        <f ca="1">IFERROR(__xludf.DUMMYFUNCTION("""COMPUTED_VALUE"""),"| 5 L CPT % | 6 L PHP-CGM % | 7 P JAVA % | 9 P CPT % ")</f>
        <v xml:space="preserve">| 5 L CPT % | 6 L PHP-CGM % | 7 P JAVA % | 9 P CPT % </v>
      </c>
      <c r="AX301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301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301" s="4" t="str">
        <f ca="1">IFERROR(__xludf.DUMMYFUNCTION("""COMPUTED_VALUE"""),"| 5 L INE @ | 7 P NS @ ")</f>
        <v xml:space="preserve">| 5 L INE @ | 7 P NS @ </v>
      </c>
      <c r="BA301" s="4" t="str">
        <f ca="1">IFERROR(__xludf.DUMMYFUNCTION("""COMPUTED_VALUE"""),"| 5 L CPT % | 6 L PHP-CGM % | 7 P JAVA % | 9 P CPT % ")</f>
        <v xml:space="preserve">| 5 L CPT % | 6 L PHP-CGM % | 7 P JAVA % | 9 P CPT % </v>
      </c>
      <c r="BB301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C301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D301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E301" s="4" t="str">
        <f ca="1">IFERROR(__xludf.DUMMYFUNCTION("""COMPUTED_VALUE"""),"| 5 L INE @ | 7 P NS @ | 9 P Python @ ")</f>
        <v xml:space="preserve">| 5 L INE @ | 7 P NS @ | 9 P Python @ </v>
      </c>
      <c r="BF301" s="4" t="str">
        <f ca="1">IFERROR(__xludf.DUMMYFUNCTION("""COMPUTED_VALUE"""),"| 5 L CPT @ | 6 L PHP-CGM @ | 7 P JAVA @ | 9 P CPT @ ")</f>
        <v xml:space="preserve">| 5 L CPT @ | 6 L PHP-CGM @ | 7 P JAVA @ | 9 P CPT @ </v>
      </c>
      <c r="BG301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H301" s="4" t="str">
        <f ca="1">IFERROR(__xludf.DUMMYFUNCTION("""COMPUTED_VALUE"""),"| 5 L JAVA @ | 6 L NS @ | 7 L PRO @ | 9 P Python @ ")</f>
        <v xml:space="preserve">| 5 L JAVA @ | 6 L NS @ | 7 L PRO @ | 9 P Python @ </v>
      </c>
      <c r="BI301" s="4" t="str">
        <f ca="1">IFERROR(__xludf.DUMMYFUNCTION("""COMPUTED_VALUE"""),"| 5 L INE @ | 7 P NS @ | 9 P Python @ ")</f>
        <v xml:space="preserve">| 5 L INE @ | 7 P NS @ | 9 P Python @ </v>
      </c>
      <c r="BJ301" s="4" t="str">
        <f ca="1">IFERROR(__xludf.DUMMYFUNCTION("""COMPUTED_VALUE"""),"| 5 L CPT @ | 6 L PHP-CGM @ | 7 P JAVA @ | 9 P CPT @ ")</f>
        <v xml:space="preserve">| 5 L CPT @ | 6 L PHP-CGM @ | 7 P JAVA @ | 9 P CPT @ </v>
      </c>
      <c r="BK301" s="4" t="str">
        <f ca="1">IFERROR(__xludf.DUMMYFUNCTION("""COMPUTED_VALUE"""),"| 5 L JAVA % | 7 L PHP-CGM % | 8 L CPT % | 9 P PHP-CGM @ ")</f>
        <v xml:space="preserve">| 5 L JAVA % | 7 L PHP-CGM % | 8 L CPT % | 9 P PHP-CGM @ </v>
      </c>
      <c r="BL301" s="4" t="str">
        <f ca="1">IFERROR(__xludf.DUMMYFUNCTION("""COMPUTED_VALUE"""),"| 5 L PHP-CGM % | 6 L CPT % | 8 L NS % ")</f>
        <v xml:space="preserve">| 5 L PHP-CGM % | 6 L CPT % | 8 L NS % </v>
      </c>
      <c r="BM301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N301" s="4" t="str">
        <f ca="1">IFERROR(__xludf.DUMMYFUNCTION("""COMPUTED_VALUE"""),"| 5 L INE % | 7 P NS % | 9 P Python % ")</f>
        <v xml:space="preserve">| 5 L INE % | 7 P NS % | 9 P Python % </v>
      </c>
      <c r="BO301" s="4" t="str">
        <f ca="1">IFERROR(__xludf.DUMMYFUNCTION("""COMPUTED_VALUE"""),"| 5 L CPT @ | 6 L PHP-CGM @ | 9 P CPT @ ")</f>
        <v xml:space="preserve">| 5 L CPT @ | 6 L PHP-CGM @ | 9 P CPT @ </v>
      </c>
      <c r="BP301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BQ301" s="4" t="str">
        <f ca="1">IFERROR(__xludf.DUMMYFUNCTION("""COMPUTED_VALUE"""),"| 5 L JAVA @ ")</f>
        <v xml:space="preserve">| 5 L JAVA @ </v>
      </c>
      <c r="BR301" s="4"/>
      <c r="BS301" s="4"/>
      <c r="BT301" s="4" t="str">
        <f ca="1">IFERROR(__xludf.DUMMYFUNCTION("""COMPUTED_VALUE"""),"| 7 L PHP-CGM % | 8 L CPT % ")</f>
        <v xml:space="preserve">| 7 L PHP-CGM % | 8 L CPT % </v>
      </c>
      <c r="BU301" s="4" t="str">
        <f ca="1">IFERROR(__xludf.DUMMYFUNCTION("""COMPUTED_VALUE"""),"| 8 L NS @ ")</f>
        <v xml:space="preserve">| 8 L NS @ </v>
      </c>
      <c r="BV301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301" s="4"/>
      <c r="BX301" s="4" t="str">
        <f ca="1">IFERROR(__xludf.DUMMYFUNCTION("""COMPUTED_VALUE"""),"| 5 L JAVA @ | 6 L NS @ | 7 L PRO @ | 9 P Python @ ")</f>
        <v xml:space="preserve">| 5 L JAVA @ | 6 L NS @ | 7 L PRO @ | 9 P Python @ </v>
      </c>
      <c r="BY301" s="4" t="str">
        <f ca="1">IFERROR(__xludf.DUMMYFUNCTION("""COMPUTED_VALUE"""),"| 5 L INE % | 7 P NS % | 9 P Python % ")</f>
        <v xml:space="preserve">| 5 L INE % | 7 P NS % | 9 P Python % </v>
      </c>
      <c r="BZ301" s="4" t="str">
        <f ca="1">IFERROR(__xludf.DUMMYFUNCTION("""COMPUTED_VALUE"""),"| 5 L CPT % | 6 L PHP-CGM % | 7 P JAVA % | 9 P CPT % ")</f>
        <v xml:space="preserve">| 5 L CPT % | 6 L PHP-CGM % | 7 P JAVA % | 9 P CPT % </v>
      </c>
      <c r="CA301" s="4" t="str">
        <f ca="1">IFERROR(__xludf.DUMMYFUNCTION("""COMPUTED_VALUE"""),"| 5 L JAVA % | 6 L JAVA % | 7 L PHP-CGM % | 8 L CPT % ")</f>
        <v xml:space="preserve">| 5 L JAVA % | 6 L JAVA % | 7 L PHP-CGM % | 8 L CPT % </v>
      </c>
      <c r="CB301" s="4" t="str">
        <f ca="1">IFERROR(__xludf.DUMMYFUNCTION("""COMPUTED_VALUE"""),"| 5 L PHP-CGM % | 6 L CPT % | 7 L NS % | 9 P JAVA % ")</f>
        <v xml:space="preserve">| 5 L PHP-CGM % | 6 L CPT % | 7 L NS % | 9 P JAVA % </v>
      </c>
      <c r="CC301" s="4" t="str">
        <f ca="1">IFERROR(__xludf.DUMMYFUNCTION("""COMPUTED_VALUE"""),"| 5 L JAVA % | 6 L NS % | 9 P Python % ")</f>
        <v xml:space="preserve">| 5 L JAVA % | 6 L NS % | 9 P Python % </v>
      </c>
      <c r="CD301" s="4" t="str">
        <f ca="1">IFERROR(__xludf.DUMMYFUNCTION("""COMPUTED_VALUE"""),"| 5 L INE % | 7 P NS % | 9 P Python % ")</f>
        <v xml:space="preserve">| 5 L INE % | 7 P NS % | 9 P Python % </v>
      </c>
      <c r="CE301" s="4" t="str">
        <f ca="1">IFERROR(__xludf.DUMMYFUNCTION("""COMPUTED_VALUE"""),"| 5 L CPT % | 6 L PHP-CGM % | 7 P JAVA % | 9 P CPT % ")</f>
        <v xml:space="preserve">| 5 L CPT % | 6 L PHP-CGM % | 7 P JAVA % | 9 P CPT % </v>
      </c>
      <c r="CF301" s="4" t="str">
        <f ca="1">IFERROR(__xludf.DUMMYFUNCTION("""COMPUTED_VALUE"""),"| 5 L JAVA @ | 6 L NS @ | 7 L PHP-CGM % | 8 L CPT % | 9 P PHP-CGM % ")</f>
        <v xml:space="preserve">| 5 L JAVA @ | 6 L NS @ | 7 L PHP-CGM % | 8 L CPT % | 9 P PHP-CGM % </v>
      </c>
      <c r="CG301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CH301" s="4" t="str">
        <f ca="1">IFERROR(__xludf.DUMMYFUNCTION("""COMPUTED_VALUE"""),"| 5 L JAVA % | 6 L NS % | 9 P Python % ")</f>
        <v xml:space="preserve">| 5 L JAVA % | 6 L NS % | 9 P Python % </v>
      </c>
      <c r="CI301" s="4" t="str">
        <f ca="1">IFERROR(__xludf.DUMMYFUNCTION("""COMPUTED_VALUE"""),"| 5 L INE % | 7 P NS % ")</f>
        <v xml:space="preserve">| 5 L INE % | 7 P NS % </v>
      </c>
      <c r="CJ301" s="4" t="str">
        <f ca="1">IFERROR(__xludf.DUMMYFUNCTION("""COMPUTED_VALUE"""),"| 5 L CPT % | 6 L PHP-CGM % | 9 P CPT % ")</f>
        <v xml:space="preserve">| 5 L CPT % | 6 L PHP-CGM % | 9 P CPT % </v>
      </c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</row>
    <row r="302" spans="1:102" ht="12.5" x14ac:dyDescent="0.25">
      <c r="A302" s="3">
        <f ca="1">IFERROR(__xludf.DUMMYFUNCTION("""COMPUTED_VALUE"""),2)</f>
        <v>2</v>
      </c>
      <c r="B302" s="3" t="str">
        <f ca="1">IFERROR(__xludf.DUMMYFUNCTION("""COMPUTED_VALUE"""),"D")</f>
        <v>D</v>
      </c>
      <c r="C302" s="32" t="str">
        <f ca="1">IFERROR(__xludf.DUMMYFUNCTION("""COMPUTED_VALUE"""),"23171341097")</f>
        <v>23171341097</v>
      </c>
      <c r="D302" s="4" t="str">
        <f ca="1">IFERROR(__xludf.DUMMYFUNCTION("""COMPUTED_VALUE"""),"PATEL KAVAN SHAILESHKUMAR")</f>
        <v>PATEL KAVAN SHAILESHKUMAR</v>
      </c>
      <c r="E302" s="3" t="str">
        <f ca="1">IFERROR(__xludf.DUMMYFUNCTION("""COMPUTED_VALUE"""),"ZPP - Eve")</f>
        <v>ZPP - Eve</v>
      </c>
      <c r="F302" s="3">
        <f ca="1">IFERROR(__xludf.DUMMYFUNCTION("""COMPUTED_VALUE"""),9909590230)</f>
        <v>9909590230</v>
      </c>
      <c r="G302" s="3">
        <f ca="1">IFERROR(__xludf.DUMMYFUNCTION("""COMPUTED_VALUE"""),9998663025)</f>
        <v>9998663025</v>
      </c>
      <c r="H302" s="33">
        <f ca="1">IFERROR(__xludf.DUMMYFUNCTION("""COMPUTED_VALUE"""),0.634453781512605)</f>
        <v>0.63445378151260501</v>
      </c>
      <c r="I302" s="25">
        <f ca="1">IFERROR(__xludf.DUMMYFUNCTION("""COMPUTED_VALUE"""),0.771428571428571)</f>
        <v>0.77142857142857102</v>
      </c>
      <c r="J302" s="25">
        <f ca="1">IFERROR(__xludf.DUMMYFUNCTION("""COMPUTED_VALUE"""),0.75)</f>
        <v>0.75</v>
      </c>
      <c r="K302" s="25">
        <f ca="1">IFERROR(__xludf.DUMMYFUNCTION("""COMPUTED_VALUE"""),0.59375)</f>
        <v>0.59375</v>
      </c>
      <c r="L302" s="25">
        <f ca="1">IFERROR(__xludf.DUMMYFUNCTION("""COMPUTED_VALUE"""),0.666666666666666)</f>
        <v>0.66666666666666596</v>
      </c>
      <c r="M302" s="25">
        <f ca="1">IFERROR(__xludf.DUMMYFUNCTION("""COMPUTED_VALUE"""),0.75)</f>
        <v>0.75</v>
      </c>
      <c r="N302" s="25">
        <f ca="1">IFERROR(__xludf.DUMMYFUNCTION("""COMPUTED_VALUE"""),0.636363636363636)</f>
        <v>0.63636363636363602</v>
      </c>
      <c r="O302" s="25">
        <f ca="1">IFERROR(__xludf.DUMMYFUNCTION("""COMPUTED_VALUE"""),0.638888888888888)</f>
        <v>0.63888888888888795</v>
      </c>
      <c r="P302" s="25">
        <f ca="1">IFERROR(__xludf.DUMMYFUNCTION("""COMPUTED_VALUE"""),0.578947368421052)</f>
        <v>0.57894736842105199</v>
      </c>
      <c r="Q302" s="25">
        <f ca="1">IFERROR(__xludf.DUMMYFUNCTION("""COMPUTED_VALUE"""),0)</f>
        <v>0</v>
      </c>
      <c r="R302" s="25">
        <f ca="1">IFERROR(__xludf.DUMMYFUNCTION("""COMPUTED_VALUE"""),0.476190476190476)</f>
        <v>0.476190476190476</v>
      </c>
      <c r="S302" s="25">
        <f ca="1">IFERROR(__xludf.DUMMYFUNCTION("""COMPUTED_VALUE"""),0.384615384615384)</f>
        <v>0.38461538461538403</v>
      </c>
      <c r="T302" s="25">
        <f ca="1">IFERROR(__xludf.DUMMYFUNCTION("""COMPUTED_VALUE"""),1)</f>
        <v>1</v>
      </c>
      <c r="U302" s="25">
        <f ca="1">IFERROR(__xludf.DUMMYFUNCTION("""COMPUTED_VALUE"""),0.4)</f>
        <v>0.4</v>
      </c>
      <c r="V302" s="25">
        <f ca="1">IFERROR(__xludf.DUMMYFUNCTION("""COMPUTED_VALUE"""),0)</f>
        <v>0</v>
      </c>
      <c r="W302" s="4"/>
      <c r="X302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302" s="4" t="str">
        <f ca="1">IFERROR(__xludf.DUMMYFUNCTION("""COMPUTED_VALUE"""),"| 5 L PHP-CGM % | 6 L CPT % | 7 L NS @ | 8 L JAVA @ | 9 P JAVA @ ")</f>
        <v xml:space="preserve">| 5 L PHP-CGM % | 6 L CPT % | 7 L NS @ | 8 L JAVA @ | 9 P JAVA @ </v>
      </c>
      <c r="Z302" s="4" t="str">
        <f ca="1">IFERROR(__xludf.DUMMYFUNCTION("""COMPUTED_VALUE"""),"| 5 L NS @ | 6 L JAVA @ | 7 L PRO @ | 8 L PRO @ | 9 P Python @ ")</f>
        <v xml:space="preserve">| 5 L NS @ | 6 L JAVA @ | 7 L PRO @ | 8 L PRO @ | 9 P Python @ </v>
      </c>
      <c r="AA302" s="4" t="str">
        <f ca="1">IFERROR(__xludf.DUMMYFUNCTION("""COMPUTED_VALUE"""),"| 7 P NS @ | 9 P Python @ ")</f>
        <v xml:space="preserve">| 7 P NS @ | 9 P Python @ </v>
      </c>
      <c r="AB302" s="4" t="str">
        <f ca="1">IFERROR(__xludf.DUMMYFUNCTION("""COMPUTED_VALUE"""),"| 5 L JAVA % | 6 L PHP-CGM % | 7 P JAVA @ | 9 P CPT @ ")</f>
        <v xml:space="preserve">| 5 L JAVA % | 6 L PHP-CGM % | 7 P JAVA @ | 9 P CPT @ </v>
      </c>
      <c r="AC302" s="4" t="str">
        <f ca="1">IFERROR(__xludf.DUMMYFUNCTION("""COMPUTED_VALUE"""),"| 5 L JAVA % | 6 L NS % | 7 L PHP-CGM @ | 9 P PHP-CGM % | 8 L CPT @ ")</f>
        <v xml:space="preserve">| 5 L JAVA % | 6 L NS % | 7 L PHP-CGM @ | 9 P PHP-CGM % | 8 L CPT @ </v>
      </c>
      <c r="AD302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2" s="4" t="str">
        <f ca="1">IFERROR(__xludf.DUMMYFUNCTION("""COMPUTED_VALUE"""),"| 5 L JAVA % | 6 L NS % | 7 L PRO % | 9 P Python % ")</f>
        <v xml:space="preserve">| 5 L JAVA % | 6 L NS % | 7 L PRO % | 9 P Python % </v>
      </c>
      <c r="AF302" s="4" t="str">
        <f ca="1">IFERROR(__xludf.DUMMYFUNCTION("""COMPUTED_VALUE"""),"| 7 P NS % | 9 P Python % ")</f>
        <v xml:space="preserve">| 7 P NS % | 9 P Python % </v>
      </c>
      <c r="AG302" s="4" t="str">
        <f ca="1">IFERROR(__xludf.DUMMYFUNCTION("""COMPUTED_VALUE"""),"| 5 L CPT % | 6 L PHP-CGM % | 7 P JAVA % | 9 P CPT % ")</f>
        <v xml:space="preserve">| 5 L CPT % | 6 L PHP-CGM % | 7 P JAVA % | 9 P CPT % </v>
      </c>
      <c r="AH302" s="4" t="str">
        <f ca="1">IFERROR(__xludf.DUMMYFUNCTION("""COMPUTED_VALUE"""),"| 7 P NS % | 9 P Python @ ")</f>
        <v xml:space="preserve">| 7 P NS % | 9 P Python @ </v>
      </c>
      <c r="AI302" s="4" t="str">
        <f ca="1">IFERROR(__xludf.DUMMYFUNCTION("""COMPUTED_VALUE"""),"| 5 L CPT % | 6 L PHP-CGM % | 7 P JAVA % | 9 P CPT % ")</f>
        <v xml:space="preserve">| 5 L CPT % | 6 L PHP-CGM % | 7 P JAVA % | 9 P CPT % </v>
      </c>
      <c r="AJ302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302" s="4" t="str">
        <f ca="1">IFERROR(__xludf.DUMMYFUNCTION("""COMPUTED_VALUE"""),"| 5 L PHP-CGM % | 6 L CPT % | 8 L JAVA @ | 7 L NS @ | 9 P JAVA @ ")</f>
        <v xml:space="preserve">| 5 L PHP-CGM % | 6 L CPT % | 8 L JAVA @ | 7 L NS @ | 9 P JAVA @ </v>
      </c>
      <c r="AL302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2" s="4" t="str">
        <f ca="1">IFERROR(__xludf.DUMMYFUNCTION("""COMPUTED_VALUE"""),"| 5 L INE @ | 7 P NS % | 9 P Python % ")</f>
        <v xml:space="preserve">| 5 L INE @ | 7 P NS % | 9 P Python % </v>
      </c>
      <c r="AN302" s="4" t="str">
        <f ca="1">IFERROR(__xludf.DUMMYFUNCTION("""COMPUTED_VALUE"""),"| 5 L CPT % | 6 L PHP-CGM % | 7 P JAVA @ | 9 P CPT @ ")</f>
        <v xml:space="preserve">| 5 L CPT % | 6 L PHP-CGM % | 7 P JAVA @ | 9 P CPT @ </v>
      </c>
      <c r="AO302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302" s="4" t="str">
        <f ca="1">IFERROR(__xludf.DUMMYFUNCTION("""COMPUTED_VALUE"""),"| 5 L PHP-CGM % | 6 L CPT % | 7 L JAVA % | 7 L NS % ")</f>
        <v xml:space="preserve">| 5 L PHP-CGM % | 6 L CPT % | 7 L JAVA % | 7 L NS % </v>
      </c>
      <c r="AQ302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AR302" s="4" t="str">
        <f ca="1">IFERROR(__xludf.DUMMYFUNCTION("""COMPUTED_VALUE"""),"| 5 L INE % ")</f>
        <v xml:space="preserve">| 5 L INE % </v>
      </c>
      <c r="AS302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302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302" s="4" t="str">
        <f ca="1">IFERROR(__xludf.DUMMYFUNCTION("""COMPUTED_VALUE"""),"| 5 L JAVA % | 6 L NS % | 7 P PRO % | 9 P Python % ")</f>
        <v xml:space="preserve">| 5 L JAVA % | 6 L NS % | 7 P PRO % | 9 P Python % </v>
      </c>
      <c r="AV302" s="4" t="str">
        <f ca="1">IFERROR(__xludf.DUMMYFUNCTION("""COMPUTED_VALUE"""),"| 5 L INE % | 7 P NS % | 9 P Python % ")</f>
        <v xml:space="preserve">| 5 L INE % | 7 P NS % | 9 P Python % </v>
      </c>
      <c r="AW302" s="4" t="str">
        <f ca="1">IFERROR(__xludf.DUMMYFUNCTION("""COMPUTED_VALUE"""),"| 5 L CPT % | 6 L PHP-CGM % | 7 P JAVA % | 9 P CPT % ")</f>
        <v xml:space="preserve">| 5 L CPT % | 6 L PHP-CGM % | 7 P JAVA % | 9 P CPT % </v>
      </c>
      <c r="AX302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302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302" s="4" t="str">
        <f ca="1">IFERROR(__xludf.DUMMYFUNCTION("""COMPUTED_VALUE"""),"| 5 L INE @ | 7 P NS @ ")</f>
        <v xml:space="preserve">| 5 L INE @ | 7 P NS @ </v>
      </c>
      <c r="BA302" s="4" t="str">
        <f ca="1">IFERROR(__xludf.DUMMYFUNCTION("""COMPUTED_VALUE"""),"| 5 L CPT % | 6 L PHP-CGM % | 7 P JAVA @ | 9 P CPT @ ")</f>
        <v xml:space="preserve">| 5 L CPT % | 6 L PHP-CGM % | 7 P JAVA @ | 9 P CPT @ </v>
      </c>
      <c r="BB302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302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D302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302" s="4" t="str">
        <f ca="1">IFERROR(__xludf.DUMMYFUNCTION("""COMPUTED_VALUE"""),"| 5 L INE % | 7 P NS % | 9 P Python @ ")</f>
        <v xml:space="preserve">| 5 L INE % | 7 P NS % | 9 P Python @ </v>
      </c>
      <c r="BF302" s="4" t="str">
        <f ca="1">IFERROR(__xludf.DUMMYFUNCTION("""COMPUTED_VALUE"""),"| 5 L CPT % | 6 L PHP-CGM % | 7 P JAVA % | 9 P CPT % ")</f>
        <v xml:space="preserve">| 5 L CPT % | 6 L PHP-CGM % | 7 P JAVA % | 9 P CPT % </v>
      </c>
      <c r="BG302" s="4" t="str">
        <f ca="1">IFERROR(__xludf.DUMMYFUNCTION("""COMPUTED_VALUE"""),"| 5 L PHP-CGM % | 6 L CPT % | 7 L JAVA % | 8 L NS % | 9 P JAVA @ ")</f>
        <v xml:space="preserve">| 5 L PHP-CGM % | 6 L CPT % | 7 L JAVA % | 8 L NS % | 9 P JAVA @ </v>
      </c>
      <c r="BH302" s="4" t="str">
        <f ca="1">IFERROR(__xludf.DUMMYFUNCTION("""COMPUTED_VALUE"""),"| 5 L JAVA % | 6 L NS % | 7 L PRO @ | 9 P Python % ")</f>
        <v xml:space="preserve">| 5 L JAVA % | 6 L NS % | 7 L PRO @ | 9 P Python % </v>
      </c>
      <c r="BI302" s="4" t="str">
        <f ca="1">IFERROR(__xludf.DUMMYFUNCTION("""COMPUTED_VALUE"""),"| 5 L INE @ | 7 P NS @ | 9 P Python @ ")</f>
        <v xml:space="preserve">| 5 L INE @ | 7 P NS @ | 9 P Python @ </v>
      </c>
      <c r="BJ302" s="4" t="str">
        <f ca="1">IFERROR(__xludf.DUMMYFUNCTION("""COMPUTED_VALUE"""),"| 5 L CPT % | 6 L PHP-CGM % | 7 P JAVA % | 9 P CPT % ")</f>
        <v xml:space="preserve">| 5 L CPT % | 6 L PHP-CGM % | 7 P JAVA % | 9 P CPT % </v>
      </c>
      <c r="BK302" s="4" t="str">
        <f ca="1">IFERROR(__xludf.DUMMYFUNCTION("""COMPUTED_VALUE"""),"| 5 L JAVA @ | 7 L PHP-CGM @ | 8 L CPT @ | 9 P PHP-CGM @ ")</f>
        <v xml:space="preserve">| 5 L JAVA @ | 7 L PHP-CGM @ | 8 L CPT @ | 9 P PHP-CGM @ </v>
      </c>
      <c r="BL302" s="4" t="str">
        <f ca="1">IFERROR(__xludf.DUMMYFUNCTION("""COMPUTED_VALUE"""),"| 5 L PHP-CGM % | 6 L CPT % | 8 L NS @ ")</f>
        <v xml:space="preserve">| 5 L PHP-CGM % | 6 L CPT % | 8 L NS @ </v>
      </c>
      <c r="BM302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302" s="4" t="str">
        <f ca="1">IFERROR(__xludf.DUMMYFUNCTION("""COMPUTED_VALUE"""),"| 5 L INE @ | 7 P NS @ | 9 P Python @ ")</f>
        <v xml:space="preserve">| 5 L INE @ | 7 P NS @ | 9 P Python @ </v>
      </c>
      <c r="BO302" s="4" t="str">
        <f ca="1">IFERROR(__xludf.DUMMYFUNCTION("""COMPUTED_VALUE"""),"| 5 L CPT @ | 6 L PHP-CGM @ | 9 P CPT % ")</f>
        <v xml:space="preserve">| 5 L CPT @ | 6 L PHP-CGM @ | 9 P CPT % </v>
      </c>
      <c r="BP302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BQ302" s="4" t="str">
        <f ca="1">IFERROR(__xludf.DUMMYFUNCTION("""COMPUTED_VALUE"""),"| 5 L JAVA @ ")</f>
        <v xml:space="preserve">| 5 L JAVA @ </v>
      </c>
      <c r="BR302" s="4"/>
      <c r="BS302" s="4"/>
      <c r="BT302" s="4" t="str">
        <f ca="1">IFERROR(__xludf.DUMMYFUNCTION("""COMPUTED_VALUE"""),"| 7 L PHP-CGM @ | 8 L CPT @ ")</f>
        <v xml:space="preserve">| 7 L PHP-CGM @ | 8 L CPT @ </v>
      </c>
      <c r="BU302" s="4" t="str">
        <f ca="1">IFERROR(__xludf.DUMMYFUNCTION("""COMPUTED_VALUE"""),"| 8 L NS @ ")</f>
        <v xml:space="preserve">| 8 L NS @ </v>
      </c>
      <c r="BV302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302" s="4"/>
      <c r="BX302" s="4" t="str">
        <f ca="1">IFERROR(__xludf.DUMMYFUNCTION("""COMPUTED_VALUE"""),"| 5 L JAVA @ | 6 L NS @ | 7 L PRO @ | 9 P Python @ ")</f>
        <v xml:space="preserve">| 5 L JAVA @ | 6 L NS @ | 7 L PRO @ | 9 P Python @ </v>
      </c>
      <c r="BY302" s="4" t="str">
        <f ca="1">IFERROR(__xludf.DUMMYFUNCTION("""COMPUTED_VALUE"""),"| 5 L INE @ | 7 P NS % | 9 P Python @ ")</f>
        <v xml:space="preserve">| 5 L INE @ | 7 P NS % | 9 P Python @ </v>
      </c>
      <c r="BZ302" s="4" t="str">
        <f ca="1">IFERROR(__xludf.DUMMYFUNCTION("""COMPUTED_VALUE"""),"| 5 L CPT % | 6 L PHP-CGM % | 7 P JAVA % | 9 P CPT % ")</f>
        <v xml:space="preserve">| 5 L CPT % | 6 L PHP-CGM % | 7 P JAVA % | 9 P CPT % </v>
      </c>
      <c r="CA302" s="4" t="str">
        <f ca="1">IFERROR(__xludf.DUMMYFUNCTION("""COMPUTED_VALUE"""),"| 5 L JAVA % | 6 L JAVA % | 7 L PHP-CGM % | 8 L CPT % ")</f>
        <v xml:space="preserve">| 5 L JAVA % | 6 L JAVA % | 7 L PHP-CGM % | 8 L CPT % </v>
      </c>
      <c r="CB302" s="4" t="str">
        <f ca="1">IFERROR(__xludf.DUMMYFUNCTION("""COMPUTED_VALUE"""),"| 5 L PHP-CGM % | 6 L CPT % | 7 L NS % | 9 P JAVA @ ")</f>
        <v xml:space="preserve">| 5 L PHP-CGM % | 6 L CPT % | 7 L NS % | 9 P JAVA @ </v>
      </c>
      <c r="CC302" s="4" t="str">
        <f ca="1">IFERROR(__xludf.DUMMYFUNCTION("""COMPUTED_VALUE"""),"| 5 L JAVA % | 6 L NS % | 9 P Python @ ")</f>
        <v xml:space="preserve">| 5 L JAVA % | 6 L NS % | 9 P Python @ </v>
      </c>
      <c r="CD302" s="4" t="str">
        <f ca="1">IFERROR(__xludf.DUMMYFUNCTION("""COMPUTED_VALUE"""),"| 5 L INE % | 7 P NS % | 9 P Python % ")</f>
        <v xml:space="preserve">| 5 L INE % | 7 P NS % | 9 P Python % </v>
      </c>
      <c r="CE302" s="4" t="str">
        <f ca="1">IFERROR(__xludf.DUMMYFUNCTION("""COMPUTED_VALUE"""),"| 5 L CPT % | 6 L PHP-CGM % | 7 P JAVA % | 9 P CPT % ")</f>
        <v xml:space="preserve">| 5 L CPT % | 6 L PHP-CGM % | 7 P JAVA % | 9 P CPT % </v>
      </c>
      <c r="CF302" s="4" t="str">
        <f ca="1">IFERROR(__xludf.DUMMYFUNCTION("""COMPUTED_VALUE"""),"| 5 L JAVA @ | 6 L NS @ | 7 L PHP-CGM @ | 8 L CPT @ | 9 P PHP-CGM % ")</f>
        <v xml:space="preserve">| 5 L JAVA @ | 6 L NS @ | 7 L PHP-CGM @ | 8 L CPT @ | 9 P PHP-CGM % </v>
      </c>
      <c r="CG302" s="4" t="str">
        <f ca="1">IFERROR(__xludf.DUMMYFUNCTION("""COMPUTED_VALUE"""),"| 5 L PHP-CGM % | 6 L CPT % | 7 L JAVA @ | 8 L NS @ | 9 P JAVA % ")</f>
        <v xml:space="preserve">| 5 L PHP-CGM % | 6 L CPT % | 7 L JAVA @ | 8 L NS @ | 9 P JAVA % </v>
      </c>
      <c r="CH302" s="4" t="str">
        <f ca="1">IFERROR(__xludf.DUMMYFUNCTION("""COMPUTED_VALUE"""),"| 5 L JAVA @ | 6 L NS @ | 9 P Python % ")</f>
        <v xml:space="preserve">| 5 L JAVA @ | 6 L NS @ | 9 P Python % </v>
      </c>
      <c r="CI302" s="4" t="str">
        <f ca="1">IFERROR(__xludf.DUMMYFUNCTION("""COMPUTED_VALUE"""),"| 5 L INE @ | 7 P NS % ")</f>
        <v xml:space="preserve">| 5 L INE @ | 7 P NS % </v>
      </c>
      <c r="CJ302" s="4" t="str">
        <f ca="1">IFERROR(__xludf.DUMMYFUNCTION("""COMPUTED_VALUE"""),"| 5 L CPT % | 6 L PHP-CGM @ | 9 P CPT % ")</f>
        <v xml:space="preserve">| 5 L CPT % | 6 L PHP-CGM @ | 9 P CPT % </v>
      </c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</row>
    <row r="303" spans="1:102" ht="12.5" x14ac:dyDescent="0.25">
      <c r="A303" s="3">
        <f ca="1">IFERROR(__xludf.DUMMYFUNCTION("""COMPUTED_VALUE"""),2)</f>
        <v>2</v>
      </c>
      <c r="B303" s="3" t="str">
        <f ca="1">IFERROR(__xludf.DUMMYFUNCTION("""COMPUTED_VALUE"""),"D")</f>
        <v>D</v>
      </c>
      <c r="C303" s="32" t="str">
        <f ca="1">IFERROR(__xludf.DUMMYFUNCTION("""COMPUTED_VALUE"""),"23171341102")</f>
        <v>23171341102</v>
      </c>
      <c r="D303" s="4" t="str">
        <f ca="1">IFERROR(__xludf.DUMMYFUNCTION("""COMPUTED_VALUE"""),"PATEL MAHI SANJAYBHAI")</f>
        <v>PATEL MAHI SANJAYBHAI</v>
      </c>
      <c r="E303" s="3" t="str">
        <f ca="1">IFERROR(__xludf.DUMMYFUNCTION("""COMPUTED_VALUE"""),"ZPP - Eve")</f>
        <v>ZPP - Eve</v>
      </c>
      <c r="F303" s="3">
        <f ca="1">IFERROR(__xludf.DUMMYFUNCTION("""COMPUTED_VALUE"""),9727094747)</f>
        <v>9727094747</v>
      </c>
      <c r="G303" s="3">
        <f ca="1">IFERROR(__xludf.DUMMYFUNCTION("""COMPUTED_VALUE"""),9727094747)</f>
        <v>9727094747</v>
      </c>
      <c r="H303" s="33">
        <f ca="1">IFERROR(__xludf.DUMMYFUNCTION("""COMPUTED_VALUE"""),0.924369747899159)</f>
        <v>0.92436974789915904</v>
      </c>
      <c r="I303" s="25">
        <f ca="1">IFERROR(__xludf.DUMMYFUNCTION("""COMPUTED_VALUE"""),0.885714285714285)</f>
        <v>0.88571428571428501</v>
      </c>
      <c r="J303" s="25">
        <f ca="1">IFERROR(__xludf.DUMMYFUNCTION("""COMPUTED_VALUE"""),0.916666666666666)</f>
        <v>0.91666666666666596</v>
      </c>
      <c r="K303" s="25">
        <f ca="1">IFERROR(__xludf.DUMMYFUNCTION("""COMPUTED_VALUE"""),0.9375)</f>
        <v>0.9375</v>
      </c>
      <c r="L303" s="25">
        <f ca="1">IFERROR(__xludf.DUMMYFUNCTION("""COMPUTED_VALUE"""),1)</f>
        <v>1</v>
      </c>
      <c r="M303" s="25">
        <f ca="1">IFERROR(__xludf.DUMMYFUNCTION("""COMPUTED_VALUE"""),0.888888888888888)</f>
        <v>0.88888888888888795</v>
      </c>
      <c r="N303" s="25">
        <f ca="1">IFERROR(__xludf.DUMMYFUNCTION("""COMPUTED_VALUE"""),0.909090909090909)</f>
        <v>0.90909090909090895</v>
      </c>
      <c r="O303" s="25">
        <f ca="1">IFERROR(__xludf.DUMMYFUNCTION("""COMPUTED_VALUE"""),0.916666666666666)</f>
        <v>0.91666666666666596</v>
      </c>
      <c r="P303" s="25">
        <f ca="1">IFERROR(__xludf.DUMMYFUNCTION("""COMPUTED_VALUE"""),1)</f>
        <v>1</v>
      </c>
      <c r="Q303" s="25">
        <f ca="1">IFERROR(__xludf.DUMMYFUNCTION("""COMPUTED_VALUE"""),0)</f>
        <v>0</v>
      </c>
      <c r="R303" s="25">
        <f ca="1">IFERROR(__xludf.DUMMYFUNCTION("""COMPUTED_VALUE"""),0.952380952380952)</f>
        <v>0.952380952380952</v>
      </c>
      <c r="S303" s="25">
        <f ca="1">IFERROR(__xludf.DUMMYFUNCTION("""COMPUTED_VALUE"""),0.923076923076923)</f>
        <v>0.92307692307692302</v>
      </c>
      <c r="T303" s="25">
        <f ca="1">IFERROR(__xludf.DUMMYFUNCTION("""COMPUTED_VALUE"""),1)</f>
        <v>1</v>
      </c>
      <c r="U303" s="25">
        <f ca="1">IFERROR(__xludf.DUMMYFUNCTION("""COMPUTED_VALUE"""),0.9)</f>
        <v>0.9</v>
      </c>
      <c r="V303" s="25">
        <f ca="1">IFERROR(__xludf.DUMMYFUNCTION("""COMPUTED_VALUE"""),0)</f>
        <v>0</v>
      </c>
      <c r="W303" s="4"/>
      <c r="X303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303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303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303" s="4" t="str">
        <f ca="1">IFERROR(__xludf.DUMMYFUNCTION("""COMPUTED_VALUE"""),"| 7 P NS % | 9 P Python % ")</f>
        <v xml:space="preserve">| 7 P NS % | 9 P Python % </v>
      </c>
      <c r="AB303" s="4" t="str">
        <f ca="1">IFERROR(__xludf.DUMMYFUNCTION("""COMPUTED_VALUE"""),"| 5 L JAVA % | 6 L PHP-CGM % | 7 P JAVA % | 9 P CPT % ")</f>
        <v xml:space="preserve">| 5 L JAVA % | 6 L PHP-CGM % | 7 P JAVA % | 9 P CPT % </v>
      </c>
      <c r="AC303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303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3" s="4" t="str">
        <f ca="1">IFERROR(__xludf.DUMMYFUNCTION("""COMPUTED_VALUE"""),"| 5 L JAVA % | 6 L NS % | 7 L PRO % | 9 P Python % ")</f>
        <v xml:space="preserve">| 5 L JAVA % | 6 L NS % | 7 L PRO % | 9 P Python % </v>
      </c>
      <c r="AF303" s="4" t="str">
        <f ca="1">IFERROR(__xludf.DUMMYFUNCTION("""COMPUTED_VALUE"""),"| 7 P NS % | 9 P Python % ")</f>
        <v xml:space="preserve">| 7 P NS % | 9 P Python % </v>
      </c>
      <c r="AG303" s="4" t="str">
        <f ca="1">IFERROR(__xludf.DUMMYFUNCTION("""COMPUTED_VALUE"""),"| 5 L CPT % | 6 L PHP-CGM % | 7 P JAVA % | 9 P CPT % ")</f>
        <v xml:space="preserve">| 5 L CPT % | 6 L PHP-CGM % | 7 P JAVA % | 9 P CPT % </v>
      </c>
      <c r="AH303" s="4" t="str">
        <f ca="1">IFERROR(__xludf.DUMMYFUNCTION("""COMPUTED_VALUE"""),"| 7 P NS % | 9 P Python % ")</f>
        <v xml:space="preserve">| 7 P NS % | 9 P Python % </v>
      </c>
      <c r="AI303" s="4" t="str">
        <f ca="1">IFERROR(__xludf.DUMMYFUNCTION("""COMPUTED_VALUE"""),"| 5 L CPT % | 6 L PHP-CGM % | 7 P JAVA % | 9 P CPT % ")</f>
        <v xml:space="preserve">| 5 L CPT % | 6 L PHP-CGM % | 7 P JAVA % | 9 P CPT % </v>
      </c>
      <c r="AJ303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303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303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3" s="4" t="str">
        <f ca="1">IFERROR(__xludf.DUMMYFUNCTION("""COMPUTED_VALUE"""),"| 5 L INE % | 7 P NS % | 9 P Python % ")</f>
        <v xml:space="preserve">| 5 L INE % | 7 P NS % | 9 P Python % </v>
      </c>
      <c r="AN303" s="4" t="str">
        <f ca="1">IFERROR(__xludf.DUMMYFUNCTION("""COMPUTED_VALUE"""),"| 5 L CPT % | 6 L PHP-CGM % | 7 P JAVA % | 9 P CPT % ")</f>
        <v xml:space="preserve">| 5 L CPT % | 6 L PHP-CGM % | 7 P JAVA % | 9 P CPT % </v>
      </c>
      <c r="AO303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303" s="4" t="str">
        <f ca="1">IFERROR(__xludf.DUMMYFUNCTION("""COMPUTED_VALUE"""),"| 5 L PHP-CGM % | 6 L CPT % | 7 L JAVA % | 7 L NS % ")</f>
        <v xml:space="preserve">| 5 L PHP-CGM % | 6 L CPT % | 7 L JAVA % | 7 L NS % </v>
      </c>
      <c r="AQ303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303" s="4" t="str">
        <f ca="1">IFERROR(__xludf.DUMMYFUNCTION("""COMPUTED_VALUE"""),"| 5 L INE % ")</f>
        <v xml:space="preserve">| 5 L INE % </v>
      </c>
      <c r="AS303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303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303" s="4" t="str">
        <f ca="1">IFERROR(__xludf.DUMMYFUNCTION("""COMPUTED_VALUE"""),"| 5 L JAVA % | 6 L NS % | 7 P PRO % | 9 P Python % ")</f>
        <v xml:space="preserve">| 5 L JAVA % | 6 L NS % | 7 P PRO % | 9 P Python % </v>
      </c>
      <c r="AV303" s="4" t="str">
        <f ca="1">IFERROR(__xludf.DUMMYFUNCTION("""COMPUTED_VALUE"""),"| 5 L INE % | 7 P NS % | 9 P Python % ")</f>
        <v xml:space="preserve">| 5 L INE % | 7 P NS % | 9 P Python % </v>
      </c>
      <c r="AW303" s="4" t="str">
        <f ca="1">IFERROR(__xludf.DUMMYFUNCTION("""COMPUTED_VALUE"""),"| 5 L CPT % | 6 L PHP-CGM % | 7 P JAVA % | 9 P CPT % ")</f>
        <v xml:space="preserve">| 5 L CPT % | 6 L PHP-CGM % | 7 P JAVA % | 9 P CPT % </v>
      </c>
      <c r="AX303" s="4" t="str">
        <f ca="1">IFERROR(__xludf.DUMMYFUNCTION("""COMPUTED_VALUE"""),"| 5 L JAVA @ | 6 L JAVA @ | 7 L PHP-CGM @ | 8 L CPT @ | 9 P PHP-CGM % ")</f>
        <v xml:space="preserve">| 5 L JAVA @ | 6 L JAVA @ | 7 L PHP-CGM @ | 8 L CPT @ | 9 P PHP-CGM % </v>
      </c>
      <c r="AY303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303" s="4" t="str">
        <f ca="1">IFERROR(__xludf.DUMMYFUNCTION("""COMPUTED_VALUE"""),"| 5 L INE % | 7 P NS % ")</f>
        <v xml:space="preserve">| 5 L INE % | 7 P NS % </v>
      </c>
      <c r="BA303" s="4" t="str">
        <f ca="1">IFERROR(__xludf.DUMMYFUNCTION("""COMPUTED_VALUE"""),"| 5 L CPT % | 6 L PHP-CGM % | 7 P JAVA % | 9 P CPT % ")</f>
        <v xml:space="preserve">| 5 L CPT % | 6 L PHP-CGM % | 7 P JAVA % | 9 P CPT % </v>
      </c>
      <c r="BB303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303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D303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E303" s="4" t="str">
        <f ca="1">IFERROR(__xludf.DUMMYFUNCTION("""COMPUTED_VALUE"""),"| 5 L INE % | 7 P NS % | 9 P Python % ")</f>
        <v xml:space="preserve">| 5 L INE % | 7 P NS % | 9 P Python % </v>
      </c>
      <c r="BF303" s="4" t="str">
        <f ca="1">IFERROR(__xludf.DUMMYFUNCTION("""COMPUTED_VALUE"""),"| 5 L CPT % | 6 L PHP-CGM % | 7 P JAVA % | 9 P CPT % ")</f>
        <v xml:space="preserve">| 5 L CPT % | 6 L PHP-CGM % | 7 P JAVA % | 9 P CPT % </v>
      </c>
      <c r="BG303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303" s="4" t="str">
        <f ca="1">IFERROR(__xludf.DUMMYFUNCTION("""COMPUTED_VALUE"""),"| 5 L JAVA @ | 6 L NS @ | 7 L PRO @ | 9 P Python @ ")</f>
        <v xml:space="preserve">| 5 L JAVA @ | 6 L NS @ | 7 L PRO @ | 9 P Python @ </v>
      </c>
      <c r="BI303" s="4" t="str">
        <f ca="1">IFERROR(__xludf.DUMMYFUNCTION("""COMPUTED_VALUE"""),"| 5 L INE % | 7 P NS % | 9 P Python % ")</f>
        <v xml:space="preserve">| 5 L INE % | 7 P NS % | 9 P Python % </v>
      </c>
      <c r="BJ303" s="4" t="str">
        <f ca="1">IFERROR(__xludf.DUMMYFUNCTION("""COMPUTED_VALUE"""),"| 5 L CPT % | 6 L PHP-CGM % | 7 P JAVA % | 9 P CPT % ")</f>
        <v xml:space="preserve">| 5 L CPT % | 6 L PHP-CGM % | 7 P JAVA % | 9 P CPT % </v>
      </c>
      <c r="BK303" s="4" t="str">
        <f ca="1">IFERROR(__xludf.DUMMYFUNCTION("""COMPUTED_VALUE"""),"| 5 L JAVA % | 7 L PHP-CGM % | 8 L CPT % | 9 P PHP-CGM @ ")</f>
        <v xml:space="preserve">| 5 L JAVA % | 7 L PHP-CGM % | 8 L CPT % | 9 P PHP-CGM @ </v>
      </c>
      <c r="BL303" s="4" t="str">
        <f ca="1">IFERROR(__xludf.DUMMYFUNCTION("""COMPUTED_VALUE"""),"| 5 L PHP-CGM @ | 6 L CPT @ | 8 L NS @ ")</f>
        <v xml:space="preserve">| 5 L PHP-CGM @ | 6 L CPT @ | 8 L NS @ </v>
      </c>
      <c r="BM303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303" s="4" t="str">
        <f ca="1">IFERROR(__xludf.DUMMYFUNCTION("""COMPUTED_VALUE"""),"| 5 L INE @ | 7 P NS % | 9 P Python % ")</f>
        <v xml:space="preserve">| 5 L INE @ | 7 P NS % | 9 P Python % </v>
      </c>
      <c r="BO303" s="4" t="str">
        <f ca="1">IFERROR(__xludf.DUMMYFUNCTION("""COMPUTED_VALUE"""),"| 5 L CPT @ | 6 L PHP-CGM @ | 9 P CPT @ ")</f>
        <v xml:space="preserve">| 5 L CPT @ | 6 L PHP-CGM @ | 9 P CPT @ </v>
      </c>
      <c r="BP303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BQ303" s="4" t="str">
        <f ca="1">IFERROR(__xludf.DUMMYFUNCTION("""COMPUTED_VALUE"""),"| 5 L JAVA % ")</f>
        <v xml:space="preserve">| 5 L JAVA % </v>
      </c>
      <c r="BR303" s="4"/>
      <c r="BS303" s="4"/>
      <c r="BT303" s="4" t="str">
        <f ca="1">IFERROR(__xludf.DUMMYFUNCTION("""COMPUTED_VALUE"""),"| 7 L PHP-CGM % | 8 L CPT % ")</f>
        <v xml:space="preserve">| 7 L PHP-CGM % | 8 L CPT % </v>
      </c>
      <c r="BU303" s="4" t="str">
        <f ca="1">IFERROR(__xludf.DUMMYFUNCTION("""COMPUTED_VALUE"""),"| 8 L NS % ")</f>
        <v xml:space="preserve">| 8 L NS % </v>
      </c>
      <c r="BV303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303" s="4"/>
      <c r="BX303" s="4" t="str">
        <f ca="1">IFERROR(__xludf.DUMMYFUNCTION("""COMPUTED_VALUE"""),"| 5 L JAVA % | 6 L NS % | 7 L PRO % | 9 P Python % ")</f>
        <v xml:space="preserve">| 5 L JAVA % | 6 L NS % | 7 L PRO % | 9 P Python % </v>
      </c>
      <c r="BY303" s="4" t="str">
        <f ca="1">IFERROR(__xludf.DUMMYFUNCTION("""COMPUTED_VALUE"""),"| 5 L INE % | 7 P NS % | 9 P Python % ")</f>
        <v xml:space="preserve">| 5 L INE % | 7 P NS % | 9 P Python % </v>
      </c>
      <c r="BZ303" s="4" t="str">
        <f ca="1">IFERROR(__xludf.DUMMYFUNCTION("""COMPUTED_VALUE"""),"| 5 L CPT % | 6 L PHP-CGM % | 7 P JAVA % | 9 P CPT % ")</f>
        <v xml:space="preserve">| 5 L CPT % | 6 L PHP-CGM % | 7 P JAVA % | 9 P CPT % </v>
      </c>
      <c r="CA303" s="4" t="str">
        <f ca="1">IFERROR(__xludf.DUMMYFUNCTION("""COMPUTED_VALUE"""),"| 5 L JAVA % | 6 L JAVA % | 7 L PHP-CGM % | 8 L CPT % ")</f>
        <v xml:space="preserve">| 5 L JAVA % | 6 L JAVA % | 7 L PHP-CGM % | 8 L CPT % </v>
      </c>
      <c r="CB303" s="4" t="str">
        <f ca="1">IFERROR(__xludf.DUMMYFUNCTION("""COMPUTED_VALUE"""),"| 5 L PHP-CGM % | 6 L CPT % | 7 L NS % | 9 P JAVA % ")</f>
        <v xml:space="preserve">| 5 L PHP-CGM % | 6 L CPT % | 7 L NS % | 9 P JAVA % </v>
      </c>
      <c r="CC303" s="4" t="str">
        <f ca="1">IFERROR(__xludf.DUMMYFUNCTION("""COMPUTED_VALUE"""),"| 5 L JAVA % | 6 L NS % | 9 P Python % ")</f>
        <v xml:space="preserve">| 5 L JAVA % | 6 L NS % | 9 P Python % </v>
      </c>
      <c r="CD303" s="4" t="str">
        <f ca="1">IFERROR(__xludf.DUMMYFUNCTION("""COMPUTED_VALUE"""),"| 5 L INE % | 7 P NS % | 9 P Python % ")</f>
        <v xml:space="preserve">| 5 L INE % | 7 P NS % | 9 P Python % </v>
      </c>
      <c r="CE303" s="4" t="str">
        <f ca="1">IFERROR(__xludf.DUMMYFUNCTION("""COMPUTED_VALUE"""),"| 5 L CPT % | 6 L PHP-CGM % | 7 P JAVA % | 9 P CPT % ")</f>
        <v xml:space="preserve">| 5 L CPT % | 6 L PHP-CGM % | 7 P JAVA % | 9 P CPT % </v>
      </c>
      <c r="CF303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303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CH303" s="4" t="str">
        <f ca="1">IFERROR(__xludf.DUMMYFUNCTION("""COMPUTED_VALUE"""),"| 5 L JAVA % | 6 L NS % | 9 P Python % ")</f>
        <v xml:space="preserve">| 5 L JAVA % | 6 L NS % | 9 P Python % </v>
      </c>
      <c r="CI303" s="4" t="str">
        <f ca="1">IFERROR(__xludf.DUMMYFUNCTION("""COMPUTED_VALUE"""),"| 5 L INE % | 7 P NS % ")</f>
        <v xml:space="preserve">| 5 L INE % | 7 P NS % </v>
      </c>
      <c r="CJ303" s="4" t="str">
        <f ca="1">IFERROR(__xludf.DUMMYFUNCTION("""COMPUTED_VALUE"""),"| 5 L CPT % | 6 L PHP-CGM % | 9 P CPT % ")</f>
        <v xml:space="preserve">| 5 L CPT % | 6 L PHP-CGM % | 9 P CPT % </v>
      </c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</row>
    <row r="304" spans="1:102" ht="12.5" x14ac:dyDescent="0.25">
      <c r="A304" s="3">
        <f ca="1">IFERROR(__xludf.DUMMYFUNCTION("""COMPUTED_VALUE"""),2)</f>
        <v>2</v>
      </c>
      <c r="B304" s="3" t="str">
        <f ca="1">IFERROR(__xludf.DUMMYFUNCTION("""COMPUTED_VALUE"""),"D")</f>
        <v>D</v>
      </c>
      <c r="C304" s="32" t="str">
        <f ca="1">IFERROR(__xludf.DUMMYFUNCTION("""COMPUTED_VALUE"""),"23171341104")</f>
        <v>23171341104</v>
      </c>
      <c r="D304" s="4" t="str">
        <f ca="1">IFERROR(__xludf.DUMMYFUNCTION("""COMPUTED_VALUE"""),"PATEL MARYA MANUBHAI")</f>
        <v>PATEL MARYA MANUBHAI</v>
      </c>
      <c r="E304" s="3" t="str">
        <f ca="1">IFERROR(__xludf.DUMMYFUNCTION("""COMPUTED_VALUE"""),"ZPP - Eve")</f>
        <v>ZPP - Eve</v>
      </c>
      <c r="F304" s="3">
        <f ca="1">IFERROR(__xludf.DUMMYFUNCTION("""COMPUTED_VALUE"""),9106435454)</f>
        <v>9106435454</v>
      </c>
      <c r="G304" s="3">
        <f ca="1">IFERROR(__xludf.DUMMYFUNCTION("""COMPUTED_VALUE"""),9904356487)</f>
        <v>9904356487</v>
      </c>
      <c r="H304" s="33">
        <f ca="1">IFERROR(__xludf.DUMMYFUNCTION("""COMPUTED_VALUE"""),0.470588235294117)</f>
        <v>0.47058823529411697</v>
      </c>
      <c r="I304" s="25">
        <f ca="1">IFERROR(__xludf.DUMMYFUNCTION("""COMPUTED_VALUE"""),0.4)</f>
        <v>0.4</v>
      </c>
      <c r="J304" s="25">
        <f ca="1">IFERROR(__xludf.DUMMYFUNCTION("""COMPUTED_VALUE"""),0.166666666666666)</f>
        <v>0.16666666666666599</v>
      </c>
      <c r="K304" s="25">
        <f ca="1">IFERROR(__xludf.DUMMYFUNCTION("""COMPUTED_VALUE"""),0.59375)</f>
        <v>0.59375</v>
      </c>
      <c r="L304" s="25">
        <f ca="1">IFERROR(__xludf.DUMMYFUNCTION("""COMPUTED_VALUE"""),0.583333333333333)</f>
        <v>0.58333333333333304</v>
      </c>
      <c r="M304" s="25">
        <f ca="1">IFERROR(__xludf.DUMMYFUNCTION("""COMPUTED_VALUE"""),0.444444444444444)</f>
        <v>0.44444444444444398</v>
      </c>
      <c r="N304" s="25">
        <f ca="1">IFERROR(__xludf.DUMMYFUNCTION("""COMPUTED_VALUE"""),0.181818181818181)</f>
        <v>0.18181818181818099</v>
      </c>
      <c r="O304" s="25">
        <f ca="1">IFERROR(__xludf.DUMMYFUNCTION("""COMPUTED_VALUE"""),0.555555555555555)</f>
        <v>0.55555555555555503</v>
      </c>
      <c r="P304" s="25">
        <f ca="1">IFERROR(__xludf.DUMMYFUNCTION("""COMPUTED_VALUE"""),0.526315789473684)</f>
        <v>0.52631578947368396</v>
      </c>
      <c r="Q304" s="25">
        <f ca="1">IFERROR(__xludf.DUMMYFUNCTION("""COMPUTED_VALUE"""),0)</f>
        <v>0</v>
      </c>
      <c r="R304" s="25">
        <f ca="1">IFERROR(__xludf.DUMMYFUNCTION("""COMPUTED_VALUE"""),0.285714285714285)</f>
        <v>0.28571428571428498</v>
      </c>
      <c r="S304" s="25">
        <f ca="1">IFERROR(__xludf.DUMMYFUNCTION("""COMPUTED_VALUE"""),0.769230769230769)</f>
        <v>0.76923076923076905</v>
      </c>
      <c r="T304" s="25">
        <f ca="1">IFERROR(__xludf.DUMMYFUNCTION("""COMPUTED_VALUE"""),1)</f>
        <v>1</v>
      </c>
      <c r="U304" s="25">
        <f ca="1">IFERROR(__xludf.DUMMYFUNCTION("""COMPUTED_VALUE"""),0.5)</f>
        <v>0.5</v>
      </c>
      <c r="V304" s="25">
        <f ca="1">IFERROR(__xludf.DUMMYFUNCTION("""COMPUTED_VALUE"""),0)</f>
        <v>0</v>
      </c>
      <c r="W304" s="4"/>
      <c r="X304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304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304" s="4" t="str">
        <f ca="1">IFERROR(__xludf.DUMMYFUNCTION("""COMPUTED_VALUE"""),"| 5 L NS % | 6 L JAVA % | 7 L PRO % | 8 L PRO % | 9 P Python @ ")</f>
        <v xml:space="preserve">| 5 L NS % | 6 L JAVA % | 7 L PRO % | 8 L PRO % | 9 P Python @ </v>
      </c>
      <c r="AA304" s="4" t="str">
        <f ca="1">IFERROR(__xludf.DUMMYFUNCTION("""COMPUTED_VALUE"""),"| 7 P NS % | 9 P Python % ")</f>
        <v xml:space="preserve">| 7 P NS % | 9 P Python % </v>
      </c>
      <c r="AB304" s="4" t="str">
        <f ca="1">IFERROR(__xludf.DUMMYFUNCTION("""COMPUTED_VALUE"""),"| 5 L JAVA % | 6 L PHP-CGM % | 7 P JAVA % | 9 P CPT @ ")</f>
        <v xml:space="preserve">| 5 L JAVA % | 6 L PHP-CGM % | 7 P JAVA % | 9 P CPT @ </v>
      </c>
      <c r="AC304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304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4" s="4" t="str">
        <f ca="1">IFERROR(__xludf.DUMMYFUNCTION("""COMPUTED_VALUE"""),"| 5 L JAVA % | 6 L NS % | 7 L PRO % | 9 P Python @ ")</f>
        <v xml:space="preserve">| 5 L JAVA % | 6 L NS % | 7 L PRO % | 9 P Python @ </v>
      </c>
      <c r="AF304" s="4" t="str">
        <f ca="1">IFERROR(__xludf.DUMMYFUNCTION("""COMPUTED_VALUE"""),"| 7 P NS % | 9 P Python % ")</f>
        <v xml:space="preserve">| 7 P NS % | 9 P Python % </v>
      </c>
      <c r="AG304" s="4" t="str">
        <f ca="1">IFERROR(__xludf.DUMMYFUNCTION("""COMPUTED_VALUE"""),"| 5 L CPT % | 6 L PHP-CGM % | 7 P JAVA % | 9 P CPT @ ")</f>
        <v xml:space="preserve">| 5 L CPT % | 6 L PHP-CGM % | 7 P JAVA % | 9 P CPT @ </v>
      </c>
      <c r="AH304" s="4" t="str">
        <f ca="1">IFERROR(__xludf.DUMMYFUNCTION("""COMPUTED_VALUE"""),"| 7 P NS % | 9 P Python % ")</f>
        <v xml:space="preserve">| 7 P NS % | 9 P Python % </v>
      </c>
      <c r="AI304" s="4" t="str">
        <f ca="1">IFERROR(__xludf.DUMMYFUNCTION("""COMPUTED_VALUE"""),"| 5 L CPT % | 6 L PHP-CGM % | 7 P JAVA % | 9 P CPT % ")</f>
        <v xml:space="preserve">| 5 L CPT % | 6 L PHP-CGM % | 7 P JAVA % | 9 P CPT % </v>
      </c>
      <c r="AJ304" s="4" t="str">
        <f ca="1">IFERROR(__xludf.DUMMYFUNCTION("""COMPUTED_VALUE"""),"| 5 L JAVA % | 6 L NS % | 7 L PHP-CGM @ | 8 L CPT @ | 9 P PHP-CGM @ ")</f>
        <v xml:space="preserve">| 5 L JAVA % | 6 L NS % | 7 L PHP-CGM @ | 8 L CPT @ | 9 P PHP-CGM @ </v>
      </c>
      <c r="AK304" s="4" t="str">
        <f ca="1">IFERROR(__xludf.DUMMYFUNCTION("""COMPUTED_VALUE"""),"| 5 L PHP-CGM @ | 6 L CPT @ | 8 L JAVA @ | 7 L NS @ | 9 P JAVA @ ")</f>
        <v xml:space="preserve">| 5 L PHP-CGM @ | 6 L CPT @ | 8 L JAVA @ | 7 L NS @ | 9 P JAVA @ </v>
      </c>
      <c r="AL304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4" s="4" t="str">
        <f ca="1">IFERROR(__xludf.DUMMYFUNCTION("""COMPUTED_VALUE"""),"| 5 L INE % | 7 P NS @ | 9 P Python @ ")</f>
        <v xml:space="preserve">| 5 L INE % | 7 P NS @ | 9 P Python @ </v>
      </c>
      <c r="AN304" s="4" t="str">
        <f ca="1">IFERROR(__xludf.DUMMYFUNCTION("""COMPUTED_VALUE"""),"| 5 L CPT @ | 6 L PHP-CGM @ | 7 P JAVA @ | 9 P CPT @ ")</f>
        <v xml:space="preserve">| 5 L CPT @ | 6 L PHP-CGM @ | 7 P JAVA @ | 9 P CPT @ </v>
      </c>
      <c r="AO304" s="4" t="str">
        <f ca="1">IFERROR(__xludf.DUMMYFUNCTION("""COMPUTED_VALUE"""),"| 5 L JAVA % | 5 L NS % | 7 L PHP-CGM % | 8 L CPT % | 9 P PHP-CGM @ ")</f>
        <v xml:space="preserve">| 5 L JAVA % | 5 L NS % | 7 L PHP-CGM % | 8 L CPT % | 9 P PHP-CGM @ </v>
      </c>
      <c r="AP304" s="4" t="str">
        <f ca="1">IFERROR(__xludf.DUMMYFUNCTION("""COMPUTED_VALUE"""),"| 5 L PHP-CGM @ | 6 L CPT @ | 7 L JAVA % | 7 L NS % ")</f>
        <v xml:space="preserve">| 5 L PHP-CGM @ | 6 L CPT @ | 7 L JAVA % | 7 L NS % </v>
      </c>
      <c r="AQ304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AR304" s="4" t="str">
        <f ca="1">IFERROR(__xludf.DUMMYFUNCTION("""COMPUTED_VALUE"""),"| 5 L INE @ ")</f>
        <v xml:space="preserve">| 5 L INE @ </v>
      </c>
      <c r="AS304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T304" s="4" t="str">
        <f ca="1">IFERROR(__xludf.DUMMYFUNCTION("""COMPUTED_VALUE"""),"| 5 L PHP-CGM % | 6 L CPT % | 7 L JAVA @ | 8 L JAVA @ | 9 P JAVA @ ")</f>
        <v xml:space="preserve">| 5 L PHP-CGM % | 6 L CPT % | 7 L JAVA @ | 8 L JAVA @ | 9 P JAVA @ </v>
      </c>
      <c r="AU304" s="4" t="str">
        <f ca="1">IFERROR(__xludf.DUMMYFUNCTION("""COMPUTED_VALUE"""),"| 5 L JAVA % | 6 L NS % | 7 P PRO % | 9 P Python @ ")</f>
        <v xml:space="preserve">| 5 L JAVA % | 6 L NS % | 7 P PRO % | 9 P Python @ </v>
      </c>
      <c r="AV304" s="4" t="str">
        <f ca="1">IFERROR(__xludf.DUMMYFUNCTION("""COMPUTED_VALUE"""),"| 5 L INE % | 7 P NS % | 9 P Python @ ")</f>
        <v xml:space="preserve">| 5 L INE % | 7 P NS % | 9 P Python @ </v>
      </c>
      <c r="AW304" s="4" t="str">
        <f ca="1">IFERROR(__xludf.DUMMYFUNCTION("""COMPUTED_VALUE"""),"| 5 L CPT % | 6 L PHP-CGM % | 7 P JAVA @ | 9 P CPT @ ")</f>
        <v xml:space="preserve">| 5 L CPT % | 6 L PHP-CGM % | 7 P JAVA @ | 9 P CPT @ </v>
      </c>
      <c r="AX304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AY304" s="4" t="str">
        <f ca="1">IFERROR(__xludf.DUMMYFUNCTION("""COMPUTED_VALUE"""),"| 5 L PHP-CGM @ | 6 L CPT @ | 7 L NS @ | 8 L NS @ | 9 P JAVA @ ")</f>
        <v xml:space="preserve">| 5 L PHP-CGM @ | 6 L CPT @ | 7 L NS @ | 8 L NS @ | 9 P JAVA @ </v>
      </c>
      <c r="AZ304" s="4" t="str">
        <f ca="1">IFERROR(__xludf.DUMMYFUNCTION("""COMPUTED_VALUE"""),"| 5 L INE % | 7 P NS @ ")</f>
        <v xml:space="preserve">| 5 L INE % | 7 P NS @ </v>
      </c>
      <c r="BA304" s="4" t="str">
        <f ca="1">IFERROR(__xludf.DUMMYFUNCTION("""COMPUTED_VALUE"""),"| 5 L CPT @ | 6 L PHP-CGM @ | 7 P JAVA @ | 9 P CPT @ ")</f>
        <v xml:space="preserve">| 5 L CPT @ | 6 L PHP-CGM @ | 7 P JAVA @ | 9 P CPT @ </v>
      </c>
      <c r="BB304" s="4" t="str">
        <f ca="1">IFERROR(__xludf.DUMMYFUNCTION("""COMPUTED_VALUE"""),"| 5 L JAVA % | 6 L NS % | 7 L PHP-CGM % | 8 L CPT % | 9 P PHP-CGM @ ")</f>
        <v xml:space="preserve">| 5 L JAVA % | 6 L NS % | 7 L PHP-CGM % | 8 L CPT % | 9 P PHP-CGM @ </v>
      </c>
      <c r="BC304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D304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E304" s="4" t="str">
        <f ca="1">IFERROR(__xludf.DUMMYFUNCTION("""COMPUTED_VALUE"""),"| 5 L INE % | 7 P NS % | 9 P Python % ")</f>
        <v xml:space="preserve">| 5 L INE % | 7 P NS % | 9 P Python % </v>
      </c>
      <c r="BF304" s="4" t="str">
        <f ca="1">IFERROR(__xludf.DUMMYFUNCTION("""COMPUTED_VALUE"""),"| 5 L CPT % | 6 L PHP-CGM % | 7 P JAVA % | 9 P CPT % ")</f>
        <v xml:space="preserve">| 5 L CPT % | 6 L PHP-CGM % | 7 P JAVA % | 9 P CPT % </v>
      </c>
      <c r="BG304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304" s="4" t="str">
        <f ca="1">IFERROR(__xludf.DUMMYFUNCTION("""COMPUTED_VALUE"""),"| 5 L JAVA % | 6 L NS % | 7 L PRO % | 9 P Python @ ")</f>
        <v xml:space="preserve">| 5 L JAVA % | 6 L NS % | 7 L PRO % | 9 P Python @ </v>
      </c>
      <c r="BI304" s="4" t="str">
        <f ca="1">IFERROR(__xludf.DUMMYFUNCTION("""COMPUTED_VALUE"""),"| 5 L INE % | 7 P NS % | 9 P Python % ")</f>
        <v xml:space="preserve">| 5 L INE % | 7 P NS % | 9 P Python % </v>
      </c>
      <c r="BJ304" s="4" t="str">
        <f ca="1">IFERROR(__xludf.DUMMYFUNCTION("""COMPUTED_VALUE"""),"| 5 L CPT % | 6 L PHP-CGM % | 7 P JAVA % | 9 P CPT @ ")</f>
        <v xml:space="preserve">| 5 L CPT % | 6 L PHP-CGM % | 7 P JAVA % | 9 P CPT @ </v>
      </c>
      <c r="BK304" s="4" t="str">
        <f ca="1">IFERROR(__xludf.DUMMYFUNCTION("""COMPUTED_VALUE"""),"| 5 L JAVA @ | 7 L PHP-CGM % | 8 L CPT @ | 9 P PHP-CGM @ ")</f>
        <v xml:space="preserve">| 5 L JAVA @ | 7 L PHP-CGM % | 8 L CPT @ | 9 P PHP-CGM @ </v>
      </c>
      <c r="BL304" s="4" t="str">
        <f ca="1">IFERROR(__xludf.DUMMYFUNCTION("""COMPUTED_VALUE"""),"| 5 L PHP-CGM @ | 6 L CPT @ | 8 L NS @ ")</f>
        <v xml:space="preserve">| 5 L PHP-CGM @ | 6 L CPT @ | 8 L NS @ </v>
      </c>
      <c r="BM304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304" s="4" t="str">
        <f ca="1">IFERROR(__xludf.DUMMYFUNCTION("""COMPUTED_VALUE"""),"| 5 L INE @ | 7 P NS @ | 9 P Python @ ")</f>
        <v xml:space="preserve">| 5 L INE @ | 7 P NS @ | 9 P Python @ </v>
      </c>
      <c r="BO304" s="4" t="str">
        <f ca="1">IFERROR(__xludf.DUMMYFUNCTION("""COMPUTED_VALUE"""),"| 5 L CPT @ | 6 L PHP-CGM @ | 9 P CPT @ ")</f>
        <v xml:space="preserve">| 5 L CPT @ | 6 L PHP-CGM @ | 9 P CPT @ </v>
      </c>
      <c r="BP304" s="4" t="str">
        <f ca="1">IFERROR(__xludf.DUMMYFUNCTION("""COMPUTED_VALUE"""),"| 5 L JAVA % | 6 L JAVA % | 7 L PHP-CGM @ | 8 L CPT @ | 9 P PHP-CGM @ ")</f>
        <v xml:space="preserve">| 5 L JAVA % | 6 L JAVA % | 7 L PHP-CGM @ | 8 L CPT @ | 9 P PHP-CGM @ </v>
      </c>
      <c r="BQ304" s="4" t="str">
        <f ca="1">IFERROR(__xludf.DUMMYFUNCTION("""COMPUTED_VALUE"""),"| 5 L JAVA @ ")</f>
        <v xml:space="preserve">| 5 L JAVA @ </v>
      </c>
      <c r="BR304" s="4"/>
      <c r="BS304" s="4"/>
      <c r="BT304" s="4" t="str">
        <f ca="1">IFERROR(__xludf.DUMMYFUNCTION("""COMPUTED_VALUE"""),"| 7 L PHP-CGM @ | 8 L CPT @ ")</f>
        <v xml:space="preserve">| 7 L PHP-CGM @ | 8 L CPT @ </v>
      </c>
      <c r="BU304" s="4" t="str">
        <f ca="1">IFERROR(__xludf.DUMMYFUNCTION("""COMPUTED_VALUE"""),"| 8 L NS @ ")</f>
        <v xml:space="preserve">| 8 L NS @ </v>
      </c>
      <c r="BV304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304" s="4"/>
      <c r="BX304" s="4" t="str">
        <f ca="1">IFERROR(__xludf.DUMMYFUNCTION("""COMPUTED_VALUE"""),"| 5 L JAVA @ | 6 L NS @ | 7 L PRO @ | 9 P Python @ ")</f>
        <v xml:space="preserve">| 5 L JAVA @ | 6 L NS @ | 7 L PRO @ | 9 P Python @ </v>
      </c>
      <c r="BY304" s="4" t="str">
        <f ca="1">IFERROR(__xludf.DUMMYFUNCTION("""COMPUTED_VALUE"""),"| 5 L INE @ | 7 P NS @ | 9 P Python @ ")</f>
        <v xml:space="preserve">| 5 L INE @ | 7 P NS @ | 9 P Python @ </v>
      </c>
      <c r="BZ304" s="4" t="str">
        <f ca="1">IFERROR(__xludf.DUMMYFUNCTION("""COMPUTED_VALUE"""),"| 5 L CPT @ | 6 L PHP-CGM @ | 7 P JAVA @ | 9 P CPT @ ")</f>
        <v xml:space="preserve">| 5 L CPT @ | 6 L PHP-CGM @ | 7 P JAVA @ | 9 P CPT @ </v>
      </c>
      <c r="CA304" s="4" t="str">
        <f ca="1">IFERROR(__xludf.DUMMYFUNCTION("""COMPUTED_VALUE"""),"| 5 L JAVA @ | 6 L JAVA % | 7 L PHP-CGM @ | 8 L CPT @ ")</f>
        <v xml:space="preserve">| 5 L JAVA @ | 6 L JAVA % | 7 L PHP-CGM @ | 8 L CPT @ </v>
      </c>
      <c r="CB304" s="4" t="str">
        <f ca="1">IFERROR(__xludf.DUMMYFUNCTION("""COMPUTED_VALUE"""),"| 5 L PHP-CGM @ | 6 L CPT @ | 7 L NS @ | 9 P JAVA % ")</f>
        <v xml:space="preserve">| 5 L PHP-CGM @ | 6 L CPT @ | 7 L NS @ | 9 P JAVA % </v>
      </c>
      <c r="CC304" s="4" t="str">
        <f ca="1">IFERROR(__xludf.DUMMYFUNCTION("""COMPUTED_VALUE"""),"| 5 L JAVA @ | 6 L NS @ | 9 P Python @ ")</f>
        <v xml:space="preserve">| 5 L JAVA @ | 6 L NS @ | 9 P Python @ </v>
      </c>
      <c r="CD304" s="4" t="str">
        <f ca="1">IFERROR(__xludf.DUMMYFUNCTION("""COMPUTED_VALUE"""),"| 5 L INE @ | 7 P NS @ | 9 P Python @ ")</f>
        <v xml:space="preserve">| 5 L INE @ | 7 P NS @ | 9 P Python @ </v>
      </c>
      <c r="CE304" s="4" t="str">
        <f ca="1">IFERROR(__xludf.DUMMYFUNCTION("""COMPUTED_VALUE"""),"| 5 L CPT @ | 6 L PHP-CGM @ | 7 P JAVA @ | 9 P CPT @ ")</f>
        <v xml:space="preserve">| 5 L CPT @ | 6 L PHP-CGM @ | 7 P JAVA @ | 9 P CPT @ </v>
      </c>
      <c r="CF304" s="4" t="str">
        <f ca="1">IFERROR(__xludf.DUMMYFUNCTION("""COMPUTED_VALUE"""),"| 5 L JAVA @ | 6 L NS % | 7 L PHP-CGM @ | 8 L CPT @ | 9 P PHP-CGM @ ")</f>
        <v xml:space="preserve">| 5 L JAVA @ | 6 L NS % | 7 L PHP-CGM @ | 8 L CPT @ | 9 P PHP-CGM @ </v>
      </c>
      <c r="CG304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CH304" s="4" t="str">
        <f ca="1">IFERROR(__xludf.DUMMYFUNCTION("""COMPUTED_VALUE"""),"| 5 L JAVA @ | 6 L NS @ | 9 P Python @ ")</f>
        <v xml:space="preserve">| 5 L JAVA @ | 6 L NS @ | 9 P Python @ </v>
      </c>
      <c r="CI304" s="4" t="str">
        <f ca="1">IFERROR(__xludf.DUMMYFUNCTION("""COMPUTED_VALUE"""),"| 5 L INE @ | 7 P NS % ")</f>
        <v xml:space="preserve">| 5 L INE @ | 7 P NS % </v>
      </c>
      <c r="CJ304" s="4" t="str">
        <f ca="1">IFERROR(__xludf.DUMMYFUNCTION("""COMPUTED_VALUE"""),"| 5 L CPT @ | 6 L PHP-CGM @ | 9 P CPT @ ")</f>
        <v xml:space="preserve">| 5 L CPT @ | 6 L PHP-CGM @ | 9 P CPT @ </v>
      </c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</row>
    <row r="305" spans="1:102" ht="12.5" x14ac:dyDescent="0.25">
      <c r="A305" s="3">
        <f ca="1">IFERROR(__xludf.DUMMYFUNCTION("""COMPUTED_VALUE"""),2)</f>
        <v>2</v>
      </c>
      <c r="B305" s="3" t="str">
        <f ca="1">IFERROR(__xludf.DUMMYFUNCTION("""COMPUTED_VALUE"""),"D")</f>
        <v>D</v>
      </c>
      <c r="C305" s="32" t="str">
        <f ca="1">IFERROR(__xludf.DUMMYFUNCTION("""COMPUTED_VALUE"""),"23171341114")</f>
        <v>23171341114</v>
      </c>
      <c r="D305" s="4" t="str">
        <f ca="1">IFERROR(__xludf.DUMMYFUNCTION("""COMPUTED_VALUE"""),"PATEL PRITKUMAR RAJESHKUMAR")</f>
        <v>PATEL PRITKUMAR RAJESHKUMAR</v>
      </c>
      <c r="E305" s="3" t="str">
        <f ca="1">IFERROR(__xludf.DUMMYFUNCTION("""COMPUTED_VALUE"""),"ZPP - Eve")</f>
        <v>ZPP - Eve</v>
      </c>
      <c r="F305" s="3">
        <f ca="1">IFERROR(__xludf.DUMMYFUNCTION("""COMPUTED_VALUE"""),9265919086)</f>
        <v>9265919086</v>
      </c>
      <c r="G305" s="3">
        <f ca="1">IFERROR(__xludf.DUMMYFUNCTION("""COMPUTED_VALUE"""),8155940942)</f>
        <v>8155940942</v>
      </c>
      <c r="H305" s="33">
        <f ca="1">IFERROR(__xludf.DUMMYFUNCTION("""COMPUTED_VALUE"""),0.15126050420168)</f>
        <v>0.15126050420168</v>
      </c>
      <c r="I305" s="25">
        <f ca="1">IFERROR(__xludf.DUMMYFUNCTION("""COMPUTED_VALUE"""),0.142857142857142)</f>
        <v>0.14285714285714199</v>
      </c>
      <c r="J305" s="25">
        <f ca="1">IFERROR(__xludf.DUMMYFUNCTION("""COMPUTED_VALUE"""),0.0833333333333333)</f>
        <v>8.3333333333333301E-2</v>
      </c>
      <c r="K305" s="25">
        <f ca="1">IFERROR(__xludf.DUMMYFUNCTION("""COMPUTED_VALUE"""),0.1875)</f>
        <v>0.1875</v>
      </c>
      <c r="L305" s="25">
        <f ca="1">IFERROR(__xludf.DUMMYFUNCTION("""COMPUTED_VALUE"""),0.25)</f>
        <v>0.25</v>
      </c>
      <c r="M305" s="25">
        <f ca="1">IFERROR(__xludf.DUMMYFUNCTION("""COMPUTED_VALUE"""),0.138888888888888)</f>
        <v>0.13888888888888801</v>
      </c>
      <c r="N305" s="25">
        <f ca="1">IFERROR(__xludf.DUMMYFUNCTION("""COMPUTED_VALUE"""),0.0909090909090909)</f>
        <v>9.0909090909090898E-2</v>
      </c>
      <c r="O305" s="25">
        <f ca="1">IFERROR(__xludf.DUMMYFUNCTION("""COMPUTED_VALUE"""),0.222222222222222)</f>
        <v>0.22222222222222199</v>
      </c>
      <c r="P305" s="25">
        <f ca="1">IFERROR(__xludf.DUMMYFUNCTION("""COMPUTED_VALUE"""),0.157894736842105)</f>
        <v>0.157894736842105</v>
      </c>
      <c r="Q305" s="25">
        <f ca="1">IFERROR(__xludf.DUMMYFUNCTION("""COMPUTED_VALUE"""),0)</f>
        <v>0</v>
      </c>
      <c r="R305" s="25">
        <f ca="1">IFERROR(__xludf.DUMMYFUNCTION("""COMPUTED_VALUE"""),0.0952380952380952)</f>
        <v>9.5238095238095205E-2</v>
      </c>
      <c r="S305" s="25">
        <f ca="1">IFERROR(__xludf.DUMMYFUNCTION("""COMPUTED_VALUE"""),0.0769230769230769)</f>
        <v>7.69230769230769E-2</v>
      </c>
      <c r="T305" s="25">
        <f ca="1">IFERROR(__xludf.DUMMYFUNCTION("""COMPUTED_VALUE"""),0)</f>
        <v>0</v>
      </c>
      <c r="U305" s="25">
        <f ca="1">IFERROR(__xludf.DUMMYFUNCTION("""COMPUTED_VALUE"""),0.1)</f>
        <v>0.1</v>
      </c>
      <c r="V305" s="25">
        <f ca="1">IFERROR(__xludf.DUMMYFUNCTION("""COMPUTED_VALUE"""),0)</f>
        <v>0</v>
      </c>
      <c r="W305" s="4"/>
      <c r="X305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305" s="4" t="str">
        <f ca="1">IFERROR(__xludf.DUMMYFUNCTION("""COMPUTED_VALUE"""),"| 5 L PHP-CGM @ | 6 L CPT @ | 7 L NS @ | 8 L JAVA @ | 9 P JAVA @ ")</f>
        <v xml:space="preserve">| 5 L PHP-CGM @ | 6 L CPT @ | 7 L NS @ | 8 L JAVA @ | 9 P JAVA @ </v>
      </c>
      <c r="Z305" s="4" t="str">
        <f ca="1">IFERROR(__xludf.DUMMYFUNCTION("""COMPUTED_VALUE"""),"| 5 L NS @ | 6 L JAVA @ | 7 L PRO @ | 8 L PRO @ | 9 P Python @ ")</f>
        <v xml:space="preserve">| 5 L NS @ | 6 L JAVA @ | 7 L PRO @ | 8 L PRO @ | 9 P Python @ </v>
      </c>
      <c r="AA305" s="4" t="str">
        <f ca="1">IFERROR(__xludf.DUMMYFUNCTION("""COMPUTED_VALUE"""),"| 7 P NS @ | 9 P Python @ ")</f>
        <v xml:space="preserve">| 7 P NS @ | 9 P Python @ </v>
      </c>
      <c r="AB305" s="4" t="str">
        <f ca="1">IFERROR(__xludf.DUMMYFUNCTION("""COMPUTED_VALUE"""),"| 5 L JAVA @ | 6 L PHP-CGM @ | 7 P JAVA @ | 9 P CPT @ ")</f>
        <v xml:space="preserve">| 5 L JAVA @ | 6 L PHP-CGM @ | 7 P JAVA @ | 9 P CPT @ </v>
      </c>
      <c r="AC305" s="4" t="str">
        <f ca="1">IFERROR(__xludf.DUMMYFUNCTION("""COMPUTED_VALUE"""),"| 5 L JAVA @ | 6 L NS @ | 7 L PHP-CGM @ | 9 P PHP-CGM @ | 8 L CPT @ ")</f>
        <v xml:space="preserve">| 5 L JAVA @ | 6 L NS @ | 7 L PHP-CGM @ | 9 P PHP-CGM @ | 8 L CPT @ </v>
      </c>
      <c r="AD305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5" s="4" t="str">
        <f ca="1">IFERROR(__xludf.DUMMYFUNCTION("""COMPUTED_VALUE"""),"| 5 L JAVA % | 6 L NS % | 7 L PRO % | 9 P Python @ ")</f>
        <v xml:space="preserve">| 5 L JAVA % | 6 L NS % | 7 L PRO % | 9 P Python @ </v>
      </c>
      <c r="AF305" s="4" t="str">
        <f ca="1">IFERROR(__xludf.DUMMYFUNCTION("""COMPUTED_VALUE"""),"| 7 P NS @ | 9 P Python @ ")</f>
        <v xml:space="preserve">| 7 P NS @ | 9 P Python @ </v>
      </c>
      <c r="AG305" s="4" t="str">
        <f ca="1">IFERROR(__xludf.DUMMYFUNCTION("""COMPUTED_VALUE"""),"| 5 L CPT @ | 6 L PHP-CGM @ | 7 P JAVA @ | 9 P CPT @ ")</f>
        <v xml:space="preserve">| 5 L CPT @ | 6 L PHP-CGM @ | 7 P JAVA @ | 9 P CPT @ </v>
      </c>
      <c r="AH305" s="4" t="str">
        <f ca="1">IFERROR(__xludf.DUMMYFUNCTION("""COMPUTED_VALUE"""),"| 7 P NS @ | 9 P Python @ ")</f>
        <v xml:space="preserve">| 7 P NS @ | 9 P Python @ </v>
      </c>
      <c r="AI305" s="4" t="str">
        <f ca="1">IFERROR(__xludf.DUMMYFUNCTION("""COMPUTED_VALUE"""),"| 5 L CPT @ | 6 L PHP-CGM @ | 7 P JAVA @ | 9 P CPT @ ")</f>
        <v xml:space="preserve">| 5 L CPT @ | 6 L PHP-CGM @ | 7 P JAVA @ | 9 P CPT @ </v>
      </c>
      <c r="AJ305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K305" s="4" t="str">
        <f ca="1">IFERROR(__xludf.DUMMYFUNCTION("""COMPUTED_VALUE"""),"| 5 L PHP-CGM @ | 6 L CPT @ | 8 L JAVA @ | 7 L NS @ | 9 P JAVA @ ")</f>
        <v xml:space="preserve">| 5 L PHP-CGM @ | 6 L CPT @ | 8 L JAVA @ | 7 L NS @ | 9 P JAVA @ </v>
      </c>
      <c r="AL305" s="4" t="str">
        <f ca="1">IFERROR(__xludf.DUMMYFUNCTION("""COMPUTED_VALUE"""),"| 6 L NS @ | 7 L NS @ | 7 L PRO @ | 8 L PRO @ | 9 P Python @ ")</f>
        <v xml:space="preserve">| 6 L NS @ | 7 L NS @ | 7 L PRO @ | 8 L PRO @ | 9 P Python @ </v>
      </c>
      <c r="AM305" s="4" t="str">
        <f ca="1">IFERROR(__xludf.DUMMYFUNCTION("""COMPUTED_VALUE"""),"| 5 L INE @ | 7 P NS @ | 9 P Python @ ")</f>
        <v xml:space="preserve">| 5 L INE @ | 7 P NS @ | 9 P Python @ </v>
      </c>
      <c r="AN305" s="4" t="str">
        <f ca="1">IFERROR(__xludf.DUMMYFUNCTION("""COMPUTED_VALUE"""),"| 5 L CPT @ | 6 L PHP-CGM @ | 7 P JAVA @ | 9 P CPT @ ")</f>
        <v xml:space="preserve">| 5 L CPT @ | 6 L PHP-CGM @ | 7 P JAVA @ | 9 P CPT @ </v>
      </c>
      <c r="AO305" s="4" t="str">
        <f ca="1">IFERROR(__xludf.DUMMYFUNCTION("""COMPUTED_VALUE"""),"| 5 L JAVA @ | 5 L NS @ | 7 L PHP-CGM @ | 8 L CPT @ | 9 P PHP-CGM @ ")</f>
        <v xml:space="preserve">| 5 L JAVA @ | 5 L NS @ | 7 L PHP-CGM @ | 8 L CPT @ | 9 P PHP-CGM @ </v>
      </c>
      <c r="AP305" s="4" t="str">
        <f ca="1">IFERROR(__xludf.DUMMYFUNCTION("""COMPUTED_VALUE"""),"| 5 L PHP-CGM @ | 6 L CPT @ | 7 L JAVA @ | 7 L NS @ ")</f>
        <v xml:space="preserve">| 5 L PHP-CGM @ | 6 L CPT @ | 7 L JAVA @ | 7 L NS @ </v>
      </c>
      <c r="AQ305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AR305" s="4" t="str">
        <f ca="1">IFERROR(__xludf.DUMMYFUNCTION("""COMPUTED_VALUE"""),"| 5 L INE @ ")</f>
        <v xml:space="preserve">| 5 L INE @ </v>
      </c>
      <c r="AS305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T305" s="4" t="str">
        <f ca="1">IFERROR(__xludf.DUMMYFUNCTION("""COMPUTED_VALUE"""),"| 5 L PHP-CGM @ | 6 L CPT @ | 7 L JAVA @ | 8 L JAVA @ | 9 P JAVA @ ")</f>
        <v xml:space="preserve">| 5 L PHP-CGM @ | 6 L CPT @ | 7 L JAVA @ | 8 L JAVA @ | 9 P JAVA @ </v>
      </c>
      <c r="AU305" s="4" t="str">
        <f ca="1">IFERROR(__xludf.DUMMYFUNCTION("""COMPUTED_VALUE"""),"| 5 L JAVA @ | 6 L NS @ | 7 P PRO @ | 9 P Python @ ")</f>
        <v xml:space="preserve">| 5 L JAVA @ | 6 L NS @ | 7 P PRO @ | 9 P Python @ </v>
      </c>
      <c r="AV305" s="4" t="str">
        <f ca="1">IFERROR(__xludf.DUMMYFUNCTION("""COMPUTED_VALUE"""),"| 5 L INE @ | 7 P NS @ | 9 P Python @ ")</f>
        <v xml:space="preserve">| 5 L INE @ | 7 P NS @ | 9 P Python @ </v>
      </c>
      <c r="AW305" s="4" t="str">
        <f ca="1">IFERROR(__xludf.DUMMYFUNCTION("""COMPUTED_VALUE"""),"| 5 L CPT @ | 6 L PHP-CGM @ | 7 P JAVA @ | 9 P CPT @ ")</f>
        <v xml:space="preserve">| 5 L CPT @ | 6 L PHP-CGM @ | 7 P JAVA @ | 9 P CPT @ </v>
      </c>
      <c r="AX305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AY305" s="4" t="str">
        <f ca="1">IFERROR(__xludf.DUMMYFUNCTION("""COMPUTED_VALUE"""),"| 5 L PHP-CGM @ | 6 L CPT @ | 7 L NS @ | 8 L NS @ | 9 P JAVA @ ")</f>
        <v xml:space="preserve">| 5 L PHP-CGM @ | 6 L CPT @ | 7 L NS @ | 8 L NS @ | 9 P JAVA @ </v>
      </c>
      <c r="AZ305" s="4" t="str">
        <f ca="1">IFERROR(__xludf.DUMMYFUNCTION("""COMPUTED_VALUE"""),"| 5 L INE @ | 7 P NS @ ")</f>
        <v xml:space="preserve">| 5 L INE @ | 7 P NS @ </v>
      </c>
      <c r="BA305" s="4" t="str">
        <f ca="1">IFERROR(__xludf.DUMMYFUNCTION("""COMPUTED_VALUE"""),"| 5 L CPT @ | 6 L PHP-CGM @ | 7 P JAVA @ | 9 P CPT @ ")</f>
        <v xml:space="preserve">| 5 L CPT @ | 6 L PHP-CGM @ | 7 P JAVA @ | 9 P CPT @ </v>
      </c>
      <c r="BB305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C305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D305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E305" s="4" t="str">
        <f ca="1">IFERROR(__xludf.DUMMYFUNCTION("""COMPUTED_VALUE"""),"| 5 L INE @ | 7 P NS @ | 9 P Python @ ")</f>
        <v xml:space="preserve">| 5 L INE @ | 7 P NS @ | 9 P Python @ </v>
      </c>
      <c r="BF305" s="4" t="str">
        <f ca="1">IFERROR(__xludf.DUMMYFUNCTION("""COMPUTED_VALUE"""),"| 5 L CPT @ | 6 L PHP-CGM @ | 7 P JAVA @ | 9 P CPT @ ")</f>
        <v xml:space="preserve">| 5 L CPT @ | 6 L PHP-CGM @ | 7 P JAVA @ | 9 P CPT @ </v>
      </c>
      <c r="BG305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H305" s="4" t="str">
        <f ca="1">IFERROR(__xludf.DUMMYFUNCTION("""COMPUTED_VALUE"""),"| 5 L JAVA @ | 6 L NS @ | 7 L PRO @ | 9 P Python @ ")</f>
        <v xml:space="preserve">| 5 L JAVA @ | 6 L NS @ | 7 L PRO @ | 9 P Python @ </v>
      </c>
      <c r="BI305" s="4" t="str">
        <f ca="1">IFERROR(__xludf.DUMMYFUNCTION("""COMPUTED_VALUE"""),"| 5 L INE @ | 7 P NS @ | 9 P Python @ ")</f>
        <v xml:space="preserve">| 5 L INE @ | 7 P NS @ | 9 P Python @ </v>
      </c>
      <c r="BJ305" s="4" t="str">
        <f ca="1">IFERROR(__xludf.DUMMYFUNCTION("""COMPUTED_VALUE"""),"| 5 L CPT @ | 6 L PHP-CGM @ | 7 P JAVA @ | 9 P CPT @ ")</f>
        <v xml:space="preserve">| 5 L CPT @ | 6 L PHP-CGM @ | 7 P JAVA @ | 9 P CPT @ </v>
      </c>
      <c r="BK305" s="4" t="str">
        <f ca="1">IFERROR(__xludf.DUMMYFUNCTION("""COMPUTED_VALUE"""),"| 5 L JAVA % | 7 L PHP-CGM % | 8 L CPT % | 9 P PHP-CGM @ ")</f>
        <v xml:space="preserve">| 5 L JAVA % | 7 L PHP-CGM % | 8 L CPT % | 9 P PHP-CGM @ </v>
      </c>
      <c r="BL305" s="4" t="str">
        <f ca="1">IFERROR(__xludf.DUMMYFUNCTION("""COMPUTED_VALUE"""),"| 5 L PHP-CGM @ | 6 L CPT @ | 8 L NS @ ")</f>
        <v xml:space="preserve">| 5 L PHP-CGM @ | 6 L CPT @ | 8 L NS @ </v>
      </c>
      <c r="BM305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305" s="4" t="str">
        <f ca="1">IFERROR(__xludf.DUMMYFUNCTION("""COMPUTED_VALUE"""),"| 5 L INE @ | 7 P NS @ | 9 P Python @ ")</f>
        <v xml:space="preserve">| 5 L INE @ | 7 P NS @ | 9 P Python @ </v>
      </c>
      <c r="BO305" s="4" t="str">
        <f ca="1">IFERROR(__xludf.DUMMYFUNCTION("""COMPUTED_VALUE"""),"| 5 L CPT @ | 6 L PHP-CGM @ | 9 P CPT @ ")</f>
        <v xml:space="preserve">| 5 L CPT @ | 6 L PHP-CGM @ | 9 P CPT @ </v>
      </c>
      <c r="BP305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BQ305" s="4" t="str">
        <f ca="1">IFERROR(__xludf.DUMMYFUNCTION("""COMPUTED_VALUE"""),"| 5 L JAVA % ")</f>
        <v xml:space="preserve">| 5 L JAVA % </v>
      </c>
      <c r="BR305" s="4"/>
      <c r="BS305" s="4"/>
      <c r="BT305" s="4" t="str">
        <f ca="1">IFERROR(__xludf.DUMMYFUNCTION("""COMPUTED_VALUE"""),"| 7 L PHP-CGM @ | 8 L CPT @ ")</f>
        <v xml:space="preserve">| 7 L PHP-CGM @ | 8 L CPT @ </v>
      </c>
      <c r="BU305" s="4" t="str">
        <f ca="1">IFERROR(__xludf.DUMMYFUNCTION("""COMPUTED_VALUE"""),"| 8 L NS % ")</f>
        <v xml:space="preserve">| 8 L NS % </v>
      </c>
      <c r="BV305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305" s="4"/>
      <c r="BX305" s="4" t="str">
        <f ca="1">IFERROR(__xludf.DUMMYFUNCTION("""COMPUTED_VALUE"""),"| 5 L JAVA % | 6 L NS % | 7 L PRO @ | 9 P Python @ ")</f>
        <v xml:space="preserve">| 5 L JAVA % | 6 L NS % | 7 L PRO @ | 9 P Python @ </v>
      </c>
      <c r="BY305" s="4" t="str">
        <f ca="1">IFERROR(__xludf.DUMMYFUNCTION("""COMPUTED_VALUE"""),"| 5 L INE @ | 7 P NS % | 9 P Python @ ")</f>
        <v xml:space="preserve">| 5 L INE @ | 7 P NS % | 9 P Python @ </v>
      </c>
      <c r="BZ305" s="4" t="str">
        <f ca="1">IFERROR(__xludf.DUMMYFUNCTION("""COMPUTED_VALUE"""),"| 5 L CPT % | 6 L PHP-CGM % | 7 P JAVA % | 9 P CPT % ")</f>
        <v xml:space="preserve">| 5 L CPT % | 6 L PHP-CGM % | 7 P JAVA % | 9 P CPT % </v>
      </c>
      <c r="CA305" s="4" t="str">
        <f ca="1">IFERROR(__xludf.DUMMYFUNCTION("""COMPUTED_VALUE"""),"| 5 L JAVA % | 6 L JAVA % | 7 L PHP-CGM % | 8 L CPT % ")</f>
        <v xml:space="preserve">| 5 L JAVA % | 6 L JAVA % | 7 L PHP-CGM % | 8 L CPT % </v>
      </c>
      <c r="CB305" s="4" t="str">
        <f ca="1">IFERROR(__xludf.DUMMYFUNCTION("""COMPUTED_VALUE"""),"| 5 L PHP-CGM % | 6 L CPT % | 7 L NS % | 9 P JAVA @ ")</f>
        <v xml:space="preserve">| 5 L PHP-CGM % | 6 L CPT % | 7 L NS % | 9 P JAVA @ </v>
      </c>
      <c r="CC305" s="4" t="str">
        <f ca="1">IFERROR(__xludf.DUMMYFUNCTION("""COMPUTED_VALUE"""),"| 5 L JAVA % | 6 L NS % | 9 P Python @ ")</f>
        <v xml:space="preserve">| 5 L JAVA % | 6 L NS % | 9 P Python @ </v>
      </c>
      <c r="CD305" s="4" t="str">
        <f ca="1">IFERROR(__xludf.DUMMYFUNCTION("""COMPUTED_VALUE"""),"| 5 L INE % | 7 P NS % | 9 P Python % ")</f>
        <v xml:space="preserve">| 5 L INE % | 7 P NS % | 9 P Python % </v>
      </c>
      <c r="CE305" s="4" t="str">
        <f ca="1">IFERROR(__xludf.DUMMYFUNCTION("""COMPUTED_VALUE"""),"| 5 L CPT @ | 6 L PHP-CGM @ | 7 P JAVA @ | 9 P CPT @ ")</f>
        <v xml:space="preserve">| 5 L CPT @ | 6 L PHP-CGM @ | 7 P JAVA @ | 9 P CPT @ </v>
      </c>
      <c r="CF305" s="4" t="str">
        <f ca="1">IFERROR(__xludf.DUMMYFUNCTION("""COMPUTED_VALUE"""),"| 5 L JAVA @ | 6 L NS @ | 7 L PHP-CGM @ | 8 L CPT @ | 9 P PHP-CGM % ")</f>
        <v xml:space="preserve">| 5 L JAVA @ | 6 L NS @ | 7 L PHP-CGM @ | 8 L CPT @ | 9 P PHP-CGM % </v>
      </c>
      <c r="CG305" s="4" t="str">
        <f ca="1">IFERROR(__xludf.DUMMYFUNCTION("""COMPUTED_VALUE"""),"| 5 L PHP-CGM @ | 6 L CPT @ | 7 L JAVA @ | 8 L NS @ | 9 P JAVA % ")</f>
        <v xml:space="preserve">| 5 L PHP-CGM @ | 6 L CPT @ | 7 L JAVA @ | 8 L NS @ | 9 P JAVA % </v>
      </c>
      <c r="CH305" s="4" t="str">
        <f ca="1">IFERROR(__xludf.DUMMYFUNCTION("""COMPUTED_VALUE"""),"| 5 L JAVA @ | 6 L NS @ | 9 P Python % ")</f>
        <v xml:space="preserve">| 5 L JAVA @ | 6 L NS @ | 9 P Python % </v>
      </c>
      <c r="CI305" s="4" t="str">
        <f ca="1">IFERROR(__xludf.DUMMYFUNCTION("""COMPUTED_VALUE"""),"| 5 L INE @ | 7 P NS % ")</f>
        <v xml:space="preserve">| 5 L INE @ | 7 P NS % </v>
      </c>
      <c r="CJ305" s="4" t="str">
        <f ca="1">IFERROR(__xludf.DUMMYFUNCTION("""COMPUTED_VALUE"""),"| 5 L CPT @ | 6 L PHP-CGM @ | 9 P CPT @ ")</f>
        <v xml:space="preserve">| 5 L CPT @ | 6 L PHP-CGM @ | 9 P CPT @ </v>
      </c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</row>
    <row r="306" spans="1:102" ht="12.5" x14ac:dyDescent="0.25">
      <c r="A306" s="3">
        <f ca="1">IFERROR(__xludf.DUMMYFUNCTION("""COMPUTED_VALUE"""),2)</f>
        <v>2</v>
      </c>
      <c r="B306" s="3" t="str">
        <f ca="1">IFERROR(__xludf.DUMMYFUNCTION("""COMPUTED_VALUE"""),"D")</f>
        <v>D</v>
      </c>
      <c r="C306" s="32" t="str">
        <f ca="1">IFERROR(__xludf.DUMMYFUNCTION("""COMPUTED_VALUE"""),"23171341119")</f>
        <v>23171341119</v>
      </c>
      <c r="D306" s="4" t="str">
        <f ca="1">IFERROR(__xludf.DUMMYFUNCTION("""COMPUTED_VALUE"""),"PATEL SAKSHI JAYESHKUMAR")</f>
        <v>PATEL SAKSHI JAYESHKUMAR</v>
      </c>
      <c r="E306" s="3" t="str">
        <f ca="1">IFERROR(__xludf.DUMMYFUNCTION("""COMPUTED_VALUE"""),"ZPP - Eve")</f>
        <v>ZPP - Eve</v>
      </c>
      <c r="F306" s="3">
        <f ca="1">IFERROR(__xludf.DUMMYFUNCTION("""COMPUTED_VALUE"""),9737207011)</f>
        <v>9737207011</v>
      </c>
      <c r="G306" s="3">
        <f ca="1">IFERROR(__xludf.DUMMYFUNCTION("""COMPUTED_VALUE"""),8238244431)</f>
        <v>8238244431</v>
      </c>
      <c r="H306" s="33">
        <f ca="1">IFERROR(__xludf.DUMMYFUNCTION("""COMPUTED_VALUE"""),0.739495798319327)</f>
        <v>0.73949579831932699</v>
      </c>
      <c r="I306" s="25">
        <f ca="1">IFERROR(__xludf.DUMMYFUNCTION("""COMPUTED_VALUE"""),0.714285714285714)</f>
        <v>0.71428571428571397</v>
      </c>
      <c r="J306" s="25">
        <f ca="1">IFERROR(__xludf.DUMMYFUNCTION("""COMPUTED_VALUE"""),0.583333333333333)</f>
        <v>0.58333333333333304</v>
      </c>
      <c r="K306" s="25">
        <f ca="1">IFERROR(__xludf.DUMMYFUNCTION("""COMPUTED_VALUE"""),0.71875)</f>
        <v>0.71875</v>
      </c>
      <c r="L306" s="25">
        <f ca="1">IFERROR(__xludf.DUMMYFUNCTION("""COMPUTED_VALUE"""),0.916666666666666)</f>
        <v>0.91666666666666596</v>
      </c>
      <c r="M306" s="25">
        <f ca="1">IFERROR(__xludf.DUMMYFUNCTION("""COMPUTED_VALUE"""),0.722222222222222)</f>
        <v>0.72222222222222199</v>
      </c>
      <c r="N306" s="25">
        <f ca="1">IFERROR(__xludf.DUMMYFUNCTION("""COMPUTED_VALUE"""),0.636363636363636)</f>
        <v>0.63636363636363602</v>
      </c>
      <c r="O306" s="25">
        <f ca="1">IFERROR(__xludf.DUMMYFUNCTION("""COMPUTED_VALUE"""),0.833333333333333)</f>
        <v>0.83333333333333304</v>
      </c>
      <c r="P306" s="25">
        <f ca="1">IFERROR(__xludf.DUMMYFUNCTION("""COMPUTED_VALUE"""),0.789473684210526)</f>
        <v>0.78947368421052599</v>
      </c>
      <c r="Q306" s="25">
        <f ca="1">IFERROR(__xludf.DUMMYFUNCTION("""COMPUTED_VALUE"""),0)</f>
        <v>0</v>
      </c>
      <c r="R306" s="25">
        <f ca="1">IFERROR(__xludf.DUMMYFUNCTION("""COMPUTED_VALUE"""),0.761904761904761)</f>
        <v>0.76190476190476097</v>
      </c>
      <c r="S306" s="25">
        <f ca="1">IFERROR(__xludf.DUMMYFUNCTION("""COMPUTED_VALUE"""),0.769230769230769)</f>
        <v>0.76923076923076905</v>
      </c>
      <c r="T306" s="25">
        <f ca="1">IFERROR(__xludf.DUMMYFUNCTION("""COMPUTED_VALUE"""),1)</f>
        <v>1</v>
      </c>
      <c r="U306" s="25">
        <f ca="1">IFERROR(__xludf.DUMMYFUNCTION("""COMPUTED_VALUE"""),0.5)</f>
        <v>0.5</v>
      </c>
      <c r="V306" s="25">
        <f ca="1">IFERROR(__xludf.DUMMYFUNCTION("""COMPUTED_VALUE"""),0)</f>
        <v>0</v>
      </c>
      <c r="W306" s="4"/>
      <c r="X306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306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306" s="4" t="str">
        <f ca="1">IFERROR(__xludf.DUMMYFUNCTION("""COMPUTED_VALUE"""),"| 5 L NS % | 6 L JAVA % | 7 L PRO % | 8 L PRO % | 9 P Python % ")</f>
        <v xml:space="preserve">| 5 L NS % | 6 L JAVA % | 7 L PRO % | 8 L PRO % | 9 P Python % </v>
      </c>
      <c r="AA306" s="4" t="str">
        <f ca="1">IFERROR(__xludf.DUMMYFUNCTION("""COMPUTED_VALUE"""),"| 7 P NS % | 9 P Python % ")</f>
        <v xml:space="preserve">| 7 P NS % | 9 P Python % </v>
      </c>
      <c r="AB306" s="4" t="str">
        <f ca="1">IFERROR(__xludf.DUMMYFUNCTION("""COMPUTED_VALUE"""),"| 5 L JAVA % | 6 L PHP-CGM % | 7 P JAVA % | 9 P CPT % ")</f>
        <v xml:space="preserve">| 5 L JAVA % | 6 L PHP-CGM % | 7 P JAVA % | 9 P CPT % </v>
      </c>
      <c r="AC306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306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6" s="4" t="str">
        <f ca="1">IFERROR(__xludf.DUMMYFUNCTION("""COMPUTED_VALUE"""),"| 5 L JAVA @ | 6 L NS @ | 7 L PRO @ | 9 P Python @ ")</f>
        <v xml:space="preserve">| 5 L JAVA @ | 6 L NS @ | 7 L PRO @ | 9 P Python @ </v>
      </c>
      <c r="AF306" s="4" t="str">
        <f ca="1">IFERROR(__xludf.DUMMYFUNCTION("""COMPUTED_VALUE"""),"| 7 P NS % | 9 P Python % ")</f>
        <v xml:space="preserve">| 7 P NS % | 9 P Python % </v>
      </c>
      <c r="AG306" s="4" t="str">
        <f ca="1">IFERROR(__xludf.DUMMYFUNCTION("""COMPUTED_VALUE"""),"| 5 L CPT % | 6 L PHP-CGM % | 7 P JAVA % | 9 P CPT % ")</f>
        <v xml:space="preserve">| 5 L CPT % | 6 L PHP-CGM % | 7 P JAVA % | 9 P CPT % </v>
      </c>
      <c r="AH306" s="4" t="str">
        <f ca="1">IFERROR(__xludf.DUMMYFUNCTION("""COMPUTED_VALUE"""),"| 7 P NS % | 9 P Python % ")</f>
        <v xml:space="preserve">| 7 P NS % | 9 P Python % </v>
      </c>
      <c r="AI306" s="4" t="str">
        <f ca="1">IFERROR(__xludf.DUMMYFUNCTION("""COMPUTED_VALUE"""),"| 5 L CPT % | 6 L PHP-CGM % | 7 P JAVA % | 9 P CPT % ")</f>
        <v xml:space="preserve">| 5 L CPT % | 6 L PHP-CGM % | 7 P JAVA % | 9 P CPT % </v>
      </c>
      <c r="AJ306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K306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306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6" s="4" t="str">
        <f ca="1">IFERROR(__xludf.DUMMYFUNCTION("""COMPUTED_VALUE"""),"| 5 L INE @ | 7 P NS % | 9 P Python % ")</f>
        <v xml:space="preserve">| 5 L INE @ | 7 P NS % | 9 P Python % </v>
      </c>
      <c r="AN306" s="4" t="str">
        <f ca="1">IFERROR(__xludf.DUMMYFUNCTION("""COMPUTED_VALUE"""),"| 5 L CPT @ | 6 L PHP-CGM @ | 7 P JAVA @ | 9 P CPT @ ")</f>
        <v xml:space="preserve">| 5 L CPT @ | 6 L PHP-CGM @ | 7 P JAVA @ | 9 P CPT @ </v>
      </c>
      <c r="AO306" s="4" t="str">
        <f ca="1">IFERROR(__xludf.DUMMYFUNCTION("""COMPUTED_VALUE"""),"| 5 L JAVA @ | 5 L NS @ | 7 L PHP-CGM @ | 8 L CPT @ | 9 P PHP-CGM @ ")</f>
        <v xml:space="preserve">| 5 L JAVA @ | 5 L NS @ | 7 L PHP-CGM @ | 8 L CPT @ | 9 P PHP-CGM @ </v>
      </c>
      <c r="AP306" s="4" t="str">
        <f ca="1">IFERROR(__xludf.DUMMYFUNCTION("""COMPUTED_VALUE"""),"| 5 L PHP-CGM % | 6 L CPT % | 7 L JAVA % | 7 L NS % ")</f>
        <v xml:space="preserve">| 5 L PHP-CGM % | 6 L CPT % | 7 L JAVA % | 7 L NS % </v>
      </c>
      <c r="AQ306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306" s="4" t="str">
        <f ca="1">IFERROR(__xludf.DUMMYFUNCTION("""COMPUTED_VALUE"""),"| 5 L INE % ")</f>
        <v xml:space="preserve">| 5 L INE % </v>
      </c>
      <c r="AS306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306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306" s="4" t="str">
        <f ca="1">IFERROR(__xludf.DUMMYFUNCTION("""COMPUTED_VALUE"""),"| 5 L JAVA % | 6 L NS % | 7 P PRO % | 9 P Python % ")</f>
        <v xml:space="preserve">| 5 L JAVA % | 6 L NS % | 7 P PRO % | 9 P Python % </v>
      </c>
      <c r="AV306" s="4" t="str">
        <f ca="1">IFERROR(__xludf.DUMMYFUNCTION("""COMPUTED_VALUE"""),"| 5 L INE % | 7 P NS % | 9 P Python % ")</f>
        <v xml:space="preserve">| 5 L INE % | 7 P NS % | 9 P Python % </v>
      </c>
      <c r="AW306" s="4" t="str">
        <f ca="1">IFERROR(__xludf.DUMMYFUNCTION("""COMPUTED_VALUE"""),"| 5 L CPT % | 6 L PHP-CGM % | 7 P JAVA % | 9 P CPT % ")</f>
        <v xml:space="preserve">| 5 L CPT % | 6 L PHP-CGM % | 7 P JAVA % | 9 P CPT % </v>
      </c>
      <c r="AX306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AY306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306" s="4" t="str">
        <f ca="1">IFERROR(__xludf.DUMMYFUNCTION("""COMPUTED_VALUE"""),"| 5 L INE % | 7 P NS % ")</f>
        <v xml:space="preserve">| 5 L INE % | 7 P NS % </v>
      </c>
      <c r="BA306" s="4" t="str">
        <f ca="1">IFERROR(__xludf.DUMMYFUNCTION("""COMPUTED_VALUE"""),"| 5 L CPT % | 6 L PHP-CGM % | 7 P JAVA % | 9 P CPT % ")</f>
        <v xml:space="preserve">| 5 L CPT % | 6 L PHP-CGM % | 7 P JAVA % | 9 P CPT % </v>
      </c>
      <c r="BB306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306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D306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E306" s="4" t="str">
        <f ca="1">IFERROR(__xludf.DUMMYFUNCTION("""COMPUTED_VALUE"""),"| 5 L INE @ | 7 P NS @ | 9 P Python @ ")</f>
        <v xml:space="preserve">| 5 L INE @ | 7 P NS @ | 9 P Python @ </v>
      </c>
      <c r="BF306" s="4" t="str">
        <f ca="1">IFERROR(__xludf.DUMMYFUNCTION("""COMPUTED_VALUE"""),"| 5 L CPT @ | 6 L PHP-CGM @ | 7 P JAVA @ | 9 P CPT @ ")</f>
        <v xml:space="preserve">| 5 L CPT @ | 6 L PHP-CGM @ | 7 P JAVA @ | 9 P CPT @ </v>
      </c>
      <c r="BG306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306" s="4" t="str">
        <f ca="1">IFERROR(__xludf.DUMMYFUNCTION("""COMPUTED_VALUE"""),"| 5 L JAVA % | 6 L NS % | 7 L PRO % | 9 P Python @ ")</f>
        <v xml:space="preserve">| 5 L JAVA % | 6 L NS % | 7 L PRO % | 9 P Python @ </v>
      </c>
      <c r="BI306" s="4" t="str">
        <f ca="1">IFERROR(__xludf.DUMMYFUNCTION("""COMPUTED_VALUE"""),"| 5 L INE @ | 7 P NS % | 9 P Python % ")</f>
        <v xml:space="preserve">| 5 L INE @ | 7 P NS % | 9 P Python % </v>
      </c>
      <c r="BJ306" s="4" t="str">
        <f ca="1">IFERROR(__xludf.DUMMYFUNCTION("""COMPUTED_VALUE"""),"| 5 L CPT % | 6 L PHP-CGM % | 7 P JAVA % | 9 P CPT % ")</f>
        <v xml:space="preserve">| 5 L CPT % | 6 L PHP-CGM % | 7 P JAVA % | 9 P CPT % </v>
      </c>
      <c r="BK306" s="4" t="str">
        <f ca="1">IFERROR(__xludf.DUMMYFUNCTION("""COMPUTED_VALUE"""),"| 5 L JAVA % | 7 L PHP-CGM % | 8 L CPT % | 9 P PHP-CGM @ ")</f>
        <v xml:space="preserve">| 5 L JAVA % | 7 L PHP-CGM % | 8 L CPT % | 9 P PHP-CGM @ </v>
      </c>
      <c r="BL306" s="4" t="str">
        <f ca="1">IFERROR(__xludf.DUMMYFUNCTION("""COMPUTED_VALUE"""),"| 5 L PHP-CGM @ | 6 L CPT @ | 8 L NS @ ")</f>
        <v xml:space="preserve">| 5 L PHP-CGM @ | 6 L CPT @ | 8 L NS @ </v>
      </c>
      <c r="BM306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N306" s="4" t="str">
        <f ca="1">IFERROR(__xludf.DUMMYFUNCTION("""COMPUTED_VALUE"""),"| 5 L INE @ | 7 P NS % | 9 P Python % ")</f>
        <v xml:space="preserve">| 5 L INE @ | 7 P NS % | 9 P Python % </v>
      </c>
      <c r="BO306" s="4" t="str">
        <f ca="1">IFERROR(__xludf.DUMMYFUNCTION("""COMPUTED_VALUE"""),"| 5 L CPT @ | 6 L PHP-CGM @ | 9 P CPT @ ")</f>
        <v xml:space="preserve">| 5 L CPT @ | 6 L PHP-CGM @ | 9 P CPT @ </v>
      </c>
      <c r="BP306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BQ306" s="4" t="str">
        <f ca="1">IFERROR(__xludf.DUMMYFUNCTION("""COMPUTED_VALUE"""),"| 5 L JAVA % ")</f>
        <v xml:space="preserve">| 5 L JAVA % </v>
      </c>
      <c r="BR306" s="4"/>
      <c r="BS306" s="4"/>
      <c r="BT306" s="4" t="str">
        <f ca="1">IFERROR(__xludf.DUMMYFUNCTION("""COMPUTED_VALUE"""),"| 7 L PHP-CGM @ | 8 L CPT @ ")</f>
        <v xml:space="preserve">| 7 L PHP-CGM @ | 8 L CPT @ </v>
      </c>
      <c r="BU306" s="4" t="str">
        <f ca="1">IFERROR(__xludf.DUMMYFUNCTION("""COMPUTED_VALUE"""),"| 8 L NS @ ")</f>
        <v xml:space="preserve">| 8 L NS @ </v>
      </c>
      <c r="BV306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306" s="4"/>
      <c r="BX306" s="4" t="str">
        <f ca="1">IFERROR(__xludf.DUMMYFUNCTION("""COMPUTED_VALUE"""),"| 5 L JAVA % | 6 L NS % | 7 L PRO % | 9 P Python % ")</f>
        <v xml:space="preserve">| 5 L JAVA % | 6 L NS % | 7 L PRO % | 9 P Python % </v>
      </c>
      <c r="BY306" s="4" t="str">
        <f ca="1">IFERROR(__xludf.DUMMYFUNCTION("""COMPUTED_VALUE"""),"| 5 L INE % | 7 P NS % | 9 P Python % ")</f>
        <v xml:space="preserve">| 5 L INE % | 7 P NS % | 9 P Python % </v>
      </c>
      <c r="BZ306" s="4" t="str">
        <f ca="1">IFERROR(__xludf.DUMMYFUNCTION("""COMPUTED_VALUE"""),"| 5 L CPT @ | 6 L PHP-CGM @ | 7 P JAVA @ | 9 P CPT @ ")</f>
        <v xml:space="preserve">| 5 L CPT @ | 6 L PHP-CGM @ | 7 P JAVA @ | 9 P CPT @ </v>
      </c>
      <c r="CA306" s="4" t="str">
        <f ca="1">IFERROR(__xludf.DUMMYFUNCTION("""COMPUTED_VALUE"""),"| 5 L JAVA % | 6 L JAVA % | 7 L PHP-CGM % | 8 L CPT % ")</f>
        <v xml:space="preserve">| 5 L JAVA % | 6 L JAVA % | 7 L PHP-CGM % | 8 L CPT % </v>
      </c>
      <c r="CB306" s="4" t="str">
        <f ca="1">IFERROR(__xludf.DUMMYFUNCTION("""COMPUTED_VALUE"""),"| 5 L PHP-CGM % | 6 L CPT % | 7 L NS % | 9 P JAVA % ")</f>
        <v xml:space="preserve">| 5 L PHP-CGM % | 6 L CPT % | 7 L NS % | 9 P JAVA % </v>
      </c>
      <c r="CC306" s="4" t="str">
        <f ca="1">IFERROR(__xludf.DUMMYFUNCTION("""COMPUTED_VALUE"""),"| 5 L JAVA % | 6 L NS % | 9 P Python % ")</f>
        <v xml:space="preserve">| 5 L JAVA % | 6 L NS % | 9 P Python % </v>
      </c>
      <c r="CD306" s="4" t="str">
        <f ca="1">IFERROR(__xludf.DUMMYFUNCTION("""COMPUTED_VALUE"""),"| 5 L INE % | 7 P NS % | 9 P Python % ")</f>
        <v xml:space="preserve">| 5 L INE % | 7 P NS % | 9 P Python % </v>
      </c>
      <c r="CE306" s="4" t="str">
        <f ca="1">IFERROR(__xludf.DUMMYFUNCTION("""COMPUTED_VALUE"""),"| 5 L CPT % | 6 L PHP-CGM % | 7 P JAVA % | 9 P CPT % ")</f>
        <v xml:space="preserve">| 5 L CPT % | 6 L PHP-CGM % | 7 P JAVA % | 9 P CPT % </v>
      </c>
      <c r="CF306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CG306" s="4" t="str">
        <f ca="1">IFERROR(__xludf.DUMMYFUNCTION("""COMPUTED_VALUE"""),"| 5 L PHP-CGM % | 6 L CPT % | 7 L JAVA % | 8 L NS @ | 9 P JAVA @ ")</f>
        <v xml:space="preserve">| 5 L PHP-CGM % | 6 L CPT % | 7 L JAVA % | 8 L NS @ | 9 P JAVA @ </v>
      </c>
      <c r="CH306" s="4" t="str">
        <f ca="1">IFERROR(__xludf.DUMMYFUNCTION("""COMPUTED_VALUE"""),"| 5 L JAVA @ | 6 L NS @ | 9 P Python % ")</f>
        <v xml:space="preserve">| 5 L JAVA @ | 6 L NS @ | 9 P Python % </v>
      </c>
      <c r="CI306" s="4" t="str">
        <f ca="1">IFERROR(__xludf.DUMMYFUNCTION("""COMPUTED_VALUE"""),"| 5 L INE @ | 7 P NS % ")</f>
        <v xml:space="preserve">| 5 L INE @ | 7 P NS % </v>
      </c>
      <c r="CJ306" s="4" t="str">
        <f ca="1">IFERROR(__xludf.DUMMYFUNCTION("""COMPUTED_VALUE"""),"| 5 L CPT @ | 6 L PHP-CGM @ | 9 P CPT @ ")</f>
        <v xml:space="preserve">| 5 L CPT @ | 6 L PHP-CGM @ | 9 P CPT @ </v>
      </c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</row>
    <row r="307" spans="1:102" ht="12.5" x14ac:dyDescent="0.25">
      <c r="A307" s="3">
        <f ca="1">IFERROR(__xludf.DUMMYFUNCTION("""COMPUTED_VALUE"""),2)</f>
        <v>2</v>
      </c>
      <c r="B307" s="3" t="str">
        <f ca="1">IFERROR(__xludf.DUMMYFUNCTION("""COMPUTED_VALUE"""),"D")</f>
        <v>D</v>
      </c>
      <c r="C307" s="32" t="str">
        <f ca="1">IFERROR(__xludf.DUMMYFUNCTION("""COMPUTED_VALUE"""),"23171341120")</f>
        <v>23171341120</v>
      </c>
      <c r="D307" s="4" t="str">
        <f ca="1">IFERROR(__xludf.DUMMYFUNCTION("""COMPUTED_VALUE"""),"PATEL SAUMYA KIRITBHAI")</f>
        <v>PATEL SAUMYA KIRITBHAI</v>
      </c>
      <c r="E307" s="3" t="str">
        <f ca="1">IFERROR(__xludf.DUMMYFUNCTION("""COMPUTED_VALUE"""),"ZPP - Eve")</f>
        <v>ZPP - Eve</v>
      </c>
      <c r="F307" s="3" t="str">
        <f ca="1">IFERROR(__xludf.DUMMYFUNCTION("""COMPUTED_VALUE"""),"9316962052, 9773252017")</f>
        <v>9316962052, 9773252017</v>
      </c>
      <c r="G307" s="3">
        <f ca="1">IFERROR(__xludf.DUMMYFUNCTION("""COMPUTED_VALUE"""),7600525297)</f>
        <v>7600525297</v>
      </c>
      <c r="H307" s="33">
        <f ca="1">IFERROR(__xludf.DUMMYFUNCTION("""COMPUTED_VALUE"""),0.483193277310924)</f>
        <v>0.48319327731092399</v>
      </c>
      <c r="I307" s="25">
        <f ca="1">IFERROR(__xludf.DUMMYFUNCTION("""COMPUTED_VALUE"""),0.457142857142857)</f>
        <v>0.45714285714285702</v>
      </c>
      <c r="J307" s="25">
        <f ca="1">IFERROR(__xludf.DUMMYFUNCTION("""COMPUTED_VALUE"""),0.5)</f>
        <v>0.5</v>
      </c>
      <c r="K307" s="25">
        <f ca="1">IFERROR(__xludf.DUMMYFUNCTION("""COMPUTED_VALUE"""),0.5)</f>
        <v>0.5</v>
      </c>
      <c r="L307" s="25">
        <f ca="1">IFERROR(__xludf.DUMMYFUNCTION("""COMPUTED_VALUE"""),0.666666666666666)</f>
        <v>0.66666666666666596</v>
      </c>
      <c r="M307" s="25">
        <f ca="1">IFERROR(__xludf.DUMMYFUNCTION("""COMPUTED_VALUE"""),0.444444444444444)</f>
        <v>0.44444444444444398</v>
      </c>
      <c r="N307" s="25">
        <f ca="1">IFERROR(__xludf.DUMMYFUNCTION("""COMPUTED_VALUE"""),0.272727272727272)</f>
        <v>0.27272727272727199</v>
      </c>
      <c r="O307" s="25">
        <f ca="1">IFERROR(__xludf.DUMMYFUNCTION("""COMPUTED_VALUE"""),0.472222222222222)</f>
        <v>0.47222222222222199</v>
      </c>
      <c r="P307" s="25">
        <f ca="1">IFERROR(__xludf.DUMMYFUNCTION("""COMPUTED_VALUE"""),0.631578947368421)</f>
        <v>0.63157894736842102</v>
      </c>
      <c r="Q307" s="25">
        <f ca="1">IFERROR(__xludf.DUMMYFUNCTION("""COMPUTED_VALUE"""),0)</f>
        <v>0</v>
      </c>
      <c r="R307" s="25">
        <f ca="1">IFERROR(__xludf.DUMMYFUNCTION("""COMPUTED_VALUE"""),0.38095238095238)</f>
        <v>0.38095238095237999</v>
      </c>
      <c r="S307" s="25">
        <f ca="1">IFERROR(__xludf.DUMMYFUNCTION("""COMPUTED_VALUE"""),0.615384615384615)</f>
        <v>0.61538461538461497</v>
      </c>
      <c r="T307" s="25">
        <f ca="1">IFERROR(__xludf.DUMMYFUNCTION("""COMPUTED_VALUE"""),1)</f>
        <v>1</v>
      </c>
      <c r="U307" s="25">
        <f ca="1">IFERROR(__xludf.DUMMYFUNCTION("""COMPUTED_VALUE"""),0.4)</f>
        <v>0.4</v>
      </c>
      <c r="V307" s="25">
        <f ca="1">IFERROR(__xludf.DUMMYFUNCTION("""COMPUTED_VALUE"""),0)</f>
        <v>0</v>
      </c>
      <c r="W307" s="4"/>
      <c r="X307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Y307" s="4" t="str">
        <f ca="1">IFERROR(__xludf.DUMMYFUNCTION("""COMPUTED_VALUE"""),"| 5 L PHP-CGM @ | 6 L CPT @ | 7 L NS @ | 8 L JAVA @ | 9 P JAVA @ ")</f>
        <v xml:space="preserve">| 5 L PHP-CGM @ | 6 L CPT @ | 7 L NS @ | 8 L JAVA @ | 9 P JAVA @ </v>
      </c>
      <c r="Z307" s="4" t="str">
        <f ca="1">IFERROR(__xludf.DUMMYFUNCTION("""COMPUTED_VALUE"""),"| 5 L NS % | 6 L JAVA % | 7 L PRO % | 8 L PRO % | 9 P Python @ ")</f>
        <v xml:space="preserve">| 5 L NS % | 6 L JAVA % | 7 L PRO % | 8 L PRO % | 9 P Python @ </v>
      </c>
      <c r="AA307" s="4" t="str">
        <f ca="1">IFERROR(__xludf.DUMMYFUNCTION("""COMPUTED_VALUE"""),"| 7 P NS % | 9 P Python @ ")</f>
        <v xml:space="preserve">| 7 P NS % | 9 P Python @ </v>
      </c>
      <c r="AB307" s="4" t="str">
        <f ca="1">IFERROR(__xludf.DUMMYFUNCTION("""COMPUTED_VALUE"""),"| 5 L JAVA % | 6 L PHP-CGM % | 7 P JAVA % | 9 P CPT % ")</f>
        <v xml:space="preserve">| 5 L JAVA % | 6 L PHP-CGM % | 7 P JAVA % | 9 P CPT % </v>
      </c>
      <c r="AC307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307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7" s="4" t="str">
        <f ca="1">IFERROR(__xludf.DUMMYFUNCTION("""COMPUTED_VALUE"""),"| 5 L JAVA % | 6 L NS % | 7 L PRO % | 9 P Python @ ")</f>
        <v xml:space="preserve">| 5 L JAVA % | 6 L NS % | 7 L PRO % | 9 P Python @ </v>
      </c>
      <c r="AF307" s="4" t="str">
        <f ca="1">IFERROR(__xludf.DUMMYFUNCTION("""COMPUTED_VALUE"""),"| 7 P NS % | 9 P Python % ")</f>
        <v xml:space="preserve">| 7 P NS % | 9 P Python % </v>
      </c>
      <c r="AG307" s="4" t="str">
        <f ca="1">IFERROR(__xludf.DUMMYFUNCTION("""COMPUTED_VALUE"""),"| 5 L CPT % | 6 L PHP-CGM % | 7 P JAVA % | 9 P CPT % ")</f>
        <v xml:space="preserve">| 5 L CPT % | 6 L PHP-CGM % | 7 P JAVA % | 9 P CPT % </v>
      </c>
      <c r="AH307" s="4" t="str">
        <f ca="1">IFERROR(__xludf.DUMMYFUNCTION("""COMPUTED_VALUE"""),"| 7 P NS % | 9 P Python @ ")</f>
        <v xml:space="preserve">| 7 P NS % | 9 P Python @ </v>
      </c>
      <c r="AI307" s="4" t="str">
        <f ca="1">IFERROR(__xludf.DUMMYFUNCTION("""COMPUTED_VALUE"""),"| 5 L CPT % | 6 L PHP-CGM % | 7 P JAVA % | 9 P CPT % ")</f>
        <v xml:space="preserve">| 5 L CPT % | 6 L PHP-CGM % | 7 P JAVA % | 9 P CPT % </v>
      </c>
      <c r="AJ307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K307" s="4" t="str">
        <f ca="1">IFERROR(__xludf.DUMMYFUNCTION("""COMPUTED_VALUE"""),"| 5 L PHP-CGM % | 6 L CPT % | 8 L JAVA % | 7 L NS % | 9 P JAVA @ ")</f>
        <v xml:space="preserve">| 5 L PHP-CGM % | 6 L CPT % | 8 L JAVA % | 7 L NS % | 9 P JAVA @ </v>
      </c>
      <c r="AL307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7" s="4" t="str">
        <f ca="1">IFERROR(__xludf.DUMMYFUNCTION("""COMPUTED_VALUE"""),"| 5 L INE % | 7 P NS % | 9 P Python % ")</f>
        <v xml:space="preserve">| 5 L INE % | 7 P NS % | 9 P Python % </v>
      </c>
      <c r="AN307" s="4" t="str">
        <f ca="1">IFERROR(__xludf.DUMMYFUNCTION("""COMPUTED_VALUE"""),"| 5 L CPT % | 6 L PHP-CGM % | 7 P JAVA % | 9 P CPT @ ")</f>
        <v xml:space="preserve">| 5 L CPT % | 6 L PHP-CGM % | 7 P JAVA % | 9 P CPT @ </v>
      </c>
      <c r="AO307" s="4" t="str">
        <f ca="1">IFERROR(__xludf.DUMMYFUNCTION("""COMPUTED_VALUE"""),"| 5 L JAVA @ | 5 L NS @ | 7 L PHP-CGM @ | 8 L CPT @ | 9 P PHP-CGM @ ")</f>
        <v xml:space="preserve">| 5 L JAVA @ | 5 L NS @ | 7 L PHP-CGM @ | 8 L CPT @ | 9 P PHP-CGM @ </v>
      </c>
      <c r="AP307" s="4" t="str">
        <f ca="1">IFERROR(__xludf.DUMMYFUNCTION("""COMPUTED_VALUE"""),"| 5 L PHP-CGM @ | 6 L CPT @ | 7 L JAVA @ | 7 L NS @ ")</f>
        <v xml:space="preserve">| 5 L PHP-CGM @ | 6 L CPT @ | 7 L JAVA @ | 7 L NS @ </v>
      </c>
      <c r="AQ307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AR307" s="4" t="str">
        <f ca="1">IFERROR(__xludf.DUMMYFUNCTION("""COMPUTED_VALUE"""),"| 5 L INE @ ")</f>
        <v xml:space="preserve">| 5 L INE @ </v>
      </c>
      <c r="AS307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AT307" s="4" t="str">
        <f ca="1">IFERROR(__xludf.DUMMYFUNCTION("""COMPUTED_VALUE"""),"| 5 L PHP-CGM @ | 6 L CPT @ | 7 L JAVA @ | 8 L JAVA @ | 9 P JAVA @ ")</f>
        <v xml:space="preserve">| 5 L PHP-CGM @ | 6 L CPT @ | 7 L JAVA @ | 8 L JAVA @ | 9 P JAVA @ </v>
      </c>
      <c r="AU307" s="4" t="str">
        <f ca="1">IFERROR(__xludf.DUMMYFUNCTION("""COMPUTED_VALUE"""),"| 5 L JAVA % | 6 L NS % | 7 P PRO % | 9 P Python % ")</f>
        <v xml:space="preserve">| 5 L JAVA % | 6 L NS % | 7 P PRO % | 9 P Python % </v>
      </c>
      <c r="AV307" s="4" t="str">
        <f ca="1">IFERROR(__xludf.DUMMYFUNCTION("""COMPUTED_VALUE"""),"| 5 L INE @ | 7 P NS @ | 9 P Python @ ")</f>
        <v xml:space="preserve">| 5 L INE @ | 7 P NS @ | 9 P Python @ </v>
      </c>
      <c r="AW307" s="4" t="str">
        <f ca="1">IFERROR(__xludf.DUMMYFUNCTION("""COMPUTED_VALUE"""),"| 5 L CPT % | 6 L PHP-CGM % | 7 P JAVA % | 9 P CPT @ ")</f>
        <v xml:space="preserve">| 5 L CPT % | 6 L PHP-CGM % | 7 P JAVA % | 9 P CPT @ </v>
      </c>
      <c r="AX307" s="4" t="str">
        <f ca="1">IFERROR(__xludf.DUMMYFUNCTION("""COMPUTED_VALUE"""),"| 5 L JAVA % | 6 L JAVA % | 7 L PHP-CGM % | 8 L CPT % | 9 P PHP-CGM @ ")</f>
        <v xml:space="preserve">| 5 L JAVA % | 6 L JAVA % | 7 L PHP-CGM % | 8 L CPT % | 9 P PHP-CGM @ </v>
      </c>
      <c r="AY307" s="4" t="str">
        <f ca="1">IFERROR(__xludf.DUMMYFUNCTION("""COMPUTED_VALUE"""),"| 5 L PHP-CGM % | 6 L CPT % | 7 L NS % | 8 L NS % | 9 P JAVA @ ")</f>
        <v xml:space="preserve">| 5 L PHP-CGM % | 6 L CPT % | 7 L NS % | 8 L NS % | 9 P JAVA @ </v>
      </c>
      <c r="AZ307" s="4" t="str">
        <f ca="1">IFERROR(__xludf.DUMMYFUNCTION("""COMPUTED_VALUE"""),"| 5 L INE @ | 7 P NS @ ")</f>
        <v xml:space="preserve">| 5 L INE @ | 7 P NS @ </v>
      </c>
      <c r="BA307" s="4" t="str">
        <f ca="1">IFERROR(__xludf.DUMMYFUNCTION("""COMPUTED_VALUE"""),"| 5 L CPT @ | 6 L PHP-CGM @ | 7 P JAVA @ | 9 P CPT @ ")</f>
        <v xml:space="preserve">| 5 L CPT @ | 6 L PHP-CGM @ | 7 P JAVA @ | 9 P CPT @ </v>
      </c>
      <c r="BB307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C307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D307" s="4" t="str">
        <f ca="1">IFERROR(__xludf.DUMMYFUNCTION("""COMPUTED_VALUE"""),"| 5 L JAVA % | 6 L NS % | 7 L PRO % | 8 L PRO % | 9 P Python @ ")</f>
        <v xml:space="preserve">| 5 L JAVA % | 6 L NS % | 7 L PRO % | 8 L PRO % | 9 P Python @ </v>
      </c>
      <c r="BE307" s="4" t="str">
        <f ca="1">IFERROR(__xludf.DUMMYFUNCTION("""COMPUTED_VALUE"""),"| 5 L INE % | 7 P NS % | 9 P Python % ")</f>
        <v xml:space="preserve">| 5 L INE % | 7 P NS % | 9 P Python % </v>
      </c>
      <c r="BF307" s="4" t="str">
        <f ca="1">IFERROR(__xludf.DUMMYFUNCTION("""COMPUTED_VALUE"""),"| 5 L CPT % | 6 L PHP-CGM % | 7 P JAVA % | 9 P CPT % ")</f>
        <v xml:space="preserve">| 5 L CPT % | 6 L PHP-CGM % | 7 P JAVA % | 9 P CPT % </v>
      </c>
      <c r="BG307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307" s="4" t="str">
        <f ca="1">IFERROR(__xludf.DUMMYFUNCTION("""COMPUTED_VALUE"""),"| 5 L JAVA % | 6 L NS % | 7 L PRO % | 9 P Python @ ")</f>
        <v xml:space="preserve">| 5 L JAVA % | 6 L NS % | 7 L PRO % | 9 P Python @ </v>
      </c>
      <c r="BI307" s="4" t="str">
        <f ca="1">IFERROR(__xludf.DUMMYFUNCTION("""COMPUTED_VALUE"""),"| 5 L INE % | 7 P NS % | 9 P Python % ")</f>
        <v xml:space="preserve">| 5 L INE % | 7 P NS % | 9 P Python % </v>
      </c>
      <c r="BJ307" s="4" t="str">
        <f ca="1">IFERROR(__xludf.DUMMYFUNCTION("""COMPUTED_VALUE"""),"| 5 L CPT % | 6 L PHP-CGM % | 7 P JAVA % | 9 P CPT % ")</f>
        <v xml:space="preserve">| 5 L CPT % | 6 L PHP-CGM % | 7 P JAVA % | 9 P CPT % </v>
      </c>
      <c r="BK307" s="4" t="str">
        <f ca="1">IFERROR(__xludf.DUMMYFUNCTION("""COMPUTED_VALUE"""),"| 5 L JAVA @ | 7 L PHP-CGM @ | 8 L CPT @ | 9 P PHP-CGM @ ")</f>
        <v xml:space="preserve">| 5 L JAVA @ | 7 L PHP-CGM @ | 8 L CPT @ | 9 P PHP-CGM @ </v>
      </c>
      <c r="BL307" s="4" t="str">
        <f ca="1">IFERROR(__xludf.DUMMYFUNCTION("""COMPUTED_VALUE"""),"| 5 L PHP-CGM @ | 6 L CPT @ | 8 L NS @ ")</f>
        <v xml:space="preserve">| 5 L PHP-CGM @ | 6 L CPT @ | 8 L NS @ </v>
      </c>
      <c r="BM307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N307" s="4" t="str">
        <f ca="1">IFERROR(__xludf.DUMMYFUNCTION("""COMPUTED_VALUE"""),"| 5 L INE @ | 7 P NS @ | 9 P Python @ ")</f>
        <v xml:space="preserve">| 5 L INE @ | 7 P NS @ | 9 P Python @ </v>
      </c>
      <c r="BO307" s="4" t="str">
        <f ca="1">IFERROR(__xludf.DUMMYFUNCTION("""COMPUTED_VALUE"""),"| 5 L CPT @ | 6 L PHP-CGM @ | 9 P CPT @ ")</f>
        <v xml:space="preserve">| 5 L CPT @ | 6 L PHP-CGM @ | 9 P CPT @ </v>
      </c>
      <c r="BP307" s="4" t="str">
        <f ca="1">IFERROR(__xludf.DUMMYFUNCTION("""COMPUTED_VALUE"""),"| 5 L JAVA @ | 6 L JAVA @ | 7 L PHP-CGM @ | 8 L CPT @ | 9 P PHP-CGM @ ")</f>
        <v xml:space="preserve">| 5 L JAVA @ | 6 L JAVA @ | 7 L PHP-CGM @ | 8 L CPT @ | 9 P PHP-CGM @ </v>
      </c>
      <c r="BQ307" s="4" t="str">
        <f ca="1">IFERROR(__xludf.DUMMYFUNCTION("""COMPUTED_VALUE"""),"| 5 L JAVA @ ")</f>
        <v xml:space="preserve">| 5 L JAVA @ </v>
      </c>
      <c r="BR307" s="4"/>
      <c r="BS307" s="4"/>
      <c r="BT307" s="4" t="str">
        <f ca="1">IFERROR(__xludf.DUMMYFUNCTION("""COMPUTED_VALUE"""),"| 7 L PHP-CGM @ | 8 L CPT @ ")</f>
        <v xml:space="preserve">| 7 L PHP-CGM @ | 8 L CPT @ </v>
      </c>
      <c r="BU307" s="4" t="str">
        <f ca="1">IFERROR(__xludf.DUMMYFUNCTION("""COMPUTED_VALUE"""),"| 8 L NS @ ")</f>
        <v xml:space="preserve">| 8 L NS @ </v>
      </c>
      <c r="BV307" s="4" t="str">
        <f ca="1">IFERROR(__xludf.DUMMYFUNCTION("""COMPUTED_VALUE"""),"| 5 L JAVA @ | 6 L NS @ | 7 L PHP-CGM @ | 8 L CPT @ | 9 P PHP-CGM @ ")</f>
        <v xml:space="preserve">| 5 L JAVA @ | 6 L NS @ | 7 L PHP-CGM @ | 8 L CPT @ | 9 P PHP-CGM @ </v>
      </c>
      <c r="BW307" s="4"/>
      <c r="BX307" s="4" t="str">
        <f ca="1">IFERROR(__xludf.DUMMYFUNCTION("""COMPUTED_VALUE"""),"| 5 L JAVA % | 6 L NS % | 7 L PRO @ | 9 P Python @ ")</f>
        <v xml:space="preserve">| 5 L JAVA % | 6 L NS % | 7 L PRO @ | 9 P Python @ </v>
      </c>
      <c r="BY307" s="4" t="str">
        <f ca="1">IFERROR(__xludf.DUMMYFUNCTION("""COMPUTED_VALUE"""),"| 5 L INE @ | 7 P NS @ | 9 P Python @ ")</f>
        <v xml:space="preserve">| 5 L INE @ | 7 P NS @ | 9 P Python @ </v>
      </c>
      <c r="BZ307" s="4" t="str">
        <f ca="1">IFERROR(__xludf.DUMMYFUNCTION("""COMPUTED_VALUE"""),"| 5 L CPT % | 6 L PHP-CGM % | 7 P JAVA % | 9 P CPT @ ")</f>
        <v xml:space="preserve">| 5 L CPT % | 6 L PHP-CGM % | 7 P JAVA % | 9 P CPT @ </v>
      </c>
      <c r="CA307" s="4" t="str">
        <f ca="1">IFERROR(__xludf.DUMMYFUNCTION("""COMPUTED_VALUE"""),"| 5 L JAVA % | 6 L JAVA % | 7 L PHP-CGM % | 8 L CPT % ")</f>
        <v xml:space="preserve">| 5 L JAVA % | 6 L JAVA % | 7 L PHP-CGM % | 8 L CPT % </v>
      </c>
      <c r="CB307" s="4" t="str">
        <f ca="1">IFERROR(__xludf.DUMMYFUNCTION("""COMPUTED_VALUE"""),"| 5 L PHP-CGM @ | 6 L CPT @ | 7 L NS @ | 9 P JAVA @ ")</f>
        <v xml:space="preserve">| 5 L PHP-CGM @ | 6 L CPT @ | 7 L NS @ | 9 P JAVA @ </v>
      </c>
      <c r="CC307" s="4" t="str">
        <f ca="1">IFERROR(__xludf.DUMMYFUNCTION("""COMPUTED_VALUE"""),"| 5 L JAVA % | 6 L NS % | 9 P Python @ ")</f>
        <v xml:space="preserve">| 5 L JAVA % | 6 L NS % | 9 P Python @ </v>
      </c>
      <c r="CD307" s="4" t="str">
        <f ca="1">IFERROR(__xludf.DUMMYFUNCTION("""COMPUTED_VALUE"""),"| 5 L INE % | 7 P NS % | 9 P Python % ")</f>
        <v xml:space="preserve">| 5 L INE % | 7 P NS % | 9 P Python % </v>
      </c>
      <c r="CE307" s="4" t="str">
        <f ca="1">IFERROR(__xludf.DUMMYFUNCTION("""COMPUTED_VALUE"""),"| 5 L CPT @ | 6 L PHP-CGM @ | 7 P JAVA % | 9 P CPT @ ")</f>
        <v xml:space="preserve">| 5 L CPT @ | 6 L PHP-CGM @ | 7 P JAVA % | 9 P CPT @ </v>
      </c>
      <c r="CF307" s="4" t="str">
        <f ca="1">IFERROR(__xludf.DUMMYFUNCTION("""COMPUTED_VALUE"""),"| 5 L JAVA @ | 6 L NS @ | 7 L PHP-CGM @ | 8 L CPT @ | 9 P PHP-CGM % ")</f>
        <v xml:space="preserve">| 5 L JAVA @ | 6 L NS @ | 7 L PHP-CGM @ | 8 L CPT @ | 9 P PHP-CGM % </v>
      </c>
      <c r="CG307" s="4" t="str">
        <f ca="1">IFERROR(__xludf.DUMMYFUNCTION("""COMPUTED_VALUE"""),"| 5 L PHP-CGM @ | 6 L CPT @ | 7 L JAVA @ | 8 L NS @ | 9 P JAVA % ")</f>
        <v xml:space="preserve">| 5 L PHP-CGM @ | 6 L CPT @ | 7 L JAVA @ | 8 L NS @ | 9 P JAVA % </v>
      </c>
      <c r="CH307" s="4" t="str">
        <f ca="1">IFERROR(__xludf.DUMMYFUNCTION("""COMPUTED_VALUE"""),"| 5 L JAVA @ | 6 L NS @ | 9 P Python % ")</f>
        <v xml:space="preserve">| 5 L JAVA @ | 6 L NS @ | 9 P Python % </v>
      </c>
      <c r="CI307" s="4" t="str">
        <f ca="1">IFERROR(__xludf.DUMMYFUNCTION("""COMPUTED_VALUE"""),"| 5 L INE @ | 7 P NS % ")</f>
        <v xml:space="preserve">| 5 L INE @ | 7 P NS % </v>
      </c>
      <c r="CJ307" s="4" t="str">
        <f ca="1">IFERROR(__xludf.DUMMYFUNCTION("""COMPUTED_VALUE"""),"| 5 L CPT % | 6 L PHP-CGM @ | 9 P CPT % ")</f>
        <v xml:space="preserve">| 5 L CPT % | 6 L PHP-CGM @ | 9 P CPT % </v>
      </c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</row>
    <row r="308" spans="1:102" ht="12.5" x14ac:dyDescent="0.25">
      <c r="A308" s="3">
        <f ca="1">IFERROR(__xludf.DUMMYFUNCTION("""COMPUTED_VALUE"""),2)</f>
        <v>2</v>
      </c>
      <c r="B308" s="3" t="str">
        <f ca="1">IFERROR(__xludf.DUMMYFUNCTION("""COMPUTED_VALUE"""),"D")</f>
        <v>D</v>
      </c>
      <c r="C308" s="32" t="str">
        <f ca="1">IFERROR(__xludf.DUMMYFUNCTION("""COMPUTED_VALUE"""),"23171341121")</f>
        <v>23171341121</v>
      </c>
      <c r="D308" s="4" t="str">
        <f ca="1">IFERROR(__xludf.DUMMYFUNCTION("""COMPUTED_VALUE"""),"PATEL SHREY SUNILBHAI")</f>
        <v>PATEL SHREY SUNILBHAI</v>
      </c>
      <c r="E308" s="3" t="str">
        <f ca="1">IFERROR(__xludf.DUMMYFUNCTION("""COMPUTED_VALUE"""),"ZPP - Eve")</f>
        <v>ZPP - Eve</v>
      </c>
      <c r="F308" s="3">
        <f ca="1">IFERROR(__xludf.DUMMYFUNCTION("""COMPUTED_VALUE"""),9427040489)</f>
        <v>9427040489</v>
      </c>
      <c r="G308" s="3">
        <f ca="1">IFERROR(__xludf.DUMMYFUNCTION("""COMPUTED_VALUE"""),9429384216)</f>
        <v>9429384216</v>
      </c>
      <c r="H308" s="33">
        <f ca="1">IFERROR(__xludf.DUMMYFUNCTION("""COMPUTED_VALUE"""),0.84453781512605)</f>
        <v>0.84453781512604997</v>
      </c>
      <c r="I308" s="25">
        <f ca="1">IFERROR(__xludf.DUMMYFUNCTION("""COMPUTED_VALUE"""),0.8)</f>
        <v>0.8</v>
      </c>
      <c r="J308" s="25">
        <f ca="1">IFERROR(__xludf.DUMMYFUNCTION("""COMPUTED_VALUE"""),0.833333333333333)</f>
        <v>0.83333333333333304</v>
      </c>
      <c r="K308" s="25">
        <f ca="1">IFERROR(__xludf.DUMMYFUNCTION("""COMPUTED_VALUE"""),0.875)</f>
        <v>0.875</v>
      </c>
      <c r="L308" s="25">
        <f ca="1">IFERROR(__xludf.DUMMYFUNCTION("""COMPUTED_VALUE"""),0.916666666666666)</f>
        <v>0.91666666666666596</v>
      </c>
      <c r="M308" s="25">
        <f ca="1">IFERROR(__xludf.DUMMYFUNCTION("""COMPUTED_VALUE"""),0.833333333333333)</f>
        <v>0.83333333333333304</v>
      </c>
      <c r="N308" s="25">
        <f ca="1">IFERROR(__xludf.DUMMYFUNCTION("""COMPUTED_VALUE"""),0.909090909090909)</f>
        <v>0.90909090909090895</v>
      </c>
      <c r="O308" s="25">
        <f ca="1">IFERROR(__xludf.DUMMYFUNCTION("""COMPUTED_VALUE"""),0.833333333333333)</f>
        <v>0.83333333333333304</v>
      </c>
      <c r="P308" s="25">
        <f ca="1">IFERROR(__xludf.DUMMYFUNCTION("""COMPUTED_VALUE"""),0.894736842105263)</f>
        <v>0.89473684210526305</v>
      </c>
      <c r="Q308" s="25">
        <f ca="1">IFERROR(__xludf.DUMMYFUNCTION("""COMPUTED_VALUE"""),0)</f>
        <v>0</v>
      </c>
      <c r="R308" s="25">
        <f ca="1">IFERROR(__xludf.DUMMYFUNCTION("""COMPUTED_VALUE"""),0.857142857142857)</f>
        <v>0.85714285714285698</v>
      </c>
      <c r="S308" s="25">
        <f ca="1">IFERROR(__xludf.DUMMYFUNCTION("""COMPUTED_VALUE"""),0.769230769230769)</f>
        <v>0.76923076923076905</v>
      </c>
      <c r="T308" s="25">
        <f ca="1">IFERROR(__xludf.DUMMYFUNCTION("""COMPUTED_VALUE"""),1)</f>
        <v>1</v>
      </c>
      <c r="U308" s="25">
        <f ca="1">IFERROR(__xludf.DUMMYFUNCTION("""COMPUTED_VALUE"""),0.8)</f>
        <v>0.8</v>
      </c>
      <c r="V308" s="25">
        <f ca="1">IFERROR(__xludf.DUMMYFUNCTION("""COMPUTED_VALUE"""),0)</f>
        <v>0</v>
      </c>
      <c r="W308" s="4"/>
      <c r="X30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Y308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Z308" s="4" t="str">
        <f ca="1">IFERROR(__xludf.DUMMYFUNCTION("""COMPUTED_VALUE"""),"| 5 L NS % | 6 L JAVA @ | 7 L PRO % | 8 L PRO % | 9 P Python % ")</f>
        <v xml:space="preserve">| 5 L NS % | 6 L JAVA @ | 7 L PRO % | 8 L PRO % | 9 P Python % </v>
      </c>
      <c r="AA308" s="4" t="str">
        <f ca="1">IFERROR(__xludf.DUMMYFUNCTION("""COMPUTED_VALUE"""),"| 7 P NS % | 9 P Python % ")</f>
        <v xml:space="preserve">| 7 P NS % | 9 P Python % </v>
      </c>
      <c r="AB308" s="4" t="str">
        <f ca="1">IFERROR(__xludf.DUMMYFUNCTION("""COMPUTED_VALUE"""),"| 5 L JAVA % | 6 L PHP-CGM % | 7 P JAVA % | 9 P CPT % ")</f>
        <v xml:space="preserve">| 5 L JAVA % | 6 L PHP-CGM % | 7 P JAVA % | 9 P CPT % </v>
      </c>
      <c r="AC308" s="4" t="str">
        <f ca="1">IFERROR(__xludf.DUMMYFUNCTION("""COMPUTED_VALUE"""),"| 5 L JAVA % | 6 L NS % | 7 L PHP-CGM % | 9 P PHP-CGM % | 8 L CPT % ")</f>
        <v xml:space="preserve">| 5 L JAVA % | 6 L NS % | 7 L PHP-CGM % | 9 P PHP-CGM % | 8 L CPT % </v>
      </c>
      <c r="AD308" s="4" t="str">
        <f ca="1">IFERROR(__xludf.DUMMYFUNCTION("""COMPUTED_VALUE"""),"| 5 L PHP-CGM % | 6 L CPT % | 7 L NS % | 8 L JAVA % | 9 P JAVA % ")</f>
        <v xml:space="preserve">| 5 L PHP-CGM % | 6 L CPT % | 7 L NS % | 8 L JAVA % | 9 P JAVA % </v>
      </c>
      <c r="AE308" s="4" t="str">
        <f ca="1">IFERROR(__xludf.DUMMYFUNCTION("""COMPUTED_VALUE"""),"| 5 L JAVA % | 6 L NS % | 7 L PRO % | 9 P Python % ")</f>
        <v xml:space="preserve">| 5 L JAVA % | 6 L NS % | 7 L PRO % | 9 P Python % </v>
      </c>
      <c r="AF308" s="4" t="str">
        <f ca="1">IFERROR(__xludf.DUMMYFUNCTION("""COMPUTED_VALUE"""),"| 7 P NS % | 9 P Python % ")</f>
        <v xml:space="preserve">| 7 P NS % | 9 P Python % </v>
      </c>
      <c r="AG308" s="4" t="str">
        <f ca="1">IFERROR(__xludf.DUMMYFUNCTION("""COMPUTED_VALUE"""),"| 5 L CPT % | 6 L PHP-CGM % | 7 P JAVA % | 9 P CPT % ")</f>
        <v xml:space="preserve">| 5 L CPT % | 6 L PHP-CGM % | 7 P JAVA % | 9 P CPT % </v>
      </c>
      <c r="AH308" s="4" t="str">
        <f ca="1">IFERROR(__xludf.DUMMYFUNCTION("""COMPUTED_VALUE"""),"| 7 P NS % | 9 P Python % ")</f>
        <v xml:space="preserve">| 7 P NS % | 9 P Python % </v>
      </c>
      <c r="AI308" s="4" t="str">
        <f ca="1">IFERROR(__xludf.DUMMYFUNCTION("""COMPUTED_VALUE"""),"| 5 L CPT % | 6 L PHP-CGM % | 7 P JAVA % | 9 P CPT % ")</f>
        <v xml:space="preserve">| 5 L CPT % | 6 L PHP-CGM % | 7 P JAVA % | 9 P CPT % </v>
      </c>
      <c r="AJ308" s="4" t="str">
        <f ca="1">IFERROR(__xludf.DUMMYFUNCTION("""COMPUTED_VALUE"""),"| 5 L JAVA % | 6 L NS % | 7 L PHP-CGM @ | 8 L CPT @ | 9 P PHP-CGM % ")</f>
        <v xml:space="preserve">| 5 L JAVA % | 6 L NS % | 7 L PHP-CGM @ | 8 L CPT @ | 9 P PHP-CGM % </v>
      </c>
      <c r="AK308" s="4" t="str">
        <f ca="1">IFERROR(__xludf.DUMMYFUNCTION("""COMPUTED_VALUE"""),"| 5 L PHP-CGM % | 6 L CPT % | 8 L JAVA % | 7 L NS % | 9 P JAVA % ")</f>
        <v xml:space="preserve">| 5 L PHP-CGM % | 6 L CPT % | 8 L JAVA % | 7 L NS % | 9 P JAVA % </v>
      </c>
      <c r="AL308" s="4" t="str">
        <f ca="1">IFERROR(__xludf.DUMMYFUNCTION("""COMPUTED_VALUE"""),"| 6 L NS % | 7 L NS % | 7 L PRO % | 8 L PRO % | 9 P Python % ")</f>
        <v xml:space="preserve">| 6 L NS % | 7 L NS % | 7 L PRO % | 8 L PRO % | 9 P Python % </v>
      </c>
      <c r="AM308" s="4" t="str">
        <f ca="1">IFERROR(__xludf.DUMMYFUNCTION("""COMPUTED_VALUE"""),"| 5 L INE % | 7 P NS % | 9 P Python % ")</f>
        <v xml:space="preserve">| 5 L INE % | 7 P NS % | 9 P Python % </v>
      </c>
      <c r="AN308" s="4" t="str">
        <f ca="1">IFERROR(__xludf.DUMMYFUNCTION("""COMPUTED_VALUE"""),"| 5 L CPT % | 6 L PHP-CGM % | 7 P JAVA % | 9 P CPT % ")</f>
        <v xml:space="preserve">| 5 L CPT % | 6 L PHP-CGM % | 7 P JAVA % | 9 P CPT % </v>
      </c>
      <c r="AO308" s="4" t="str">
        <f ca="1">IFERROR(__xludf.DUMMYFUNCTION("""COMPUTED_VALUE"""),"| 5 L JAVA % | 5 L NS % | 7 L PHP-CGM % | 8 L CPT % | 9 P PHP-CGM % ")</f>
        <v xml:space="preserve">| 5 L JAVA % | 5 L NS % | 7 L PHP-CGM % | 8 L CPT % | 9 P PHP-CGM % </v>
      </c>
      <c r="AP308" s="4" t="str">
        <f ca="1">IFERROR(__xludf.DUMMYFUNCTION("""COMPUTED_VALUE"""),"| 5 L PHP-CGM % | 6 L CPT % | 7 L JAVA % | 7 L NS % ")</f>
        <v xml:space="preserve">| 5 L PHP-CGM % | 6 L CPT % | 7 L JAVA % | 7 L NS % </v>
      </c>
      <c r="AQ308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AR308" s="4" t="str">
        <f ca="1">IFERROR(__xludf.DUMMYFUNCTION("""COMPUTED_VALUE"""),"| 5 L INE % ")</f>
        <v xml:space="preserve">| 5 L INE % </v>
      </c>
      <c r="AS30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AT308" s="4" t="str">
        <f ca="1">IFERROR(__xludf.DUMMYFUNCTION("""COMPUTED_VALUE"""),"| 5 L PHP-CGM % | 6 L CPT % | 7 L JAVA % | 8 L JAVA % | 9 P JAVA % ")</f>
        <v xml:space="preserve">| 5 L PHP-CGM % | 6 L CPT % | 7 L JAVA % | 8 L JAVA % | 9 P JAVA % </v>
      </c>
      <c r="AU308" s="4" t="str">
        <f ca="1">IFERROR(__xludf.DUMMYFUNCTION("""COMPUTED_VALUE"""),"| 5 L JAVA % | 6 L NS % | 7 P PRO % | 9 P Python % ")</f>
        <v xml:space="preserve">| 5 L JAVA % | 6 L NS % | 7 P PRO % | 9 P Python % </v>
      </c>
      <c r="AV308" s="4" t="str">
        <f ca="1">IFERROR(__xludf.DUMMYFUNCTION("""COMPUTED_VALUE"""),"| 5 L INE % | 7 P NS % | 9 P Python % ")</f>
        <v xml:space="preserve">| 5 L INE % | 7 P NS % | 9 P Python % </v>
      </c>
      <c r="AW308" s="4" t="str">
        <f ca="1">IFERROR(__xludf.DUMMYFUNCTION("""COMPUTED_VALUE"""),"| 5 L CPT @ | 6 L PHP-CGM % | 7 P JAVA % | 9 P CPT % ")</f>
        <v xml:space="preserve">| 5 L CPT @ | 6 L PHP-CGM % | 7 P JAVA % | 9 P CPT % </v>
      </c>
      <c r="AX308" s="4" t="str">
        <f ca="1">IFERROR(__xludf.DUMMYFUNCTION("""COMPUTED_VALUE"""),"| 5 L JAVA @ | 6 L JAVA @ | 7 L PHP-CGM @ | 8 L CPT @ | 9 P PHP-CGM % ")</f>
        <v xml:space="preserve">| 5 L JAVA @ | 6 L JAVA @ | 7 L PHP-CGM @ | 8 L CPT @ | 9 P PHP-CGM % </v>
      </c>
      <c r="AY308" s="4" t="str">
        <f ca="1">IFERROR(__xludf.DUMMYFUNCTION("""COMPUTED_VALUE"""),"| 5 L PHP-CGM % | 6 L CPT % | 7 L NS % | 8 L NS % | 9 P JAVA % ")</f>
        <v xml:space="preserve">| 5 L PHP-CGM % | 6 L CPT % | 7 L NS % | 8 L NS % | 9 P JAVA % </v>
      </c>
      <c r="AZ308" s="4" t="str">
        <f ca="1">IFERROR(__xludf.DUMMYFUNCTION("""COMPUTED_VALUE"""),"| 5 L INE % | 7 P NS % ")</f>
        <v xml:space="preserve">| 5 L INE % | 7 P NS % </v>
      </c>
      <c r="BA308" s="4" t="str">
        <f ca="1">IFERROR(__xludf.DUMMYFUNCTION("""COMPUTED_VALUE"""),"| 5 L CPT % | 6 L PHP-CGM % | 7 P JAVA % | 9 P CPT % ")</f>
        <v xml:space="preserve">| 5 L CPT % | 6 L PHP-CGM % | 7 P JAVA % | 9 P CPT % </v>
      </c>
      <c r="BB30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C308" s="4" t="str">
        <f ca="1">IFERROR(__xludf.DUMMYFUNCTION("""COMPUTED_VALUE"""),"| 5 L PHP-CGM @ | 6 L CPT @ | 7 L JAVA @ | 8 L NS @ | 9 P JAVA @ ")</f>
        <v xml:space="preserve">| 5 L PHP-CGM @ | 6 L CPT @ | 7 L JAVA @ | 8 L NS @ | 9 P JAVA @ </v>
      </c>
      <c r="BD308" s="4" t="str">
        <f ca="1">IFERROR(__xludf.DUMMYFUNCTION("""COMPUTED_VALUE"""),"| 5 L JAVA @ | 6 L NS @ | 7 L PRO @ | 8 L PRO @ | 9 P Python @ ")</f>
        <v xml:space="preserve">| 5 L JAVA @ | 6 L NS @ | 7 L PRO @ | 8 L PRO @ | 9 P Python @ </v>
      </c>
      <c r="BE308" s="4" t="str">
        <f ca="1">IFERROR(__xludf.DUMMYFUNCTION("""COMPUTED_VALUE"""),"| 5 L INE @ | 7 P NS @ | 9 P Python @ ")</f>
        <v xml:space="preserve">| 5 L INE @ | 7 P NS @ | 9 P Python @ </v>
      </c>
      <c r="BF308" s="4" t="str">
        <f ca="1">IFERROR(__xludf.DUMMYFUNCTION("""COMPUTED_VALUE"""),"| 5 L CPT @ | 6 L PHP-CGM @ | 7 P JAVA @ | 9 P CPT @ ")</f>
        <v xml:space="preserve">| 5 L CPT @ | 6 L PHP-CGM @ | 7 P JAVA @ | 9 P CPT @ </v>
      </c>
      <c r="BG308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BH308" s="4" t="str">
        <f ca="1">IFERROR(__xludf.DUMMYFUNCTION("""COMPUTED_VALUE"""),"| 5 L JAVA @ | 6 L NS @ | 7 L PRO @ | 9 P Python @ ")</f>
        <v xml:space="preserve">| 5 L JAVA @ | 6 L NS @ | 7 L PRO @ | 9 P Python @ </v>
      </c>
      <c r="BI308" s="4" t="str">
        <f ca="1">IFERROR(__xludf.DUMMYFUNCTION("""COMPUTED_VALUE"""),"| 5 L INE % | 7 P NS % | 9 P Python % ")</f>
        <v xml:space="preserve">| 5 L INE % | 7 P NS % | 9 P Python % </v>
      </c>
      <c r="BJ308" s="4" t="str">
        <f ca="1">IFERROR(__xludf.DUMMYFUNCTION("""COMPUTED_VALUE"""),"| 5 L CPT % | 6 L PHP-CGM % | 7 P JAVA % | 9 P CPT % ")</f>
        <v xml:space="preserve">| 5 L CPT % | 6 L PHP-CGM % | 7 P JAVA % | 9 P CPT % </v>
      </c>
      <c r="BK308" s="4" t="str">
        <f ca="1">IFERROR(__xludf.DUMMYFUNCTION("""COMPUTED_VALUE"""),"| 5 L JAVA % | 7 L PHP-CGM % | 8 L CPT % | 9 P PHP-CGM @ ")</f>
        <v xml:space="preserve">| 5 L JAVA % | 7 L PHP-CGM % | 8 L CPT % | 9 P PHP-CGM @ </v>
      </c>
      <c r="BL308" s="4" t="str">
        <f ca="1">IFERROR(__xludf.DUMMYFUNCTION("""COMPUTED_VALUE"""),"| 5 L PHP-CGM @ | 6 L CPT @ | 8 L NS @ ")</f>
        <v xml:space="preserve">| 5 L PHP-CGM @ | 6 L CPT @ | 8 L NS @ </v>
      </c>
      <c r="BM308" s="4" t="str">
        <f ca="1">IFERROR(__xludf.DUMMYFUNCTION("""COMPUTED_VALUE"""),"| 5 L JAVA % | 6 L NS % | 7 L PRO % | 8 L PRO % | 9 P Python % ")</f>
        <v xml:space="preserve">| 5 L JAVA % | 6 L NS % | 7 L PRO % | 8 L PRO % | 9 P Python % </v>
      </c>
      <c r="BN308" s="4" t="str">
        <f ca="1">IFERROR(__xludf.DUMMYFUNCTION("""COMPUTED_VALUE"""),"| 5 L INE @ | 7 P NS % | 9 P Python % ")</f>
        <v xml:space="preserve">| 5 L INE @ | 7 P NS % | 9 P Python % </v>
      </c>
      <c r="BO308" s="4" t="str">
        <f ca="1">IFERROR(__xludf.DUMMYFUNCTION("""COMPUTED_VALUE"""),"| 5 L CPT @ | 6 L PHP-CGM @ | 9 P CPT @ ")</f>
        <v xml:space="preserve">| 5 L CPT @ | 6 L PHP-CGM @ | 9 P CPT @ </v>
      </c>
      <c r="BP308" s="4" t="str">
        <f ca="1">IFERROR(__xludf.DUMMYFUNCTION("""COMPUTED_VALUE"""),"| 5 L JAVA % | 6 L JAVA % | 7 L PHP-CGM % | 8 L CPT % | 9 P PHP-CGM % ")</f>
        <v xml:space="preserve">| 5 L JAVA % | 6 L JAVA % | 7 L PHP-CGM % | 8 L CPT % | 9 P PHP-CGM % </v>
      </c>
      <c r="BQ308" s="4" t="str">
        <f ca="1">IFERROR(__xludf.DUMMYFUNCTION("""COMPUTED_VALUE"""),"| 5 L JAVA % ")</f>
        <v xml:space="preserve">| 5 L JAVA % </v>
      </c>
      <c r="BR308" s="4"/>
      <c r="BS308" s="4"/>
      <c r="BT308" s="4" t="str">
        <f ca="1">IFERROR(__xludf.DUMMYFUNCTION("""COMPUTED_VALUE"""),"| 7 L PHP-CGM % | 8 L CPT % ")</f>
        <v xml:space="preserve">| 7 L PHP-CGM % | 8 L CPT % </v>
      </c>
      <c r="BU308" s="4" t="str">
        <f ca="1">IFERROR(__xludf.DUMMYFUNCTION("""COMPUTED_VALUE"""),"| 8 L NS % ")</f>
        <v xml:space="preserve">| 8 L NS % </v>
      </c>
      <c r="BV30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BW308" s="4"/>
      <c r="BX308" s="4" t="str">
        <f ca="1">IFERROR(__xludf.DUMMYFUNCTION("""COMPUTED_VALUE"""),"| 5 L JAVA % | 6 L NS % | 7 L PRO % | 9 P Python % ")</f>
        <v xml:space="preserve">| 5 L JAVA % | 6 L NS % | 7 L PRO % | 9 P Python % </v>
      </c>
      <c r="BY308" s="4" t="str">
        <f ca="1">IFERROR(__xludf.DUMMYFUNCTION("""COMPUTED_VALUE"""),"| 5 L INE % | 7 P NS % | 9 P Python % ")</f>
        <v xml:space="preserve">| 5 L INE % | 7 P NS % | 9 P Python % </v>
      </c>
      <c r="BZ308" s="4" t="str">
        <f ca="1">IFERROR(__xludf.DUMMYFUNCTION("""COMPUTED_VALUE"""),"| 5 L CPT % | 6 L PHP-CGM % | 7 P JAVA % | 9 P CPT % ")</f>
        <v xml:space="preserve">| 5 L CPT % | 6 L PHP-CGM % | 7 P JAVA % | 9 P CPT % </v>
      </c>
      <c r="CA308" s="4" t="str">
        <f ca="1">IFERROR(__xludf.DUMMYFUNCTION("""COMPUTED_VALUE"""),"| 5 L JAVA % | 6 L JAVA % | 7 L PHP-CGM % | 8 L CPT % ")</f>
        <v xml:space="preserve">| 5 L JAVA % | 6 L JAVA % | 7 L PHP-CGM % | 8 L CPT % </v>
      </c>
      <c r="CB308" s="4" t="str">
        <f ca="1">IFERROR(__xludf.DUMMYFUNCTION("""COMPUTED_VALUE"""),"| 5 L PHP-CGM % | 6 L CPT % | 7 L NS % | 9 P JAVA % ")</f>
        <v xml:space="preserve">| 5 L PHP-CGM % | 6 L CPT % | 7 L NS % | 9 P JAVA % </v>
      </c>
      <c r="CC308" s="4" t="str">
        <f ca="1">IFERROR(__xludf.DUMMYFUNCTION("""COMPUTED_VALUE"""),"| 5 L JAVA % | 6 L NS % | 9 P Python % ")</f>
        <v xml:space="preserve">| 5 L JAVA % | 6 L NS % | 9 P Python % </v>
      </c>
      <c r="CD308" s="4" t="str">
        <f ca="1">IFERROR(__xludf.DUMMYFUNCTION("""COMPUTED_VALUE"""),"| 5 L INE % | 7 P NS % | 9 P Python % ")</f>
        <v xml:space="preserve">| 5 L INE % | 7 P NS % | 9 P Python % </v>
      </c>
      <c r="CE308" s="4" t="str">
        <f ca="1">IFERROR(__xludf.DUMMYFUNCTION("""COMPUTED_VALUE"""),"| 5 L CPT % | 6 L PHP-CGM % | 7 P JAVA % | 9 P CPT % ")</f>
        <v xml:space="preserve">| 5 L CPT % | 6 L PHP-CGM % | 7 P JAVA % | 9 P CPT % </v>
      </c>
      <c r="CF308" s="4" t="str">
        <f ca="1">IFERROR(__xludf.DUMMYFUNCTION("""COMPUTED_VALUE"""),"| 5 L JAVA % | 6 L NS % | 7 L PHP-CGM % | 8 L CPT % | 9 P PHP-CGM % ")</f>
        <v xml:space="preserve">| 5 L JAVA % | 6 L NS % | 7 L PHP-CGM % | 8 L CPT % | 9 P PHP-CGM % </v>
      </c>
      <c r="CG308" s="4" t="str">
        <f ca="1">IFERROR(__xludf.DUMMYFUNCTION("""COMPUTED_VALUE"""),"| 5 L PHP-CGM % | 6 L CPT % | 7 L JAVA % | 8 L NS % | 9 P JAVA % ")</f>
        <v xml:space="preserve">| 5 L PHP-CGM % | 6 L CPT % | 7 L JAVA % | 8 L NS % | 9 P JAVA % </v>
      </c>
      <c r="CH308" s="4" t="str">
        <f ca="1">IFERROR(__xludf.DUMMYFUNCTION("""COMPUTED_VALUE"""),"| 5 L JAVA % | 6 L NS % | 9 P Python % ")</f>
        <v xml:space="preserve">| 5 L JAVA % | 6 L NS % | 9 P Python % </v>
      </c>
      <c r="CI308" s="4" t="str">
        <f ca="1">IFERROR(__xludf.DUMMYFUNCTION("""COMPUTED_VALUE"""),"| 5 L INE % | 7 P NS % ")</f>
        <v xml:space="preserve">| 5 L INE % | 7 P NS % </v>
      </c>
      <c r="CJ308" s="4" t="str">
        <f ca="1">IFERROR(__xludf.DUMMYFUNCTION("""COMPUTED_VALUE"""),"| 5 L CPT % | 6 L PHP-CGM % | 9 P CPT % ")</f>
        <v xml:space="preserve">| 5 L CPT % | 6 L PHP-CGM % | 9 P CPT % </v>
      </c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</row>
    <row r="309" spans="1:102" ht="12.5" x14ac:dyDescent="0.25">
      <c r="A309" s="3">
        <f ca="1">IFERROR(__xludf.DUMMYFUNCTION("""COMPUTED_VALUE"""),3)</f>
        <v>3</v>
      </c>
      <c r="B309" s="3" t="str">
        <f ca="1">IFERROR(__xludf.DUMMYFUNCTION("""COMPUTED_VALUE"""),"D")</f>
        <v>D</v>
      </c>
      <c r="C309" s="32" t="str">
        <f ca="1">IFERROR(__xludf.DUMMYFUNCTION("""COMPUTED_VALUE"""),"23171341122")</f>
        <v>23171341122</v>
      </c>
      <c r="D309" s="4" t="str">
        <f ca="1">IFERROR(__xludf.DUMMYFUNCTION("""COMPUTED_VALUE"""),"PATEL SHUBHAM KANUBHAI")</f>
        <v>PATEL SHUBHAM KANUBHAI</v>
      </c>
      <c r="E309" s="3" t="str">
        <f ca="1">IFERROR(__xludf.DUMMYFUNCTION("""COMPUTED_VALUE"""),"ZPP - Eve")</f>
        <v>ZPP - Eve</v>
      </c>
      <c r="F309" s="3">
        <f ca="1">IFERROR(__xludf.DUMMYFUNCTION("""COMPUTED_VALUE"""),9726695228)</f>
        <v>9726695228</v>
      </c>
      <c r="G309" s="3">
        <f ca="1">IFERROR(__xludf.DUMMYFUNCTION("""COMPUTED_VALUE"""),9825295228)</f>
        <v>9825295228</v>
      </c>
      <c r="H309" s="33">
        <f ca="1">IFERROR(__xludf.DUMMYFUNCTION("""COMPUTED_VALUE"""),0.807692307692307)</f>
        <v>0.80769230769230704</v>
      </c>
      <c r="I309" s="25">
        <f ca="1">IFERROR(__xludf.DUMMYFUNCTION("""COMPUTED_VALUE"""),0.857142857142857)</f>
        <v>0.85714285714285698</v>
      </c>
      <c r="J309" s="25">
        <f ca="1">IFERROR(__xludf.DUMMYFUNCTION("""COMPUTED_VALUE"""),0.818181818181818)</f>
        <v>0.81818181818181801</v>
      </c>
      <c r="K309" s="25">
        <f ca="1">IFERROR(__xludf.DUMMYFUNCTION("""COMPUTED_VALUE"""),0.875)</f>
        <v>0.875</v>
      </c>
      <c r="L309" s="25">
        <f ca="1">IFERROR(__xludf.DUMMYFUNCTION("""COMPUTED_VALUE"""),0.727272727272727)</f>
        <v>0.72727272727272696</v>
      </c>
      <c r="M309" s="25">
        <f ca="1">IFERROR(__xludf.DUMMYFUNCTION("""COMPUTED_VALUE"""),0.833333333333333)</f>
        <v>0.83333333333333304</v>
      </c>
      <c r="N309" s="25">
        <f ca="1">IFERROR(__xludf.DUMMYFUNCTION("""COMPUTED_VALUE"""),0.833333333333333)</f>
        <v>0.83333333333333304</v>
      </c>
      <c r="O309" s="25">
        <f ca="1">IFERROR(__xludf.DUMMYFUNCTION("""COMPUTED_VALUE"""),0.833333333333333)</f>
        <v>0.83333333333333304</v>
      </c>
      <c r="P309" s="25">
        <f ca="1">IFERROR(__xludf.DUMMYFUNCTION("""COMPUTED_VALUE"""),0.526315789473684)</f>
        <v>0.52631578947368396</v>
      </c>
      <c r="Q309" s="25">
        <f ca="1">IFERROR(__xludf.DUMMYFUNCTION("""COMPUTED_VALUE"""),0)</f>
        <v>0</v>
      </c>
      <c r="R309" s="25">
        <f ca="1">IFERROR(__xludf.DUMMYFUNCTION("""COMPUTED_VALUE"""),0.833333333333333)</f>
        <v>0.83333333333333304</v>
      </c>
      <c r="S309" s="25">
        <f ca="1">IFERROR(__xludf.DUMMYFUNCTION("""COMPUTED_VALUE"""),0.923076923076923)</f>
        <v>0.92307692307692302</v>
      </c>
      <c r="T309" s="25">
        <f ca="1">IFERROR(__xludf.DUMMYFUNCTION("""COMPUTED_VALUE"""),1)</f>
        <v>1</v>
      </c>
      <c r="U309" s="25">
        <f ca="1">IFERROR(__xludf.DUMMYFUNCTION("""COMPUTED_VALUE"""),0.6)</f>
        <v>0.6</v>
      </c>
      <c r="V309" s="25">
        <f ca="1">IFERROR(__xludf.DUMMYFUNCTION("""COMPUTED_VALUE"""),0)</f>
        <v>0</v>
      </c>
      <c r="W309" s="4"/>
      <c r="X309" s="4" t="str">
        <f ca="1">IFERROR(__xludf.DUMMYFUNCTION("""COMPUTED_VALUE"""),"| 5 L JAVA % | 6 L NS % | 7 L PHP-CGM % | 8 L CPT % ")</f>
        <v xml:space="preserve">| 5 L JAVA % | 6 L NS % | 7 L PHP-CGM % | 8 L CPT % </v>
      </c>
      <c r="Y309" s="4" t="str">
        <f ca="1">IFERROR(__xludf.DUMMYFUNCTION("""COMPUTED_VALUE"""),"| 5 L PHP-CGM % | 6 L CPT % | 7 L NS % | 8 L JAVA % ")</f>
        <v xml:space="preserve">| 5 L PHP-CGM % | 6 L CPT % | 7 L NS % | 8 L JAVA % </v>
      </c>
      <c r="Z309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09" s="4" t="str">
        <f ca="1">IFERROR(__xludf.DUMMYFUNCTION("""COMPUTED_VALUE"""),"| 7 P PHP-CGM % | 9 P NS % ")</f>
        <v xml:space="preserve">| 7 P PHP-CGM % | 9 P NS % </v>
      </c>
      <c r="AB309" s="4" t="str">
        <f ca="1">IFERROR(__xludf.DUMMYFUNCTION("""COMPUTED_VALUE"""),"| 5 L JAVA % | 6 L PHP-CGM % | 7 P CPT % | 9 P JAVA @ ")</f>
        <v xml:space="preserve">| 5 L JAVA % | 6 L PHP-CGM % | 7 P CPT % | 9 P JAVA @ </v>
      </c>
      <c r="AC309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09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09" s="4" t="str">
        <f ca="1">IFERROR(__xludf.DUMMYFUNCTION("""COMPUTED_VALUE"""),"| 5 L JAVA % | 6 L NS % | 7 L PRO % | 9 P JAVA @ ")</f>
        <v xml:space="preserve">| 5 L JAVA % | 6 L NS % | 7 L PRO % | 9 P JAVA @ </v>
      </c>
      <c r="AF309" s="4" t="str">
        <f ca="1">IFERROR(__xludf.DUMMYFUNCTION("""COMPUTED_VALUE"""),"| 7 P PHP-CGM % | 9 P NS % ")</f>
        <v xml:space="preserve">| 7 P PHP-CGM % | 9 P NS % </v>
      </c>
      <c r="AG309" s="4" t="str">
        <f ca="1">IFERROR(__xludf.DUMMYFUNCTION("""COMPUTED_VALUE"""),"| 5 L CPT % | 6 L PHP-CGM % | 7 P CPT % | 9 P JAVA % ")</f>
        <v xml:space="preserve">| 5 L CPT % | 6 L PHP-CGM % | 7 P CPT % | 9 P JAVA % </v>
      </c>
      <c r="AH309" s="4" t="str">
        <f ca="1">IFERROR(__xludf.DUMMYFUNCTION("""COMPUTED_VALUE"""),"| 7 P PHP-CGM % | 9 P NS % ")</f>
        <v xml:space="preserve">| 7 P PHP-CGM % | 9 P NS % </v>
      </c>
      <c r="AI309" s="4" t="str">
        <f ca="1">IFERROR(__xludf.DUMMYFUNCTION("""COMPUTED_VALUE"""),"| 5 L CPT % | 6 L PHP-CGM % | 7 P CPT % | 9 P JAVA % ")</f>
        <v xml:space="preserve">| 5 L CPT % | 6 L PHP-CGM % | 7 P CPT % | 9 P JAVA % </v>
      </c>
      <c r="AJ309" s="4" t="str">
        <f ca="1">IFERROR(__xludf.DUMMYFUNCTION("""COMPUTED_VALUE"""),"| 5 L JAVA % | 6 L NS % | 7 L PHP-CGM @ | 8 L CPT @ ")</f>
        <v xml:space="preserve">| 5 L JAVA % | 6 L NS % | 7 L PHP-CGM @ | 8 L CPT @ </v>
      </c>
      <c r="AK309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09" s="4" t="str">
        <f ca="1">IFERROR(__xludf.DUMMYFUNCTION("""COMPUTED_VALUE"""),"| 6 L NS % | 7 L NS % | 7 L PRO % | 8 L PRO % | 9 P JAVA % ")</f>
        <v xml:space="preserve">| 6 L NS % | 7 L NS % | 7 L PRO % | 8 L PRO % | 9 P JAVA % </v>
      </c>
      <c r="AM309" s="4" t="str">
        <f ca="1">IFERROR(__xludf.DUMMYFUNCTION("""COMPUTED_VALUE"""),"| 5 L INE % | 7 P PHP-CGM % | 9 P NS % ")</f>
        <v xml:space="preserve">| 5 L INE % | 7 P PHP-CGM % | 9 P NS % </v>
      </c>
      <c r="AN309" s="4" t="str">
        <f ca="1">IFERROR(__xludf.DUMMYFUNCTION("""COMPUTED_VALUE"""),"| 5 L CPT % | 6 L PHP-CGM % | 7 P CPT @ | 9 P JAVA @ ")</f>
        <v xml:space="preserve">| 5 L CPT % | 6 L PHP-CGM % | 7 P CPT @ | 9 P JAVA @ </v>
      </c>
      <c r="AO309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09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09" s="4" t="str">
        <f ca="1">IFERROR(__xludf.DUMMYFUNCTION("""COMPUTED_VALUE"""),"| 5 L JAVA % | 6 L NS % | 7 L PRO % | 8 L PRO % | 9 P JAVA @ ")</f>
        <v xml:space="preserve">| 5 L JAVA % | 6 L NS % | 7 L PRO % | 8 L PRO % | 9 P JAVA @ </v>
      </c>
      <c r="AR309" s="4" t="str">
        <f ca="1">IFERROR(__xludf.DUMMYFUNCTION("""COMPUTED_VALUE"""),"| 5 L INE @ ")</f>
        <v xml:space="preserve">| 5 L INE @ </v>
      </c>
      <c r="AS30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09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09" s="4" t="str">
        <f ca="1">IFERROR(__xludf.DUMMYFUNCTION("""COMPUTED_VALUE"""),"| 5 L JAVA % | 6 L NS % | 5 P PRO % | 9 P JAVA % ")</f>
        <v xml:space="preserve">| 5 L JAVA % | 6 L NS % | 5 P PRO % | 9 P JAVA % </v>
      </c>
      <c r="AV309" s="4" t="str">
        <f ca="1">IFERROR(__xludf.DUMMYFUNCTION("""COMPUTED_VALUE"""),"| 5 L INE % | 7 P PHP-CGM % | 9 P NS @ ")</f>
        <v xml:space="preserve">| 5 L INE % | 7 P PHP-CGM % | 9 P NS @ </v>
      </c>
      <c r="AW309" s="4" t="str">
        <f ca="1">IFERROR(__xludf.DUMMYFUNCTION("""COMPUTED_VALUE"""),"| 5 L CPT @ | 6 L PHP-CGM @ | 7 P CPT @ | 9 P JAVA @ ")</f>
        <v xml:space="preserve">| 5 L CPT @ | 6 L PHP-CGM @ | 7 P CPT @ | 9 P JAVA @ </v>
      </c>
      <c r="AX309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09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09" s="4" t="str">
        <f ca="1">IFERROR(__xludf.DUMMYFUNCTION("""COMPUTED_VALUE"""),"| 5 L INE % | 7 P PHP-CGM % ")</f>
        <v xml:space="preserve">| 5 L INE % | 7 P PHP-CGM % </v>
      </c>
      <c r="BA309" s="4" t="str">
        <f ca="1">IFERROR(__xludf.DUMMYFUNCTION("""COMPUTED_VALUE"""),"| 5 L CPT % | 6 L PHP-CGM % | 7 P CPT % ")</f>
        <v xml:space="preserve">| 5 L CPT % | 6 L PHP-CGM % | 7 P CPT % </v>
      </c>
      <c r="BB30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09" s="4" t="str">
        <f ca="1">IFERROR(__xludf.DUMMYFUNCTION("""COMPUTED_VALUE"""),"| 5 L PHP-CGM % | 6 L CPT % | 7 L JAVA % | 8 L NS % | 9 P Python @ ")</f>
        <v xml:space="preserve">| 5 L PHP-CGM % | 6 L CPT % | 7 L JAVA % | 8 L NS % | 9 P Python @ </v>
      </c>
      <c r="BD309" s="4" t="str">
        <f ca="1">IFERROR(__xludf.DUMMYFUNCTION("""COMPUTED_VALUE"""),"| 5 L JAVA % | 6 L NS % | 7 L PRO % | 8 L PRO % | 9 P JAVA @ ")</f>
        <v xml:space="preserve">| 5 L JAVA % | 6 L NS % | 7 L PRO % | 8 L PRO % | 9 P JAVA @ </v>
      </c>
      <c r="BE309" s="4" t="str">
        <f ca="1">IFERROR(__xludf.DUMMYFUNCTION("""COMPUTED_VALUE"""),"| 5 L INE % | 7 P PHP-CGM % | 9 P NS % ")</f>
        <v xml:space="preserve">| 5 L INE % | 7 P PHP-CGM % | 9 P NS % </v>
      </c>
      <c r="BF309" s="4" t="str">
        <f ca="1">IFERROR(__xludf.DUMMYFUNCTION("""COMPUTED_VALUE"""),"| 5 L CPT % | 6 L PHP-CGM % | 7 P CPT % ")</f>
        <v xml:space="preserve">| 5 L CPT % | 6 L PHP-CGM % | 7 P CPT % </v>
      </c>
      <c r="BG309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09" s="4" t="str">
        <f ca="1">IFERROR(__xludf.DUMMYFUNCTION("""COMPUTED_VALUE"""),"| 5 L JAVA % | 6 L NS % | 7 L PRO % | 9 P JAVA @ ")</f>
        <v xml:space="preserve">| 5 L JAVA % | 6 L NS % | 7 L PRO % | 9 P JAVA @ </v>
      </c>
      <c r="BI309" s="4" t="str">
        <f ca="1">IFERROR(__xludf.DUMMYFUNCTION("""COMPUTED_VALUE"""),"| 5 L INE @ | 7 P PHP-CGM @ | 9 P NS @ ")</f>
        <v xml:space="preserve">| 5 L INE @ | 7 P PHP-CGM @ | 9 P NS @ </v>
      </c>
      <c r="BJ309" s="4" t="str">
        <f ca="1">IFERROR(__xludf.DUMMYFUNCTION("""COMPUTED_VALUE"""),"| 5 L CPT % | 6 L PHP-CGM % | 7 P CPT % | 9 P JAVA % ")</f>
        <v xml:space="preserve">| 5 L CPT % | 6 L PHP-CGM % | 7 P CPT % | 9 P JAVA % </v>
      </c>
      <c r="BK309" s="4" t="str">
        <f ca="1">IFERROR(__xludf.DUMMYFUNCTION("""COMPUTED_VALUE"""),"| 5 L JAVA % | 7 L PHP-CGM % | 8 L CPT % | 9 P Python % ")</f>
        <v xml:space="preserve">| 5 L JAVA % | 7 L PHP-CGM % | 8 L CPT % | 9 P Python % </v>
      </c>
      <c r="BL309" s="4" t="str">
        <f ca="1">IFERROR(__xludf.DUMMYFUNCTION("""COMPUTED_VALUE"""),"| 5 L PHP-CGM % | 6 L CPT % | 8 L NS % ")</f>
        <v xml:space="preserve">| 5 L PHP-CGM % | 6 L CPT % | 8 L NS % </v>
      </c>
      <c r="BM309" s="4" t="str">
        <f ca="1">IFERROR(__xludf.DUMMYFUNCTION("""COMPUTED_VALUE"""),"| 5 L JAVA % | 6 L NS % | 7 L PRO % | 8 L PRO % | 9 P JAVA % ")</f>
        <v xml:space="preserve">| 5 L JAVA % | 6 L NS % | 7 L PRO % | 8 L PRO % | 9 P JAVA % </v>
      </c>
      <c r="BN309" s="4" t="str">
        <f ca="1">IFERROR(__xludf.DUMMYFUNCTION("""COMPUTED_VALUE"""),"| 5 L INE @ | 7 P PHP-CGM @ | 9 P NS @ ")</f>
        <v xml:space="preserve">| 5 L INE @ | 7 P PHP-CGM @ | 9 P NS @ </v>
      </c>
      <c r="BO309" s="4" t="str">
        <f ca="1">IFERROR(__xludf.DUMMYFUNCTION("""COMPUTED_VALUE"""),"| 5 L CPT @ | 6 L PHP-CGM @ ")</f>
        <v xml:space="preserve">| 5 L CPT @ | 6 L PHP-CGM @ </v>
      </c>
      <c r="BP309" s="4" t="str">
        <f ca="1">IFERROR(__xludf.DUMMYFUNCTION("""COMPUTED_VALUE"""),"| 5 L JAVA @ | 6 L JAVA @ | 7 L PHP-CGM @ | 8 L CPT @ ")</f>
        <v xml:space="preserve">| 5 L JAVA @ | 6 L JAVA @ | 7 L PHP-CGM @ | 8 L CPT @ </v>
      </c>
      <c r="BQ309" s="4" t="str">
        <f ca="1">IFERROR(__xludf.DUMMYFUNCTION("""COMPUTED_VALUE"""),"| 5 L JAVA @ ")</f>
        <v xml:space="preserve">| 5 L JAVA @ </v>
      </c>
      <c r="BR309" s="4"/>
      <c r="BS309" s="4"/>
      <c r="BT309" s="4" t="str">
        <f ca="1">IFERROR(__xludf.DUMMYFUNCTION("""COMPUTED_VALUE"""),"| 7 L PHP-CGM % | 8 L CPT % ")</f>
        <v xml:space="preserve">| 7 L PHP-CGM % | 8 L CPT % </v>
      </c>
      <c r="BU309" s="4" t="str">
        <f ca="1">IFERROR(__xludf.DUMMYFUNCTION("""COMPUTED_VALUE"""),"| 8 L NS @ ")</f>
        <v xml:space="preserve">| 8 L NS @ </v>
      </c>
      <c r="BV309" s="4" t="str">
        <f ca="1">IFERROR(__xludf.DUMMYFUNCTION("""COMPUTED_VALUE"""),"| 5 L JAVA % | 6 L NS % | 7 L PHP-CGM % | 8 L CPT % | 9 P Python @ ")</f>
        <v xml:space="preserve">| 5 L JAVA % | 6 L NS % | 7 L PHP-CGM % | 8 L CPT % | 9 P Python @ </v>
      </c>
      <c r="BW309" s="4" t="str">
        <f ca="1">IFERROR(__xludf.DUMMYFUNCTION("""COMPUTED_VALUE"""),"| 9 P Python @ ")</f>
        <v xml:space="preserve">| 9 P Python @ </v>
      </c>
      <c r="BX309" s="4" t="str">
        <f ca="1">IFERROR(__xludf.DUMMYFUNCTION("""COMPUTED_VALUE"""),"| 5 L JAVA @ | 6 L NS @ | 7 L PRO @ | 9 P JAVA @ ")</f>
        <v xml:space="preserve">| 5 L JAVA @ | 6 L NS @ | 7 L PRO @ | 9 P JAVA @ </v>
      </c>
      <c r="BY309" s="4" t="str">
        <f ca="1">IFERROR(__xludf.DUMMYFUNCTION("""COMPUTED_VALUE"""),"| 5 L INE % | 7 P PHP-CGM % | 9 P NS % ")</f>
        <v xml:space="preserve">| 5 L INE % | 7 P PHP-CGM % | 9 P NS % </v>
      </c>
      <c r="BZ309" s="4" t="str">
        <f ca="1">IFERROR(__xludf.DUMMYFUNCTION("""COMPUTED_VALUE"""),"| 5 L CPT % | 6 L PHP-CGM % | 7 P CPT % | 9 P JAVA % ")</f>
        <v xml:space="preserve">| 5 L CPT % | 6 L PHP-CGM % | 7 P CPT % | 9 P JAVA % </v>
      </c>
      <c r="CA309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CB309" s="4" t="str">
        <f ca="1">IFERROR(__xludf.DUMMYFUNCTION("""COMPUTED_VALUE"""),"| 5 L PHP-CGM % | 6 L CPT % | 7 L NS % | 9 P Python % ")</f>
        <v xml:space="preserve">| 5 L PHP-CGM % | 6 L CPT % | 7 L NS % | 9 P Python % </v>
      </c>
      <c r="CC309" s="4" t="str">
        <f ca="1">IFERROR(__xludf.DUMMYFUNCTION("""COMPUTED_VALUE"""),"| 5 L JAVA @ | 6 L NS @ | 9 P JAVA @ ")</f>
        <v xml:space="preserve">| 5 L JAVA @ | 6 L NS @ | 9 P JAVA @ </v>
      </c>
      <c r="CD309" s="4" t="str">
        <f ca="1">IFERROR(__xludf.DUMMYFUNCTION("""COMPUTED_VALUE"""),"| 5 L INE % | 7 P PHP-CGM % | 9 P NS % ")</f>
        <v xml:space="preserve">| 5 L INE % | 7 P PHP-CGM % | 9 P NS % </v>
      </c>
      <c r="CE309" s="4" t="str">
        <f ca="1">IFERROR(__xludf.DUMMYFUNCTION("""COMPUTED_VALUE"""),"| 5 L CPT % | 6 L PHP-CGM % | 9 P JAVA % | 7 P CPT % ")</f>
        <v xml:space="preserve">| 5 L CPT % | 6 L PHP-CGM % | 9 P JAVA % | 7 P CPT % </v>
      </c>
      <c r="CF309" s="4" t="str">
        <f ca="1">IFERROR(__xludf.DUMMYFUNCTION("""COMPUTED_VALUE"""),"| 5 L JAVA % | 6 L NS % | 7 L PHP-CGM @ | 8 L CPT % | 9 P Python % ")</f>
        <v xml:space="preserve">| 5 L JAVA % | 6 L NS % | 7 L PHP-CGM @ | 8 L CPT % | 9 P Python % </v>
      </c>
      <c r="CG309" s="4" t="str">
        <f ca="1">IFERROR(__xludf.DUMMYFUNCTION("""COMPUTED_VALUE"""),"| 5 L PHP-CGM @ | 6 L CPT @ | 7 L JAVA % | 8 L NS % ")</f>
        <v xml:space="preserve">| 5 L PHP-CGM @ | 6 L CPT @ | 7 L JAVA % | 8 L NS % </v>
      </c>
      <c r="CH309" s="4" t="str">
        <f ca="1">IFERROR(__xludf.DUMMYFUNCTION("""COMPUTED_VALUE"""),"| 5 L JAVA @ | 6 L NS @ | 9 P JAVA % ")</f>
        <v xml:space="preserve">| 5 L JAVA @ | 6 L NS @ | 9 P JAVA % </v>
      </c>
      <c r="CI309" s="4" t="str">
        <f ca="1">IFERROR(__xludf.DUMMYFUNCTION("""COMPUTED_VALUE"""),"| 5 L INE @ | 7 P PHP-CGM % | 9 P NS % ")</f>
        <v xml:space="preserve">| 5 L INE @ | 7 P PHP-CGM % | 9 P NS % </v>
      </c>
      <c r="CJ309" s="4" t="str">
        <f ca="1">IFERROR(__xludf.DUMMYFUNCTION("""COMPUTED_VALUE"""),"| 5 L CPT % | 6 L PHP-CGM % | 7 P CPT % ")</f>
        <v xml:space="preserve">| 5 L CPT % | 6 L PHP-CGM % | 7 P CPT % </v>
      </c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</row>
    <row r="310" spans="1:102" ht="12.5" x14ac:dyDescent="0.25">
      <c r="A310" s="3">
        <f ca="1">IFERROR(__xludf.DUMMYFUNCTION("""COMPUTED_VALUE"""),3)</f>
        <v>3</v>
      </c>
      <c r="B310" s="3" t="str">
        <f ca="1">IFERROR(__xludf.DUMMYFUNCTION("""COMPUTED_VALUE"""),"D")</f>
        <v>D</v>
      </c>
      <c r="C310" s="32" t="str">
        <f ca="1">IFERROR(__xludf.DUMMYFUNCTION("""COMPUTED_VALUE"""),"23171341128")</f>
        <v>23171341128</v>
      </c>
      <c r="D310" s="4" t="str">
        <f ca="1">IFERROR(__xludf.DUMMYFUNCTION("""COMPUTED_VALUE"""),"PATEL TANVIBEN ATULBHAI")</f>
        <v>PATEL TANVIBEN ATULBHAI</v>
      </c>
      <c r="E310" s="3" t="str">
        <f ca="1">IFERROR(__xludf.DUMMYFUNCTION("""COMPUTED_VALUE"""),"ZPP - Eve")</f>
        <v>ZPP - Eve</v>
      </c>
      <c r="F310" s="3">
        <f ca="1">IFERROR(__xludf.DUMMYFUNCTION("""COMPUTED_VALUE"""),9484758088)</f>
        <v>9484758088</v>
      </c>
      <c r="G310" s="3">
        <f ca="1">IFERROR(__xludf.DUMMYFUNCTION("""COMPUTED_VALUE"""),9427038822)</f>
        <v>9427038822</v>
      </c>
      <c r="H310" s="33">
        <f ca="1">IFERROR(__xludf.DUMMYFUNCTION("""COMPUTED_VALUE"""),0.871794871794871)</f>
        <v>0.87179487179487103</v>
      </c>
      <c r="I310" s="25">
        <f ca="1">IFERROR(__xludf.DUMMYFUNCTION("""COMPUTED_VALUE"""),0.828571428571428)</f>
        <v>0.82857142857142796</v>
      </c>
      <c r="J310" s="25">
        <f ca="1">IFERROR(__xludf.DUMMYFUNCTION("""COMPUTED_VALUE"""),0.818181818181818)</f>
        <v>0.81818181818181801</v>
      </c>
      <c r="K310" s="25">
        <f ca="1">IFERROR(__xludf.DUMMYFUNCTION("""COMPUTED_VALUE"""),0.84375)</f>
        <v>0.84375</v>
      </c>
      <c r="L310" s="25">
        <f ca="1">IFERROR(__xludf.DUMMYFUNCTION("""COMPUTED_VALUE"""),0.909090909090909)</f>
        <v>0.90909090909090895</v>
      </c>
      <c r="M310" s="25">
        <f ca="1">IFERROR(__xludf.DUMMYFUNCTION("""COMPUTED_VALUE"""),0.805555555555555)</f>
        <v>0.80555555555555503</v>
      </c>
      <c r="N310" s="25">
        <f ca="1">IFERROR(__xludf.DUMMYFUNCTION("""COMPUTED_VALUE"""),1)</f>
        <v>1</v>
      </c>
      <c r="O310" s="25">
        <f ca="1">IFERROR(__xludf.DUMMYFUNCTION("""COMPUTED_VALUE"""),0.944444444444444)</f>
        <v>0.94444444444444398</v>
      </c>
      <c r="P310" s="25">
        <f ca="1">IFERROR(__xludf.DUMMYFUNCTION("""COMPUTED_VALUE"""),0.842105263157894)</f>
        <v>0.84210526315789402</v>
      </c>
      <c r="Q310" s="25">
        <f ca="1">IFERROR(__xludf.DUMMYFUNCTION("""COMPUTED_VALUE"""),0)</f>
        <v>0</v>
      </c>
      <c r="R310" s="25">
        <f ca="1">IFERROR(__xludf.DUMMYFUNCTION("""COMPUTED_VALUE"""),0.888888888888888)</f>
        <v>0.88888888888888795</v>
      </c>
      <c r="S310" s="25">
        <f ca="1">IFERROR(__xludf.DUMMYFUNCTION("""COMPUTED_VALUE"""),1)</f>
        <v>1</v>
      </c>
      <c r="T310" s="25">
        <f ca="1">IFERROR(__xludf.DUMMYFUNCTION("""COMPUTED_VALUE"""),0)</f>
        <v>0</v>
      </c>
      <c r="U310" s="25">
        <f ca="1">IFERROR(__xludf.DUMMYFUNCTION("""COMPUTED_VALUE"""),0.9)</f>
        <v>0.9</v>
      </c>
      <c r="V310" s="25">
        <f ca="1">IFERROR(__xludf.DUMMYFUNCTION("""COMPUTED_VALUE"""),0)</f>
        <v>0</v>
      </c>
      <c r="W310" s="4"/>
      <c r="X310" s="4" t="str">
        <f ca="1">IFERROR(__xludf.DUMMYFUNCTION("""COMPUTED_VALUE"""),"| 5 L JAVA % | 6 L NS % | 7 L PHP-CGM % | 8 L CPT % ")</f>
        <v xml:space="preserve">| 5 L JAVA % | 6 L NS % | 7 L PHP-CGM % | 8 L CPT % </v>
      </c>
      <c r="Y310" s="4" t="str">
        <f ca="1">IFERROR(__xludf.DUMMYFUNCTION("""COMPUTED_VALUE"""),"| 5 L PHP-CGM % | 6 L CPT % | 7 L NS % | 8 L JAVA % ")</f>
        <v xml:space="preserve">| 5 L PHP-CGM % | 6 L CPT % | 7 L NS % | 8 L JAVA % </v>
      </c>
      <c r="Z310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10" s="4" t="str">
        <f ca="1">IFERROR(__xludf.DUMMYFUNCTION("""COMPUTED_VALUE"""),"| 7 P PHP-CGM % | 9 P NS % ")</f>
        <v xml:space="preserve">| 7 P PHP-CGM % | 9 P NS % </v>
      </c>
      <c r="AB310" s="4" t="str">
        <f ca="1">IFERROR(__xludf.DUMMYFUNCTION("""COMPUTED_VALUE"""),"| 5 L JAVA % | 6 L PHP-CGM % | 7 P CPT % | 9 P JAVA % ")</f>
        <v xml:space="preserve">| 5 L JAVA % | 6 L PHP-CGM % | 7 P CPT % | 9 P JAVA % </v>
      </c>
      <c r="AC310" s="4" t="str">
        <f ca="1">IFERROR(__xludf.DUMMYFUNCTION("""COMPUTED_VALUE"""),"| 5 L JAVA @ | 6 L NS @ | 7 L PHP-CGM @ | 9 P Python @ | 8 L CPT @ ")</f>
        <v xml:space="preserve">| 5 L JAVA @ | 6 L NS @ | 7 L PHP-CGM @ | 9 P Python @ | 8 L CPT @ </v>
      </c>
      <c r="AD310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10" s="4" t="str">
        <f ca="1">IFERROR(__xludf.DUMMYFUNCTION("""COMPUTED_VALUE"""),"| 5 L JAVA % | 6 L NS % | 7 L PRO % | 9 P JAVA % ")</f>
        <v xml:space="preserve">| 5 L JAVA % | 6 L NS % | 7 L PRO % | 9 P JAVA % </v>
      </c>
      <c r="AF310" s="4" t="str">
        <f ca="1">IFERROR(__xludf.DUMMYFUNCTION("""COMPUTED_VALUE"""),"| 7 P PHP-CGM % | 9 P NS % ")</f>
        <v xml:space="preserve">| 7 P PHP-CGM % | 9 P NS % </v>
      </c>
      <c r="AG310" s="4" t="str">
        <f ca="1">IFERROR(__xludf.DUMMYFUNCTION("""COMPUTED_VALUE"""),"| 5 L CPT % | 6 L PHP-CGM % | 7 P CPT % | 9 P JAVA % ")</f>
        <v xml:space="preserve">| 5 L CPT % | 6 L PHP-CGM % | 7 P CPT % | 9 P JAVA % </v>
      </c>
      <c r="AH310" s="4" t="str">
        <f ca="1">IFERROR(__xludf.DUMMYFUNCTION("""COMPUTED_VALUE"""),"| 7 P PHP-CGM % | 9 P NS % ")</f>
        <v xml:space="preserve">| 7 P PHP-CGM % | 9 P NS % </v>
      </c>
      <c r="AI310" s="4" t="str">
        <f ca="1">IFERROR(__xludf.DUMMYFUNCTION("""COMPUTED_VALUE"""),"| 5 L CPT % | 6 L PHP-CGM % | 7 P CPT % | 9 P JAVA % ")</f>
        <v xml:space="preserve">| 5 L CPT % | 6 L PHP-CGM % | 7 P CPT % | 9 P JAVA % </v>
      </c>
      <c r="AJ310" s="4" t="str">
        <f ca="1">IFERROR(__xludf.DUMMYFUNCTION("""COMPUTED_VALUE"""),"| 5 L JAVA % | 6 L NS % | 7 L PHP-CGM @ | 8 L CPT @ ")</f>
        <v xml:space="preserve">| 5 L JAVA % | 6 L NS % | 7 L PHP-CGM @ | 8 L CPT @ </v>
      </c>
      <c r="AK310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0" s="4" t="str">
        <f ca="1">IFERROR(__xludf.DUMMYFUNCTION("""COMPUTED_VALUE"""),"| 6 L NS % | 7 L NS % | 7 L PRO % | 8 L PRO % | 9 P JAVA % ")</f>
        <v xml:space="preserve">| 6 L NS % | 7 L NS % | 7 L PRO % | 8 L PRO % | 9 P JAVA % </v>
      </c>
      <c r="AM310" s="4" t="str">
        <f ca="1">IFERROR(__xludf.DUMMYFUNCTION("""COMPUTED_VALUE"""),"| 5 L INE % | 7 P PHP-CGM % | 9 P NS % ")</f>
        <v xml:space="preserve">| 5 L INE % | 7 P PHP-CGM % | 9 P NS % </v>
      </c>
      <c r="AN310" s="4" t="str">
        <f ca="1">IFERROR(__xludf.DUMMYFUNCTION("""COMPUTED_VALUE"""),"| 5 L CPT % | 6 L PHP-CGM % | 7 P CPT % | 9 P JAVA % ")</f>
        <v xml:space="preserve">| 5 L CPT % | 6 L PHP-CGM % | 7 P CPT % | 9 P JAVA % </v>
      </c>
      <c r="AO310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10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10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10" s="4" t="str">
        <f ca="1">IFERROR(__xludf.DUMMYFUNCTION("""COMPUTED_VALUE"""),"| 5 L INE % ")</f>
        <v xml:space="preserve">| 5 L INE % </v>
      </c>
      <c r="AS310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10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0" s="4" t="str">
        <f ca="1">IFERROR(__xludf.DUMMYFUNCTION("""COMPUTED_VALUE"""),"| 5 L JAVA @ | 6 L NS @ | 5 P PRO @ | 9 P JAVA @ ")</f>
        <v xml:space="preserve">| 5 L JAVA @ | 6 L NS @ | 5 P PRO @ | 9 P JAVA @ </v>
      </c>
      <c r="AV310" s="4" t="str">
        <f ca="1">IFERROR(__xludf.DUMMYFUNCTION("""COMPUTED_VALUE"""),"| 5 L INE % | 7 P PHP-CGM % | 9 P NS % ")</f>
        <v xml:space="preserve">| 5 L INE % | 7 P PHP-CGM % | 9 P NS % </v>
      </c>
      <c r="AW310" s="4" t="str">
        <f ca="1">IFERROR(__xludf.DUMMYFUNCTION("""COMPUTED_VALUE"""),"| 5 L CPT @ | 6 L PHP-CGM @ | 7 P CPT @ | 9 P JAVA @ ")</f>
        <v xml:space="preserve">| 5 L CPT @ | 6 L PHP-CGM @ | 7 P CPT @ | 9 P JAVA @ </v>
      </c>
      <c r="AX310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10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10" s="4" t="str">
        <f ca="1">IFERROR(__xludf.DUMMYFUNCTION("""COMPUTED_VALUE"""),"| 5 L INE % | 7 P PHP-CGM % ")</f>
        <v xml:space="preserve">| 5 L INE % | 7 P PHP-CGM % </v>
      </c>
      <c r="BA310" s="4" t="str">
        <f ca="1">IFERROR(__xludf.DUMMYFUNCTION("""COMPUTED_VALUE"""),"| 5 L CPT % | 6 L PHP-CGM % | 7 P CPT % ")</f>
        <v xml:space="preserve">| 5 L CPT % | 6 L PHP-CGM % | 7 P CPT % </v>
      </c>
      <c r="BB310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10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0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10" s="4" t="str">
        <f ca="1">IFERROR(__xludf.DUMMYFUNCTION("""COMPUTED_VALUE"""),"| 5 L INE % | 7 P PHP-CGM % | 9 P NS % ")</f>
        <v xml:space="preserve">| 5 L INE % | 7 P PHP-CGM % | 9 P NS % </v>
      </c>
      <c r="BF310" s="4" t="str">
        <f ca="1">IFERROR(__xludf.DUMMYFUNCTION("""COMPUTED_VALUE"""),"| 5 L CPT % | 6 L PHP-CGM % | 7 P CPT % ")</f>
        <v xml:space="preserve">| 5 L CPT % | 6 L PHP-CGM % | 7 P CPT % </v>
      </c>
      <c r="BG310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10" s="4" t="str">
        <f ca="1">IFERROR(__xludf.DUMMYFUNCTION("""COMPUTED_VALUE"""),"| 5 L JAVA % | 6 L NS % | 7 L PRO % | 9 P JAVA % ")</f>
        <v xml:space="preserve">| 5 L JAVA % | 6 L NS % | 7 L PRO % | 9 P JAVA % </v>
      </c>
      <c r="BI310" s="4" t="str">
        <f ca="1">IFERROR(__xludf.DUMMYFUNCTION("""COMPUTED_VALUE"""),"| 5 L INE @ | 7 P PHP-CGM % | 9 P NS % ")</f>
        <v xml:space="preserve">| 5 L INE @ | 7 P PHP-CGM % | 9 P NS % </v>
      </c>
      <c r="BJ310" s="4" t="str">
        <f ca="1">IFERROR(__xludf.DUMMYFUNCTION("""COMPUTED_VALUE"""),"| 5 L CPT @ | 6 L PHP-CGM @ | 7 P CPT @ | 9 P JAVA @ ")</f>
        <v xml:space="preserve">| 5 L CPT @ | 6 L PHP-CGM @ | 7 P CPT @ | 9 P JAVA @ </v>
      </c>
      <c r="BK310" s="4" t="str">
        <f ca="1">IFERROR(__xludf.DUMMYFUNCTION("""COMPUTED_VALUE"""),"| 5 L JAVA % | 7 L PHP-CGM % | 8 L CPT % | 9 P Python % ")</f>
        <v xml:space="preserve">| 5 L JAVA % | 7 L PHP-CGM % | 8 L CPT % | 9 P Python % </v>
      </c>
      <c r="BL310" s="4" t="str">
        <f ca="1">IFERROR(__xludf.DUMMYFUNCTION("""COMPUTED_VALUE"""),"| 5 L PHP-CGM % | 6 L CPT % | 8 L NS % ")</f>
        <v xml:space="preserve">| 5 L PHP-CGM % | 6 L CPT % | 8 L NS % </v>
      </c>
      <c r="BM310" s="4" t="str">
        <f ca="1">IFERROR(__xludf.DUMMYFUNCTION("""COMPUTED_VALUE"""),"| 5 L JAVA % | 6 L NS % | 7 L PRO % | 8 L PRO % | 9 P JAVA % ")</f>
        <v xml:space="preserve">| 5 L JAVA % | 6 L NS % | 7 L PRO % | 8 L PRO % | 9 P JAVA % </v>
      </c>
      <c r="BN310" s="4" t="str">
        <f ca="1">IFERROR(__xludf.DUMMYFUNCTION("""COMPUTED_VALUE"""),"| 5 L INE % | 7 P PHP-CGM % | 9 P NS % ")</f>
        <v xml:space="preserve">| 5 L INE % | 7 P PHP-CGM % | 9 P NS % </v>
      </c>
      <c r="BO310" s="4" t="str">
        <f ca="1">IFERROR(__xludf.DUMMYFUNCTION("""COMPUTED_VALUE"""),"| 5 L CPT % | 6 L PHP-CGM % ")</f>
        <v xml:space="preserve">| 5 L CPT % | 6 L PHP-CGM % </v>
      </c>
      <c r="BP310" s="4" t="str">
        <f ca="1">IFERROR(__xludf.DUMMYFUNCTION("""COMPUTED_VALUE"""),"| 5 L JAVA % | 6 L JAVA % | 7 L PHP-CGM % | 8 L CPT % ")</f>
        <v xml:space="preserve">| 5 L JAVA % | 6 L JAVA % | 7 L PHP-CGM % | 8 L CPT % </v>
      </c>
      <c r="BQ310" s="4" t="str">
        <f ca="1">IFERROR(__xludf.DUMMYFUNCTION("""COMPUTED_VALUE"""),"| 5 L JAVA % ")</f>
        <v xml:space="preserve">| 5 L JAVA % </v>
      </c>
      <c r="BR310" s="4"/>
      <c r="BS310" s="4"/>
      <c r="BT310" s="4" t="str">
        <f ca="1">IFERROR(__xludf.DUMMYFUNCTION("""COMPUTED_VALUE"""),"| 7 L PHP-CGM @ | 8 L CPT @ ")</f>
        <v xml:space="preserve">| 7 L PHP-CGM @ | 8 L CPT @ </v>
      </c>
      <c r="BU310" s="4" t="str">
        <f ca="1">IFERROR(__xludf.DUMMYFUNCTION("""COMPUTED_VALUE"""),"| 8 L NS @ ")</f>
        <v xml:space="preserve">| 8 L NS @ </v>
      </c>
      <c r="BV310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W310" s="4" t="str">
        <f ca="1">IFERROR(__xludf.DUMMYFUNCTION("""COMPUTED_VALUE"""),"| 9 P Python % ")</f>
        <v xml:space="preserve">| 9 P Python % </v>
      </c>
      <c r="BX310" s="4" t="str">
        <f ca="1">IFERROR(__xludf.DUMMYFUNCTION("""COMPUTED_VALUE"""),"| 5 L JAVA % | 6 L NS % | 7 L PRO % | 9 P JAVA % ")</f>
        <v xml:space="preserve">| 5 L JAVA % | 6 L NS % | 7 L PRO % | 9 P JAVA % </v>
      </c>
      <c r="BY310" s="4" t="str">
        <f ca="1">IFERROR(__xludf.DUMMYFUNCTION("""COMPUTED_VALUE"""),"| 5 L INE % | 7 P PHP-CGM % | 9 P NS % ")</f>
        <v xml:space="preserve">| 5 L INE % | 7 P PHP-CGM % | 9 P NS % </v>
      </c>
      <c r="BZ310" s="4" t="str">
        <f ca="1">IFERROR(__xludf.DUMMYFUNCTION("""COMPUTED_VALUE"""),"| 5 L CPT % | 6 L PHP-CGM % | 7 P CPT % | 9 P JAVA % ")</f>
        <v xml:space="preserve">| 5 L CPT % | 6 L PHP-CGM % | 7 P CPT % | 9 P JAVA % </v>
      </c>
      <c r="CA310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CB310" s="4" t="str">
        <f ca="1">IFERROR(__xludf.DUMMYFUNCTION("""COMPUTED_VALUE"""),"| 5 L PHP-CGM @ | 6 L CPT @ | 7 L NS @ | 9 P Python @ ")</f>
        <v xml:space="preserve">| 5 L PHP-CGM @ | 6 L CPT @ | 7 L NS @ | 9 P Python @ </v>
      </c>
      <c r="CC310" s="4" t="str">
        <f ca="1">IFERROR(__xludf.DUMMYFUNCTION("""COMPUTED_VALUE"""),"| 5 L JAVA % | 6 L NS % | 9 P JAVA % ")</f>
        <v xml:space="preserve">| 5 L JAVA % | 6 L NS % | 9 P JAVA % </v>
      </c>
      <c r="CD310" s="4" t="str">
        <f ca="1">IFERROR(__xludf.DUMMYFUNCTION("""COMPUTED_VALUE"""),"| 5 L INE % | 7 P PHP-CGM % | 9 P NS % ")</f>
        <v xml:space="preserve">| 5 L INE % | 7 P PHP-CGM % | 9 P NS % </v>
      </c>
      <c r="CE310" s="4" t="str">
        <f ca="1">IFERROR(__xludf.DUMMYFUNCTION("""COMPUTED_VALUE"""),"| 5 L CPT % | 6 L PHP-CGM % | 9 P JAVA % | 7 P CPT % ")</f>
        <v xml:space="preserve">| 5 L CPT % | 6 L PHP-CGM % | 9 P JAVA % | 7 P CPT % </v>
      </c>
      <c r="CF310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10" s="4" t="str">
        <f ca="1">IFERROR(__xludf.DUMMYFUNCTION("""COMPUTED_VALUE"""),"| 5 L PHP-CGM @ | 6 L CPT % | 7 L JAVA % | 8 L NS @ ")</f>
        <v xml:space="preserve">| 5 L PHP-CGM @ | 6 L CPT % | 7 L JAVA % | 8 L NS @ </v>
      </c>
      <c r="CH310" s="4" t="str">
        <f ca="1">IFERROR(__xludf.DUMMYFUNCTION("""COMPUTED_VALUE"""),"| 5 L JAVA % | 6 L NS % | 9 P JAVA % ")</f>
        <v xml:space="preserve">| 5 L JAVA % | 6 L NS % | 9 P JAVA % </v>
      </c>
      <c r="CI310" s="4" t="str">
        <f ca="1">IFERROR(__xludf.DUMMYFUNCTION("""COMPUTED_VALUE"""),"| 5 L INE % | 7 P PHP-CGM % | 9 P NS @ ")</f>
        <v xml:space="preserve">| 5 L INE % | 7 P PHP-CGM % | 9 P NS @ </v>
      </c>
      <c r="CJ310" s="4" t="str">
        <f ca="1">IFERROR(__xludf.DUMMYFUNCTION("""COMPUTED_VALUE"""),"| 5 L CPT % | 6 L PHP-CGM % | 7 P CPT % ")</f>
        <v xml:space="preserve">| 5 L CPT % | 6 L PHP-CGM % | 7 P CPT % </v>
      </c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</row>
    <row r="311" spans="1:102" ht="12.5" x14ac:dyDescent="0.25">
      <c r="A311" s="3">
        <f ca="1">IFERROR(__xludf.DUMMYFUNCTION("""COMPUTED_VALUE"""),3)</f>
        <v>3</v>
      </c>
      <c r="B311" s="3" t="str">
        <f ca="1">IFERROR(__xludf.DUMMYFUNCTION("""COMPUTED_VALUE"""),"D")</f>
        <v>D</v>
      </c>
      <c r="C311" s="32" t="str">
        <f ca="1">IFERROR(__xludf.DUMMYFUNCTION("""COMPUTED_VALUE"""),"23171341130")</f>
        <v>23171341130</v>
      </c>
      <c r="D311" s="4" t="str">
        <f ca="1">IFERROR(__xludf.DUMMYFUNCTION("""COMPUTED_VALUE"""),"PATEL TIRTH JAGDISHKUMAR")</f>
        <v>PATEL TIRTH JAGDISHKUMAR</v>
      </c>
      <c r="E311" s="3" t="str">
        <f ca="1">IFERROR(__xludf.DUMMYFUNCTION("""COMPUTED_VALUE"""),"ZPP - Eve")</f>
        <v>ZPP - Eve</v>
      </c>
      <c r="F311" s="3">
        <f ca="1">IFERROR(__xludf.DUMMYFUNCTION("""COMPUTED_VALUE"""),8160971985)</f>
        <v>8160971985</v>
      </c>
      <c r="G311" s="3" t="str">
        <f ca="1">IFERROR(__xludf.DUMMYFUNCTION("""COMPUTED_VALUE"""),"6355387550, 9099071593")</f>
        <v>6355387550, 9099071593</v>
      </c>
      <c r="H311" s="33">
        <f ca="1">IFERROR(__xludf.DUMMYFUNCTION("""COMPUTED_VALUE"""),0.47008547008547)</f>
        <v>0.47008547008547003</v>
      </c>
      <c r="I311" s="25">
        <f ca="1">IFERROR(__xludf.DUMMYFUNCTION("""COMPUTED_VALUE"""),0.457142857142857)</f>
        <v>0.45714285714285702</v>
      </c>
      <c r="J311" s="25">
        <f ca="1">IFERROR(__xludf.DUMMYFUNCTION("""COMPUTED_VALUE"""),0.454545454545454)</f>
        <v>0.45454545454545398</v>
      </c>
      <c r="K311" s="25">
        <f ca="1">IFERROR(__xludf.DUMMYFUNCTION("""COMPUTED_VALUE"""),0.53125)</f>
        <v>0.53125</v>
      </c>
      <c r="L311" s="25">
        <f ca="1">IFERROR(__xludf.DUMMYFUNCTION("""COMPUTED_VALUE"""),0.454545454545454)</f>
        <v>0.45454545454545398</v>
      </c>
      <c r="M311" s="25">
        <f ca="1">IFERROR(__xludf.DUMMYFUNCTION("""COMPUTED_VALUE"""),0.444444444444444)</f>
        <v>0.44444444444444398</v>
      </c>
      <c r="N311" s="25">
        <f ca="1">IFERROR(__xludf.DUMMYFUNCTION("""COMPUTED_VALUE"""),0.5)</f>
        <v>0.5</v>
      </c>
      <c r="O311" s="25">
        <f ca="1">IFERROR(__xludf.DUMMYFUNCTION("""COMPUTED_VALUE"""),0.472222222222222)</f>
        <v>0.47222222222222199</v>
      </c>
      <c r="P311" s="25">
        <f ca="1">IFERROR(__xludf.DUMMYFUNCTION("""COMPUTED_VALUE"""),0.473684210526315)</f>
        <v>0.47368421052631499</v>
      </c>
      <c r="Q311" s="25">
        <f ca="1">IFERROR(__xludf.DUMMYFUNCTION("""COMPUTED_VALUE"""),0)</f>
        <v>0</v>
      </c>
      <c r="R311" s="25">
        <f ca="1">IFERROR(__xludf.DUMMYFUNCTION("""COMPUTED_VALUE"""),0.388888888888888)</f>
        <v>0.38888888888888801</v>
      </c>
      <c r="S311" s="25">
        <f ca="1">IFERROR(__xludf.DUMMYFUNCTION("""COMPUTED_VALUE"""),0.538461538461538)</f>
        <v>0.53846153846153799</v>
      </c>
      <c r="T311" s="25">
        <f ca="1">IFERROR(__xludf.DUMMYFUNCTION("""COMPUTED_VALUE"""),0)</f>
        <v>0</v>
      </c>
      <c r="U311" s="25">
        <f ca="1">IFERROR(__xludf.DUMMYFUNCTION("""COMPUTED_VALUE"""),0.5)</f>
        <v>0.5</v>
      </c>
      <c r="V311" s="25">
        <f ca="1">IFERROR(__xludf.DUMMYFUNCTION("""COMPUTED_VALUE"""),0)</f>
        <v>0</v>
      </c>
      <c r="W311" s="4"/>
      <c r="X311" s="4" t="str">
        <f ca="1">IFERROR(__xludf.DUMMYFUNCTION("""COMPUTED_VALUE"""),"| 5 L JAVA % | 6 L NS % | 7 L PHP-CGM % | 8 L CPT % ")</f>
        <v xml:space="preserve">| 5 L JAVA % | 6 L NS % | 7 L PHP-CGM % | 8 L CPT % </v>
      </c>
      <c r="Y311" s="4" t="str">
        <f ca="1">IFERROR(__xludf.DUMMYFUNCTION("""COMPUTED_VALUE"""),"| 5 L PHP-CGM % | 6 L CPT % | 7 L NS % | 8 L JAVA % ")</f>
        <v xml:space="preserve">| 5 L PHP-CGM % | 6 L CPT % | 7 L NS % | 8 L JAVA % </v>
      </c>
      <c r="Z311" s="4" t="str">
        <f ca="1">IFERROR(__xludf.DUMMYFUNCTION("""COMPUTED_VALUE"""),"| 5 L NS @ | 6 L JAVA @ | 7 L PRO @ | 8 L PRO @ | 9 P JAVA @ ")</f>
        <v xml:space="preserve">| 5 L NS @ | 6 L JAVA @ | 7 L PRO @ | 8 L PRO @ | 9 P JAVA @ </v>
      </c>
      <c r="AA311" s="4" t="str">
        <f ca="1">IFERROR(__xludf.DUMMYFUNCTION("""COMPUTED_VALUE"""),"| 7 P PHP-CGM % | 9 P NS @ ")</f>
        <v xml:space="preserve">| 7 P PHP-CGM % | 9 P NS @ </v>
      </c>
      <c r="AB311" s="4" t="str">
        <f ca="1">IFERROR(__xludf.DUMMYFUNCTION("""COMPUTED_VALUE"""),"| 5 L JAVA % | 6 L PHP-CGM % | 7 P CPT % | 9 P JAVA % ")</f>
        <v xml:space="preserve">| 5 L JAVA % | 6 L PHP-CGM % | 7 P CPT % | 9 P JAVA % </v>
      </c>
      <c r="AC311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11" s="4" t="str">
        <f ca="1">IFERROR(__xludf.DUMMYFUNCTION("""COMPUTED_VALUE"""),"| 5 L PHP-CGM % | 6 L CPT % | 7 L NS % | 8 L JAVA % | 9 P Python @ ")</f>
        <v xml:space="preserve">| 5 L PHP-CGM % | 6 L CPT % | 7 L NS % | 8 L JAVA % | 9 P Python @ </v>
      </c>
      <c r="AE311" s="4" t="str">
        <f ca="1">IFERROR(__xludf.DUMMYFUNCTION("""COMPUTED_VALUE"""),"| 5 L JAVA @ | 6 L NS @ | 7 L PRO @ | 9 P JAVA @ ")</f>
        <v xml:space="preserve">| 5 L JAVA @ | 6 L NS @ | 7 L PRO @ | 9 P JAVA @ </v>
      </c>
      <c r="AF311" s="4" t="str">
        <f ca="1">IFERROR(__xludf.DUMMYFUNCTION("""COMPUTED_VALUE"""),"| 7 P PHP-CGM @ | 9 P NS @ ")</f>
        <v xml:space="preserve">| 7 P PHP-CGM @ | 9 P NS @ </v>
      </c>
      <c r="AG311" s="4" t="str">
        <f ca="1">IFERROR(__xludf.DUMMYFUNCTION("""COMPUTED_VALUE"""),"| 5 L CPT @ | 6 L PHP-CGM @ | 7 P CPT @ | 9 P JAVA @ ")</f>
        <v xml:space="preserve">| 5 L CPT @ | 6 L PHP-CGM @ | 7 P CPT @ | 9 P JAVA @ </v>
      </c>
      <c r="AH311" s="4" t="str">
        <f ca="1">IFERROR(__xludf.DUMMYFUNCTION("""COMPUTED_VALUE"""),"| 7 P PHP-CGM @ | 9 P NS @ ")</f>
        <v xml:space="preserve">| 7 P PHP-CGM @ | 9 P NS @ </v>
      </c>
      <c r="AI311" s="4" t="str">
        <f ca="1">IFERROR(__xludf.DUMMYFUNCTION("""COMPUTED_VALUE"""),"| 5 L CPT % | 6 L PHP-CGM % | 7 P CPT % | 9 P JAVA % ")</f>
        <v xml:space="preserve">| 5 L CPT % | 6 L PHP-CGM % | 7 P CPT % | 9 P JAVA % </v>
      </c>
      <c r="AJ311" s="4" t="str">
        <f ca="1">IFERROR(__xludf.DUMMYFUNCTION("""COMPUTED_VALUE"""),"| 5 L JAVA % | 6 L NS % | 7 L PHP-CGM % | 8 L CPT % ")</f>
        <v xml:space="preserve">| 5 L JAVA % | 6 L NS % | 7 L PHP-CGM % | 8 L CPT % </v>
      </c>
      <c r="AK311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1" s="4" t="str">
        <f ca="1">IFERROR(__xludf.DUMMYFUNCTION("""COMPUTED_VALUE"""),"| 6 L NS @ | 7 L NS @ | 7 L PRO @ | 8 L PRO @ | 9 P JAVA @ ")</f>
        <v xml:space="preserve">| 6 L NS @ | 7 L NS @ | 7 L PRO @ | 8 L PRO @ | 9 P JAVA @ </v>
      </c>
      <c r="AM311" s="4" t="str">
        <f ca="1">IFERROR(__xludf.DUMMYFUNCTION("""COMPUTED_VALUE"""),"| 5 L INE % | 7 P PHP-CGM % | 9 P NS % ")</f>
        <v xml:space="preserve">| 5 L INE % | 7 P PHP-CGM % | 9 P NS % </v>
      </c>
      <c r="AN311" s="4" t="str">
        <f ca="1">IFERROR(__xludf.DUMMYFUNCTION("""COMPUTED_VALUE"""),"| 5 L CPT % | 6 L PHP-CGM % | 7 P CPT % | 9 P JAVA % ")</f>
        <v xml:space="preserve">| 5 L CPT % | 6 L PHP-CGM % | 7 P CPT % | 9 P JAVA % </v>
      </c>
      <c r="AO311" s="4" t="str">
        <f ca="1">IFERROR(__xludf.DUMMYFUNCTION("""COMPUTED_VALUE"""),"| 5 L JAVA @ | 5 L NS @ | 7 L PHP-CGM @ | 8 L CPT @ | 9 P Python @ ")</f>
        <v xml:space="preserve">| 5 L JAVA @ | 5 L NS @ | 7 L PHP-CGM @ | 8 L CPT @ | 9 P Python @ </v>
      </c>
      <c r="AP311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11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11" s="4" t="str">
        <f ca="1">IFERROR(__xludf.DUMMYFUNCTION("""COMPUTED_VALUE"""),"| 5 L INE % ")</f>
        <v xml:space="preserve">| 5 L INE % </v>
      </c>
      <c r="AS311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11" s="4" t="str">
        <f ca="1">IFERROR(__xludf.DUMMYFUNCTION("""COMPUTED_VALUE"""),"| 5 L PHP-CGM @ | 6 L CPT % | 7 L JAVA @ | 8 L JAVA @ | 9 P Python @ ")</f>
        <v xml:space="preserve">| 5 L PHP-CGM @ | 6 L CPT % | 7 L JAVA @ | 8 L JAVA @ | 9 P Python @ </v>
      </c>
      <c r="AU311" s="4" t="str">
        <f ca="1">IFERROR(__xludf.DUMMYFUNCTION("""COMPUTED_VALUE"""),"| 5 L JAVA @ | 6 L NS @ | 5 P PRO @ | 9 P JAVA @ ")</f>
        <v xml:space="preserve">| 5 L JAVA @ | 6 L NS @ | 5 P PRO @ | 9 P JAVA @ </v>
      </c>
      <c r="AV311" s="4" t="str">
        <f ca="1">IFERROR(__xludf.DUMMYFUNCTION("""COMPUTED_VALUE"""),"| 5 L INE @ | 7 P PHP-CGM @ | 9 P NS @ ")</f>
        <v xml:space="preserve">| 5 L INE @ | 7 P PHP-CGM @ | 9 P NS @ </v>
      </c>
      <c r="AW311" s="4" t="str">
        <f ca="1">IFERROR(__xludf.DUMMYFUNCTION("""COMPUTED_VALUE"""),"| 5 L CPT @ | 6 L PHP-CGM @ | 7 P CPT @ | 9 P JAVA @ ")</f>
        <v xml:space="preserve">| 5 L CPT @ | 6 L PHP-CGM @ | 7 P CPT @ | 9 P JAVA @ </v>
      </c>
      <c r="AX311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AY311" s="4" t="str">
        <f ca="1">IFERROR(__xludf.DUMMYFUNCTION("""COMPUTED_VALUE"""),"| 5 L PHP-CGM @ | 6 L CPT @ | 7 L NS @ | 8 L NS @ | 9 P Python @ ")</f>
        <v xml:space="preserve">| 5 L PHP-CGM @ | 6 L CPT @ | 7 L NS @ | 8 L NS @ | 9 P Python @ </v>
      </c>
      <c r="AZ311" s="4" t="str">
        <f ca="1">IFERROR(__xludf.DUMMYFUNCTION("""COMPUTED_VALUE"""),"| 5 L INE @ | 7 P PHP-CGM @ ")</f>
        <v xml:space="preserve">| 5 L INE @ | 7 P PHP-CGM @ </v>
      </c>
      <c r="BA311" s="4" t="str">
        <f ca="1">IFERROR(__xludf.DUMMYFUNCTION("""COMPUTED_VALUE"""),"| 5 L CPT @ | 6 L PHP-CGM @ | 7 P CPT @ ")</f>
        <v xml:space="preserve">| 5 L CPT @ | 6 L PHP-CGM @ | 7 P CPT @ </v>
      </c>
      <c r="BB311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C311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1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11" s="4" t="str">
        <f ca="1">IFERROR(__xludf.DUMMYFUNCTION("""COMPUTED_VALUE"""),"| 5 L INE % | 7 P PHP-CGM % | 9 P NS % ")</f>
        <v xml:space="preserve">| 5 L INE % | 7 P PHP-CGM % | 9 P NS % </v>
      </c>
      <c r="BF311" s="4" t="str">
        <f ca="1">IFERROR(__xludf.DUMMYFUNCTION("""COMPUTED_VALUE"""),"| 5 L CPT % | 6 L PHP-CGM % | 7 P CPT % ")</f>
        <v xml:space="preserve">| 5 L CPT % | 6 L PHP-CGM % | 7 P CPT % </v>
      </c>
      <c r="BG311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H311" s="4" t="str">
        <f ca="1">IFERROR(__xludf.DUMMYFUNCTION("""COMPUTED_VALUE"""),"| 5 L JAVA % | 6 L NS % | 7 L PRO % | 9 P JAVA % ")</f>
        <v xml:space="preserve">| 5 L JAVA % | 6 L NS % | 7 L PRO % | 9 P JAVA % </v>
      </c>
      <c r="BI311" s="4" t="str">
        <f ca="1">IFERROR(__xludf.DUMMYFUNCTION("""COMPUTED_VALUE"""),"| 5 L INE % | 7 P PHP-CGM % | 9 P NS % ")</f>
        <v xml:space="preserve">| 5 L INE % | 7 P PHP-CGM % | 9 P NS % </v>
      </c>
      <c r="BJ311" s="4" t="str">
        <f ca="1">IFERROR(__xludf.DUMMYFUNCTION("""COMPUTED_VALUE"""),"| 5 L CPT @ | 6 L PHP-CGM @ | 7 P CPT @ | 9 P JAVA @ ")</f>
        <v xml:space="preserve">| 5 L CPT @ | 6 L PHP-CGM @ | 7 P CPT @ | 9 P JAVA @ </v>
      </c>
      <c r="BK311" s="4" t="str">
        <f ca="1">IFERROR(__xludf.DUMMYFUNCTION("""COMPUTED_VALUE"""),"| 5 L JAVA @ | 7 L PHP-CGM @ | 8 L CPT @ | 9 P Python @ ")</f>
        <v xml:space="preserve">| 5 L JAVA @ | 7 L PHP-CGM @ | 8 L CPT @ | 9 P Python @ </v>
      </c>
      <c r="BL311" s="4" t="str">
        <f ca="1">IFERROR(__xludf.DUMMYFUNCTION("""COMPUTED_VALUE"""),"| 5 L PHP-CGM @ | 6 L CPT @ | 8 L NS @ ")</f>
        <v xml:space="preserve">| 5 L PHP-CGM @ | 6 L CPT @ | 8 L NS @ </v>
      </c>
      <c r="BM311" s="4" t="str">
        <f ca="1">IFERROR(__xludf.DUMMYFUNCTION("""COMPUTED_VALUE"""),"| 5 L JAVA % | 6 L NS % | 7 L PRO % | 8 L PRO % | 9 P JAVA % ")</f>
        <v xml:space="preserve">| 5 L JAVA % | 6 L NS % | 7 L PRO % | 8 L PRO % | 9 P JAVA % </v>
      </c>
      <c r="BN311" s="4" t="str">
        <f ca="1">IFERROR(__xludf.DUMMYFUNCTION("""COMPUTED_VALUE"""),"| 5 L INE @ | 7 P PHP-CGM @ | 9 P NS @ ")</f>
        <v xml:space="preserve">| 5 L INE @ | 7 P PHP-CGM @ | 9 P NS @ </v>
      </c>
      <c r="BO311" s="4" t="str">
        <f ca="1">IFERROR(__xludf.DUMMYFUNCTION("""COMPUTED_VALUE"""),"| 5 L CPT @ | 6 L PHP-CGM @ ")</f>
        <v xml:space="preserve">| 5 L CPT @ | 6 L PHP-CGM @ </v>
      </c>
      <c r="BP311" s="4" t="str">
        <f ca="1">IFERROR(__xludf.DUMMYFUNCTION("""COMPUTED_VALUE"""),"| 5 L JAVA @ | 6 L JAVA @ | 7 L PHP-CGM @ | 8 L CPT @ ")</f>
        <v xml:space="preserve">| 5 L JAVA @ | 6 L JAVA @ | 7 L PHP-CGM @ | 8 L CPT @ </v>
      </c>
      <c r="BQ311" s="4" t="str">
        <f ca="1">IFERROR(__xludf.DUMMYFUNCTION("""COMPUTED_VALUE"""),"| 5 L JAVA @ ")</f>
        <v xml:space="preserve">| 5 L JAVA @ </v>
      </c>
      <c r="BR311" s="4"/>
      <c r="BS311" s="4"/>
      <c r="BT311" s="4" t="str">
        <f ca="1">IFERROR(__xludf.DUMMYFUNCTION("""COMPUTED_VALUE"""),"| 7 L PHP-CGM @ | 8 L CPT @ ")</f>
        <v xml:space="preserve">| 7 L PHP-CGM @ | 8 L CPT @ </v>
      </c>
      <c r="BU311" s="4" t="str">
        <f ca="1">IFERROR(__xludf.DUMMYFUNCTION("""COMPUTED_VALUE"""),"| 8 L NS @ ")</f>
        <v xml:space="preserve">| 8 L NS @ </v>
      </c>
      <c r="BV311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11" s="4" t="str">
        <f ca="1">IFERROR(__xludf.DUMMYFUNCTION("""COMPUTED_VALUE"""),"| 9 P Python % ")</f>
        <v xml:space="preserve">| 9 P Python % </v>
      </c>
      <c r="BX311" s="4" t="str">
        <f ca="1">IFERROR(__xludf.DUMMYFUNCTION("""COMPUTED_VALUE"""),"| 5 L JAVA @ | 6 L NS @ | 7 L PRO @ | 9 P JAVA @ ")</f>
        <v xml:space="preserve">| 5 L JAVA @ | 6 L NS @ | 7 L PRO @ | 9 P JAVA @ </v>
      </c>
      <c r="BY311" s="4" t="str">
        <f ca="1">IFERROR(__xludf.DUMMYFUNCTION("""COMPUTED_VALUE"""),"| 5 L INE @ | 7 P PHP-CGM % | 9 P NS % ")</f>
        <v xml:space="preserve">| 5 L INE @ | 7 P PHP-CGM % | 9 P NS % </v>
      </c>
      <c r="BZ311" s="4" t="str">
        <f ca="1">IFERROR(__xludf.DUMMYFUNCTION("""COMPUTED_VALUE"""),"| 5 L CPT % | 6 L PHP-CGM % | 7 P CPT % | 9 P JAVA @ ")</f>
        <v xml:space="preserve">| 5 L CPT % | 6 L PHP-CGM % | 7 P CPT % | 9 P JAVA @ </v>
      </c>
      <c r="CA311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11" s="4" t="str">
        <f ca="1">IFERROR(__xludf.DUMMYFUNCTION("""COMPUTED_VALUE"""),"| 5 L PHP-CGM % | 6 L CPT % | 7 L NS % | 9 P Python % ")</f>
        <v xml:space="preserve">| 5 L PHP-CGM % | 6 L CPT % | 7 L NS % | 9 P Python % </v>
      </c>
      <c r="CC311" s="4" t="str">
        <f ca="1">IFERROR(__xludf.DUMMYFUNCTION("""COMPUTED_VALUE"""),"| 5 L JAVA % | 6 L NS % | 9 P JAVA % ")</f>
        <v xml:space="preserve">| 5 L JAVA % | 6 L NS % | 9 P JAVA % </v>
      </c>
      <c r="CD311" s="4" t="str">
        <f ca="1">IFERROR(__xludf.DUMMYFUNCTION("""COMPUTED_VALUE"""),"| 5 L INE @ | 7 P PHP-CGM @ | 9 P NS @ ")</f>
        <v xml:space="preserve">| 5 L INE @ | 7 P PHP-CGM @ | 9 P NS @ </v>
      </c>
      <c r="CE311" s="4" t="str">
        <f ca="1">IFERROR(__xludf.DUMMYFUNCTION("""COMPUTED_VALUE"""),"| 5 L CPT @ | 6 L PHP-CGM @ | 9 P JAVA @ | 7 P CPT @ ")</f>
        <v xml:space="preserve">| 5 L CPT @ | 6 L PHP-CGM @ | 9 P JAVA @ | 7 P CPT @ </v>
      </c>
      <c r="CF311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11" s="4" t="str">
        <f ca="1">IFERROR(__xludf.DUMMYFUNCTION("""COMPUTED_VALUE"""),"| 5 L PHP-CGM @ | 6 L CPT @ | 7 L JAVA % | 8 L NS % ")</f>
        <v xml:space="preserve">| 5 L PHP-CGM @ | 6 L CPT @ | 7 L JAVA % | 8 L NS % </v>
      </c>
      <c r="CH311" s="4" t="str">
        <f ca="1">IFERROR(__xludf.DUMMYFUNCTION("""COMPUTED_VALUE"""),"| 5 L JAVA % | 6 L NS % | 9 P JAVA % ")</f>
        <v xml:space="preserve">| 5 L JAVA % | 6 L NS % | 9 P JAVA % </v>
      </c>
      <c r="CI311" s="4" t="str">
        <f ca="1">IFERROR(__xludf.DUMMYFUNCTION("""COMPUTED_VALUE"""),"| 5 L INE % | 7 P PHP-CGM % | 9 P NS % ")</f>
        <v xml:space="preserve">| 5 L INE % | 7 P PHP-CGM % | 9 P NS % </v>
      </c>
      <c r="CJ311" s="4" t="str">
        <f ca="1">IFERROR(__xludf.DUMMYFUNCTION("""COMPUTED_VALUE"""),"| 5 L CPT % | 6 L PHP-CGM % | 7 P CPT @ ")</f>
        <v xml:space="preserve">| 5 L CPT % | 6 L PHP-CGM % | 7 P CPT @ </v>
      </c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</row>
    <row r="312" spans="1:102" ht="12.5" x14ac:dyDescent="0.25">
      <c r="A312" s="3">
        <f ca="1">IFERROR(__xludf.DUMMYFUNCTION("""COMPUTED_VALUE"""),3)</f>
        <v>3</v>
      </c>
      <c r="B312" s="3" t="str">
        <f ca="1">IFERROR(__xludf.DUMMYFUNCTION("""COMPUTED_VALUE"""),"D")</f>
        <v>D</v>
      </c>
      <c r="C312" s="32" t="str">
        <f ca="1">IFERROR(__xludf.DUMMYFUNCTION("""COMPUTED_VALUE"""),"23171341131")</f>
        <v>23171341131</v>
      </c>
      <c r="D312" s="4" t="str">
        <f ca="1">IFERROR(__xludf.DUMMYFUNCTION("""COMPUTED_VALUE"""),"PATEL TITHIBEN KAUSHIKBHAI")</f>
        <v>PATEL TITHIBEN KAUSHIKBHAI</v>
      </c>
      <c r="E312" s="3" t="str">
        <f ca="1">IFERROR(__xludf.DUMMYFUNCTION("""COMPUTED_VALUE"""),"ZPP - Eve")</f>
        <v>ZPP - Eve</v>
      </c>
      <c r="F312" s="3">
        <f ca="1">IFERROR(__xludf.DUMMYFUNCTION("""COMPUTED_VALUE"""),9408787054)</f>
        <v>9408787054</v>
      </c>
      <c r="G312" s="3">
        <f ca="1">IFERROR(__xludf.DUMMYFUNCTION("""COMPUTED_VALUE"""),9825951819)</f>
        <v>9825951819</v>
      </c>
      <c r="H312" s="33">
        <f ca="1">IFERROR(__xludf.DUMMYFUNCTION("""COMPUTED_VALUE"""),0.397435897435897)</f>
        <v>0.39743589743589702</v>
      </c>
      <c r="I312" s="25">
        <f ca="1">IFERROR(__xludf.DUMMYFUNCTION("""COMPUTED_VALUE"""),0.4)</f>
        <v>0.4</v>
      </c>
      <c r="J312" s="25">
        <f ca="1">IFERROR(__xludf.DUMMYFUNCTION("""COMPUTED_VALUE"""),0.454545454545454)</f>
        <v>0.45454545454545398</v>
      </c>
      <c r="K312" s="25">
        <f ca="1">IFERROR(__xludf.DUMMYFUNCTION("""COMPUTED_VALUE"""),0.5)</f>
        <v>0.5</v>
      </c>
      <c r="L312" s="25">
        <f ca="1">IFERROR(__xludf.DUMMYFUNCTION("""COMPUTED_VALUE"""),0.454545454545454)</f>
        <v>0.45454545454545398</v>
      </c>
      <c r="M312" s="25">
        <f ca="1">IFERROR(__xludf.DUMMYFUNCTION("""COMPUTED_VALUE"""),0.388888888888888)</f>
        <v>0.38888888888888801</v>
      </c>
      <c r="N312" s="25">
        <f ca="1">IFERROR(__xludf.DUMMYFUNCTION("""COMPUTED_VALUE"""),0.416666666666666)</f>
        <v>0.41666666666666602</v>
      </c>
      <c r="O312" s="25">
        <f ca="1">IFERROR(__xludf.DUMMYFUNCTION("""COMPUTED_VALUE"""),0.472222222222222)</f>
        <v>0.47222222222222199</v>
      </c>
      <c r="P312" s="25">
        <f ca="1">IFERROR(__xludf.DUMMYFUNCTION("""COMPUTED_VALUE"""),0)</f>
        <v>0</v>
      </c>
      <c r="Q312" s="25">
        <f ca="1">IFERROR(__xludf.DUMMYFUNCTION("""COMPUTED_VALUE"""),0)</f>
        <v>0</v>
      </c>
      <c r="R312" s="25">
        <f ca="1">IFERROR(__xludf.DUMMYFUNCTION("""COMPUTED_VALUE"""),0.222222222222222)</f>
        <v>0.22222222222222199</v>
      </c>
      <c r="S312" s="25">
        <f ca="1">IFERROR(__xludf.DUMMYFUNCTION("""COMPUTED_VALUE"""),0.615384615384615)</f>
        <v>0.61538461538461497</v>
      </c>
      <c r="T312" s="25">
        <f ca="1">IFERROR(__xludf.DUMMYFUNCTION("""COMPUTED_VALUE"""),1)</f>
        <v>1</v>
      </c>
      <c r="U312" s="25">
        <f ca="1">IFERROR(__xludf.DUMMYFUNCTION("""COMPUTED_VALUE"""),0.4)</f>
        <v>0.4</v>
      </c>
      <c r="V312" s="25">
        <f ca="1">IFERROR(__xludf.DUMMYFUNCTION("""COMPUTED_VALUE"""),0)</f>
        <v>0</v>
      </c>
      <c r="W312" s="4"/>
      <c r="X312" s="4" t="str">
        <f ca="1">IFERROR(__xludf.DUMMYFUNCTION("""COMPUTED_VALUE"""),"| 5 L JAVA % | 6 L NS % | 7 L PHP-CGM % | 8 L CPT % ")</f>
        <v xml:space="preserve">| 5 L JAVA % | 6 L NS % | 7 L PHP-CGM % | 8 L CPT % </v>
      </c>
      <c r="Y312" s="4" t="str">
        <f ca="1">IFERROR(__xludf.DUMMYFUNCTION("""COMPUTED_VALUE"""),"| 5 L PHP-CGM % | 6 L CPT % | 7 L NS % | 8 L JAVA % ")</f>
        <v xml:space="preserve">| 5 L PHP-CGM % | 6 L CPT % | 7 L NS % | 8 L JAVA % </v>
      </c>
      <c r="Z312" s="4" t="str">
        <f ca="1">IFERROR(__xludf.DUMMYFUNCTION("""COMPUTED_VALUE"""),"| 5 L NS % | 6 L JAVA % | 7 L PRO % | 8 L PRO % | 9 P JAVA @ ")</f>
        <v xml:space="preserve">| 5 L NS % | 6 L JAVA % | 7 L PRO % | 8 L PRO % | 9 P JAVA @ </v>
      </c>
      <c r="AA312" s="4" t="str">
        <f ca="1">IFERROR(__xludf.DUMMYFUNCTION("""COMPUTED_VALUE"""),"| 7 P PHP-CGM % | 9 P NS % ")</f>
        <v xml:space="preserve">| 7 P PHP-CGM % | 9 P NS % </v>
      </c>
      <c r="AB312" s="4" t="str">
        <f ca="1">IFERROR(__xludf.DUMMYFUNCTION("""COMPUTED_VALUE"""),"| 5 L JAVA % | 6 L PHP-CGM % | 7 P CPT % | 9 P JAVA @ ")</f>
        <v xml:space="preserve">| 5 L JAVA % | 6 L PHP-CGM % | 7 P CPT % | 9 P JAVA @ </v>
      </c>
      <c r="AC312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12" s="4" t="str">
        <f ca="1">IFERROR(__xludf.DUMMYFUNCTION("""COMPUTED_VALUE"""),"| 5 L PHP-CGM % | 6 L CPT % | 7 L NS % | 8 L JAVA % | 9 P Python @ ")</f>
        <v xml:space="preserve">| 5 L PHP-CGM % | 6 L CPT % | 7 L NS % | 8 L JAVA % | 9 P Python @ </v>
      </c>
      <c r="AE312" s="4" t="str">
        <f ca="1">IFERROR(__xludf.DUMMYFUNCTION("""COMPUTED_VALUE"""),"| 5 L JAVA % | 6 L NS % | 7 L PRO % | 9 P JAVA @ ")</f>
        <v xml:space="preserve">| 5 L JAVA % | 6 L NS % | 7 L PRO % | 9 P JAVA @ </v>
      </c>
      <c r="AF312" s="4" t="str">
        <f ca="1">IFERROR(__xludf.DUMMYFUNCTION("""COMPUTED_VALUE"""),"| 7 P PHP-CGM % | 9 P NS % ")</f>
        <v xml:space="preserve">| 7 P PHP-CGM % | 9 P NS % </v>
      </c>
      <c r="AG312" s="4" t="str">
        <f ca="1">IFERROR(__xludf.DUMMYFUNCTION("""COMPUTED_VALUE"""),"| 5 L CPT % | 6 L PHP-CGM % | 7 P CPT % | 9 P JAVA @ ")</f>
        <v xml:space="preserve">| 5 L CPT % | 6 L PHP-CGM % | 7 P CPT % | 9 P JAVA @ </v>
      </c>
      <c r="AH312" s="4" t="str">
        <f ca="1">IFERROR(__xludf.DUMMYFUNCTION("""COMPUTED_VALUE"""),"| 7 P PHP-CGM % | 9 P NS % ")</f>
        <v xml:space="preserve">| 7 P PHP-CGM % | 9 P NS % </v>
      </c>
      <c r="AI312" s="4" t="str">
        <f ca="1">IFERROR(__xludf.DUMMYFUNCTION("""COMPUTED_VALUE"""),"| 5 L CPT % | 6 L PHP-CGM % | 7 P CPT % | 9 P JAVA @ ")</f>
        <v xml:space="preserve">| 5 L CPT % | 6 L PHP-CGM % | 7 P CPT % | 9 P JAVA @ </v>
      </c>
      <c r="AJ312" s="4" t="str">
        <f ca="1">IFERROR(__xludf.DUMMYFUNCTION("""COMPUTED_VALUE"""),"| 5 L JAVA % | 6 L NS % | 7 L PHP-CGM @ | 8 L CPT @ ")</f>
        <v xml:space="preserve">| 5 L JAVA % | 6 L NS % | 7 L PHP-CGM @ | 8 L CPT @ </v>
      </c>
      <c r="AK312" s="4" t="str">
        <f ca="1">IFERROR(__xludf.DUMMYFUNCTION("""COMPUTED_VALUE"""),"| 5 L PHP-CGM @ | 6 L CPT @ | 8 L JAVA @ | 7 L NS @ | 9 P Python @ ")</f>
        <v xml:space="preserve">| 5 L PHP-CGM @ | 6 L CPT @ | 8 L JAVA @ | 7 L NS @ | 9 P Python @ </v>
      </c>
      <c r="AL312" s="4" t="str">
        <f ca="1">IFERROR(__xludf.DUMMYFUNCTION("""COMPUTED_VALUE"""),"| 6 L NS % | 7 L NS % | 7 L PRO % | 8 L PRO % | 9 P JAVA @ ")</f>
        <v xml:space="preserve">| 6 L NS % | 7 L NS % | 7 L PRO % | 8 L PRO % | 9 P JAVA @ </v>
      </c>
      <c r="AM312" s="4" t="str">
        <f ca="1">IFERROR(__xludf.DUMMYFUNCTION("""COMPUTED_VALUE"""),"| 5 L INE % | 7 P PHP-CGM @ | 9 P NS @ ")</f>
        <v xml:space="preserve">| 5 L INE % | 7 P PHP-CGM @ | 9 P NS @ </v>
      </c>
      <c r="AN312" s="4" t="str">
        <f ca="1">IFERROR(__xludf.DUMMYFUNCTION("""COMPUTED_VALUE"""),"| 5 L CPT % | 6 L PHP-CGM @ | 7 P CPT @ | 9 P JAVA @ ")</f>
        <v xml:space="preserve">| 5 L CPT % | 6 L PHP-CGM @ | 7 P CPT @ | 9 P JAVA @ </v>
      </c>
      <c r="AO312" s="4" t="str">
        <f ca="1">IFERROR(__xludf.DUMMYFUNCTION("""COMPUTED_VALUE"""),"| 5 L JAVA @ | 5 L NS @ | 7 L PHP-CGM @ | 8 L CPT @ | 9 P Python @ ")</f>
        <v xml:space="preserve">| 5 L JAVA @ | 5 L NS @ | 7 L PHP-CGM @ | 8 L CPT @ | 9 P Python @ </v>
      </c>
      <c r="AP312" s="4" t="str">
        <f ca="1">IFERROR(__xludf.DUMMYFUNCTION("""COMPUTED_VALUE"""),"| 5 L PHP-CGM @ | 6 L CPT @ | 7 L JAVA @ | 7 L NS @ | 9 P Python @ ")</f>
        <v xml:space="preserve">| 5 L PHP-CGM @ | 6 L CPT @ | 7 L JAVA @ | 7 L NS @ | 9 P Python @ </v>
      </c>
      <c r="AQ312" s="4" t="str">
        <f ca="1">IFERROR(__xludf.DUMMYFUNCTION("""COMPUTED_VALUE"""),"| 5 L JAVA @ | 6 L NS @ | 7 L PRO @ | 8 L PRO @ | 9 P JAVA @ ")</f>
        <v xml:space="preserve">| 5 L JAVA @ | 6 L NS @ | 7 L PRO @ | 8 L PRO @ | 9 P JAVA @ </v>
      </c>
      <c r="AR312" s="4" t="str">
        <f ca="1">IFERROR(__xludf.DUMMYFUNCTION("""COMPUTED_VALUE"""),"| 5 L INE @ ")</f>
        <v xml:space="preserve">| 5 L INE @ </v>
      </c>
      <c r="AS312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12" s="4" t="str">
        <f ca="1">IFERROR(__xludf.DUMMYFUNCTION("""COMPUTED_VALUE"""),"| 5 L PHP-CGM % | 6 L CPT % | 7 L JAVA @ | 8 L JAVA @ | 9 P Python @ ")</f>
        <v xml:space="preserve">| 5 L PHP-CGM % | 6 L CPT % | 7 L JAVA @ | 8 L JAVA @ | 9 P Python @ </v>
      </c>
      <c r="AU312" s="4" t="str">
        <f ca="1">IFERROR(__xludf.DUMMYFUNCTION("""COMPUTED_VALUE"""),"| 5 L JAVA % | 6 L NS % | 5 P PRO % | 9 P JAVA @ ")</f>
        <v xml:space="preserve">| 5 L JAVA % | 6 L NS % | 5 P PRO % | 9 P JAVA @ </v>
      </c>
      <c r="AV312" s="4" t="str">
        <f ca="1">IFERROR(__xludf.DUMMYFUNCTION("""COMPUTED_VALUE"""),"| 5 L INE @ | 7 P PHP-CGM @ | 9 P NS @ ")</f>
        <v xml:space="preserve">| 5 L INE @ | 7 P PHP-CGM @ | 9 P NS @ </v>
      </c>
      <c r="AW312" s="4" t="str">
        <f ca="1">IFERROR(__xludf.DUMMYFUNCTION("""COMPUTED_VALUE"""),"| 5 L CPT % | 6 L PHP-CGM % | 7 P CPT @ | 9 P JAVA @ ")</f>
        <v xml:space="preserve">| 5 L CPT % | 6 L PHP-CGM % | 7 P CPT @ | 9 P JAVA @ </v>
      </c>
      <c r="AX312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AY312" s="4" t="str">
        <f ca="1">IFERROR(__xludf.DUMMYFUNCTION("""COMPUTED_VALUE"""),"| 5 L PHP-CGM @ | 6 L CPT @ | 7 L NS @ | 8 L NS @ | 9 P Python @ ")</f>
        <v xml:space="preserve">| 5 L PHP-CGM @ | 6 L CPT @ | 7 L NS @ | 8 L NS @ | 9 P Python @ </v>
      </c>
      <c r="AZ312" s="4" t="str">
        <f ca="1">IFERROR(__xludf.DUMMYFUNCTION("""COMPUTED_VALUE"""),"| 5 L INE % | 7 P PHP-CGM @ ")</f>
        <v xml:space="preserve">| 5 L INE % | 7 P PHP-CGM @ </v>
      </c>
      <c r="BA312" s="4" t="str">
        <f ca="1">IFERROR(__xludf.DUMMYFUNCTION("""COMPUTED_VALUE"""),"| 5 L CPT @ | 6 L PHP-CGM @ | 7 P CPT @ ")</f>
        <v xml:space="preserve">| 5 L CPT @ | 6 L PHP-CGM @ | 7 P CPT @ </v>
      </c>
      <c r="BB312" s="4" t="str">
        <f ca="1">IFERROR(__xludf.DUMMYFUNCTION("""COMPUTED_VALUE"""),"| 5 L JAVA % | 6 L NS % | 7 L PHP-CGM % | 8 L CPT % | 9 P Python @ ")</f>
        <v xml:space="preserve">| 5 L JAVA % | 6 L NS % | 7 L PHP-CGM % | 8 L CPT % | 9 P Python @ </v>
      </c>
      <c r="BC312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2" s="4" t="str">
        <f ca="1">IFERROR(__xludf.DUMMYFUNCTION("""COMPUTED_VALUE"""),"| 5 L JAVA % | 6 L NS % | 7 L PRO % | 8 L PRO % | 9 P JAVA @ ")</f>
        <v xml:space="preserve">| 5 L JAVA % | 6 L NS % | 7 L PRO % | 8 L PRO % | 9 P JAVA @ </v>
      </c>
      <c r="BE312" s="4" t="str">
        <f ca="1">IFERROR(__xludf.DUMMYFUNCTION("""COMPUTED_VALUE"""),"| 5 L INE % | 7 P PHP-CGM % | 9 P NS % ")</f>
        <v xml:space="preserve">| 5 L INE % | 7 P PHP-CGM % | 9 P NS % </v>
      </c>
      <c r="BF312" s="4" t="str">
        <f ca="1">IFERROR(__xludf.DUMMYFUNCTION("""COMPUTED_VALUE"""),"| 5 L CPT % | 6 L PHP-CGM % | 7 P CPT % ")</f>
        <v xml:space="preserve">| 5 L CPT % | 6 L PHP-CGM % | 7 P CPT % </v>
      </c>
      <c r="BG312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12" s="4" t="str">
        <f ca="1">IFERROR(__xludf.DUMMYFUNCTION("""COMPUTED_VALUE"""),"| 5 L JAVA % | 6 L NS % | 7 L PRO % | 9 P JAVA @ ")</f>
        <v xml:space="preserve">| 5 L JAVA % | 6 L NS % | 7 L PRO % | 9 P JAVA @ </v>
      </c>
      <c r="BI312" s="4" t="str">
        <f ca="1">IFERROR(__xludf.DUMMYFUNCTION("""COMPUTED_VALUE"""),"| 5 L INE % | 7 P PHP-CGM % | 9 P NS % ")</f>
        <v xml:space="preserve">| 5 L INE % | 7 P PHP-CGM % | 9 P NS % </v>
      </c>
      <c r="BJ312" s="4" t="str">
        <f ca="1">IFERROR(__xludf.DUMMYFUNCTION("""COMPUTED_VALUE"""),"| 5 L CPT % | 6 L PHP-CGM % | 7 P CPT % | 9 P JAVA @ ")</f>
        <v xml:space="preserve">| 5 L CPT % | 6 L PHP-CGM % | 7 P CPT % | 9 P JAVA @ </v>
      </c>
      <c r="BK312" s="4" t="str">
        <f ca="1">IFERROR(__xludf.DUMMYFUNCTION("""COMPUTED_VALUE"""),"| 5 L JAVA @ | 7 L PHP-CGM @ | 8 L CPT @ | 9 P Python @ ")</f>
        <v xml:space="preserve">| 5 L JAVA @ | 7 L PHP-CGM @ | 8 L CPT @ | 9 P Python @ </v>
      </c>
      <c r="BL312" s="4" t="str">
        <f ca="1">IFERROR(__xludf.DUMMYFUNCTION("""COMPUTED_VALUE"""),"| 5 L PHP-CGM @ | 6 L CPT @ | 8 L NS @ ")</f>
        <v xml:space="preserve">| 5 L PHP-CGM @ | 6 L CPT @ | 8 L NS @ </v>
      </c>
      <c r="BM312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12" s="4" t="str">
        <f ca="1">IFERROR(__xludf.DUMMYFUNCTION("""COMPUTED_VALUE"""),"| 5 L INE @ | 7 P PHP-CGM @ | 9 P NS @ ")</f>
        <v xml:space="preserve">| 5 L INE @ | 7 P PHP-CGM @ | 9 P NS @ </v>
      </c>
      <c r="BO312" s="4" t="str">
        <f ca="1">IFERROR(__xludf.DUMMYFUNCTION("""COMPUTED_VALUE"""),"| 5 L CPT @ | 6 L PHP-CGM @ ")</f>
        <v xml:space="preserve">| 5 L CPT @ | 6 L PHP-CGM @ </v>
      </c>
      <c r="BP312" s="4" t="str">
        <f ca="1">IFERROR(__xludf.DUMMYFUNCTION("""COMPUTED_VALUE"""),"| 5 L JAVA % | 6 L JAVA % | 7 L PHP-CGM @ | 8 L CPT @ ")</f>
        <v xml:space="preserve">| 5 L JAVA % | 6 L JAVA % | 7 L PHP-CGM @ | 8 L CPT @ </v>
      </c>
      <c r="BQ312" s="4" t="str">
        <f ca="1">IFERROR(__xludf.DUMMYFUNCTION("""COMPUTED_VALUE"""),"| 5 L JAVA % ")</f>
        <v xml:space="preserve">| 5 L JAVA % </v>
      </c>
      <c r="BR312" s="4"/>
      <c r="BS312" s="4"/>
      <c r="BT312" s="4" t="str">
        <f ca="1">IFERROR(__xludf.DUMMYFUNCTION("""COMPUTED_VALUE"""),"| 7 L PHP-CGM @ | 8 L CPT @ ")</f>
        <v xml:space="preserve">| 7 L PHP-CGM @ | 8 L CPT @ </v>
      </c>
      <c r="BU312" s="4" t="str">
        <f ca="1">IFERROR(__xludf.DUMMYFUNCTION("""COMPUTED_VALUE"""),"| 8 L NS @ ")</f>
        <v xml:space="preserve">| 8 L NS @ </v>
      </c>
      <c r="BV312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12" s="4" t="str">
        <f ca="1">IFERROR(__xludf.DUMMYFUNCTION("""COMPUTED_VALUE"""),"| 9 P Python @ ")</f>
        <v xml:space="preserve">| 9 P Python @ </v>
      </c>
      <c r="BX312" s="4" t="str">
        <f ca="1">IFERROR(__xludf.DUMMYFUNCTION("""COMPUTED_VALUE"""),"| 5 L JAVA @ | 6 L NS @ | 7 L PRO @ | 9 P JAVA @ ")</f>
        <v xml:space="preserve">| 5 L JAVA @ | 6 L NS @ | 7 L PRO @ | 9 P JAVA @ </v>
      </c>
      <c r="BY312" s="4" t="str">
        <f ca="1">IFERROR(__xludf.DUMMYFUNCTION("""COMPUTED_VALUE"""),"| 5 L INE @ | 7 P PHP-CGM @ | 9 P NS @ ")</f>
        <v xml:space="preserve">| 5 L INE @ | 7 P PHP-CGM @ | 9 P NS @ </v>
      </c>
      <c r="BZ312" s="4" t="str">
        <f ca="1">IFERROR(__xludf.DUMMYFUNCTION("""COMPUTED_VALUE"""),"| 5 L CPT @ | 6 L PHP-CGM @ | 7 P CPT @ | 9 P JAVA @ ")</f>
        <v xml:space="preserve">| 5 L CPT @ | 6 L PHP-CGM @ | 7 P CPT @ | 9 P JAVA @ </v>
      </c>
      <c r="CA312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12" s="4" t="str">
        <f ca="1">IFERROR(__xludf.DUMMYFUNCTION("""COMPUTED_VALUE"""),"| 5 L PHP-CGM @ | 6 L CPT @ | 7 L NS @ | 9 P Python @ ")</f>
        <v xml:space="preserve">| 5 L PHP-CGM @ | 6 L CPT @ | 7 L NS @ | 9 P Python @ </v>
      </c>
      <c r="CC312" s="4" t="str">
        <f ca="1">IFERROR(__xludf.DUMMYFUNCTION("""COMPUTED_VALUE"""),"| 5 L JAVA @ | 6 L NS @ | 9 P JAVA @ ")</f>
        <v xml:space="preserve">| 5 L JAVA @ | 6 L NS @ | 9 P JAVA @ </v>
      </c>
      <c r="CD312" s="4" t="str">
        <f ca="1">IFERROR(__xludf.DUMMYFUNCTION("""COMPUTED_VALUE"""),"| 5 L INE @ | 7 P PHP-CGM @ | 9 P NS @ ")</f>
        <v xml:space="preserve">| 5 L INE @ | 7 P PHP-CGM @ | 9 P NS @ </v>
      </c>
      <c r="CE312" s="4" t="str">
        <f ca="1">IFERROR(__xludf.DUMMYFUNCTION("""COMPUTED_VALUE"""),"| 5 L CPT @ | 6 L PHP-CGM @ | 9 P JAVA @ | 7 P CPT @ ")</f>
        <v xml:space="preserve">| 5 L CPT @ | 6 L PHP-CGM @ | 9 P JAVA @ | 7 P CPT @ </v>
      </c>
      <c r="CF312" s="4" t="str">
        <f ca="1">IFERROR(__xludf.DUMMYFUNCTION("""COMPUTED_VALUE"""),"| 5 L JAVA @ | 6 L NS % | 7 L PHP-CGM @ | 8 L CPT @ | 9 P Python % ")</f>
        <v xml:space="preserve">| 5 L JAVA @ | 6 L NS % | 7 L PHP-CGM @ | 8 L CPT @ | 9 P Python % </v>
      </c>
      <c r="CG312" s="4" t="str">
        <f ca="1">IFERROR(__xludf.DUMMYFUNCTION("""COMPUTED_VALUE"""),"| 5 L PHP-CGM @ | 6 L CPT @ | 7 L JAVA @ | 8 L NS @ ")</f>
        <v xml:space="preserve">| 5 L PHP-CGM @ | 6 L CPT @ | 7 L JAVA @ | 8 L NS @ </v>
      </c>
      <c r="CH312" s="4" t="str">
        <f ca="1">IFERROR(__xludf.DUMMYFUNCTION("""COMPUTED_VALUE"""),"| 5 L JAVA @ | 6 L NS @ | 9 P JAVA @ ")</f>
        <v xml:space="preserve">| 5 L JAVA @ | 6 L NS @ | 9 P JAVA @ </v>
      </c>
      <c r="CI312" s="4" t="str">
        <f ca="1">IFERROR(__xludf.DUMMYFUNCTION("""COMPUTED_VALUE"""),"| 5 L INE @ | 7 P PHP-CGM @ | 9 P NS @ ")</f>
        <v xml:space="preserve">| 5 L INE @ | 7 P PHP-CGM @ | 9 P NS @ </v>
      </c>
      <c r="CJ312" s="4" t="str">
        <f ca="1">IFERROR(__xludf.DUMMYFUNCTION("""COMPUTED_VALUE"""),"| 5 L CPT @ | 6 L PHP-CGM @ | 7 P CPT @ ")</f>
        <v xml:space="preserve">| 5 L CPT @ | 6 L PHP-CGM @ | 7 P CPT @ </v>
      </c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</row>
    <row r="313" spans="1:102" ht="12.5" x14ac:dyDescent="0.25">
      <c r="A313" s="3">
        <f ca="1">IFERROR(__xludf.DUMMYFUNCTION("""COMPUTED_VALUE"""),3)</f>
        <v>3</v>
      </c>
      <c r="B313" s="3" t="str">
        <f ca="1">IFERROR(__xludf.DUMMYFUNCTION("""COMPUTED_VALUE"""),"D")</f>
        <v>D</v>
      </c>
      <c r="C313" s="32" t="str">
        <f ca="1">IFERROR(__xludf.DUMMYFUNCTION("""COMPUTED_VALUE"""),"23171341132")</f>
        <v>23171341132</v>
      </c>
      <c r="D313" s="4" t="str">
        <f ca="1">IFERROR(__xludf.DUMMYFUNCTION("""COMPUTED_VALUE"""),"PATEL TRUSHIL NILESHKUMAR")</f>
        <v>PATEL TRUSHIL NILESHKUMAR</v>
      </c>
      <c r="E313" s="3" t="str">
        <f ca="1">IFERROR(__xludf.DUMMYFUNCTION("""COMPUTED_VALUE"""),"ZPP - Eve")</f>
        <v>ZPP - Eve</v>
      </c>
      <c r="F313" s="3">
        <f ca="1">IFERROR(__xludf.DUMMYFUNCTION("""COMPUTED_VALUE"""),9265759817)</f>
        <v>9265759817</v>
      </c>
      <c r="G313" s="3">
        <f ca="1">IFERROR(__xludf.DUMMYFUNCTION("""COMPUTED_VALUE"""),9925260403)</f>
        <v>9925260403</v>
      </c>
      <c r="H313" s="33">
        <f ca="1">IFERROR(__xludf.DUMMYFUNCTION("""COMPUTED_VALUE"""),0.807692307692307)</f>
        <v>0.80769230769230704</v>
      </c>
      <c r="I313" s="25">
        <f ca="1">IFERROR(__xludf.DUMMYFUNCTION("""COMPUTED_VALUE"""),0.857142857142857)</f>
        <v>0.85714285714285698</v>
      </c>
      <c r="J313" s="25">
        <f ca="1">IFERROR(__xludf.DUMMYFUNCTION("""COMPUTED_VALUE"""),0.818181818181818)</f>
        <v>0.81818181818181801</v>
      </c>
      <c r="K313" s="25">
        <f ca="1">IFERROR(__xludf.DUMMYFUNCTION("""COMPUTED_VALUE"""),0.84375)</f>
        <v>0.84375</v>
      </c>
      <c r="L313" s="25">
        <f ca="1">IFERROR(__xludf.DUMMYFUNCTION("""COMPUTED_VALUE"""),0.636363636363636)</f>
        <v>0.63636363636363602</v>
      </c>
      <c r="M313" s="25">
        <f ca="1">IFERROR(__xludf.DUMMYFUNCTION("""COMPUTED_VALUE"""),0.861111111111111)</f>
        <v>0.86111111111111105</v>
      </c>
      <c r="N313" s="25">
        <f ca="1">IFERROR(__xludf.DUMMYFUNCTION("""COMPUTED_VALUE"""),0.833333333333333)</f>
        <v>0.83333333333333304</v>
      </c>
      <c r="O313" s="25">
        <f ca="1">IFERROR(__xludf.DUMMYFUNCTION("""COMPUTED_VALUE"""),0.833333333333333)</f>
        <v>0.83333333333333304</v>
      </c>
      <c r="P313" s="25">
        <f ca="1">IFERROR(__xludf.DUMMYFUNCTION("""COMPUTED_VALUE"""),0.578947368421052)</f>
        <v>0.57894736842105199</v>
      </c>
      <c r="Q313" s="25">
        <f ca="1">IFERROR(__xludf.DUMMYFUNCTION("""COMPUTED_VALUE"""),0)</f>
        <v>0</v>
      </c>
      <c r="R313" s="25">
        <f ca="1">IFERROR(__xludf.DUMMYFUNCTION("""COMPUTED_VALUE"""),0.833333333333333)</f>
        <v>0.83333333333333304</v>
      </c>
      <c r="S313" s="25">
        <f ca="1">IFERROR(__xludf.DUMMYFUNCTION("""COMPUTED_VALUE"""),0.923076923076923)</f>
        <v>0.92307692307692302</v>
      </c>
      <c r="T313" s="25">
        <f ca="1">IFERROR(__xludf.DUMMYFUNCTION("""COMPUTED_VALUE"""),1)</f>
        <v>1</v>
      </c>
      <c r="U313" s="25">
        <f ca="1">IFERROR(__xludf.DUMMYFUNCTION("""COMPUTED_VALUE"""),0.6)</f>
        <v>0.6</v>
      </c>
      <c r="V313" s="25">
        <f ca="1">IFERROR(__xludf.DUMMYFUNCTION("""COMPUTED_VALUE"""),0)</f>
        <v>0</v>
      </c>
      <c r="W313" s="4"/>
      <c r="X313" s="4" t="str">
        <f ca="1">IFERROR(__xludf.DUMMYFUNCTION("""COMPUTED_VALUE"""),"| 5 L JAVA % | 6 L NS % | 7 L PHP-CGM % | 8 L CPT % ")</f>
        <v xml:space="preserve">| 5 L JAVA % | 6 L NS % | 7 L PHP-CGM % | 8 L CPT % </v>
      </c>
      <c r="Y313" s="4" t="str">
        <f ca="1">IFERROR(__xludf.DUMMYFUNCTION("""COMPUTED_VALUE"""),"| 5 L PHP-CGM % | 6 L CPT % | 7 L NS % | 8 L JAVA % ")</f>
        <v xml:space="preserve">| 5 L PHP-CGM % | 6 L CPT % | 7 L NS % | 8 L JAVA % </v>
      </c>
      <c r="Z313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13" s="4" t="str">
        <f ca="1">IFERROR(__xludf.DUMMYFUNCTION("""COMPUTED_VALUE"""),"| 7 P PHP-CGM % | 9 P NS % ")</f>
        <v xml:space="preserve">| 7 P PHP-CGM % | 9 P NS % </v>
      </c>
      <c r="AB313" s="4" t="str">
        <f ca="1">IFERROR(__xludf.DUMMYFUNCTION("""COMPUTED_VALUE"""),"| 5 L JAVA % | 6 L PHP-CGM % | 7 P CPT % | 9 P JAVA @ ")</f>
        <v xml:space="preserve">| 5 L JAVA % | 6 L PHP-CGM % | 7 P CPT % | 9 P JAVA @ </v>
      </c>
      <c r="AC313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13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13" s="4" t="str">
        <f ca="1">IFERROR(__xludf.DUMMYFUNCTION("""COMPUTED_VALUE"""),"| 5 L JAVA % | 6 L NS % | 7 L PRO % | 9 P JAVA @ ")</f>
        <v xml:space="preserve">| 5 L JAVA % | 6 L NS % | 7 L PRO % | 9 P JAVA @ </v>
      </c>
      <c r="AF313" s="4" t="str">
        <f ca="1">IFERROR(__xludf.DUMMYFUNCTION("""COMPUTED_VALUE"""),"| 7 P PHP-CGM % | 9 P NS % ")</f>
        <v xml:space="preserve">| 7 P PHP-CGM % | 9 P NS % </v>
      </c>
      <c r="AG313" s="4" t="str">
        <f ca="1">IFERROR(__xludf.DUMMYFUNCTION("""COMPUTED_VALUE"""),"| 5 L CPT % | 6 L PHP-CGM % | 7 P CPT % | 9 P JAVA % ")</f>
        <v xml:space="preserve">| 5 L CPT % | 6 L PHP-CGM % | 7 P CPT % | 9 P JAVA % </v>
      </c>
      <c r="AH313" s="4" t="str">
        <f ca="1">IFERROR(__xludf.DUMMYFUNCTION("""COMPUTED_VALUE"""),"| 7 P PHP-CGM % | 9 P NS % ")</f>
        <v xml:space="preserve">| 7 P PHP-CGM % | 9 P NS % </v>
      </c>
      <c r="AI313" s="4" t="str">
        <f ca="1">IFERROR(__xludf.DUMMYFUNCTION("""COMPUTED_VALUE"""),"| 5 L CPT % | 6 L PHP-CGM % | 7 P CPT % | 9 P JAVA % ")</f>
        <v xml:space="preserve">| 5 L CPT % | 6 L PHP-CGM % | 7 P CPT % | 9 P JAVA % </v>
      </c>
      <c r="AJ313" s="4" t="str">
        <f ca="1">IFERROR(__xludf.DUMMYFUNCTION("""COMPUTED_VALUE"""),"| 5 L JAVA % | 6 L NS % | 7 L PHP-CGM @ | 8 L CPT @ ")</f>
        <v xml:space="preserve">| 5 L JAVA % | 6 L NS % | 7 L PHP-CGM @ | 8 L CPT @ </v>
      </c>
      <c r="AK313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3" s="4" t="str">
        <f ca="1">IFERROR(__xludf.DUMMYFUNCTION("""COMPUTED_VALUE"""),"| 6 L NS % | 7 L NS % | 7 L PRO % | 8 L PRO % | 9 P JAVA % ")</f>
        <v xml:space="preserve">| 6 L NS % | 7 L NS % | 7 L PRO % | 8 L PRO % | 9 P JAVA % </v>
      </c>
      <c r="AM313" s="4" t="str">
        <f ca="1">IFERROR(__xludf.DUMMYFUNCTION("""COMPUTED_VALUE"""),"| 5 L INE % | 7 P PHP-CGM % | 9 P NS % ")</f>
        <v xml:space="preserve">| 5 L INE % | 7 P PHP-CGM % | 9 P NS % </v>
      </c>
      <c r="AN313" s="4" t="str">
        <f ca="1">IFERROR(__xludf.DUMMYFUNCTION("""COMPUTED_VALUE"""),"| 5 L CPT % | 6 L PHP-CGM % | 7 P CPT @ | 9 P JAVA @ ")</f>
        <v xml:space="preserve">| 5 L CPT % | 6 L PHP-CGM % | 7 P CPT @ | 9 P JAVA @ </v>
      </c>
      <c r="AO313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13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13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13" s="4" t="str">
        <f ca="1">IFERROR(__xludf.DUMMYFUNCTION("""COMPUTED_VALUE"""),"| 5 L INE % ")</f>
        <v xml:space="preserve">| 5 L INE % </v>
      </c>
      <c r="AS313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13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3" s="4" t="str">
        <f ca="1">IFERROR(__xludf.DUMMYFUNCTION("""COMPUTED_VALUE"""),"| 5 L JAVA % | 6 L NS % | 5 P PRO % | 9 P JAVA % ")</f>
        <v xml:space="preserve">| 5 L JAVA % | 6 L NS % | 5 P PRO % | 9 P JAVA % </v>
      </c>
      <c r="AV313" s="4" t="str">
        <f ca="1">IFERROR(__xludf.DUMMYFUNCTION("""COMPUTED_VALUE"""),"| 5 L INE % | 7 P PHP-CGM % | 9 P NS @ ")</f>
        <v xml:space="preserve">| 5 L INE % | 7 P PHP-CGM % | 9 P NS @ </v>
      </c>
      <c r="AW313" s="4" t="str">
        <f ca="1">IFERROR(__xludf.DUMMYFUNCTION("""COMPUTED_VALUE"""),"| 5 L CPT @ | 6 L PHP-CGM @ | 7 P CPT @ | 9 P JAVA @ ")</f>
        <v xml:space="preserve">| 5 L CPT @ | 6 L PHP-CGM @ | 7 P CPT @ | 9 P JAVA @ </v>
      </c>
      <c r="AX313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13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13" s="4" t="str">
        <f ca="1">IFERROR(__xludf.DUMMYFUNCTION("""COMPUTED_VALUE"""),"| 5 L INE % | 7 P PHP-CGM % ")</f>
        <v xml:space="preserve">| 5 L INE % | 7 P PHP-CGM % </v>
      </c>
      <c r="BA313" s="4" t="str">
        <f ca="1">IFERROR(__xludf.DUMMYFUNCTION("""COMPUTED_VALUE"""),"| 5 L CPT % | 6 L PHP-CGM % | 7 P CPT % ")</f>
        <v xml:space="preserve">| 5 L CPT % | 6 L PHP-CGM % | 7 P CPT % </v>
      </c>
      <c r="BB313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13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D313" s="4" t="str">
        <f ca="1">IFERROR(__xludf.DUMMYFUNCTION("""COMPUTED_VALUE"""),"| 5 L JAVA % | 6 L NS % | 7 L PRO % | 8 L PRO % | 9 P JAVA @ ")</f>
        <v xml:space="preserve">| 5 L JAVA % | 6 L NS % | 7 L PRO % | 8 L PRO % | 9 P JAVA @ </v>
      </c>
      <c r="BE313" s="4" t="str">
        <f ca="1">IFERROR(__xludf.DUMMYFUNCTION("""COMPUTED_VALUE"""),"| 5 L INE @ | 7 P PHP-CGM @ | 9 P NS @ ")</f>
        <v xml:space="preserve">| 5 L INE @ | 7 P PHP-CGM @ | 9 P NS @ </v>
      </c>
      <c r="BF313" s="4" t="str">
        <f ca="1">IFERROR(__xludf.DUMMYFUNCTION("""COMPUTED_VALUE"""),"| 5 L CPT % | 6 L PHP-CGM % | 7 P CPT % ")</f>
        <v xml:space="preserve">| 5 L CPT % | 6 L PHP-CGM % | 7 P CPT % </v>
      </c>
      <c r="BG313" s="4" t="str">
        <f ca="1">IFERROR(__xludf.DUMMYFUNCTION("""COMPUTED_VALUE"""),"| 5 L PHP-CGM % | 6 L CPT % | 7 L JAVA @ | 8 L NS % | 9 P Python % ")</f>
        <v xml:space="preserve">| 5 L PHP-CGM % | 6 L CPT % | 7 L JAVA @ | 8 L NS % | 9 P Python % </v>
      </c>
      <c r="BH313" s="4" t="str">
        <f ca="1">IFERROR(__xludf.DUMMYFUNCTION("""COMPUTED_VALUE"""),"| 5 L JAVA % | 6 L NS % | 7 L PRO % | 9 P JAVA @ ")</f>
        <v xml:space="preserve">| 5 L JAVA % | 6 L NS % | 7 L PRO % | 9 P JAVA @ </v>
      </c>
      <c r="BI313" s="4" t="str">
        <f ca="1">IFERROR(__xludf.DUMMYFUNCTION("""COMPUTED_VALUE"""),"| 5 L INE @ | 7 P PHP-CGM % | 9 P NS @ ")</f>
        <v xml:space="preserve">| 5 L INE @ | 7 P PHP-CGM % | 9 P NS @ </v>
      </c>
      <c r="BJ313" s="4" t="str">
        <f ca="1">IFERROR(__xludf.DUMMYFUNCTION("""COMPUTED_VALUE"""),"| 5 L CPT @ | 6 L PHP-CGM @ | 7 P CPT % | 9 P JAVA % ")</f>
        <v xml:space="preserve">| 5 L CPT @ | 6 L PHP-CGM @ | 7 P CPT % | 9 P JAVA % </v>
      </c>
      <c r="BK313" s="4" t="str">
        <f ca="1">IFERROR(__xludf.DUMMYFUNCTION("""COMPUTED_VALUE"""),"| 5 L JAVA % | 7 L PHP-CGM % | 8 L CPT % | 9 P Python % ")</f>
        <v xml:space="preserve">| 5 L JAVA % | 7 L PHP-CGM % | 8 L CPT % | 9 P Python % </v>
      </c>
      <c r="BL313" s="4" t="str">
        <f ca="1">IFERROR(__xludf.DUMMYFUNCTION("""COMPUTED_VALUE"""),"| 5 L PHP-CGM % | 6 L CPT % | 8 L NS % ")</f>
        <v xml:space="preserve">| 5 L PHP-CGM % | 6 L CPT % | 8 L NS % </v>
      </c>
      <c r="BM313" s="4" t="str">
        <f ca="1">IFERROR(__xludf.DUMMYFUNCTION("""COMPUTED_VALUE"""),"| 5 L JAVA % | 6 L NS % | 7 L PRO % | 8 L PRO % | 9 P JAVA % ")</f>
        <v xml:space="preserve">| 5 L JAVA % | 6 L NS % | 7 L PRO % | 8 L PRO % | 9 P JAVA % </v>
      </c>
      <c r="BN313" s="4" t="str">
        <f ca="1">IFERROR(__xludf.DUMMYFUNCTION("""COMPUTED_VALUE"""),"| 5 L INE @ | 7 P PHP-CGM @ | 9 P NS @ ")</f>
        <v xml:space="preserve">| 5 L INE @ | 7 P PHP-CGM @ | 9 P NS @ </v>
      </c>
      <c r="BO313" s="4" t="str">
        <f ca="1">IFERROR(__xludf.DUMMYFUNCTION("""COMPUTED_VALUE"""),"| 5 L CPT % | 6 L PHP-CGM % ")</f>
        <v xml:space="preserve">| 5 L CPT % | 6 L PHP-CGM % </v>
      </c>
      <c r="BP313" s="4" t="str">
        <f ca="1">IFERROR(__xludf.DUMMYFUNCTION("""COMPUTED_VALUE"""),"| 5 L JAVA % | 6 L JAVA % | 7 L PHP-CGM % | 8 L CPT % ")</f>
        <v xml:space="preserve">| 5 L JAVA % | 6 L JAVA % | 7 L PHP-CGM % | 8 L CPT % </v>
      </c>
      <c r="BQ313" s="4" t="str">
        <f ca="1">IFERROR(__xludf.DUMMYFUNCTION("""COMPUTED_VALUE"""),"| 5 L JAVA @ ")</f>
        <v xml:space="preserve">| 5 L JAVA @ </v>
      </c>
      <c r="BR313" s="4"/>
      <c r="BS313" s="4"/>
      <c r="BT313" s="4" t="str">
        <f ca="1">IFERROR(__xludf.DUMMYFUNCTION("""COMPUTED_VALUE"""),"| 7 L PHP-CGM % | 8 L CPT % ")</f>
        <v xml:space="preserve">| 7 L PHP-CGM % | 8 L CPT % </v>
      </c>
      <c r="BU313" s="4" t="str">
        <f ca="1">IFERROR(__xludf.DUMMYFUNCTION("""COMPUTED_VALUE"""),"| 8 L NS @ ")</f>
        <v xml:space="preserve">| 8 L NS @ </v>
      </c>
      <c r="BV313" s="4" t="str">
        <f ca="1">IFERROR(__xludf.DUMMYFUNCTION("""COMPUTED_VALUE"""),"| 5 L JAVA % | 6 L NS % | 7 L PHP-CGM % | 8 L CPT % | 9 P Python @ ")</f>
        <v xml:space="preserve">| 5 L JAVA % | 6 L NS % | 7 L PHP-CGM % | 8 L CPT % | 9 P Python @ </v>
      </c>
      <c r="BW313" s="4" t="str">
        <f ca="1">IFERROR(__xludf.DUMMYFUNCTION("""COMPUTED_VALUE"""),"| 9 P Python @ ")</f>
        <v xml:space="preserve">| 9 P Python @ </v>
      </c>
      <c r="BX313" s="4" t="str">
        <f ca="1">IFERROR(__xludf.DUMMYFUNCTION("""COMPUTED_VALUE"""),"| 5 L JAVA @ | 6 L NS @ | 7 L PRO @ | 9 P JAVA @ ")</f>
        <v xml:space="preserve">| 5 L JAVA @ | 6 L NS @ | 7 L PRO @ | 9 P JAVA @ </v>
      </c>
      <c r="BY313" s="4" t="str">
        <f ca="1">IFERROR(__xludf.DUMMYFUNCTION("""COMPUTED_VALUE"""),"| 5 L INE % | 7 P PHP-CGM % | 9 P NS % ")</f>
        <v xml:space="preserve">| 5 L INE % | 7 P PHP-CGM % | 9 P NS % </v>
      </c>
      <c r="BZ313" s="4" t="str">
        <f ca="1">IFERROR(__xludf.DUMMYFUNCTION("""COMPUTED_VALUE"""),"| 5 L CPT % | 6 L PHP-CGM % | 7 P CPT % | 9 P JAVA % ")</f>
        <v xml:space="preserve">| 5 L CPT % | 6 L PHP-CGM % | 7 P CPT % | 9 P JAVA % </v>
      </c>
      <c r="CA313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CB313" s="4" t="str">
        <f ca="1">IFERROR(__xludf.DUMMYFUNCTION("""COMPUTED_VALUE"""),"| 5 L PHP-CGM % | 6 L CPT % | 7 L NS % | 9 P Python % ")</f>
        <v xml:space="preserve">| 5 L PHP-CGM % | 6 L CPT % | 7 L NS % | 9 P Python % </v>
      </c>
      <c r="CC313" s="4" t="str">
        <f ca="1">IFERROR(__xludf.DUMMYFUNCTION("""COMPUTED_VALUE"""),"| 5 L JAVA @ | 6 L NS @ | 9 P JAVA @ ")</f>
        <v xml:space="preserve">| 5 L JAVA @ | 6 L NS @ | 9 P JAVA @ </v>
      </c>
      <c r="CD313" s="4" t="str">
        <f ca="1">IFERROR(__xludf.DUMMYFUNCTION("""COMPUTED_VALUE"""),"| 5 L INE % | 7 P PHP-CGM % | 9 P NS % ")</f>
        <v xml:space="preserve">| 5 L INE % | 7 P PHP-CGM % | 9 P NS % </v>
      </c>
      <c r="CE313" s="4" t="str">
        <f ca="1">IFERROR(__xludf.DUMMYFUNCTION("""COMPUTED_VALUE"""),"| 5 L CPT % | 6 L PHP-CGM % | 9 P JAVA % | 7 P CPT % ")</f>
        <v xml:space="preserve">| 5 L CPT % | 6 L PHP-CGM % | 9 P JAVA % | 7 P CPT % </v>
      </c>
      <c r="CF313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13" s="4" t="str">
        <f ca="1">IFERROR(__xludf.DUMMYFUNCTION("""COMPUTED_VALUE"""),"| 5 L PHP-CGM @ | 6 L CPT @ | 7 L JAVA % | 8 L NS % ")</f>
        <v xml:space="preserve">| 5 L PHP-CGM @ | 6 L CPT @ | 7 L JAVA % | 8 L NS % </v>
      </c>
      <c r="CH313" s="4" t="str">
        <f ca="1">IFERROR(__xludf.DUMMYFUNCTION("""COMPUTED_VALUE"""),"| 5 L JAVA @ | 6 L NS @ | 9 P JAVA % ")</f>
        <v xml:space="preserve">| 5 L JAVA @ | 6 L NS @ | 9 P JAVA % </v>
      </c>
      <c r="CI313" s="4" t="str">
        <f ca="1">IFERROR(__xludf.DUMMYFUNCTION("""COMPUTED_VALUE"""),"| 5 L INE @ | 7 P PHP-CGM % | 9 P NS % ")</f>
        <v xml:space="preserve">| 5 L INE @ | 7 P PHP-CGM % | 9 P NS % </v>
      </c>
      <c r="CJ313" s="4" t="str">
        <f ca="1">IFERROR(__xludf.DUMMYFUNCTION("""COMPUTED_VALUE"""),"| 5 L CPT % | 6 L PHP-CGM % | 7 P CPT % ")</f>
        <v xml:space="preserve">| 5 L CPT % | 6 L PHP-CGM % | 7 P CPT % </v>
      </c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</row>
    <row r="314" spans="1:102" ht="12.5" x14ac:dyDescent="0.25">
      <c r="A314" s="3">
        <f ca="1">IFERROR(__xludf.DUMMYFUNCTION("""COMPUTED_VALUE"""),3)</f>
        <v>3</v>
      </c>
      <c r="B314" s="3" t="str">
        <f ca="1">IFERROR(__xludf.DUMMYFUNCTION("""COMPUTED_VALUE"""),"D")</f>
        <v>D</v>
      </c>
      <c r="C314" s="32" t="str">
        <f ca="1">IFERROR(__xludf.DUMMYFUNCTION("""COMPUTED_VALUE"""),"23171341138")</f>
        <v>23171341138</v>
      </c>
      <c r="D314" s="4" t="str">
        <f ca="1">IFERROR(__xludf.DUMMYFUNCTION("""COMPUTED_VALUE"""),"PATEL YATI NIKUNJKUMAR")</f>
        <v>PATEL YATI NIKUNJKUMAR</v>
      </c>
      <c r="E314" s="3" t="str">
        <f ca="1">IFERROR(__xludf.DUMMYFUNCTION("""COMPUTED_VALUE"""),"ZPP - Eve")</f>
        <v>ZPP - Eve</v>
      </c>
      <c r="F314" s="3">
        <f ca="1">IFERROR(__xludf.DUMMYFUNCTION("""COMPUTED_VALUE"""),9624067814)</f>
        <v>9624067814</v>
      </c>
      <c r="G314" s="3">
        <f ca="1">IFERROR(__xludf.DUMMYFUNCTION("""COMPUTED_VALUE"""),9624067814)</f>
        <v>9624067814</v>
      </c>
      <c r="H314" s="33">
        <f ca="1">IFERROR(__xludf.DUMMYFUNCTION("""COMPUTED_VALUE"""),0.525641025641025)</f>
        <v>0.52564102564102499</v>
      </c>
      <c r="I314" s="25">
        <f ca="1">IFERROR(__xludf.DUMMYFUNCTION("""COMPUTED_VALUE"""),0.428571428571428)</f>
        <v>0.42857142857142799</v>
      </c>
      <c r="J314" s="25">
        <f ca="1">IFERROR(__xludf.DUMMYFUNCTION("""COMPUTED_VALUE"""),0.545454545454545)</f>
        <v>0.54545454545454497</v>
      </c>
      <c r="K314" s="25">
        <f ca="1">IFERROR(__xludf.DUMMYFUNCTION("""COMPUTED_VALUE"""),0.625)</f>
        <v>0.625</v>
      </c>
      <c r="L314" s="25">
        <f ca="1">IFERROR(__xludf.DUMMYFUNCTION("""COMPUTED_VALUE"""),0.636363636363636)</f>
        <v>0.63636363636363602</v>
      </c>
      <c r="M314" s="25">
        <f ca="1">IFERROR(__xludf.DUMMYFUNCTION("""COMPUTED_VALUE"""),0.472222222222222)</f>
        <v>0.47222222222222199</v>
      </c>
      <c r="N314" s="25">
        <f ca="1">IFERROR(__xludf.DUMMYFUNCTION("""COMPUTED_VALUE"""),0.5)</f>
        <v>0.5</v>
      </c>
      <c r="O314" s="25">
        <f ca="1">IFERROR(__xludf.DUMMYFUNCTION("""COMPUTED_VALUE"""),0.694444444444444)</f>
        <v>0.69444444444444398</v>
      </c>
      <c r="P314" s="25">
        <f ca="1">IFERROR(__xludf.DUMMYFUNCTION("""COMPUTED_VALUE"""),0.31578947368421)</f>
        <v>0.31578947368421001</v>
      </c>
      <c r="Q314" s="25">
        <f ca="1">IFERROR(__xludf.DUMMYFUNCTION("""COMPUTED_VALUE"""),0)</f>
        <v>0</v>
      </c>
      <c r="R314" s="25">
        <f ca="1">IFERROR(__xludf.DUMMYFUNCTION("""COMPUTED_VALUE"""),0.722222222222222)</f>
        <v>0.72222222222222199</v>
      </c>
      <c r="S314" s="25">
        <f ca="1">IFERROR(__xludf.DUMMYFUNCTION("""COMPUTED_VALUE"""),0.538461538461538)</f>
        <v>0.53846153846153799</v>
      </c>
      <c r="T314" s="25">
        <f ca="1">IFERROR(__xludf.DUMMYFUNCTION("""COMPUTED_VALUE"""),1)</f>
        <v>1</v>
      </c>
      <c r="U314" s="25">
        <f ca="1">IFERROR(__xludf.DUMMYFUNCTION("""COMPUTED_VALUE"""),0)</f>
        <v>0</v>
      </c>
      <c r="V314" s="25">
        <f ca="1">IFERROR(__xludf.DUMMYFUNCTION("""COMPUTED_VALUE"""),0)</f>
        <v>0</v>
      </c>
      <c r="W314" s="4"/>
      <c r="X314" s="4" t="str">
        <f ca="1">IFERROR(__xludf.DUMMYFUNCTION("""COMPUTED_VALUE"""),"| 5 L JAVA % | 6 L NS % | 7 L PHP-CGM % | 8 L CPT % ")</f>
        <v xml:space="preserve">| 5 L JAVA % | 6 L NS % | 7 L PHP-CGM % | 8 L CPT % </v>
      </c>
      <c r="Y314" s="4" t="str">
        <f ca="1">IFERROR(__xludf.DUMMYFUNCTION("""COMPUTED_VALUE"""),"| 5 L PHP-CGM % | 6 L CPT % | 7 L NS % | 8 L JAVA % ")</f>
        <v xml:space="preserve">| 5 L PHP-CGM % | 6 L CPT % | 7 L NS % | 8 L JAVA % </v>
      </c>
      <c r="Z314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14" s="4" t="str">
        <f ca="1">IFERROR(__xludf.DUMMYFUNCTION("""COMPUTED_VALUE"""),"| 7 P PHP-CGM @ | 9 P NS @ ")</f>
        <v xml:space="preserve">| 7 P PHP-CGM @ | 9 P NS @ </v>
      </c>
      <c r="AB314" s="4" t="str">
        <f ca="1">IFERROR(__xludf.DUMMYFUNCTION("""COMPUTED_VALUE"""),"| 5 L JAVA % | 6 L PHP-CGM % | 7 P CPT % | 9 P JAVA @ ")</f>
        <v xml:space="preserve">| 5 L JAVA % | 6 L PHP-CGM % | 7 P CPT % | 9 P JAVA @ </v>
      </c>
      <c r="AC314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14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14" s="4" t="str">
        <f ca="1">IFERROR(__xludf.DUMMYFUNCTION("""COMPUTED_VALUE"""),"| 5 L JAVA @ | 6 L NS @ | 7 L PRO @ | 9 P JAVA @ ")</f>
        <v xml:space="preserve">| 5 L JAVA @ | 6 L NS @ | 7 L PRO @ | 9 P JAVA @ </v>
      </c>
      <c r="AF314" s="4" t="str">
        <f ca="1">IFERROR(__xludf.DUMMYFUNCTION("""COMPUTED_VALUE"""),"| 7 P PHP-CGM @ | 9 P NS % ")</f>
        <v xml:space="preserve">| 7 P PHP-CGM @ | 9 P NS % </v>
      </c>
      <c r="AG314" s="4" t="str">
        <f ca="1">IFERROR(__xludf.DUMMYFUNCTION("""COMPUTED_VALUE"""),"| 5 L CPT % | 6 L PHP-CGM % | 7 P CPT % | 9 P JAVA @ ")</f>
        <v xml:space="preserve">| 5 L CPT % | 6 L PHP-CGM % | 7 P CPT % | 9 P JAVA @ </v>
      </c>
      <c r="AH314" s="4" t="str">
        <f ca="1">IFERROR(__xludf.DUMMYFUNCTION("""COMPUTED_VALUE"""),"| 7 P PHP-CGM % | 9 P NS % ")</f>
        <v xml:space="preserve">| 7 P PHP-CGM % | 9 P NS % </v>
      </c>
      <c r="AI314" s="4" t="str">
        <f ca="1">IFERROR(__xludf.DUMMYFUNCTION("""COMPUTED_VALUE"""),"| 5 L CPT @ | 6 L PHP-CGM @ | 7 P CPT % | 9 P JAVA % ")</f>
        <v xml:space="preserve">| 5 L CPT @ | 6 L PHP-CGM @ | 7 P CPT % | 9 P JAVA % </v>
      </c>
      <c r="AJ314" s="4" t="str">
        <f ca="1">IFERROR(__xludf.DUMMYFUNCTION("""COMPUTED_VALUE"""),"| 5 L JAVA % | 6 L NS % | 7 L PHP-CGM @ | 8 L CPT @ ")</f>
        <v xml:space="preserve">| 5 L JAVA % | 6 L NS % | 7 L PHP-CGM @ | 8 L CPT @ </v>
      </c>
      <c r="AK314" s="4" t="str">
        <f ca="1">IFERROR(__xludf.DUMMYFUNCTION("""COMPUTED_VALUE"""),"| 5 L PHP-CGM % | 6 L CPT @ | 8 L JAVA % | 7 L NS % | 9 P Python % ")</f>
        <v xml:space="preserve">| 5 L PHP-CGM % | 6 L CPT @ | 8 L JAVA % | 7 L NS % | 9 P Python % </v>
      </c>
      <c r="AL314" s="4" t="str">
        <f ca="1">IFERROR(__xludf.DUMMYFUNCTION("""COMPUTED_VALUE"""),"| 6 L NS % | 7 L NS % | 7 L PRO % | 8 L PRO % | 9 P JAVA % ")</f>
        <v xml:space="preserve">| 6 L NS % | 7 L NS % | 7 L PRO % | 8 L PRO % | 9 P JAVA % </v>
      </c>
      <c r="AM314" s="4" t="str">
        <f ca="1">IFERROR(__xludf.DUMMYFUNCTION("""COMPUTED_VALUE"""),"| 5 L INE @ | 7 P PHP-CGM % | 9 P NS % ")</f>
        <v xml:space="preserve">| 5 L INE @ | 7 P PHP-CGM % | 9 P NS % </v>
      </c>
      <c r="AN314" s="4" t="str">
        <f ca="1">IFERROR(__xludf.DUMMYFUNCTION("""COMPUTED_VALUE"""),"| 5 L CPT % | 6 L PHP-CGM % | 7 P CPT % | 9 P JAVA % ")</f>
        <v xml:space="preserve">| 5 L CPT % | 6 L PHP-CGM % | 7 P CPT % | 9 P JAVA % </v>
      </c>
      <c r="AO314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14" s="4" t="str">
        <f ca="1">IFERROR(__xludf.DUMMYFUNCTION("""COMPUTED_VALUE"""),"| 5 L PHP-CGM @ | 6 L CPT @ | 7 L JAVA % | 7 L NS % | 9 P Python % ")</f>
        <v xml:space="preserve">| 5 L PHP-CGM @ | 6 L CPT @ | 7 L JAVA % | 7 L NS % | 9 P Python % </v>
      </c>
      <c r="AQ314" s="4" t="str">
        <f ca="1">IFERROR(__xludf.DUMMYFUNCTION("""COMPUTED_VALUE"""),"| 5 L JAVA @ | 6 L NS @ | 7 L PRO @ | 8 L PRO @ | 9 P JAVA @ ")</f>
        <v xml:space="preserve">| 5 L JAVA @ | 6 L NS @ | 7 L PRO @ | 8 L PRO @ | 9 P JAVA @ </v>
      </c>
      <c r="AR314" s="4" t="str">
        <f ca="1">IFERROR(__xludf.DUMMYFUNCTION("""COMPUTED_VALUE"""),"| 5 L INE @ ")</f>
        <v xml:space="preserve">| 5 L INE @ </v>
      </c>
      <c r="AS314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14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4" s="4" t="str">
        <f ca="1">IFERROR(__xludf.DUMMYFUNCTION("""COMPUTED_VALUE"""),"| 5 L JAVA % | 6 L NS % | 5 P PRO % | 9 P JAVA % ")</f>
        <v xml:space="preserve">| 5 L JAVA % | 6 L NS % | 5 P PRO % | 9 P JAVA % </v>
      </c>
      <c r="AV314" s="4" t="str">
        <f ca="1">IFERROR(__xludf.DUMMYFUNCTION("""COMPUTED_VALUE"""),"| 5 L INE @ | 7 P PHP-CGM % | 9 P NS % ")</f>
        <v xml:space="preserve">| 5 L INE @ | 7 P PHP-CGM % | 9 P NS % </v>
      </c>
      <c r="AW314" s="4" t="str">
        <f ca="1">IFERROR(__xludf.DUMMYFUNCTION("""COMPUTED_VALUE"""),"| 5 L CPT @ | 6 L PHP-CGM @ | 7 P CPT @ | 9 P JAVA @ ")</f>
        <v xml:space="preserve">| 5 L CPT @ | 6 L PHP-CGM @ | 7 P CPT @ | 9 P JAVA @ </v>
      </c>
      <c r="AX314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14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14" s="4" t="str">
        <f ca="1">IFERROR(__xludf.DUMMYFUNCTION("""COMPUTED_VALUE"""),"| 5 L INE @ | 7 P PHP-CGM @ ")</f>
        <v xml:space="preserve">| 5 L INE @ | 7 P PHP-CGM @ </v>
      </c>
      <c r="BA314" s="4" t="str">
        <f ca="1">IFERROR(__xludf.DUMMYFUNCTION("""COMPUTED_VALUE"""),"| 5 L CPT @ | 6 L PHP-CGM @ | 7 P CPT @ ")</f>
        <v xml:space="preserve">| 5 L CPT @ | 6 L PHP-CGM @ | 7 P CPT @ </v>
      </c>
      <c r="BB314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14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4" s="4" t="str">
        <f ca="1">IFERROR(__xludf.DUMMYFUNCTION("""COMPUTED_VALUE"""),"| 5 L JAVA @ | 6 L NS @ | 7 L PRO % | 8 L PRO % | 9 P JAVA @ ")</f>
        <v xml:space="preserve">| 5 L JAVA @ | 6 L NS @ | 7 L PRO % | 8 L PRO % | 9 P JAVA @ </v>
      </c>
      <c r="BE314" s="4" t="str">
        <f ca="1">IFERROR(__xludf.DUMMYFUNCTION("""COMPUTED_VALUE"""),"| 5 L INE @ | 7 P PHP-CGM % | 9 P NS % ")</f>
        <v xml:space="preserve">| 5 L INE @ | 7 P PHP-CGM % | 9 P NS % </v>
      </c>
      <c r="BF314" s="4" t="str">
        <f ca="1">IFERROR(__xludf.DUMMYFUNCTION("""COMPUTED_VALUE"""),"| 5 L CPT @ | 6 L PHP-CGM @ | 7 P CPT @ ")</f>
        <v xml:space="preserve">| 5 L CPT @ | 6 L PHP-CGM @ | 7 P CPT @ </v>
      </c>
      <c r="BG314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14" s="4" t="str">
        <f ca="1">IFERROR(__xludf.DUMMYFUNCTION("""COMPUTED_VALUE"""),"| 5 L JAVA @ | 6 L NS @ | 7 L PRO % | 9 P JAVA % ")</f>
        <v xml:space="preserve">| 5 L JAVA @ | 6 L NS @ | 7 L PRO % | 9 P JAVA % </v>
      </c>
      <c r="BI314" s="4" t="str">
        <f ca="1">IFERROR(__xludf.DUMMYFUNCTION("""COMPUTED_VALUE"""),"| 5 L INE @ | 7 P PHP-CGM % | 9 P NS % ")</f>
        <v xml:space="preserve">| 5 L INE @ | 7 P PHP-CGM % | 9 P NS % </v>
      </c>
      <c r="BJ314" s="4" t="str">
        <f ca="1">IFERROR(__xludf.DUMMYFUNCTION("""COMPUTED_VALUE"""),"| 5 L CPT @ | 6 L PHP-CGM @ | 7 P CPT % | 9 P JAVA @ ")</f>
        <v xml:space="preserve">| 5 L CPT @ | 6 L PHP-CGM @ | 7 P CPT % | 9 P JAVA @ </v>
      </c>
      <c r="BK314" s="4" t="str">
        <f ca="1">IFERROR(__xludf.DUMMYFUNCTION("""COMPUTED_VALUE"""),"| 5 L JAVA @ | 7 L PHP-CGM % | 8 L CPT % | 9 P Python % ")</f>
        <v xml:space="preserve">| 5 L JAVA @ | 7 L PHP-CGM % | 8 L CPT % | 9 P Python % </v>
      </c>
      <c r="BL314" s="4" t="str">
        <f ca="1">IFERROR(__xludf.DUMMYFUNCTION("""COMPUTED_VALUE"""),"| 5 L PHP-CGM @ | 6 L CPT @ | 8 L NS @ ")</f>
        <v xml:space="preserve">| 5 L PHP-CGM @ | 6 L CPT @ | 8 L NS @ </v>
      </c>
      <c r="BM314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14" s="4" t="str">
        <f ca="1">IFERROR(__xludf.DUMMYFUNCTION("""COMPUTED_VALUE"""),"| 5 L INE @ | 7 P PHP-CGM @ | 9 P NS @ ")</f>
        <v xml:space="preserve">| 5 L INE @ | 7 P PHP-CGM @ | 9 P NS @ </v>
      </c>
      <c r="BO314" s="4" t="str">
        <f ca="1">IFERROR(__xludf.DUMMYFUNCTION("""COMPUTED_VALUE"""),"| 5 L CPT @ | 6 L PHP-CGM @ ")</f>
        <v xml:space="preserve">| 5 L CPT @ | 6 L PHP-CGM @ </v>
      </c>
      <c r="BP314" s="4" t="str">
        <f ca="1">IFERROR(__xludf.DUMMYFUNCTION("""COMPUTED_VALUE"""),"| 5 L JAVA % | 6 L JAVA % | 7 L PHP-CGM @ | 8 L CPT @ ")</f>
        <v xml:space="preserve">| 5 L JAVA % | 6 L JAVA % | 7 L PHP-CGM @ | 8 L CPT @ </v>
      </c>
      <c r="BQ314" s="4" t="str">
        <f ca="1">IFERROR(__xludf.DUMMYFUNCTION("""COMPUTED_VALUE"""),"| 5 L JAVA % ")</f>
        <v xml:space="preserve">| 5 L JAVA % </v>
      </c>
      <c r="BR314" s="4"/>
      <c r="BS314" s="4"/>
      <c r="BT314" s="4" t="str">
        <f ca="1">IFERROR(__xludf.DUMMYFUNCTION("""COMPUTED_VALUE"""),"| 7 L PHP-CGM @ | 8 L CPT @ ")</f>
        <v xml:space="preserve">| 7 L PHP-CGM @ | 8 L CPT @ </v>
      </c>
      <c r="BU314" s="4" t="str">
        <f ca="1">IFERROR(__xludf.DUMMYFUNCTION("""COMPUTED_VALUE"""),"| 8 L NS @ ")</f>
        <v xml:space="preserve">| 8 L NS @ </v>
      </c>
      <c r="BV314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14" s="4" t="str">
        <f ca="1">IFERROR(__xludf.DUMMYFUNCTION("""COMPUTED_VALUE"""),"| 9 P Python @ ")</f>
        <v xml:space="preserve">| 9 P Python @ </v>
      </c>
      <c r="BX314" s="4" t="str">
        <f ca="1">IFERROR(__xludf.DUMMYFUNCTION("""COMPUTED_VALUE"""),"| 5 L JAVA @ | 6 L NS @ | 7 L PRO @ | 9 P JAVA @ ")</f>
        <v xml:space="preserve">| 5 L JAVA @ | 6 L NS @ | 7 L PRO @ | 9 P JAVA @ </v>
      </c>
      <c r="BY314" s="4" t="str">
        <f ca="1">IFERROR(__xludf.DUMMYFUNCTION("""COMPUTED_VALUE"""),"| 5 L INE @ | 7 P PHP-CGM @ | 9 P NS @ ")</f>
        <v xml:space="preserve">| 5 L INE @ | 7 P PHP-CGM @ | 9 P NS @ </v>
      </c>
      <c r="BZ314" s="4" t="str">
        <f ca="1">IFERROR(__xludf.DUMMYFUNCTION("""COMPUTED_VALUE"""),"| 5 L CPT @ | 6 L PHP-CGM @ | 7 P CPT @ | 9 P JAVA @ ")</f>
        <v xml:space="preserve">| 5 L CPT @ | 6 L PHP-CGM @ | 7 P CPT @ | 9 P JAVA @ </v>
      </c>
      <c r="CA314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14" s="4" t="str">
        <f ca="1">IFERROR(__xludf.DUMMYFUNCTION("""COMPUTED_VALUE"""),"| 5 L PHP-CGM @ | 6 L CPT @ | 7 L NS @ | 9 P Python @ ")</f>
        <v xml:space="preserve">| 5 L PHP-CGM @ | 6 L CPT @ | 7 L NS @ | 9 P Python @ </v>
      </c>
      <c r="CC314" s="4" t="str">
        <f ca="1">IFERROR(__xludf.DUMMYFUNCTION("""COMPUTED_VALUE"""),"| 5 L JAVA % | 6 L NS @ | 9 P JAVA @ ")</f>
        <v xml:space="preserve">| 5 L JAVA % | 6 L NS @ | 9 P JAVA @ </v>
      </c>
      <c r="CD314" s="4" t="str">
        <f ca="1">IFERROR(__xludf.DUMMYFUNCTION("""COMPUTED_VALUE"""),"| 5 L INE @ | 7 P PHP-CGM @ | 9 P NS @ ")</f>
        <v xml:space="preserve">| 5 L INE @ | 7 P PHP-CGM @ | 9 P NS @ </v>
      </c>
      <c r="CE314" s="4" t="str">
        <f ca="1">IFERROR(__xludf.DUMMYFUNCTION("""COMPUTED_VALUE"""),"| 5 L CPT @ | 6 L PHP-CGM @ | 9 P JAVA @ | 7 P CPT @ ")</f>
        <v xml:space="preserve">| 5 L CPT @ | 6 L PHP-CGM @ | 9 P JAVA @ | 7 P CPT @ </v>
      </c>
      <c r="CF314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CG314" s="4" t="str">
        <f ca="1">IFERROR(__xludf.DUMMYFUNCTION("""COMPUTED_VALUE"""),"| 5 L PHP-CGM @ | 6 L CPT @ | 7 L JAVA % | 8 L NS % ")</f>
        <v xml:space="preserve">| 5 L PHP-CGM @ | 6 L CPT @ | 7 L JAVA % | 8 L NS % </v>
      </c>
      <c r="CH314" s="4" t="str">
        <f ca="1">IFERROR(__xludf.DUMMYFUNCTION("""COMPUTED_VALUE"""),"| 5 L JAVA % | 6 L NS % | 9 P JAVA @ ")</f>
        <v xml:space="preserve">| 5 L JAVA % | 6 L NS % | 9 P JAVA @ </v>
      </c>
      <c r="CI314" s="4" t="str">
        <f ca="1">IFERROR(__xludf.DUMMYFUNCTION("""COMPUTED_VALUE"""),"| 5 L INE @ | 7 P PHP-CGM % | 9 P NS % ")</f>
        <v xml:space="preserve">| 5 L INE @ | 7 P PHP-CGM % | 9 P NS % </v>
      </c>
      <c r="CJ314" s="4" t="str">
        <f ca="1">IFERROR(__xludf.DUMMYFUNCTION("""COMPUTED_VALUE"""),"| 5 L CPT @ | 6 L PHP-CGM @ | 7 P CPT % ")</f>
        <v xml:space="preserve">| 5 L CPT @ | 6 L PHP-CGM @ | 7 P CPT % </v>
      </c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</row>
    <row r="315" spans="1:102" ht="12.5" x14ac:dyDescent="0.25">
      <c r="A315" s="3">
        <f ca="1">IFERROR(__xludf.DUMMYFUNCTION("""COMPUTED_VALUE"""),3)</f>
        <v>3</v>
      </c>
      <c r="B315" s="3" t="str">
        <f ca="1">IFERROR(__xludf.DUMMYFUNCTION("""COMPUTED_VALUE"""),"D")</f>
        <v>D</v>
      </c>
      <c r="C315" s="32" t="str">
        <f ca="1">IFERROR(__xludf.DUMMYFUNCTION("""COMPUTED_VALUE"""),"23171341139")</f>
        <v>23171341139</v>
      </c>
      <c r="D315" s="4" t="str">
        <f ca="1">IFERROR(__xludf.DUMMYFUNCTION("""COMPUTED_VALUE"""),"PATEL YUG ISHVARBHAI")</f>
        <v>PATEL YUG ISHVARBHAI</v>
      </c>
      <c r="E315" s="3" t="str">
        <f ca="1">IFERROR(__xludf.DUMMYFUNCTION("""COMPUTED_VALUE"""),"ZPP - Eve")</f>
        <v>ZPP - Eve</v>
      </c>
      <c r="F315" s="3">
        <f ca="1">IFERROR(__xludf.DUMMYFUNCTION("""COMPUTED_VALUE"""),9724929802)</f>
        <v>9724929802</v>
      </c>
      <c r="G315" s="3">
        <f ca="1">IFERROR(__xludf.DUMMYFUNCTION("""COMPUTED_VALUE"""),9724929802)</f>
        <v>9724929802</v>
      </c>
      <c r="H315" s="33">
        <f ca="1">IFERROR(__xludf.DUMMYFUNCTION("""COMPUTED_VALUE"""),0.572649572649572)</f>
        <v>0.57264957264957195</v>
      </c>
      <c r="I315" s="25">
        <f ca="1">IFERROR(__xludf.DUMMYFUNCTION("""COMPUTED_VALUE"""),0.514285714285714)</f>
        <v>0.51428571428571401</v>
      </c>
      <c r="J315" s="25">
        <f ca="1">IFERROR(__xludf.DUMMYFUNCTION("""COMPUTED_VALUE"""),0.727272727272727)</f>
        <v>0.72727272727272696</v>
      </c>
      <c r="K315" s="25">
        <f ca="1">IFERROR(__xludf.DUMMYFUNCTION("""COMPUTED_VALUE"""),0.53125)</f>
        <v>0.53125</v>
      </c>
      <c r="L315" s="25">
        <f ca="1">IFERROR(__xludf.DUMMYFUNCTION("""COMPUTED_VALUE"""),0.818181818181818)</f>
        <v>0.81818181818181801</v>
      </c>
      <c r="M315" s="25">
        <f ca="1">IFERROR(__xludf.DUMMYFUNCTION("""COMPUTED_VALUE"""),0.527777777777777)</f>
        <v>0.52777777777777701</v>
      </c>
      <c r="N315" s="25">
        <f ca="1">IFERROR(__xludf.DUMMYFUNCTION("""COMPUTED_VALUE"""),0.75)</f>
        <v>0.75</v>
      </c>
      <c r="O315" s="25">
        <f ca="1">IFERROR(__xludf.DUMMYFUNCTION("""COMPUTED_VALUE"""),0.611111111111111)</f>
        <v>0.61111111111111105</v>
      </c>
      <c r="P315" s="25">
        <f ca="1">IFERROR(__xludf.DUMMYFUNCTION("""COMPUTED_VALUE"""),0.473684210526315)</f>
        <v>0.47368421052631499</v>
      </c>
      <c r="Q315" s="25">
        <f ca="1">IFERROR(__xludf.DUMMYFUNCTION("""COMPUTED_VALUE"""),0)</f>
        <v>0</v>
      </c>
      <c r="R315" s="25">
        <f ca="1">IFERROR(__xludf.DUMMYFUNCTION("""COMPUTED_VALUE"""),0.5)</f>
        <v>0.5</v>
      </c>
      <c r="S315" s="25">
        <f ca="1">IFERROR(__xludf.DUMMYFUNCTION("""COMPUTED_VALUE"""),0.615384615384615)</f>
        <v>0.61538461538461497</v>
      </c>
      <c r="T315" s="25">
        <f ca="1">IFERROR(__xludf.DUMMYFUNCTION("""COMPUTED_VALUE"""),1)</f>
        <v>1</v>
      </c>
      <c r="U315" s="25">
        <f ca="1">IFERROR(__xludf.DUMMYFUNCTION("""COMPUTED_VALUE"""),0.5)</f>
        <v>0.5</v>
      </c>
      <c r="V315" s="25">
        <f ca="1">IFERROR(__xludf.DUMMYFUNCTION("""COMPUTED_VALUE"""),0)</f>
        <v>0</v>
      </c>
      <c r="W315" s="4"/>
      <c r="X315" s="4" t="str">
        <f ca="1">IFERROR(__xludf.DUMMYFUNCTION("""COMPUTED_VALUE"""),"| 5 L JAVA @ | 6 L NS @ | 7 L PHP-CGM @ | 8 L CPT @ ")</f>
        <v xml:space="preserve">| 5 L JAVA @ | 6 L NS @ | 7 L PHP-CGM @ | 8 L CPT @ </v>
      </c>
      <c r="Y315" s="4" t="str">
        <f ca="1">IFERROR(__xludf.DUMMYFUNCTION("""COMPUTED_VALUE"""),"| 5 L PHP-CGM % | 6 L CPT % | 7 L NS % | 8 L JAVA % ")</f>
        <v xml:space="preserve">| 5 L PHP-CGM % | 6 L CPT % | 7 L NS % | 8 L JAVA % </v>
      </c>
      <c r="Z315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15" s="4" t="str">
        <f ca="1">IFERROR(__xludf.DUMMYFUNCTION("""COMPUTED_VALUE"""),"| 7 P PHP-CGM % | 9 P NS % ")</f>
        <v xml:space="preserve">| 7 P PHP-CGM % | 9 P NS % </v>
      </c>
      <c r="AB315" s="4" t="str">
        <f ca="1">IFERROR(__xludf.DUMMYFUNCTION("""COMPUTED_VALUE"""),"| 5 L JAVA % | 6 L PHP-CGM % | 7 P CPT % | 9 P JAVA @ ")</f>
        <v xml:space="preserve">| 5 L JAVA % | 6 L PHP-CGM % | 7 P CPT % | 9 P JAVA @ </v>
      </c>
      <c r="AC315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15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15" s="4" t="str">
        <f ca="1">IFERROR(__xludf.DUMMYFUNCTION("""COMPUTED_VALUE"""),"| 5 L JAVA % | 6 L NS % | 7 L PRO % | 9 P JAVA % ")</f>
        <v xml:space="preserve">| 5 L JAVA % | 6 L NS % | 7 L PRO % | 9 P JAVA % </v>
      </c>
      <c r="AF315" s="4" t="str">
        <f ca="1">IFERROR(__xludf.DUMMYFUNCTION("""COMPUTED_VALUE"""),"| 7 P PHP-CGM % | 9 P NS % ")</f>
        <v xml:space="preserve">| 7 P PHP-CGM % | 9 P NS % </v>
      </c>
      <c r="AG315" s="4" t="str">
        <f ca="1">IFERROR(__xludf.DUMMYFUNCTION("""COMPUTED_VALUE"""),"| 5 L CPT % | 6 L PHP-CGM % | 7 P CPT % | 9 P JAVA @ ")</f>
        <v xml:space="preserve">| 5 L CPT % | 6 L PHP-CGM % | 7 P CPT % | 9 P JAVA @ </v>
      </c>
      <c r="AH315" s="4" t="str">
        <f ca="1">IFERROR(__xludf.DUMMYFUNCTION("""COMPUTED_VALUE"""),"| 7 P PHP-CGM % | 9 P NS % ")</f>
        <v xml:space="preserve">| 7 P PHP-CGM % | 9 P NS % </v>
      </c>
      <c r="AI315" s="4" t="str">
        <f ca="1">IFERROR(__xludf.DUMMYFUNCTION("""COMPUTED_VALUE"""),"| 5 L CPT % | 6 L PHP-CGM % | 7 P CPT % | 9 P JAVA % ")</f>
        <v xml:space="preserve">| 5 L CPT % | 6 L PHP-CGM % | 7 P CPT % | 9 P JAVA % </v>
      </c>
      <c r="AJ315" s="4" t="str">
        <f ca="1">IFERROR(__xludf.DUMMYFUNCTION("""COMPUTED_VALUE"""),"| 5 L JAVA % | 6 L NS % | 7 L PHP-CGM % | 8 L CPT % ")</f>
        <v xml:space="preserve">| 5 L JAVA % | 6 L NS % | 7 L PHP-CGM % | 8 L CPT % </v>
      </c>
      <c r="AK315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5" s="4" t="str">
        <f ca="1">IFERROR(__xludf.DUMMYFUNCTION("""COMPUTED_VALUE"""),"| 6 L NS % | 7 L NS % | 7 L PRO % | 8 L PRO % | 9 P JAVA % ")</f>
        <v xml:space="preserve">| 6 L NS % | 7 L NS % | 7 L PRO % | 8 L PRO % | 9 P JAVA % </v>
      </c>
      <c r="AM315" s="4" t="str">
        <f ca="1">IFERROR(__xludf.DUMMYFUNCTION("""COMPUTED_VALUE"""),"| 5 L INE % | 7 P PHP-CGM % | 9 P NS % ")</f>
        <v xml:space="preserve">| 5 L INE % | 7 P PHP-CGM % | 9 P NS % </v>
      </c>
      <c r="AN315" s="4" t="str">
        <f ca="1">IFERROR(__xludf.DUMMYFUNCTION("""COMPUTED_VALUE"""),"| 5 L CPT % | 6 L PHP-CGM % | 7 P CPT @ | 9 P JAVA @ ")</f>
        <v xml:space="preserve">| 5 L CPT % | 6 L PHP-CGM % | 7 P CPT @ | 9 P JAVA @ </v>
      </c>
      <c r="AO315" s="4" t="str">
        <f ca="1">IFERROR(__xludf.DUMMYFUNCTION("""COMPUTED_VALUE"""),"| 5 L JAVA @ | 5 L NS @ | 7 L PHP-CGM @ | 8 L CPT @ | 9 P Python @ ")</f>
        <v xml:space="preserve">| 5 L JAVA @ | 5 L NS @ | 7 L PHP-CGM @ | 8 L CPT @ | 9 P Python @ </v>
      </c>
      <c r="AP315" s="4" t="str">
        <f ca="1">IFERROR(__xludf.DUMMYFUNCTION("""COMPUTED_VALUE"""),"| 5 L PHP-CGM @ | 6 L CPT @ | 7 L JAVA @ | 7 L NS @ | 9 P Python @ ")</f>
        <v xml:space="preserve">| 5 L PHP-CGM @ | 6 L CPT @ | 7 L JAVA @ | 7 L NS @ | 9 P Python @ </v>
      </c>
      <c r="AQ315" s="4" t="str">
        <f ca="1">IFERROR(__xludf.DUMMYFUNCTION("""COMPUTED_VALUE"""),"| 5 L JAVA @ | 6 L NS @ | 7 L PRO @ | 8 L PRO @ | 9 P JAVA @ ")</f>
        <v xml:space="preserve">| 5 L JAVA @ | 6 L NS @ | 7 L PRO @ | 8 L PRO @ | 9 P JAVA @ </v>
      </c>
      <c r="AR315" s="4" t="str">
        <f ca="1">IFERROR(__xludf.DUMMYFUNCTION("""COMPUTED_VALUE"""),"| 5 L INE @ ")</f>
        <v xml:space="preserve">| 5 L INE @ </v>
      </c>
      <c r="AS315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15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5" s="4" t="str">
        <f ca="1">IFERROR(__xludf.DUMMYFUNCTION("""COMPUTED_VALUE"""),"| 5 L JAVA % | 6 L NS % | 5 P PRO % | 9 P JAVA % ")</f>
        <v xml:space="preserve">| 5 L JAVA % | 6 L NS % | 5 P PRO % | 9 P JAVA % </v>
      </c>
      <c r="AV315" s="4" t="str">
        <f ca="1">IFERROR(__xludf.DUMMYFUNCTION("""COMPUTED_VALUE"""),"| 5 L INE % | 7 P PHP-CGM % | 9 P NS % ")</f>
        <v xml:space="preserve">| 5 L INE % | 7 P PHP-CGM % | 9 P NS % </v>
      </c>
      <c r="AW315" s="4" t="str">
        <f ca="1">IFERROR(__xludf.DUMMYFUNCTION("""COMPUTED_VALUE"""),"| 5 L CPT % | 6 L PHP-CGM % | 7 P CPT % | 9 P JAVA @ ")</f>
        <v xml:space="preserve">| 5 L CPT % | 6 L PHP-CGM % | 7 P CPT % | 9 P JAVA @ </v>
      </c>
      <c r="AX315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15" s="4" t="str">
        <f ca="1">IFERROR(__xludf.DUMMYFUNCTION("""COMPUTED_VALUE"""),"| 5 L PHP-CGM % | 6 L CPT % | 7 L NS % | 8 L NS % | 9 P Python @ ")</f>
        <v xml:space="preserve">| 5 L PHP-CGM % | 6 L CPT % | 7 L NS % | 8 L NS % | 9 P Python @ </v>
      </c>
      <c r="AZ315" s="4" t="str">
        <f ca="1">IFERROR(__xludf.DUMMYFUNCTION("""COMPUTED_VALUE"""),"| 5 L INE @ | 7 P PHP-CGM @ ")</f>
        <v xml:space="preserve">| 5 L INE @ | 7 P PHP-CGM @ </v>
      </c>
      <c r="BA315" s="4" t="str">
        <f ca="1">IFERROR(__xludf.DUMMYFUNCTION("""COMPUTED_VALUE"""),"| 5 L CPT @ | 6 L PHP-CGM @ | 7 P CPT @ ")</f>
        <v xml:space="preserve">| 5 L CPT @ | 6 L PHP-CGM @ | 7 P CPT @ </v>
      </c>
      <c r="BB315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C315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D315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15" s="4" t="str">
        <f ca="1">IFERROR(__xludf.DUMMYFUNCTION("""COMPUTED_VALUE"""),"| 5 L INE % | 7 P PHP-CGM % | 9 P NS % ")</f>
        <v xml:space="preserve">| 5 L INE % | 7 P PHP-CGM % | 9 P NS % </v>
      </c>
      <c r="BF315" s="4" t="str">
        <f ca="1">IFERROR(__xludf.DUMMYFUNCTION("""COMPUTED_VALUE"""),"| 5 L CPT % | 6 L PHP-CGM % | 7 P CPT % ")</f>
        <v xml:space="preserve">| 5 L CPT % | 6 L PHP-CGM % | 7 P CPT % </v>
      </c>
      <c r="BG315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15" s="4" t="str">
        <f ca="1">IFERROR(__xludf.DUMMYFUNCTION("""COMPUTED_VALUE"""),"| 5 L JAVA % | 6 L NS % | 7 L PRO % | 9 P JAVA % ")</f>
        <v xml:space="preserve">| 5 L JAVA % | 6 L NS % | 7 L PRO % | 9 P JAVA % </v>
      </c>
      <c r="BI315" s="4" t="str">
        <f ca="1">IFERROR(__xludf.DUMMYFUNCTION("""COMPUTED_VALUE"""),"| 5 L INE % | 7 P PHP-CGM % | 9 P NS % ")</f>
        <v xml:space="preserve">| 5 L INE % | 7 P PHP-CGM % | 9 P NS % </v>
      </c>
      <c r="BJ315" s="4" t="str">
        <f ca="1">IFERROR(__xludf.DUMMYFUNCTION("""COMPUTED_VALUE"""),"| 5 L CPT % | 6 L PHP-CGM % | 7 P CPT % | 9 P JAVA @ ")</f>
        <v xml:space="preserve">| 5 L CPT % | 6 L PHP-CGM % | 7 P CPT % | 9 P JAVA @ </v>
      </c>
      <c r="BK315" s="4" t="str">
        <f ca="1">IFERROR(__xludf.DUMMYFUNCTION("""COMPUTED_VALUE"""),"| 5 L JAVA @ | 7 L PHP-CGM @ | 8 L CPT @ | 9 P Python @ ")</f>
        <v xml:space="preserve">| 5 L JAVA @ | 7 L PHP-CGM @ | 8 L CPT @ | 9 P Python @ </v>
      </c>
      <c r="BL315" s="4" t="str">
        <f ca="1">IFERROR(__xludf.DUMMYFUNCTION("""COMPUTED_VALUE"""),"| 5 L PHP-CGM @ | 6 L CPT @ | 8 L NS @ ")</f>
        <v xml:space="preserve">| 5 L PHP-CGM @ | 6 L CPT @ | 8 L NS @ </v>
      </c>
      <c r="BM315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15" s="4" t="str">
        <f ca="1">IFERROR(__xludf.DUMMYFUNCTION("""COMPUTED_VALUE"""),"| 5 L INE @ | 7 P PHP-CGM @ | 9 P NS @ ")</f>
        <v xml:space="preserve">| 5 L INE @ | 7 P PHP-CGM @ | 9 P NS @ </v>
      </c>
      <c r="BO315" s="4" t="str">
        <f ca="1">IFERROR(__xludf.DUMMYFUNCTION("""COMPUTED_VALUE"""),"| 5 L CPT @ | 6 L PHP-CGM @ ")</f>
        <v xml:space="preserve">| 5 L CPT @ | 6 L PHP-CGM @ </v>
      </c>
      <c r="BP315" s="4" t="str">
        <f ca="1">IFERROR(__xludf.DUMMYFUNCTION("""COMPUTED_VALUE"""),"| 5 L JAVA % | 6 L JAVA % | 7 L PHP-CGM % | 8 L CPT % ")</f>
        <v xml:space="preserve">| 5 L JAVA % | 6 L JAVA % | 7 L PHP-CGM % | 8 L CPT % </v>
      </c>
      <c r="BQ315" s="4" t="str">
        <f ca="1">IFERROR(__xludf.DUMMYFUNCTION("""COMPUTED_VALUE"""),"| 5 L JAVA % ")</f>
        <v xml:space="preserve">| 5 L JAVA % </v>
      </c>
      <c r="BR315" s="4"/>
      <c r="BS315" s="4"/>
      <c r="BT315" s="4" t="str">
        <f ca="1">IFERROR(__xludf.DUMMYFUNCTION("""COMPUTED_VALUE"""),"| 7 L PHP-CGM @ | 8 L CPT @ ")</f>
        <v xml:space="preserve">| 7 L PHP-CGM @ | 8 L CPT @ </v>
      </c>
      <c r="BU315" s="4" t="str">
        <f ca="1">IFERROR(__xludf.DUMMYFUNCTION("""COMPUTED_VALUE"""),"| 8 L NS @ ")</f>
        <v xml:space="preserve">| 8 L NS @ </v>
      </c>
      <c r="BV315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15" s="4" t="str">
        <f ca="1">IFERROR(__xludf.DUMMYFUNCTION("""COMPUTED_VALUE"""),"| 9 P Python @ ")</f>
        <v xml:space="preserve">| 9 P Python @ </v>
      </c>
      <c r="BX315" s="4" t="str">
        <f ca="1">IFERROR(__xludf.DUMMYFUNCTION("""COMPUTED_VALUE"""),"| 5 L JAVA @ | 6 L NS @ | 7 L PRO @ | 9 P JAVA @ ")</f>
        <v xml:space="preserve">| 5 L JAVA @ | 6 L NS @ | 7 L PRO @ | 9 P JAVA @ </v>
      </c>
      <c r="BY315" s="4" t="str">
        <f ca="1">IFERROR(__xludf.DUMMYFUNCTION("""COMPUTED_VALUE"""),"| 5 L INE @ | 7 P PHP-CGM @ | 9 P NS @ ")</f>
        <v xml:space="preserve">| 5 L INE @ | 7 P PHP-CGM @ | 9 P NS @ </v>
      </c>
      <c r="BZ315" s="4" t="str">
        <f ca="1">IFERROR(__xludf.DUMMYFUNCTION("""COMPUTED_VALUE"""),"| 5 L CPT @ | 6 L PHP-CGM @ | 7 P CPT @ | 9 P JAVA @ ")</f>
        <v xml:space="preserve">| 5 L CPT @ | 6 L PHP-CGM @ | 7 P CPT @ | 9 P JAVA @ </v>
      </c>
      <c r="CA315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CB315" s="4" t="str">
        <f ca="1">IFERROR(__xludf.DUMMYFUNCTION("""COMPUTED_VALUE"""),"| 5 L PHP-CGM % | 6 L CPT % | 7 L NS % | 9 P Python % ")</f>
        <v xml:space="preserve">| 5 L PHP-CGM % | 6 L CPT % | 7 L NS % | 9 P Python % </v>
      </c>
      <c r="CC315" s="4" t="str">
        <f ca="1">IFERROR(__xludf.DUMMYFUNCTION("""COMPUTED_VALUE"""),"| 5 L JAVA % | 6 L NS % | 9 P JAVA % ")</f>
        <v xml:space="preserve">| 5 L JAVA % | 6 L NS % | 9 P JAVA % </v>
      </c>
      <c r="CD315" s="4" t="str">
        <f ca="1">IFERROR(__xludf.DUMMYFUNCTION("""COMPUTED_VALUE"""),"| 5 L INE % | 7 P PHP-CGM % | 9 P NS % ")</f>
        <v xml:space="preserve">| 5 L INE % | 7 P PHP-CGM % | 9 P NS % </v>
      </c>
      <c r="CE315" s="4" t="str">
        <f ca="1">IFERROR(__xludf.DUMMYFUNCTION("""COMPUTED_VALUE"""),"| 5 L CPT @ | 6 L PHP-CGM @ | 9 P JAVA @ | 7 P CPT % ")</f>
        <v xml:space="preserve">| 5 L CPT @ | 6 L PHP-CGM @ | 9 P JAVA @ | 7 P CPT % </v>
      </c>
      <c r="CF315" s="4" t="str">
        <f ca="1">IFERROR(__xludf.DUMMYFUNCTION("""COMPUTED_VALUE"""),"| 5 L JAVA @ | 6 L NS @ | 7 L PHP-CGM @ | 8 L CPT @ | 9 P Python % ")</f>
        <v xml:space="preserve">| 5 L JAVA @ | 6 L NS @ | 7 L PHP-CGM @ | 8 L CPT @ | 9 P Python % </v>
      </c>
      <c r="CG315" s="4" t="str">
        <f ca="1">IFERROR(__xludf.DUMMYFUNCTION("""COMPUTED_VALUE"""),"| 5 L PHP-CGM @ | 6 L CPT @ | 7 L JAVA @ | 8 L NS @ ")</f>
        <v xml:space="preserve">| 5 L PHP-CGM @ | 6 L CPT @ | 7 L JAVA @ | 8 L NS @ </v>
      </c>
      <c r="CH315" s="4" t="str">
        <f ca="1">IFERROR(__xludf.DUMMYFUNCTION("""COMPUTED_VALUE"""),"| 5 L JAVA @ | 6 L NS @ | 9 P JAVA % ")</f>
        <v xml:space="preserve">| 5 L JAVA @ | 6 L NS @ | 9 P JAVA % </v>
      </c>
      <c r="CI315" s="4" t="str">
        <f ca="1">IFERROR(__xludf.DUMMYFUNCTION("""COMPUTED_VALUE"""),"| 5 L INE @ | 7 P PHP-CGM % | 9 P NS % ")</f>
        <v xml:space="preserve">| 5 L INE @ | 7 P PHP-CGM % | 9 P NS % </v>
      </c>
      <c r="CJ315" s="4" t="str">
        <f ca="1">IFERROR(__xludf.DUMMYFUNCTION("""COMPUTED_VALUE"""),"| 5 L CPT @ | 6 L PHP-CGM @ | 7 P CPT % ")</f>
        <v xml:space="preserve">| 5 L CPT @ | 6 L PHP-CGM @ | 7 P CPT % </v>
      </c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</row>
    <row r="316" spans="1:102" ht="12.5" x14ac:dyDescent="0.25">
      <c r="A316" s="3">
        <f ca="1">IFERROR(__xludf.DUMMYFUNCTION("""COMPUTED_VALUE"""),3)</f>
        <v>3</v>
      </c>
      <c r="B316" s="3" t="str">
        <f ca="1">IFERROR(__xludf.DUMMYFUNCTION("""COMPUTED_VALUE"""),"D")</f>
        <v>D</v>
      </c>
      <c r="C316" s="32" t="str">
        <f ca="1">IFERROR(__xludf.DUMMYFUNCTION("""COMPUTED_VALUE"""),"23171341141")</f>
        <v>23171341141</v>
      </c>
      <c r="D316" s="4" t="str">
        <f ca="1">IFERROR(__xludf.DUMMYFUNCTION("""COMPUTED_VALUE"""),"PRAJAPATI DHRUVIK SURESHBHAI")</f>
        <v>PRAJAPATI DHRUVIK SURESHBHAI</v>
      </c>
      <c r="E316" s="3" t="str">
        <f ca="1">IFERROR(__xludf.DUMMYFUNCTION("""COMPUTED_VALUE"""),"ZPP - Eve")</f>
        <v>ZPP - Eve</v>
      </c>
      <c r="F316" s="3">
        <f ca="1">IFERROR(__xludf.DUMMYFUNCTION("""COMPUTED_VALUE"""),9157310455)</f>
        <v>9157310455</v>
      </c>
      <c r="G316" s="3">
        <f ca="1">IFERROR(__xludf.DUMMYFUNCTION("""COMPUTED_VALUE"""),6353111455)</f>
        <v>6353111455</v>
      </c>
      <c r="H316" s="33">
        <f ca="1">IFERROR(__xludf.DUMMYFUNCTION("""COMPUTED_VALUE"""),0.688034188034188)</f>
        <v>0.68803418803418803</v>
      </c>
      <c r="I316" s="25">
        <f ca="1">IFERROR(__xludf.DUMMYFUNCTION("""COMPUTED_VALUE"""),0.657142857142857)</f>
        <v>0.65714285714285703</v>
      </c>
      <c r="J316" s="25">
        <f ca="1">IFERROR(__xludf.DUMMYFUNCTION("""COMPUTED_VALUE"""),0.454545454545454)</f>
        <v>0.45454545454545398</v>
      </c>
      <c r="K316" s="25">
        <f ca="1">IFERROR(__xludf.DUMMYFUNCTION("""COMPUTED_VALUE"""),0.78125)</f>
        <v>0.78125</v>
      </c>
      <c r="L316" s="25">
        <f ca="1">IFERROR(__xludf.DUMMYFUNCTION("""COMPUTED_VALUE"""),0.818181818181818)</f>
        <v>0.81818181818181801</v>
      </c>
      <c r="M316" s="25">
        <f ca="1">IFERROR(__xludf.DUMMYFUNCTION("""COMPUTED_VALUE"""),0.638888888888888)</f>
        <v>0.63888888888888795</v>
      </c>
      <c r="N316" s="25">
        <f ca="1">IFERROR(__xludf.DUMMYFUNCTION("""COMPUTED_VALUE"""),0.916666666666666)</f>
        <v>0.91666666666666596</v>
      </c>
      <c r="O316" s="25">
        <f ca="1">IFERROR(__xludf.DUMMYFUNCTION("""COMPUTED_VALUE"""),0.694444444444444)</f>
        <v>0.69444444444444398</v>
      </c>
      <c r="P316" s="25">
        <f ca="1">IFERROR(__xludf.DUMMYFUNCTION("""COMPUTED_VALUE"""),0.526315789473684)</f>
        <v>0.52631578947368396</v>
      </c>
      <c r="Q316" s="25">
        <f ca="1">IFERROR(__xludf.DUMMYFUNCTION("""COMPUTED_VALUE"""),0)</f>
        <v>0</v>
      </c>
      <c r="R316" s="25">
        <f ca="1">IFERROR(__xludf.DUMMYFUNCTION("""COMPUTED_VALUE"""),0.777777777777777)</f>
        <v>0.77777777777777701</v>
      </c>
      <c r="S316" s="25">
        <f ca="1">IFERROR(__xludf.DUMMYFUNCTION("""COMPUTED_VALUE"""),0.692307692307692)</f>
        <v>0.69230769230769196</v>
      </c>
      <c r="T316" s="25">
        <f ca="1">IFERROR(__xludf.DUMMYFUNCTION("""COMPUTED_VALUE"""),0)</f>
        <v>0</v>
      </c>
      <c r="U316" s="25">
        <f ca="1">IFERROR(__xludf.DUMMYFUNCTION("""COMPUTED_VALUE"""),0.7)</f>
        <v>0.7</v>
      </c>
      <c r="V316" s="25">
        <f ca="1">IFERROR(__xludf.DUMMYFUNCTION("""COMPUTED_VALUE"""),0)</f>
        <v>0</v>
      </c>
      <c r="W316" s="4"/>
      <c r="X316" s="4" t="str">
        <f ca="1">IFERROR(__xludf.DUMMYFUNCTION("""COMPUTED_VALUE"""),"| 5 L JAVA % | 6 L NS % | 7 L PHP-CGM % | 8 L CPT % ")</f>
        <v xml:space="preserve">| 5 L JAVA % | 6 L NS % | 7 L PHP-CGM % | 8 L CPT % </v>
      </c>
      <c r="Y316" s="4" t="str">
        <f ca="1">IFERROR(__xludf.DUMMYFUNCTION("""COMPUTED_VALUE"""),"| 5 L PHP-CGM % | 6 L CPT % | 7 L NS % | 8 L JAVA % ")</f>
        <v xml:space="preserve">| 5 L PHP-CGM % | 6 L CPT % | 7 L NS % | 8 L JAVA % </v>
      </c>
      <c r="Z316" s="4" t="str">
        <f ca="1">IFERROR(__xludf.DUMMYFUNCTION("""COMPUTED_VALUE"""),"| 5 L NS % | 6 L JAVA % | 7 L PRO % | 8 L PRO % | 9 P JAVA @ ")</f>
        <v xml:space="preserve">| 5 L NS % | 6 L JAVA % | 7 L PRO % | 8 L PRO % | 9 P JAVA @ </v>
      </c>
      <c r="AA316" s="4" t="str">
        <f ca="1">IFERROR(__xludf.DUMMYFUNCTION("""COMPUTED_VALUE"""),"| 7 P PHP-CGM % | 9 P NS % ")</f>
        <v xml:space="preserve">| 7 P PHP-CGM % | 9 P NS % </v>
      </c>
      <c r="AB316" s="4" t="str">
        <f ca="1">IFERROR(__xludf.DUMMYFUNCTION("""COMPUTED_VALUE"""),"| 5 L JAVA @ | 6 L PHP-CGM @ | 7 P CPT @ | 9 P JAVA @ ")</f>
        <v xml:space="preserve">| 5 L JAVA @ | 6 L PHP-CGM @ | 7 P CPT @ | 9 P JAVA @ </v>
      </c>
      <c r="AC316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16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16" s="4" t="str">
        <f ca="1">IFERROR(__xludf.DUMMYFUNCTION("""COMPUTED_VALUE"""),"| 5 L JAVA % | 6 L NS % | 7 L PRO % | 9 P JAVA % ")</f>
        <v xml:space="preserve">| 5 L JAVA % | 6 L NS % | 7 L PRO % | 9 P JAVA % </v>
      </c>
      <c r="AF316" s="4" t="str">
        <f ca="1">IFERROR(__xludf.DUMMYFUNCTION("""COMPUTED_VALUE"""),"| 7 P PHP-CGM % | 9 P NS % ")</f>
        <v xml:space="preserve">| 7 P PHP-CGM % | 9 P NS % </v>
      </c>
      <c r="AG316" s="4" t="str">
        <f ca="1">IFERROR(__xludf.DUMMYFUNCTION("""COMPUTED_VALUE"""),"| 5 L CPT % | 6 L PHP-CGM % | 7 P CPT % | 9 P JAVA % ")</f>
        <v xml:space="preserve">| 5 L CPT % | 6 L PHP-CGM % | 7 P CPT % | 9 P JAVA % </v>
      </c>
      <c r="AH316" s="4" t="str">
        <f ca="1">IFERROR(__xludf.DUMMYFUNCTION("""COMPUTED_VALUE"""),"| 7 P PHP-CGM % | 9 P NS % ")</f>
        <v xml:space="preserve">| 7 P PHP-CGM % | 9 P NS % </v>
      </c>
      <c r="AI316" s="4" t="str">
        <f ca="1">IFERROR(__xludf.DUMMYFUNCTION("""COMPUTED_VALUE"""),"| 5 L CPT % | 6 L PHP-CGM % | 7 P CPT % | 9 P JAVA % ")</f>
        <v xml:space="preserve">| 5 L CPT % | 6 L PHP-CGM % | 7 P CPT % | 9 P JAVA % </v>
      </c>
      <c r="AJ316" s="4" t="str">
        <f ca="1">IFERROR(__xludf.DUMMYFUNCTION("""COMPUTED_VALUE"""),"| 5 L JAVA % | 6 L NS % | 7 L PHP-CGM % | 8 L CPT % ")</f>
        <v xml:space="preserve">| 5 L JAVA % | 6 L NS % | 7 L PHP-CGM % | 8 L CPT % </v>
      </c>
      <c r="AK316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6" s="4" t="str">
        <f ca="1">IFERROR(__xludf.DUMMYFUNCTION("""COMPUTED_VALUE"""),"| 6 L NS % | 7 L NS % | 7 L PRO % | 8 L PRO % | 9 P JAVA % ")</f>
        <v xml:space="preserve">| 6 L NS % | 7 L NS % | 7 L PRO % | 8 L PRO % | 9 P JAVA % </v>
      </c>
      <c r="AM316" s="4" t="str">
        <f ca="1">IFERROR(__xludf.DUMMYFUNCTION("""COMPUTED_VALUE"""),"| 5 L INE % | 7 P PHP-CGM % | 9 P NS % ")</f>
        <v xml:space="preserve">| 5 L INE % | 7 P PHP-CGM % | 9 P NS % </v>
      </c>
      <c r="AN316" s="4" t="str">
        <f ca="1">IFERROR(__xludf.DUMMYFUNCTION("""COMPUTED_VALUE"""),"| 5 L CPT % | 6 L PHP-CGM % | 7 P CPT @ | 9 P JAVA @ ")</f>
        <v xml:space="preserve">| 5 L CPT % | 6 L PHP-CGM % | 7 P CPT @ | 9 P JAVA @ </v>
      </c>
      <c r="AO316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16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16" s="4" t="str">
        <f ca="1">IFERROR(__xludf.DUMMYFUNCTION("""COMPUTED_VALUE"""),"| 5 L JAVA % | 6 L NS % | 7 L PRO % | 8 L PRO % | 9 P JAVA @ ")</f>
        <v xml:space="preserve">| 5 L JAVA % | 6 L NS % | 7 L PRO % | 8 L PRO % | 9 P JAVA @ </v>
      </c>
      <c r="AR316" s="4" t="str">
        <f ca="1">IFERROR(__xludf.DUMMYFUNCTION("""COMPUTED_VALUE"""),"| 5 L INE @ ")</f>
        <v xml:space="preserve">| 5 L INE @ </v>
      </c>
      <c r="AS316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16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6" s="4" t="str">
        <f ca="1">IFERROR(__xludf.DUMMYFUNCTION("""COMPUTED_VALUE"""),"| 5 L JAVA @ | 6 L NS @ | 5 P PRO @ | 9 P JAVA @ ")</f>
        <v xml:space="preserve">| 5 L JAVA @ | 6 L NS @ | 5 P PRO @ | 9 P JAVA @ </v>
      </c>
      <c r="AV316" s="4" t="str">
        <f ca="1">IFERROR(__xludf.DUMMYFUNCTION("""COMPUTED_VALUE"""),"| 5 L INE % | 7 P PHP-CGM % | 9 P NS % ")</f>
        <v xml:space="preserve">| 5 L INE % | 7 P PHP-CGM % | 9 P NS % </v>
      </c>
      <c r="AW316" s="4" t="str">
        <f ca="1">IFERROR(__xludf.DUMMYFUNCTION("""COMPUTED_VALUE"""),"| 5 L CPT % | 6 L PHP-CGM % | 7 P CPT % | 9 P JAVA % ")</f>
        <v xml:space="preserve">| 5 L CPT % | 6 L PHP-CGM % | 7 P CPT % | 9 P JAVA % </v>
      </c>
      <c r="AX316" s="4" t="str">
        <f ca="1">IFERROR(__xludf.DUMMYFUNCTION("""COMPUTED_VALUE"""),"| 5 L JAVA % | 6 L JAVA % | 7 L PHP-CGM @ | 8 L CPT @ | 9 P Python @ ")</f>
        <v xml:space="preserve">| 5 L JAVA % | 6 L JAVA % | 7 L PHP-CGM @ | 8 L CPT @ | 9 P Python @ </v>
      </c>
      <c r="AY316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16" s="4" t="str">
        <f ca="1">IFERROR(__xludf.DUMMYFUNCTION("""COMPUTED_VALUE"""),"| 5 L INE % | 7 P PHP-CGM % ")</f>
        <v xml:space="preserve">| 5 L INE % | 7 P PHP-CGM % </v>
      </c>
      <c r="BA316" s="4" t="str">
        <f ca="1">IFERROR(__xludf.DUMMYFUNCTION("""COMPUTED_VALUE"""),"| 5 L CPT @ | 6 L PHP-CGM @ | 7 P CPT @ ")</f>
        <v xml:space="preserve">| 5 L CPT @ | 6 L PHP-CGM @ | 7 P CPT @ </v>
      </c>
      <c r="BB316" s="4" t="str">
        <f ca="1">IFERROR(__xludf.DUMMYFUNCTION("""COMPUTED_VALUE"""),"| 5 L JAVA @ | 6 L NS % | 7 L PHP-CGM % | 8 L CPT % | 9 P Python % ")</f>
        <v xml:space="preserve">| 5 L JAVA @ | 6 L NS % | 7 L PHP-CGM % | 8 L CPT % | 9 P Python % </v>
      </c>
      <c r="BC316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6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16" s="4" t="str">
        <f ca="1">IFERROR(__xludf.DUMMYFUNCTION("""COMPUTED_VALUE"""),"| 5 L INE % | 7 P PHP-CGM % | 9 P NS % ")</f>
        <v xml:space="preserve">| 5 L INE % | 7 P PHP-CGM % | 9 P NS % </v>
      </c>
      <c r="BF316" s="4" t="str">
        <f ca="1">IFERROR(__xludf.DUMMYFUNCTION("""COMPUTED_VALUE"""),"| 5 L CPT @ | 6 L PHP-CGM @ | 7 P CPT @ ")</f>
        <v xml:space="preserve">| 5 L CPT @ | 6 L PHP-CGM @ | 7 P CPT @ </v>
      </c>
      <c r="BG316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16" s="4" t="str">
        <f ca="1">IFERROR(__xludf.DUMMYFUNCTION("""COMPUTED_VALUE"""),"| 5 L JAVA % | 6 L NS % | 7 L PRO @ | 9 P JAVA % ")</f>
        <v xml:space="preserve">| 5 L JAVA % | 6 L NS % | 7 L PRO @ | 9 P JAVA % </v>
      </c>
      <c r="BI316" s="4" t="str">
        <f ca="1">IFERROR(__xludf.DUMMYFUNCTION("""COMPUTED_VALUE"""),"| 5 L INE % | 7 P PHP-CGM % | 9 P NS @ ")</f>
        <v xml:space="preserve">| 5 L INE % | 7 P PHP-CGM % | 9 P NS @ </v>
      </c>
      <c r="BJ316" s="4" t="str">
        <f ca="1">IFERROR(__xludf.DUMMYFUNCTION("""COMPUTED_VALUE"""),"| 5 L CPT % | 6 L PHP-CGM % | 7 P CPT % | 9 P JAVA @ ")</f>
        <v xml:space="preserve">| 5 L CPT % | 6 L PHP-CGM % | 7 P CPT % | 9 P JAVA @ </v>
      </c>
      <c r="BK316" s="4" t="str">
        <f ca="1">IFERROR(__xludf.DUMMYFUNCTION("""COMPUTED_VALUE"""),"| 5 L JAVA @ | 7 L PHP-CGM @ | 8 L CPT @ | 9 P Python @ ")</f>
        <v xml:space="preserve">| 5 L JAVA @ | 7 L PHP-CGM @ | 8 L CPT @ | 9 P Python @ </v>
      </c>
      <c r="BL316" s="4" t="str">
        <f ca="1">IFERROR(__xludf.DUMMYFUNCTION("""COMPUTED_VALUE"""),"| 5 L PHP-CGM % | 6 L CPT % | 8 L NS @ ")</f>
        <v xml:space="preserve">| 5 L PHP-CGM % | 6 L CPT % | 8 L NS @ </v>
      </c>
      <c r="BM316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16" s="4" t="str">
        <f ca="1">IFERROR(__xludf.DUMMYFUNCTION("""COMPUTED_VALUE"""),"| 5 L INE @ | 7 P PHP-CGM % | 9 P NS @ ")</f>
        <v xml:space="preserve">| 5 L INE @ | 7 P PHP-CGM % | 9 P NS @ </v>
      </c>
      <c r="BO316" s="4" t="str">
        <f ca="1">IFERROR(__xludf.DUMMYFUNCTION("""COMPUTED_VALUE"""),"| 5 L CPT @ | 6 L PHP-CGM @ ")</f>
        <v xml:space="preserve">| 5 L CPT @ | 6 L PHP-CGM @ </v>
      </c>
      <c r="BP316" s="4" t="str">
        <f ca="1">IFERROR(__xludf.DUMMYFUNCTION("""COMPUTED_VALUE"""),"| 5 L JAVA @ | 6 L JAVA @ | 7 L PHP-CGM @ | 8 L CPT @ ")</f>
        <v xml:space="preserve">| 5 L JAVA @ | 6 L JAVA @ | 7 L PHP-CGM @ | 8 L CPT @ </v>
      </c>
      <c r="BQ316" s="4" t="str">
        <f ca="1">IFERROR(__xludf.DUMMYFUNCTION("""COMPUTED_VALUE"""),"| 5 L JAVA @ ")</f>
        <v xml:space="preserve">| 5 L JAVA @ </v>
      </c>
      <c r="BR316" s="4"/>
      <c r="BS316" s="4"/>
      <c r="BT316" s="4" t="str">
        <f ca="1">IFERROR(__xludf.DUMMYFUNCTION("""COMPUTED_VALUE"""),"| 7 L PHP-CGM @ | 8 L CPT @ ")</f>
        <v xml:space="preserve">| 7 L PHP-CGM @ | 8 L CPT @ </v>
      </c>
      <c r="BU316" s="4" t="str">
        <f ca="1">IFERROR(__xludf.DUMMYFUNCTION("""COMPUTED_VALUE"""),"| 8 L NS @ ")</f>
        <v xml:space="preserve">| 8 L NS @ </v>
      </c>
      <c r="BV316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16" s="4" t="str">
        <f ca="1">IFERROR(__xludf.DUMMYFUNCTION("""COMPUTED_VALUE"""),"| 9 P Python @ ")</f>
        <v xml:space="preserve">| 9 P Python @ </v>
      </c>
      <c r="BX316" s="4" t="str">
        <f ca="1">IFERROR(__xludf.DUMMYFUNCTION("""COMPUTED_VALUE"""),"| 5 L JAVA @ | 6 L NS @ | 7 L PRO @ | 9 P JAVA @ ")</f>
        <v xml:space="preserve">| 5 L JAVA @ | 6 L NS @ | 7 L PRO @ | 9 P JAVA @ </v>
      </c>
      <c r="BY316" s="4" t="str">
        <f ca="1">IFERROR(__xludf.DUMMYFUNCTION("""COMPUTED_VALUE"""),"| 5 L INE % | 7 P PHP-CGM % | 9 P NS % ")</f>
        <v xml:space="preserve">| 5 L INE % | 7 P PHP-CGM % | 9 P NS % </v>
      </c>
      <c r="BZ316" s="4" t="str">
        <f ca="1">IFERROR(__xludf.DUMMYFUNCTION("""COMPUTED_VALUE"""),"| 5 L CPT % | 6 L PHP-CGM % | 7 P CPT % | 9 P JAVA % ")</f>
        <v xml:space="preserve">| 5 L CPT % | 6 L PHP-CGM % | 7 P CPT % | 9 P JAVA % </v>
      </c>
      <c r="CA316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CB316" s="4" t="str">
        <f ca="1">IFERROR(__xludf.DUMMYFUNCTION("""COMPUTED_VALUE"""),"| 5 L PHP-CGM % | 6 L CPT % | 7 L NS % | 9 P Python % ")</f>
        <v xml:space="preserve">| 5 L PHP-CGM % | 6 L CPT % | 7 L NS % | 9 P Python % </v>
      </c>
      <c r="CC316" s="4" t="str">
        <f ca="1">IFERROR(__xludf.DUMMYFUNCTION("""COMPUTED_VALUE"""),"| 5 L JAVA % | 6 L NS @ | 9 P JAVA % ")</f>
        <v xml:space="preserve">| 5 L JAVA % | 6 L NS @ | 9 P JAVA % </v>
      </c>
      <c r="CD316" s="4" t="str">
        <f ca="1">IFERROR(__xludf.DUMMYFUNCTION("""COMPUTED_VALUE"""),"| 5 L INE % | 7 P PHP-CGM @ | 9 P NS % ")</f>
        <v xml:space="preserve">| 5 L INE % | 7 P PHP-CGM @ | 9 P NS % </v>
      </c>
      <c r="CE316" s="4" t="str">
        <f ca="1">IFERROR(__xludf.DUMMYFUNCTION("""COMPUTED_VALUE"""),"| 5 L CPT @ | 6 L PHP-CGM @ | 9 P JAVA @ | 7 P CPT @ ")</f>
        <v xml:space="preserve">| 5 L CPT @ | 6 L PHP-CGM @ | 9 P JAVA @ | 7 P CPT @ </v>
      </c>
      <c r="CF316" s="4" t="str">
        <f ca="1">IFERROR(__xludf.DUMMYFUNCTION("""COMPUTED_VALUE"""),"| 5 L JAVA % | 6 L NS % | 7 L PHP-CGM @ | 8 L CPT @ | 9 P Python % ")</f>
        <v xml:space="preserve">| 5 L JAVA % | 6 L NS % | 7 L PHP-CGM @ | 8 L CPT @ | 9 P Python % </v>
      </c>
      <c r="CG316" s="4" t="str">
        <f ca="1">IFERROR(__xludf.DUMMYFUNCTION("""COMPUTED_VALUE"""),"| 5 L PHP-CGM @ | 6 L CPT @ | 7 L JAVA % | 8 L NS % ")</f>
        <v xml:space="preserve">| 5 L PHP-CGM @ | 6 L CPT @ | 7 L JAVA % | 8 L NS % </v>
      </c>
      <c r="CH316" s="4" t="str">
        <f ca="1">IFERROR(__xludf.DUMMYFUNCTION("""COMPUTED_VALUE"""),"| 5 L JAVA @ | 6 L NS % | 9 P JAVA % ")</f>
        <v xml:space="preserve">| 5 L JAVA @ | 6 L NS % | 9 P JAVA % </v>
      </c>
      <c r="CI316" s="4" t="str">
        <f ca="1">IFERROR(__xludf.DUMMYFUNCTION("""COMPUTED_VALUE"""),"| 5 L INE @ | 7 P PHP-CGM % | 9 P NS % ")</f>
        <v xml:space="preserve">| 5 L INE @ | 7 P PHP-CGM % | 9 P NS % </v>
      </c>
      <c r="CJ316" s="4" t="str">
        <f ca="1">IFERROR(__xludf.DUMMYFUNCTION("""COMPUTED_VALUE"""),"| 5 L CPT @ | 6 L PHP-CGM @ | 7 P CPT @ ")</f>
        <v xml:space="preserve">| 5 L CPT @ | 6 L PHP-CGM @ | 7 P CPT @ </v>
      </c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</row>
    <row r="317" spans="1:102" ht="12.5" x14ac:dyDescent="0.25">
      <c r="A317" s="3">
        <f ca="1">IFERROR(__xludf.DUMMYFUNCTION("""COMPUTED_VALUE"""),3)</f>
        <v>3</v>
      </c>
      <c r="B317" s="3" t="str">
        <f ca="1">IFERROR(__xludf.DUMMYFUNCTION("""COMPUTED_VALUE"""),"D")</f>
        <v>D</v>
      </c>
      <c r="C317" s="32" t="str">
        <f ca="1">IFERROR(__xludf.DUMMYFUNCTION("""COMPUTED_VALUE"""),"23171341143")</f>
        <v>23171341143</v>
      </c>
      <c r="D317" s="4" t="str">
        <f ca="1">IFERROR(__xludf.DUMMYFUNCTION("""COMPUTED_VALUE"""),"PRAJAPATI HET SHAILESHKUMAR")</f>
        <v>PRAJAPATI HET SHAILESHKUMAR</v>
      </c>
      <c r="E317" s="3" t="str">
        <f ca="1">IFERROR(__xludf.DUMMYFUNCTION("""COMPUTED_VALUE"""),"ZPP - Eve")</f>
        <v>ZPP - Eve</v>
      </c>
      <c r="F317" s="3">
        <f ca="1">IFERROR(__xludf.DUMMYFUNCTION("""COMPUTED_VALUE"""),9023878231)</f>
        <v>9023878231</v>
      </c>
      <c r="G317" s="3">
        <f ca="1">IFERROR(__xludf.DUMMYFUNCTION("""COMPUTED_VALUE"""),9408884251)</f>
        <v>9408884251</v>
      </c>
      <c r="H317" s="33">
        <f ca="1">IFERROR(__xludf.DUMMYFUNCTION("""COMPUTED_VALUE"""),0.675213675213675)</f>
        <v>0.67521367521367504</v>
      </c>
      <c r="I317" s="25">
        <f ca="1">IFERROR(__xludf.DUMMYFUNCTION("""COMPUTED_VALUE"""),0.714285714285714)</f>
        <v>0.71428571428571397</v>
      </c>
      <c r="J317" s="25">
        <f ca="1">IFERROR(__xludf.DUMMYFUNCTION("""COMPUTED_VALUE"""),0.909090909090909)</f>
        <v>0.90909090909090895</v>
      </c>
      <c r="K317" s="25">
        <f ca="1">IFERROR(__xludf.DUMMYFUNCTION("""COMPUTED_VALUE"""),0.59375)</f>
        <v>0.59375</v>
      </c>
      <c r="L317" s="25">
        <f ca="1">IFERROR(__xludf.DUMMYFUNCTION("""COMPUTED_VALUE"""),0.727272727272727)</f>
        <v>0.72727272727272696</v>
      </c>
      <c r="M317" s="25">
        <f ca="1">IFERROR(__xludf.DUMMYFUNCTION("""COMPUTED_VALUE"""),0.694444444444444)</f>
        <v>0.69444444444444398</v>
      </c>
      <c r="N317" s="25">
        <f ca="1">IFERROR(__xludf.DUMMYFUNCTION("""COMPUTED_VALUE"""),0.833333333333333)</f>
        <v>0.83333333333333304</v>
      </c>
      <c r="O317" s="25">
        <f ca="1">IFERROR(__xludf.DUMMYFUNCTION("""COMPUTED_VALUE"""),0.611111111111111)</f>
        <v>0.61111111111111105</v>
      </c>
      <c r="P317" s="25">
        <f ca="1">IFERROR(__xludf.DUMMYFUNCTION("""COMPUTED_VALUE"""),0.578947368421052)</f>
        <v>0.57894736842105199</v>
      </c>
      <c r="Q317" s="25">
        <f ca="1">IFERROR(__xludf.DUMMYFUNCTION("""COMPUTED_VALUE"""),0)</f>
        <v>0</v>
      </c>
      <c r="R317" s="25">
        <f ca="1">IFERROR(__xludf.DUMMYFUNCTION("""COMPUTED_VALUE"""),0.722222222222222)</f>
        <v>0.72222222222222199</v>
      </c>
      <c r="S317" s="25">
        <f ca="1">IFERROR(__xludf.DUMMYFUNCTION("""COMPUTED_VALUE"""),0.692307692307692)</f>
        <v>0.69230769230769196</v>
      </c>
      <c r="T317" s="25">
        <f ca="1">IFERROR(__xludf.DUMMYFUNCTION("""COMPUTED_VALUE"""),1)</f>
        <v>1</v>
      </c>
      <c r="U317" s="25">
        <f ca="1">IFERROR(__xludf.DUMMYFUNCTION("""COMPUTED_VALUE"""),0.5)</f>
        <v>0.5</v>
      </c>
      <c r="V317" s="25">
        <f ca="1">IFERROR(__xludf.DUMMYFUNCTION("""COMPUTED_VALUE"""),0)</f>
        <v>0</v>
      </c>
      <c r="W317" s="4"/>
      <c r="X317" s="4" t="str">
        <f ca="1">IFERROR(__xludf.DUMMYFUNCTION("""COMPUTED_VALUE"""),"| 5 L JAVA @ | 6 L NS @ | 7 L PHP-CGM @ | 8 L CPT @ ")</f>
        <v xml:space="preserve">| 5 L JAVA @ | 6 L NS @ | 7 L PHP-CGM @ | 8 L CPT @ </v>
      </c>
      <c r="Y317" s="4" t="str">
        <f ca="1">IFERROR(__xludf.DUMMYFUNCTION("""COMPUTED_VALUE"""),"| 5 L PHP-CGM @ | 6 L CPT % | 7 L NS @ | 8 L JAVA @ ")</f>
        <v xml:space="preserve">| 5 L PHP-CGM @ | 6 L CPT % | 7 L NS @ | 8 L JAVA @ </v>
      </c>
      <c r="Z317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17" s="4" t="str">
        <f ca="1">IFERROR(__xludf.DUMMYFUNCTION("""COMPUTED_VALUE"""),"| 7 P PHP-CGM % | 9 P NS % ")</f>
        <v xml:space="preserve">| 7 P PHP-CGM % | 9 P NS % </v>
      </c>
      <c r="AB317" s="4" t="str">
        <f ca="1">IFERROR(__xludf.DUMMYFUNCTION("""COMPUTED_VALUE"""),"| 5 L JAVA % | 6 L PHP-CGM % | 7 P CPT % | 9 P JAVA % ")</f>
        <v xml:space="preserve">| 5 L JAVA % | 6 L PHP-CGM % | 7 P CPT % | 9 P JAVA % </v>
      </c>
      <c r="AC317" s="4" t="str">
        <f ca="1">IFERROR(__xludf.DUMMYFUNCTION("""COMPUTED_VALUE"""),"| 5 L JAVA @ | 6 L NS % | 7 L PHP-CGM @ | 9 P Python % | 8 L CPT @ ")</f>
        <v xml:space="preserve">| 5 L JAVA @ | 6 L NS % | 7 L PHP-CGM @ | 9 P Python % | 8 L CPT @ </v>
      </c>
      <c r="AD317" s="4" t="str">
        <f ca="1">IFERROR(__xludf.DUMMYFUNCTION("""COMPUTED_VALUE"""),"| 5 L PHP-CGM @ | 6 L CPT @ | 7 L NS @ | 8 L JAVA @ | 9 P Python @ ")</f>
        <v xml:space="preserve">| 5 L PHP-CGM @ | 6 L CPT @ | 7 L NS @ | 8 L JAVA @ | 9 P Python @ </v>
      </c>
      <c r="AE317" s="4" t="str">
        <f ca="1">IFERROR(__xludf.DUMMYFUNCTION("""COMPUTED_VALUE"""),"| 5 L JAVA % | 6 L NS % | 7 L PRO % | 9 P JAVA % ")</f>
        <v xml:space="preserve">| 5 L JAVA % | 6 L NS % | 7 L PRO % | 9 P JAVA % </v>
      </c>
      <c r="AF317" s="4" t="str">
        <f ca="1">IFERROR(__xludf.DUMMYFUNCTION("""COMPUTED_VALUE"""),"| 7 P PHP-CGM % | 9 P NS % ")</f>
        <v xml:space="preserve">| 7 P PHP-CGM % | 9 P NS % </v>
      </c>
      <c r="AG317" s="4" t="str">
        <f ca="1">IFERROR(__xludf.DUMMYFUNCTION("""COMPUTED_VALUE"""),"| 5 L CPT % | 6 L PHP-CGM % | 7 P CPT % | 9 P JAVA % ")</f>
        <v xml:space="preserve">| 5 L CPT % | 6 L PHP-CGM % | 7 P CPT % | 9 P JAVA % </v>
      </c>
      <c r="AH317" s="4" t="str">
        <f ca="1">IFERROR(__xludf.DUMMYFUNCTION("""COMPUTED_VALUE"""),"| 7 P PHP-CGM % | 9 P NS % ")</f>
        <v xml:space="preserve">| 7 P PHP-CGM % | 9 P NS % </v>
      </c>
      <c r="AI317" s="4" t="str">
        <f ca="1">IFERROR(__xludf.DUMMYFUNCTION("""COMPUTED_VALUE"""),"| 5 L CPT % | 6 L PHP-CGM % | 7 P CPT % | 9 P JAVA @ ")</f>
        <v xml:space="preserve">| 5 L CPT % | 6 L PHP-CGM % | 7 P CPT % | 9 P JAVA @ </v>
      </c>
      <c r="AJ317" s="4" t="str">
        <f ca="1">IFERROR(__xludf.DUMMYFUNCTION("""COMPUTED_VALUE"""),"| 5 L JAVA % | 6 L NS % | 7 L PHP-CGM @ | 8 L CPT @ ")</f>
        <v xml:space="preserve">| 5 L JAVA % | 6 L NS % | 7 L PHP-CGM @ | 8 L CPT @ </v>
      </c>
      <c r="AK317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7" s="4" t="str">
        <f ca="1">IFERROR(__xludf.DUMMYFUNCTION("""COMPUTED_VALUE"""),"| 6 L NS % | 7 L NS % | 7 L PRO % | 8 L PRO % | 9 P JAVA % ")</f>
        <v xml:space="preserve">| 6 L NS % | 7 L NS % | 7 L PRO % | 8 L PRO % | 9 P JAVA % </v>
      </c>
      <c r="AM317" s="4" t="str">
        <f ca="1">IFERROR(__xludf.DUMMYFUNCTION("""COMPUTED_VALUE"""),"| 5 L INE % | 7 P PHP-CGM % | 9 P NS % ")</f>
        <v xml:space="preserve">| 5 L INE % | 7 P PHP-CGM % | 9 P NS % </v>
      </c>
      <c r="AN317" s="4" t="str">
        <f ca="1">IFERROR(__xludf.DUMMYFUNCTION("""COMPUTED_VALUE"""),"| 5 L CPT % | 6 L PHP-CGM % | 7 P CPT % | 9 P JAVA @ ")</f>
        <v xml:space="preserve">| 5 L CPT % | 6 L PHP-CGM % | 7 P CPT % | 9 P JAVA @ </v>
      </c>
      <c r="AO317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17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17" s="4" t="str">
        <f ca="1">IFERROR(__xludf.DUMMYFUNCTION("""COMPUTED_VALUE"""),"| 5 L JAVA % | 6 L NS % | 7 L PRO % | 8 L PRO % | 9 P JAVA @ ")</f>
        <v xml:space="preserve">| 5 L JAVA % | 6 L NS % | 7 L PRO % | 8 L PRO % | 9 P JAVA @ </v>
      </c>
      <c r="AR317" s="4" t="str">
        <f ca="1">IFERROR(__xludf.DUMMYFUNCTION("""COMPUTED_VALUE"""),"| 5 L INE @ ")</f>
        <v xml:space="preserve">| 5 L INE @ </v>
      </c>
      <c r="AS317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17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7" s="4" t="str">
        <f ca="1">IFERROR(__xludf.DUMMYFUNCTION("""COMPUTED_VALUE"""),"| 5 L JAVA % | 6 L NS % | 5 P PRO % | 9 P JAVA % ")</f>
        <v xml:space="preserve">| 5 L JAVA % | 6 L NS % | 5 P PRO % | 9 P JAVA % </v>
      </c>
      <c r="AV317" s="4" t="str">
        <f ca="1">IFERROR(__xludf.DUMMYFUNCTION("""COMPUTED_VALUE"""),"| 5 L INE % | 7 P PHP-CGM @ | 9 P NS @ ")</f>
        <v xml:space="preserve">| 5 L INE % | 7 P PHP-CGM @ | 9 P NS @ </v>
      </c>
      <c r="AW317" s="4" t="str">
        <f ca="1">IFERROR(__xludf.DUMMYFUNCTION("""COMPUTED_VALUE"""),"| 5 L CPT % | 6 L PHP-CGM % | 7 P CPT % | 9 P JAVA % ")</f>
        <v xml:space="preserve">| 5 L CPT % | 6 L PHP-CGM % | 7 P CPT % | 9 P JAVA % </v>
      </c>
      <c r="AX317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17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17" s="4" t="str">
        <f ca="1">IFERROR(__xludf.DUMMYFUNCTION("""COMPUTED_VALUE"""),"| 5 L INE % | 7 P PHP-CGM % ")</f>
        <v xml:space="preserve">| 5 L INE % | 7 P PHP-CGM % </v>
      </c>
      <c r="BA317" s="4" t="str">
        <f ca="1">IFERROR(__xludf.DUMMYFUNCTION("""COMPUTED_VALUE"""),"| 5 L CPT % | 6 L PHP-CGM % | 7 P CPT % ")</f>
        <v xml:space="preserve">| 5 L CPT % | 6 L PHP-CGM % | 7 P CPT % </v>
      </c>
      <c r="BB317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17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7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17" s="4" t="str">
        <f ca="1">IFERROR(__xludf.DUMMYFUNCTION("""COMPUTED_VALUE"""),"| 5 L INE % | 7 P PHP-CGM % | 9 P NS % ")</f>
        <v xml:space="preserve">| 5 L INE % | 7 P PHP-CGM % | 9 P NS % </v>
      </c>
      <c r="BF317" s="4" t="str">
        <f ca="1">IFERROR(__xludf.DUMMYFUNCTION("""COMPUTED_VALUE"""),"| 5 L CPT % | 6 L PHP-CGM % | 7 P CPT % ")</f>
        <v xml:space="preserve">| 5 L CPT % | 6 L PHP-CGM % | 7 P CPT % </v>
      </c>
      <c r="BG317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H317" s="4" t="str">
        <f ca="1">IFERROR(__xludf.DUMMYFUNCTION("""COMPUTED_VALUE"""),"| 5 L JAVA @ | 6 L NS @ | 7 L PRO @ | 9 P JAVA @ ")</f>
        <v xml:space="preserve">| 5 L JAVA @ | 6 L NS @ | 7 L PRO @ | 9 P JAVA @ </v>
      </c>
      <c r="BI317" s="4" t="str">
        <f ca="1">IFERROR(__xludf.DUMMYFUNCTION("""COMPUTED_VALUE"""),"| 5 L INE @ | 7 P PHP-CGM % | 9 P NS @ ")</f>
        <v xml:space="preserve">| 5 L INE @ | 7 P PHP-CGM % | 9 P NS @ </v>
      </c>
      <c r="BJ317" s="4" t="str">
        <f ca="1">IFERROR(__xludf.DUMMYFUNCTION("""COMPUTED_VALUE"""),"| 5 L CPT % | 6 L PHP-CGM % | 7 P CPT % | 9 P JAVA @ ")</f>
        <v xml:space="preserve">| 5 L CPT % | 6 L PHP-CGM % | 7 P CPT % | 9 P JAVA @ </v>
      </c>
      <c r="BK317" s="4" t="str">
        <f ca="1">IFERROR(__xludf.DUMMYFUNCTION("""COMPUTED_VALUE"""),"| 5 L JAVA @ | 7 L PHP-CGM @ | 8 L CPT @ | 9 P Python @ ")</f>
        <v xml:space="preserve">| 5 L JAVA @ | 7 L PHP-CGM @ | 8 L CPT @ | 9 P Python @ </v>
      </c>
      <c r="BL317" s="4" t="str">
        <f ca="1">IFERROR(__xludf.DUMMYFUNCTION("""COMPUTED_VALUE"""),"| 5 L PHP-CGM % | 6 L CPT % | 8 L NS @ ")</f>
        <v xml:space="preserve">| 5 L PHP-CGM % | 6 L CPT % | 8 L NS @ </v>
      </c>
      <c r="BM317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17" s="4" t="str">
        <f ca="1">IFERROR(__xludf.DUMMYFUNCTION("""COMPUTED_VALUE"""),"| 5 L INE @ | 7 P PHP-CGM @ | 9 P NS @ ")</f>
        <v xml:space="preserve">| 5 L INE @ | 7 P PHP-CGM @ | 9 P NS @ </v>
      </c>
      <c r="BO317" s="4" t="str">
        <f ca="1">IFERROR(__xludf.DUMMYFUNCTION("""COMPUTED_VALUE"""),"| 5 L CPT @ | 6 L PHP-CGM @ ")</f>
        <v xml:space="preserve">| 5 L CPT @ | 6 L PHP-CGM @ </v>
      </c>
      <c r="BP317" s="4" t="str">
        <f ca="1">IFERROR(__xludf.DUMMYFUNCTION("""COMPUTED_VALUE"""),"| 5 L JAVA % | 6 L JAVA % | 7 L PHP-CGM % | 8 L CPT % ")</f>
        <v xml:space="preserve">| 5 L JAVA % | 6 L JAVA % | 7 L PHP-CGM % | 8 L CPT % </v>
      </c>
      <c r="BQ317" s="4" t="str">
        <f ca="1">IFERROR(__xludf.DUMMYFUNCTION("""COMPUTED_VALUE"""),"| 5 L JAVA @ ")</f>
        <v xml:space="preserve">| 5 L JAVA @ </v>
      </c>
      <c r="BR317" s="4"/>
      <c r="BS317" s="4"/>
      <c r="BT317" s="4" t="str">
        <f ca="1">IFERROR(__xludf.DUMMYFUNCTION("""COMPUTED_VALUE"""),"| 7 L PHP-CGM @ | 8 L CPT @ ")</f>
        <v xml:space="preserve">| 7 L PHP-CGM @ | 8 L CPT @ </v>
      </c>
      <c r="BU317" s="4" t="str">
        <f ca="1">IFERROR(__xludf.DUMMYFUNCTION("""COMPUTED_VALUE"""),"| 8 L NS @ ")</f>
        <v xml:space="preserve">| 8 L NS @ </v>
      </c>
      <c r="BV317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17" s="4" t="str">
        <f ca="1">IFERROR(__xludf.DUMMYFUNCTION("""COMPUTED_VALUE"""),"| 9 P Python @ ")</f>
        <v xml:space="preserve">| 9 P Python @ </v>
      </c>
      <c r="BX317" s="4" t="str">
        <f ca="1">IFERROR(__xludf.DUMMYFUNCTION("""COMPUTED_VALUE"""),"| 5 L JAVA @ | 6 L NS @ | 7 L PRO @ | 9 P JAVA @ ")</f>
        <v xml:space="preserve">| 5 L JAVA @ | 6 L NS @ | 7 L PRO @ | 9 P JAVA @ </v>
      </c>
      <c r="BY317" s="4" t="str">
        <f ca="1">IFERROR(__xludf.DUMMYFUNCTION("""COMPUTED_VALUE"""),"| 5 L INE @ | 7 P PHP-CGM % | 9 P NS % ")</f>
        <v xml:space="preserve">| 5 L INE @ | 7 P PHP-CGM % | 9 P NS % </v>
      </c>
      <c r="BZ317" s="4" t="str">
        <f ca="1">IFERROR(__xludf.DUMMYFUNCTION("""COMPUTED_VALUE"""),"| 5 L CPT % | 6 L PHP-CGM % | 7 P CPT % | 9 P JAVA % ")</f>
        <v xml:space="preserve">| 5 L CPT % | 6 L PHP-CGM % | 7 P CPT % | 9 P JAVA % </v>
      </c>
      <c r="CA317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CB317" s="4" t="str">
        <f ca="1">IFERROR(__xludf.DUMMYFUNCTION("""COMPUTED_VALUE"""),"| 5 L PHP-CGM % | 6 L CPT % | 7 L NS % | 9 P Python % ")</f>
        <v xml:space="preserve">| 5 L PHP-CGM % | 6 L CPT % | 7 L NS % | 9 P Python % </v>
      </c>
      <c r="CC317" s="4" t="str">
        <f ca="1">IFERROR(__xludf.DUMMYFUNCTION("""COMPUTED_VALUE"""),"| 5 L JAVA % | 6 L NS % | 9 P JAVA % ")</f>
        <v xml:space="preserve">| 5 L JAVA % | 6 L NS % | 9 P JAVA % </v>
      </c>
      <c r="CD317" s="4" t="str">
        <f ca="1">IFERROR(__xludf.DUMMYFUNCTION("""COMPUTED_VALUE"""),"| 5 L INE % | 7 P PHP-CGM % | 9 P NS % ")</f>
        <v xml:space="preserve">| 5 L INE % | 7 P PHP-CGM % | 9 P NS % </v>
      </c>
      <c r="CE317" s="4" t="str">
        <f ca="1">IFERROR(__xludf.DUMMYFUNCTION("""COMPUTED_VALUE"""),"| 5 L CPT % | 6 L PHP-CGM % | 9 P JAVA @ | 7 P CPT @ ")</f>
        <v xml:space="preserve">| 5 L CPT % | 6 L PHP-CGM % | 9 P JAVA @ | 7 P CPT @ </v>
      </c>
      <c r="CF317" s="4" t="str">
        <f ca="1">IFERROR(__xludf.DUMMYFUNCTION("""COMPUTED_VALUE"""),"| 5 L JAVA @ | 6 L NS @ | 7 L PHP-CGM % | 8 L CPT @ | 9 P Python % ")</f>
        <v xml:space="preserve">| 5 L JAVA @ | 6 L NS @ | 7 L PHP-CGM % | 8 L CPT @ | 9 P Python % </v>
      </c>
      <c r="CG317" s="4" t="str">
        <f ca="1">IFERROR(__xludf.DUMMYFUNCTION("""COMPUTED_VALUE"""),"| 5 L PHP-CGM % | 6 L CPT % | 7 L JAVA @ | 8 L NS @ ")</f>
        <v xml:space="preserve">| 5 L PHP-CGM % | 6 L CPT % | 7 L JAVA @ | 8 L NS @ </v>
      </c>
      <c r="CH317" s="4" t="str">
        <f ca="1">IFERROR(__xludf.DUMMYFUNCTION("""COMPUTED_VALUE"""),"| 5 L JAVA @ | 6 L NS @ | 9 P JAVA % ")</f>
        <v xml:space="preserve">| 5 L JAVA @ | 6 L NS @ | 9 P JAVA % </v>
      </c>
      <c r="CI317" s="4" t="str">
        <f ca="1">IFERROR(__xludf.DUMMYFUNCTION("""COMPUTED_VALUE"""),"| 5 L INE @ | 7 P PHP-CGM % | 9 P NS % ")</f>
        <v xml:space="preserve">| 5 L INE @ | 7 P PHP-CGM % | 9 P NS % </v>
      </c>
      <c r="CJ317" s="4" t="str">
        <f ca="1">IFERROR(__xludf.DUMMYFUNCTION("""COMPUTED_VALUE"""),"| 5 L CPT % | 6 L PHP-CGM @ | 7 P CPT % ")</f>
        <v xml:space="preserve">| 5 L CPT % | 6 L PHP-CGM @ | 7 P CPT % </v>
      </c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</row>
    <row r="318" spans="1:102" ht="12.5" x14ac:dyDescent="0.25">
      <c r="A318" s="3">
        <f ca="1">IFERROR(__xludf.DUMMYFUNCTION("""COMPUTED_VALUE"""),3)</f>
        <v>3</v>
      </c>
      <c r="B318" s="3" t="str">
        <f ca="1">IFERROR(__xludf.DUMMYFUNCTION("""COMPUTED_VALUE"""),"D")</f>
        <v>D</v>
      </c>
      <c r="C318" s="32" t="str">
        <f ca="1">IFERROR(__xludf.DUMMYFUNCTION("""COMPUTED_VALUE"""),"23171341146")</f>
        <v>23171341146</v>
      </c>
      <c r="D318" s="4" t="str">
        <f ca="1">IFERROR(__xludf.DUMMYFUNCTION("""COMPUTED_VALUE"""),"PRAJAPATI SAUMY SATISHKUMAR")</f>
        <v>PRAJAPATI SAUMY SATISHKUMAR</v>
      </c>
      <c r="E318" s="3" t="str">
        <f ca="1">IFERROR(__xludf.DUMMYFUNCTION("""COMPUTED_VALUE"""),"ZPP - Eve")</f>
        <v>ZPP - Eve</v>
      </c>
      <c r="F318" s="3">
        <f ca="1">IFERROR(__xludf.DUMMYFUNCTION("""COMPUTED_VALUE"""),6352794343)</f>
        <v>6352794343</v>
      </c>
      <c r="G318" s="3">
        <f ca="1">IFERROR(__xludf.DUMMYFUNCTION("""COMPUTED_VALUE"""),9723272010)</f>
        <v>9723272010</v>
      </c>
      <c r="H318" s="33">
        <f ca="1">IFERROR(__xludf.DUMMYFUNCTION("""COMPUTED_VALUE"""),0.782051282051282)</f>
        <v>0.78205128205128205</v>
      </c>
      <c r="I318" s="25">
        <f ca="1">IFERROR(__xludf.DUMMYFUNCTION("""COMPUTED_VALUE"""),0.714285714285714)</f>
        <v>0.71428571428571397</v>
      </c>
      <c r="J318" s="25">
        <f ca="1">IFERROR(__xludf.DUMMYFUNCTION("""COMPUTED_VALUE"""),0.909090909090909)</f>
        <v>0.90909090909090895</v>
      </c>
      <c r="K318" s="25">
        <f ca="1">IFERROR(__xludf.DUMMYFUNCTION("""COMPUTED_VALUE"""),0.8125)</f>
        <v>0.8125</v>
      </c>
      <c r="L318" s="25">
        <f ca="1">IFERROR(__xludf.DUMMYFUNCTION("""COMPUTED_VALUE"""),0.909090909090909)</f>
        <v>0.90909090909090895</v>
      </c>
      <c r="M318" s="25">
        <f ca="1">IFERROR(__xludf.DUMMYFUNCTION("""COMPUTED_VALUE"""),0.722222222222222)</f>
        <v>0.72222222222222199</v>
      </c>
      <c r="N318" s="25">
        <f ca="1">IFERROR(__xludf.DUMMYFUNCTION("""COMPUTED_VALUE"""),0.833333333333333)</f>
        <v>0.83333333333333304</v>
      </c>
      <c r="O318" s="25">
        <f ca="1">IFERROR(__xludf.DUMMYFUNCTION("""COMPUTED_VALUE"""),0.805555555555555)</f>
        <v>0.80555555555555503</v>
      </c>
      <c r="P318" s="25">
        <f ca="1">IFERROR(__xludf.DUMMYFUNCTION("""COMPUTED_VALUE"""),0.578947368421052)</f>
        <v>0.57894736842105199</v>
      </c>
      <c r="Q318" s="25">
        <f ca="1">IFERROR(__xludf.DUMMYFUNCTION("""COMPUTED_VALUE"""),0)</f>
        <v>0</v>
      </c>
      <c r="R318" s="25">
        <f ca="1">IFERROR(__xludf.DUMMYFUNCTION("""COMPUTED_VALUE"""),0.833333333333333)</f>
        <v>0.83333333333333304</v>
      </c>
      <c r="S318" s="25">
        <f ca="1">IFERROR(__xludf.DUMMYFUNCTION("""COMPUTED_VALUE"""),1)</f>
        <v>1</v>
      </c>
      <c r="T318" s="25">
        <f ca="1">IFERROR(__xludf.DUMMYFUNCTION("""COMPUTED_VALUE"""),1)</f>
        <v>1</v>
      </c>
      <c r="U318" s="25">
        <f ca="1">IFERROR(__xludf.DUMMYFUNCTION("""COMPUTED_VALUE"""),0.7)</f>
        <v>0.7</v>
      </c>
      <c r="V318" s="25">
        <f ca="1">IFERROR(__xludf.DUMMYFUNCTION("""COMPUTED_VALUE"""),0)</f>
        <v>0</v>
      </c>
      <c r="W318" s="4"/>
      <c r="X318" s="4" t="str">
        <f ca="1">IFERROR(__xludf.DUMMYFUNCTION("""COMPUTED_VALUE"""),"| 5 L JAVA @ | 6 L NS % | 7 L PHP-CGM @ | 8 L CPT @ ")</f>
        <v xml:space="preserve">| 5 L JAVA @ | 6 L NS % | 7 L PHP-CGM @ | 8 L CPT @ </v>
      </c>
      <c r="Y318" s="4" t="str">
        <f ca="1">IFERROR(__xludf.DUMMYFUNCTION("""COMPUTED_VALUE"""),"| 5 L PHP-CGM % | 6 L CPT % | 7 L NS % | 8 L JAVA % ")</f>
        <v xml:space="preserve">| 5 L PHP-CGM % | 6 L CPT % | 7 L NS % | 8 L JAVA % </v>
      </c>
      <c r="Z318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18" s="4" t="str">
        <f ca="1">IFERROR(__xludf.DUMMYFUNCTION("""COMPUTED_VALUE"""),"| 7 P PHP-CGM % | 9 P NS % ")</f>
        <v xml:space="preserve">| 7 P PHP-CGM % | 9 P NS % </v>
      </c>
      <c r="AB318" s="4" t="str">
        <f ca="1">IFERROR(__xludf.DUMMYFUNCTION("""COMPUTED_VALUE"""),"| 5 L JAVA % | 6 L PHP-CGM % | 7 P CPT % | 9 P JAVA % ")</f>
        <v xml:space="preserve">| 5 L JAVA % | 6 L PHP-CGM % | 7 P CPT % | 9 P JAVA % </v>
      </c>
      <c r="AC318" s="4" t="str">
        <f ca="1">IFERROR(__xludf.DUMMYFUNCTION("""COMPUTED_VALUE"""),"| 5 L JAVA % | 6 L NS % | 7 L PHP-CGM @ | 9 P Python % | 8 L CPT @ ")</f>
        <v xml:space="preserve">| 5 L JAVA % | 6 L NS % | 7 L PHP-CGM @ | 9 P Python % | 8 L CPT @ </v>
      </c>
      <c r="AD318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18" s="4" t="str">
        <f ca="1">IFERROR(__xludf.DUMMYFUNCTION("""COMPUTED_VALUE"""),"| 5 L JAVA % | 6 L NS % | 7 L PRO % | 9 P JAVA @ ")</f>
        <v xml:space="preserve">| 5 L JAVA % | 6 L NS % | 7 L PRO % | 9 P JAVA @ </v>
      </c>
      <c r="AF318" s="4" t="str">
        <f ca="1">IFERROR(__xludf.DUMMYFUNCTION("""COMPUTED_VALUE"""),"| 7 P PHP-CGM % | 9 P NS % ")</f>
        <v xml:space="preserve">| 7 P PHP-CGM % | 9 P NS % </v>
      </c>
      <c r="AG318" s="4" t="str">
        <f ca="1">IFERROR(__xludf.DUMMYFUNCTION("""COMPUTED_VALUE"""),"| 5 L CPT % | 6 L PHP-CGM % | 7 P CPT % | 9 P JAVA % ")</f>
        <v xml:space="preserve">| 5 L CPT % | 6 L PHP-CGM % | 7 P CPT % | 9 P JAVA % </v>
      </c>
      <c r="AH318" s="4" t="str">
        <f ca="1">IFERROR(__xludf.DUMMYFUNCTION("""COMPUTED_VALUE"""),"| 7 P PHP-CGM @ | 9 P NS % ")</f>
        <v xml:space="preserve">| 7 P PHP-CGM @ | 9 P NS % </v>
      </c>
      <c r="AI318" s="4" t="str">
        <f ca="1">IFERROR(__xludf.DUMMYFUNCTION("""COMPUTED_VALUE"""),"| 5 L CPT % | 6 L PHP-CGM % | 7 P CPT % | 9 P JAVA @ ")</f>
        <v xml:space="preserve">| 5 L CPT % | 6 L PHP-CGM % | 7 P CPT % | 9 P JAVA @ </v>
      </c>
      <c r="AJ318" s="4" t="str">
        <f ca="1">IFERROR(__xludf.DUMMYFUNCTION("""COMPUTED_VALUE"""),"| 5 L JAVA % | 6 L NS % | 7 L PHP-CGM @ | 8 L CPT @ ")</f>
        <v xml:space="preserve">| 5 L JAVA % | 6 L NS % | 7 L PHP-CGM @ | 8 L CPT @ </v>
      </c>
      <c r="AK318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8" s="4" t="str">
        <f ca="1">IFERROR(__xludf.DUMMYFUNCTION("""COMPUTED_VALUE"""),"| 6 L NS % | 7 L NS % | 7 L PRO % | 8 L PRO % | 9 P JAVA % ")</f>
        <v xml:space="preserve">| 6 L NS % | 7 L NS % | 7 L PRO % | 8 L PRO % | 9 P JAVA % </v>
      </c>
      <c r="AM318" s="4" t="str">
        <f ca="1">IFERROR(__xludf.DUMMYFUNCTION("""COMPUTED_VALUE"""),"| 5 L INE % | 7 P PHP-CGM % | 9 P NS % ")</f>
        <v xml:space="preserve">| 5 L INE % | 7 P PHP-CGM % | 9 P NS % </v>
      </c>
      <c r="AN318" s="4" t="str">
        <f ca="1">IFERROR(__xludf.DUMMYFUNCTION("""COMPUTED_VALUE"""),"| 5 L CPT % | 6 L PHP-CGM % | 7 P CPT % | 9 P JAVA @ ")</f>
        <v xml:space="preserve">| 5 L CPT % | 6 L PHP-CGM % | 7 P CPT % | 9 P JAVA @ </v>
      </c>
      <c r="AO318" s="4" t="str">
        <f ca="1">IFERROR(__xludf.DUMMYFUNCTION("""COMPUTED_VALUE"""),"| 5 L JAVA % | 5 L NS @ | 7 L PHP-CGM % | 8 L CPT % | 9 P Python % ")</f>
        <v xml:space="preserve">| 5 L JAVA % | 5 L NS @ | 7 L PHP-CGM % | 8 L CPT % | 9 P Python % </v>
      </c>
      <c r="AP318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18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18" s="4" t="str">
        <f ca="1">IFERROR(__xludf.DUMMYFUNCTION("""COMPUTED_VALUE"""),"| 5 L INE @ ")</f>
        <v xml:space="preserve">| 5 L INE @ </v>
      </c>
      <c r="AS318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18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8" s="4" t="str">
        <f ca="1">IFERROR(__xludf.DUMMYFUNCTION("""COMPUTED_VALUE"""),"| 5 L JAVA % | 6 L NS % | 5 P PRO % | 9 P JAVA % ")</f>
        <v xml:space="preserve">| 5 L JAVA % | 6 L NS % | 5 P PRO % | 9 P JAVA % </v>
      </c>
      <c r="AV318" s="4" t="str">
        <f ca="1">IFERROR(__xludf.DUMMYFUNCTION("""COMPUTED_VALUE"""),"| 5 L INE % | 7 P PHP-CGM % | 9 P NS % ")</f>
        <v xml:space="preserve">| 5 L INE % | 7 P PHP-CGM % | 9 P NS % </v>
      </c>
      <c r="AW318" s="4" t="str">
        <f ca="1">IFERROR(__xludf.DUMMYFUNCTION("""COMPUTED_VALUE"""),"| 5 L CPT @ | 6 L PHP-CGM @ | 7 P CPT @ | 9 P JAVA @ ")</f>
        <v xml:space="preserve">| 5 L CPT @ | 6 L PHP-CGM @ | 7 P CPT @ | 9 P JAVA @ </v>
      </c>
      <c r="AX318" s="4" t="str">
        <f ca="1">IFERROR(__xludf.DUMMYFUNCTION("""COMPUTED_VALUE"""),"| 5 L JAVA % | 6 L JAVA % | 7 L PHP-CGM @ | 8 L CPT @ | 9 P Python % ")</f>
        <v xml:space="preserve">| 5 L JAVA % | 6 L JAVA % | 7 L PHP-CGM @ | 8 L CPT @ | 9 P Python % </v>
      </c>
      <c r="AY318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18" s="4" t="str">
        <f ca="1">IFERROR(__xludf.DUMMYFUNCTION("""COMPUTED_VALUE"""),"| 5 L INE % | 7 P PHP-CGM % ")</f>
        <v xml:space="preserve">| 5 L INE % | 7 P PHP-CGM % </v>
      </c>
      <c r="BA318" s="4" t="str">
        <f ca="1">IFERROR(__xludf.DUMMYFUNCTION("""COMPUTED_VALUE"""),"| 5 L CPT % | 6 L PHP-CGM % | 7 P CPT % ")</f>
        <v xml:space="preserve">| 5 L CPT % | 6 L PHP-CGM % | 7 P CPT % </v>
      </c>
      <c r="BB318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18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8" s="4" t="str">
        <f ca="1">IFERROR(__xludf.DUMMYFUNCTION("""COMPUTED_VALUE"""),"| 5 L JAVA % | 6 L NS % | 7 L PRO % | 8 L PRO % | 9 P JAVA @ ")</f>
        <v xml:space="preserve">| 5 L JAVA % | 6 L NS % | 7 L PRO % | 8 L PRO % | 9 P JAVA @ </v>
      </c>
      <c r="BE318" s="4" t="str">
        <f ca="1">IFERROR(__xludf.DUMMYFUNCTION("""COMPUTED_VALUE"""),"| 5 L INE % | 7 P PHP-CGM % | 9 P NS % ")</f>
        <v xml:space="preserve">| 5 L INE % | 7 P PHP-CGM % | 9 P NS % </v>
      </c>
      <c r="BF318" s="4" t="str">
        <f ca="1">IFERROR(__xludf.DUMMYFUNCTION("""COMPUTED_VALUE"""),"| 5 L CPT % | 6 L PHP-CGM % | 7 P CPT % ")</f>
        <v xml:space="preserve">| 5 L CPT % | 6 L PHP-CGM % | 7 P CPT % </v>
      </c>
      <c r="BG318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18" s="4" t="str">
        <f ca="1">IFERROR(__xludf.DUMMYFUNCTION("""COMPUTED_VALUE"""),"| 5 L JAVA % | 6 L NS % | 7 L PRO % | 9 P JAVA @ ")</f>
        <v xml:space="preserve">| 5 L JAVA % | 6 L NS % | 7 L PRO % | 9 P JAVA @ </v>
      </c>
      <c r="BI318" s="4" t="str">
        <f ca="1">IFERROR(__xludf.DUMMYFUNCTION("""COMPUTED_VALUE"""),"| 5 L INE @ | 7 P PHP-CGM @ | 9 P NS @ ")</f>
        <v xml:space="preserve">| 5 L INE @ | 7 P PHP-CGM @ | 9 P NS @ </v>
      </c>
      <c r="BJ318" s="4" t="str">
        <f ca="1">IFERROR(__xludf.DUMMYFUNCTION("""COMPUTED_VALUE"""),"| 5 L CPT % | 6 L PHP-CGM % | 7 P CPT % | 9 P JAVA @ ")</f>
        <v xml:space="preserve">| 5 L CPT % | 6 L PHP-CGM % | 7 P CPT % | 9 P JAVA @ </v>
      </c>
      <c r="BK318" s="4" t="str">
        <f ca="1">IFERROR(__xludf.DUMMYFUNCTION("""COMPUTED_VALUE"""),"| 5 L JAVA % | 7 L PHP-CGM @ | 8 L CPT @ | 9 P Python % ")</f>
        <v xml:space="preserve">| 5 L JAVA % | 7 L PHP-CGM @ | 8 L CPT @ | 9 P Python % </v>
      </c>
      <c r="BL318" s="4" t="str">
        <f ca="1">IFERROR(__xludf.DUMMYFUNCTION("""COMPUTED_VALUE"""),"| 5 L PHP-CGM % | 6 L CPT % | 8 L NS @ ")</f>
        <v xml:space="preserve">| 5 L PHP-CGM % | 6 L CPT % | 8 L NS @ </v>
      </c>
      <c r="BM318" s="4" t="str">
        <f ca="1">IFERROR(__xludf.DUMMYFUNCTION("""COMPUTED_VALUE"""),"| 5 L JAVA % | 6 L NS % | 7 L PRO % | 8 L PRO % | 9 P JAVA @ ")</f>
        <v xml:space="preserve">| 5 L JAVA % | 6 L NS % | 7 L PRO % | 8 L PRO % | 9 P JAVA @ </v>
      </c>
      <c r="BN318" s="4" t="str">
        <f ca="1">IFERROR(__xludf.DUMMYFUNCTION("""COMPUTED_VALUE"""),"| 5 L INE % | 7 P PHP-CGM % | 9 P NS % ")</f>
        <v xml:space="preserve">| 5 L INE % | 7 P PHP-CGM % | 9 P NS % </v>
      </c>
      <c r="BO318" s="4" t="str">
        <f ca="1">IFERROR(__xludf.DUMMYFUNCTION("""COMPUTED_VALUE"""),"| 5 L CPT % | 6 L PHP-CGM % ")</f>
        <v xml:space="preserve">| 5 L CPT % | 6 L PHP-CGM % </v>
      </c>
      <c r="BP318" s="4" t="str">
        <f ca="1">IFERROR(__xludf.DUMMYFUNCTION("""COMPUTED_VALUE"""),"| 5 L JAVA % | 6 L JAVA % | 7 L PHP-CGM % | 8 L CPT % ")</f>
        <v xml:space="preserve">| 5 L JAVA % | 6 L JAVA % | 7 L PHP-CGM % | 8 L CPT % </v>
      </c>
      <c r="BQ318" s="4" t="str">
        <f ca="1">IFERROR(__xludf.DUMMYFUNCTION("""COMPUTED_VALUE"""),"| 5 L JAVA @ ")</f>
        <v xml:space="preserve">| 5 L JAVA @ </v>
      </c>
      <c r="BR318" s="4"/>
      <c r="BS318" s="4"/>
      <c r="BT318" s="4" t="str">
        <f ca="1">IFERROR(__xludf.DUMMYFUNCTION("""COMPUTED_VALUE"""),"| 7 L PHP-CGM @ | 8 L CPT @ ")</f>
        <v xml:space="preserve">| 7 L PHP-CGM @ | 8 L CPT @ </v>
      </c>
      <c r="BU318" s="4" t="str">
        <f ca="1">IFERROR(__xludf.DUMMYFUNCTION("""COMPUTED_VALUE"""),"| 8 L NS @ ")</f>
        <v xml:space="preserve">| 8 L NS @ </v>
      </c>
      <c r="BV318" s="4" t="str">
        <f ca="1">IFERROR(__xludf.DUMMYFUNCTION("""COMPUTED_VALUE"""),"| 5 L JAVA % | 6 L NS % | 7 L PHP-CGM @ | 8 L CPT @ | 9 P Python @ ")</f>
        <v xml:space="preserve">| 5 L JAVA % | 6 L NS % | 7 L PHP-CGM @ | 8 L CPT @ | 9 P Python @ </v>
      </c>
      <c r="BW318" s="4" t="str">
        <f ca="1">IFERROR(__xludf.DUMMYFUNCTION("""COMPUTED_VALUE"""),"| 9 P Python @ ")</f>
        <v xml:space="preserve">| 9 P Python @ </v>
      </c>
      <c r="BX318" s="4" t="str">
        <f ca="1">IFERROR(__xludf.DUMMYFUNCTION("""COMPUTED_VALUE"""),"| 5 L JAVA % | 6 L NS % | 7 L PRO % | 9 P JAVA % ")</f>
        <v xml:space="preserve">| 5 L JAVA % | 6 L NS % | 7 L PRO % | 9 P JAVA % </v>
      </c>
      <c r="BY318" s="4" t="str">
        <f ca="1">IFERROR(__xludf.DUMMYFUNCTION("""COMPUTED_VALUE"""),"| 5 L INE % | 7 P PHP-CGM % | 9 P NS % ")</f>
        <v xml:space="preserve">| 5 L INE % | 7 P PHP-CGM % | 9 P NS % </v>
      </c>
      <c r="BZ318" s="4" t="str">
        <f ca="1">IFERROR(__xludf.DUMMYFUNCTION("""COMPUTED_VALUE"""),"| 5 L CPT % | 6 L PHP-CGM % | 7 P CPT % | 9 P JAVA % ")</f>
        <v xml:space="preserve">| 5 L CPT % | 6 L PHP-CGM % | 7 P CPT % | 9 P JAVA % </v>
      </c>
      <c r="CA318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18" s="4" t="str">
        <f ca="1">IFERROR(__xludf.DUMMYFUNCTION("""COMPUTED_VALUE"""),"| 5 L PHP-CGM % | 6 L CPT % | 7 L NS % | 9 P Python % ")</f>
        <v xml:space="preserve">| 5 L PHP-CGM % | 6 L CPT % | 7 L NS % | 9 P Python % </v>
      </c>
      <c r="CC318" s="4" t="str">
        <f ca="1">IFERROR(__xludf.DUMMYFUNCTION("""COMPUTED_VALUE"""),"| 5 L JAVA @ | 6 L NS @ | 9 P JAVA % ")</f>
        <v xml:space="preserve">| 5 L JAVA @ | 6 L NS @ | 9 P JAVA % </v>
      </c>
      <c r="CD318" s="4" t="str">
        <f ca="1">IFERROR(__xludf.DUMMYFUNCTION("""COMPUTED_VALUE"""),"| 5 L INE % | 7 P PHP-CGM % | 9 P NS % ")</f>
        <v xml:space="preserve">| 5 L INE % | 7 P PHP-CGM % | 9 P NS % </v>
      </c>
      <c r="CE318" s="4" t="str">
        <f ca="1">IFERROR(__xludf.DUMMYFUNCTION("""COMPUTED_VALUE"""),"| 5 L CPT % | 6 L PHP-CGM % | 9 P JAVA % | 7 P CPT % ")</f>
        <v xml:space="preserve">| 5 L CPT % | 6 L PHP-CGM % | 9 P JAVA % | 7 P CPT % </v>
      </c>
      <c r="CF318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18" s="4" t="str">
        <f ca="1">IFERROR(__xludf.DUMMYFUNCTION("""COMPUTED_VALUE"""),"| 5 L PHP-CGM @ | 6 L CPT @ | 7 L JAVA @ | 8 L NS @ ")</f>
        <v xml:space="preserve">| 5 L PHP-CGM @ | 6 L CPT @ | 7 L JAVA @ | 8 L NS @ </v>
      </c>
      <c r="CH318" s="4" t="str">
        <f ca="1">IFERROR(__xludf.DUMMYFUNCTION("""COMPUTED_VALUE"""),"| 5 L JAVA @ | 6 L NS @ | 9 P JAVA % ")</f>
        <v xml:space="preserve">| 5 L JAVA @ | 6 L NS @ | 9 P JAVA % </v>
      </c>
      <c r="CI318" s="4" t="str">
        <f ca="1">IFERROR(__xludf.DUMMYFUNCTION("""COMPUTED_VALUE"""),"| 5 L INE @ | 7 P PHP-CGM % | 9 P NS % ")</f>
        <v xml:space="preserve">| 5 L INE @ | 7 P PHP-CGM % | 9 P NS % </v>
      </c>
      <c r="CJ318" s="4" t="str">
        <f ca="1">IFERROR(__xludf.DUMMYFUNCTION("""COMPUTED_VALUE"""),"| 5 L CPT % | 6 L PHP-CGM % | 7 P CPT % ")</f>
        <v xml:space="preserve">| 5 L CPT % | 6 L PHP-CGM % | 7 P CPT % </v>
      </c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</row>
    <row r="319" spans="1:102" ht="12.5" x14ac:dyDescent="0.25">
      <c r="A319" s="3">
        <f ca="1">IFERROR(__xludf.DUMMYFUNCTION("""COMPUTED_VALUE"""),3)</f>
        <v>3</v>
      </c>
      <c r="B319" s="3" t="str">
        <f ca="1">IFERROR(__xludf.DUMMYFUNCTION("""COMPUTED_VALUE"""),"D")</f>
        <v>D</v>
      </c>
      <c r="C319" s="32" t="str">
        <f ca="1">IFERROR(__xludf.DUMMYFUNCTION("""COMPUTED_VALUE"""),"23171341149")</f>
        <v>23171341149</v>
      </c>
      <c r="D319" s="4" t="str">
        <f ca="1">IFERROR(__xludf.DUMMYFUNCTION("""COMPUTED_VALUE"""),"RANA PRATHAPSINH PRAVEENSINH")</f>
        <v>RANA PRATHAPSINH PRAVEENSINH</v>
      </c>
      <c r="E319" s="3" t="str">
        <f ca="1">IFERROR(__xludf.DUMMYFUNCTION("""COMPUTED_VALUE"""),"ZPP - Eve")</f>
        <v>ZPP - Eve</v>
      </c>
      <c r="F319" s="3">
        <f ca="1">IFERROR(__xludf.DUMMYFUNCTION("""COMPUTED_VALUE"""),9825333245)</f>
        <v>9825333245</v>
      </c>
      <c r="G319" s="3">
        <f ca="1">IFERROR(__xludf.DUMMYFUNCTION("""COMPUTED_VALUE"""),6351293597)</f>
        <v>6351293597</v>
      </c>
      <c r="H319" s="33">
        <f ca="1">IFERROR(__xludf.DUMMYFUNCTION("""COMPUTED_VALUE"""),0.76068376068376)</f>
        <v>0.76068376068375998</v>
      </c>
      <c r="I319" s="25">
        <f ca="1">IFERROR(__xludf.DUMMYFUNCTION("""COMPUTED_VALUE"""),0.771428571428571)</f>
        <v>0.77142857142857102</v>
      </c>
      <c r="J319" s="25">
        <f ca="1">IFERROR(__xludf.DUMMYFUNCTION("""COMPUTED_VALUE"""),0.636363636363636)</f>
        <v>0.63636363636363602</v>
      </c>
      <c r="K319" s="25">
        <f ca="1">IFERROR(__xludf.DUMMYFUNCTION("""COMPUTED_VALUE"""),0.75)</f>
        <v>0.75</v>
      </c>
      <c r="L319" s="25">
        <f ca="1">IFERROR(__xludf.DUMMYFUNCTION("""COMPUTED_VALUE"""),0.909090909090909)</f>
        <v>0.90909090909090895</v>
      </c>
      <c r="M319" s="25">
        <f ca="1">IFERROR(__xludf.DUMMYFUNCTION("""COMPUTED_VALUE"""),0.777777777777777)</f>
        <v>0.77777777777777701</v>
      </c>
      <c r="N319" s="25">
        <f ca="1">IFERROR(__xludf.DUMMYFUNCTION("""COMPUTED_VALUE"""),0.666666666666666)</f>
        <v>0.66666666666666596</v>
      </c>
      <c r="O319" s="25">
        <f ca="1">IFERROR(__xludf.DUMMYFUNCTION("""COMPUTED_VALUE"""),0.833333333333333)</f>
        <v>0.83333333333333304</v>
      </c>
      <c r="P319" s="25">
        <f ca="1">IFERROR(__xludf.DUMMYFUNCTION("""COMPUTED_VALUE"""),0.684210526315789)</f>
        <v>0.68421052631578905</v>
      </c>
      <c r="Q319" s="25">
        <f ca="1">IFERROR(__xludf.DUMMYFUNCTION("""COMPUTED_VALUE"""),0)</f>
        <v>0</v>
      </c>
      <c r="R319" s="25">
        <f ca="1">IFERROR(__xludf.DUMMYFUNCTION("""COMPUTED_VALUE"""),0.777777777777777)</f>
        <v>0.77777777777777701</v>
      </c>
      <c r="S319" s="25">
        <f ca="1">IFERROR(__xludf.DUMMYFUNCTION("""COMPUTED_VALUE"""),0.769230769230769)</f>
        <v>0.76923076923076905</v>
      </c>
      <c r="T319" s="25">
        <f ca="1">IFERROR(__xludf.DUMMYFUNCTION("""COMPUTED_VALUE"""),0)</f>
        <v>0</v>
      </c>
      <c r="U319" s="25">
        <f ca="1">IFERROR(__xludf.DUMMYFUNCTION("""COMPUTED_VALUE"""),0.7)</f>
        <v>0.7</v>
      </c>
      <c r="V319" s="25">
        <f ca="1">IFERROR(__xludf.DUMMYFUNCTION("""COMPUTED_VALUE"""),0)</f>
        <v>0</v>
      </c>
      <c r="W319" s="4"/>
      <c r="X319" s="4" t="str">
        <f ca="1">IFERROR(__xludf.DUMMYFUNCTION("""COMPUTED_VALUE"""),"| 5 L JAVA % | 6 L NS @ | 7 L PHP-CGM % | 8 L CPT % ")</f>
        <v xml:space="preserve">| 5 L JAVA % | 6 L NS @ | 7 L PHP-CGM % | 8 L CPT % </v>
      </c>
      <c r="Y319" s="4" t="str">
        <f ca="1">IFERROR(__xludf.DUMMYFUNCTION("""COMPUTED_VALUE"""),"| 5 L PHP-CGM % | 6 L CPT % | 7 L NS % | 8 L JAVA % ")</f>
        <v xml:space="preserve">| 5 L PHP-CGM % | 6 L CPT % | 7 L NS % | 8 L JAVA % </v>
      </c>
      <c r="Z319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19" s="4" t="str">
        <f ca="1">IFERROR(__xludf.DUMMYFUNCTION("""COMPUTED_VALUE"""),"| 7 P PHP-CGM % | 9 P NS % ")</f>
        <v xml:space="preserve">| 7 P PHP-CGM % | 9 P NS % </v>
      </c>
      <c r="AB319" s="4" t="str">
        <f ca="1">IFERROR(__xludf.DUMMYFUNCTION("""COMPUTED_VALUE"""),"| 5 L JAVA % | 6 L PHP-CGM % | 7 P CPT % | 9 P JAVA % ")</f>
        <v xml:space="preserve">| 5 L JAVA % | 6 L PHP-CGM % | 7 P CPT % | 9 P JAVA % </v>
      </c>
      <c r="AC319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19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19" s="4" t="str">
        <f ca="1">IFERROR(__xludf.DUMMYFUNCTION("""COMPUTED_VALUE"""),"| 5 L JAVA @ | 6 L NS @ | 7 L PRO @ | 9 P JAVA @ ")</f>
        <v xml:space="preserve">| 5 L JAVA @ | 6 L NS @ | 7 L PRO @ | 9 P JAVA @ </v>
      </c>
      <c r="AF319" s="4" t="str">
        <f ca="1">IFERROR(__xludf.DUMMYFUNCTION("""COMPUTED_VALUE"""),"| 7 P PHP-CGM % | 9 P NS % ")</f>
        <v xml:space="preserve">| 7 P PHP-CGM % | 9 P NS % </v>
      </c>
      <c r="AG319" s="4" t="str">
        <f ca="1">IFERROR(__xludf.DUMMYFUNCTION("""COMPUTED_VALUE"""),"| 5 L CPT % | 6 L PHP-CGM % | 7 P CPT % | 9 P JAVA @ ")</f>
        <v xml:space="preserve">| 5 L CPT % | 6 L PHP-CGM % | 7 P CPT % | 9 P JAVA @ </v>
      </c>
      <c r="AH319" s="4" t="str">
        <f ca="1">IFERROR(__xludf.DUMMYFUNCTION("""COMPUTED_VALUE"""),"| 7 P PHP-CGM % | 9 P NS % ")</f>
        <v xml:space="preserve">| 7 P PHP-CGM % | 9 P NS % </v>
      </c>
      <c r="AI319" s="4" t="str">
        <f ca="1">IFERROR(__xludf.DUMMYFUNCTION("""COMPUTED_VALUE"""),"| 5 L CPT % | 6 L PHP-CGM % | 7 P CPT % | 9 P JAVA % ")</f>
        <v xml:space="preserve">| 5 L CPT % | 6 L PHP-CGM % | 7 P CPT % | 9 P JAVA % </v>
      </c>
      <c r="AJ319" s="4" t="str">
        <f ca="1">IFERROR(__xludf.DUMMYFUNCTION("""COMPUTED_VALUE"""),"| 5 L JAVA % | 6 L NS % | 7 L PHP-CGM % | 8 L CPT % ")</f>
        <v xml:space="preserve">| 5 L JAVA % | 6 L NS % | 7 L PHP-CGM % | 8 L CPT % </v>
      </c>
      <c r="AK319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19" s="4" t="str">
        <f ca="1">IFERROR(__xludf.DUMMYFUNCTION("""COMPUTED_VALUE"""),"| 6 L NS % | 7 L NS % | 7 L PRO % | 8 L PRO % | 9 P JAVA % ")</f>
        <v xml:space="preserve">| 6 L NS % | 7 L NS % | 7 L PRO % | 8 L PRO % | 9 P JAVA % </v>
      </c>
      <c r="AM319" s="4" t="str">
        <f ca="1">IFERROR(__xludf.DUMMYFUNCTION("""COMPUTED_VALUE"""),"| 5 L INE % | 7 P PHP-CGM % | 9 P NS % ")</f>
        <v xml:space="preserve">| 5 L INE % | 7 P PHP-CGM % | 9 P NS % </v>
      </c>
      <c r="AN319" s="4" t="str">
        <f ca="1">IFERROR(__xludf.DUMMYFUNCTION("""COMPUTED_VALUE"""),"| 5 L CPT % | 6 L PHP-CGM % | 7 P CPT % | 9 P JAVA % ")</f>
        <v xml:space="preserve">| 5 L CPT % | 6 L PHP-CGM % | 7 P CPT % | 9 P JAVA % </v>
      </c>
      <c r="AO319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19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19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19" s="4" t="str">
        <f ca="1">IFERROR(__xludf.DUMMYFUNCTION("""COMPUTED_VALUE"""),"| 5 L INE % ")</f>
        <v xml:space="preserve">| 5 L INE % </v>
      </c>
      <c r="AS319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19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19" s="4" t="str">
        <f ca="1">IFERROR(__xludf.DUMMYFUNCTION("""COMPUTED_VALUE"""),"| 5 L JAVA @ | 6 L NS @ | 5 P PRO @ | 9 P JAVA @ ")</f>
        <v xml:space="preserve">| 5 L JAVA @ | 6 L NS @ | 5 P PRO @ | 9 P JAVA @ </v>
      </c>
      <c r="AV319" s="4" t="str">
        <f ca="1">IFERROR(__xludf.DUMMYFUNCTION("""COMPUTED_VALUE"""),"| 5 L INE @ | 7 P PHP-CGM @ | 9 P NS @ ")</f>
        <v xml:space="preserve">| 5 L INE @ | 7 P PHP-CGM @ | 9 P NS @ </v>
      </c>
      <c r="AW319" s="4" t="str">
        <f ca="1">IFERROR(__xludf.DUMMYFUNCTION("""COMPUTED_VALUE"""),"| 5 L CPT @ | 6 L PHP-CGM @ | 7 P CPT @ | 9 P JAVA @ ")</f>
        <v xml:space="preserve">| 5 L CPT @ | 6 L PHP-CGM @ | 7 P CPT @ | 9 P JAVA @ </v>
      </c>
      <c r="AX319" s="4" t="str">
        <f ca="1">IFERROR(__xludf.DUMMYFUNCTION("""COMPUTED_VALUE"""),"| 5 L JAVA % | 6 L JAVA % | 7 L PHP-CGM % | 8 L CPT % | 9 P Python @ ")</f>
        <v xml:space="preserve">| 5 L JAVA % | 6 L JAVA % | 7 L PHP-CGM % | 8 L CPT % | 9 P Python @ </v>
      </c>
      <c r="AY319" s="4" t="str">
        <f ca="1">IFERROR(__xludf.DUMMYFUNCTION("""COMPUTED_VALUE"""),"| 5 L PHP-CGM @ | 6 L CPT @ | 7 L NS @ | 8 L NS @ | 9 P Python @ ")</f>
        <v xml:space="preserve">| 5 L PHP-CGM @ | 6 L CPT @ | 7 L NS @ | 8 L NS @ | 9 P Python @ </v>
      </c>
      <c r="AZ319" s="4" t="str">
        <f ca="1">IFERROR(__xludf.DUMMYFUNCTION("""COMPUTED_VALUE"""),"| 5 L INE @ | 7 P PHP-CGM @ ")</f>
        <v xml:space="preserve">| 5 L INE @ | 7 P PHP-CGM @ </v>
      </c>
      <c r="BA319" s="4" t="str">
        <f ca="1">IFERROR(__xludf.DUMMYFUNCTION("""COMPUTED_VALUE"""),"| 5 L CPT @ | 6 L PHP-CGM @ | 7 P CPT @ ")</f>
        <v xml:space="preserve">| 5 L CPT @ | 6 L PHP-CGM @ | 7 P CPT @ </v>
      </c>
      <c r="BB31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19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19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19" s="4" t="str">
        <f ca="1">IFERROR(__xludf.DUMMYFUNCTION("""COMPUTED_VALUE"""),"| 5 L INE % | 7 P PHP-CGM % | 9 P NS % ")</f>
        <v xml:space="preserve">| 5 L INE % | 7 P PHP-CGM % | 9 P NS % </v>
      </c>
      <c r="BF319" s="4" t="str">
        <f ca="1">IFERROR(__xludf.DUMMYFUNCTION("""COMPUTED_VALUE"""),"| 5 L CPT % | 6 L PHP-CGM % | 7 P CPT % ")</f>
        <v xml:space="preserve">| 5 L CPT % | 6 L PHP-CGM % | 7 P CPT % </v>
      </c>
      <c r="BG319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19" s="4" t="str">
        <f ca="1">IFERROR(__xludf.DUMMYFUNCTION("""COMPUTED_VALUE"""),"| 5 L JAVA % | 6 L NS % | 7 L PRO % | 9 P JAVA % ")</f>
        <v xml:space="preserve">| 5 L JAVA % | 6 L NS % | 7 L PRO % | 9 P JAVA % </v>
      </c>
      <c r="BI319" s="4" t="str">
        <f ca="1">IFERROR(__xludf.DUMMYFUNCTION("""COMPUTED_VALUE"""),"| 5 L INE % | 7 P PHP-CGM % | 9 P NS % ")</f>
        <v xml:space="preserve">| 5 L INE % | 7 P PHP-CGM % | 9 P NS % </v>
      </c>
      <c r="BJ319" s="4" t="str">
        <f ca="1">IFERROR(__xludf.DUMMYFUNCTION("""COMPUTED_VALUE"""),"| 5 L CPT % | 6 L PHP-CGM % | 7 P CPT % | 9 P JAVA % ")</f>
        <v xml:space="preserve">| 5 L CPT % | 6 L PHP-CGM % | 7 P CPT % | 9 P JAVA % </v>
      </c>
      <c r="BK319" s="4" t="str">
        <f ca="1">IFERROR(__xludf.DUMMYFUNCTION("""COMPUTED_VALUE"""),"| 5 L JAVA % | 7 L PHP-CGM % | 8 L CPT % | 9 P Python % ")</f>
        <v xml:space="preserve">| 5 L JAVA % | 7 L PHP-CGM % | 8 L CPT % | 9 P Python % </v>
      </c>
      <c r="BL319" s="4" t="str">
        <f ca="1">IFERROR(__xludf.DUMMYFUNCTION("""COMPUTED_VALUE"""),"| 5 L PHP-CGM % | 6 L CPT % | 8 L NS % ")</f>
        <v xml:space="preserve">| 5 L PHP-CGM % | 6 L CPT % | 8 L NS % </v>
      </c>
      <c r="BM319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19" s="4" t="str">
        <f ca="1">IFERROR(__xludf.DUMMYFUNCTION("""COMPUTED_VALUE"""),"| 5 L INE % | 7 P PHP-CGM @ | 9 P NS % ")</f>
        <v xml:space="preserve">| 5 L INE % | 7 P PHP-CGM @ | 9 P NS % </v>
      </c>
      <c r="BO319" s="4" t="str">
        <f ca="1">IFERROR(__xludf.DUMMYFUNCTION("""COMPUTED_VALUE"""),"| 5 L CPT % | 6 L PHP-CGM % ")</f>
        <v xml:space="preserve">| 5 L CPT % | 6 L PHP-CGM % </v>
      </c>
      <c r="BP319" s="4" t="str">
        <f ca="1">IFERROR(__xludf.DUMMYFUNCTION("""COMPUTED_VALUE"""),"| 5 L JAVA % | 6 L JAVA % | 7 L PHP-CGM % | 8 L CPT % ")</f>
        <v xml:space="preserve">| 5 L JAVA % | 6 L JAVA % | 7 L PHP-CGM % | 8 L CPT % </v>
      </c>
      <c r="BQ319" s="4" t="str">
        <f ca="1">IFERROR(__xludf.DUMMYFUNCTION("""COMPUTED_VALUE"""),"| 5 L JAVA % ")</f>
        <v xml:space="preserve">| 5 L JAVA % </v>
      </c>
      <c r="BR319" s="4"/>
      <c r="BS319" s="4"/>
      <c r="BT319" s="4" t="str">
        <f ca="1">IFERROR(__xludf.DUMMYFUNCTION("""COMPUTED_VALUE"""),"| 7 L PHP-CGM @ | 8 L CPT @ ")</f>
        <v xml:space="preserve">| 7 L PHP-CGM @ | 8 L CPT @ </v>
      </c>
      <c r="BU319" s="4" t="str">
        <f ca="1">IFERROR(__xludf.DUMMYFUNCTION("""COMPUTED_VALUE"""),"| 8 L NS @ ")</f>
        <v xml:space="preserve">| 8 L NS @ </v>
      </c>
      <c r="BV31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W319" s="4" t="str">
        <f ca="1">IFERROR(__xludf.DUMMYFUNCTION("""COMPUTED_VALUE"""),"| 9 P Python % ")</f>
        <v xml:space="preserve">| 9 P Python % </v>
      </c>
      <c r="BX319" s="4" t="str">
        <f ca="1">IFERROR(__xludf.DUMMYFUNCTION("""COMPUTED_VALUE"""),"| 5 L JAVA % | 6 L NS % | 7 L PRO % | 9 P JAVA % ")</f>
        <v xml:space="preserve">| 5 L JAVA % | 6 L NS % | 7 L PRO % | 9 P JAVA % </v>
      </c>
      <c r="BY319" s="4" t="str">
        <f ca="1">IFERROR(__xludf.DUMMYFUNCTION("""COMPUTED_VALUE"""),"| 5 L INE @ | 7 P PHP-CGM % | 9 P NS % ")</f>
        <v xml:space="preserve">| 5 L INE @ | 7 P PHP-CGM % | 9 P NS % </v>
      </c>
      <c r="BZ319" s="4" t="str">
        <f ca="1">IFERROR(__xludf.DUMMYFUNCTION("""COMPUTED_VALUE"""),"| 5 L CPT % | 6 L PHP-CGM % | 7 P CPT % | 9 P JAVA % ")</f>
        <v xml:space="preserve">| 5 L CPT % | 6 L PHP-CGM % | 7 P CPT % | 9 P JAVA % </v>
      </c>
      <c r="CA319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19" s="4" t="str">
        <f ca="1">IFERROR(__xludf.DUMMYFUNCTION("""COMPUTED_VALUE"""),"| 5 L PHP-CGM % | 6 L CPT % | 7 L NS % | 9 P Python % ")</f>
        <v xml:space="preserve">| 5 L PHP-CGM % | 6 L CPT % | 7 L NS % | 9 P Python % </v>
      </c>
      <c r="CC319" s="4" t="str">
        <f ca="1">IFERROR(__xludf.DUMMYFUNCTION("""COMPUTED_VALUE"""),"| 5 L JAVA % | 6 L NS % | 9 P JAVA % ")</f>
        <v xml:space="preserve">| 5 L JAVA % | 6 L NS % | 9 P JAVA % </v>
      </c>
      <c r="CD319" s="4" t="str">
        <f ca="1">IFERROR(__xludf.DUMMYFUNCTION("""COMPUTED_VALUE"""),"| 5 L INE % | 7 P PHP-CGM % | 9 P NS % ")</f>
        <v xml:space="preserve">| 5 L INE % | 7 P PHP-CGM % | 9 P NS % </v>
      </c>
      <c r="CE319" s="4" t="str">
        <f ca="1">IFERROR(__xludf.DUMMYFUNCTION("""COMPUTED_VALUE"""),"| 5 L CPT @ | 6 L PHP-CGM @ | 9 P JAVA @ | 7 P CPT @ ")</f>
        <v xml:space="preserve">| 5 L CPT @ | 6 L PHP-CGM @ | 9 P JAVA @ | 7 P CPT @ </v>
      </c>
      <c r="CF31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19" s="4" t="str">
        <f ca="1">IFERROR(__xludf.DUMMYFUNCTION("""COMPUTED_VALUE"""),"| 5 L PHP-CGM @ | 6 L CPT @ | 7 L JAVA % | 8 L NS % ")</f>
        <v xml:space="preserve">| 5 L PHP-CGM @ | 6 L CPT @ | 7 L JAVA % | 8 L NS % </v>
      </c>
      <c r="CH319" s="4" t="str">
        <f ca="1">IFERROR(__xludf.DUMMYFUNCTION("""COMPUTED_VALUE"""),"| 5 L JAVA % | 6 L NS % | 9 P JAVA % ")</f>
        <v xml:space="preserve">| 5 L JAVA % | 6 L NS % | 9 P JAVA % </v>
      </c>
      <c r="CI319" s="4" t="str">
        <f ca="1">IFERROR(__xludf.DUMMYFUNCTION("""COMPUTED_VALUE"""),"| 5 L INE % | 7 P PHP-CGM @ | 9 P NS % ")</f>
        <v xml:space="preserve">| 5 L INE % | 7 P PHP-CGM @ | 9 P NS % </v>
      </c>
      <c r="CJ319" s="4" t="str">
        <f ca="1">IFERROR(__xludf.DUMMYFUNCTION("""COMPUTED_VALUE"""),"| 5 L CPT % | 6 L PHP-CGM % | 7 P CPT @ ")</f>
        <v xml:space="preserve">| 5 L CPT % | 6 L PHP-CGM % | 7 P CPT @ </v>
      </c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</row>
    <row r="320" spans="1:102" ht="12.5" x14ac:dyDescent="0.25">
      <c r="A320" s="3">
        <f ca="1">IFERROR(__xludf.DUMMYFUNCTION("""COMPUTED_VALUE"""),3)</f>
        <v>3</v>
      </c>
      <c r="B320" s="3" t="str">
        <f ca="1">IFERROR(__xludf.DUMMYFUNCTION("""COMPUTED_VALUE"""),"D")</f>
        <v>D</v>
      </c>
      <c r="C320" s="32" t="str">
        <f ca="1">IFERROR(__xludf.DUMMYFUNCTION("""COMPUTED_VALUE"""),"23171341151")</f>
        <v>23171341151</v>
      </c>
      <c r="D320" s="4" t="str">
        <f ca="1">IFERROR(__xludf.DUMMYFUNCTION("""COMPUTED_VALUE"""),"RATHOD NIRAV MAHESHBHAI")</f>
        <v>RATHOD NIRAV MAHESHBHAI</v>
      </c>
      <c r="E320" s="3" t="str">
        <f ca="1">IFERROR(__xludf.DUMMYFUNCTION("""COMPUTED_VALUE"""),"ZPP - Eve")</f>
        <v>ZPP - Eve</v>
      </c>
      <c r="F320" s="3">
        <f ca="1">IFERROR(__xludf.DUMMYFUNCTION("""COMPUTED_VALUE"""),9586729161)</f>
        <v>9586729161</v>
      </c>
      <c r="G320" s="3"/>
      <c r="H320" s="33">
        <f ca="1">IFERROR(__xludf.DUMMYFUNCTION("""COMPUTED_VALUE"""),0.123931623931623)</f>
        <v>0.12393162393162301</v>
      </c>
      <c r="I320" s="25">
        <f ca="1">IFERROR(__xludf.DUMMYFUNCTION("""COMPUTED_VALUE"""),0.142857142857142)</f>
        <v>0.14285714285714199</v>
      </c>
      <c r="J320" s="25">
        <f ca="1">IFERROR(__xludf.DUMMYFUNCTION("""COMPUTED_VALUE"""),0.272727272727272)</f>
        <v>0.27272727272727199</v>
      </c>
      <c r="K320" s="25">
        <f ca="1">IFERROR(__xludf.DUMMYFUNCTION("""COMPUTED_VALUE"""),0.125)</f>
        <v>0.125</v>
      </c>
      <c r="L320" s="25">
        <f ca="1">IFERROR(__xludf.DUMMYFUNCTION("""COMPUTED_VALUE"""),0.272727272727272)</f>
        <v>0.27272727272727199</v>
      </c>
      <c r="M320" s="25">
        <f ca="1">IFERROR(__xludf.DUMMYFUNCTION("""COMPUTED_VALUE"""),0.138888888888888)</f>
        <v>0.13888888888888801</v>
      </c>
      <c r="N320" s="25">
        <f ca="1">IFERROR(__xludf.DUMMYFUNCTION("""COMPUTED_VALUE"""),0.166666666666666)</f>
        <v>0.16666666666666599</v>
      </c>
      <c r="O320" s="25">
        <f ca="1">IFERROR(__xludf.DUMMYFUNCTION("""COMPUTED_VALUE"""),0.0555555555555555)</f>
        <v>5.5555555555555497E-2</v>
      </c>
      <c r="P320" s="25">
        <f ca="1">IFERROR(__xludf.DUMMYFUNCTION("""COMPUTED_VALUE"""),0.105263157894736)</f>
        <v>0.105263157894736</v>
      </c>
      <c r="Q320" s="25">
        <f ca="1">IFERROR(__xludf.DUMMYFUNCTION("""COMPUTED_VALUE"""),0)</f>
        <v>0</v>
      </c>
      <c r="R320" s="25">
        <f ca="1">IFERROR(__xludf.DUMMYFUNCTION("""COMPUTED_VALUE"""),0)</f>
        <v>0</v>
      </c>
      <c r="S320" s="25">
        <f ca="1">IFERROR(__xludf.DUMMYFUNCTION("""COMPUTED_VALUE"""),0.153846153846153)</f>
        <v>0.15384615384615299</v>
      </c>
      <c r="T320" s="25">
        <f ca="1">IFERROR(__xludf.DUMMYFUNCTION("""COMPUTED_VALUE"""),0)</f>
        <v>0</v>
      </c>
      <c r="U320" s="25">
        <f ca="1">IFERROR(__xludf.DUMMYFUNCTION("""COMPUTED_VALUE"""),0.1)</f>
        <v>0.1</v>
      </c>
      <c r="V320" s="25">
        <f ca="1">IFERROR(__xludf.DUMMYFUNCTION("""COMPUTED_VALUE"""),0)</f>
        <v>0</v>
      </c>
      <c r="W320" s="4"/>
      <c r="X320" s="4" t="str">
        <f ca="1">IFERROR(__xludf.DUMMYFUNCTION("""COMPUTED_VALUE"""),"| 5 L JAVA @ | 6 L NS @ | 7 L PHP-CGM @ | 8 L CPT @ ")</f>
        <v xml:space="preserve">| 5 L JAVA @ | 6 L NS @ | 7 L PHP-CGM @ | 8 L CPT @ </v>
      </c>
      <c r="Y320" s="4" t="str">
        <f ca="1">IFERROR(__xludf.DUMMYFUNCTION("""COMPUTED_VALUE"""),"| 5 L PHP-CGM @ | 6 L CPT @ | 7 L NS @ | 8 L JAVA @ ")</f>
        <v xml:space="preserve">| 5 L PHP-CGM @ | 6 L CPT @ | 7 L NS @ | 8 L JAVA @ </v>
      </c>
      <c r="Z320" s="4" t="str">
        <f ca="1">IFERROR(__xludf.DUMMYFUNCTION("""COMPUTED_VALUE"""),"| 5 L NS @ | 6 L JAVA @ | 7 L PRO @ | 8 L PRO @ | 9 P JAVA @ ")</f>
        <v xml:space="preserve">| 5 L NS @ | 6 L JAVA @ | 7 L PRO @ | 8 L PRO @ | 9 P JAVA @ </v>
      </c>
      <c r="AA320" s="4" t="str">
        <f ca="1">IFERROR(__xludf.DUMMYFUNCTION("""COMPUTED_VALUE"""),"| 7 P PHP-CGM @ | 9 P NS @ ")</f>
        <v xml:space="preserve">| 7 P PHP-CGM @ | 9 P NS @ </v>
      </c>
      <c r="AB320" s="4" t="str">
        <f ca="1">IFERROR(__xludf.DUMMYFUNCTION("""COMPUTED_VALUE"""),"| 5 L JAVA @ | 6 L PHP-CGM @ | 7 P CPT @ | 9 P JAVA @ ")</f>
        <v xml:space="preserve">| 5 L JAVA @ | 6 L PHP-CGM @ | 7 P CPT @ | 9 P JAVA @ </v>
      </c>
      <c r="AC320" s="4" t="str">
        <f ca="1">IFERROR(__xludf.DUMMYFUNCTION("""COMPUTED_VALUE"""),"| 5 L JAVA @ | 6 L NS @ | 7 L PHP-CGM @ | 9 P Python @ | 8 L CPT @ ")</f>
        <v xml:space="preserve">| 5 L JAVA @ | 6 L NS @ | 7 L PHP-CGM @ | 9 P Python @ | 8 L CPT @ </v>
      </c>
      <c r="AD320" s="4" t="str">
        <f ca="1">IFERROR(__xludf.DUMMYFUNCTION("""COMPUTED_VALUE"""),"| 5 L PHP-CGM % | 6 L CPT % | 7 L NS % | 8 L JAVA % | 9 P Python @ ")</f>
        <v xml:space="preserve">| 5 L PHP-CGM % | 6 L CPT % | 7 L NS % | 8 L JAVA % | 9 P Python @ </v>
      </c>
      <c r="AE320" s="4" t="str">
        <f ca="1">IFERROR(__xludf.DUMMYFUNCTION("""COMPUTED_VALUE"""),"| 5 L JAVA @ | 6 L NS @ | 7 L PRO @ | 9 P JAVA @ ")</f>
        <v xml:space="preserve">| 5 L JAVA @ | 6 L NS @ | 7 L PRO @ | 9 P JAVA @ </v>
      </c>
      <c r="AF320" s="4" t="str">
        <f ca="1">IFERROR(__xludf.DUMMYFUNCTION("""COMPUTED_VALUE"""),"| 7 P PHP-CGM % | 9 P NS % ")</f>
        <v xml:space="preserve">| 7 P PHP-CGM % | 9 P NS % </v>
      </c>
      <c r="AG320" s="4" t="str">
        <f ca="1">IFERROR(__xludf.DUMMYFUNCTION("""COMPUTED_VALUE"""),"| 5 L CPT % | 6 L PHP-CGM % | 7 P CPT % | 9 P JAVA @ ")</f>
        <v xml:space="preserve">| 5 L CPT % | 6 L PHP-CGM % | 7 P CPT % | 9 P JAVA @ </v>
      </c>
      <c r="AH320" s="4" t="str">
        <f ca="1">IFERROR(__xludf.DUMMYFUNCTION("""COMPUTED_VALUE"""),"| 7 P PHP-CGM % | 9 P NS % ")</f>
        <v xml:space="preserve">| 7 P PHP-CGM % | 9 P NS % </v>
      </c>
      <c r="AI320" s="4" t="str">
        <f ca="1">IFERROR(__xludf.DUMMYFUNCTION("""COMPUTED_VALUE"""),"| 5 L CPT % | 6 L PHP-CGM % | 7 P CPT % | 9 P JAVA @ ")</f>
        <v xml:space="preserve">| 5 L CPT % | 6 L PHP-CGM % | 7 P CPT % | 9 P JAVA @ </v>
      </c>
      <c r="AJ320" s="4" t="str">
        <f ca="1">IFERROR(__xludf.DUMMYFUNCTION("""COMPUTED_VALUE"""),"| 5 L JAVA @ | 6 L NS @ | 7 L PHP-CGM @ | 8 L CPT @ ")</f>
        <v xml:space="preserve">| 5 L JAVA @ | 6 L NS @ | 7 L PHP-CGM @ | 8 L CPT @ </v>
      </c>
      <c r="AK320" s="4" t="str">
        <f ca="1">IFERROR(__xludf.DUMMYFUNCTION("""COMPUTED_VALUE"""),"| 5 L PHP-CGM % | 6 L CPT % | 8 L JAVA % | 7 L NS % | 9 P Python @ ")</f>
        <v xml:space="preserve">| 5 L PHP-CGM % | 6 L CPT % | 8 L JAVA % | 7 L NS % | 9 P Python @ </v>
      </c>
      <c r="AL320" s="4" t="str">
        <f ca="1">IFERROR(__xludf.DUMMYFUNCTION("""COMPUTED_VALUE"""),"| 6 L NS % | 7 L NS % | 7 L PRO % | 8 L PRO % | 9 P JAVA % ")</f>
        <v xml:space="preserve">| 6 L NS % | 7 L NS % | 7 L PRO % | 8 L PRO % | 9 P JAVA % </v>
      </c>
      <c r="AM320" s="4" t="str">
        <f ca="1">IFERROR(__xludf.DUMMYFUNCTION("""COMPUTED_VALUE"""),"| 5 L INE % | 7 P PHP-CGM @ | 9 P NS % ")</f>
        <v xml:space="preserve">| 5 L INE % | 7 P PHP-CGM @ | 9 P NS % </v>
      </c>
      <c r="AN320" s="4" t="str">
        <f ca="1">IFERROR(__xludf.DUMMYFUNCTION("""COMPUTED_VALUE"""),"| 5 L CPT % | 6 L PHP-CGM % | 7 P CPT % | 9 P JAVA % ")</f>
        <v xml:space="preserve">| 5 L CPT % | 6 L PHP-CGM % | 7 P CPT % | 9 P JAVA % </v>
      </c>
      <c r="AO320" s="4" t="str">
        <f ca="1">IFERROR(__xludf.DUMMYFUNCTION("""COMPUTED_VALUE"""),"| 5 L JAVA @ | 5 L NS @ | 7 L PHP-CGM @ | 8 L CPT @ | 9 P Python @ ")</f>
        <v xml:space="preserve">| 5 L JAVA @ | 5 L NS @ | 7 L PHP-CGM @ | 8 L CPT @ | 9 P Python @ </v>
      </c>
      <c r="AP320" s="4" t="str">
        <f ca="1">IFERROR(__xludf.DUMMYFUNCTION("""COMPUTED_VALUE"""),"| 5 L PHP-CGM @ | 6 L CPT @ | 7 L JAVA @ | 7 L NS @ | 9 P Python @ ")</f>
        <v xml:space="preserve">| 5 L PHP-CGM @ | 6 L CPT @ | 7 L JAVA @ | 7 L NS @ | 9 P Python @ </v>
      </c>
      <c r="AQ320" s="4" t="str">
        <f ca="1">IFERROR(__xludf.DUMMYFUNCTION("""COMPUTED_VALUE"""),"| 5 L JAVA @ | 6 L NS @ | 7 L PRO @ | 8 L PRO @ | 9 P JAVA @ ")</f>
        <v xml:space="preserve">| 5 L JAVA @ | 6 L NS @ | 7 L PRO @ | 8 L PRO @ | 9 P JAVA @ </v>
      </c>
      <c r="AR320" s="4" t="str">
        <f ca="1">IFERROR(__xludf.DUMMYFUNCTION("""COMPUTED_VALUE"""),"| 5 L INE @ ")</f>
        <v xml:space="preserve">| 5 L INE @ </v>
      </c>
      <c r="AS320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20" s="4" t="str">
        <f ca="1">IFERROR(__xludf.DUMMYFUNCTION("""COMPUTED_VALUE"""),"| 5 L PHP-CGM @ | 6 L CPT @ | 7 L JAVA @ | 8 L JAVA @ | 9 P Python @ ")</f>
        <v xml:space="preserve">| 5 L PHP-CGM @ | 6 L CPT @ | 7 L JAVA @ | 8 L JAVA @ | 9 P Python @ </v>
      </c>
      <c r="AU320" s="4" t="str">
        <f ca="1">IFERROR(__xludf.DUMMYFUNCTION("""COMPUTED_VALUE"""),"| 5 L JAVA @ | 6 L NS @ | 5 P PRO @ | 9 P JAVA @ ")</f>
        <v xml:space="preserve">| 5 L JAVA @ | 6 L NS @ | 5 P PRO @ | 9 P JAVA @ </v>
      </c>
      <c r="AV320" s="4" t="str">
        <f ca="1">IFERROR(__xludf.DUMMYFUNCTION("""COMPUTED_VALUE"""),"| 5 L INE @ | 7 P PHP-CGM @ | 9 P NS @ ")</f>
        <v xml:space="preserve">| 5 L INE @ | 7 P PHP-CGM @ | 9 P NS @ </v>
      </c>
      <c r="AW320" s="4" t="str">
        <f ca="1">IFERROR(__xludf.DUMMYFUNCTION("""COMPUTED_VALUE"""),"| 5 L CPT @ | 6 L PHP-CGM @ | 7 P CPT @ | 9 P JAVA @ ")</f>
        <v xml:space="preserve">| 5 L CPT @ | 6 L PHP-CGM @ | 7 P CPT @ | 9 P JAVA @ </v>
      </c>
      <c r="AX320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AY320" s="4" t="str">
        <f ca="1">IFERROR(__xludf.DUMMYFUNCTION("""COMPUTED_VALUE"""),"| 5 L PHP-CGM @ | 6 L CPT @ | 7 L NS @ | 8 L NS @ | 9 P Python @ ")</f>
        <v xml:space="preserve">| 5 L PHP-CGM @ | 6 L CPT @ | 7 L NS @ | 8 L NS @ | 9 P Python @ </v>
      </c>
      <c r="AZ320" s="4" t="str">
        <f ca="1">IFERROR(__xludf.DUMMYFUNCTION("""COMPUTED_VALUE"""),"| 5 L INE @ | 7 P PHP-CGM @ ")</f>
        <v xml:space="preserve">| 5 L INE @ | 7 P PHP-CGM @ </v>
      </c>
      <c r="BA320" s="4" t="str">
        <f ca="1">IFERROR(__xludf.DUMMYFUNCTION("""COMPUTED_VALUE"""),"| 5 L CPT @ | 6 L PHP-CGM @ | 7 P CPT @ ")</f>
        <v xml:space="preserve">| 5 L CPT @ | 6 L PHP-CGM @ | 7 P CPT @ </v>
      </c>
      <c r="BB320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C320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D320" s="4" t="str">
        <f ca="1">IFERROR(__xludf.DUMMYFUNCTION("""COMPUTED_VALUE"""),"| 5 L JAVA @ | 6 L NS @ | 7 L PRO @ | 8 L PRO @ | 9 P JAVA @ ")</f>
        <v xml:space="preserve">| 5 L JAVA @ | 6 L NS @ | 7 L PRO @ | 8 L PRO @ | 9 P JAVA @ </v>
      </c>
      <c r="BE320" s="4" t="str">
        <f ca="1">IFERROR(__xludf.DUMMYFUNCTION("""COMPUTED_VALUE"""),"| 5 L INE @ | 7 P PHP-CGM @ | 9 P NS @ ")</f>
        <v xml:space="preserve">| 5 L INE @ | 7 P PHP-CGM @ | 9 P NS @ </v>
      </c>
      <c r="BF320" s="4" t="str">
        <f ca="1">IFERROR(__xludf.DUMMYFUNCTION("""COMPUTED_VALUE"""),"| 5 L CPT @ | 6 L PHP-CGM @ | 7 P CPT @ ")</f>
        <v xml:space="preserve">| 5 L CPT @ | 6 L PHP-CGM @ | 7 P CPT @ </v>
      </c>
      <c r="BG320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H320" s="4" t="str">
        <f ca="1">IFERROR(__xludf.DUMMYFUNCTION("""COMPUTED_VALUE"""),"| 5 L JAVA @ | 6 L NS @ | 7 L PRO @ | 9 P JAVA @ ")</f>
        <v xml:space="preserve">| 5 L JAVA @ | 6 L NS @ | 7 L PRO @ | 9 P JAVA @ </v>
      </c>
      <c r="BI320" s="4" t="str">
        <f ca="1">IFERROR(__xludf.DUMMYFUNCTION("""COMPUTED_VALUE"""),"| 5 L INE @ | 7 P PHP-CGM @ | 9 P NS @ ")</f>
        <v xml:space="preserve">| 5 L INE @ | 7 P PHP-CGM @ | 9 P NS @ </v>
      </c>
      <c r="BJ320" s="4" t="str">
        <f ca="1">IFERROR(__xludf.DUMMYFUNCTION("""COMPUTED_VALUE"""),"| 5 L CPT @ | 6 L PHP-CGM @ | 7 P CPT @ | 9 P JAVA @ ")</f>
        <v xml:space="preserve">| 5 L CPT @ | 6 L PHP-CGM @ | 7 P CPT @ | 9 P JAVA @ </v>
      </c>
      <c r="BK320" s="4" t="str">
        <f ca="1">IFERROR(__xludf.DUMMYFUNCTION("""COMPUTED_VALUE"""),"| 5 L JAVA @ | 7 L PHP-CGM @ | 8 L CPT @ | 9 P Python @ ")</f>
        <v xml:space="preserve">| 5 L JAVA @ | 7 L PHP-CGM @ | 8 L CPT @ | 9 P Python @ </v>
      </c>
      <c r="BL320" s="4" t="str">
        <f ca="1">IFERROR(__xludf.DUMMYFUNCTION("""COMPUTED_VALUE"""),"| 5 L PHP-CGM @ | 6 L CPT @ | 8 L NS @ ")</f>
        <v xml:space="preserve">| 5 L PHP-CGM @ | 6 L CPT @ | 8 L NS @ </v>
      </c>
      <c r="BM320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20" s="4" t="str">
        <f ca="1">IFERROR(__xludf.DUMMYFUNCTION("""COMPUTED_VALUE"""),"| 5 L INE @ | 7 P PHP-CGM @ | 9 P NS @ ")</f>
        <v xml:space="preserve">| 5 L INE @ | 7 P PHP-CGM @ | 9 P NS @ </v>
      </c>
      <c r="BO320" s="4" t="str">
        <f ca="1">IFERROR(__xludf.DUMMYFUNCTION("""COMPUTED_VALUE"""),"| 5 L CPT @ | 6 L PHP-CGM @ ")</f>
        <v xml:space="preserve">| 5 L CPT @ | 6 L PHP-CGM @ </v>
      </c>
      <c r="BP320" s="4" t="str">
        <f ca="1">IFERROR(__xludf.DUMMYFUNCTION("""COMPUTED_VALUE"""),"| 5 L JAVA @ | 6 L JAVA @ | 7 L PHP-CGM @ | 8 L CPT @ ")</f>
        <v xml:space="preserve">| 5 L JAVA @ | 6 L JAVA @ | 7 L PHP-CGM @ | 8 L CPT @ </v>
      </c>
      <c r="BQ320" s="4" t="str">
        <f ca="1">IFERROR(__xludf.DUMMYFUNCTION("""COMPUTED_VALUE"""),"| 5 L JAVA @ ")</f>
        <v xml:space="preserve">| 5 L JAVA @ </v>
      </c>
      <c r="BR320" s="4"/>
      <c r="BS320" s="4"/>
      <c r="BT320" s="4" t="str">
        <f ca="1">IFERROR(__xludf.DUMMYFUNCTION("""COMPUTED_VALUE"""),"| 7 L PHP-CGM @ | 8 L CPT @ ")</f>
        <v xml:space="preserve">| 7 L PHP-CGM @ | 8 L CPT @ </v>
      </c>
      <c r="BU320" s="4" t="str">
        <f ca="1">IFERROR(__xludf.DUMMYFUNCTION("""COMPUTED_VALUE"""),"| 8 L NS @ ")</f>
        <v xml:space="preserve">| 8 L NS @ </v>
      </c>
      <c r="BV320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20" s="4" t="str">
        <f ca="1">IFERROR(__xludf.DUMMYFUNCTION("""COMPUTED_VALUE"""),"| 9 P Python @ ")</f>
        <v xml:space="preserve">| 9 P Python @ </v>
      </c>
      <c r="BX320" s="4" t="str">
        <f ca="1">IFERROR(__xludf.DUMMYFUNCTION("""COMPUTED_VALUE"""),"| 5 L JAVA @ | 6 L NS @ | 7 L PRO @ | 9 P JAVA @ ")</f>
        <v xml:space="preserve">| 5 L JAVA @ | 6 L NS @ | 7 L PRO @ | 9 P JAVA @ </v>
      </c>
      <c r="BY320" s="4" t="str">
        <f ca="1">IFERROR(__xludf.DUMMYFUNCTION("""COMPUTED_VALUE"""),"| 5 L INE @ | 7 P PHP-CGM @ | 9 P NS @ ")</f>
        <v xml:space="preserve">| 5 L INE @ | 7 P PHP-CGM @ | 9 P NS @ </v>
      </c>
      <c r="BZ320" s="4" t="str">
        <f ca="1">IFERROR(__xludf.DUMMYFUNCTION("""COMPUTED_VALUE"""),"| 5 L CPT @ | 6 L PHP-CGM @ | 7 P CPT @ | 9 P JAVA @ ")</f>
        <v xml:space="preserve">| 5 L CPT @ | 6 L PHP-CGM @ | 7 P CPT @ | 9 P JAVA @ </v>
      </c>
      <c r="CA320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20" s="4" t="str">
        <f ca="1">IFERROR(__xludf.DUMMYFUNCTION("""COMPUTED_VALUE"""),"| 5 L PHP-CGM @ | 6 L CPT @ | 7 L NS @ | 9 P Python @ ")</f>
        <v xml:space="preserve">| 5 L PHP-CGM @ | 6 L CPT @ | 7 L NS @ | 9 P Python @ </v>
      </c>
      <c r="CC320" s="4" t="str">
        <f ca="1">IFERROR(__xludf.DUMMYFUNCTION("""COMPUTED_VALUE"""),"| 5 L JAVA @ | 6 L NS @ | 9 P JAVA @ ")</f>
        <v xml:space="preserve">| 5 L JAVA @ | 6 L NS @ | 9 P JAVA @ </v>
      </c>
      <c r="CD320" s="4" t="str">
        <f ca="1">IFERROR(__xludf.DUMMYFUNCTION("""COMPUTED_VALUE"""),"| 5 L INE @ | 7 P PHP-CGM @ | 9 P NS @ ")</f>
        <v xml:space="preserve">| 5 L INE @ | 7 P PHP-CGM @ | 9 P NS @ </v>
      </c>
      <c r="CE320" s="4" t="str">
        <f ca="1">IFERROR(__xludf.DUMMYFUNCTION("""COMPUTED_VALUE"""),"| 5 L CPT @ | 6 L PHP-CGM @ | 9 P JAVA @ | 7 P CPT @ ")</f>
        <v xml:space="preserve">| 5 L CPT @ | 6 L PHP-CGM @ | 9 P JAVA @ | 7 P CPT @ </v>
      </c>
      <c r="CF320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CG320" s="4" t="str">
        <f ca="1">IFERROR(__xludf.DUMMYFUNCTION("""COMPUTED_VALUE"""),"| 5 L PHP-CGM @ | 6 L CPT @ | 7 L JAVA @ | 8 L NS @ ")</f>
        <v xml:space="preserve">| 5 L PHP-CGM @ | 6 L CPT @ | 7 L JAVA @ | 8 L NS @ </v>
      </c>
      <c r="CH320" s="4" t="str">
        <f ca="1">IFERROR(__xludf.DUMMYFUNCTION("""COMPUTED_VALUE"""),"| 5 L JAVA @ | 6 L NS @ | 9 P JAVA @ ")</f>
        <v xml:space="preserve">| 5 L JAVA @ | 6 L NS @ | 9 P JAVA @ </v>
      </c>
      <c r="CI320" s="4" t="str">
        <f ca="1">IFERROR(__xludf.DUMMYFUNCTION("""COMPUTED_VALUE"""),"| 5 L INE @ | 7 P PHP-CGM @ | 9 P NS @ ")</f>
        <v xml:space="preserve">| 5 L INE @ | 7 P PHP-CGM @ | 9 P NS @ </v>
      </c>
      <c r="CJ320" s="4" t="str">
        <f ca="1">IFERROR(__xludf.DUMMYFUNCTION("""COMPUTED_VALUE"""),"| 5 L CPT @ | 6 L PHP-CGM @ | 7 P CPT @ ")</f>
        <v xml:space="preserve">| 5 L CPT @ | 6 L PHP-CGM @ | 7 P CPT @ </v>
      </c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</row>
    <row r="321" spans="1:102" ht="12.5" x14ac:dyDescent="0.25">
      <c r="A321" s="3">
        <f ca="1">IFERROR(__xludf.DUMMYFUNCTION("""COMPUTED_VALUE"""),3)</f>
        <v>3</v>
      </c>
      <c r="B321" s="3" t="str">
        <f ca="1">IFERROR(__xludf.DUMMYFUNCTION("""COMPUTED_VALUE"""),"D")</f>
        <v>D</v>
      </c>
      <c r="C321" s="32" t="str">
        <f ca="1">IFERROR(__xludf.DUMMYFUNCTION("""COMPUTED_VALUE"""),"23171341156")</f>
        <v>23171341156</v>
      </c>
      <c r="D321" s="4" t="str">
        <f ca="1">IFERROR(__xludf.DUMMYFUNCTION("""COMPUTED_VALUE"""),"RAVAL KARANBHAI MAHESHBHAI")</f>
        <v>RAVAL KARANBHAI MAHESHBHAI</v>
      </c>
      <c r="E321" s="3" t="str">
        <f ca="1">IFERROR(__xludf.DUMMYFUNCTION("""COMPUTED_VALUE"""),"ZPP - Eve")</f>
        <v>ZPP - Eve</v>
      </c>
      <c r="F321" s="3">
        <f ca="1">IFERROR(__xludf.DUMMYFUNCTION("""COMPUTED_VALUE"""),9023452540)</f>
        <v>9023452540</v>
      </c>
      <c r="G321" s="3">
        <f ca="1">IFERROR(__xludf.DUMMYFUNCTION("""COMPUTED_VALUE"""),9624698920)</f>
        <v>9624698920</v>
      </c>
      <c r="H321" s="33">
        <f ca="1">IFERROR(__xludf.DUMMYFUNCTION("""COMPUTED_VALUE"""),0.418803418803418)</f>
        <v>0.41880341880341798</v>
      </c>
      <c r="I321" s="25">
        <f ca="1">IFERROR(__xludf.DUMMYFUNCTION("""COMPUTED_VALUE"""),0.314285714285714)</f>
        <v>0.314285714285714</v>
      </c>
      <c r="J321" s="25">
        <f ca="1">IFERROR(__xludf.DUMMYFUNCTION("""COMPUTED_VALUE"""),0.454545454545454)</f>
        <v>0.45454545454545398</v>
      </c>
      <c r="K321" s="25">
        <f ca="1">IFERROR(__xludf.DUMMYFUNCTION("""COMPUTED_VALUE"""),0.5)</f>
        <v>0.5</v>
      </c>
      <c r="L321" s="25">
        <f ca="1">IFERROR(__xludf.DUMMYFUNCTION("""COMPUTED_VALUE"""),0.363636363636363)</f>
        <v>0.36363636363636298</v>
      </c>
      <c r="M321" s="25">
        <f ca="1">IFERROR(__xludf.DUMMYFUNCTION("""COMPUTED_VALUE"""),0.333333333333333)</f>
        <v>0.33333333333333298</v>
      </c>
      <c r="N321" s="25">
        <f ca="1">IFERROR(__xludf.DUMMYFUNCTION("""COMPUTED_VALUE"""),0.416666666666666)</f>
        <v>0.41666666666666602</v>
      </c>
      <c r="O321" s="25">
        <f ca="1">IFERROR(__xludf.DUMMYFUNCTION("""COMPUTED_VALUE"""),0.527777777777777)</f>
        <v>0.52777777777777701</v>
      </c>
      <c r="P321" s="25">
        <f ca="1">IFERROR(__xludf.DUMMYFUNCTION("""COMPUTED_VALUE"""),0.421052631578947)</f>
        <v>0.42105263157894701</v>
      </c>
      <c r="Q321" s="25">
        <f ca="1">IFERROR(__xludf.DUMMYFUNCTION("""COMPUTED_VALUE"""),0)</f>
        <v>0</v>
      </c>
      <c r="R321" s="25">
        <f ca="1">IFERROR(__xludf.DUMMYFUNCTION("""COMPUTED_VALUE"""),0.444444444444444)</f>
        <v>0.44444444444444398</v>
      </c>
      <c r="S321" s="25">
        <f ca="1">IFERROR(__xludf.DUMMYFUNCTION("""COMPUTED_VALUE"""),0.538461538461538)</f>
        <v>0.53846153846153799</v>
      </c>
      <c r="T321" s="25">
        <f ca="1">IFERROR(__xludf.DUMMYFUNCTION("""COMPUTED_VALUE"""),1)</f>
        <v>1</v>
      </c>
      <c r="U321" s="25">
        <f ca="1">IFERROR(__xludf.DUMMYFUNCTION("""COMPUTED_VALUE"""),0.2)</f>
        <v>0.2</v>
      </c>
      <c r="V321" s="25">
        <f ca="1">IFERROR(__xludf.DUMMYFUNCTION("""COMPUTED_VALUE"""),0)</f>
        <v>0</v>
      </c>
      <c r="W321" s="4"/>
      <c r="X321" s="4" t="str">
        <f ca="1">IFERROR(__xludf.DUMMYFUNCTION("""COMPUTED_VALUE"""),"| 5 L JAVA % | 6 L NS % | 7 L PHP-CGM @ | 8 L CPT @ ")</f>
        <v xml:space="preserve">| 5 L JAVA % | 6 L NS % | 7 L PHP-CGM @ | 8 L CPT @ </v>
      </c>
      <c r="Y321" s="4" t="str">
        <f ca="1">IFERROR(__xludf.DUMMYFUNCTION("""COMPUTED_VALUE"""),"| 5 L PHP-CGM @ | 6 L CPT @ | 7 L NS @ | 8 L JAVA @ ")</f>
        <v xml:space="preserve">| 5 L PHP-CGM @ | 6 L CPT @ | 7 L NS @ | 8 L JAVA @ </v>
      </c>
      <c r="Z321" s="4" t="str">
        <f ca="1">IFERROR(__xludf.DUMMYFUNCTION("""COMPUTED_VALUE"""),"| 5 L NS @ | 6 L JAVA @ | 7 L PRO @ | 8 L PRO @ | 9 P JAVA @ ")</f>
        <v xml:space="preserve">| 5 L NS @ | 6 L JAVA @ | 7 L PRO @ | 8 L PRO @ | 9 P JAVA @ </v>
      </c>
      <c r="AA321" s="4" t="str">
        <f ca="1">IFERROR(__xludf.DUMMYFUNCTION("""COMPUTED_VALUE"""),"| 7 P PHP-CGM % | 9 P NS % ")</f>
        <v xml:space="preserve">| 7 P PHP-CGM % | 9 P NS % </v>
      </c>
      <c r="AB321" s="4" t="str">
        <f ca="1">IFERROR(__xludf.DUMMYFUNCTION("""COMPUTED_VALUE"""),"| 5 L JAVA % | 6 L PHP-CGM % | 7 P CPT % | 9 P JAVA % ")</f>
        <v xml:space="preserve">| 5 L JAVA % | 6 L PHP-CGM % | 7 P CPT % | 9 P JAVA % </v>
      </c>
      <c r="AC321" s="4" t="str">
        <f ca="1">IFERROR(__xludf.DUMMYFUNCTION("""COMPUTED_VALUE"""),"| 5 L JAVA % | 6 L NS % | 7 L PHP-CGM @ | 9 P Python % | 8 L CPT @ ")</f>
        <v xml:space="preserve">| 5 L JAVA % | 6 L NS % | 7 L PHP-CGM @ | 9 P Python % | 8 L CPT @ </v>
      </c>
      <c r="AD321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21" s="4" t="str">
        <f ca="1">IFERROR(__xludf.DUMMYFUNCTION("""COMPUTED_VALUE"""),"| 5 L JAVA @ | 6 L NS @ | 7 L PRO % | 9 P JAVA % ")</f>
        <v xml:space="preserve">| 5 L JAVA @ | 6 L NS @ | 7 L PRO % | 9 P JAVA % </v>
      </c>
      <c r="AF321" s="4" t="str">
        <f ca="1">IFERROR(__xludf.DUMMYFUNCTION("""COMPUTED_VALUE"""),"| 7 P PHP-CGM % | 9 P NS % ")</f>
        <v xml:space="preserve">| 7 P PHP-CGM % | 9 P NS % </v>
      </c>
      <c r="AG321" s="4" t="str">
        <f ca="1">IFERROR(__xludf.DUMMYFUNCTION("""COMPUTED_VALUE"""),"| 5 L CPT % | 6 L PHP-CGM % | 7 P CPT % | 9 P JAVA % ")</f>
        <v xml:space="preserve">| 5 L CPT % | 6 L PHP-CGM % | 7 P CPT % | 9 P JAVA % </v>
      </c>
      <c r="AH321" s="4" t="str">
        <f ca="1">IFERROR(__xludf.DUMMYFUNCTION("""COMPUTED_VALUE"""),"| 7 P PHP-CGM @ | 9 P NS @ ")</f>
        <v xml:space="preserve">| 7 P PHP-CGM @ | 9 P NS @ </v>
      </c>
      <c r="AI321" s="4" t="str">
        <f ca="1">IFERROR(__xludf.DUMMYFUNCTION("""COMPUTED_VALUE"""),"| 5 L CPT @ | 6 L PHP-CGM @ | 7 P CPT @ | 9 P JAVA @ ")</f>
        <v xml:space="preserve">| 5 L CPT @ | 6 L PHP-CGM @ | 7 P CPT @ | 9 P JAVA @ </v>
      </c>
      <c r="AJ321" s="4" t="str">
        <f ca="1">IFERROR(__xludf.DUMMYFUNCTION("""COMPUTED_VALUE"""),"| 5 L JAVA % | 6 L NS % | 7 L PHP-CGM @ | 8 L CPT @ ")</f>
        <v xml:space="preserve">| 5 L JAVA % | 6 L NS % | 7 L PHP-CGM @ | 8 L CPT @ </v>
      </c>
      <c r="AK321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21" s="4" t="str">
        <f ca="1">IFERROR(__xludf.DUMMYFUNCTION("""COMPUTED_VALUE"""),"| 6 L NS @ | 7 L NS @ | 7 L PRO % | 8 L PRO @ | 9 P JAVA % ")</f>
        <v xml:space="preserve">| 6 L NS @ | 7 L NS @ | 7 L PRO % | 8 L PRO @ | 9 P JAVA % </v>
      </c>
      <c r="AM321" s="4" t="str">
        <f ca="1">IFERROR(__xludf.DUMMYFUNCTION("""COMPUTED_VALUE"""),"| 5 L INE @ | 7 P PHP-CGM % | 9 P NS @ ")</f>
        <v xml:space="preserve">| 5 L INE @ | 7 P PHP-CGM % | 9 P NS @ </v>
      </c>
      <c r="AN321" s="4" t="str">
        <f ca="1">IFERROR(__xludf.DUMMYFUNCTION("""COMPUTED_VALUE"""),"| 5 L CPT % | 6 L PHP-CGM % | 7 P CPT % | 9 P JAVA % ")</f>
        <v xml:space="preserve">| 5 L CPT % | 6 L PHP-CGM % | 7 P CPT % | 9 P JAVA % </v>
      </c>
      <c r="AO321" s="4" t="str">
        <f ca="1">IFERROR(__xludf.DUMMYFUNCTION("""COMPUTED_VALUE"""),"| 5 L JAVA @ | 5 L NS @ | 7 L PHP-CGM @ | 8 L CPT @ | 9 P Python @ ")</f>
        <v xml:space="preserve">| 5 L JAVA @ | 5 L NS @ | 7 L PHP-CGM @ | 8 L CPT @ | 9 P Python @ </v>
      </c>
      <c r="AP321" s="4" t="str">
        <f ca="1">IFERROR(__xludf.DUMMYFUNCTION("""COMPUTED_VALUE"""),"| 5 L PHP-CGM @ | 6 L CPT @ | 7 L JAVA % | 7 L NS % | 9 P Python % ")</f>
        <v xml:space="preserve">| 5 L PHP-CGM @ | 6 L CPT @ | 7 L JAVA % | 7 L NS % | 9 P Python % </v>
      </c>
      <c r="AQ321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1" s="4" t="str">
        <f ca="1">IFERROR(__xludf.DUMMYFUNCTION("""COMPUTED_VALUE"""),"| 5 L INE % ")</f>
        <v xml:space="preserve">| 5 L INE % </v>
      </c>
      <c r="AS321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21" s="4" t="str">
        <f ca="1">IFERROR(__xludf.DUMMYFUNCTION("""COMPUTED_VALUE"""),"| 5 L PHP-CGM @ | 6 L CPT @ | 7 L JAVA @ | 8 L JAVA @ | 9 P Python @ ")</f>
        <v xml:space="preserve">| 5 L PHP-CGM @ | 6 L CPT @ | 7 L JAVA @ | 8 L JAVA @ | 9 P Python @ </v>
      </c>
      <c r="AU321" s="4" t="str">
        <f ca="1">IFERROR(__xludf.DUMMYFUNCTION("""COMPUTED_VALUE"""),"| 5 L JAVA % | 6 L NS % | 5 P PRO % | 9 P JAVA % ")</f>
        <v xml:space="preserve">| 5 L JAVA % | 6 L NS % | 5 P PRO % | 9 P JAVA % </v>
      </c>
      <c r="AV321" s="4" t="str">
        <f ca="1">IFERROR(__xludf.DUMMYFUNCTION("""COMPUTED_VALUE"""),"| 5 L INE % | 7 P PHP-CGM % | 9 P NS @ ")</f>
        <v xml:space="preserve">| 5 L INE % | 7 P PHP-CGM % | 9 P NS @ </v>
      </c>
      <c r="AW321" s="4" t="str">
        <f ca="1">IFERROR(__xludf.DUMMYFUNCTION("""COMPUTED_VALUE"""),"| 5 L CPT % | 6 L PHP-CGM % | 7 P CPT @ | 9 P JAVA @ ")</f>
        <v xml:space="preserve">| 5 L CPT % | 6 L PHP-CGM % | 7 P CPT @ | 9 P JAVA @ </v>
      </c>
      <c r="AX321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AY321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21" s="4" t="str">
        <f ca="1">IFERROR(__xludf.DUMMYFUNCTION("""COMPUTED_VALUE"""),"| 5 L INE @ | 7 P PHP-CGM @ ")</f>
        <v xml:space="preserve">| 5 L INE @ | 7 P PHP-CGM @ </v>
      </c>
      <c r="BA321" s="4" t="str">
        <f ca="1">IFERROR(__xludf.DUMMYFUNCTION("""COMPUTED_VALUE"""),"| 5 L CPT @ | 6 L PHP-CGM @ | 7 P CPT @ ")</f>
        <v xml:space="preserve">| 5 L CPT @ | 6 L PHP-CGM @ | 7 P CPT @ </v>
      </c>
      <c r="BB321" s="4" t="str">
        <f ca="1">IFERROR(__xludf.DUMMYFUNCTION("""COMPUTED_VALUE"""),"| 5 L JAVA % | 6 L NS % | 7 L PHP-CGM @ | 8 L CPT @ | 9 P Python % ")</f>
        <v xml:space="preserve">| 5 L JAVA % | 6 L NS % | 7 L PHP-CGM @ | 8 L CPT @ | 9 P Python % </v>
      </c>
      <c r="BC321" s="4" t="str">
        <f ca="1">IFERROR(__xludf.DUMMYFUNCTION("""COMPUTED_VALUE"""),"| 5 L PHP-CGM @ | 6 L CPT @ | 7 L JAVA % | 8 L NS % | 9 P Python % ")</f>
        <v xml:space="preserve">| 5 L PHP-CGM @ | 6 L CPT @ | 7 L JAVA % | 8 L NS % | 9 P Python % </v>
      </c>
      <c r="BD321" s="4" t="str">
        <f ca="1">IFERROR(__xludf.DUMMYFUNCTION("""COMPUTED_VALUE"""),"| 5 L JAVA % | 6 L NS @ | 7 L PRO % | 8 L PRO % | 9 P JAVA @ ")</f>
        <v xml:space="preserve">| 5 L JAVA % | 6 L NS @ | 7 L PRO % | 8 L PRO % | 9 P JAVA @ </v>
      </c>
      <c r="BE321" s="4" t="str">
        <f ca="1">IFERROR(__xludf.DUMMYFUNCTION("""COMPUTED_VALUE"""),"| 5 L INE @ | 7 P PHP-CGM @ | 9 P NS @ ")</f>
        <v xml:space="preserve">| 5 L INE @ | 7 P PHP-CGM @ | 9 P NS @ </v>
      </c>
      <c r="BF321" s="4" t="str">
        <f ca="1">IFERROR(__xludf.DUMMYFUNCTION("""COMPUTED_VALUE"""),"| 5 L CPT % | 6 L PHP-CGM % | 7 P CPT % ")</f>
        <v xml:space="preserve">| 5 L CPT % | 6 L PHP-CGM % | 7 P CPT % </v>
      </c>
      <c r="BG321" s="4" t="str">
        <f ca="1">IFERROR(__xludf.DUMMYFUNCTION("""COMPUTED_VALUE"""),"| 5 L PHP-CGM % | 6 L CPT % | 7 L JAVA @ | 8 L NS @ | 9 P Python @ ")</f>
        <v xml:space="preserve">| 5 L PHP-CGM % | 6 L CPT % | 7 L JAVA @ | 8 L NS @ | 9 P Python @ </v>
      </c>
      <c r="BH321" s="4" t="str">
        <f ca="1">IFERROR(__xludf.DUMMYFUNCTION("""COMPUTED_VALUE"""),"| 5 L JAVA % | 6 L NS % | 7 L PRO % | 9 P JAVA @ ")</f>
        <v xml:space="preserve">| 5 L JAVA % | 6 L NS % | 7 L PRO % | 9 P JAVA @ </v>
      </c>
      <c r="BI321" s="4" t="str">
        <f ca="1">IFERROR(__xludf.DUMMYFUNCTION("""COMPUTED_VALUE"""),"| 5 L INE @ | 7 P PHP-CGM % | 9 P NS % ")</f>
        <v xml:space="preserve">| 5 L INE @ | 7 P PHP-CGM % | 9 P NS % </v>
      </c>
      <c r="BJ321" s="4" t="str">
        <f ca="1">IFERROR(__xludf.DUMMYFUNCTION("""COMPUTED_VALUE"""),"| 5 L CPT % | 6 L PHP-CGM % | 7 P CPT % | 9 P JAVA @ ")</f>
        <v xml:space="preserve">| 5 L CPT % | 6 L PHP-CGM % | 7 P CPT % | 9 P JAVA @ </v>
      </c>
      <c r="BK321" s="4" t="str">
        <f ca="1">IFERROR(__xludf.DUMMYFUNCTION("""COMPUTED_VALUE"""),"| 5 L JAVA % | 7 L PHP-CGM @ | 8 L CPT @ | 9 P Python @ ")</f>
        <v xml:space="preserve">| 5 L JAVA % | 7 L PHP-CGM @ | 8 L CPT @ | 9 P Python @ </v>
      </c>
      <c r="BL321" s="4" t="str">
        <f ca="1">IFERROR(__xludf.DUMMYFUNCTION("""COMPUTED_VALUE"""),"| 5 L PHP-CGM @ | 6 L CPT @ | 8 L NS @ ")</f>
        <v xml:space="preserve">| 5 L PHP-CGM @ | 6 L CPT @ | 8 L NS @ </v>
      </c>
      <c r="BM321" s="4" t="str">
        <f ca="1">IFERROR(__xludf.DUMMYFUNCTION("""COMPUTED_VALUE"""),"| 5 L JAVA % | 6 L NS % | 7 L PRO @ | 8 L PRO @ | 9 P JAVA @ ")</f>
        <v xml:space="preserve">| 5 L JAVA % | 6 L NS % | 7 L PRO @ | 8 L PRO @ | 9 P JAVA @ </v>
      </c>
      <c r="BN321" s="4" t="str">
        <f ca="1">IFERROR(__xludf.DUMMYFUNCTION("""COMPUTED_VALUE"""),"| 5 L INE @ | 7 P PHP-CGM @ | 9 P NS @ ")</f>
        <v xml:space="preserve">| 5 L INE @ | 7 P PHP-CGM @ | 9 P NS @ </v>
      </c>
      <c r="BO321" s="4" t="str">
        <f ca="1">IFERROR(__xludf.DUMMYFUNCTION("""COMPUTED_VALUE"""),"| 5 L CPT @ | 6 L PHP-CGM @ ")</f>
        <v xml:space="preserve">| 5 L CPT @ | 6 L PHP-CGM @ </v>
      </c>
      <c r="BP321" s="4" t="str">
        <f ca="1">IFERROR(__xludf.DUMMYFUNCTION("""COMPUTED_VALUE"""),"| 5 L JAVA % | 6 L JAVA % | 7 L PHP-CGM % | 8 L CPT % ")</f>
        <v xml:space="preserve">| 5 L JAVA % | 6 L JAVA % | 7 L PHP-CGM % | 8 L CPT % </v>
      </c>
      <c r="BQ321" s="4" t="str">
        <f ca="1">IFERROR(__xludf.DUMMYFUNCTION("""COMPUTED_VALUE"""),"| 5 L JAVA @ ")</f>
        <v xml:space="preserve">| 5 L JAVA @ </v>
      </c>
      <c r="BR321" s="4"/>
      <c r="BS321" s="4"/>
      <c r="BT321" s="4" t="str">
        <f ca="1">IFERROR(__xludf.DUMMYFUNCTION("""COMPUTED_VALUE"""),"| 7 L PHP-CGM @ | 8 L CPT @ ")</f>
        <v xml:space="preserve">| 7 L PHP-CGM @ | 8 L CPT @ </v>
      </c>
      <c r="BU321" s="4" t="str">
        <f ca="1">IFERROR(__xludf.DUMMYFUNCTION("""COMPUTED_VALUE"""),"| 8 L NS @ ")</f>
        <v xml:space="preserve">| 8 L NS @ </v>
      </c>
      <c r="BV321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21" s="4" t="str">
        <f ca="1">IFERROR(__xludf.DUMMYFUNCTION("""COMPUTED_VALUE"""),"| 9 P Python @ ")</f>
        <v xml:space="preserve">| 9 P Python @ </v>
      </c>
      <c r="BX321" s="4" t="str">
        <f ca="1">IFERROR(__xludf.DUMMYFUNCTION("""COMPUTED_VALUE"""),"| 5 L JAVA @ | 6 L NS @ | 7 L PRO @ | 9 P JAVA @ ")</f>
        <v xml:space="preserve">| 5 L JAVA @ | 6 L NS @ | 7 L PRO @ | 9 P JAVA @ </v>
      </c>
      <c r="BY321" s="4" t="str">
        <f ca="1">IFERROR(__xludf.DUMMYFUNCTION("""COMPUTED_VALUE"""),"| 5 L INE @ | 7 P PHP-CGM @ | 9 P NS @ ")</f>
        <v xml:space="preserve">| 5 L INE @ | 7 P PHP-CGM @ | 9 P NS @ </v>
      </c>
      <c r="BZ321" s="4" t="str">
        <f ca="1">IFERROR(__xludf.DUMMYFUNCTION("""COMPUTED_VALUE"""),"| 5 L CPT @ | 6 L PHP-CGM @ | 7 P CPT @ | 9 P JAVA @ ")</f>
        <v xml:space="preserve">| 5 L CPT @ | 6 L PHP-CGM @ | 7 P CPT @ | 9 P JAVA @ </v>
      </c>
      <c r="CA321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21" s="4" t="str">
        <f ca="1">IFERROR(__xludf.DUMMYFUNCTION("""COMPUTED_VALUE"""),"| 5 L PHP-CGM @ | 6 L CPT @ | 7 L NS @ | 9 P Python @ ")</f>
        <v xml:space="preserve">| 5 L PHP-CGM @ | 6 L CPT @ | 7 L NS @ | 9 P Python @ </v>
      </c>
      <c r="CC321" s="4" t="str">
        <f ca="1">IFERROR(__xludf.DUMMYFUNCTION("""COMPUTED_VALUE"""),"| 5 L JAVA @ | 6 L NS @ | 9 P JAVA @ ")</f>
        <v xml:space="preserve">| 5 L JAVA @ | 6 L NS @ | 9 P JAVA @ </v>
      </c>
      <c r="CD321" s="4" t="str">
        <f ca="1">IFERROR(__xludf.DUMMYFUNCTION("""COMPUTED_VALUE"""),"| 5 L INE @ | 7 P PHP-CGM @ | 9 P NS @ ")</f>
        <v xml:space="preserve">| 5 L INE @ | 7 P PHP-CGM @ | 9 P NS @ </v>
      </c>
      <c r="CE321" s="4" t="str">
        <f ca="1">IFERROR(__xludf.DUMMYFUNCTION("""COMPUTED_VALUE"""),"| 5 L CPT @ | 6 L PHP-CGM @ | 9 P JAVA @ | 7 P CPT @ ")</f>
        <v xml:space="preserve">| 5 L CPT @ | 6 L PHP-CGM @ | 9 P JAVA @ | 7 P CPT @ </v>
      </c>
      <c r="CF321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CG321" s="4" t="str">
        <f ca="1">IFERROR(__xludf.DUMMYFUNCTION("""COMPUTED_VALUE"""),"| 5 L PHP-CGM @ | 6 L CPT @ | 7 L JAVA % | 8 L NS % ")</f>
        <v xml:space="preserve">| 5 L PHP-CGM @ | 6 L CPT @ | 7 L JAVA % | 8 L NS % </v>
      </c>
      <c r="CH321" s="4" t="str">
        <f ca="1">IFERROR(__xludf.DUMMYFUNCTION("""COMPUTED_VALUE"""),"| 5 L JAVA @ | 6 L NS @ | 9 P JAVA % ")</f>
        <v xml:space="preserve">| 5 L JAVA @ | 6 L NS @ | 9 P JAVA % </v>
      </c>
      <c r="CI321" s="4" t="str">
        <f ca="1">IFERROR(__xludf.DUMMYFUNCTION("""COMPUTED_VALUE"""),"| 5 L INE @ | 7 P PHP-CGM @ | 9 P NS % ")</f>
        <v xml:space="preserve">| 5 L INE @ | 7 P PHP-CGM @ | 9 P NS % </v>
      </c>
      <c r="CJ321" s="4" t="str">
        <f ca="1">IFERROR(__xludf.DUMMYFUNCTION("""COMPUTED_VALUE"""),"| 5 L CPT @ | 6 L PHP-CGM @ | 7 P CPT @ ")</f>
        <v xml:space="preserve">| 5 L CPT @ | 6 L PHP-CGM @ | 7 P CPT @ </v>
      </c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</row>
    <row r="322" spans="1:102" ht="12.5" x14ac:dyDescent="0.25">
      <c r="A322" s="3">
        <f ca="1">IFERROR(__xludf.DUMMYFUNCTION("""COMPUTED_VALUE"""),3)</f>
        <v>3</v>
      </c>
      <c r="B322" s="3" t="str">
        <f ca="1">IFERROR(__xludf.DUMMYFUNCTION("""COMPUTED_VALUE"""),"D")</f>
        <v>D</v>
      </c>
      <c r="C322" s="32" t="str">
        <f ca="1">IFERROR(__xludf.DUMMYFUNCTION("""COMPUTED_VALUE"""),"23171341163")</f>
        <v>23171341163</v>
      </c>
      <c r="D322" s="4" t="str">
        <f ca="1">IFERROR(__xludf.DUMMYFUNCTION("""COMPUTED_VALUE"""),"RAVAL SAMIKSHABEN SURESHBHAI")</f>
        <v>RAVAL SAMIKSHABEN SURESHBHAI</v>
      </c>
      <c r="E322" s="3" t="str">
        <f ca="1">IFERROR(__xludf.DUMMYFUNCTION("""COMPUTED_VALUE"""),"ZPP - Eve")</f>
        <v>ZPP - Eve</v>
      </c>
      <c r="F322" s="3">
        <f ca="1">IFERROR(__xludf.DUMMYFUNCTION("""COMPUTED_VALUE"""),9979568544)</f>
        <v>9979568544</v>
      </c>
      <c r="G322" s="3">
        <f ca="1">IFERROR(__xludf.DUMMYFUNCTION("""COMPUTED_VALUE"""),8347334291)</f>
        <v>8347334291</v>
      </c>
      <c r="H322" s="33">
        <f ca="1">IFERROR(__xludf.DUMMYFUNCTION("""COMPUTED_VALUE"""),0.606837606837606)</f>
        <v>0.60683760683760601</v>
      </c>
      <c r="I322" s="25">
        <f ca="1">IFERROR(__xludf.DUMMYFUNCTION("""COMPUTED_VALUE"""),0.428571428571428)</f>
        <v>0.42857142857142799</v>
      </c>
      <c r="J322" s="25">
        <f ca="1">IFERROR(__xludf.DUMMYFUNCTION("""COMPUTED_VALUE"""),0.636363636363636)</f>
        <v>0.63636363636363602</v>
      </c>
      <c r="K322" s="25">
        <f ca="1">IFERROR(__xludf.DUMMYFUNCTION("""COMPUTED_VALUE"""),0.75)</f>
        <v>0.75</v>
      </c>
      <c r="L322" s="25">
        <f ca="1">IFERROR(__xludf.DUMMYFUNCTION("""COMPUTED_VALUE"""),0.636363636363636)</f>
        <v>0.63636363636363602</v>
      </c>
      <c r="M322" s="25">
        <f ca="1">IFERROR(__xludf.DUMMYFUNCTION("""COMPUTED_VALUE"""),0.388888888888888)</f>
        <v>0.38888888888888801</v>
      </c>
      <c r="N322" s="25">
        <f ca="1">IFERROR(__xludf.DUMMYFUNCTION("""COMPUTED_VALUE"""),0.583333333333333)</f>
        <v>0.58333333333333304</v>
      </c>
      <c r="O322" s="25">
        <f ca="1">IFERROR(__xludf.DUMMYFUNCTION("""COMPUTED_VALUE"""),0.777777777777777)</f>
        <v>0.77777777777777701</v>
      </c>
      <c r="P322" s="25">
        <f ca="1">IFERROR(__xludf.DUMMYFUNCTION("""COMPUTED_VALUE"""),0.526315789473684)</f>
        <v>0.52631578947368396</v>
      </c>
      <c r="Q322" s="25">
        <f ca="1">IFERROR(__xludf.DUMMYFUNCTION("""COMPUTED_VALUE"""),0)</f>
        <v>0</v>
      </c>
      <c r="R322" s="25">
        <f ca="1">IFERROR(__xludf.DUMMYFUNCTION("""COMPUTED_VALUE"""),0.777777777777777)</f>
        <v>0.77777777777777701</v>
      </c>
      <c r="S322" s="25">
        <f ca="1">IFERROR(__xludf.DUMMYFUNCTION("""COMPUTED_VALUE"""),0.846153846153846)</f>
        <v>0.84615384615384603</v>
      </c>
      <c r="T322" s="25">
        <f ca="1">IFERROR(__xludf.DUMMYFUNCTION("""COMPUTED_VALUE"""),1)</f>
        <v>1</v>
      </c>
      <c r="U322" s="25">
        <f ca="1">IFERROR(__xludf.DUMMYFUNCTION("""COMPUTED_VALUE"""),0.4)</f>
        <v>0.4</v>
      </c>
      <c r="V322" s="25">
        <f ca="1">IFERROR(__xludf.DUMMYFUNCTION("""COMPUTED_VALUE"""),0)</f>
        <v>0</v>
      </c>
      <c r="W322" s="4"/>
      <c r="X322" s="4" t="str">
        <f ca="1">IFERROR(__xludf.DUMMYFUNCTION("""COMPUTED_VALUE"""),"| 5 L JAVA % | 6 L NS % | 7 L PHP-CGM % | 8 L CPT % ")</f>
        <v xml:space="preserve">| 5 L JAVA % | 6 L NS % | 7 L PHP-CGM % | 8 L CPT % </v>
      </c>
      <c r="Y322" s="4" t="str">
        <f ca="1">IFERROR(__xludf.DUMMYFUNCTION("""COMPUTED_VALUE"""),"| 5 L PHP-CGM @ | 6 L CPT @ | 7 L NS @ | 8 L JAVA @ ")</f>
        <v xml:space="preserve">| 5 L PHP-CGM @ | 6 L CPT @ | 7 L NS @ | 8 L JAVA @ </v>
      </c>
      <c r="Z322" s="4" t="str">
        <f ca="1">IFERROR(__xludf.DUMMYFUNCTION("""COMPUTED_VALUE"""),"| 5 L NS @ | 6 L JAVA @ | 7 L PRO % | 8 L PRO % | 9 P JAVA @ ")</f>
        <v xml:space="preserve">| 5 L NS @ | 6 L JAVA @ | 7 L PRO % | 8 L PRO % | 9 P JAVA @ </v>
      </c>
      <c r="AA322" s="4" t="str">
        <f ca="1">IFERROR(__xludf.DUMMYFUNCTION("""COMPUTED_VALUE"""),"| 7 P PHP-CGM % | 9 P NS % ")</f>
        <v xml:space="preserve">| 7 P PHP-CGM % | 9 P NS % </v>
      </c>
      <c r="AB322" s="4" t="str">
        <f ca="1">IFERROR(__xludf.DUMMYFUNCTION("""COMPUTED_VALUE"""),"| 5 L JAVA % | 6 L PHP-CGM % | 7 P CPT % | 9 P JAVA % ")</f>
        <v xml:space="preserve">| 5 L JAVA % | 6 L PHP-CGM % | 7 P CPT % | 9 P JAVA % </v>
      </c>
      <c r="AC322" s="4" t="str">
        <f ca="1">IFERROR(__xludf.DUMMYFUNCTION("""COMPUTED_VALUE"""),"| 5 L JAVA % | 6 L NS % | 7 L PHP-CGM @ | 9 P Python % | 8 L CPT @ ")</f>
        <v xml:space="preserve">| 5 L JAVA % | 6 L NS % | 7 L PHP-CGM @ | 9 P Python % | 8 L CPT @ </v>
      </c>
      <c r="AD322" s="4" t="str">
        <f ca="1">IFERROR(__xludf.DUMMYFUNCTION("""COMPUTED_VALUE"""),"| 5 L PHP-CGM @ | 6 L CPT % | 7 L NS % | 8 L JAVA % | 9 P Python % ")</f>
        <v xml:space="preserve">| 5 L PHP-CGM @ | 6 L CPT % | 7 L NS % | 8 L JAVA % | 9 P Python % </v>
      </c>
      <c r="AE322" s="4" t="str">
        <f ca="1">IFERROR(__xludf.DUMMYFUNCTION("""COMPUTED_VALUE"""),"| 5 L JAVA @ | 6 L NS @ | 7 L PRO % | 9 P JAVA % ")</f>
        <v xml:space="preserve">| 5 L JAVA @ | 6 L NS @ | 7 L PRO % | 9 P JAVA % </v>
      </c>
      <c r="AF322" s="4" t="str">
        <f ca="1">IFERROR(__xludf.DUMMYFUNCTION("""COMPUTED_VALUE"""),"| 7 P PHP-CGM % | 9 P NS % ")</f>
        <v xml:space="preserve">| 7 P PHP-CGM % | 9 P NS % </v>
      </c>
      <c r="AG322" s="4" t="str">
        <f ca="1">IFERROR(__xludf.DUMMYFUNCTION("""COMPUTED_VALUE"""),"| 5 L CPT % | 6 L PHP-CGM % | 7 P CPT % | 9 P JAVA @ ")</f>
        <v xml:space="preserve">| 5 L CPT % | 6 L PHP-CGM % | 7 P CPT % | 9 P JAVA @ </v>
      </c>
      <c r="AH322" s="4" t="str">
        <f ca="1">IFERROR(__xludf.DUMMYFUNCTION("""COMPUTED_VALUE"""),"| 7 P PHP-CGM % | 9 P NS % ")</f>
        <v xml:space="preserve">| 7 P PHP-CGM % | 9 P NS % </v>
      </c>
      <c r="AI322" s="4" t="str">
        <f ca="1">IFERROR(__xludf.DUMMYFUNCTION("""COMPUTED_VALUE"""),"| 5 L CPT @ | 6 L PHP-CGM @ | 7 P CPT @ | 9 P JAVA @ ")</f>
        <v xml:space="preserve">| 5 L CPT @ | 6 L PHP-CGM @ | 7 P CPT @ | 9 P JAVA @ </v>
      </c>
      <c r="AJ322" s="4" t="str">
        <f ca="1">IFERROR(__xludf.DUMMYFUNCTION("""COMPUTED_VALUE"""),"| 5 L JAVA % | 6 L NS % | 7 L PHP-CGM @ | 8 L CPT @ ")</f>
        <v xml:space="preserve">| 5 L JAVA % | 6 L NS % | 7 L PHP-CGM @ | 8 L CPT @ </v>
      </c>
      <c r="AK322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22" s="4" t="str">
        <f ca="1">IFERROR(__xludf.DUMMYFUNCTION("""COMPUTED_VALUE"""),"| 6 L NS % | 7 L NS % | 7 L PRO % | 8 L PRO % | 9 P JAVA % ")</f>
        <v xml:space="preserve">| 6 L NS % | 7 L NS % | 7 L PRO % | 8 L PRO % | 9 P JAVA % </v>
      </c>
      <c r="AM322" s="4" t="str">
        <f ca="1">IFERROR(__xludf.DUMMYFUNCTION("""COMPUTED_VALUE"""),"| 5 L INE @ | 7 P PHP-CGM % | 9 P NS % ")</f>
        <v xml:space="preserve">| 5 L INE @ | 7 P PHP-CGM % | 9 P NS % </v>
      </c>
      <c r="AN322" s="4" t="str">
        <f ca="1">IFERROR(__xludf.DUMMYFUNCTION("""COMPUTED_VALUE"""),"| 5 L CPT % | 6 L PHP-CGM % | 7 P CPT % | 9 P JAVA % ")</f>
        <v xml:space="preserve">| 5 L CPT % | 6 L PHP-CGM % | 7 P CPT % | 9 P JAVA % </v>
      </c>
      <c r="AO322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22" s="4" t="str">
        <f ca="1">IFERROR(__xludf.DUMMYFUNCTION("""COMPUTED_VALUE"""),"| 5 L PHP-CGM @ | 6 L CPT @ | 7 L JAVA % | 7 L NS % | 9 P Python % ")</f>
        <v xml:space="preserve">| 5 L PHP-CGM @ | 6 L CPT @ | 7 L JAVA % | 7 L NS % | 9 P Python % </v>
      </c>
      <c r="AQ322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2" s="4" t="str">
        <f ca="1">IFERROR(__xludf.DUMMYFUNCTION("""COMPUTED_VALUE"""),"| 5 L INE % ")</f>
        <v xml:space="preserve">| 5 L INE % </v>
      </c>
      <c r="AS322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22" s="4" t="str">
        <f ca="1">IFERROR(__xludf.DUMMYFUNCTION("""COMPUTED_VALUE"""),"| 5 L PHP-CGM @ | 6 L CPT @ | 7 L JAVA @ | 8 L JAVA @ | 9 P Python @ ")</f>
        <v xml:space="preserve">| 5 L PHP-CGM @ | 6 L CPT @ | 7 L JAVA @ | 8 L JAVA @ | 9 P Python @ </v>
      </c>
      <c r="AU322" s="4" t="str">
        <f ca="1">IFERROR(__xludf.DUMMYFUNCTION("""COMPUTED_VALUE"""),"| 5 L JAVA % | 6 L NS % | 5 P PRO % | 9 P JAVA % ")</f>
        <v xml:space="preserve">| 5 L JAVA % | 6 L NS % | 5 P PRO % | 9 P JAVA % </v>
      </c>
      <c r="AV322" s="4" t="str">
        <f ca="1">IFERROR(__xludf.DUMMYFUNCTION("""COMPUTED_VALUE"""),"| 5 L INE % | 7 P PHP-CGM % | 9 P NS % ")</f>
        <v xml:space="preserve">| 5 L INE % | 7 P PHP-CGM % | 9 P NS % </v>
      </c>
      <c r="AW322" s="4" t="str">
        <f ca="1">IFERROR(__xludf.DUMMYFUNCTION("""COMPUTED_VALUE"""),"| 5 L CPT % | 6 L PHP-CGM % | 7 P CPT % | 9 P JAVA % ")</f>
        <v xml:space="preserve">| 5 L CPT % | 6 L PHP-CGM % | 7 P CPT % | 9 P JAVA % </v>
      </c>
      <c r="AX322" s="4" t="str">
        <f ca="1">IFERROR(__xludf.DUMMYFUNCTION("""COMPUTED_VALUE"""),"| 5 L JAVA % | 6 L JAVA % | 7 L PHP-CGM @ | 8 L CPT @ | 9 P Python % ")</f>
        <v xml:space="preserve">| 5 L JAVA % | 6 L JAVA % | 7 L PHP-CGM @ | 8 L CPT @ | 9 P Python % </v>
      </c>
      <c r="AY322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22" s="4" t="str">
        <f ca="1">IFERROR(__xludf.DUMMYFUNCTION("""COMPUTED_VALUE"""),"| 5 L INE % | 7 P PHP-CGM @ ")</f>
        <v xml:space="preserve">| 5 L INE % | 7 P PHP-CGM @ </v>
      </c>
      <c r="BA322" s="4" t="str">
        <f ca="1">IFERROR(__xludf.DUMMYFUNCTION("""COMPUTED_VALUE"""),"| 5 L CPT % | 6 L PHP-CGM % | 7 P CPT % ")</f>
        <v xml:space="preserve">| 5 L CPT % | 6 L PHP-CGM % | 7 P CPT % </v>
      </c>
      <c r="BB322" s="4" t="str">
        <f ca="1">IFERROR(__xludf.DUMMYFUNCTION("""COMPUTED_VALUE"""),"| 5 L JAVA % | 6 L NS % | 7 L PHP-CGM @ | 8 L CPT @ | 9 P Python % ")</f>
        <v xml:space="preserve">| 5 L JAVA % | 6 L NS % | 7 L PHP-CGM @ | 8 L CPT @ | 9 P Python % </v>
      </c>
      <c r="BC322" s="4" t="str">
        <f ca="1">IFERROR(__xludf.DUMMYFUNCTION("""COMPUTED_VALUE"""),"| 5 L PHP-CGM @ | 6 L CPT % | 7 L JAVA % | 8 L NS % | 9 P Python % ")</f>
        <v xml:space="preserve">| 5 L PHP-CGM @ | 6 L CPT % | 7 L JAVA % | 8 L NS % | 9 P Python % </v>
      </c>
      <c r="BD322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22" s="4" t="str">
        <f ca="1">IFERROR(__xludf.DUMMYFUNCTION("""COMPUTED_VALUE"""),"| 5 L INE @ | 7 P PHP-CGM @ | 9 P NS @ ")</f>
        <v xml:space="preserve">| 5 L INE @ | 7 P PHP-CGM @ | 9 P NS @ </v>
      </c>
      <c r="BF322" s="4" t="str">
        <f ca="1">IFERROR(__xludf.DUMMYFUNCTION("""COMPUTED_VALUE"""),"| 5 L CPT % | 6 L PHP-CGM % | 7 P CPT % ")</f>
        <v xml:space="preserve">| 5 L CPT % | 6 L PHP-CGM % | 7 P CPT % </v>
      </c>
      <c r="BG322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22" s="4" t="str">
        <f ca="1">IFERROR(__xludf.DUMMYFUNCTION("""COMPUTED_VALUE"""),"| 5 L JAVA % | 6 L NS % | 7 L PRO % | 9 P JAVA @ ")</f>
        <v xml:space="preserve">| 5 L JAVA % | 6 L NS % | 7 L PRO % | 9 P JAVA @ </v>
      </c>
      <c r="BI322" s="4" t="str">
        <f ca="1">IFERROR(__xludf.DUMMYFUNCTION("""COMPUTED_VALUE"""),"| 5 L INE @ | 7 P PHP-CGM % | 9 P NS % ")</f>
        <v xml:space="preserve">| 5 L INE @ | 7 P PHP-CGM % | 9 P NS % </v>
      </c>
      <c r="BJ322" s="4" t="str">
        <f ca="1">IFERROR(__xludf.DUMMYFUNCTION("""COMPUTED_VALUE"""),"| 5 L CPT % | 6 L PHP-CGM % | 7 P CPT % | 9 P JAVA @ ")</f>
        <v xml:space="preserve">| 5 L CPT % | 6 L PHP-CGM % | 7 P CPT % | 9 P JAVA @ </v>
      </c>
      <c r="BK322" s="4" t="str">
        <f ca="1">IFERROR(__xludf.DUMMYFUNCTION("""COMPUTED_VALUE"""),"| 5 L JAVA % | 7 L PHP-CGM @ | 8 L CPT @ | 9 P Python % ")</f>
        <v xml:space="preserve">| 5 L JAVA % | 7 L PHP-CGM @ | 8 L CPT @ | 9 P Python % </v>
      </c>
      <c r="BL322" s="4" t="str">
        <f ca="1">IFERROR(__xludf.DUMMYFUNCTION("""COMPUTED_VALUE"""),"| 5 L PHP-CGM @ | 6 L CPT @ | 8 L NS @ ")</f>
        <v xml:space="preserve">| 5 L PHP-CGM @ | 6 L CPT @ | 8 L NS @ </v>
      </c>
      <c r="BM322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22" s="4" t="str">
        <f ca="1">IFERROR(__xludf.DUMMYFUNCTION("""COMPUTED_VALUE"""),"| 5 L INE @ | 7 P PHP-CGM @ | 9 P NS @ ")</f>
        <v xml:space="preserve">| 5 L INE @ | 7 P PHP-CGM @ | 9 P NS @ </v>
      </c>
      <c r="BO322" s="4" t="str">
        <f ca="1">IFERROR(__xludf.DUMMYFUNCTION("""COMPUTED_VALUE"""),"| 5 L CPT @ | 6 L PHP-CGM @ ")</f>
        <v xml:space="preserve">| 5 L CPT @ | 6 L PHP-CGM @ </v>
      </c>
      <c r="BP322" s="4" t="str">
        <f ca="1">IFERROR(__xludf.DUMMYFUNCTION("""COMPUTED_VALUE"""),"| 5 L JAVA % | 6 L JAVA % | 7 L PHP-CGM % | 8 L CPT % ")</f>
        <v xml:space="preserve">| 5 L JAVA % | 6 L JAVA % | 7 L PHP-CGM % | 8 L CPT % </v>
      </c>
      <c r="BQ322" s="4" t="str">
        <f ca="1">IFERROR(__xludf.DUMMYFUNCTION("""COMPUTED_VALUE"""),"| 5 L JAVA @ ")</f>
        <v xml:space="preserve">| 5 L JAVA @ </v>
      </c>
      <c r="BR322" s="4"/>
      <c r="BS322" s="4"/>
      <c r="BT322" s="4" t="str">
        <f ca="1">IFERROR(__xludf.DUMMYFUNCTION("""COMPUTED_VALUE"""),"| 7 L PHP-CGM @ | 8 L CPT @ ")</f>
        <v xml:space="preserve">| 7 L PHP-CGM @ | 8 L CPT @ </v>
      </c>
      <c r="BU322" s="4" t="str">
        <f ca="1">IFERROR(__xludf.DUMMYFUNCTION("""COMPUTED_VALUE"""),"| 8 L NS @ ")</f>
        <v xml:space="preserve">| 8 L NS @ </v>
      </c>
      <c r="BV322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22" s="4" t="str">
        <f ca="1">IFERROR(__xludf.DUMMYFUNCTION("""COMPUTED_VALUE"""),"| 9 P Python @ ")</f>
        <v xml:space="preserve">| 9 P Python @ </v>
      </c>
      <c r="BX322" s="4" t="str">
        <f ca="1">IFERROR(__xludf.DUMMYFUNCTION("""COMPUTED_VALUE"""),"| 5 L JAVA % | 6 L NS % | 7 L PRO % | 9 P JAVA % ")</f>
        <v xml:space="preserve">| 5 L JAVA % | 6 L NS % | 7 L PRO % | 9 P JAVA % </v>
      </c>
      <c r="BY322" s="4" t="str">
        <f ca="1">IFERROR(__xludf.DUMMYFUNCTION("""COMPUTED_VALUE"""),"| 5 L INE @ | 7 P PHP-CGM @ | 9 P NS @ ")</f>
        <v xml:space="preserve">| 5 L INE @ | 7 P PHP-CGM @ | 9 P NS @ </v>
      </c>
      <c r="BZ322" s="4" t="str">
        <f ca="1">IFERROR(__xludf.DUMMYFUNCTION("""COMPUTED_VALUE"""),"| 5 L CPT @ | 6 L PHP-CGM @ | 7 P CPT @ | 9 P JAVA @ ")</f>
        <v xml:space="preserve">| 5 L CPT @ | 6 L PHP-CGM @ | 7 P CPT @ | 9 P JAVA @ </v>
      </c>
      <c r="CA322" s="4" t="str">
        <f ca="1">IFERROR(__xludf.DUMMYFUNCTION("""COMPUTED_VALUE"""),"| 5 L JAVA % | 6 L JAVA % | 7 L PHP-CGM @ | 8 L CPT @ | 9 P Python % ")</f>
        <v xml:space="preserve">| 5 L JAVA % | 6 L JAVA % | 7 L PHP-CGM @ | 8 L CPT @ | 9 P Python % </v>
      </c>
      <c r="CB322" s="4" t="str">
        <f ca="1">IFERROR(__xludf.DUMMYFUNCTION("""COMPUTED_VALUE"""),"| 5 L PHP-CGM @ | 6 L CPT @ | 7 L NS @ | 9 P Python @ ")</f>
        <v xml:space="preserve">| 5 L PHP-CGM @ | 6 L CPT @ | 7 L NS @ | 9 P Python @ </v>
      </c>
      <c r="CC322" s="4" t="str">
        <f ca="1">IFERROR(__xludf.DUMMYFUNCTION("""COMPUTED_VALUE"""),"| 5 L JAVA % | 6 L NS % | 9 P JAVA @ ")</f>
        <v xml:space="preserve">| 5 L JAVA % | 6 L NS % | 9 P JAVA @ </v>
      </c>
      <c r="CD322" s="4" t="str">
        <f ca="1">IFERROR(__xludf.DUMMYFUNCTION("""COMPUTED_VALUE"""),"| 5 L INE % | 7 P PHP-CGM @ | 9 P NS % ")</f>
        <v xml:space="preserve">| 5 L INE % | 7 P PHP-CGM @ | 9 P NS % </v>
      </c>
      <c r="CE322" s="4" t="str">
        <f ca="1">IFERROR(__xludf.DUMMYFUNCTION("""COMPUTED_VALUE"""),"| 5 L CPT @ | 6 L PHP-CGM @ | 9 P JAVA @ | 7 P CPT @ ")</f>
        <v xml:space="preserve">| 5 L CPT @ | 6 L PHP-CGM @ | 9 P JAVA @ | 7 P CPT @ </v>
      </c>
      <c r="CF322" s="4" t="str">
        <f ca="1">IFERROR(__xludf.DUMMYFUNCTION("""COMPUTED_VALUE"""),"| 5 L JAVA % | 6 L NS % | 7 L PHP-CGM @ | 8 L CPT @ | 9 P Python % ")</f>
        <v xml:space="preserve">| 5 L JAVA % | 6 L NS % | 7 L PHP-CGM @ | 8 L CPT @ | 9 P Python % </v>
      </c>
      <c r="CG322" s="4" t="str">
        <f ca="1">IFERROR(__xludf.DUMMYFUNCTION("""COMPUTED_VALUE"""),"| 5 L PHP-CGM @ | 6 L CPT @ | 7 L JAVA % | 8 L NS % ")</f>
        <v xml:space="preserve">| 5 L PHP-CGM @ | 6 L CPT @ | 7 L JAVA % | 8 L NS % </v>
      </c>
      <c r="CH322" s="4" t="str">
        <f ca="1">IFERROR(__xludf.DUMMYFUNCTION("""COMPUTED_VALUE"""),"| 5 L JAVA % | 6 L NS % | 9 P JAVA % ")</f>
        <v xml:space="preserve">| 5 L JAVA % | 6 L NS % | 9 P JAVA % </v>
      </c>
      <c r="CI322" s="4" t="str">
        <f ca="1">IFERROR(__xludf.DUMMYFUNCTION("""COMPUTED_VALUE"""),"| 5 L INE @ | 7 P PHP-CGM % | 9 P NS @ ")</f>
        <v xml:space="preserve">| 5 L INE @ | 7 P PHP-CGM % | 9 P NS @ </v>
      </c>
      <c r="CJ322" s="4" t="str">
        <f ca="1">IFERROR(__xludf.DUMMYFUNCTION("""COMPUTED_VALUE"""),"| 5 L CPT @ | 6 L PHP-CGM @ | 7 P CPT @ ")</f>
        <v xml:space="preserve">| 5 L CPT @ | 6 L PHP-CGM @ | 7 P CPT @ </v>
      </c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</row>
    <row r="323" spans="1:102" ht="12.5" x14ac:dyDescent="0.25">
      <c r="A323" s="3">
        <f ca="1">IFERROR(__xludf.DUMMYFUNCTION("""COMPUTED_VALUE"""),3)</f>
        <v>3</v>
      </c>
      <c r="B323" s="3" t="str">
        <f ca="1">IFERROR(__xludf.DUMMYFUNCTION("""COMPUTED_VALUE"""),"D")</f>
        <v>D</v>
      </c>
      <c r="C323" s="32" t="str">
        <f ca="1">IFERROR(__xludf.DUMMYFUNCTION("""COMPUTED_VALUE"""),"23171341166")</f>
        <v>23171341166</v>
      </c>
      <c r="D323" s="4" t="str">
        <f ca="1">IFERROR(__xludf.DUMMYFUNCTION("""COMPUTED_VALUE"""),"RAVAL SUHANI BHARATBHAI")</f>
        <v>RAVAL SUHANI BHARATBHAI</v>
      </c>
      <c r="E323" s="3" t="str">
        <f ca="1">IFERROR(__xludf.DUMMYFUNCTION("""COMPUTED_VALUE"""),"ZPP - Eve")</f>
        <v>ZPP - Eve</v>
      </c>
      <c r="F323" s="3">
        <f ca="1">IFERROR(__xludf.DUMMYFUNCTION("""COMPUTED_VALUE"""),8140998904)</f>
        <v>8140998904</v>
      </c>
      <c r="G323" s="3">
        <f ca="1">IFERROR(__xludf.DUMMYFUNCTION("""COMPUTED_VALUE"""),6351888534)</f>
        <v>6351888534</v>
      </c>
      <c r="H323" s="33">
        <f ca="1">IFERROR(__xludf.DUMMYFUNCTION("""COMPUTED_VALUE"""),0.777777777777777)</f>
        <v>0.77777777777777701</v>
      </c>
      <c r="I323" s="25">
        <f ca="1">IFERROR(__xludf.DUMMYFUNCTION("""COMPUTED_VALUE"""),0.742857142857142)</f>
        <v>0.74285714285714199</v>
      </c>
      <c r="J323" s="25">
        <f ca="1">IFERROR(__xludf.DUMMYFUNCTION("""COMPUTED_VALUE"""),0.909090909090909)</f>
        <v>0.90909090909090895</v>
      </c>
      <c r="K323" s="25">
        <f ca="1">IFERROR(__xludf.DUMMYFUNCTION("""COMPUTED_VALUE"""),0.84375)</f>
        <v>0.84375</v>
      </c>
      <c r="L323" s="25">
        <f ca="1">IFERROR(__xludf.DUMMYFUNCTION("""COMPUTED_VALUE"""),0.818181818181818)</f>
        <v>0.81818181818181801</v>
      </c>
      <c r="M323" s="25">
        <f ca="1">IFERROR(__xludf.DUMMYFUNCTION("""COMPUTED_VALUE"""),0.75)</f>
        <v>0.75</v>
      </c>
      <c r="N323" s="25">
        <f ca="1">IFERROR(__xludf.DUMMYFUNCTION("""COMPUTED_VALUE"""),0.833333333333333)</f>
        <v>0.83333333333333304</v>
      </c>
      <c r="O323" s="25">
        <f ca="1">IFERROR(__xludf.DUMMYFUNCTION("""COMPUTED_VALUE"""),0.861111111111111)</f>
        <v>0.86111111111111105</v>
      </c>
      <c r="P323" s="25">
        <f ca="1">IFERROR(__xludf.DUMMYFUNCTION("""COMPUTED_VALUE"""),0.631578947368421)</f>
        <v>0.63157894736842102</v>
      </c>
      <c r="Q323" s="25">
        <f ca="1">IFERROR(__xludf.DUMMYFUNCTION("""COMPUTED_VALUE"""),0)</f>
        <v>0</v>
      </c>
      <c r="R323" s="25">
        <f ca="1">IFERROR(__xludf.DUMMYFUNCTION("""COMPUTED_VALUE"""),0.722222222222222)</f>
        <v>0.72222222222222199</v>
      </c>
      <c r="S323" s="25">
        <f ca="1">IFERROR(__xludf.DUMMYFUNCTION("""COMPUTED_VALUE"""),0.769230769230769)</f>
        <v>0.76923076923076905</v>
      </c>
      <c r="T323" s="25">
        <f ca="1">IFERROR(__xludf.DUMMYFUNCTION("""COMPUTED_VALUE"""),1)</f>
        <v>1</v>
      </c>
      <c r="U323" s="25">
        <f ca="1">IFERROR(__xludf.DUMMYFUNCTION("""COMPUTED_VALUE"""),0.6)</f>
        <v>0.6</v>
      </c>
      <c r="V323" s="25">
        <f ca="1">IFERROR(__xludf.DUMMYFUNCTION("""COMPUTED_VALUE"""),0)</f>
        <v>0</v>
      </c>
      <c r="W323" s="4"/>
      <c r="X323" s="4" t="str">
        <f ca="1">IFERROR(__xludf.DUMMYFUNCTION("""COMPUTED_VALUE"""),"| 5 L JAVA % | 6 L NS % | 7 L PHP-CGM % | 8 L CPT % ")</f>
        <v xml:space="preserve">| 5 L JAVA % | 6 L NS % | 7 L PHP-CGM % | 8 L CPT % </v>
      </c>
      <c r="Y323" s="4" t="str">
        <f ca="1">IFERROR(__xludf.DUMMYFUNCTION("""COMPUTED_VALUE"""),"| 5 L PHP-CGM % | 6 L CPT % | 7 L NS % | 8 L JAVA % ")</f>
        <v xml:space="preserve">| 5 L PHP-CGM % | 6 L CPT % | 7 L NS % | 8 L JAVA % </v>
      </c>
      <c r="Z323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23" s="4" t="str">
        <f ca="1">IFERROR(__xludf.DUMMYFUNCTION("""COMPUTED_VALUE"""),"| 7 P PHP-CGM % | 9 P NS % ")</f>
        <v xml:space="preserve">| 7 P PHP-CGM % | 9 P NS % </v>
      </c>
      <c r="AB323" s="4" t="str">
        <f ca="1">IFERROR(__xludf.DUMMYFUNCTION("""COMPUTED_VALUE"""),"| 5 L JAVA % | 6 L PHP-CGM % | 7 P CPT % | 9 P JAVA % ")</f>
        <v xml:space="preserve">| 5 L JAVA % | 6 L PHP-CGM % | 7 P CPT % | 9 P JAVA % </v>
      </c>
      <c r="AC323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23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23" s="4" t="str">
        <f ca="1">IFERROR(__xludf.DUMMYFUNCTION("""COMPUTED_VALUE"""),"| 5 L JAVA % | 6 L NS % | 7 L PRO % | 9 P JAVA % ")</f>
        <v xml:space="preserve">| 5 L JAVA % | 6 L NS % | 7 L PRO % | 9 P JAVA % </v>
      </c>
      <c r="AF323" s="4" t="str">
        <f ca="1">IFERROR(__xludf.DUMMYFUNCTION("""COMPUTED_VALUE"""),"| 7 P PHP-CGM % | 9 P NS % ")</f>
        <v xml:space="preserve">| 7 P PHP-CGM % | 9 P NS % </v>
      </c>
      <c r="AG323" s="4" t="str">
        <f ca="1">IFERROR(__xludf.DUMMYFUNCTION("""COMPUTED_VALUE"""),"| 5 L CPT % | 6 L PHP-CGM % | 7 P CPT % | 9 P JAVA @ ")</f>
        <v xml:space="preserve">| 5 L CPT % | 6 L PHP-CGM % | 7 P CPT % | 9 P JAVA @ </v>
      </c>
      <c r="AH323" s="4" t="str">
        <f ca="1">IFERROR(__xludf.DUMMYFUNCTION("""COMPUTED_VALUE"""),"| 7 P PHP-CGM % | 9 P NS % ")</f>
        <v xml:space="preserve">| 7 P PHP-CGM % | 9 P NS % </v>
      </c>
      <c r="AI323" s="4" t="str">
        <f ca="1">IFERROR(__xludf.DUMMYFUNCTION("""COMPUTED_VALUE"""),"| 5 L CPT % | 6 L PHP-CGM % | 7 P CPT % | 9 P JAVA % ")</f>
        <v xml:space="preserve">| 5 L CPT % | 6 L PHP-CGM % | 7 P CPT % | 9 P JAVA % </v>
      </c>
      <c r="AJ323" s="4" t="str">
        <f ca="1">IFERROR(__xludf.DUMMYFUNCTION("""COMPUTED_VALUE"""),"| 5 L JAVA % | 6 L NS % | 7 L PHP-CGM @ | 8 L CPT @ ")</f>
        <v xml:space="preserve">| 5 L JAVA % | 6 L NS % | 7 L PHP-CGM @ | 8 L CPT @ </v>
      </c>
      <c r="AK323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23" s="4" t="str">
        <f ca="1">IFERROR(__xludf.DUMMYFUNCTION("""COMPUTED_VALUE"""),"| 6 L NS % | 7 L NS % | 7 L PRO % | 8 L PRO % | 9 P JAVA % ")</f>
        <v xml:space="preserve">| 6 L NS % | 7 L NS % | 7 L PRO % | 8 L PRO % | 9 P JAVA % </v>
      </c>
      <c r="AM323" s="4" t="str">
        <f ca="1">IFERROR(__xludf.DUMMYFUNCTION("""COMPUTED_VALUE"""),"| 5 L INE % | 7 P PHP-CGM % | 9 P NS % ")</f>
        <v xml:space="preserve">| 5 L INE % | 7 P PHP-CGM % | 9 P NS % </v>
      </c>
      <c r="AN323" s="4" t="str">
        <f ca="1">IFERROR(__xludf.DUMMYFUNCTION("""COMPUTED_VALUE"""),"| 5 L CPT % | 6 L PHP-CGM % | 7 P CPT % | 9 P JAVA % ")</f>
        <v xml:space="preserve">| 5 L CPT % | 6 L PHP-CGM % | 7 P CPT % | 9 P JAVA % </v>
      </c>
      <c r="AO323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23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23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3" s="4" t="str">
        <f ca="1">IFERROR(__xludf.DUMMYFUNCTION("""COMPUTED_VALUE"""),"| 5 L INE @ ")</f>
        <v xml:space="preserve">| 5 L INE @ </v>
      </c>
      <c r="AS323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23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23" s="4" t="str">
        <f ca="1">IFERROR(__xludf.DUMMYFUNCTION("""COMPUTED_VALUE"""),"| 5 L JAVA % | 6 L NS % | 5 P PRO % | 9 P JAVA % ")</f>
        <v xml:space="preserve">| 5 L JAVA % | 6 L NS % | 5 P PRO % | 9 P JAVA % </v>
      </c>
      <c r="AV323" s="4" t="str">
        <f ca="1">IFERROR(__xludf.DUMMYFUNCTION("""COMPUTED_VALUE"""),"| 5 L INE % | 7 P PHP-CGM % | 9 P NS % ")</f>
        <v xml:space="preserve">| 5 L INE % | 7 P PHP-CGM % | 9 P NS % </v>
      </c>
      <c r="AW323" s="4" t="str">
        <f ca="1">IFERROR(__xludf.DUMMYFUNCTION("""COMPUTED_VALUE"""),"| 5 L CPT % | 6 L PHP-CGM % | 7 P CPT % | 9 P JAVA % ")</f>
        <v xml:space="preserve">| 5 L CPT % | 6 L PHP-CGM % | 7 P CPT % | 9 P JAVA % </v>
      </c>
      <c r="AX323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23" s="4" t="str">
        <f ca="1">IFERROR(__xludf.DUMMYFUNCTION("""COMPUTED_VALUE"""),"| 5 L PHP-CGM % | 6 L CPT % | 7 L NS % | 8 L NS % | 9 P Python @ ")</f>
        <v xml:space="preserve">| 5 L PHP-CGM % | 6 L CPT % | 7 L NS % | 8 L NS % | 9 P Python @ </v>
      </c>
      <c r="AZ323" s="4" t="str">
        <f ca="1">IFERROR(__xludf.DUMMYFUNCTION("""COMPUTED_VALUE"""),"| 5 L INE % | 7 P PHP-CGM % ")</f>
        <v xml:space="preserve">| 5 L INE % | 7 P PHP-CGM % </v>
      </c>
      <c r="BA323" s="4" t="str">
        <f ca="1">IFERROR(__xludf.DUMMYFUNCTION("""COMPUTED_VALUE"""),"| 5 L CPT % | 6 L PHP-CGM % | 7 P CPT % ")</f>
        <v xml:space="preserve">| 5 L CPT % | 6 L PHP-CGM % | 7 P CPT % </v>
      </c>
      <c r="BB323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23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23" s="4" t="str">
        <f ca="1">IFERROR(__xludf.DUMMYFUNCTION("""COMPUTED_VALUE"""),"| 5 L JAVA % | 6 L NS % | 7 L PRO % | 8 L PRO % | 9 P JAVA @ ")</f>
        <v xml:space="preserve">| 5 L JAVA % | 6 L NS % | 7 L PRO % | 8 L PRO % | 9 P JAVA @ </v>
      </c>
      <c r="BE323" s="4" t="str">
        <f ca="1">IFERROR(__xludf.DUMMYFUNCTION("""COMPUTED_VALUE"""),"| 5 L INE % | 7 P PHP-CGM % | 9 P NS % ")</f>
        <v xml:space="preserve">| 5 L INE % | 7 P PHP-CGM % | 9 P NS % </v>
      </c>
      <c r="BF323" s="4" t="str">
        <f ca="1">IFERROR(__xludf.DUMMYFUNCTION("""COMPUTED_VALUE"""),"| 5 L CPT % | 6 L PHP-CGM % | 7 P CPT % ")</f>
        <v xml:space="preserve">| 5 L CPT % | 6 L PHP-CGM % | 7 P CPT % </v>
      </c>
      <c r="BG323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23" s="4" t="str">
        <f ca="1">IFERROR(__xludf.DUMMYFUNCTION("""COMPUTED_VALUE"""),"| 5 L JAVA % | 6 L NS % | 7 L PRO % | 9 P JAVA % ")</f>
        <v xml:space="preserve">| 5 L JAVA % | 6 L NS % | 7 L PRO % | 9 P JAVA % </v>
      </c>
      <c r="BI323" s="4" t="str">
        <f ca="1">IFERROR(__xludf.DUMMYFUNCTION("""COMPUTED_VALUE"""),"| 5 L INE % | 7 P PHP-CGM % | 9 P NS % ")</f>
        <v xml:space="preserve">| 5 L INE % | 7 P PHP-CGM % | 9 P NS % </v>
      </c>
      <c r="BJ323" s="4" t="str">
        <f ca="1">IFERROR(__xludf.DUMMYFUNCTION("""COMPUTED_VALUE"""),"| 5 L CPT % | 6 L PHP-CGM % | 7 P CPT % | 9 P JAVA @ ")</f>
        <v xml:space="preserve">| 5 L CPT % | 6 L PHP-CGM % | 7 P CPT % | 9 P JAVA @ </v>
      </c>
      <c r="BK323" s="4" t="str">
        <f ca="1">IFERROR(__xludf.DUMMYFUNCTION("""COMPUTED_VALUE"""),"| 5 L JAVA @ | 7 L PHP-CGM @ | 8 L CPT @ | 9 P Python @ ")</f>
        <v xml:space="preserve">| 5 L JAVA @ | 7 L PHP-CGM @ | 8 L CPT @ | 9 P Python @ </v>
      </c>
      <c r="BL323" s="4" t="str">
        <f ca="1">IFERROR(__xludf.DUMMYFUNCTION("""COMPUTED_VALUE"""),"| 5 L PHP-CGM % | 6 L CPT % | 8 L NS @ ")</f>
        <v xml:space="preserve">| 5 L PHP-CGM % | 6 L CPT % | 8 L NS @ </v>
      </c>
      <c r="BM323" s="4" t="str">
        <f ca="1">IFERROR(__xludf.DUMMYFUNCTION("""COMPUTED_VALUE"""),"| 5 L JAVA % | 6 L NS % | 7 L PRO @ | 8 L PRO @ | 9 P JAVA @ ")</f>
        <v xml:space="preserve">| 5 L JAVA % | 6 L NS % | 7 L PRO @ | 8 L PRO @ | 9 P JAVA @ </v>
      </c>
      <c r="BN323" s="4" t="str">
        <f ca="1">IFERROR(__xludf.DUMMYFUNCTION("""COMPUTED_VALUE"""),"| 5 L INE @ | 7 P PHP-CGM @ | 9 P NS @ ")</f>
        <v xml:space="preserve">| 5 L INE @ | 7 P PHP-CGM @ | 9 P NS @ </v>
      </c>
      <c r="BO323" s="4" t="str">
        <f ca="1">IFERROR(__xludf.DUMMYFUNCTION("""COMPUTED_VALUE"""),"| 5 L CPT @ | 6 L PHP-CGM @ ")</f>
        <v xml:space="preserve">| 5 L CPT @ | 6 L PHP-CGM @ </v>
      </c>
      <c r="BP323" s="4" t="str">
        <f ca="1">IFERROR(__xludf.DUMMYFUNCTION("""COMPUTED_VALUE"""),"| 5 L JAVA % | 6 L JAVA % | 7 L PHP-CGM % | 8 L CPT % ")</f>
        <v xml:space="preserve">| 5 L JAVA % | 6 L JAVA % | 7 L PHP-CGM % | 8 L CPT % </v>
      </c>
      <c r="BQ323" s="4" t="str">
        <f ca="1">IFERROR(__xludf.DUMMYFUNCTION("""COMPUTED_VALUE"""),"| 5 L JAVA @ ")</f>
        <v xml:space="preserve">| 5 L JAVA @ </v>
      </c>
      <c r="BR323" s="4"/>
      <c r="BS323" s="4"/>
      <c r="BT323" s="4" t="str">
        <f ca="1">IFERROR(__xludf.DUMMYFUNCTION("""COMPUTED_VALUE"""),"| 7 L PHP-CGM @ | 8 L CPT @ ")</f>
        <v xml:space="preserve">| 7 L PHP-CGM @ | 8 L CPT @ </v>
      </c>
      <c r="BU323" s="4" t="str">
        <f ca="1">IFERROR(__xludf.DUMMYFUNCTION("""COMPUTED_VALUE"""),"| 8 L NS @ ")</f>
        <v xml:space="preserve">| 8 L NS @ </v>
      </c>
      <c r="BV323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23" s="4" t="str">
        <f ca="1">IFERROR(__xludf.DUMMYFUNCTION("""COMPUTED_VALUE"""),"| 9 P Python @ ")</f>
        <v xml:space="preserve">| 9 P Python @ </v>
      </c>
      <c r="BX323" s="4" t="str">
        <f ca="1">IFERROR(__xludf.DUMMYFUNCTION("""COMPUTED_VALUE"""),"| 5 L JAVA @ | 6 L NS @ | 7 L PRO @ | 9 P JAVA @ ")</f>
        <v xml:space="preserve">| 5 L JAVA @ | 6 L NS @ | 7 L PRO @ | 9 P JAVA @ </v>
      </c>
      <c r="BY323" s="4" t="str">
        <f ca="1">IFERROR(__xludf.DUMMYFUNCTION("""COMPUTED_VALUE"""),"| 5 L INE @ | 7 P PHP-CGM @ | 9 P NS @ ")</f>
        <v xml:space="preserve">| 5 L INE @ | 7 P PHP-CGM @ | 9 P NS @ </v>
      </c>
      <c r="BZ323" s="4" t="str">
        <f ca="1">IFERROR(__xludf.DUMMYFUNCTION("""COMPUTED_VALUE"""),"| 5 L CPT @ | 6 L PHP-CGM @ | 7 P CPT @ | 9 P JAVA @ ")</f>
        <v xml:space="preserve">| 5 L CPT @ | 6 L PHP-CGM @ | 7 P CPT @ | 9 P JAVA @ </v>
      </c>
      <c r="CA323" s="4" t="str">
        <f ca="1">IFERROR(__xludf.DUMMYFUNCTION("""COMPUTED_VALUE"""),"| 5 L JAVA % | 6 L JAVA % | 7 L PHP-CGM % | 8 L CPT % | 9 P Python @ ")</f>
        <v xml:space="preserve">| 5 L JAVA % | 6 L JAVA % | 7 L PHP-CGM % | 8 L CPT % | 9 P Python @ </v>
      </c>
      <c r="CB323" s="4" t="str">
        <f ca="1">IFERROR(__xludf.DUMMYFUNCTION("""COMPUTED_VALUE"""),"| 5 L PHP-CGM % | 6 L CPT % | 7 L NS % | 9 P Python % ")</f>
        <v xml:space="preserve">| 5 L PHP-CGM % | 6 L CPT % | 7 L NS % | 9 P Python % </v>
      </c>
      <c r="CC323" s="4" t="str">
        <f ca="1">IFERROR(__xludf.DUMMYFUNCTION("""COMPUTED_VALUE"""),"| 5 L JAVA % | 6 L NS % | 9 P JAVA @ ")</f>
        <v xml:space="preserve">| 5 L JAVA % | 6 L NS % | 9 P JAVA @ </v>
      </c>
      <c r="CD323" s="4" t="str">
        <f ca="1">IFERROR(__xludf.DUMMYFUNCTION("""COMPUTED_VALUE"""),"| 5 L INE % | 7 P PHP-CGM % | 9 P NS % ")</f>
        <v xml:space="preserve">| 5 L INE % | 7 P PHP-CGM % | 9 P NS % </v>
      </c>
      <c r="CE323" s="4" t="str">
        <f ca="1">IFERROR(__xludf.DUMMYFUNCTION("""COMPUTED_VALUE"""),"| 5 L CPT % | 6 L PHP-CGM % | 9 P JAVA % | 7 P CPT % ")</f>
        <v xml:space="preserve">| 5 L CPT % | 6 L PHP-CGM % | 9 P JAVA % | 7 P CPT % </v>
      </c>
      <c r="CF323" s="4" t="str">
        <f ca="1">IFERROR(__xludf.DUMMYFUNCTION("""COMPUTED_VALUE"""),"| 5 L JAVA % | 6 L NS % | 7 L PHP-CGM @ | 8 L CPT @ | 9 P Python % ")</f>
        <v xml:space="preserve">| 5 L JAVA % | 6 L NS % | 7 L PHP-CGM @ | 8 L CPT @ | 9 P Python % </v>
      </c>
      <c r="CG323" s="4" t="str">
        <f ca="1">IFERROR(__xludf.DUMMYFUNCTION("""COMPUTED_VALUE"""),"| 5 L PHP-CGM @ | 6 L CPT @ | 7 L JAVA % | 8 L NS % ")</f>
        <v xml:space="preserve">| 5 L PHP-CGM @ | 6 L CPT @ | 7 L JAVA % | 8 L NS % </v>
      </c>
      <c r="CH323" s="4" t="str">
        <f ca="1">IFERROR(__xludf.DUMMYFUNCTION("""COMPUTED_VALUE"""),"| 5 L JAVA @ | 6 L NS @ | 9 P JAVA % ")</f>
        <v xml:space="preserve">| 5 L JAVA @ | 6 L NS @ | 9 P JAVA % </v>
      </c>
      <c r="CI323" s="4" t="str">
        <f ca="1">IFERROR(__xludf.DUMMYFUNCTION("""COMPUTED_VALUE"""),"| 5 L INE @ | 7 P PHP-CGM % | 9 P NS % ")</f>
        <v xml:space="preserve">| 5 L INE @ | 7 P PHP-CGM % | 9 P NS % </v>
      </c>
      <c r="CJ323" s="4" t="str">
        <f ca="1">IFERROR(__xludf.DUMMYFUNCTION("""COMPUTED_VALUE"""),"| 5 L CPT @ | 6 L PHP-CGM @ | 7 P CPT % ")</f>
        <v xml:space="preserve">| 5 L CPT @ | 6 L PHP-CGM @ | 7 P CPT % </v>
      </c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</row>
    <row r="324" spans="1:102" ht="12.5" x14ac:dyDescent="0.25">
      <c r="A324" s="3">
        <f ca="1">IFERROR(__xludf.DUMMYFUNCTION("""COMPUTED_VALUE"""),3)</f>
        <v>3</v>
      </c>
      <c r="B324" s="3" t="str">
        <f ca="1">IFERROR(__xludf.DUMMYFUNCTION("""COMPUTED_VALUE"""),"D")</f>
        <v>D</v>
      </c>
      <c r="C324" s="32" t="str">
        <f ca="1">IFERROR(__xludf.DUMMYFUNCTION("""COMPUTED_VALUE"""),"23171341169")</f>
        <v>23171341169</v>
      </c>
      <c r="D324" s="4" t="str">
        <f ca="1">IFERROR(__xludf.DUMMYFUNCTION("""COMPUTED_VALUE"""),"RAVAL VATSAL ALOKKUMAR")</f>
        <v>RAVAL VATSAL ALOKKUMAR</v>
      </c>
      <c r="E324" s="3" t="str">
        <f ca="1">IFERROR(__xludf.DUMMYFUNCTION("""COMPUTED_VALUE"""),"ZPP - Eve")</f>
        <v>ZPP - Eve</v>
      </c>
      <c r="F324" s="3">
        <f ca="1">IFERROR(__xludf.DUMMYFUNCTION("""COMPUTED_VALUE"""),9499516680)</f>
        <v>9499516680</v>
      </c>
      <c r="G324" s="3">
        <f ca="1">IFERROR(__xludf.DUMMYFUNCTION("""COMPUTED_VALUE"""),9909248408)</f>
        <v>9909248408</v>
      </c>
      <c r="H324" s="33">
        <f ca="1">IFERROR(__xludf.DUMMYFUNCTION("""COMPUTED_VALUE"""),0.752136752136752)</f>
        <v>0.75213675213675202</v>
      </c>
      <c r="I324" s="25">
        <f ca="1">IFERROR(__xludf.DUMMYFUNCTION("""COMPUTED_VALUE"""),0.685714285714285)</f>
        <v>0.68571428571428505</v>
      </c>
      <c r="J324" s="25">
        <f ca="1">IFERROR(__xludf.DUMMYFUNCTION("""COMPUTED_VALUE"""),0.909090909090909)</f>
        <v>0.90909090909090895</v>
      </c>
      <c r="K324" s="25">
        <f ca="1">IFERROR(__xludf.DUMMYFUNCTION("""COMPUTED_VALUE"""),0.8125)</f>
        <v>0.8125</v>
      </c>
      <c r="L324" s="25">
        <f ca="1">IFERROR(__xludf.DUMMYFUNCTION("""COMPUTED_VALUE"""),0.818181818181818)</f>
        <v>0.81818181818181801</v>
      </c>
      <c r="M324" s="25">
        <f ca="1">IFERROR(__xludf.DUMMYFUNCTION("""COMPUTED_VALUE"""),0.722222222222222)</f>
        <v>0.72222222222222199</v>
      </c>
      <c r="N324" s="25">
        <f ca="1">IFERROR(__xludf.DUMMYFUNCTION("""COMPUTED_VALUE"""),0.666666666666666)</f>
        <v>0.66666666666666596</v>
      </c>
      <c r="O324" s="25">
        <f ca="1">IFERROR(__xludf.DUMMYFUNCTION("""COMPUTED_VALUE"""),0.805555555555555)</f>
        <v>0.80555555555555503</v>
      </c>
      <c r="P324" s="25">
        <f ca="1">IFERROR(__xludf.DUMMYFUNCTION("""COMPUTED_VALUE"""),0.631578947368421)</f>
        <v>0.63157894736842102</v>
      </c>
      <c r="Q324" s="25">
        <f ca="1">IFERROR(__xludf.DUMMYFUNCTION("""COMPUTED_VALUE"""),0)</f>
        <v>0</v>
      </c>
      <c r="R324" s="25">
        <f ca="1">IFERROR(__xludf.DUMMYFUNCTION("""COMPUTED_VALUE"""),0.722222222222222)</f>
        <v>0.72222222222222199</v>
      </c>
      <c r="S324" s="25">
        <f ca="1">IFERROR(__xludf.DUMMYFUNCTION("""COMPUTED_VALUE"""),1)</f>
        <v>1</v>
      </c>
      <c r="T324" s="25">
        <f ca="1">IFERROR(__xludf.DUMMYFUNCTION("""COMPUTED_VALUE"""),1)</f>
        <v>1</v>
      </c>
      <c r="U324" s="25">
        <f ca="1">IFERROR(__xludf.DUMMYFUNCTION("""COMPUTED_VALUE"""),0.5)</f>
        <v>0.5</v>
      </c>
      <c r="V324" s="25">
        <f ca="1">IFERROR(__xludf.DUMMYFUNCTION("""COMPUTED_VALUE"""),0)</f>
        <v>0</v>
      </c>
      <c r="W324" s="4"/>
      <c r="X324" s="4" t="str">
        <f ca="1">IFERROR(__xludf.DUMMYFUNCTION("""COMPUTED_VALUE"""),"| 5 L JAVA % | 6 L NS % | 7 L PHP-CGM % | 8 L CPT % ")</f>
        <v xml:space="preserve">| 5 L JAVA % | 6 L NS % | 7 L PHP-CGM % | 8 L CPT % </v>
      </c>
      <c r="Y324" s="4" t="str">
        <f ca="1">IFERROR(__xludf.DUMMYFUNCTION("""COMPUTED_VALUE"""),"| 5 L PHP-CGM % | 6 L CPT % | 7 L NS % | 8 L JAVA % ")</f>
        <v xml:space="preserve">| 5 L PHP-CGM % | 6 L CPT % | 7 L NS % | 8 L JAVA % </v>
      </c>
      <c r="Z324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24" s="4" t="str">
        <f ca="1">IFERROR(__xludf.DUMMYFUNCTION("""COMPUTED_VALUE"""),"| 7 P PHP-CGM % | 9 P NS % ")</f>
        <v xml:space="preserve">| 7 P PHP-CGM % | 9 P NS % </v>
      </c>
      <c r="AB324" s="4" t="str">
        <f ca="1">IFERROR(__xludf.DUMMYFUNCTION("""COMPUTED_VALUE"""),"| 5 L JAVA % | 6 L PHP-CGM % | 7 P CPT % | 9 P JAVA % ")</f>
        <v xml:space="preserve">| 5 L JAVA % | 6 L PHP-CGM % | 7 P CPT % | 9 P JAVA % </v>
      </c>
      <c r="AC324" s="4" t="str">
        <f ca="1">IFERROR(__xludf.DUMMYFUNCTION("""COMPUTED_VALUE"""),"| 5 L JAVA % | 6 L NS % | 7 L PHP-CGM @ | 9 P Python % | 8 L CPT @ ")</f>
        <v xml:space="preserve">| 5 L JAVA % | 6 L NS % | 7 L PHP-CGM @ | 9 P Python % | 8 L CPT @ </v>
      </c>
      <c r="AD324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24" s="4" t="str">
        <f ca="1">IFERROR(__xludf.DUMMYFUNCTION("""COMPUTED_VALUE"""),"| 5 L JAVA % | 6 L NS % | 7 L PRO % | 9 P JAVA @ ")</f>
        <v xml:space="preserve">| 5 L JAVA % | 6 L NS % | 7 L PRO % | 9 P JAVA @ </v>
      </c>
      <c r="AF324" s="4" t="str">
        <f ca="1">IFERROR(__xludf.DUMMYFUNCTION("""COMPUTED_VALUE"""),"| 7 P PHP-CGM % | 9 P NS % ")</f>
        <v xml:space="preserve">| 7 P PHP-CGM % | 9 P NS % </v>
      </c>
      <c r="AG324" s="4" t="str">
        <f ca="1">IFERROR(__xludf.DUMMYFUNCTION("""COMPUTED_VALUE"""),"| 5 L CPT % | 6 L PHP-CGM % | 7 P CPT % | 9 P JAVA % ")</f>
        <v xml:space="preserve">| 5 L CPT % | 6 L PHP-CGM % | 7 P CPT % | 9 P JAVA % </v>
      </c>
      <c r="AH324" s="4" t="str">
        <f ca="1">IFERROR(__xludf.DUMMYFUNCTION("""COMPUTED_VALUE"""),"| 7 P PHP-CGM @ | 9 P NS % ")</f>
        <v xml:space="preserve">| 7 P PHP-CGM @ | 9 P NS % </v>
      </c>
      <c r="AI324" s="4" t="str">
        <f ca="1">IFERROR(__xludf.DUMMYFUNCTION("""COMPUTED_VALUE"""),"| 5 L CPT % | 6 L PHP-CGM % | 7 P CPT % | 9 P JAVA @ ")</f>
        <v xml:space="preserve">| 5 L CPT % | 6 L PHP-CGM % | 7 P CPT % | 9 P JAVA @ </v>
      </c>
      <c r="AJ324" s="4" t="str">
        <f ca="1">IFERROR(__xludf.DUMMYFUNCTION("""COMPUTED_VALUE"""),"| 5 L JAVA % | 6 L NS % | 7 L PHP-CGM @ | 8 L CPT @ ")</f>
        <v xml:space="preserve">| 5 L JAVA % | 6 L NS % | 7 L PHP-CGM @ | 8 L CPT @ </v>
      </c>
      <c r="AK324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24" s="4" t="str">
        <f ca="1">IFERROR(__xludf.DUMMYFUNCTION("""COMPUTED_VALUE"""),"| 6 L NS % | 7 L NS % | 7 L PRO % | 8 L PRO % | 9 P JAVA % ")</f>
        <v xml:space="preserve">| 6 L NS % | 7 L NS % | 7 L PRO % | 8 L PRO % | 9 P JAVA % </v>
      </c>
      <c r="AM324" s="4" t="str">
        <f ca="1">IFERROR(__xludf.DUMMYFUNCTION("""COMPUTED_VALUE"""),"| 5 L INE % | 7 P PHP-CGM % | 9 P NS % ")</f>
        <v xml:space="preserve">| 5 L INE % | 7 P PHP-CGM % | 9 P NS % </v>
      </c>
      <c r="AN324" s="4" t="str">
        <f ca="1">IFERROR(__xludf.DUMMYFUNCTION("""COMPUTED_VALUE"""),"| 5 L CPT % | 6 L PHP-CGM % | 7 P CPT % | 9 P JAVA @ ")</f>
        <v xml:space="preserve">| 5 L CPT % | 6 L PHP-CGM % | 7 P CPT % | 9 P JAVA @ </v>
      </c>
      <c r="AO324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24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24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4" s="4" t="str">
        <f ca="1">IFERROR(__xludf.DUMMYFUNCTION("""COMPUTED_VALUE"""),"| 5 L INE @ ")</f>
        <v xml:space="preserve">| 5 L INE @ </v>
      </c>
      <c r="AS324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24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24" s="4" t="str">
        <f ca="1">IFERROR(__xludf.DUMMYFUNCTION("""COMPUTED_VALUE"""),"| 5 L JAVA % | 6 L NS % | 5 P PRO % | 9 P JAVA % ")</f>
        <v xml:space="preserve">| 5 L JAVA % | 6 L NS % | 5 P PRO % | 9 P JAVA % </v>
      </c>
      <c r="AV324" s="4" t="str">
        <f ca="1">IFERROR(__xludf.DUMMYFUNCTION("""COMPUTED_VALUE"""),"| 5 L INE @ | 7 P PHP-CGM @ | 9 P NS @ ")</f>
        <v xml:space="preserve">| 5 L INE @ | 7 P PHP-CGM @ | 9 P NS @ </v>
      </c>
      <c r="AW324" s="4" t="str">
        <f ca="1">IFERROR(__xludf.DUMMYFUNCTION("""COMPUTED_VALUE"""),"| 5 L CPT @ | 6 L PHP-CGM @ | 7 P CPT @ | 9 P JAVA @ ")</f>
        <v xml:space="preserve">| 5 L CPT @ | 6 L PHP-CGM @ | 7 P CPT @ | 9 P JAVA @ </v>
      </c>
      <c r="AX324" s="4" t="str">
        <f ca="1">IFERROR(__xludf.DUMMYFUNCTION("""COMPUTED_VALUE"""),"| 5 L JAVA % | 6 L JAVA % | 7 L PHP-CGM @ | 8 L CPT @ | 9 P Python % ")</f>
        <v xml:space="preserve">| 5 L JAVA % | 6 L JAVA % | 7 L PHP-CGM @ | 8 L CPT @ | 9 P Python % </v>
      </c>
      <c r="AY324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24" s="4" t="str">
        <f ca="1">IFERROR(__xludf.DUMMYFUNCTION("""COMPUTED_VALUE"""),"| 5 L INE @ | 7 P PHP-CGM @ ")</f>
        <v xml:space="preserve">| 5 L INE @ | 7 P PHP-CGM @ </v>
      </c>
      <c r="BA324" s="4" t="str">
        <f ca="1">IFERROR(__xludf.DUMMYFUNCTION("""COMPUTED_VALUE"""),"| 5 L CPT % | 6 L PHP-CGM % | 7 P CPT % ")</f>
        <v xml:space="preserve">| 5 L CPT % | 6 L PHP-CGM % | 7 P CPT % </v>
      </c>
      <c r="BB324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24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D324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24" s="4" t="str">
        <f ca="1">IFERROR(__xludf.DUMMYFUNCTION("""COMPUTED_VALUE"""),"| 5 L INE % | 7 P PHP-CGM % | 9 P NS % ")</f>
        <v xml:space="preserve">| 5 L INE % | 7 P PHP-CGM % | 9 P NS % </v>
      </c>
      <c r="BF324" s="4" t="str">
        <f ca="1">IFERROR(__xludf.DUMMYFUNCTION("""COMPUTED_VALUE"""),"| 5 L CPT % | 6 L PHP-CGM % | 7 P CPT % ")</f>
        <v xml:space="preserve">| 5 L CPT % | 6 L PHP-CGM % | 7 P CPT % </v>
      </c>
      <c r="BG324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24" s="4" t="str">
        <f ca="1">IFERROR(__xludf.DUMMYFUNCTION("""COMPUTED_VALUE"""),"| 5 L JAVA % | 6 L NS % | 7 L PRO % | 9 P JAVA @ ")</f>
        <v xml:space="preserve">| 5 L JAVA % | 6 L NS % | 7 L PRO % | 9 P JAVA @ </v>
      </c>
      <c r="BI324" s="4" t="str">
        <f ca="1">IFERROR(__xludf.DUMMYFUNCTION("""COMPUTED_VALUE"""),"| 5 L INE @ | 7 P PHP-CGM @ | 9 P NS @ ")</f>
        <v xml:space="preserve">| 5 L INE @ | 7 P PHP-CGM @ | 9 P NS @ </v>
      </c>
      <c r="BJ324" s="4" t="str">
        <f ca="1">IFERROR(__xludf.DUMMYFUNCTION("""COMPUTED_VALUE"""),"| 5 L CPT % | 6 L PHP-CGM % | 7 P CPT % | 9 P JAVA @ ")</f>
        <v xml:space="preserve">| 5 L CPT % | 6 L PHP-CGM % | 7 P CPT % | 9 P JAVA @ </v>
      </c>
      <c r="BK324" s="4" t="str">
        <f ca="1">IFERROR(__xludf.DUMMYFUNCTION("""COMPUTED_VALUE"""),"| 5 L JAVA % | 7 L PHP-CGM @ | 8 L CPT @ | 9 P Python % ")</f>
        <v xml:space="preserve">| 5 L JAVA % | 7 L PHP-CGM @ | 8 L CPT @ | 9 P Python % </v>
      </c>
      <c r="BL324" s="4" t="str">
        <f ca="1">IFERROR(__xludf.DUMMYFUNCTION("""COMPUTED_VALUE"""),"| 5 L PHP-CGM % | 6 L CPT % | 8 L NS @ ")</f>
        <v xml:space="preserve">| 5 L PHP-CGM % | 6 L CPT % | 8 L NS @ </v>
      </c>
      <c r="BM324" s="4" t="str">
        <f ca="1">IFERROR(__xludf.DUMMYFUNCTION("""COMPUTED_VALUE"""),"| 5 L JAVA % | 6 L NS % | 7 L PRO % | 8 L PRO % | 9 P JAVA @ ")</f>
        <v xml:space="preserve">| 5 L JAVA % | 6 L NS % | 7 L PRO % | 8 L PRO % | 9 P JAVA @ </v>
      </c>
      <c r="BN324" s="4" t="str">
        <f ca="1">IFERROR(__xludf.DUMMYFUNCTION("""COMPUTED_VALUE"""),"| 5 L INE % | 7 P PHP-CGM % | 9 P NS % ")</f>
        <v xml:space="preserve">| 5 L INE % | 7 P PHP-CGM % | 9 P NS % </v>
      </c>
      <c r="BO324" s="4" t="str">
        <f ca="1">IFERROR(__xludf.DUMMYFUNCTION("""COMPUTED_VALUE"""),"| 5 L CPT @ | 6 L PHP-CGM % ")</f>
        <v xml:space="preserve">| 5 L CPT @ | 6 L PHP-CGM % </v>
      </c>
      <c r="BP324" s="4" t="str">
        <f ca="1">IFERROR(__xludf.DUMMYFUNCTION("""COMPUTED_VALUE"""),"| 5 L JAVA % | 6 L JAVA % | 7 L PHP-CGM % | 8 L CPT % ")</f>
        <v xml:space="preserve">| 5 L JAVA % | 6 L JAVA % | 7 L PHP-CGM % | 8 L CPT % </v>
      </c>
      <c r="BQ324" s="4" t="str">
        <f ca="1">IFERROR(__xludf.DUMMYFUNCTION("""COMPUTED_VALUE"""),"| 5 L JAVA @ ")</f>
        <v xml:space="preserve">| 5 L JAVA @ </v>
      </c>
      <c r="BR324" s="4"/>
      <c r="BS324" s="4"/>
      <c r="BT324" s="4" t="str">
        <f ca="1">IFERROR(__xludf.DUMMYFUNCTION("""COMPUTED_VALUE"""),"| 7 L PHP-CGM % | 8 L CPT % ")</f>
        <v xml:space="preserve">| 7 L PHP-CGM % | 8 L CPT % </v>
      </c>
      <c r="BU324" s="4" t="str">
        <f ca="1">IFERROR(__xludf.DUMMYFUNCTION("""COMPUTED_VALUE"""),"| 8 L NS @ ")</f>
        <v xml:space="preserve">| 8 L NS @ </v>
      </c>
      <c r="BV324" s="4" t="str">
        <f ca="1">IFERROR(__xludf.DUMMYFUNCTION("""COMPUTED_VALUE"""),"| 5 L JAVA % | 6 L NS % | 7 L PHP-CGM @ | 8 L CPT @ | 9 P Python @ ")</f>
        <v xml:space="preserve">| 5 L JAVA % | 6 L NS % | 7 L PHP-CGM @ | 8 L CPT @ | 9 P Python @ </v>
      </c>
      <c r="BW324" s="4" t="str">
        <f ca="1">IFERROR(__xludf.DUMMYFUNCTION("""COMPUTED_VALUE"""),"| 9 P Python @ ")</f>
        <v xml:space="preserve">| 9 P Python @ </v>
      </c>
      <c r="BX324" s="4" t="str">
        <f ca="1">IFERROR(__xludf.DUMMYFUNCTION("""COMPUTED_VALUE"""),"| 5 L JAVA % | 6 L NS % | 7 L PRO % | 9 P JAVA % ")</f>
        <v xml:space="preserve">| 5 L JAVA % | 6 L NS % | 7 L PRO % | 9 P JAVA % </v>
      </c>
      <c r="BY324" s="4" t="str">
        <f ca="1">IFERROR(__xludf.DUMMYFUNCTION("""COMPUTED_VALUE"""),"| 5 L INE % | 7 P PHP-CGM % | 9 P NS % ")</f>
        <v xml:space="preserve">| 5 L INE % | 7 P PHP-CGM % | 9 P NS % </v>
      </c>
      <c r="BZ324" s="4" t="str">
        <f ca="1">IFERROR(__xludf.DUMMYFUNCTION("""COMPUTED_VALUE"""),"| 5 L CPT % | 6 L PHP-CGM % | 7 P CPT % | 9 P JAVA % ")</f>
        <v xml:space="preserve">| 5 L CPT % | 6 L PHP-CGM % | 7 P CPT % | 9 P JAVA % </v>
      </c>
      <c r="CA324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24" s="4" t="str">
        <f ca="1">IFERROR(__xludf.DUMMYFUNCTION("""COMPUTED_VALUE"""),"| 5 L PHP-CGM % | 6 L CPT % | 7 L NS % | 9 P Python % ")</f>
        <v xml:space="preserve">| 5 L PHP-CGM % | 6 L CPT % | 7 L NS % | 9 P Python % </v>
      </c>
      <c r="CC324" s="4" t="str">
        <f ca="1">IFERROR(__xludf.DUMMYFUNCTION("""COMPUTED_VALUE"""),"| 5 L JAVA @ | 6 L NS @ | 9 P JAVA % ")</f>
        <v xml:space="preserve">| 5 L JAVA @ | 6 L NS @ | 9 P JAVA % </v>
      </c>
      <c r="CD324" s="4" t="str">
        <f ca="1">IFERROR(__xludf.DUMMYFUNCTION("""COMPUTED_VALUE"""),"| 5 L INE % | 7 P PHP-CGM % | 9 P NS % ")</f>
        <v xml:space="preserve">| 5 L INE % | 7 P PHP-CGM % | 9 P NS % </v>
      </c>
      <c r="CE324" s="4" t="str">
        <f ca="1">IFERROR(__xludf.DUMMYFUNCTION("""COMPUTED_VALUE"""),"| 5 L CPT % | 6 L PHP-CGM % | 9 P JAVA % | 7 P CPT % ")</f>
        <v xml:space="preserve">| 5 L CPT % | 6 L PHP-CGM % | 9 P JAVA % | 7 P CPT % </v>
      </c>
      <c r="CF324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24" s="4" t="str">
        <f ca="1">IFERROR(__xludf.DUMMYFUNCTION("""COMPUTED_VALUE"""),"| 5 L PHP-CGM @ | 6 L CPT @ | 7 L JAVA % | 8 L NS % ")</f>
        <v xml:space="preserve">| 5 L PHP-CGM @ | 6 L CPT @ | 7 L JAVA % | 8 L NS % </v>
      </c>
      <c r="CH324" s="4" t="str">
        <f ca="1">IFERROR(__xludf.DUMMYFUNCTION("""COMPUTED_VALUE"""),"| 5 L JAVA @ | 6 L NS @ | 9 P JAVA % ")</f>
        <v xml:space="preserve">| 5 L JAVA @ | 6 L NS @ | 9 P JAVA % </v>
      </c>
      <c r="CI324" s="4" t="str">
        <f ca="1">IFERROR(__xludf.DUMMYFUNCTION("""COMPUTED_VALUE"""),"| 5 L INE @ | 7 P PHP-CGM % | 9 P NS % ")</f>
        <v xml:space="preserve">| 5 L INE @ | 7 P PHP-CGM % | 9 P NS % </v>
      </c>
      <c r="CJ324" s="4" t="str">
        <f ca="1">IFERROR(__xludf.DUMMYFUNCTION("""COMPUTED_VALUE"""),"| 5 L CPT % | 6 L PHP-CGM % | 7 P CPT % ")</f>
        <v xml:space="preserve">| 5 L CPT % | 6 L PHP-CGM % | 7 P CPT % </v>
      </c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</row>
    <row r="325" spans="1:102" ht="12.5" x14ac:dyDescent="0.25">
      <c r="A325" s="3">
        <f ca="1">IFERROR(__xludf.DUMMYFUNCTION("""COMPUTED_VALUE"""),3)</f>
        <v>3</v>
      </c>
      <c r="B325" s="3" t="str">
        <f ca="1">IFERROR(__xludf.DUMMYFUNCTION("""COMPUTED_VALUE"""),"D")</f>
        <v>D</v>
      </c>
      <c r="C325" s="32" t="str">
        <f ca="1">IFERROR(__xludf.DUMMYFUNCTION("""COMPUTED_VALUE"""),"23171341170")</f>
        <v>23171341170</v>
      </c>
      <c r="D325" s="4" t="str">
        <f ca="1">IFERROR(__xludf.DUMMYFUNCTION("""COMPUTED_VALUE"""),"RAVAL VISHESH JAYESHKUMAR")</f>
        <v>RAVAL VISHESH JAYESHKUMAR</v>
      </c>
      <c r="E325" s="3" t="str">
        <f ca="1">IFERROR(__xludf.DUMMYFUNCTION("""COMPUTED_VALUE"""),"ZPP - Eve")</f>
        <v>ZPP - Eve</v>
      </c>
      <c r="F325" s="3" t="str">
        <f ca="1">IFERROR(__xludf.DUMMYFUNCTION("""COMPUTED_VALUE"""),"--")</f>
        <v>--</v>
      </c>
      <c r="G325" s="3">
        <f ca="1">IFERROR(__xludf.DUMMYFUNCTION("""COMPUTED_VALUE"""),9428008044)</f>
        <v>9428008044</v>
      </c>
      <c r="H325" s="33">
        <f ca="1">IFERROR(__xludf.DUMMYFUNCTION("""COMPUTED_VALUE"""),0.688034188034188)</f>
        <v>0.68803418803418803</v>
      </c>
      <c r="I325" s="25">
        <f ca="1">IFERROR(__xludf.DUMMYFUNCTION("""COMPUTED_VALUE"""),0.6)</f>
        <v>0.6</v>
      </c>
      <c r="J325" s="25">
        <f ca="1">IFERROR(__xludf.DUMMYFUNCTION("""COMPUTED_VALUE"""),0.818181818181818)</f>
        <v>0.81818181818181801</v>
      </c>
      <c r="K325" s="25">
        <f ca="1">IFERROR(__xludf.DUMMYFUNCTION("""COMPUTED_VALUE"""),0.71875)</f>
        <v>0.71875</v>
      </c>
      <c r="L325" s="25">
        <f ca="1">IFERROR(__xludf.DUMMYFUNCTION("""COMPUTED_VALUE"""),0.818181818181818)</f>
        <v>0.81818181818181801</v>
      </c>
      <c r="M325" s="25">
        <f ca="1">IFERROR(__xludf.DUMMYFUNCTION("""COMPUTED_VALUE"""),0.638888888888888)</f>
        <v>0.63888888888888795</v>
      </c>
      <c r="N325" s="25">
        <f ca="1">IFERROR(__xludf.DUMMYFUNCTION("""COMPUTED_VALUE"""),0.75)</f>
        <v>0.75</v>
      </c>
      <c r="O325" s="25">
        <f ca="1">IFERROR(__xludf.DUMMYFUNCTION("""COMPUTED_VALUE"""),0.638888888888888)</f>
        <v>0.63888888888888795</v>
      </c>
      <c r="P325" s="25">
        <f ca="1">IFERROR(__xludf.DUMMYFUNCTION("""COMPUTED_VALUE"""),0.736842105263157)</f>
        <v>0.73684210526315697</v>
      </c>
      <c r="Q325" s="25">
        <f ca="1">IFERROR(__xludf.DUMMYFUNCTION("""COMPUTED_VALUE"""),0)</f>
        <v>0</v>
      </c>
      <c r="R325" s="25">
        <f ca="1">IFERROR(__xludf.DUMMYFUNCTION("""COMPUTED_VALUE"""),0.666666666666666)</f>
        <v>0.66666666666666596</v>
      </c>
      <c r="S325" s="25">
        <f ca="1">IFERROR(__xludf.DUMMYFUNCTION("""COMPUTED_VALUE"""),0.846153846153846)</f>
        <v>0.84615384615384603</v>
      </c>
      <c r="T325" s="25">
        <f ca="1">IFERROR(__xludf.DUMMYFUNCTION("""COMPUTED_VALUE"""),1)</f>
        <v>1</v>
      </c>
      <c r="U325" s="25">
        <f ca="1">IFERROR(__xludf.DUMMYFUNCTION("""COMPUTED_VALUE"""),0.6)</f>
        <v>0.6</v>
      </c>
      <c r="V325" s="25">
        <f ca="1">IFERROR(__xludf.DUMMYFUNCTION("""COMPUTED_VALUE"""),0)</f>
        <v>0</v>
      </c>
      <c r="W325" s="4"/>
      <c r="X325" s="4" t="str">
        <f ca="1">IFERROR(__xludf.DUMMYFUNCTION("""COMPUTED_VALUE"""),"| 5 L JAVA % | 6 L NS % | 7 L PHP-CGM % | 8 L CPT % ")</f>
        <v xml:space="preserve">| 5 L JAVA % | 6 L NS % | 7 L PHP-CGM % | 8 L CPT % </v>
      </c>
      <c r="Y325" s="4" t="str">
        <f ca="1">IFERROR(__xludf.DUMMYFUNCTION("""COMPUTED_VALUE"""),"| 5 L PHP-CGM % | 6 L CPT % | 7 L NS % | 8 L JAVA % ")</f>
        <v xml:space="preserve">| 5 L PHP-CGM % | 6 L CPT % | 7 L NS % | 8 L JAVA % </v>
      </c>
      <c r="Z325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25" s="4" t="str">
        <f ca="1">IFERROR(__xludf.DUMMYFUNCTION("""COMPUTED_VALUE"""),"| 7 P PHP-CGM % | 9 P NS % ")</f>
        <v xml:space="preserve">| 7 P PHP-CGM % | 9 P NS % </v>
      </c>
      <c r="AB325" s="4" t="str">
        <f ca="1">IFERROR(__xludf.DUMMYFUNCTION("""COMPUTED_VALUE"""),"| 5 L JAVA % | 6 L PHP-CGM % | 7 P CPT % | 9 P JAVA % ")</f>
        <v xml:space="preserve">| 5 L JAVA % | 6 L PHP-CGM % | 7 P CPT % | 9 P JAVA % </v>
      </c>
      <c r="AC325" s="4" t="str">
        <f ca="1">IFERROR(__xludf.DUMMYFUNCTION("""COMPUTED_VALUE"""),"| 5 L JAVA % | 6 L NS % | 7 L PHP-CGM @ | 9 P Python % | 8 L CPT @ ")</f>
        <v xml:space="preserve">| 5 L JAVA % | 6 L NS % | 7 L PHP-CGM @ | 9 P Python % | 8 L CPT @ </v>
      </c>
      <c r="AD325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25" s="4" t="str">
        <f ca="1">IFERROR(__xludf.DUMMYFUNCTION("""COMPUTED_VALUE"""),"| 5 L JAVA % | 6 L NS % | 7 L PRO % | 9 P JAVA % ")</f>
        <v xml:space="preserve">| 5 L JAVA % | 6 L NS % | 7 L PRO % | 9 P JAVA % </v>
      </c>
      <c r="AF325" s="4" t="str">
        <f ca="1">IFERROR(__xludf.DUMMYFUNCTION("""COMPUTED_VALUE"""),"| 7 P PHP-CGM % | 9 P NS % ")</f>
        <v xml:space="preserve">| 7 P PHP-CGM % | 9 P NS % </v>
      </c>
      <c r="AG325" s="4" t="str">
        <f ca="1">IFERROR(__xludf.DUMMYFUNCTION("""COMPUTED_VALUE"""),"| 5 L CPT % | 6 L PHP-CGM % | 7 P CPT % | 9 P JAVA % ")</f>
        <v xml:space="preserve">| 5 L CPT % | 6 L PHP-CGM % | 7 P CPT % | 9 P JAVA % </v>
      </c>
      <c r="AH325" s="4" t="str">
        <f ca="1">IFERROR(__xludf.DUMMYFUNCTION("""COMPUTED_VALUE"""),"| 7 P PHP-CGM @ | 9 P NS % ")</f>
        <v xml:space="preserve">| 7 P PHP-CGM @ | 9 P NS % </v>
      </c>
      <c r="AI325" s="4" t="str">
        <f ca="1">IFERROR(__xludf.DUMMYFUNCTION("""COMPUTED_VALUE"""),"| 5 L CPT % | 6 L PHP-CGM % | 7 P CPT % | 9 P JAVA % ")</f>
        <v xml:space="preserve">| 5 L CPT % | 6 L PHP-CGM % | 7 P CPT % | 9 P JAVA % </v>
      </c>
      <c r="AJ325" s="4" t="str">
        <f ca="1">IFERROR(__xludf.DUMMYFUNCTION("""COMPUTED_VALUE"""),"| 5 L JAVA % | 6 L NS % | 7 L PHP-CGM % | 8 L CPT % ")</f>
        <v xml:space="preserve">| 5 L JAVA % | 6 L NS % | 7 L PHP-CGM % | 8 L CPT % </v>
      </c>
      <c r="AK325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25" s="4" t="str">
        <f ca="1">IFERROR(__xludf.DUMMYFUNCTION("""COMPUTED_VALUE"""),"| 6 L NS % | 7 L NS % | 7 L PRO % | 8 L PRO % | 9 P JAVA % ")</f>
        <v xml:space="preserve">| 6 L NS % | 7 L NS % | 7 L PRO % | 8 L PRO % | 9 P JAVA % </v>
      </c>
      <c r="AM325" s="4" t="str">
        <f ca="1">IFERROR(__xludf.DUMMYFUNCTION("""COMPUTED_VALUE"""),"| 5 L INE % | 7 P PHP-CGM % | 9 P NS % ")</f>
        <v xml:space="preserve">| 5 L INE % | 7 P PHP-CGM % | 9 P NS % </v>
      </c>
      <c r="AN325" s="4" t="str">
        <f ca="1">IFERROR(__xludf.DUMMYFUNCTION("""COMPUTED_VALUE"""),"| 5 L CPT @ | 6 L PHP-CGM @ | 7 P CPT @ | 9 P JAVA @ ")</f>
        <v xml:space="preserve">| 5 L CPT @ | 6 L PHP-CGM @ | 7 P CPT @ | 9 P JAVA @ </v>
      </c>
      <c r="AO325" s="4" t="str">
        <f ca="1">IFERROR(__xludf.DUMMYFUNCTION("""COMPUTED_VALUE"""),"| 5 L JAVA @ | 5 L NS % | 7 L PHP-CGM @ | 8 L CPT @ | 9 P Python @ ")</f>
        <v xml:space="preserve">| 5 L JAVA @ | 5 L NS % | 7 L PHP-CGM @ | 8 L CPT @ | 9 P Python @ </v>
      </c>
      <c r="AP325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25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5" s="4" t="str">
        <f ca="1">IFERROR(__xludf.DUMMYFUNCTION("""COMPUTED_VALUE"""),"| 5 L INE @ ")</f>
        <v xml:space="preserve">| 5 L INE @ </v>
      </c>
      <c r="AS325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25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25" s="4" t="str">
        <f ca="1">IFERROR(__xludf.DUMMYFUNCTION("""COMPUTED_VALUE"""),"| 5 L JAVA % | 6 L NS % | 5 P PRO % | 9 P JAVA % ")</f>
        <v xml:space="preserve">| 5 L JAVA % | 6 L NS % | 5 P PRO % | 9 P JAVA % </v>
      </c>
      <c r="AV325" s="4" t="str">
        <f ca="1">IFERROR(__xludf.DUMMYFUNCTION("""COMPUTED_VALUE"""),"| 5 L INE % | 7 P PHP-CGM % | 9 P NS % ")</f>
        <v xml:space="preserve">| 5 L INE % | 7 P PHP-CGM % | 9 P NS % </v>
      </c>
      <c r="AW325" s="4" t="str">
        <f ca="1">IFERROR(__xludf.DUMMYFUNCTION("""COMPUTED_VALUE"""),"| 5 L CPT @ | 6 L PHP-CGM @ | 7 P CPT @ | 9 P JAVA @ ")</f>
        <v xml:space="preserve">| 5 L CPT @ | 6 L PHP-CGM @ | 7 P CPT @ | 9 P JAVA @ </v>
      </c>
      <c r="AX325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25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25" s="4" t="str">
        <f ca="1">IFERROR(__xludf.DUMMYFUNCTION("""COMPUTED_VALUE"""),"| 5 L INE % | 7 P PHP-CGM % ")</f>
        <v xml:space="preserve">| 5 L INE % | 7 P PHP-CGM % </v>
      </c>
      <c r="BA325" s="4" t="str">
        <f ca="1">IFERROR(__xludf.DUMMYFUNCTION("""COMPUTED_VALUE"""),"| 5 L CPT % | 6 L PHP-CGM % | 7 P CPT % ")</f>
        <v xml:space="preserve">| 5 L CPT % | 6 L PHP-CGM % | 7 P CPT % </v>
      </c>
      <c r="BB325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25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25" s="4" t="str">
        <f ca="1">IFERROR(__xludf.DUMMYFUNCTION("""COMPUTED_VALUE"""),"| 5 L JAVA @ | 6 L NS @ | 7 L PRO @ | 8 L PRO @ | 9 P JAVA @ ")</f>
        <v xml:space="preserve">| 5 L JAVA @ | 6 L NS @ | 7 L PRO @ | 8 L PRO @ | 9 P JAVA @ </v>
      </c>
      <c r="BE325" s="4" t="str">
        <f ca="1">IFERROR(__xludf.DUMMYFUNCTION("""COMPUTED_VALUE"""),"| 5 L INE % | 7 P PHP-CGM % | 9 P NS % ")</f>
        <v xml:space="preserve">| 5 L INE % | 7 P PHP-CGM % | 9 P NS % </v>
      </c>
      <c r="BF325" s="4" t="str">
        <f ca="1">IFERROR(__xludf.DUMMYFUNCTION("""COMPUTED_VALUE"""),"| 5 L CPT % | 6 L PHP-CGM % | 7 P CPT % ")</f>
        <v xml:space="preserve">| 5 L CPT % | 6 L PHP-CGM % | 7 P CPT % </v>
      </c>
      <c r="BG325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H325" s="4" t="str">
        <f ca="1">IFERROR(__xludf.DUMMYFUNCTION("""COMPUTED_VALUE"""),"| 5 L JAVA % | 6 L NS % | 7 L PRO % | 9 P JAVA @ ")</f>
        <v xml:space="preserve">| 5 L JAVA % | 6 L NS % | 7 L PRO % | 9 P JAVA @ </v>
      </c>
      <c r="BI325" s="4" t="str">
        <f ca="1">IFERROR(__xludf.DUMMYFUNCTION("""COMPUTED_VALUE"""),"| 5 L INE @ | 7 P PHP-CGM @ | 9 P NS @ ")</f>
        <v xml:space="preserve">| 5 L INE @ | 7 P PHP-CGM @ | 9 P NS @ </v>
      </c>
      <c r="BJ325" s="4" t="str">
        <f ca="1">IFERROR(__xludf.DUMMYFUNCTION("""COMPUTED_VALUE"""),"| 5 L CPT % | 6 L PHP-CGM % | 7 P CPT % | 9 P JAVA @ ")</f>
        <v xml:space="preserve">| 5 L CPT % | 6 L PHP-CGM % | 7 P CPT % | 9 P JAVA @ </v>
      </c>
      <c r="BK325" s="4" t="str">
        <f ca="1">IFERROR(__xludf.DUMMYFUNCTION("""COMPUTED_VALUE"""),"| 5 L JAVA % | 7 L PHP-CGM @ | 8 L CPT @ | 9 P Python % ")</f>
        <v xml:space="preserve">| 5 L JAVA % | 7 L PHP-CGM @ | 8 L CPT @ | 9 P Python % </v>
      </c>
      <c r="BL325" s="4" t="str">
        <f ca="1">IFERROR(__xludf.DUMMYFUNCTION("""COMPUTED_VALUE"""),"| 5 L PHP-CGM % | 6 L CPT % | 8 L NS @ ")</f>
        <v xml:space="preserve">| 5 L PHP-CGM % | 6 L CPT % | 8 L NS @ </v>
      </c>
      <c r="BM325" s="4" t="str">
        <f ca="1">IFERROR(__xludf.DUMMYFUNCTION("""COMPUTED_VALUE"""),"| 5 L JAVA % | 6 L NS % | 7 L PRO % | 8 L PRO % | 9 P JAVA % ")</f>
        <v xml:space="preserve">| 5 L JAVA % | 6 L NS % | 7 L PRO % | 8 L PRO % | 9 P JAVA % </v>
      </c>
      <c r="BN325" s="4" t="str">
        <f ca="1">IFERROR(__xludf.DUMMYFUNCTION("""COMPUTED_VALUE"""),"| 5 L INE @ | 7 P PHP-CGM @ | 9 P NS @ ")</f>
        <v xml:space="preserve">| 5 L INE @ | 7 P PHP-CGM @ | 9 P NS @ </v>
      </c>
      <c r="BO325" s="4" t="str">
        <f ca="1">IFERROR(__xludf.DUMMYFUNCTION("""COMPUTED_VALUE"""),"| 5 L CPT % | 6 L PHP-CGM % ")</f>
        <v xml:space="preserve">| 5 L CPT % | 6 L PHP-CGM % </v>
      </c>
      <c r="BP325" s="4" t="str">
        <f ca="1">IFERROR(__xludf.DUMMYFUNCTION("""COMPUTED_VALUE"""),"| 5 L JAVA @ | 6 L JAVA @ | 7 L PHP-CGM @ | 8 L CPT @ ")</f>
        <v xml:space="preserve">| 5 L JAVA @ | 6 L JAVA @ | 7 L PHP-CGM @ | 8 L CPT @ </v>
      </c>
      <c r="BQ325" s="4" t="str">
        <f ca="1">IFERROR(__xludf.DUMMYFUNCTION("""COMPUTED_VALUE"""),"| 5 L JAVA @ ")</f>
        <v xml:space="preserve">| 5 L JAVA @ </v>
      </c>
      <c r="BR325" s="4"/>
      <c r="BS325" s="4"/>
      <c r="BT325" s="4" t="str">
        <f ca="1">IFERROR(__xludf.DUMMYFUNCTION("""COMPUTED_VALUE"""),"| 7 L PHP-CGM @ | 8 L CPT @ ")</f>
        <v xml:space="preserve">| 7 L PHP-CGM @ | 8 L CPT @ </v>
      </c>
      <c r="BU325" s="4" t="str">
        <f ca="1">IFERROR(__xludf.DUMMYFUNCTION("""COMPUTED_VALUE"""),"| 8 L NS @ ")</f>
        <v xml:space="preserve">| 8 L NS @ </v>
      </c>
      <c r="BV325" s="4" t="str">
        <f ca="1">IFERROR(__xludf.DUMMYFUNCTION("""COMPUTED_VALUE"""),"| 5 L JAVA % | 6 L NS % | 7 L PHP-CGM @ | 8 L CPT @ | 9 P Python @ ")</f>
        <v xml:space="preserve">| 5 L JAVA % | 6 L NS % | 7 L PHP-CGM @ | 8 L CPT @ | 9 P Python @ </v>
      </c>
      <c r="BW325" s="4" t="str">
        <f ca="1">IFERROR(__xludf.DUMMYFUNCTION("""COMPUTED_VALUE"""),"| 9 P Python @ ")</f>
        <v xml:space="preserve">| 9 P Python @ </v>
      </c>
      <c r="BX325" s="4" t="str">
        <f ca="1">IFERROR(__xludf.DUMMYFUNCTION("""COMPUTED_VALUE"""),"| 5 L JAVA % | 6 L NS % | 7 L PRO % | 9 P JAVA % ")</f>
        <v xml:space="preserve">| 5 L JAVA % | 6 L NS % | 7 L PRO % | 9 P JAVA % </v>
      </c>
      <c r="BY325" s="4" t="str">
        <f ca="1">IFERROR(__xludf.DUMMYFUNCTION("""COMPUTED_VALUE"""),"| 5 L INE % | 7 P PHP-CGM % | 9 P NS % ")</f>
        <v xml:space="preserve">| 5 L INE % | 7 P PHP-CGM % | 9 P NS % </v>
      </c>
      <c r="BZ325" s="4" t="str">
        <f ca="1">IFERROR(__xludf.DUMMYFUNCTION("""COMPUTED_VALUE"""),"| 5 L CPT % | 6 L PHP-CGM % | 7 P CPT % | 9 P JAVA % ")</f>
        <v xml:space="preserve">| 5 L CPT % | 6 L PHP-CGM % | 7 P CPT % | 9 P JAVA % </v>
      </c>
      <c r="CA325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25" s="4" t="str">
        <f ca="1">IFERROR(__xludf.DUMMYFUNCTION("""COMPUTED_VALUE"""),"| 5 L PHP-CGM @ | 6 L CPT % | 7 L NS % | 9 P Python % ")</f>
        <v xml:space="preserve">| 5 L PHP-CGM @ | 6 L CPT % | 7 L NS % | 9 P Python % </v>
      </c>
      <c r="CC325" s="4" t="str">
        <f ca="1">IFERROR(__xludf.DUMMYFUNCTION("""COMPUTED_VALUE"""),"| 5 L JAVA @ | 6 L NS @ | 9 P JAVA % ")</f>
        <v xml:space="preserve">| 5 L JAVA @ | 6 L NS @ | 9 P JAVA % </v>
      </c>
      <c r="CD325" s="4" t="str">
        <f ca="1">IFERROR(__xludf.DUMMYFUNCTION("""COMPUTED_VALUE"""),"| 5 L INE % | 7 P PHP-CGM % | 9 P NS % ")</f>
        <v xml:space="preserve">| 5 L INE % | 7 P PHP-CGM % | 9 P NS % </v>
      </c>
      <c r="CE325" s="4" t="str">
        <f ca="1">IFERROR(__xludf.DUMMYFUNCTION("""COMPUTED_VALUE"""),"| 5 L CPT % | 6 L PHP-CGM % | 9 P JAVA % | 7 P CPT % ")</f>
        <v xml:space="preserve">| 5 L CPT % | 6 L PHP-CGM % | 9 P JAVA % | 7 P CPT % </v>
      </c>
      <c r="CF325" s="4" t="str">
        <f ca="1">IFERROR(__xludf.DUMMYFUNCTION("""COMPUTED_VALUE"""),"| 5 L JAVA @ | 6 L NS @ | 7 L PHP-CGM % | 8 L CPT @ | 9 P Python % ")</f>
        <v xml:space="preserve">| 5 L JAVA @ | 6 L NS @ | 7 L PHP-CGM % | 8 L CPT @ | 9 P Python % </v>
      </c>
      <c r="CG325" s="4" t="str">
        <f ca="1">IFERROR(__xludf.DUMMYFUNCTION("""COMPUTED_VALUE"""),"| 5 L PHP-CGM @ | 6 L CPT @ | 7 L JAVA @ | 8 L NS @ ")</f>
        <v xml:space="preserve">| 5 L PHP-CGM @ | 6 L CPT @ | 7 L JAVA @ | 8 L NS @ </v>
      </c>
      <c r="CH325" s="4" t="str">
        <f ca="1">IFERROR(__xludf.DUMMYFUNCTION("""COMPUTED_VALUE"""),"| 5 L JAVA @ | 6 L NS @ | 9 P JAVA % ")</f>
        <v xml:space="preserve">| 5 L JAVA @ | 6 L NS @ | 9 P JAVA % </v>
      </c>
      <c r="CI325" s="4" t="str">
        <f ca="1">IFERROR(__xludf.DUMMYFUNCTION("""COMPUTED_VALUE"""),"| 5 L INE @ | 7 P PHP-CGM % | 9 P NS % ")</f>
        <v xml:space="preserve">| 5 L INE @ | 7 P PHP-CGM % | 9 P NS % </v>
      </c>
      <c r="CJ325" s="4" t="str">
        <f ca="1">IFERROR(__xludf.DUMMYFUNCTION("""COMPUTED_VALUE"""),"| 5 L CPT @ | 6 L PHP-CGM % | 7 P CPT % ")</f>
        <v xml:space="preserve">| 5 L CPT @ | 6 L PHP-CGM % | 7 P CPT % </v>
      </c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</row>
    <row r="326" spans="1:102" ht="12.5" x14ac:dyDescent="0.25">
      <c r="A326" s="3">
        <f ca="1">IFERROR(__xludf.DUMMYFUNCTION("""COMPUTED_VALUE"""),3)</f>
        <v>3</v>
      </c>
      <c r="B326" s="3" t="str">
        <f ca="1">IFERROR(__xludf.DUMMYFUNCTION("""COMPUTED_VALUE"""),"D")</f>
        <v>D</v>
      </c>
      <c r="C326" s="32" t="str">
        <f ca="1">IFERROR(__xludf.DUMMYFUNCTION("""COMPUTED_VALUE"""),"23171341173")</f>
        <v>23171341173</v>
      </c>
      <c r="D326" s="4" t="str">
        <f ca="1">IFERROR(__xludf.DUMMYFUNCTION("""COMPUTED_VALUE"""),"SACHIN KUMAR")</f>
        <v>SACHIN KUMAR</v>
      </c>
      <c r="E326" s="3" t="str">
        <f ca="1">IFERROR(__xludf.DUMMYFUNCTION("""COMPUTED_VALUE"""),"ZPP - Eve")</f>
        <v>ZPP - Eve</v>
      </c>
      <c r="F326" s="3">
        <f ca="1">IFERROR(__xludf.DUMMYFUNCTION("""COMPUTED_VALUE"""),9313815978)</f>
        <v>9313815978</v>
      </c>
      <c r="G326" s="3">
        <f ca="1">IFERROR(__xludf.DUMMYFUNCTION("""COMPUTED_VALUE"""),8511359935)</f>
        <v>8511359935</v>
      </c>
      <c r="H326" s="33">
        <f ca="1">IFERROR(__xludf.DUMMYFUNCTION("""COMPUTED_VALUE"""),0.752136752136752)</f>
        <v>0.75213675213675202</v>
      </c>
      <c r="I326" s="25">
        <f ca="1">IFERROR(__xludf.DUMMYFUNCTION("""COMPUTED_VALUE"""),0.771428571428571)</f>
        <v>0.77142857142857102</v>
      </c>
      <c r="J326" s="25">
        <f ca="1">IFERROR(__xludf.DUMMYFUNCTION("""COMPUTED_VALUE"""),0.909090909090909)</f>
        <v>0.90909090909090895</v>
      </c>
      <c r="K326" s="25">
        <f ca="1">IFERROR(__xludf.DUMMYFUNCTION("""COMPUTED_VALUE"""),0.75)</f>
        <v>0.75</v>
      </c>
      <c r="L326" s="25">
        <f ca="1">IFERROR(__xludf.DUMMYFUNCTION("""COMPUTED_VALUE"""),0.727272727272727)</f>
        <v>0.72727272727272696</v>
      </c>
      <c r="M326" s="25">
        <f ca="1">IFERROR(__xludf.DUMMYFUNCTION("""COMPUTED_VALUE"""),0.75)</f>
        <v>0.75</v>
      </c>
      <c r="N326" s="25">
        <f ca="1">IFERROR(__xludf.DUMMYFUNCTION("""COMPUTED_VALUE"""),0.75)</f>
        <v>0.75</v>
      </c>
      <c r="O326" s="25">
        <f ca="1">IFERROR(__xludf.DUMMYFUNCTION("""COMPUTED_VALUE"""),0.805555555555555)</f>
        <v>0.80555555555555503</v>
      </c>
      <c r="P326" s="25">
        <f ca="1">IFERROR(__xludf.DUMMYFUNCTION("""COMPUTED_VALUE"""),0.631578947368421)</f>
        <v>0.63157894736842102</v>
      </c>
      <c r="Q326" s="25">
        <f ca="1">IFERROR(__xludf.DUMMYFUNCTION("""COMPUTED_VALUE"""),0)</f>
        <v>0</v>
      </c>
      <c r="R326" s="25">
        <f ca="1">IFERROR(__xludf.DUMMYFUNCTION("""COMPUTED_VALUE"""),0.722222222222222)</f>
        <v>0.72222222222222199</v>
      </c>
      <c r="S326" s="25">
        <f ca="1">IFERROR(__xludf.DUMMYFUNCTION("""COMPUTED_VALUE"""),0.615384615384615)</f>
        <v>0.61538461538461497</v>
      </c>
      <c r="T326" s="25">
        <f ca="1">IFERROR(__xludf.DUMMYFUNCTION("""COMPUTED_VALUE"""),1)</f>
        <v>1</v>
      </c>
      <c r="U326" s="25">
        <f ca="1">IFERROR(__xludf.DUMMYFUNCTION("""COMPUTED_VALUE"""),0.8)</f>
        <v>0.8</v>
      </c>
      <c r="V326" s="25">
        <f ca="1">IFERROR(__xludf.DUMMYFUNCTION("""COMPUTED_VALUE"""),0)</f>
        <v>0</v>
      </c>
      <c r="W326" s="4"/>
      <c r="X326" s="4" t="str">
        <f ca="1">IFERROR(__xludf.DUMMYFUNCTION("""COMPUTED_VALUE"""),"| 5 L JAVA @ | 6 L NS @ | 7 L PHP-CGM @ | 8 L CPT @ ")</f>
        <v xml:space="preserve">| 5 L JAVA @ | 6 L NS @ | 7 L PHP-CGM @ | 8 L CPT @ </v>
      </c>
      <c r="Y326" s="4" t="str">
        <f ca="1">IFERROR(__xludf.DUMMYFUNCTION("""COMPUTED_VALUE"""),"| 5 L PHP-CGM @ | 6 L CPT @ | 7 L NS @ | 8 L JAVA @ ")</f>
        <v xml:space="preserve">| 5 L PHP-CGM @ | 6 L CPT @ | 7 L NS @ | 8 L JAVA @ </v>
      </c>
      <c r="Z326" s="4" t="str">
        <f ca="1">IFERROR(__xludf.DUMMYFUNCTION("""COMPUTED_VALUE"""),"| 5 L NS @ | 6 L JAVA @ | 7 L PRO @ | 8 L PRO @ | 9 P JAVA @ ")</f>
        <v xml:space="preserve">| 5 L NS @ | 6 L JAVA @ | 7 L PRO @ | 8 L PRO @ | 9 P JAVA @ </v>
      </c>
      <c r="AA326" s="4" t="str">
        <f ca="1">IFERROR(__xludf.DUMMYFUNCTION("""COMPUTED_VALUE"""),"| 7 P PHP-CGM % | 9 P NS % ")</f>
        <v xml:space="preserve">| 7 P PHP-CGM % | 9 P NS % </v>
      </c>
      <c r="AB326" s="4" t="str">
        <f ca="1">IFERROR(__xludf.DUMMYFUNCTION("""COMPUTED_VALUE"""),"| 5 L JAVA % | 6 L PHP-CGM % | 7 P CPT % | 9 P JAVA % ")</f>
        <v xml:space="preserve">| 5 L JAVA % | 6 L PHP-CGM % | 7 P CPT % | 9 P JAVA % </v>
      </c>
      <c r="AC326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26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26" s="4" t="str">
        <f ca="1">IFERROR(__xludf.DUMMYFUNCTION("""COMPUTED_VALUE"""),"| 5 L JAVA % | 6 L NS % | 7 L PRO % | 9 P JAVA % ")</f>
        <v xml:space="preserve">| 5 L JAVA % | 6 L NS % | 7 L PRO % | 9 P JAVA % </v>
      </c>
      <c r="AF326" s="4" t="str">
        <f ca="1">IFERROR(__xludf.DUMMYFUNCTION("""COMPUTED_VALUE"""),"| 7 P PHP-CGM % | 9 P NS % ")</f>
        <v xml:space="preserve">| 7 P PHP-CGM % | 9 P NS % </v>
      </c>
      <c r="AG326" s="4" t="str">
        <f ca="1">IFERROR(__xludf.DUMMYFUNCTION("""COMPUTED_VALUE"""),"| 5 L CPT @ | 6 L PHP-CGM @ | 7 P CPT @ | 9 P JAVA @ ")</f>
        <v xml:space="preserve">| 5 L CPT @ | 6 L PHP-CGM @ | 7 P CPT @ | 9 P JAVA @ </v>
      </c>
      <c r="AH326" s="4" t="str">
        <f ca="1">IFERROR(__xludf.DUMMYFUNCTION("""COMPUTED_VALUE"""),"| 7 P PHP-CGM @ | 9 P NS @ ")</f>
        <v xml:space="preserve">| 7 P PHP-CGM @ | 9 P NS @ </v>
      </c>
      <c r="AI326" s="4" t="str">
        <f ca="1">IFERROR(__xludf.DUMMYFUNCTION("""COMPUTED_VALUE"""),"| 5 L CPT % | 6 L PHP-CGM % | 7 P CPT % | 9 P JAVA % ")</f>
        <v xml:space="preserve">| 5 L CPT % | 6 L PHP-CGM % | 7 P CPT % | 9 P JAVA % </v>
      </c>
      <c r="AJ326" s="4" t="str">
        <f ca="1">IFERROR(__xludf.DUMMYFUNCTION("""COMPUTED_VALUE"""),"| 5 L JAVA % | 6 L NS % | 7 L PHP-CGM @ | 8 L CPT @ ")</f>
        <v xml:space="preserve">| 5 L JAVA % | 6 L NS % | 7 L PHP-CGM @ | 8 L CPT @ </v>
      </c>
      <c r="AK326" s="4" t="str">
        <f ca="1">IFERROR(__xludf.DUMMYFUNCTION("""COMPUTED_VALUE"""),"| 5 L PHP-CGM @ | 6 L CPT @ | 8 L JAVA @ | 7 L NS @ | 9 P Python @ ")</f>
        <v xml:space="preserve">| 5 L PHP-CGM @ | 6 L CPT @ | 8 L JAVA @ | 7 L NS @ | 9 P Python @ </v>
      </c>
      <c r="AL326" s="4" t="str">
        <f ca="1">IFERROR(__xludf.DUMMYFUNCTION("""COMPUTED_VALUE"""),"| 6 L NS % | 7 L NS % | 7 L PRO % | 8 L PRO % | 9 P JAVA % ")</f>
        <v xml:space="preserve">| 6 L NS % | 7 L NS % | 7 L PRO % | 8 L PRO % | 9 P JAVA % </v>
      </c>
      <c r="AM326" s="4" t="str">
        <f ca="1">IFERROR(__xludf.DUMMYFUNCTION("""COMPUTED_VALUE"""),"| 5 L INE @ | 7 P PHP-CGM @ | 9 P NS @ ")</f>
        <v xml:space="preserve">| 5 L INE @ | 7 P PHP-CGM @ | 9 P NS @ </v>
      </c>
      <c r="AN326" s="4" t="str">
        <f ca="1">IFERROR(__xludf.DUMMYFUNCTION("""COMPUTED_VALUE"""),"| 5 L CPT % | 6 L PHP-CGM @ | 7 P CPT % | 9 P JAVA % ")</f>
        <v xml:space="preserve">| 5 L CPT % | 6 L PHP-CGM @ | 7 P CPT % | 9 P JAVA % </v>
      </c>
      <c r="AO326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26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26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6" s="4" t="str">
        <f ca="1">IFERROR(__xludf.DUMMYFUNCTION("""COMPUTED_VALUE"""),"| 5 L INE % ")</f>
        <v xml:space="preserve">| 5 L INE % </v>
      </c>
      <c r="AS326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26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26" s="4" t="str">
        <f ca="1">IFERROR(__xludf.DUMMYFUNCTION("""COMPUTED_VALUE"""),"| 5 L JAVA % | 6 L NS % | 5 P PRO % | 9 P JAVA % ")</f>
        <v xml:space="preserve">| 5 L JAVA % | 6 L NS % | 5 P PRO % | 9 P JAVA % </v>
      </c>
      <c r="AV326" s="4" t="str">
        <f ca="1">IFERROR(__xludf.DUMMYFUNCTION("""COMPUTED_VALUE"""),"| 5 L INE % | 7 P PHP-CGM % | 9 P NS % ")</f>
        <v xml:space="preserve">| 5 L INE % | 7 P PHP-CGM % | 9 P NS % </v>
      </c>
      <c r="AW326" s="4" t="str">
        <f ca="1">IFERROR(__xludf.DUMMYFUNCTION("""COMPUTED_VALUE"""),"| 5 L CPT % | 6 L PHP-CGM % | 7 P CPT % | 9 P JAVA @ ")</f>
        <v xml:space="preserve">| 5 L CPT % | 6 L PHP-CGM % | 7 P CPT % | 9 P JAVA @ </v>
      </c>
      <c r="AX326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26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26" s="4" t="str">
        <f ca="1">IFERROR(__xludf.DUMMYFUNCTION("""COMPUTED_VALUE"""),"| 5 L INE % | 7 P PHP-CGM % ")</f>
        <v xml:space="preserve">| 5 L INE % | 7 P PHP-CGM % </v>
      </c>
      <c r="BA326" s="4" t="str">
        <f ca="1">IFERROR(__xludf.DUMMYFUNCTION("""COMPUTED_VALUE"""),"| 5 L CPT % | 6 L PHP-CGM % | 7 P CPT % ")</f>
        <v xml:space="preserve">| 5 L CPT % | 6 L PHP-CGM % | 7 P CPT % </v>
      </c>
      <c r="BB326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26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26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26" s="4" t="str">
        <f ca="1">IFERROR(__xludf.DUMMYFUNCTION("""COMPUTED_VALUE"""),"| 5 L INE % | 7 P PHP-CGM % | 9 P NS % ")</f>
        <v xml:space="preserve">| 5 L INE % | 7 P PHP-CGM % | 9 P NS % </v>
      </c>
      <c r="BF326" s="4" t="str">
        <f ca="1">IFERROR(__xludf.DUMMYFUNCTION("""COMPUTED_VALUE"""),"| 5 L CPT % | 6 L PHP-CGM % | 7 P CPT % ")</f>
        <v xml:space="preserve">| 5 L CPT % | 6 L PHP-CGM % | 7 P CPT % </v>
      </c>
      <c r="BG326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26" s="4" t="str">
        <f ca="1">IFERROR(__xludf.DUMMYFUNCTION("""COMPUTED_VALUE"""),"| 5 L JAVA @ | 6 L NS @ | 7 L PRO @ | 9 P JAVA @ ")</f>
        <v xml:space="preserve">| 5 L JAVA @ | 6 L NS @ | 7 L PRO @ | 9 P JAVA @ </v>
      </c>
      <c r="BI326" s="4" t="str">
        <f ca="1">IFERROR(__xludf.DUMMYFUNCTION("""COMPUTED_VALUE"""),"| 5 L INE % | 7 P PHP-CGM @ | 9 P NS @ ")</f>
        <v xml:space="preserve">| 5 L INE % | 7 P PHP-CGM @ | 9 P NS @ </v>
      </c>
      <c r="BJ326" s="4" t="str">
        <f ca="1">IFERROR(__xludf.DUMMYFUNCTION("""COMPUTED_VALUE"""),"| 5 L CPT % | 6 L PHP-CGM % | 7 P CPT % | 9 P JAVA @ ")</f>
        <v xml:space="preserve">| 5 L CPT % | 6 L PHP-CGM % | 7 P CPT % | 9 P JAVA @ </v>
      </c>
      <c r="BK326" s="4" t="str">
        <f ca="1">IFERROR(__xludf.DUMMYFUNCTION("""COMPUTED_VALUE"""),"| 5 L JAVA % | 7 L PHP-CGM % | 8 L CPT % | 9 P Python @ ")</f>
        <v xml:space="preserve">| 5 L JAVA % | 7 L PHP-CGM % | 8 L CPT % | 9 P Python @ </v>
      </c>
      <c r="BL326" s="4" t="str">
        <f ca="1">IFERROR(__xludf.DUMMYFUNCTION("""COMPUTED_VALUE"""),"| 5 L PHP-CGM % | 6 L CPT % | 8 L NS % ")</f>
        <v xml:space="preserve">| 5 L PHP-CGM % | 6 L CPT % | 8 L NS % </v>
      </c>
      <c r="BM326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26" s="4" t="str">
        <f ca="1">IFERROR(__xludf.DUMMYFUNCTION("""COMPUTED_VALUE"""),"| 5 L INE % | 7 P PHP-CGM % | 9 P NS % ")</f>
        <v xml:space="preserve">| 5 L INE % | 7 P PHP-CGM % | 9 P NS % </v>
      </c>
      <c r="BO326" s="4" t="str">
        <f ca="1">IFERROR(__xludf.DUMMYFUNCTION("""COMPUTED_VALUE"""),"| 5 L CPT @ | 6 L PHP-CGM @ ")</f>
        <v xml:space="preserve">| 5 L CPT @ | 6 L PHP-CGM @ </v>
      </c>
      <c r="BP326" s="4" t="str">
        <f ca="1">IFERROR(__xludf.DUMMYFUNCTION("""COMPUTED_VALUE"""),"| 5 L JAVA % | 6 L JAVA % | 7 L PHP-CGM % | 8 L CPT % ")</f>
        <v xml:space="preserve">| 5 L JAVA % | 6 L JAVA % | 7 L PHP-CGM % | 8 L CPT % </v>
      </c>
      <c r="BQ326" s="4" t="str">
        <f ca="1">IFERROR(__xludf.DUMMYFUNCTION("""COMPUTED_VALUE"""),"| 5 L JAVA % ")</f>
        <v xml:space="preserve">| 5 L JAVA % </v>
      </c>
      <c r="BR326" s="4"/>
      <c r="BS326" s="4"/>
      <c r="BT326" s="4" t="str">
        <f ca="1">IFERROR(__xludf.DUMMYFUNCTION("""COMPUTED_VALUE"""),"| 7 L PHP-CGM % | 8 L CPT % ")</f>
        <v xml:space="preserve">| 7 L PHP-CGM % | 8 L CPT % </v>
      </c>
      <c r="BU326" s="4" t="str">
        <f ca="1">IFERROR(__xludf.DUMMYFUNCTION("""COMPUTED_VALUE"""),"| 8 L NS % ")</f>
        <v xml:space="preserve">| 8 L NS % </v>
      </c>
      <c r="BV326" s="4" t="str">
        <f ca="1">IFERROR(__xludf.DUMMYFUNCTION("""COMPUTED_VALUE"""),"| 5 L JAVA % | 6 L NS % | 7 L PHP-CGM % | 8 L CPT % | 9 P Python @ ")</f>
        <v xml:space="preserve">| 5 L JAVA % | 6 L NS % | 7 L PHP-CGM % | 8 L CPT % | 9 P Python @ </v>
      </c>
      <c r="BW326" s="4" t="str">
        <f ca="1">IFERROR(__xludf.DUMMYFUNCTION("""COMPUTED_VALUE"""),"| 9 P Python @ ")</f>
        <v xml:space="preserve">| 9 P Python @ </v>
      </c>
      <c r="BX326" s="4" t="str">
        <f ca="1">IFERROR(__xludf.DUMMYFUNCTION("""COMPUTED_VALUE"""),"| 5 L JAVA % | 6 L NS % | 7 L PRO % | 9 P JAVA % ")</f>
        <v xml:space="preserve">| 5 L JAVA % | 6 L NS % | 7 L PRO % | 9 P JAVA % </v>
      </c>
      <c r="BY326" s="4" t="str">
        <f ca="1">IFERROR(__xludf.DUMMYFUNCTION("""COMPUTED_VALUE"""),"| 5 L INE % | 7 P PHP-CGM % | 9 P NS % ")</f>
        <v xml:space="preserve">| 5 L INE % | 7 P PHP-CGM % | 9 P NS % </v>
      </c>
      <c r="BZ326" s="4" t="str">
        <f ca="1">IFERROR(__xludf.DUMMYFUNCTION("""COMPUTED_VALUE"""),"| 5 L CPT % | 6 L PHP-CGM % | 7 P CPT % | 9 P JAVA % ")</f>
        <v xml:space="preserve">| 5 L CPT % | 6 L PHP-CGM % | 7 P CPT % | 9 P JAVA % </v>
      </c>
      <c r="CA326" s="4" t="str">
        <f ca="1">IFERROR(__xludf.DUMMYFUNCTION("""COMPUTED_VALUE"""),"| 5 L JAVA % | 6 L JAVA % | 7 L PHP-CGM % | 8 L CPT % | 9 P Python @ ")</f>
        <v xml:space="preserve">| 5 L JAVA % | 6 L JAVA % | 7 L PHP-CGM % | 8 L CPT % | 9 P Python @ </v>
      </c>
      <c r="CB326" s="4" t="str">
        <f ca="1">IFERROR(__xludf.DUMMYFUNCTION("""COMPUTED_VALUE"""),"| 5 L PHP-CGM @ | 6 L CPT @ | 7 L NS @ | 9 P Python % ")</f>
        <v xml:space="preserve">| 5 L PHP-CGM @ | 6 L CPT @ | 7 L NS @ | 9 P Python % </v>
      </c>
      <c r="CC326" s="4" t="str">
        <f ca="1">IFERROR(__xludf.DUMMYFUNCTION("""COMPUTED_VALUE"""),"| 5 L JAVA % | 6 L NS % | 9 P JAVA @ ")</f>
        <v xml:space="preserve">| 5 L JAVA % | 6 L NS % | 9 P JAVA @ </v>
      </c>
      <c r="CD326" s="4" t="str">
        <f ca="1">IFERROR(__xludf.DUMMYFUNCTION("""COMPUTED_VALUE"""),"| 5 L INE % | 7 P PHP-CGM % | 9 P NS % ")</f>
        <v xml:space="preserve">| 5 L INE % | 7 P PHP-CGM % | 9 P NS % </v>
      </c>
      <c r="CE326" s="4" t="str">
        <f ca="1">IFERROR(__xludf.DUMMYFUNCTION("""COMPUTED_VALUE"""),"| 5 L CPT @ | 6 L PHP-CGM @ | 9 P JAVA % | 7 P CPT % ")</f>
        <v xml:space="preserve">| 5 L CPT @ | 6 L PHP-CGM @ | 9 P JAVA % | 7 P CPT % </v>
      </c>
      <c r="CF326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26" s="4" t="str">
        <f ca="1">IFERROR(__xludf.DUMMYFUNCTION("""COMPUTED_VALUE"""),"| 5 L PHP-CGM % | 6 L CPT % | 7 L JAVA % | 8 L NS % ")</f>
        <v xml:space="preserve">| 5 L PHP-CGM % | 6 L CPT % | 7 L JAVA % | 8 L NS % </v>
      </c>
      <c r="CH326" s="4" t="str">
        <f ca="1">IFERROR(__xludf.DUMMYFUNCTION("""COMPUTED_VALUE"""),"| 5 L JAVA @ | 6 L NS @ | 9 P JAVA % ")</f>
        <v xml:space="preserve">| 5 L JAVA @ | 6 L NS @ | 9 P JAVA % </v>
      </c>
      <c r="CI326" s="4" t="str">
        <f ca="1">IFERROR(__xludf.DUMMYFUNCTION("""COMPUTED_VALUE"""),"| 5 L INE @ | 7 P PHP-CGM % | 9 P NS % ")</f>
        <v xml:space="preserve">| 5 L INE @ | 7 P PHP-CGM % | 9 P NS % </v>
      </c>
      <c r="CJ326" s="4" t="str">
        <f ca="1">IFERROR(__xludf.DUMMYFUNCTION("""COMPUTED_VALUE"""),"| 5 L CPT % | 6 L PHP-CGM % | 7 P CPT % ")</f>
        <v xml:space="preserve">| 5 L CPT % | 6 L PHP-CGM % | 7 P CPT % </v>
      </c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</row>
    <row r="327" spans="1:102" ht="12.5" x14ac:dyDescent="0.25">
      <c r="A327" s="3">
        <f ca="1">IFERROR(__xludf.DUMMYFUNCTION("""COMPUTED_VALUE"""),3)</f>
        <v>3</v>
      </c>
      <c r="B327" s="3" t="str">
        <f ca="1">IFERROR(__xludf.DUMMYFUNCTION("""COMPUTED_VALUE"""),"D")</f>
        <v>D</v>
      </c>
      <c r="C327" s="32" t="str">
        <f ca="1">IFERROR(__xludf.DUMMYFUNCTION("""COMPUTED_VALUE"""),"23171341174")</f>
        <v>23171341174</v>
      </c>
      <c r="D327" s="4" t="str">
        <f ca="1">IFERROR(__xludf.DUMMYFUNCTION("""COMPUTED_VALUE"""),"SAIYAD JUNERABANU MOHMEDANISH")</f>
        <v>SAIYAD JUNERABANU MOHMEDANISH</v>
      </c>
      <c r="E327" s="3" t="str">
        <f ca="1">IFERROR(__xludf.DUMMYFUNCTION("""COMPUTED_VALUE"""),"ZPP - Eve")</f>
        <v>ZPP - Eve</v>
      </c>
      <c r="F327" s="3">
        <f ca="1">IFERROR(__xludf.DUMMYFUNCTION("""COMPUTED_VALUE"""),9723399221)</f>
        <v>9723399221</v>
      </c>
      <c r="G327" s="3">
        <f ca="1">IFERROR(__xludf.DUMMYFUNCTION("""COMPUTED_VALUE"""),9723399221)</f>
        <v>9723399221</v>
      </c>
      <c r="H327" s="33">
        <f ca="1">IFERROR(__xludf.DUMMYFUNCTION("""COMPUTED_VALUE"""),0.79059829059829)</f>
        <v>0.79059829059829001</v>
      </c>
      <c r="I327" s="25">
        <f ca="1">IFERROR(__xludf.DUMMYFUNCTION("""COMPUTED_VALUE"""),0.742857142857142)</f>
        <v>0.74285714285714199</v>
      </c>
      <c r="J327" s="25">
        <f ca="1">IFERROR(__xludf.DUMMYFUNCTION("""COMPUTED_VALUE"""),0.818181818181818)</f>
        <v>0.81818181818181801</v>
      </c>
      <c r="K327" s="25">
        <f ca="1">IFERROR(__xludf.DUMMYFUNCTION("""COMPUTED_VALUE"""),0.84375)</f>
        <v>0.84375</v>
      </c>
      <c r="L327" s="25">
        <f ca="1">IFERROR(__xludf.DUMMYFUNCTION("""COMPUTED_VALUE"""),0.818181818181818)</f>
        <v>0.81818181818181801</v>
      </c>
      <c r="M327" s="25">
        <f ca="1">IFERROR(__xludf.DUMMYFUNCTION("""COMPUTED_VALUE"""),0.722222222222222)</f>
        <v>0.72222222222222199</v>
      </c>
      <c r="N327" s="25">
        <f ca="1">IFERROR(__xludf.DUMMYFUNCTION("""COMPUTED_VALUE"""),0.833333333333333)</f>
        <v>0.83333333333333304</v>
      </c>
      <c r="O327" s="25">
        <f ca="1">IFERROR(__xludf.DUMMYFUNCTION("""COMPUTED_VALUE"""),0.888888888888888)</f>
        <v>0.88888888888888795</v>
      </c>
      <c r="P327" s="25">
        <f ca="1">IFERROR(__xludf.DUMMYFUNCTION("""COMPUTED_VALUE"""),0.684210526315789)</f>
        <v>0.68421052631578905</v>
      </c>
      <c r="Q327" s="25">
        <f ca="1">IFERROR(__xludf.DUMMYFUNCTION("""COMPUTED_VALUE"""),0)</f>
        <v>0</v>
      </c>
      <c r="R327" s="25">
        <f ca="1">IFERROR(__xludf.DUMMYFUNCTION("""COMPUTED_VALUE"""),0.777777777777777)</f>
        <v>0.77777777777777701</v>
      </c>
      <c r="S327" s="25">
        <f ca="1">IFERROR(__xludf.DUMMYFUNCTION("""COMPUTED_VALUE"""),0.769230769230769)</f>
        <v>0.76923076923076905</v>
      </c>
      <c r="T327" s="25">
        <f ca="1">IFERROR(__xludf.DUMMYFUNCTION("""COMPUTED_VALUE"""),1)</f>
        <v>1</v>
      </c>
      <c r="U327" s="25">
        <f ca="1">IFERROR(__xludf.DUMMYFUNCTION("""COMPUTED_VALUE"""),0.8)</f>
        <v>0.8</v>
      </c>
      <c r="V327" s="25">
        <f ca="1">IFERROR(__xludf.DUMMYFUNCTION("""COMPUTED_VALUE"""),0)</f>
        <v>0</v>
      </c>
      <c r="W327" s="4"/>
      <c r="X327" s="4" t="str">
        <f ca="1">IFERROR(__xludf.DUMMYFUNCTION("""COMPUTED_VALUE"""),"| 5 L JAVA % | 6 L NS % | 7 L PHP-CGM % | 8 L CPT % ")</f>
        <v xml:space="preserve">| 5 L JAVA % | 6 L NS % | 7 L PHP-CGM % | 8 L CPT % </v>
      </c>
      <c r="Y327" s="4" t="str">
        <f ca="1">IFERROR(__xludf.DUMMYFUNCTION("""COMPUTED_VALUE"""),"| 5 L PHP-CGM % | 6 L CPT % | 7 L NS % | 8 L JAVA % ")</f>
        <v xml:space="preserve">| 5 L PHP-CGM % | 6 L CPT % | 7 L NS % | 8 L JAVA % </v>
      </c>
      <c r="Z327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27" s="4" t="str">
        <f ca="1">IFERROR(__xludf.DUMMYFUNCTION("""COMPUTED_VALUE"""),"| 7 P PHP-CGM % | 9 P NS % ")</f>
        <v xml:space="preserve">| 7 P PHP-CGM % | 9 P NS % </v>
      </c>
      <c r="AB327" s="4" t="str">
        <f ca="1">IFERROR(__xludf.DUMMYFUNCTION("""COMPUTED_VALUE"""),"| 5 L JAVA % | 6 L PHP-CGM % | 7 P CPT % | 9 P JAVA % ")</f>
        <v xml:space="preserve">| 5 L JAVA % | 6 L PHP-CGM % | 7 P CPT % | 9 P JAVA % </v>
      </c>
      <c r="AC327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27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27" s="4" t="str">
        <f ca="1">IFERROR(__xludf.DUMMYFUNCTION("""COMPUTED_VALUE"""),"| 5 L JAVA % | 6 L NS % | 7 L PRO % | 9 P JAVA % ")</f>
        <v xml:space="preserve">| 5 L JAVA % | 6 L NS % | 7 L PRO % | 9 P JAVA % </v>
      </c>
      <c r="AF327" s="4" t="str">
        <f ca="1">IFERROR(__xludf.DUMMYFUNCTION("""COMPUTED_VALUE"""),"| 7 P PHP-CGM % | 9 P NS % ")</f>
        <v xml:space="preserve">| 7 P PHP-CGM % | 9 P NS % </v>
      </c>
      <c r="AG327" s="4" t="str">
        <f ca="1">IFERROR(__xludf.DUMMYFUNCTION("""COMPUTED_VALUE"""),"| 5 L CPT % | 6 L PHP-CGM % | 7 P CPT % | 9 P JAVA % ")</f>
        <v xml:space="preserve">| 5 L CPT % | 6 L PHP-CGM % | 7 P CPT % | 9 P JAVA % </v>
      </c>
      <c r="AH327" s="4" t="str">
        <f ca="1">IFERROR(__xludf.DUMMYFUNCTION("""COMPUTED_VALUE"""),"| 7 P PHP-CGM % | 9 P NS % ")</f>
        <v xml:space="preserve">| 7 P PHP-CGM % | 9 P NS % </v>
      </c>
      <c r="AI327" s="4" t="str">
        <f ca="1">IFERROR(__xludf.DUMMYFUNCTION("""COMPUTED_VALUE"""),"| 5 L CPT % | 6 L PHP-CGM % | 7 P CPT % | 9 P JAVA % ")</f>
        <v xml:space="preserve">| 5 L CPT % | 6 L PHP-CGM % | 7 P CPT % | 9 P JAVA % </v>
      </c>
      <c r="AJ327" s="4" t="str">
        <f ca="1">IFERROR(__xludf.DUMMYFUNCTION("""COMPUTED_VALUE"""),"| 5 L JAVA % | 6 L NS % | 7 L PHP-CGM @ | 8 L CPT @ ")</f>
        <v xml:space="preserve">| 5 L JAVA % | 6 L NS % | 7 L PHP-CGM @ | 8 L CPT @ </v>
      </c>
      <c r="AK327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27" s="4" t="str">
        <f ca="1">IFERROR(__xludf.DUMMYFUNCTION("""COMPUTED_VALUE"""),"| 6 L NS % | 7 L NS % | 7 L PRO % | 8 L PRO % | 9 P JAVA % ")</f>
        <v xml:space="preserve">| 6 L NS % | 7 L NS % | 7 L PRO % | 8 L PRO % | 9 P JAVA % </v>
      </c>
      <c r="AM327" s="4" t="str">
        <f ca="1">IFERROR(__xludf.DUMMYFUNCTION("""COMPUTED_VALUE"""),"| 5 L INE % | 7 P PHP-CGM % | 9 P NS % ")</f>
        <v xml:space="preserve">| 5 L INE % | 7 P PHP-CGM % | 9 P NS % </v>
      </c>
      <c r="AN327" s="4" t="str">
        <f ca="1">IFERROR(__xludf.DUMMYFUNCTION("""COMPUTED_VALUE"""),"| 5 L CPT % | 6 L PHP-CGM % | 7 P CPT % | 9 P JAVA % ")</f>
        <v xml:space="preserve">| 5 L CPT % | 6 L PHP-CGM % | 7 P CPT % | 9 P JAVA % </v>
      </c>
      <c r="AO327" s="4" t="str">
        <f ca="1">IFERROR(__xludf.DUMMYFUNCTION("""COMPUTED_VALUE"""),"| 5 L JAVA % | 5 L NS % | 7 L PHP-CGM % | 8 L CPT % | 9 P Python % ")</f>
        <v xml:space="preserve">| 5 L JAVA % | 5 L NS % | 7 L PHP-CGM % | 8 L CPT % | 9 P Python % </v>
      </c>
      <c r="AP327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27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7" s="4" t="str">
        <f ca="1">IFERROR(__xludf.DUMMYFUNCTION("""COMPUTED_VALUE"""),"| 5 L INE % ")</f>
        <v xml:space="preserve">| 5 L INE % </v>
      </c>
      <c r="AS327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27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27" s="4" t="str">
        <f ca="1">IFERROR(__xludf.DUMMYFUNCTION("""COMPUTED_VALUE"""),"| 5 L JAVA % | 6 L NS % | 5 P PRO % | 9 P JAVA % ")</f>
        <v xml:space="preserve">| 5 L JAVA % | 6 L NS % | 5 P PRO % | 9 P JAVA % </v>
      </c>
      <c r="AV327" s="4" t="str">
        <f ca="1">IFERROR(__xludf.DUMMYFUNCTION("""COMPUTED_VALUE"""),"| 5 L INE % | 7 P PHP-CGM % | 9 P NS % ")</f>
        <v xml:space="preserve">| 5 L INE % | 7 P PHP-CGM % | 9 P NS % </v>
      </c>
      <c r="AW327" s="4" t="str">
        <f ca="1">IFERROR(__xludf.DUMMYFUNCTION("""COMPUTED_VALUE"""),"| 5 L CPT % | 6 L PHP-CGM % | 7 P CPT % | 9 P JAVA % ")</f>
        <v xml:space="preserve">| 5 L CPT % | 6 L PHP-CGM % | 7 P CPT % | 9 P JAVA % </v>
      </c>
      <c r="AX327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27" s="4" t="str">
        <f ca="1">IFERROR(__xludf.DUMMYFUNCTION("""COMPUTED_VALUE"""),"| 5 L PHP-CGM % | 6 L CPT % | 7 L NS % | 8 L NS % | 9 P Python @ ")</f>
        <v xml:space="preserve">| 5 L PHP-CGM % | 6 L CPT % | 7 L NS % | 8 L NS % | 9 P Python @ </v>
      </c>
      <c r="AZ327" s="4" t="str">
        <f ca="1">IFERROR(__xludf.DUMMYFUNCTION("""COMPUTED_VALUE"""),"| 5 L INE % | 7 P PHP-CGM % ")</f>
        <v xml:space="preserve">| 5 L INE % | 7 P PHP-CGM % </v>
      </c>
      <c r="BA327" s="4" t="str">
        <f ca="1">IFERROR(__xludf.DUMMYFUNCTION("""COMPUTED_VALUE"""),"| 5 L CPT % | 6 L PHP-CGM % | 7 P CPT % ")</f>
        <v xml:space="preserve">| 5 L CPT % | 6 L PHP-CGM % | 7 P CPT % </v>
      </c>
      <c r="BB327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27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27" s="4" t="str">
        <f ca="1">IFERROR(__xludf.DUMMYFUNCTION("""COMPUTED_VALUE"""),"| 5 L JAVA % | 6 L NS % | 7 L PRO % | 8 L PRO % | 9 P JAVA @ ")</f>
        <v xml:space="preserve">| 5 L JAVA % | 6 L NS % | 7 L PRO % | 8 L PRO % | 9 P JAVA @ </v>
      </c>
      <c r="BE327" s="4" t="str">
        <f ca="1">IFERROR(__xludf.DUMMYFUNCTION("""COMPUTED_VALUE"""),"| 5 L INE % | 7 P PHP-CGM % | 9 P NS % ")</f>
        <v xml:space="preserve">| 5 L INE % | 7 P PHP-CGM % | 9 P NS % </v>
      </c>
      <c r="BF327" s="4" t="str">
        <f ca="1">IFERROR(__xludf.DUMMYFUNCTION("""COMPUTED_VALUE"""),"| 5 L CPT @ | 6 L PHP-CGM @ | 7 P CPT @ ")</f>
        <v xml:space="preserve">| 5 L CPT @ | 6 L PHP-CGM @ | 7 P CPT @ </v>
      </c>
      <c r="BG327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27" s="4" t="str">
        <f ca="1">IFERROR(__xludf.DUMMYFUNCTION("""COMPUTED_VALUE"""),"| 5 L JAVA % | 6 L NS % | 7 L PRO % | 9 P JAVA % ")</f>
        <v xml:space="preserve">| 5 L JAVA % | 6 L NS % | 7 L PRO % | 9 P JAVA % </v>
      </c>
      <c r="BI327" s="4" t="str">
        <f ca="1">IFERROR(__xludf.DUMMYFUNCTION("""COMPUTED_VALUE"""),"| 5 L INE % | 7 P PHP-CGM % | 9 P NS % ")</f>
        <v xml:space="preserve">| 5 L INE % | 7 P PHP-CGM % | 9 P NS % </v>
      </c>
      <c r="BJ327" s="4" t="str">
        <f ca="1">IFERROR(__xludf.DUMMYFUNCTION("""COMPUTED_VALUE"""),"| 5 L CPT % | 6 L PHP-CGM @ | 7 P CPT % | 9 P JAVA @ ")</f>
        <v xml:space="preserve">| 5 L CPT % | 6 L PHP-CGM @ | 7 P CPT % | 9 P JAVA @ </v>
      </c>
      <c r="BK327" s="4" t="str">
        <f ca="1">IFERROR(__xludf.DUMMYFUNCTION("""COMPUTED_VALUE"""),"| 5 L JAVA % | 7 L PHP-CGM % | 8 L CPT % | 9 P Python % ")</f>
        <v xml:space="preserve">| 5 L JAVA % | 7 L PHP-CGM % | 8 L CPT % | 9 P Python % </v>
      </c>
      <c r="BL327" s="4" t="str">
        <f ca="1">IFERROR(__xludf.DUMMYFUNCTION("""COMPUTED_VALUE"""),"| 5 L PHP-CGM % | 6 L CPT % | 8 L NS @ ")</f>
        <v xml:space="preserve">| 5 L PHP-CGM % | 6 L CPT % | 8 L NS @ </v>
      </c>
      <c r="BM327" s="4" t="str">
        <f ca="1">IFERROR(__xludf.DUMMYFUNCTION("""COMPUTED_VALUE"""),"| 5 L JAVA % | 6 L NS % | 7 L PRO @ | 8 L PRO @ | 9 P JAVA @ ")</f>
        <v xml:space="preserve">| 5 L JAVA % | 6 L NS % | 7 L PRO @ | 8 L PRO @ | 9 P JAVA @ </v>
      </c>
      <c r="BN327" s="4" t="str">
        <f ca="1">IFERROR(__xludf.DUMMYFUNCTION("""COMPUTED_VALUE"""),"| 5 L INE % | 7 P PHP-CGM @ | 9 P NS @ ")</f>
        <v xml:space="preserve">| 5 L INE % | 7 P PHP-CGM @ | 9 P NS @ </v>
      </c>
      <c r="BO327" s="4" t="str">
        <f ca="1">IFERROR(__xludf.DUMMYFUNCTION("""COMPUTED_VALUE"""),"| 5 L CPT @ | 6 L PHP-CGM @ ")</f>
        <v xml:space="preserve">| 5 L CPT @ | 6 L PHP-CGM @ </v>
      </c>
      <c r="BP327" s="4" t="str">
        <f ca="1">IFERROR(__xludf.DUMMYFUNCTION("""COMPUTED_VALUE"""),"| 5 L JAVA % | 6 L JAVA % | 7 L PHP-CGM % | 8 L CPT % ")</f>
        <v xml:space="preserve">| 5 L JAVA % | 6 L JAVA % | 7 L PHP-CGM % | 8 L CPT % </v>
      </c>
      <c r="BQ327" s="4" t="str">
        <f ca="1">IFERROR(__xludf.DUMMYFUNCTION("""COMPUTED_VALUE"""),"| 5 L JAVA @ ")</f>
        <v xml:space="preserve">| 5 L JAVA @ </v>
      </c>
      <c r="BR327" s="4"/>
      <c r="BS327" s="4"/>
      <c r="BT327" s="4" t="str">
        <f ca="1">IFERROR(__xludf.DUMMYFUNCTION("""COMPUTED_VALUE"""),"| 7 L PHP-CGM @ | 8 L CPT @ ")</f>
        <v xml:space="preserve">| 7 L PHP-CGM @ | 8 L CPT @ </v>
      </c>
      <c r="BU327" s="4" t="str">
        <f ca="1">IFERROR(__xludf.DUMMYFUNCTION("""COMPUTED_VALUE"""),"| 8 L NS @ ")</f>
        <v xml:space="preserve">| 8 L NS @ </v>
      </c>
      <c r="BV327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W327" s="4" t="str">
        <f ca="1">IFERROR(__xludf.DUMMYFUNCTION("""COMPUTED_VALUE"""),"| 9 P Python @ ")</f>
        <v xml:space="preserve">| 9 P Python @ </v>
      </c>
      <c r="BX327" s="4" t="str">
        <f ca="1">IFERROR(__xludf.DUMMYFUNCTION("""COMPUTED_VALUE"""),"| 5 L JAVA @ | 6 L NS @ | 7 L PRO @ | 9 P JAVA @ ")</f>
        <v xml:space="preserve">| 5 L JAVA @ | 6 L NS @ | 7 L PRO @ | 9 P JAVA @ </v>
      </c>
      <c r="BY327" s="4" t="str">
        <f ca="1">IFERROR(__xludf.DUMMYFUNCTION("""COMPUTED_VALUE"""),"| 5 L INE @ | 7 P PHP-CGM @ | 9 P NS @ ")</f>
        <v xml:space="preserve">| 5 L INE @ | 7 P PHP-CGM @ | 9 P NS @ </v>
      </c>
      <c r="BZ327" s="4" t="str">
        <f ca="1">IFERROR(__xludf.DUMMYFUNCTION("""COMPUTED_VALUE"""),"| 5 L CPT @ | 6 L PHP-CGM @ | 7 P CPT @ | 9 P JAVA @ ")</f>
        <v xml:space="preserve">| 5 L CPT @ | 6 L PHP-CGM @ | 7 P CPT @ | 9 P JAVA @ </v>
      </c>
      <c r="CA327" s="4" t="str">
        <f ca="1">IFERROR(__xludf.DUMMYFUNCTION("""COMPUTED_VALUE"""),"| 5 L JAVA % | 6 L JAVA % | 7 L PHP-CGM % | 8 L CPT % | 9 P Python @ ")</f>
        <v xml:space="preserve">| 5 L JAVA % | 6 L JAVA % | 7 L PHP-CGM % | 8 L CPT % | 9 P Python @ </v>
      </c>
      <c r="CB327" s="4" t="str">
        <f ca="1">IFERROR(__xludf.DUMMYFUNCTION("""COMPUTED_VALUE"""),"| 5 L PHP-CGM % | 6 L CPT % | 7 L NS % | 9 P Python % ")</f>
        <v xml:space="preserve">| 5 L PHP-CGM % | 6 L CPT % | 7 L NS % | 9 P Python % </v>
      </c>
      <c r="CC327" s="4" t="str">
        <f ca="1">IFERROR(__xludf.DUMMYFUNCTION("""COMPUTED_VALUE"""),"| 5 L JAVA % | 6 L NS % | 9 P JAVA @ ")</f>
        <v xml:space="preserve">| 5 L JAVA % | 6 L NS % | 9 P JAVA @ </v>
      </c>
      <c r="CD327" s="4" t="str">
        <f ca="1">IFERROR(__xludf.DUMMYFUNCTION("""COMPUTED_VALUE"""),"| 5 L INE % | 7 P PHP-CGM % | 9 P NS % ")</f>
        <v xml:space="preserve">| 5 L INE % | 7 P PHP-CGM % | 9 P NS % </v>
      </c>
      <c r="CE327" s="4" t="str">
        <f ca="1">IFERROR(__xludf.DUMMYFUNCTION("""COMPUTED_VALUE"""),"| 5 L CPT % | 6 L PHP-CGM % | 9 P JAVA % | 7 P CPT % ")</f>
        <v xml:space="preserve">| 5 L CPT % | 6 L PHP-CGM % | 9 P JAVA % | 7 P CPT % </v>
      </c>
      <c r="CF327" s="4" t="str">
        <f ca="1">IFERROR(__xludf.DUMMYFUNCTION("""COMPUTED_VALUE"""),"| 5 L JAVA % | 6 L NS % | 7 L PHP-CGM @ | 8 L CPT @ | 9 P Python % ")</f>
        <v xml:space="preserve">| 5 L JAVA % | 6 L NS % | 7 L PHP-CGM @ | 8 L CPT @ | 9 P Python % </v>
      </c>
      <c r="CG327" s="4" t="str">
        <f ca="1">IFERROR(__xludf.DUMMYFUNCTION("""COMPUTED_VALUE"""),"| 5 L PHP-CGM @ | 6 L CPT @ | 7 L JAVA % | 8 L NS % ")</f>
        <v xml:space="preserve">| 5 L PHP-CGM @ | 6 L CPT @ | 7 L JAVA % | 8 L NS % </v>
      </c>
      <c r="CH327" s="4" t="str">
        <f ca="1">IFERROR(__xludf.DUMMYFUNCTION("""COMPUTED_VALUE"""),"| 5 L JAVA @ | 6 L NS @ | 9 P JAVA % ")</f>
        <v xml:space="preserve">| 5 L JAVA @ | 6 L NS @ | 9 P JAVA % </v>
      </c>
      <c r="CI327" s="4" t="str">
        <f ca="1">IFERROR(__xludf.DUMMYFUNCTION("""COMPUTED_VALUE"""),"| 5 L INE @ | 7 P PHP-CGM % | 9 P NS % ")</f>
        <v xml:space="preserve">| 5 L INE @ | 7 P PHP-CGM % | 9 P NS % </v>
      </c>
      <c r="CJ327" s="4" t="str">
        <f ca="1">IFERROR(__xludf.DUMMYFUNCTION("""COMPUTED_VALUE"""),"| 5 L CPT @ | 6 L PHP-CGM @ | 7 P CPT % ")</f>
        <v xml:space="preserve">| 5 L CPT @ | 6 L PHP-CGM @ | 7 P CPT % </v>
      </c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</row>
    <row r="328" spans="1:102" ht="12.5" x14ac:dyDescent="0.25">
      <c r="A328" s="3">
        <f ca="1">IFERROR(__xludf.DUMMYFUNCTION("""COMPUTED_VALUE"""),3)</f>
        <v>3</v>
      </c>
      <c r="B328" s="3" t="str">
        <f ca="1">IFERROR(__xludf.DUMMYFUNCTION("""COMPUTED_VALUE"""),"D")</f>
        <v>D</v>
      </c>
      <c r="C328" s="32" t="str">
        <f ca="1">IFERROR(__xludf.DUMMYFUNCTION("""COMPUTED_VALUE"""),"23171341177")</f>
        <v>23171341177</v>
      </c>
      <c r="D328" s="4" t="str">
        <f ca="1">IFERROR(__xludf.DUMMYFUNCTION("""COMPUTED_VALUE"""),"SHAH HARSHIL SANJIVBHAI")</f>
        <v>SHAH HARSHIL SANJIVBHAI</v>
      </c>
      <c r="E328" s="3" t="str">
        <f ca="1">IFERROR(__xludf.DUMMYFUNCTION("""COMPUTED_VALUE"""),"ZPP - Eve")</f>
        <v>ZPP - Eve</v>
      </c>
      <c r="F328" s="3">
        <f ca="1">IFERROR(__xludf.DUMMYFUNCTION("""COMPUTED_VALUE"""),8780627533)</f>
        <v>8780627533</v>
      </c>
      <c r="G328" s="3">
        <f ca="1">IFERROR(__xludf.DUMMYFUNCTION("""COMPUTED_VALUE"""),8780627533)</f>
        <v>8780627533</v>
      </c>
      <c r="H328" s="33">
        <f ca="1">IFERROR(__xludf.DUMMYFUNCTION("""COMPUTED_VALUE"""),0.239316239316239)</f>
        <v>0.23931623931623899</v>
      </c>
      <c r="I328" s="25">
        <f ca="1">IFERROR(__xludf.DUMMYFUNCTION("""COMPUTED_VALUE"""),0.114285714285714)</f>
        <v>0.114285714285714</v>
      </c>
      <c r="J328" s="25">
        <f ca="1">IFERROR(__xludf.DUMMYFUNCTION("""COMPUTED_VALUE"""),0.272727272727272)</f>
        <v>0.27272727272727199</v>
      </c>
      <c r="K328" s="25">
        <f ca="1">IFERROR(__xludf.DUMMYFUNCTION("""COMPUTED_VALUE"""),0.34375)</f>
        <v>0.34375</v>
      </c>
      <c r="L328" s="25">
        <f ca="1">IFERROR(__xludf.DUMMYFUNCTION("""COMPUTED_VALUE"""),0.181818181818181)</f>
        <v>0.18181818181818099</v>
      </c>
      <c r="M328" s="25">
        <f ca="1">IFERROR(__xludf.DUMMYFUNCTION("""COMPUTED_VALUE"""),0.138888888888888)</f>
        <v>0.13888888888888801</v>
      </c>
      <c r="N328" s="25">
        <f ca="1">IFERROR(__xludf.DUMMYFUNCTION("""COMPUTED_VALUE"""),0.25)</f>
        <v>0.25</v>
      </c>
      <c r="O328" s="25">
        <f ca="1">IFERROR(__xludf.DUMMYFUNCTION("""COMPUTED_VALUE"""),0.277777777777777)</f>
        <v>0.27777777777777701</v>
      </c>
      <c r="P328" s="25">
        <f ca="1">IFERROR(__xludf.DUMMYFUNCTION("""COMPUTED_VALUE"""),0.31578947368421)</f>
        <v>0.31578947368421001</v>
      </c>
      <c r="Q328" s="25">
        <f ca="1">IFERROR(__xludf.DUMMYFUNCTION("""COMPUTED_VALUE"""),0)</f>
        <v>0</v>
      </c>
      <c r="R328" s="25">
        <f ca="1">IFERROR(__xludf.DUMMYFUNCTION("""COMPUTED_VALUE"""),0.166666666666666)</f>
        <v>0.16666666666666599</v>
      </c>
      <c r="S328" s="25">
        <f ca="1">IFERROR(__xludf.DUMMYFUNCTION("""COMPUTED_VALUE"""),0.461538461538461)</f>
        <v>0.46153846153846101</v>
      </c>
      <c r="T328" s="25">
        <f ca="1">IFERROR(__xludf.DUMMYFUNCTION("""COMPUTED_VALUE"""),1)</f>
        <v>1</v>
      </c>
      <c r="U328" s="25">
        <f ca="1">IFERROR(__xludf.DUMMYFUNCTION("""COMPUTED_VALUE"""),0.2)</f>
        <v>0.2</v>
      </c>
      <c r="V328" s="25">
        <f ca="1">IFERROR(__xludf.DUMMYFUNCTION("""COMPUTED_VALUE"""),0)</f>
        <v>0</v>
      </c>
      <c r="W328" s="4"/>
      <c r="X328" s="4" t="str">
        <f ca="1">IFERROR(__xludf.DUMMYFUNCTION("""COMPUTED_VALUE"""),"| 5 L JAVA % | 6 L NS % | 7 L PHP-CGM % | 8 L CPT % ")</f>
        <v xml:space="preserve">| 5 L JAVA % | 6 L NS % | 7 L PHP-CGM % | 8 L CPT % </v>
      </c>
      <c r="Y328" s="4" t="str">
        <f ca="1">IFERROR(__xludf.DUMMYFUNCTION("""COMPUTED_VALUE"""),"| 5 L PHP-CGM @ | 6 L CPT @ | 7 L NS @ | 8 L JAVA @ ")</f>
        <v xml:space="preserve">| 5 L PHP-CGM @ | 6 L CPT @ | 7 L NS @ | 8 L JAVA @ </v>
      </c>
      <c r="Z328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28" s="4" t="str">
        <f ca="1">IFERROR(__xludf.DUMMYFUNCTION("""COMPUTED_VALUE"""),"| 7 P PHP-CGM % | 9 P NS % ")</f>
        <v xml:space="preserve">| 7 P PHP-CGM % | 9 P NS % </v>
      </c>
      <c r="AB328" s="4" t="str">
        <f ca="1">IFERROR(__xludf.DUMMYFUNCTION("""COMPUTED_VALUE"""),"| 5 L JAVA % | 6 L PHP-CGM % | 7 P CPT % | 9 P JAVA % ")</f>
        <v xml:space="preserve">| 5 L JAVA % | 6 L PHP-CGM % | 7 P CPT % | 9 P JAVA % </v>
      </c>
      <c r="AC328" s="4" t="str">
        <f ca="1">IFERROR(__xludf.DUMMYFUNCTION("""COMPUTED_VALUE"""),"| 5 L JAVA % | 6 L NS % | 7 L PHP-CGM @ | 9 P Python % | 8 L CPT @ ")</f>
        <v xml:space="preserve">| 5 L JAVA % | 6 L NS % | 7 L PHP-CGM @ | 9 P Python % | 8 L CPT @ </v>
      </c>
      <c r="AD328" s="4" t="str">
        <f ca="1">IFERROR(__xludf.DUMMYFUNCTION("""COMPUTED_VALUE"""),"| 5 L PHP-CGM @ | 6 L CPT @ | 7 L NS @ | 8 L JAVA @ | 9 P Python % ")</f>
        <v xml:space="preserve">| 5 L PHP-CGM @ | 6 L CPT @ | 7 L NS @ | 8 L JAVA @ | 9 P Python % </v>
      </c>
      <c r="AE328" s="4" t="str">
        <f ca="1">IFERROR(__xludf.DUMMYFUNCTION("""COMPUTED_VALUE"""),"| 5 L JAVA % | 6 L NS % | 7 L PRO % | 9 P JAVA % ")</f>
        <v xml:space="preserve">| 5 L JAVA % | 6 L NS % | 7 L PRO % | 9 P JAVA % </v>
      </c>
      <c r="AF328" s="4" t="str">
        <f ca="1">IFERROR(__xludf.DUMMYFUNCTION("""COMPUTED_VALUE"""),"| 7 P PHP-CGM @ | 9 P NS @ ")</f>
        <v xml:space="preserve">| 7 P PHP-CGM @ | 9 P NS @ </v>
      </c>
      <c r="AG328" s="4" t="str">
        <f ca="1">IFERROR(__xludf.DUMMYFUNCTION("""COMPUTED_VALUE"""),"| 5 L CPT @ | 6 L PHP-CGM @ | 7 P CPT @ | 9 P JAVA @ ")</f>
        <v xml:space="preserve">| 5 L CPT @ | 6 L PHP-CGM @ | 7 P CPT @ | 9 P JAVA @ </v>
      </c>
      <c r="AH328" s="4" t="str">
        <f ca="1">IFERROR(__xludf.DUMMYFUNCTION("""COMPUTED_VALUE"""),"| 7 P PHP-CGM @ | 9 P NS @ ")</f>
        <v xml:space="preserve">| 7 P PHP-CGM @ | 9 P NS @ </v>
      </c>
      <c r="AI328" s="4" t="str">
        <f ca="1">IFERROR(__xludf.DUMMYFUNCTION("""COMPUTED_VALUE"""),"| 5 L CPT @ | 6 L PHP-CGM @ | 7 P CPT @ | 9 P JAVA @ ")</f>
        <v xml:space="preserve">| 5 L CPT @ | 6 L PHP-CGM @ | 7 P CPT @ | 9 P JAVA @ </v>
      </c>
      <c r="AJ328" s="4" t="str">
        <f ca="1">IFERROR(__xludf.DUMMYFUNCTION("""COMPUTED_VALUE"""),"| 5 L JAVA @ | 6 L NS @ | 7 L PHP-CGM @ | 8 L CPT @ ")</f>
        <v xml:space="preserve">| 5 L JAVA @ | 6 L NS @ | 7 L PHP-CGM @ | 8 L CPT @ </v>
      </c>
      <c r="AK328" s="4" t="str">
        <f ca="1">IFERROR(__xludf.DUMMYFUNCTION("""COMPUTED_VALUE"""),"| 5 L PHP-CGM % | 6 L CPT % | 8 L JAVA % | 7 L NS % | 9 P Python @ ")</f>
        <v xml:space="preserve">| 5 L PHP-CGM % | 6 L CPT % | 8 L JAVA % | 7 L NS % | 9 P Python @ </v>
      </c>
      <c r="AL328" s="4" t="str">
        <f ca="1">IFERROR(__xludf.DUMMYFUNCTION("""COMPUTED_VALUE"""),"| 6 L NS % | 7 L NS % | 7 L PRO % | 8 L PRO % | 9 P JAVA % ")</f>
        <v xml:space="preserve">| 6 L NS % | 7 L NS % | 7 L PRO % | 8 L PRO % | 9 P JAVA % </v>
      </c>
      <c r="AM328" s="4" t="str">
        <f ca="1">IFERROR(__xludf.DUMMYFUNCTION("""COMPUTED_VALUE"""),"| 5 L INE @ | 7 P PHP-CGM @ | 9 P NS @ ")</f>
        <v xml:space="preserve">| 5 L INE @ | 7 P PHP-CGM @ | 9 P NS @ </v>
      </c>
      <c r="AN328" s="4" t="str">
        <f ca="1">IFERROR(__xludf.DUMMYFUNCTION("""COMPUTED_VALUE"""),"| 5 L CPT @ | 6 L PHP-CGM @ | 7 P CPT @ | 9 P JAVA @ ")</f>
        <v xml:space="preserve">| 5 L CPT @ | 6 L PHP-CGM @ | 7 P CPT @ | 9 P JAVA @ </v>
      </c>
      <c r="AO328" s="4" t="str">
        <f ca="1">IFERROR(__xludf.DUMMYFUNCTION("""COMPUTED_VALUE"""),"| 5 L JAVA @ | 5 L NS @ | 7 L PHP-CGM @ | 8 L CPT @ | 9 P Python @ ")</f>
        <v xml:space="preserve">| 5 L JAVA @ | 5 L NS @ | 7 L PHP-CGM @ | 8 L CPT @ | 9 P Python @ </v>
      </c>
      <c r="AP328" s="4" t="str">
        <f ca="1">IFERROR(__xludf.DUMMYFUNCTION("""COMPUTED_VALUE"""),"| 5 L PHP-CGM @ | 6 L CPT @ | 7 L JAVA @ | 7 L NS @ | 9 P Python @ ")</f>
        <v xml:space="preserve">| 5 L PHP-CGM @ | 6 L CPT @ | 7 L JAVA @ | 7 L NS @ | 9 P Python @ </v>
      </c>
      <c r="AQ328" s="4" t="str">
        <f ca="1">IFERROR(__xludf.DUMMYFUNCTION("""COMPUTED_VALUE"""),"| 5 L JAVA @ | 6 L NS @ | 7 L PRO @ | 8 L PRO @ | 9 P JAVA @ ")</f>
        <v xml:space="preserve">| 5 L JAVA @ | 6 L NS @ | 7 L PRO @ | 8 L PRO @ | 9 P JAVA @ </v>
      </c>
      <c r="AR328" s="4" t="str">
        <f ca="1">IFERROR(__xludf.DUMMYFUNCTION("""COMPUTED_VALUE"""),"| 5 L INE @ ")</f>
        <v xml:space="preserve">| 5 L INE @ </v>
      </c>
      <c r="AS328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AT328" s="4" t="str">
        <f ca="1">IFERROR(__xludf.DUMMYFUNCTION("""COMPUTED_VALUE"""),"| 5 L PHP-CGM @ | 6 L CPT @ | 7 L JAVA @ | 8 L JAVA @ | 9 P Python @ ")</f>
        <v xml:space="preserve">| 5 L PHP-CGM @ | 6 L CPT @ | 7 L JAVA @ | 8 L JAVA @ | 9 P Python @ </v>
      </c>
      <c r="AU328" s="4" t="str">
        <f ca="1">IFERROR(__xludf.DUMMYFUNCTION("""COMPUTED_VALUE"""),"| 5 L JAVA % | 6 L NS % | 5 P PRO % | 9 P JAVA % ")</f>
        <v xml:space="preserve">| 5 L JAVA % | 6 L NS % | 5 P PRO % | 9 P JAVA % </v>
      </c>
      <c r="AV328" s="4" t="str">
        <f ca="1">IFERROR(__xludf.DUMMYFUNCTION("""COMPUTED_VALUE"""),"| 5 L INE @ | 7 P PHP-CGM @ | 9 P NS @ ")</f>
        <v xml:space="preserve">| 5 L INE @ | 7 P PHP-CGM @ | 9 P NS @ </v>
      </c>
      <c r="AW328" s="4" t="str">
        <f ca="1">IFERROR(__xludf.DUMMYFUNCTION("""COMPUTED_VALUE"""),"| 5 L CPT @ | 6 L PHP-CGM @ | 7 P CPT @ | 9 P JAVA @ ")</f>
        <v xml:space="preserve">| 5 L CPT @ | 6 L PHP-CGM @ | 7 P CPT @ | 9 P JAVA @ </v>
      </c>
      <c r="AX328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AY328" s="4" t="str">
        <f ca="1">IFERROR(__xludf.DUMMYFUNCTION("""COMPUTED_VALUE"""),"| 5 L PHP-CGM @ | 6 L CPT @ | 7 L NS @ | 8 L NS @ | 9 P Python @ ")</f>
        <v xml:space="preserve">| 5 L PHP-CGM @ | 6 L CPT @ | 7 L NS @ | 8 L NS @ | 9 P Python @ </v>
      </c>
      <c r="AZ328" s="4" t="str">
        <f ca="1">IFERROR(__xludf.DUMMYFUNCTION("""COMPUTED_VALUE"""),"| 5 L INE % | 7 P PHP-CGM % ")</f>
        <v xml:space="preserve">| 5 L INE % | 7 P PHP-CGM % </v>
      </c>
      <c r="BA328" s="4" t="str">
        <f ca="1">IFERROR(__xludf.DUMMYFUNCTION("""COMPUTED_VALUE"""),"| 5 L CPT % | 6 L PHP-CGM % | 7 P CPT % ")</f>
        <v xml:space="preserve">| 5 L CPT % | 6 L PHP-CGM % | 7 P CPT % </v>
      </c>
      <c r="BB328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BC328" s="4" t="str">
        <f ca="1">IFERROR(__xludf.DUMMYFUNCTION("""COMPUTED_VALUE"""),"| 5 L PHP-CGM @ | 6 L CPT @ | 7 L JAVA @ | 8 L NS @ | 9 P Python @ ")</f>
        <v xml:space="preserve">| 5 L PHP-CGM @ | 6 L CPT @ | 7 L JAVA @ | 8 L NS @ | 9 P Python @ </v>
      </c>
      <c r="BD328" s="4" t="str">
        <f ca="1">IFERROR(__xludf.DUMMYFUNCTION("""COMPUTED_VALUE"""),"| 5 L JAVA @ | 6 L NS @ | 7 L PRO @ | 8 L PRO @ | 9 P JAVA @ ")</f>
        <v xml:space="preserve">| 5 L JAVA @ | 6 L NS @ | 7 L PRO @ | 8 L PRO @ | 9 P JAVA @ </v>
      </c>
      <c r="BE328" s="4" t="str">
        <f ca="1">IFERROR(__xludf.DUMMYFUNCTION("""COMPUTED_VALUE"""),"| 5 L INE @ | 7 P PHP-CGM @ | 9 P NS @ ")</f>
        <v xml:space="preserve">| 5 L INE @ | 7 P PHP-CGM @ | 9 P NS @ </v>
      </c>
      <c r="BF328" s="4" t="str">
        <f ca="1">IFERROR(__xludf.DUMMYFUNCTION("""COMPUTED_VALUE"""),"| 5 L CPT @ | 6 L PHP-CGM @ | 7 P CPT @ ")</f>
        <v xml:space="preserve">| 5 L CPT @ | 6 L PHP-CGM @ | 7 P CPT @ </v>
      </c>
      <c r="BG328" s="4" t="str">
        <f ca="1">IFERROR(__xludf.DUMMYFUNCTION("""COMPUTED_VALUE"""),"| 5 L PHP-CGM @ | 6 L CPT @ | 7 L JAVA % | 8 L NS % | 9 P Python % ")</f>
        <v xml:space="preserve">| 5 L PHP-CGM @ | 6 L CPT @ | 7 L JAVA % | 8 L NS % | 9 P Python % </v>
      </c>
      <c r="BH328" s="4" t="str">
        <f ca="1">IFERROR(__xludf.DUMMYFUNCTION("""COMPUTED_VALUE"""),"| 5 L JAVA % | 6 L NS % | 7 L PRO % | 9 P JAVA @ ")</f>
        <v xml:space="preserve">| 5 L JAVA % | 6 L NS % | 7 L PRO % | 9 P JAVA @ </v>
      </c>
      <c r="BI328" s="4" t="str">
        <f ca="1">IFERROR(__xludf.DUMMYFUNCTION("""COMPUTED_VALUE"""),"| 5 L INE @ | 7 P PHP-CGM @ | 9 P NS @ ")</f>
        <v xml:space="preserve">| 5 L INE @ | 7 P PHP-CGM @ | 9 P NS @ </v>
      </c>
      <c r="BJ328" s="4" t="str">
        <f ca="1">IFERROR(__xludf.DUMMYFUNCTION("""COMPUTED_VALUE"""),"| 5 L CPT @ | 6 L PHP-CGM @ | 7 P CPT @ | 9 P JAVA @ ")</f>
        <v xml:space="preserve">| 5 L CPT @ | 6 L PHP-CGM @ | 7 P CPT @ | 9 P JAVA @ </v>
      </c>
      <c r="BK328" s="4" t="str">
        <f ca="1">IFERROR(__xludf.DUMMYFUNCTION("""COMPUTED_VALUE"""),"| 5 L JAVA @ | 7 L PHP-CGM @ | 8 L CPT @ | 9 P Python @ ")</f>
        <v xml:space="preserve">| 5 L JAVA @ | 7 L PHP-CGM @ | 8 L CPT @ | 9 P Python @ </v>
      </c>
      <c r="BL328" s="4" t="str">
        <f ca="1">IFERROR(__xludf.DUMMYFUNCTION("""COMPUTED_VALUE"""),"| 5 L PHP-CGM @ | 6 L CPT @ | 8 L NS @ ")</f>
        <v xml:space="preserve">| 5 L PHP-CGM @ | 6 L CPT @ | 8 L NS @ </v>
      </c>
      <c r="BM328" s="4" t="str">
        <f ca="1">IFERROR(__xludf.DUMMYFUNCTION("""COMPUTED_VALUE"""),"| 5 L JAVA @ | 6 L NS @ | 7 L PRO @ | 8 L PRO @ | 9 P JAVA @ ")</f>
        <v xml:space="preserve">| 5 L JAVA @ | 6 L NS @ | 7 L PRO @ | 8 L PRO @ | 9 P JAVA @ </v>
      </c>
      <c r="BN328" s="4" t="str">
        <f ca="1">IFERROR(__xludf.DUMMYFUNCTION("""COMPUTED_VALUE"""),"| 5 L INE @ | 7 P PHP-CGM @ | 9 P NS @ ")</f>
        <v xml:space="preserve">| 5 L INE @ | 7 P PHP-CGM @ | 9 P NS @ </v>
      </c>
      <c r="BO328" s="4" t="str">
        <f ca="1">IFERROR(__xludf.DUMMYFUNCTION("""COMPUTED_VALUE"""),"| 5 L CPT @ | 6 L PHP-CGM @ ")</f>
        <v xml:space="preserve">| 5 L CPT @ | 6 L PHP-CGM @ </v>
      </c>
      <c r="BP328" s="4" t="str">
        <f ca="1">IFERROR(__xludf.DUMMYFUNCTION("""COMPUTED_VALUE"""),"| 5 L JAVA @ | 6 L JAVA @ | 7 L PHP-CGM @ | 8 L CPT @ ")</f>
        <v xml:space="preserve">| 5 L JAVA @ | 6 L JAVA @ | 7 L PHP-CGM @ | 8 L CPT @ </v>
      </c>
      <c r="BQ328" s="4" t="str">
        <f ca="1">IFERROR(__xludf.DUMMYFUNCTION("""COMPUTED_VALUE"""),"| 5 L JAVA @ ")</f>
        <v xml:space="preserve">| 5 L JAVA @ </v>
      </c>
      <c r="BR328" s="4"/>
      <c r="BS328" s="4"/>
      <c r="BT328" s="4" t="str">
        <f ca="1">IFERROR(__xludf.DUMMYFUNCTION("""COMPUTED_VALUE"""),"| 7 L PHP-CGM @ | 8 L CPT @ ")</f>
        <v xml:space="preserve">| 7 L PHP-CGM @ | 8 L CPT @ </v>
      </c>
      <c r="BU328" s="4" t="str">
        <f ca="1">IFERROR(__xludf.DUMMYFUNCTION("""COMPUTED_VALUE"""),"| 8 L NS @ ")</f>
        <v xml:space="preserve">| 8 L NS @ </v>
      </c>
      <c r="BV328" s="4" t="str">
        <f ca="1">IFERROR(__xludf.DUMMYFUNCTION("""COMPUTED_VALUE"""),"| 5 L JAVA % | 6 L NS % | 7 L PHP-CGM % | 8 L CPT % | 9 P Python @ ")</f>
        <v xml:space="preserve">| 5 L JAVA % | 6 L NS % | 7 L PHP-CGM % | 8 L CPT % | 9 P Python @ </v>
      </c>
      <c r="BW328" s="4" t="str">
        <f ca="1">IFERROR(__xludf.DUMMYFUNCTION("""COMPUTED_VALUE"""),"| 9 P Python @ ")</f>
        <v xml:space="preserve">| 9 P Python @ </v>
      </c>
      <c r="BX328" s="4" t="str">
        <f ca="1">IFERROR(__xludf.DUMMYFUNCTION("""COMPUTED_VALUE"""),"| 5 L JAVA @ | 6 L NS @ | 7 L PRO @ | 9 P JAVA @ ")</f>
        <v xml:space="preserve">| 5 L JAVA @ | 6 L NS @ | 7 L PRO @ | 9 P JAVA @ </v>
      </c>
      <c r="BY328" s="4" t="str">
        <f ca="1">IFERROR(__xludf.DUMMYFUNCTION("""COMPUTED_VALUE"""),"| 5 L INE @ | 7 P PHP-CGM @ | 9 P NS @ ")</f>
        <v xml:space="preserve">| 5 L INE @ | 7 P PHP-CGM @ | 9 P NS @ </v>
      </c>
      <c r="BZ328" s="4" t="str">
        <f ca="1">IFERROR(__xludf.DUMMYFUNCTION("""COMPUTED_VALUE"""),"| 5 L CPT @ | 6 L PHP-CGM @ | 7 P CPT @ | 9 P JAVA @ ")</f>
        <v xml:space="preserve">| 5 L CPT @ | 6 L PHP-CGM @ | 7 P CPT @ | 9 P JAVA @ </v>
      </c>
      <c r="CA328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28" s="4" t="str">
        <f ca="1">IFERROR(__xludf.DUMMYFUNCTION("""COMPUTED_VALUE"""),"| 5 L PHP-CGM @ | 6 L CPT @ | 7 L NS @ | 9 P Python @ ")</f>
        <v xml:space="preserve">| 5 L PHP-CGM @ | 6 L CPT @ | 7 L NS @ | 9 P Python @ </v>
      </c>
      <c r="CC328" s="4" t="str">
        <f ca="1">IFERROR(__xludf.DUMMYFUNCTION("""COMPUTED_VALUE"""),"| 5 L JAVA @ | 6 L NS @ | 9 P JAVA @ ")</f>
        <v xml:space="preserve">| 5 L JAVA @ | 6 L NS @ | 9 P JAVA @ </v>
      </c>
      <c r="CD328" s="4" t="str">
        <f ca="1">IFERROR(__xludf.DUMMYFUNCTION("""COMPUTED_VALUE"""),"| 5 L INE % | 7 P PHP-CGM @ | 9 P NS @ ")</f>
        <v xml:space="preserve">| 5 L INE % | 7 P PHP-CGM @ | 9 P NS @ </v>
      </c>
      <c r="CE328" s="4" t="str">
        <f ca="1">IFERROR(__xludf.DUMMYFUNCTION("""COMPUTED_VALUE"""),"| 5 L CPT @ | 6 L PHP-CGM @ | 9 P JAVA @ | 7 P CPT @ ")</f>
        <v xml:space="preserve">| 5 L CPT @ | 6 L PHP-CGM @ | 9 P JAVA @ | 7 P CPT @ </v>
      </c>
      <c r="CF328" s="4" t="str">
        <f ca="1">IFERROR(__xludf.DUMMYFUNCTION("""COMPUTED_VALUE"""),"| 5 L JAVA @ | 6 L NS @ | 7 L PHP-CGM @ | 8 L CPT @ | 9 P Python @ ")</f>
        <v xml:space="preserve">| 5 L JAVA @ | 6 L NS @ | 7 L PHP-CGM @ | 8 L CPT @ | 9 P Python @ </v>
      </c>
      <c r="CG328" s="4" t="str">
        <f ca="1">IFERROR(__xludf.DUMMYFUNCTION("""COMPUTED_VALUE"""),"| 5 L PHP-CGM @ | 6 L CPT @ | 7 L JAVA @ | 8 L NS @ ")</f>
        <v xml:space="preserve">| 5 L PHP-CGM @ | 6 L CPT @ | 7 L JAVA @ | 8 L NS @ </v>
      </c>
      <c r="CH328" s="4" t="str">
        <f ca="1">IFERROR(__xludf.DUMMYFUNCTION("""COMPUTED_VALUE"""),"| 5 L JAVA @ | 6 L NS @ | 9 P JAVA % ")</f>
        <v xml:space="preserve">| 5 L JAVA @ | 6 L NS @ | 9 P JAVA % </v>
      </c>
      <c r="CI328" s="4" t="str">
        <f ca="1">IFERROR(__xludf.DUMMYFUNCTION("""COMPUTED_VALUE"""),"| 5 L INE @ | 7 P PHP-CGM % | 9 P NS % ")</f>
        <v xml:space="preserve">| 5 L INE @ | 7 P PHP-CGM % | 9 P NS % </v>
      </c>
      <c r="CJ328" s="4" t="str">
        <f ca="1">IFERROR(__xludf.DUMMYFUNCTION("""COMPUTED_VALUE"""),"| 5 L CPT @ | 6 L PHP-CGM @ | 7 P CPT % ")</f>
        <v xml:space="preserve">| 5 L CPT @ | 6 L PHP-CGM @ | 7 P CPT % </v>
      </c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</row>
    <row r="329" spans="1:102" ht="12.5" x14ac:dyDescent="0.25">
      <c r="A329" s="3">
        <f ca="1">IFERROR(__xludf.DUMMYFUNCTION("""COMPUTED_VALUE"""),3)</f>
        <v>3</v>
      </c>
      <c r="B329" s="3" t="str">
        <f ca="1">IFERROR(__xludf.DUMMYFUNCTION("""COMPUTED_VALUE"""),"D")</f>
        <v>D</v>
      </c>
      <c r="C329" s="32" t="str">
        <f ca="1">IFERROR(__xludf.DUMMYFUNCTION("""COMPUTED_VALUE"""),"23171341199")</f>
        <v>23171341199</v>
      </c>
      <c r="D329" s="4" t="str">
        <f ca="1">IFERROR(__xludf.DUMMYFUNCTION("""COMPUTED_VALUE"""),"VYAS SHARADKUMAR MUKESHKUMAR")</f>
        <v>VYAS SHARADKUMAR MUKESHKUMAR</v>
      </c>
      <c r="E329" s="3" t="str">
        <f ca="1">IFERROR(__xludf.DUMMYFUNCTION("""COMPUTED_VALUE"""),"ZPP - Eve")</f>
        <v>ZPP - Eve</v>
      </c>
      <c r="F329" s="3">
        <f ca="1">IFERROR(__xludf.DUMMYFUNCTION("""COMPUTED_VALUE"""),9924352417)</f>
        <v>9924352417</v>
      </c>
      <c r="G329" s="3">
        <f ca="1">IFERROR(__xludf.DUMMYFUNCTION("""COMPUTED_VALUE"""),9998352417)</f>
        <v>9998352417</v>
      </c>
      <c r="H329" s="33">
        <f ca="1">IFERROR(__xludf.DUMMYFUNCTION("""COMPUTED_VALUE"""),0.705128205128205)</f>
        <v>0.70512820512820495</v>
      </c>
      <c r="I329" s="25">
        <f ca="1">IFERROR(__xludf.DUMMYFUNCTION("""COMPUTED_VALUE"""),0.685714285714285)</f>
        <v>0.68571428571428505</v>
      </c>
      <c r="J329" s="25">
        <f ca="1">IFERROR(__xludf.DUMMYFUNCTION("""COMPUTED_VALUE"""),0.727272727272727)</f>
        <v>0.72727272727272696</v>
      </c>
      <c r="K329" s="25">
        <f ca="1">IFERROR(__xludf.DUMMYFUNCTION("""COMPUTED_VALUE"""),0.78125)</f>
        <v>0.78125</v>
      </c>
      <c r="L329" s="25">
        <f ca="1">IFERROR(__xludf.DUMMYFUNCTION("""COMPUTED_VALUE"""),0.727272727272727)</f>
        <v>0.72727272727272696</v>
      </c>
      <c r="M329" s="25">
        <f ca="1">IFERROR(__xludf.DUMMYFUNCTION("""COMPUTED_VALUE"""),0.694444444444444)</f>
        <v>0.69444444444444398</v>
      </c>
      <c r="N329" s="25">
        <f ca="1">IFERROR(__xludf.DUMMYFUNCTION("""COMPUTED_VALUE"""),0.583333333333333)</f>
        <v>0.58333333333333304</v>
      </c>
      <c r="O329" s="25">
        <f ca="1">IFERROR(__xludf.DUMMYFUNCTION("""COMPUTED_VALUE"""),0.777777777777777)</f>
        <v>0.77777777777777701</v>
      </c>
      <c r="P329" s="25">
        <f ca="1">IFERROR(__xludf.DUMMYFUNCTION("""COMPUTED_VALUE"""),0.526315789473684)</f>
        <v>0.52631578947368396</v>
      </c>
      <c r="Q329" s="25">
        <f ca="1">IFERROR(__xludf.DUMMYFUNCTION("""COMPUTED_VALUE"""),0)</f>
        <v>0</v>
      </c>
      <c r="R329" s="25">
        <f ca="1">IFERROR(__xludf.DUMMYFUNCTION("""COMPUTED_VALUE"""),0.611111111111111)</f>
        <v>0.61111111111111105</v>
      </c>
      <c r="S329" s="25">
        <f ca="1">IFERROR(__xludf.DUMMYFUNCTION("""COMPUTED_VALUE"""),0.923076923076923)</f>
        <v>0.92307692307692302</v>
      </c>
      <c r="T329" s="25">
        <f ca="1">IFERROR(__xludf.DUMMYFUNCTION("""COMPUTED_VALUE"""),1)</f>
        <v>1</v>
      </c>
      <c r="U329" s="25">
        <f ca="1">IFERROR(__xludf.DUMMYFUNCTION("""COMPUTED_VALUE"""),0.6)</f>
        <v>0.6</v>
      </c>
      <c r="V329" s="25">
        <f ca="1">IFERROR(__xludf.DUMMYFUNCTION("""COMPUTED_VALUE"""),0)</f>
        <v>0</v>
      </c>
      <c r="W329" s="4"/>
      <c r="X329" s="4" t="str">
        <f ca="1">IFERROR(__xludf.DUMMYFUNCTION("""COMPUTED_VALUE"""),"| 5 L JAVA % | 6 L NS % | 7 L PHP-CGM % | 8 L CPT % ")</f>
        <v xml:space="preserve">| 5 L JAVA % | 6 L NS % | 7 L PHP-CGM % | 8 L CPT % </v>
      </c>
      <c r="Y329" s="4" t="str">
        <f ca="1">IFERROR(__xludf.DUMMYFUNCTION("""COMPUTED_VALUE"""),"| 5 L PHP-CGM % | 6 L CPT % | 7 L NS % | 8 L JAVA % ")</f>
        <v xml:space="preserve">| 5 L PHP-CGM % | 6 L CPT % | 7 L NS % | 8 L JAVA % </v>
      </c>
      <c r="Z329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29" s="4" t="str">
        <f ca="1">IFERROR(__xludf.DUMMYFUNCTION("""COMPUTED_VALUE"""),"| 7 P PHP-CGM % | 9 P NS % ")</f>
        <v xml:space="preserve">| 7 P PHP-CGM % | 9 P NS % </v>
      </c>
      <c r="AB329" s="4" t="str">
        <f ca="1">IFERROR(__xludf.DUMMYFUNCTION("""COMPUTED_VALUE"""),"| 5 L JAVA % | 6 L PHP-CGM % | 7 P CPT % | 9 P JAVA @ ")</f>
        <v xml:space="preserve">| 5 L JAVA % | 6 L PHP-CGM % | 7 P CPT % | 9 P JAVA @ </v>
      </c>
      <c r="AC329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29" s="4" t="str">
        <f ca="1">IFERROR(__xludf.DUMMYFUNCTION("""COMPUTED_VALUE"""),"| 5 L PHP-CGM % | 6 L CPT % | 7 L NS % | 8 L JAVA % | 9 P Python % ")</f>
        <v xml:space="preserve">| 5 L PHP-CGM % | 6 L CPT % | 7 L NS % | 8 L JAVA % | 9 P Python % </v>
      </c>
      <c r="AE329" s="4" t="str">
        <f ca="1">IFERROR(__xludf.DUMMYFUNCTION("""COMPUTED_VALUE"""),"| 5 L JAVA @ | 6 L NS @ | 7 L PRO @ | 9 P JAVA @ ")</f>
        <v xml:space="preserve">| 5 L JAVA @ | 6 L NS @ | 7 L PRO @ | 9 P JAVA @ </v>
      </c>
      <c r="AF329" s="4" t="str">
        <f ca="1">IFERROR(__xludf.DUMMYFUNCTION("""COMPUTED_VALUE"""),"| 7 P PHP-CGM % | 9 P NS % ")</f>
        <v xml:space="preserve">| 7 P PHP-CGM % | 9 P NS % </v>
      </c>
      <c r="AG329" s="4" t="str">
        <f ca="1">IFERROR(__xludf.DUMMYFUNCTION("""COMPUTED_VALUE"""),"| 5 L CPT % | 6 L PHP-CGM % | 7 P CPT % | 9 P JAVA % ")</f>
        <v xml:space="preserve">| 5 L CPT % | 6 L PHP-CGM % | 7 P CPT % | 9 P JAVA % </v>
      </c>
      <c r="AH329" s="4" t="str">
        <f ca="1">IFERROR(__xludf.DUMMYFUNCTION("""COMPUTED_VALUE"""),"| 7 P PHP-CGM @ | 9 P NS % ")</f>
        <v xml:space="preserve">| 7 P PHP-CGM @ | 9 P NS % </v>
      </c>
      <c r="AI329" s="4" t="str">
        <f ca="1">IFERROR(__xludf.DUMMYFUNCTION("""COMPUTED_VALUE"""),"| 5 L CPT % | 6 L PHP-CGM % | 7 P CPT % | 9 P JAVA @ ")</f>
        <v xml:space="preserve">| 5 L CPT % | 6 L PHP-CGM % | 7 P CPT % | 9 P JAVA @ </v>
      </c>
      <c r="AJ329" s="4" t="str">
        <f ca="1">IFERROR(__xludf.DUMMYFUNCTION("""COMPUTED_VALUE"""),"| 5 L JAVA % | 6 L NS % | 7 L PHP-CGM @ | 8 L CPT @ ")</f>
        <v xml:space="preserve">| 5 L JAVA % | 6 L NS % | 7 L PHP-CGM @ | 8 L CPT @ </v>
      </c>
      <c r="AK329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29" s="4" t="str">
        <f ca="1">IFERROR(__xludf.DUMMYFUNCTION("""COMPUTED_VALUE"""),"| 6 L NS % | 7 L NS % | 7 L PRO % | 8 L PRO % | 9 P JAVA % ")</f>
        <v xml:space="preserve">| 6 L NS % | 7 L NS % | 7 L PRO % | 8 L PRO % | 9 P JAVA % </v>
      </c>
      <c r="AM329" s="4" t="str">
        <f ca="1">IFERROR(__xludf.DUMMYFUNCTION("""COMPUTED_VALUE"""),"| 5 L INE % | 7 P PHP-CGM % | 9 P NS % ")</f>
        <v xml:space="preserve">| 5 L INE % | 7 P PHP-CGM % | 9 P NS % </v>
      </c>
      <c r="AN329" s="4" t="str">
        <f ca="1">IFERROR(__xludf.DUMMYFUNCTION("""COMPUTED_VALUE"""),"| 5 L CPT % | 6 L PHP-CGM % | 7 P CPT % | 9 P JAVA @ ")</f>
        <v xml:space="preserve">| 5 L CPT % | 6 L PHP-CGM % | 7 P CPT % | 9 P JAVA @ </v>
      </c>
      <c r="AO329" s="4" t="str">
        <f ca="1">IFERROR(__xludf.DUMMYFUNCTION("""COMPUTED_VALUE"""),"| 5 L JAVA % | 5 L NS % | 7 L PHP-CGM @ | 8 L CPT @ | 9 P Python @ ")</f>
        <v xml:space="preserve">| 5 L JAVA % | 5 L NS % | 7 L PHP-CGM @ | 8 L CPT @ | 9 P Python @ </v>
      </c>
      <c r="AP329" s="4" t="str">
        <f ca="1">IFERROR(__xludf.DUMMYFUNCTION("""COMPUTED_VALUE"""),"| 5 L PHP-CGM % | 6 L CPT % | 7 L JAVA % | 7 L NS % | 9 P Python % ")</f>
        <v xml:space="preserve">| 5 L PHP-CGM % | 6 L CPT % | 7 L JAVA % | 7 L NS % | 9 P Python % </v>
      </c>
      <c r="AQ329" s="4" t="str">
        <f ca="1">IFERROR(__xludf.DUMMYFUNCTION("""COMPUTED_VALUE"""),"| 5 L JAVA % | 6 L NS % | 7 L PRO % | 8 L PRO % | 9 P JAVA % ")</f>
        <v xml:space="preserve">| 5 L JAVA % | 6 L NS % | 7 L PRO % | 8 L PRO % | 9 P JAVA % </v>
      </c>
      <c r="AR329" s="4" t="str">
        <f ca="1">IFERROR(__xludf.DUMMYFUNCTION("""COMPUTED_VALUE"""),"| 5 L INE @ ")</f>
        <v xml:space="preserve">| 5 L INE @ </v>
      </c>
      <c r="AS32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AT329" s="4" t="str">
        <f ca="1">IFERROR(__xludf.DUMMYFUNCTION("""COMPUTED_VALUE"""),"| 5 L PHP-CGM % | 6 L CPT % | 7 L JAVA % | 8 L JAVA % | 9 P Python % ")</f>
        <v xml:space="preserve">| 5 L PHP-CGM % | 6 L CPT % | 7 L JAVA % | 8 L JAVA % | 9 P Python % </v>
      </c>
      <c r="AU329" s="4" t="str">
        <f ca="1">IFERROR(__xludf.DUMMYFUNCTION("""COMPUTED_VALUE"""),"| 5 L JAVA % | 6 L NS % | 5 P PRO % | 9 P JAVA % ")</f>
        <v xml:space="preserve">| 5 L JAVA % | 6 L NS % | 5 P PRO % | 9 P JAVA % </v>
      </c>
      <c r="AV329" s="4" t="str">
        <f ca="1">IFERROR(__xludf.DUMMYFUNCTION("""COMPUTED_VALUE"""),"| 5 L INE @ | 7 P PHP-CGM @ | 9 P NS @ ")</f>
        <v xml:space="preserve">| 5 L INE @ | 7 P PHP-CGM @ | 9 P NS @ </v>
      </c>
      <c r="AW329" s="4" t="str">
        <f ca="1">IFERROR(__xludf.DUMMYFUNCTION("""COMPUTED_VALUE"""),"| 5 L CPT @ | 6 L PHP-CGM @ | 7 P CPT @ | 9 P JAVA @ ")</f>
        <v xml:space="preserve">| 5 L CPT @ | 6 L PHP-CGM @ | 7 P CPT @ | 9 P JAVA @ </v>
      </c>
      <c r="AX329" s="4" t="str">
        <f ca="1">IFERROR(__xludf.DUMMYFUNCTION("""COMPUTED_VALUE"""),"| 5 L JAVA % | 6 L JAVA @ | 7 L PHP-CGM @ | 8 L CPT @ | 9 P Python @ ")</f>
        <v xml:space="preserve">| 5 L JAVA % | 6 L JAVA @ | 7 L PHP-CGM @ | 8 L CPT @ | 9 P Python @ </v>
      </c>
      <c r="AY329" s="4" t="str">
        <f ca="1">IFERROR(__xludf.DUMMYFUNCTION("""COMPUTED_VALUE"""),"| 5 L PHP-CGM @ | 6 L CPT @ | 7 L NS @ | 8 L NS @ | 9 P Python @ ")</f>
        <v xml:space="preserve">| 5 L PHP-CGM @ | 6 L CPT @ | 7 L NS @ | 8 L NS @ | 9 P Python @ </v>
      </c>
      <c r="AZ329" s="4" t="str">
        <f ca="1">IFERROR(__xludf.DUMMYFUNCTION("""COMPUTED_VALUE"""),"| 5 L INE @ | 7 P PHP-CGM @ ")</f>
        <v xml:space="preserve">| 5 L INE @ | 7 P PHP-CGM @ </v>
      </c>
      <c r="BA329" s="4" t="str">
        <f ca="1">IFERROR(__xludf.DUMMYFUNCTION("""COMPUTED_VALUE"""),"| 5 L CPT @ | 6 L PHP-CGM @ | 7 P CPT @ ")</f>
        <v xml:space="preserve">| 5 L CPT @ | 6 L PHP-CGM @ | 7 P CPT @ </v>
      </c>
      <c r="BB32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29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29" s="4" t="str">
        <f ca="1">IFERROR(__xludf.DUMMYFUNCTION("""COMPUTED_VALUE"""),"| 5 L JAVA % | 6 L NS % | 7 L PRO % | 8 L PRO % | 9 P JAVA @ ")</f>
        <v xml:space="preserve">| 5 L JAVA % | 6 L NS % | 7 L PRO % | 8 L PRO % | 9 P JAVA @ </v>
      </c>
      <c r="BE329" s="4" t="str">
        <f ca="1">IFERROR(__xludf.DUMMYFUNCTION("""COMPUTED_VALUE"""),"| 5 L INE % | 7 P PHP-CGM % | 9 P NS % ")</f>
        <v xml:space="preserve">| 5 L INE % | 7 P PHP-CGM % | 9 P NS % </v>
      </c>
      <c r="BF329" s="4" t="str">
        <f ca="1">IFERROR(__xludf.DUMMYFUNCTION("""COMPUTED_VALUE"""),"| 5 L CPT % | 6 L PHP-CGM % | 7 P CPT % ")</f>
        <v xml:space="preserve">| 5 L CPT % | 6 L PHP-CGM % | 7 P CPT % </v>
      </c>
      <c r="BG329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29" s="4" t="str">
        <f ca="1">IFERROR(__xludf.DUMMYFUNCTION("""COMPUTED_VALUE"""),"| 5 L JAVA % | 6 L NS % | 7 L PRO % | 9 P JAVA % ")</f>
        <v xml:space="preserve">| 5 L JAVA % | 6 L NS % | 7 L PRO % | 9 P JAVA % </v>
      </c>
      <c r="BI329" s="4" t="str">
        <f ca="1">IFERROR(__xludf.DUMMYFUNCTION("""COMPUTED_VALUE"""),"| 5 L INE % | 7 P PHP-CGM @ | 9 P NS @ ")</f>
        <v xml:space="preserve">| 5 L INE % | 7 P PHP-CGM @ | 9 P NS @ </v>
      </c>
      <c r="BJ329" s="4" t="str">
        <f ca="1">IFERROR(__xludf.DUMMYFUNCTION("""COMPUTED_VALUE"""),"| 5 L CPT % | 6 L PHP-CGM % | 7 P CPT % | 9 P JAVA @ ")</f>
        <v xml:space="preserve">| 5 L CPT % | 6 L PHP-CGM % | 7 P CPT % | 9 P JAVA @ </v>
      </c>
      <c r="BK329" s="4" t="str">
        <f ca="1">IFERROR(__xludf.DUMMYFUNCTION("""COMPUTED_VALUE"""),"| 5 L JAVA @ | 7 L PHP-CGM @ | 8 L CPT @ | 9 P Python @ ")</f>
        <v xml:space="preserve">| 5 L JAVA @ | 7 L PHP-CGM @ | 8 L CPT @ | 9 P Python @ </v>
      </c>
      <c r="BL329" s="4" t="str">
        <f ca="1">IFERROR(__xludf.DUMMYFUNCTION("""COMPUTED_VALUE"""),"| 5 L PHP-CGM % | 6 L CPT % | 8 L NS @ ")</f>
        <v xml:space="preserve">| 5 L PHP-CGM % | 6 L CPT % | 8 L NS @ </v>
      </c>
      <c r="BM329" s="4" t="str">
        <f ca="1">IFERROR(__xludf.DUMMYFUNCTION("""COMPUTED_VALUE"""),"| 5 L JAVA % | 6 L NS % | 7 L PRO % | 8 L PRO % | 9 P JAVA @ ")</f>
        <v xml:space="preserve">| 5 L JAVA % | 6 L NS % | 7 L PRO % | 8 L PRO % | 9 P JAVA @ </v>
      </c>
      <c r="BN329" s="4" t="str">
        <f ca="1">IFERROR(__xludf.DUMMYFUNCTION("""COMPUTED_VALUE"""),"| 5 L INE % | 7 P PHP-CGM % | 9 P NS % ")</f>
        <v xml:space="preserve">| 5 L INE % | 7 P PHP-CGM % | 9 P NS % </v>
      </c>
      <c r="BO329" s="4" t="str">
        <f ca="1">IFERROR(__xludf.DUMMYFUNCTION("""COMPUTED_VALUE"""),"| 5 L CPT % | 6 L PHP-CGM % ")</f>
        <v xml:space="preserve">| 5 L CPT % | 6 L PHP-CGM % </v>
      </c>
      <c r="BP329" s="4" t="str">
        <f ca="1">IFERROR(__xludf.DUMMYFUNCTION("""COMPUTED_VALUE"""),"| 5 L JAVA % | 6 L JAVA % | 7 L PHP-CGM % | 8 L CPT % ")</f>
        <v xml:space="preserve">| 5 L JAVA % | 6 L JAVA % | 7 L PHP-CGM % | 8 L CPT % </v>
      </c>
      <c r="BQ329" s="4" t="str">
        <f ca="1">IFERROR(__xludf.DUMMYFUNCTION("""COMPUTED_VALUE"""),"| 5 L JAVA @ ")</f>
        <v xml:space="preserve">| 5 L JAVA @ </v>
      </c>
      <c r="BR329" s="4"/>
      <c r="BS329" s="4"/>
      <c r="BT329" s="4" t="str">
        <f ca="1">IFERROR(__xludf.DUMMYFUNCTION("""COMPUTED_VALUE"""),"| 7 L PHP-CGM % | 8 L CPT % ")</f>
        <v xml:space="preserve">| 7 L PHP-CGM % | 8 L CPT % </v>
      </c>
      <c r="BU329" s="4" t="str">
        <f ca="1">IFERROR(__xludf.DUMMYFUNCTION("""COMPUTED_VALUE"""),"| 8 L NS @ ")</f>
        <v xml:space="preserve">| 8 L NS @ </v>
      </c>
      <c r="BV329" s="4" t="str">
        <f ca="1">IFERROR(__xludf.DUMMYFUNCTION("""COMPUTED_VALUE"""),"| 5 L JAVA % | 6 L NS % | 7 L PHP-CGM @ | 8 L CPT @ | 9 P Python @ ")</f>
        <v xml:space="preserve">| 5 L JAVA % | 6 L NS % | 7 L PHP-CGM @ | 8 L CPT @ | 9 P Python @ </v>
      </c>
      <c r="BW329" s="4" t="str">
        <f ca="1">IFERROR(__xludf.DUMMYFUNCTION("""COMPUTED_VALUE"""),"| 9 P Python @ ")</f>
        <v xml:space="preserve">| 9 P Python @ </v>
      </c>
      <c r="BX329" s="4" t="str">
        <f ca="1">IFERROR(__xludf.DUMMYFUNCTION("""COMPUTED_VALUE"""),"| 5 L JAVA % | 6 L NS % | 7 L PRO % | 9 P JAVA % ")</f>
        <v xml:space="preserve">| 5 L JAVA % | 6 L NS % | 7 L PRO % | 9 P JAVA % </v>
      </c>
      <c r="BY329" s="4" t="str">
        <f ca="1">IFERROR(__xludf.DUMMYFUNCTION("""COMPUTED_VALUE"""),"| 5 L INE % | 7 P PHP-CGM % | 9 P NS % ")</f>
        <v xml:space="preserve">| 5 L INE % | 7 P PHP-CGM % | 9 P NS % </v>
      </c>
      <c r="BZ329" s="4" t="str">
        <f ca="1">IFERROR(__xludf.DUMMYFUNCTION("""COMPUTED_VALUE"""),"| 5 L CPT @ | 6 L PHP-CGM @ | 7 P CPT @ | 9 P JAVA @ ")</f>
        <v xml:space="preserve">| 5 L CPT @ | 6 L PHP-CGM @ | 7 P CPT @ | 9 P JAVA @ </v>
      </c>
      <c r="CA329" s="4" t="str">
        <f ca="1">IFERROR(__xludf.DUMMYFUNCTION("""COMPUTED_VALUE"""),"| 5 L JAVA @ | 6 L JAVA @ | 7 L PHP-CGM @ | 8 L CPT @ | 9 P Python @ ")</f>
        <v xml:space="preserve">| 5 L JAVA @ | 6 L JAVA @ | 7 L PHP-CGM @ | 8 L CPT @ | 9 P Python @ </v>
      </c>
      <c r="CB329" s="4" t="str">
        <f ca="1">IFERROR(__xludf.DUMMYFUNCTION("""COMPUTED_VALUE"""),"| 5 L PHP-CGM % | 6 L CPT % | 7 L NS % | 9 P Python % ")</f>
        <v xml:space="preserve">| 5 L PHP-CGM % | 6 L CPT % | 7 L NS % | 9 P Python % </v>
      </c>
      <c r="CC329" s="4" t="str">
        <f ca="1">IFERROR(__xludf.DUMMYFUNCTION("""COMPUTED_VALUE"""),"| 5 L JAVA @ | 6 L NS @ | 9 P JAVA % ")</f>
        <v xml:space="preserve">| 5 L JAVA @ | 6 L NS @ | 9 P JAVA % </v>
      </c>
      <c r="CD329" s="4" t="str">
        <f ca="1">IFERROR(__xludf.DUMMYFUNCTION("""COMPUTED_VALUE"""),"| 5 L INE % | 7 P PHP-CGM @ | 9 P NS @ ")</f>
        <v xml:space="preserve">| 5 L INE % | 7 P PHP-CGM @ | 9 P NS @ </v>
      </c>
      <c r="CE329" s="4" t="str">
        <f ca="1">IFERROR(__xludf.DUMMYFUNCTION("""COMPUTED_VALUE"""),"| 5 L CPT % | 6 L PHP-CGM % | 9 P JAVA % | 7 P CPT % ")</f>
        <v xml:space="preserve">| 5 L CPT % | 6 L PHP-CGM % | 9 P JAVA % | 7 P CPT % </v>
      </c>
      <c r="CF329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CG329" s="4" t="str">
        <f ca="1">IFERROR(__xludf.DUMMYFUNCTION("""COMPUTED_VALUE"""),"| 5 L PHP-CGM @ | 6 L CPT @ | 7 L JAVA % | 8 L NS % ")</f>
        <v xml:space="preserve">| 5 L PHP-CGM @ | 6 L CPT @ | 7 L JAVA % | 8 L NS % </v>
      </c>
      <c r="CH329" s="4" t="str">
        <f ca="1">IFERROR(__xludf.DUMMYFUNCTION("""COMPUTED_VALUE"""),"| 5 L JAVA @ | 6 L NS @ | 9 P JAVA % ")</f>
        <v xml:space="preserve">| 5 L JAVA @ | 6 L NS @ | 9 P JAVA % </v>
      </c>
      <c r="CI329" s="4" t="str">
        <f ca="1">IFERROR(__xludf.DUMMYFUNCTION("""COMPUTED_VALUE"""),"| 5 L INE @ | 7 P PHP-CGM % | 9 P NS % ")</f>
        <v xml:space="preserve">| 5 L INE @ | 7 P PHP-CGM % | 9 P NS % </v>
      </c>
      <c r="CJ329" s="4" t="str">
        <f ca="1">IFERROR(__xludf.DUMMYFUNCTION("""COMPUTED_VALUE"""),"| 5 L CPT % | 6 L PHP-CGM % | 7 P CPT % ")</f>
        <v xml:space="preserve">| 5 L CPT % | 6 L PHP-CGM % | 7 P CPT % </v>
      </c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</row>
    <row r="330" spans="1:102" ht="12.5" x14ac:dyDescent="0.25">
      <c r="A330" s="3">
        <f ca="1">IFERROR(__xludf.DUMMYFUNCTION("""COMPUTED_VALUE"""),3)</f>
        <v>3</v>
      </c>
      <c r="B330" s="3" t="str">
        <f ca="1">IFERROR(__xludf.DUMMYFUNCTION("""COMPUTED_VALUE"""),"D")</f>
        <v>D</v>
      </c>
      <c r="C330" s="32" t="str">
        <f ca="1">IFERROR(__xludf.DUMMYFUNCTION("""COMPUTED_VALUE"""),"23171341202")</f>
        <v>23171341202</v>
      </c>
      <c r="D330" s="4" t="str">
        <f ca="1">IFERROR(__xludf.DUMMYFUNCTION("""COMPUTED_VALUE"""),"ZALAVADIYA MANTRA CHANDRESHKUMAR")</f>
        <v>ZALAVADIYA MANTRA CHANDRESHKUMAR</v>
      </c>
      <c r="E330" s="3" t="str">
        <f ca="1">IFERROR(__xludf.DUMMYFUNCTION("""COMPUTED_VALUE"""),"ZPP - Eve")</f>
        <v>ZPP - Eve</v>
      </c>
      <c r="F330" s="3">
        <f ca="1">IFERROR(__xludf.DUMMYFUNCTION("""COMPUTED_VALUE"""),9974214645)</f>
        <v>9974214645</v>
      </c>
      <c r="G330" s="3">
        <f ca="1">IFERROR(__xludf.DUMMYFUNCTION("""COMPUTED_VALUE"""),9925514645)</f>
        <v>9925514645</v>
      </c>
      <c r="H330" s="33">
        <f ca="1">IFERROR(__xludf.DUMMYFUNCTION("""COMPUTED_VALUE"""),0.73076923076923)</f>
        <v>0.73076923076922995</v>
      </c>
      <c r="I330" s="25">
        <f ca="1">IFERROR(__xludf.DUMMYFUNCTION("""COMPUTED_VALUE"""),0.657142857142857)</f>
        <v>0.65714285714285703</v>
      </c>
      <c r="J330" s="25">
        <f ca="1">IFERROR(__xludf.DUMMYFUNCTION("""COMPUTED_VALUE"""),0.636363636363636)</f>
        <v>0.63636363636363602</v>
      </c>
      <c r="K330" s="25">
        <f ca="1">IFERROR(__xludf.DUMMYFUNCTION("""COMPUTED_VALUE"""),0.78125)</f>
        <v>0.78125</v>
      </c>
      <c r="L330" s="25">
        <f ca="1">IFERROR(__xludf.DUMMYFUNCTION("""COMPUTED_VALUE"""),0.727272727272727)</f>
        <v>0.72727272727272696</v>
      </c>
      <c r="M330" s="25">
        <f ca="1">IFERROR(__xludf.DUMMYFUNCTION("""COMPUTED_VALUE"""),0.694444444444444)</f>
        <v>0.69444444444444398</v>
      </c>
      <c r="N330" s="25">
        <f ca="1">IFERROR(__xludf.DUMMYFUNCTION("""COMPUTED_VALUE"""),1)</f>
        <v>1</v>
      </c>
      <c r="O330" s="25">
        <f ca="1">IFERROR(__xludf.DUMMYFUNCTION("""COMPUTED_VALUE"""),0.75)</f>
        <v>0.75</v>
      </c>
      <c r="P330" s="25">
        <f ca="1">IFERROR(__xludf.DUMMYFUNCTION("""COMPUTED_VALUE"""),0.578947368421052)</f>
        <v>0.57894736842105199</v>
      </c>
      <c r="Q330" s="25">
        <f ca="1">IFERROR(__xludf.DUMMYFUNCTION("""COMPUTED_VALUE"""),0)</f>
        <v>0</v>
      </c>
      <c r="R330" s="25">
        <f ca="1">IFERROR(__xludf.DUMMYFUNCTION("""COMPUTED_VALUE"""),0.777777777777777)</f>
        <v>0.77777777777777701</v>
      </c>
      <c r="S330" s="25">
        <f ca="1">IFERROR(__xludf.DUMMYFUNCTION("""COMPUTED_VALUE"""),0.846153846153846)</f>
        <v>0.84615384615384603</v>
      </c>
      <c r="T330" s="25">
        <f ca="1">IFERROR(__xludf.DUMMYFUNCTION("""COMPUTED_VALUE"""),1)</f>
        <v>1</v>
      </c>
      <c r="U330" s="25">
        <f ca="1">IFERROR(__xludf.DUMMYFUNCTION("""COMPUTED_VALUE"""),0.7)</f>
        <v>0.7</v>
      </c>
      <c r="V330" s="25">
        <f ca="1">IFERROR(__xludf.DUMMYFUNCTION("""COMPUTED_VALUE"""),0)</f>
        <v>0</v>
      </c>
      <c r="W330" s="4"/>
      <c r="X330" s="4" t="str">
        <f ca="1">IFERROR(__xludf.DUMMYFUNCTION("""COMPUTED_VALUE"""),"| 5 L JAVA @ | 6 L NS @ | 7 L PHP-CGM @ | 8 L CPT @ ")</f>
        <v xml:space="preserve">| 5 L JAVA @ | 6 L NS @ | 7 L PHP-CGM @ | 8 L CPT @ </v>
      </c>
      <c r="Y330" s="4" t="str">
        <f ca="1">IFERROR(__xludf.DUMMYFUNCTION("""COMPUTED_VALUE"""),"| 5 L PHP-CGM % | 6 L CPT % | 7 L NS % | 8 L JAVA % ")</f>
        <v xml:space="preserve">| 5 L PHP-CGM % | 6 L CPT % | 7 L NS % | 8 L JAVA % </v>
      </c>
      <c r="Z330" s="4" t="str">
        <f ca="1">IFERROR(__xludf.DUMMYFUNCTION("""COMPUTED_VALUE"""),"| 5 L NS % | 6 L JAVA % | 7 L PRO % | 8 L PRO % | 9 P JAVA % ")</f>
        <v xml:space="preserve">| 5 L NS % | 6 L JAVA % | 7 L PRO % | 8 L PRO % | 9 P JAVA % </v>
      </c>
      <c r="AA330" s="4" t="str">
        <f ca="1">IFERROR(__xludf.DUMMYFUNCTION("""COMPUTED_VALUE"""),"| 7 P PHP-CGM % | 9 P NS % ")</f>
        <v xml:space="preserve">| 7 P PHP-CGM % | 9 P NS % </v>
      </c>
      <c r="AB330" s="4" t="str">
        <f ca="1">IFERROR(__xludf.DUMMYFUNCTION("""COMPUTED_VALUE"""),"| 5 L JAVA % | 6 L PHP-CGM % | 7 P CPT @ | 9 P JAVA @ ")</f>
        <v xml:space="preserve">| 5 L JAVA % | 6 L PHP-CGM % | 7 P CPT @ | 9 P JAVA @ </v>
      </c>
      <c r="AC330" s="4" t="str">
        <f ca="1">IFERROR(__xludf.DUMMYFUNCTION("""COMPUTED_VALUE"""),"| 5 L JAVA % | 6 L NS % | 7 L PHP-CGM % | 9 P Python % | 8 L CPT % ")</f>
        <v xml:space="preserve">| 5 L JAVA % | 6 L NS % | 7 L PHP-CGM % | 9 P Python % | 8 L CPT % </v>
      </c>
      <c r="AD330" s="4" t="str">
        <f ca="1">IFERROR(__xludf.DUMMYFUNCTION("""COMPUTED_VALUE"""),"| 5 L PHP-CGM % | 6 L CPT % | 7 L NS % | 8 L JAVA % | 9 P Python @ ")</f>
        <v xml:space="preserve">| 5 L PHP-CGM % | 6 L CPT % | 7 L NS % | 8 L JAVA % | 9 P Python @ </v>
      </c>
      <c r="AE330" s="4" t="str">
        <f ca="1">IFERROR(__xludf.DUMMYFUNCTION("""COMPUTED_VALUE"""),"| 5 L JAVA % | 6 L NS % | 7 L PRO % | 9 P JAVA % ")</f>
        <v xml:space="preserve">| 5 L JAVA % | 6 L NS % | 7 L PRO % | 9 P JAVA % </v>
      </c>
      <c r="AF330" s="4" t="str">
        <f ca="1">IFERROR(__xludf.DUMMYFUNCTION("""COMPUTED_VALUE"""),"| 7 P PHP-CGM % | 9 P NS @ ")</f>
        <v xml:space="preserve">| 7 P PHP-CGM % | 9 P NS @ </v>
      </c>
      <c r="AG330" s="4" t="str">
        <f ca="1">IFERROR(__xludf.DUMMYFUNCTION("""COMPUTED_VALUE"""),"| 5 L CPT % | 6 L PHP-CGM % | 7 P CPT % | 9 P JAVA @ ")</f>
        <v xml:space="preserve">| 5 L CPT % | 6 L PHP-CGM % | 7 P CPT % | 9 P JAVA @ </v>
      </c>
      <c r="AH330" s="4" t="str">
        <f ca="1">IFERROR(__xludf.DUMMYFUNCTION("""COMPUTED_VALUE"""),"| 7 P PHP-CGM % | 9 P NS % ")</f>
        <v xml:space="preserve">| 7 P PHP-CGM % | 9 P NS % </v>
      </c>
      <c r="AI330" s="4" t="str">
        <f ca="1">IFERROR(__xludf.DUMMYFUNCTION("""COMPUTED_VALUE"""),"| 5 L CPT @ | 6 L PHP-CGM @ | 7 P CPT @ | 9 P JAVA @ ")</f>
        <v xml:space="preserve">| 5 L CPT @ | 6 L PHP-CGM @ | 7 P CPT @ | 9 P JAVA @ </v>
      </c>
      <c r="AJ330" s="4" t="str">
        <f ca="1">IFERROR(__xludf.DUMMYFUNCTION("""COMPUTED_VALUE"""),"| 5 L JAVA % | 6 L NS % | 7 L PHP-CGM % | 8 L CPT % ")</f>
        <v xml:space="preserve">| 5 L JAVA % | 6 L NS % | 7 L PHP-CGM % | 8 L CPT % </v>
      </c>
      <c r="AK330" s="4" t="str">
        <f ca="1">IFERROR(__xludf.DUMMYFUNCTION("""COMPUTED_VALUE"""),"| 5 L PHP-CGM % | 6 L CPT % | 8 L JAVA % | 7 L NS % | 9 P Python % ")</f>
        <v xml:space="preserve">| 5 L PHP-CGM % | 6 L CPT % | 8 L JAVA % | 7 L NS % | 9 P Python % </v>
      </c>
      <c r="AL330" s="4" t="str">
        <f ca="1">IFERROR(__xludf.DUMMYFUNCTION("""COMPUTED_VALUE"""),"| 6 L NS % | 7 L NS % | 7 L PRO % | 8 L PRO % | 9 P JAVA % ")</f>
        <v xml:space="preserve">| 6 L NS % | 7 L NS % | 7 L PRO % | 8 L PRO % | 9 P JAVA % </v>
      </c>
      <c r="AM330" s="4" t="str">
        <f ca="1">IFERROR(__xludf.DUMMYFUNCTION("""COMPUTED_VALUE"""),"| 5 L INE @ | 7 P PHP-CGM % | 9 P NS % ")</f>
        <v xml:space="preserve">| 5 L INE @ | 7 P PHP-CGM % | 9 P NS % </v>
      </c>
      <c r="AN330" s="4" t="str">
        <f ca="1">IFERROR(__xludf.DUMMYFUNCTION("""COMPUTED_VALUE"""),"| 5 L CPT @ | 6 L PHP-CGM % | 7 P CPT @ | 9 P JAVA @ ")</f>
        <v xml:space="preserve">| 5 L CPT @ | 6 L PHP-CGM % | 7 P CPT @ | 9 P JAVA @ </v>
      </c>
      <c r="AO330" s="4" t="str">
        <f ca="1">IFERROR(__xludf.DUMMYFUNCTION("""COMPUTED_VALUE"""),"| 5 L JAVA @ | 5 L NS @ | 7 L PHP-CGM @ | 8 L CPT @ | 9 P Python @ ")</f>
        <v xml:space="preserve">| 5 L JAVA @ | 5 L NS @ | 7 L PHP-CGM @ | 8 L CPT @ | 9 P Python @ </v>
      </c>
      <c r="AP330" s="4" t="str">
        <f ca="1">IFERROR(__xludf.DUMMYFUNCTION("""COMPUTED_VALUE"""),"| 5 L PHP-CGM @ | 6 L CPT @ | 7 L JAVA @ | 7 L NS @ | 9 P Python @ ")</f>
        <v xml:space="preserve">| 5 L PHP-CGM @ | 6 L CPT @ | 7 L JAVA @ | 7 L NS @ | 9 P Python @ </v>
      </c>
      <c r="AQ330" s="4" t="str">
        <f ca="1">IFERROR(__xludf.DUMMYFUNCTION("""COMPUTED_VALUE"""),"| 5 L JAVA @ | 6 L NS @ | 7 L PRO @ | 8 L PRO @ | 9 P JAVA @ ")</f>
        <v xml:space="preserve">| 5 L JAVA @ | 6 L NS @ | 7 L PRO @ | 8 L PRO @ | 9 P JAVA @ </v>
      </c>
      <c r="AR330" s="4" t="str">
        <f ca="1">IFERROR(__xludf.DUMMYFUNCTION("""COMPUTED_VALUE"""),"| 5 L INE @ ")</f>
        <v xml:space="preserve">| 5 L INE @ </v>
      </c>
      <c r="AS330" s="4" t="str">
        <f ca="1">IFERROR(__xludf.DUMMYFUNCTION("""COMPUTED_VALUE"""),"| 5 L JAVA % | 6 L NS % | 7 L PHP-CGM @ | 8 L CPT @ | 9 P Python % ")</f>
        <v xml:space="preserve">| 5 L JAVA % | 6 L NS % | 7 L PHP-CGM @ | 8 L CPT @ | 9 P Python % </v>
      </c>
      <c r="AT330" s="4" t="str">
        <f ca="1">IFERROR(__xludf.DUMMYFUNCTION("""COMPUTED_VALUE"""),"| 5 L PHP-CGM @ | 6 L CPT @ | 7 L JAVA @ | 8 L JAVA @ | 9 P Python @ ")</f>
        <v xml:space="preserve">| 5 L PHP-CGM @ | 6 L CPT @ | 7 L JAVA @ | 8 L JAVA @ | 9 P Python @ </v>
      </c>
      <c r="AU330" s="4" t="str">
        <f ca="1">IFERROR(__xludf.DUMMYFUNCTION("""COMPUTED_VALUE"""),"| 5 L JAVA % | 6 L NS % | 5 P PRO % | 9 P JAVA @ ")</f>
        <v xml:space="preserve">| 5 L JAVA % | 6 L NS % | 5 P PRO % | 9 P JAVA @ </v>
      </c>
      <c r="AV330" s="4" t="str">
        <f ca="1">IFERROR(__xludf.DUMMYFUNCTION("""COMPUTED_VALUE"""),"| 5 L INE % | 7 P PHP-CGM % | 9 P NS % ")</f>
        <v xml:space="preserve">| 5 L INE % | 7 P PHP-CGM % | 9 P NS % </v>
      </c>
      <c r="AW330" s="4" t="str">
        <f ca="1">IFERROR(__xludf.DUMMYFUNCTION("""COMPUTED_VALUE"""),"| 5 L CPT % | 6 L PHP-CGM % | 7 P CPT % | 9 P JAVA % ")</f>
        <v xml:space="preserve">| 5 L CPT % | 6 L PHP-CGM % | 7 P CPT % | 9 P JAVA % </v>
      </c>
      <c r="AX330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AY330" s="4" t="str">
        <f ca="1">IFERROR(__xludf.DUMMYFUNCTION("""COMPUTED_VALUE"""),"| 5 L PHP-CGM % | 6 L CPT % | 7 L NS % | 8 L NS % | 9 P Python % ")</f>
        <v xml:space="preserve">| 5 L PHP-CGM % | 6 L CPT % | 7 L NS % | 8 L NS % | 9 P Python % </v>
      </c>
      <c r="AZ330" s="4" t="str">
        <f ca="1">IFERROR(__xludf.DUMMYFUNCTION("""COMPUTED_VALUE"""),"| 5 L INE % | 7 P PHP-CGM % ")</f>
        <v xml:space="preserve">| 5 L INE % | 7 P PHP-CGM % </v>
      </c>
      <c r="BA330" s="4" t="str">
        <f ca="1">IFERROR(__xludf.DUMMYFUNCTION("""COMPUTED_VALUE"""),"| 5 L CPT % | 6 L PHP-CGM % | 7 P CPT % ")</f>
        <v xml:space="preserve">| 5 L CPT % | 6 L PHP-CGM % | 7 P CPT % </v>
      </c>
      <c r="BB330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C330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D330" s="4" t="str">
        <f ca="1">IFERROR(__xludf.DUMMYFUNCTION("""COMPUTED_VALUE"""),"| 5 L JAVA % | 6 L NS % | 7 L PRO % | 8 L PRO % | 9 P JAVA % ")</f>
        <v xml:space="preserve">| 5 L JAVA % | 6 L NS % | 7 L PRO % | 8 L PRO % | 9 P JAVA % </v>
      </c>
      <c r="BE330" s="4" t="str">
        <f ca="1">IFERROR(__xludf.DUMMYFUNCTION("""COMPUTED_VALUE"""),"| 5 L INE % | 7 P PHP-CGM % | 9 P NS % ")</f>
        <v xml:space="preserve">| 5 L INE % | 7 P PHP-CGM % | 9 P NS % </v>
      </c>
      <c r="BF330" s="4" t="str">
        <f ca="1">IFERROR(__xludf.DUMMYFUNCTION("""COMPUTED_VALUE"""),"| 5 L CPT % | 6 L PHP-CGM % | 7 P CPT % ")</f>
        <v xml:space="preserve">| 5 L CPT % | 6 L PHP-CGM % | 7 P CPT % </v>
      </c>
      <c r="BG330" s="4" t="str">
        <f ca="1">IFERROR(__xludf.DUMMYFUNCTION("""COMPUTED_VALUE"""),"| 5 L PHP-CGM % | 6 L CPT % | 7 L JAVA % | 8 L NS % | 9 P Python % ")</f>
        <v xml:space="preserve">| 5 L PHP-CGM % | 6 L CPT % | 7 L JAVA % | 8 L NS % | 9 P Python % </v>
      </c>
      <c r="BH330" s="4" t="str">
        <f ca="1">IFERROR(__xludf.DUMMYFUNCTION("""COMPUTED_VALUE"""),"| 5 L JAVA % | 6 L NS % | 7 L PRO % | 9 P JAVA % ")</f>
        <v xml:space="preserve">| 5 L JAVA % | 6 L NS % | 7 L PRO % | 9 P JAVA % </v>
      </c>
      <c r="BI330" s="4" t="str">
        <f ca="1">IFERROR(__xludf.DUMMYFUNCTION("""COMPUTED_VALUE"""),"| 5 L INE % | 7 P PHP-CGM % | 9 P NS @ ")</f>
        <v xml:space="preserve">| 5 L INE % | 7 P PHP-CGM % | 9 P NS @ </v>
      </c>
      <c r="BJ330" s="4" t="str">
        <f ca="1">IFERROR(__xludf.DUMMYFUNCTION("""COMPUTED_VALUE"""),"| 5 L CPT % | 6 L PHP-CGM % | 7 P CPT % | 9 P JAVA % ")</f>
        <v xml:space="preserve">| 5 L CPT % | 6 L PHP-CGM % | 7 P CPT % | 9 P JAVA % </v>
      </c>
      <c r="BK330" s="4" t="str">
        <f ca="1">IFERROR(__xludf.DUMMYFUNCTION("""COMPUTED_VALUE"""),"| 5 L JAVA % | 7 L PHP-CGM % | 8 L CPT % | 9 P Python % ")</f>
        <v xml:space="preserve">| 5 L JAVA % | 7 L PHP-CGM % | 8 L CPT % | 9 P Python % </v>
      </c>
      <c r="BL330" s="4" t="str">
        <f ca="1">IFERROR(__xludf.DUMMYFUNCTION("""COMPUTED_VALUE"""),"| 5 L PHP-CGM % | 6 L CPT % | 8 L NS % ")</f>
        <v xml:space="preserve">| 5 L PHP-CGM % | 6 L CPT % | 8 L NS % </v>
      </c>
      <c r="BM330" s="4" t="str">
        <f ca="1">IFERROR(__xludf.DUMMYFUNCTION("""COMPUTED_VALUE"""),"| 5 L JAVA % | 6 L NS % | 7 L PRO % | 8 L PRO % | 9 P JAVA % ")</f>
        <v xml:space="preserve">| 5 L JAVA % | 6 L NS % | 7 L PRO % | 8 L PRO % | 9 P JAVA % </v>
      </c>
      <c r="BN330" s="4" t="str">
        <f ca="1">IFERROR(__xludf.DUMMYFUNCTION("""COMPUTED_VALUE"""),"| 5 L INE % | 7 P PHP-CGM % | 9 P NS % ")</f>
        <v xml:space="preserve">| 5 L INE % | 7 P PHP-CGM % | 9 P NS % </v>
      </c>
      <c r="BO330" s="4" t="str">
        <f ca="1">IFERROR(__xludf.DUMMYFUNCTION("""COMPUTED_VALUE"""),"| 5 L CPT % | 6 L PHP-CGM % ")</f>
        <v xml:space="preserve">| 5 L CPT % | 6 L PHP-CGM % </v>
      </c>
      <c r="BP330" s="4" t="str">
        <f ca="1">IFERROR(__xludf.DUMMYFUNCTION("""COMPUTED_VALUE"""),"| 5 L JAVA @ | 6 L JAVA @ | 7 L PHP-CGM @ | 8 L CPT @ ")</f>
        <v xml:space="preserve">| 5 L JAVA @ | 6 L JAVA @ | 7 L PHP-CGM @ | 8 L CPT @ </v>
      </c>
      <c r="BQ330" s="4" t="str">
        <f ca="1">IFERROR(__xludf.DUMMYFUNCTION("""COMPUTED_VALUE"""),"| 5 L JAVA @ ")</f>
        <v xml:space="preserve">| 5 L JAVA @ </v>
      </c>
      <c r="BR330" s="4"/>
      <c r="BS330" s="4"/>
      <c r="BT330" s="4" t="str">
        <f ca="1">IFERROR(__xludf.DUMMYFUNCTION("""COMPUTED_VALUE"""),"| 7 L PHP-CGM @ | 8 L CPT @ ")</f>
        <v xml:space="preserve">| 7 L PHP-CGM @ | 8 L CPT @ </v>
      </c>
      <c r="BU330" s="4" t="str">
        <f ca="1">IFERROR(__xludf.DUMMYFUNCTION("""COMPUTED_VALUE"""),"| 8 L NS @ ")</f>
        <v xml:space="preserve">| 8 L NS @ </v>
      </c>
      <c r="BV330" s="4" t="str">
        <f ca="1">IFERROR(__xludf.DUMMYFUNCTION("""COMPUTED_VALUE"""),"| 5 L JAVA % | 6 L NS % | 7 L PHP-CGM % | 8 L CPT % | 9 P Python % ")</f>
        <v xml:space="preserve">| 5 L JAVA % | 6 L NS % | 7 L PHP-CGM % | 8 L CPT % | 9 P Python % </v>
      </c>
      <c r="BW330" s="4" t="str">
        <f ca="1">IFERROR(__xludf.DUMMYFUNCTION("""COMPUTED_VALUE"""),"| 9 P Python % ")</f>
        <v xml:space="preserve">| 9 P Python % </v>
      </c>
      <c r="BX330" s="4" t="str">
        <f ca="1">IFERROR(__xludf.DUMMYFUNCTION("""COMPUTED_VALUE"""),"| 5 L JAVA % | 6 L NS % | 7 L PRO % | 9 P JAVA % ")</f>
        <v xml:space="preserve">| 5 L JAVA % | 6 L NS % | 7 L PRO % | 9 P JAVA % </v>
      </c>
      <c r="BY330" s="4" t="str">
        <f ca="1">IFERROR(__xludf.DUMMYFUNCTION("""COMPUTED_VALUE"""),"| 5 L INE % | 7 P PHP-CGM % | 9 P NS % ")</f>
        <v xml:space="preserve">| 5 L INE % | 7 P PHP-CGM % | 9 P NS % </v>
      </c>
      <c r="BZ330" s="4" t="str">
        <f ca="1">IFERROR(__xludf.DUMMYFUNCTION("""COMPUTED_VALUE"""),"| 5 L CPT % | 6 L PHP-CGM % | 7 P CPT % | 9 P JAVA % ")</f>
        <v xml:space="preserve">| 5 L CPT % | 6 L PHP-CGM % | 7 P CPT % | 9 P JAVA % </v>
      </c>
      <c r="CA330" s="4" t="str">
        <f ca="1">IFERROR(__xludf.DUMMYFUNCTION("""COMPUTED_VALUE"""),"| 5 L JAVA % | 6 L JAVA % | 7 L PHP-CGM % | 8 L CPT % | 9 P Python % ")</f>
        <v xml:space="preserve">| 5 L JAVA % | 6 L JAVA % | 7 L PHP-CGM % | 8 L CPT % | 9 P Python % </v>
      </c>
      <c r="CB330" s="4" t="str">
        <f ca="1">IFERROR(__xludf.DUMMYFUNCTION("""COMPUTED_VALUE"""),"| 5 L PHP-CGM % | 6 L CPT % | 7 L NS % | 9 P Python % ")</f>
        <v xml:space="preserve">| 5 L PHP-CGM % | 6 L CPT % | 7 L NS % | 9 P Python % </v>
      </c>
      <c r="CC330" s="4" t="str">
        <f ca="1">IFERROR(__xludf.DUMMYFUNCTION("""COMPUTED_VALUE"""),"| 5 L JAVA % | 6 L NS % | 9 P JAVA @ ")</f>
        <v xml:space="preserve">| 5 L JAVA % | 6 L NS % | 9 P JAVA @ </v>
      </c>
      <c r="CD330" s="4" t="str">
        <f ca="1">IFERROR(__xludf.DUMMYFUNCTION("""COMPUTED_VALUE"""),"| 5 L INE % | 7 P PHP-CGM % | 9 P NS % ")</f>
        <v xml:space="preserve">| 5 L INE % | 7 P PHP-CGM % | 9 P NS % </v>
      </c>
      <c r="CE330" s="4" t="str">
        <f ca="1">IFERROR(__xludf.DUMMYFUNCTION("""COMPUTED_VALUE"""),"| 5 L CPT % | 6 L PHP-CGM % | 9 P JAVA @ | 7 P CPT @ ")</f>
        <v xml:space="preserve">| 5 L CPT % | 6 L PHP-CGM % | 9 P JAVA @ | 7 P CPT @ </v>
      </c>
      <c r="CF330" s="4" t="str">
        <f ca="1">IFERROR(__xludf.DUMMYFUNCTION("""COMPUTED_VALUE"""),"| 5 L JAVA % | 6 L NS @ | 7 L PHP-CGM @ | 8 L CPT @ | 9 P Python % ")</f>
        <v xml:space="preserve">| 5 L JAVA % | 6 L NS @ | 7 L PHP-CGM @ | 8 L CPT @ | 9 P Python % </v>
      </c>
      <c r="CG330" s="4" t="str">
        <f ca="1">IFERROR(__xludf.DUMMYFUNCTION("""COMPUTED_VALUE"""),"| 5 L PHP-CGM @ | 6 L CPT @ | 7 L JAVA % | 8 L NS @ ")</f>
        <v xml:space="preserve">| 5 L PHP-CGM @ | 6 L CPT @ | 7 L JAVA % | 8 L NS @ </v>
      </c>
      <c r="CH330" s="4" t="str">
        <f ca="1">IFERROR(__xludf.DUMMYFUNCTION("""COMPUTED_VALUE"""),"| 5 L JAVA % | 6 L NS % | 9 P JAVA % ")</f>
        <v xml:space="preserve">| 5 L JAVA % | 6 L NS % | 9 P JAVA % </v>
      </c>
      <c r="CI330" s="4" t="str">
        <f ca="1">IFERROR(__xludf.DUMMYFUNCTION("""COMPUTED_VALUE"""),"| 5 L INE @ | 7 P PHP-CGM % | 9 P NS @ ")</f>
        <v xml:space="preserve">| 5 L INE @ | 7 P PHP-CGM % | 9 P NS @ </v>
      </c>
      <c r="CJ330" s="4" t="str">
        <f ca="1">IFERROR(__xludf.DUMMYFUNCTION("""COMPUTED_VALUE"""),"| 5 L CPT @ | 6 L PHP-CGM @ | 7 P CPT % ")</f>
        <v xml:space="preserve">| 5 L CPT @ | 6 L PHP-CGM @ | 7 P CPT % </v>
      </c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</row>
    <row r="331" spans="1:102" ht="12.5" x14ac:dyDescent="0.25">
      <c r="A331" s="3">
        <f ca="1">IFERROR(__xludf.DUMMYFUNCTION("""COMPUTED_VALUE"""),1)</f>
        <v>1</v>
      </c>
      <c r="B331" s="3" t="str">
        <f ca="1">IFERROR(__xludf.DUMMYFUNCTION("""COMPUTED_VALUE"""),"ITA")</f>
        <v>ITA</v>
      </c>
      <c r="C331" s="32" t="str">
        <f ca="1">IFERROR(__xludf.DUMMYFUNCTION("""COMPUTED_VALUE"""),"21291371008")</f>
        <v>21291371008</v>
      </c>
      <c r="D331" s="4" t="str">
        <f ca="1">IFERROR(__xludf.DUMMYFUNCTION("""COMPUTED_VALUE"""),"DESAI RUDRA GAJENDRAKUMAR")</f>
        <v>DESAI RUDRA GAJENDRAKUMAR</v>
      </c>
      <c r="E331" s="3" t="str">
        <f ca="1">IFERROR(__xludf.DUMMYFUNCTION("""COMPUTED_VALUE"""),"Sweety - Mor")</f>
        <v>Sweety - Mor</v>
      </c>
      <c r="F331" s="3">
        <f ca="1">IFERROR(__xludf.DUMMYFUNCTION("""COMPUTED_VALUE"""),7016623997)</f>
        <v>7016623997</v>
      </c>
      <c r="G331" s="3">
        <f ca="1">IFERROR(__xludf.DUMMYFUNCTION("""COMPUTED_VALUE"""),9099161360)</f>
        <v>9099161360</v>
      </c>
      <c r="H331" s="33">
        <f ca="1">IFERROR(__xludf.DUMMYFUNCTION("""COMPUTED_VALUE"""),0.331914893617021)</f>
        <v>0.33191489361702098</v>
      </c>
      <c r="I331" s="25">
        <f ca="1">IFERROR(__xludf.DUMMYFUNCTION("""COMPUTED_VALUE"""),0.294117647058823)</f>
        <v>0.29411764705882298</v>
      </c>
      <c r="J331" s="25">
        <f ca="1">IFERROR(__xludf.DUMMYFUNCTION("""COMPUTED_VALUE"""),0)</f>
        <v>0</v>
      </c>
      <c r="K331" s="25">
        <f ca="1">IFERROR(__xludf.DUMMYFUNCTION("""COMPUTED_VALUE"""),0.411764705882352)</f>
        <v>0.41176470588235198</v>
      </c>
      <c r="L331" s="25">
        <f ca="1">IFERROR(__xludf.DUMMYFUNCTION("""COMPUTED_VALUE"""),0.2)</f>
        <v>0.2</v>
      </c>
      <c r="M331" s="25">
        <f ca="1">IFERROR(__xludf.DUMMYFUNCTION("""COMPUTED_VALUE"""),0.611111111111111)</f>
        <v>0.61111111111111105</v>
      </c>
      <c r="N331" s="25">
        <f ca="1">IFERROR(__xludf.DUMMYFUNCTION("""COMPUTED_VALUE"""),0.0909090909090909)</f>
        <v>9.0909090909090898E-2</v>
      </c>
      <c r="O331" s="25">
        <f ca="1">IFERROR(__xludf.DUMMYFUNCTION("""COMPUTED_VALUE"""),0.515151515151515)</f>
        <v>0.51515151515151503</v>
      </c>
      <c r="P331" s="25">
        <f ca="1">IFERROR(__xludf.DUMMYFUNCTION("""COMPUTED_VALUE"""),0.17391304347826)</f>
        <v>0.17391304347826</v>
      </c>
      <c r="Q331" s="25">
        <f ca="1">IFERROR(__xludf.DUMMYFUNCTION("""COMPUTED_VALUE"""),0)</f>
        <v>0</v>
      </c>
      <c r="R331" s="25">
        <f ca="1">IFERROR(__xludf.DUMMYFUNCTION("""COMPUTED_VALUE"""),0.130434782608695)</f>
        <v>0.13043478260869501</v>
      </c>
      <c r="S331" s="25">
        <f ca="1">IFERROR(__xludf.DUMMYFUNCTION("""COMPUTED_VALUE"""),0.5)</f>
        <v>0.5</v>
      </c>
      <c r="T331" s="25">
        <f ca="1">IFERROR(__xludf.DUMMYFUNCTION("""COMPUTED_VALUE"""),0.333333333333333)</f>
        <v>0.33333333333333298</v>
      </c>
      <c r="U331" s="25">
        <f ca="1">IFERROR(__xludf.DUMMYFUNCTION("""COMPUTED_VALUE"""),0.125)</f>
        <v>0.125</v>
      </c>
      <c r="V331" s="25">
        <f ca="1">IFERROR(__xludf.DUMMYFUNCTION("""COMPUTED_VALUE"""),0)</f>
        <v>0</v>
      </c>
      <c r="W331" s="4"/>
      <c r="X331" s="4"/>
      <c r="Y331" s="4"/>
      <c r="Z331" s="4"/>
      <c r="AA331" s="4" t="str">
        <f ca="1">IFERROR(__xludf.DUMMYFUNCTION("""COMPUTED_VALUE"""),"| 5 L NS @ | 6 L CPT @ ")</f>
        <v xml:space="preserve">| 5 L NS @ | 6 L CPT @ </v>
      </c>
      <c r="AB331" s="4" t="str">
        <f ca="1">IFERROR(__xludf.DUMMYFUNCTION("""COMPUTED_VALUE"""),"| 1 P JAVA @ | 3 L CPT @ | 4 L PHP-CGM @ | 5 P Python @ ")</f>
        <v xml:space="preserve">| 1 P JAVA @ | 3 L CPT @ | 4 L PHP-CGM @ | 5 P Python @ </v>
      </c>
      <c r="AC331" s="4" t="str">
        <f ca="1">IFERROR(__xludf.DUMMYFUNCTION("""COMPUTED_VALUE"""),"| 1 P JAVA @ | 3 L PHP-CGM @ | 5 P PRO @ ")</f>
        <v xml:space="preserve">| 1 P JAVA @ | 3 L PHP-CGM @ | 5 P PRO @ </v>
      </c>
      <c r="AD331" s="4" t="str">
        <f ca="1">IFERROR(__xludf.DUMMYFUNCTION("""COMPUTED_VALUE"""),"| 1 L JAVA % | 2 L PHP-CGM % | 3 P Python @ | 6 L NS % | 5 L CPT % ")</f>
        <v xml:space="preserve">| 1 L JAVA % | 2 L PHP-CGM % | 3 P Python @ | 6 L NS % | 5 L CPT % </v>
      </c>
      <c r="AE331" s="4" t="str">
        <f ca="1">IFERROR(__xludf.DUMMYFUNCTION("""COMPUTED_VALUE"""),"| 3 P NS @ | 5 L JAVA % | 6 L NS @ ")</f>
        <v xml:space="preserve">| 3 P NS @ | 5 L JAVA % | 6 L NS @ </v>
      </c>
      <c r="AF331" s="4" t="str">
        <f ca="1">IFERROR(__xludf.DUMMYFUNCTION("""COMPUTED_VALUE"""),"| 1 P PHP-CGM % | 3 P CPT @ | 5 L NS @ | 6 L CPT @ ")</f>
        <v xml:space="preserve">| 1 P PHP-CGM % | 3 P CPT @ | 5 L NS @ | 6 L CPT @ </v>
      </c>
      <c r="AG331" s="4" t="str">
        <f ca="1">IFERROR(__xludf.DUMMYFUNCTION("""COMPUTED_VALUE"""),"| 1 P JAVA @ | 3 L CPT @ | 4 L PHP-CGM @ | 5 P Python @ ")</f>
        <v xml:space="preserve">| 1 P JAVA @ | 3 L CPT @ | 4 L PHP-CGM @ | 5 P Python @ </v>
      </c>
      <c r="AH331" s="4" t="str">
        <f ca="1">IFERROR(__xludf.DUMMYFUNCTION("""COMPUTED_VALUE"""),"| 1 P PHP-CGM @ | 3 P CPT @ | 5 L NS @ | 6 L CPT @ ")</f>
        <v xml:space="preserve">| 1 P PHP-CGM @ | 3 P CPT @ | 5 L NS @ | 6 L CPT @ </v>
      </c>
      <c r="AI331" s="4" t="str">
        <f ca="1">IFERROR(__xludf.DUMMYFUNCTION("""COMPUTED_VALUE"""),"| 1 P JAVA @ | 3 L CPT @ | 4 L PHP-CGM @ | 5 P Python @ ")</f>
        <v xml:space="preserve">| 1 P JAVA @ | 3 L CPT @ | 4 L PHP-CGM @ | 5 P Python @ </v>
      </c>
      <c r="AJ331" s="4" t="str">
        <f ca="1">IFERROR(__xludf.DUMMYFUNCTION("""COMPUTED_VALUE"""),"| 1 P JAVA @ | 3 L PHP-CGM @ | 4 L JAVA @ | 5 P PRO @ ")</f>
        <v xml:space="preserve">| 1 P JAVA @ | 3 L PHP-CGM @ | 4 L JAVA @ | 5 P PRO @ </v>
      </c>
      <c r="AK331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AL331" s="4" t="str">
        <f ca="1">IFERROR(__xludf.DUMMYFUNCTION("""COMPUTED_VALUE"""),"| 3 P NS @ | 5 L JAVA @ | 6 L NS @ ")</f>
        <v xml:space="preserve">| 3 P NS @ | 5 L JAVA @ | 6 L NS @ </v>
      </c>
      <c r="AM331" s="4" t="str">
        <f ca="1">IFERROR(__xludf.DUMMYFUNCTION("""COMPUTED_VALUE"""),"| 1 P PHP-CGM @ | 3 P CPT @ | 5 L NS @ | 6 L CPT @ ")</f>
        <v xml:space="preserve">| 1 P PHP-CGM @ | 3 P CPT @ | 5 L NS @ | 6 L CPT @ </v>
      </c>
      <c r="AN331" s="4" t="str">
        <f ca="1">IFERROR(__xludf.DUMMYFUNCTION("""COMPUTED_VALUE"""),"| 1 P JAVA @ | 4 L PHP-CGM @ | 5 P Python @ ")</f>
        <v xml:space="preserve">| 1 P JAVA @ | 4 L PHP-CGM @ | 5 P Python @ </v>
      </c>
      <c r="AO331" s="4" t="str">
        <f ca="1">IFERROR(__xludf.DUMMYFUNCTION("""COMPUTED_VALUE"""),"| 1 P JAVA @ | 3 L PHP-CGM @ | 4 L JAVA @ | 5 P PRO @ ")</f>
        <v xml:space="preserve">| 1 P JAVA @ | 3 L PHP-CGM @ | 4 L JAVA @ | 5 P PRO @ </v>
      </c>
      <c r="AP331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Q331" s="4" t="str">
        <f ca="1">IFERROR(__xludf.DUMMYFUNCTION("""COMPUTED_VALUE"""),"| 1 L INE @ | 3 P NS @ | 5 L JAVA @ | 6 L NS @ ")</f>
        <v xml:space="preserve">| 1 L INE @ | 3 P NS @ | 5 L JAVA @ | 6 L NS @ </v>
      </c>
      <c r="AR331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31" s="4" t="str">
        <f ca="1">IFERROR(__xludf.DUMMYFUNCTION("""COMPUTED_VALUE"""),"| 1 P JAVA @ | 3 L PHP-CGM % | 4 L JAVA % | 5 P PRO % ")</f>
        <v xml:space="preserve">| 1 P JAVA @ | 3 L PHP-CGM % | 4 L JAVA % | 5 P PRO % </v>
      </c>
      <c r="AT331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AU331" s="4" t="str">
        <f ca="1">IFERROR(__xludf.DUMMYFUNCTION("""COMPUTED_VALUE"""),"| 1 L INE @ | 3 P NS @ | 5 L JAVA @ | 6 L NS @ ")</f>
        <v xml:space="preserve">| 1 L INE @ | 3 P NS @ | 5 L JAVA @ | 6 L NS @ </v>
      </c>
      <c r="AV331" s="4" t="str">
        <f ca="1">IFERROR(__xludf.DUMMYFUNCTION("""COMPUTED_VALUE"""),"| 1 P PHP-CGM @ | 3 P CPT @ | 5 L NS @ | 6 L CPT @ ")</f>
        <v xml:space="preserve">| 1 P PHP-CGM @ | 3 P CPT @ | 5 L NS @ | 6 L CPT @ </v>
      </c>
      <c r="AW331" s="4" t="str">
        <f ca="1">IFERROR(__xludf.DUMMYFUNCTION("""COMPUTED_VALUE"""),"| 1 P JAVA @ | 3 L CPT % | 4 L PHP-CGM % | 5 P Python @ ")</f>
        <v xml:space="preserve">| 1 P JAVA @ | 3 L CPT % | 4 L PHP-CGM % | 5 P Python @ </v>
      </c>
      <c r="AX331" s="4" t="str">
        <f ca="1">IFERROR(__xludf.DUMMYFUNCTION("""COMPUTED_VALUE"""),"| 1 P JAVA @ | 3 L JAVA % | 4 L PHP-CGM % | 5 P PRO % ")</f>
        <v xml:space="preserve">| 1 P JAVA @ | 3 L JAVA % | 4 L PHP-CGM % | 5 P PRO % </v>
      </c>
      <c r="AY331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31" s="4" t="str">
        <f ca="1">IFERROR(__xludf.DUMMYFUNCTION("""COMPUTED_VALUE"""),"| 1 P PHP-CGM @ | 3 P CPT @ | 5 L NS % | 6 L CPT % ")</f>
        <v xml:space="preserve">| 1 P PHP-CGM @ | 3 P CPT @ | 5 L NS % | 6 L CPT % </v>
      </c>
      <c r="BA331" s="4" t="str">
        <f ca="1">IFERROR(__xludf.DUMMYFUNCTION("""COMPUTED_VALUE"""),"| 1 P JAVA @ | 3 L CPT % | 4 L PHP-CGM % | 5 P Python @ ")</f>
        <v xml:space="preserve">| 1 P JAVA @ | 3 L CPT % | 4 L PHP-CGM % | 5 P Python @ </v>
      </c>
      <c r="BB331" s="4" t="str">
        <f ca="1">IFERROR(__xludf.DUMMYFUNCTION("""COMPUTED_VALUE"""),"| 1 P JAVA @ | 3 L PHP-CGM @ | 4 L JAVA @ | 5 L PRO @ ")</f>
        <v xml:space="preserve">| 1 P JAVA @ | 3 L PHP-CGM @ | 4 L JAVA @ | 5 L PRO @ </v>
      </c>
      <c r="BC331" s="4" t="str">
        <f ca="1">IFERROR(__xludf.DUMMYFUNCTION("""COMPUTED_VALUE"""),"| 1 L JAVA % | 2 L PHP-CGM % | 3 P Python @ | 5 L CPT @ | 6 L NS @ ")</f>
        <v xml:space="preserve">| 1 L JAVA % | 2 L PHP-CGM % | 3 P Python @ | 5 L CPT @ | 6 L NS @ </v>
      </c>
      <c r="BD331" s="4" t="str">
        <f ca="1">IFERROR(__xludf.DUMMYFUNCTION("""COMPUTED_VALUE"""),"| 1 L INE @ | 3 P NS @ | 5 L JAVA @ | 6 L NS @ ")</f>
        <v xml:space="preserve">| 1 L INE @ | 3 P NS @ | 5 L JAVA @ | 6 L NS @ </v>
      </c>
      <c r="BE331" s="4" t="str">
        <f ca="1">IFERROR(__xludf.DUMMYFUNCTION("""COMPUTED_VALUE"""),"| 1 P PHP-CGM @ | 3 P CPT @ | 5 L NS % | 6 L CPT @ ")</f>
        <v xml:space="preserve">| 1 P PHP-CGM @ | 3 P CPT @ | 5 L NS % | 6 L CPT @ </v>
      </c>
      <c r="BF331" s="4" t="str">
        <f ca="1">IFERROR(__xludf.DUMMYFUNCTION("""COMPUTED_VALUE"""),"| 1 P JAVA @ | 3 L CPT @ | 4 L PHP-CGM @ | 5 P Python @ ")</f>
        <v xml:space="preserve">| 1 P JAVA @ | 3 L CPT @ | 4 L PHP-CGM @ | 5 P Python @ </v>
      </c>
      <c r="BG331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BH331" s="4" t="str">
        <f ca="1">IFERROR(__xludf.DUMMYFUNCTION("""COMPUTED_VALUE"""),"| 1 L INE @ | 3 P NS @ | 5 L JAVA % | 6 L NS % ")</f>
        <v xml:space="preserve">| 1 L INE @ | 3 P NS @ | 5 L JAVA % | 6 L NS % </v>
      </c>
      <c r="BI331" s="4" t="str">
        <f ca="1">IFERROR(__xludf.DUMMYFUNCTION("""COMPUTED_VALUE"""),"| 1 P PHP-CGM @ | 3 P CPT @ | 5 L NS % | 6 L CPT % ")</f>
        <v xml:space="preserve">| 1 P PHP-CGM @ | 3 P CPT @ | 5 L NS % | 6 L CPT % </v>
      </c>
      <c r="BJ331" s="4" t="str">
        <f ca="1">IFERROR(__xludf.DUMMYFUNCTION("""COMPUTED_VALUE"""),"| 1 P JAVA @ | 3 L CPT % | 4 L PHP-CGM % | 5 P Python @ ")</f>
        <v xml:space="preserve">| 1 P JAVA @ | 3 L CPT % | 4 L PHP-CGM % | 5 P Python @ </v>
      </c>
      <c r="BK331" s="4" t="str">
        <f ca="1">IFERROR(__xludf.DUMMYFUNCTION("""COMPUTED_VALUE"""),"| 1 P JAVA @ | 3 L PHP-CGM @ | 4 L JAVA @ | 5 P PRO @ ")</f>
        <v xml:space="preserve">| 1 P JAVA @ | 3 L PHP-CGM @ | 4 L JAVA @ | 5 P PRO @ </v>
      </c>
      <c r="BL331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1" s="4" t="str">
        <f ca="1">IFERROR(__xludf.DUMMYFUNCTION("""COMPUTED_VALUE"""),"| 1 L INE @ | 3 P NS @ | 5 L JAVA @ | 6 L NS @ ")</f>
        <v xml:space="preserve">| 1 L INE @ | 3 P NS @ | 5 L JAVA @ | 6 L NS @ </v>
      </c>
      <c r="BN331" s="4" t="str">
        <f ca="1">IFERROR(__xludf.DUMMYFUNCTION("""COMPUTED_VALUE"""),"| 1 P PHP-CGM @ | 3 P CPT @ | 5 L NS @ | 6 L CPT @ ")</f>
        <v xml:space="preserve">| 1 P PHP-CGM @ | 3 P CPT @ | 5 L NS @ | 6 L CPT @ </v>
      </c>
      <c r="BO331" s="4" t="str">
        <f ca="1">IFERROR(__xludf.DUMMYFUNCTION("""COMPUTED_VALUE"""),"| 1 P JAVA @ | 4 L PHP-CGM @ | 3 L CPT @ | 5 P Python @ ")</f>
        <v xml:space="preserve">| 1 P JAVA @ | 4 L PHP-CGM @ | 3 L CPT @ | 5 P Python @ </v>
      </c>
      <c r="BP331" s="4" t="str">
        <f ca="1">IFERROR(__xludf.DUMMYFUNCTION("""COMPUTED_VALUE"""),"| 1 P JAVA @ | 3 L PHP-CGM % | 4 L JAVA @ | 5 P PRO @ ")</f>
        <v xml:space="preserve">| 1 P JAVA @ | 3 L PHP-CGM % | 4 L JAVA @ | 5 P PRO @ </v>
      </c>
      <c r="BQ331" s="4" t="str">
        <f ca="1">IFERROR(__xludf.DUMMYFUNCTION("""COMPUTED_VALUE"""),"| 6 L NS % | 5 L JAVA @ ")</f>
        <v xml:space="preserve">| 6 L NS % | 5 L JAVA @ </v>
      </c>
      <c r="BR331" s="4"/>
      <c r="BS331" s="4" t="str">
        <f ca="1">IFERROR(__xludf.DUMMYFUNCTION("""COMPUTED_VALUE"""),"| 4 L PHP-CGM % ")</f>
        <v xml:space="preserve">| 4 L PHP-CGM % </v>
      </c>
      <c r="BT331" s="4" t="str">
        <f ca="1">IFERROR(__xludf.DUMMYFUNCTION("""COMPUTED_VALUE"""),"| 1 P JAVA % | 3 L PHP-CGM % ")</f>
        <v xml:space="preserve">| 1 P JAVA % | 3 L PHP-CGM % </v>
      </c>
      <c r="BU331" s="4" t="str">
        <f ca="1">IFERROR(__xludf.DUMMYFUNCTION("""COMPUTED_VALUE"""),"| 1 L JAVA % | 2 L PHP-CGM % | 3 P Python @ ")</f>
        <v xml:space="preserve">| 1 L JAVA % | 2 L PHP-CGM % | 3 P Python @ </v>
      </c>
      <c r="BV331" s="4" t="str">
        <f ca="1">IFERROR(__xludf.DUMMYFUNCTION("""COMPUTED_VALUE"""),"| 1 P JAVA @ | 3 L PHP-CGM % | 4 L JAVA % | 5 P PRO % ")</f>
        <v xml:space="preserve">| 1 P JAVA @ | 3 L PHP-CGM % | 4 L JAVA % | 5 P PRO % </v>
      </c>
      <c r="BW331" s="4" t="str">
        <f ca="1">IFERROR(__xludf.DUMMYFUNCTION("""COMPUTED_VALUE"""),"| 1 L JAVA % | 2 L PHP-CGM @ | 3 P Python @ ")</f>
        <v xml:space="preserve">| 1 L JAVA % | 2 L PHP-CGM @ | 3 P Python @ </v>
      </c>
      <c r="BX331" s="4" t="str">
        <f ca="1">IFERROR(__xludf.DUMMYFUNCTION("""COMPUTED_VALUE"""),"| 1 L INE @ | 3 P NS @ | 5 L JAVA @ | 6 L NS @ ")</f>
        <v xml:space="preserve">| 1 L INE @ | 3 P NS @ | 5 L JAVA @ | 6 L NS @ </v>
      </c>
      <c r="BY331" s="4" t="str">
        <f ca="1">IFERROR(__xludf.DUMMYFUNCTION("""COMPUTED_VALUE"""),"| 1 P PHP-CGM @ | 3 P CPT @ | 5 L NS % | 6 L CPT @ ")</f>
        <v xml:space="preserve">| 1 P PHP-CGM @ | 3 P CPT @ | 5 L NS % | 6 L CPT @ </v>
      </c>
      <c r="BZ331" s="4" t="str">
        <f ca="1">IFERROR(__xludf.DUMMYFUNCTION("""COMPUTED_VALUE"""),"| 1 P JAVA @ | 3 L CPT @ | 4 L PHP-CGM % | 5 P Python % ")</f>
        <v xml:space="preserve">| 1 P JAVA @ | 3 L CPT @ | 4 L PHP-CGM % | 5 P Python % </v>
      </c>
      <c r="CA331" s="4" t="str">
        <f ca="1">IFERROR(__xludf.DUMMYFUNCTION("""COMPUTED_VALUE"""),"| 1 P JAVA % | 3 L PHP-CGM % | 3 L JAVA % | 5 P PRO @ ")</f>
        <v xml:space="preserve">| 1 P JAVA % | 3 L PHP-CGM % | 3 L JAVA % | 5 P PRO @ </v>
      </c>
      <c r="CB331" s="4" t="str">
        <f ca="1">IFERROR(__xludf.DUMMYFUNCTION("""COMPUTED_VALUE"""),"| 1 L JAVA % | 2 L PHP-CGM % | 3 P Python @ | 6 L NS @ | 5 L CPT @ ")</f>
        <v xml:space="preserve">| 1 L JAVA % | 2 L PHP-CGM % | 3 P Python @ | 6 L NS @ | 5 L CPT @ </v>
      </c>
      <c r="CC331" s="4" t="str">
        <f ca="1">IFERROR(__xludf.DUMMYFUNCTION("""COMPUTED_VALUE"""),"| 1 L INE % | 3 P NS % | 5 L JAVA % | 6 L NS % ")</f>
        <v xml:space="preserve">| 1 L INE % | 3 P NS % | 5 L JAVA % | 6 L NS % </v>
      </c>
      <c r="CD331" s="4" t="str">
        <f ca="1">IFERROR(__xludf.DUMMYFUNCTION("""COMPUTED_VALUE"""),"| 1 P PHP-CGM @ | 3 P CPT @ | 5 L NS @ | 6 L CPT @ ")</f>
        <v xml:space="preserve">| 1 P PHP-CGM @ | 3 P CPT @ | 5 L NS @ | 6 L CPT @ </v>
      </c>
      <c r="CE331" s="4" t="str">
        <f ca="1">IFERROR(__xludf.DUMMYFUNCTION("""COMPUTED_VALUE"""),"| 1 P JAVA % | 3 L CPT @ | 4 L PHP-CGM % | 5 P Python % ")</f>
        <v xml:space="preserve">| 1 P JAVA % | 3 L CPT @ | 4 L PHP-CGM % | 5 P Python % </v>
      </c>
      <c r="CF331" s="4" t="str">
        <f ca="1">IFERROR(__xludf.DUMMYFUNCTION("""COMPUTED_VALUE"""),"| 1 P JAVA % | 4 L JAVA % | 3 L PHP-CGM % | 5 L PRO % ")</f>
        <v xml:space="preserve">| 1 P JAVA % | 4 L JAVA % | 3 L PHP-CGM % | 5 L PRO % </v>
      </c>
      <c r="CG331" s="4" t="str">
        <f ca="1">IFERROR(__xludf.DUMMYFUNCTION("""COMPUTED_VALUE"""),"| 1 L JAVA @ | 2 L PHP-CGM % | 3 P Python @ | 6 L NS % ")</f>
        <v xml:space="preserve">| 1 L JAVA @ | 2 L PHP-CGM % | 3 P Python @ | 6 L NS % </v>
      </c>
      <c r="CH331" s="4" t="str">
        <f ca="1">IFERROR(__xludf.DUMMYFUNCTION("""COMPUTED_VALUE"""),"| 1 L INE @ | 3 P NS % | 5 L JAVA @ | 6 L NS % ")</f>
        <v xml:space="preserve">| 1 L INE @ | 3 P NS % | 5 L JAVA @ | 6 L NS % </v>
      </c>
      <c r="CI331" s="4" t="str">
        <f ca="1">IFERROR(__xludf.DUMMYFUNCTION("""COMPUTED_VALUE"""),"| 3 P CPT @ | 5 L NS @ | 6 L CPT @ ")</f>
        <v xml:space="preserve">| 3 P CPT @ | 5 L NS @ | 6 L CPT @ </v>
      </c>
      <c r="CJ331" s="4" t="str">
        <f ca="1">IFERROR(__xludf.DUMMYFUNCTION("""COMPUTED_VALUE"""),"| 3 L CPT @ ")</f>
        <v xml:space="preserve">| 3 L CPT @ </v>
      </c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</row>
    <row r="332" spans="1:102" ht="12.5" x14ac:dyDescent="0.25">
      <c r="A332" s="3">
        <f ca="1">IFERROR(__xludf.DUMMYFUNCTION("""COMPUTED_VALUE"""),1)</f>
        <v>1</v>
      </c>
      <c r="B332" s="3" t="str">
        <f ca="1">IFERROR(__xludf.DUMMYFUNCTION("""COMPUTED_VALUE"""),"ITA")</f>
        <v>ITA</v>
      </c>
      <c r="C332" s="32" t="str">
        <f ca="1">IFERROR(__xludf.DUMMYFUNCTION("""COMPUTED_VALUE"""),"22291371146")</f>
        <v>22291371146</v>
      </c>
      <c r="D332" s="4" t="str">
        <f ca="1">IFERROR(__xludf.DUMMYFUNCTION("""COMPUTED_VALUE"""),"PATEL ARYA ALPESHBHAI")</f>
        <v>PATEL ARYA ALPESHBHAI</v>
      </c>
      <c r="E332" s="3" t="str">
        <f ca="1">IFERROR(__xludf.DUMMYFUNCTION("""COMPUTED_VALUE"""),"Sweety - Mor")</f>
        <v>Sweety - Mor</v>
      </c>
      <c r="F332" s="3">
        <f ca="1">IFERROR(__xludf.DUMMYFUNCTION("""COMPUTED_VALUE"""),9574862534)</f>
        <v>9574862534</v>
      </c>
      <c r="G332" s="3"/>
      <c r="H332" s="33">
        <f ca="1">IFERROR(__xludf.DUMMYFUNCTION("""COMPUTED_VALUE"""),0.296747967479674)</f>
        <v>0.29674796747967402</v>
      </c>
      <c r="I332" s="25">
        <f ca="1">IFERROR(__xludf.DUMMYFUNCTION("""COMPUTED_VALUE"""),0.171428571428571)</f>
        <v>0.17142857142857101</v>
      </c>
      <c r="J332" s="25">
        <f ca="1">IFERROR(__xludf.DUMMYFUNCTION("""COMPUTED_VALUE"""),0.23076923076923)</f>
        <v>0.23076923076923</v>
      </c>
      <c r="K332" s="25">
        <f ca="1">IFERROR(__xludf.DUMMYFUNCTION("""COMPUTED_VALUE"""),0.333333333333333)</f>
        <v>0.33333333333333298</v>
      </c>
      <c r="L332" s="25">
        <f ca="1">IFERROR(__xludf.DUMMYFUNCTION("""COMPUTED_VALUE"""),0.363636363636363)</f>
        <v>0.36363636363636298</v>
      </c>
      <c r="M332" s="25">
        <f ca="1">IFERROR(__xludf.DUMMYFUNCTION("""COMPUTED_VALUE"""),0.421052631578947)</f>
        <v>0.42105263157894701</v>
      </c>
      <c r="N332" s="25">
        <f ca="1">IFERROR(__xludf.DUMMYFUNCTION("""COMPUTED_VALUE"""),0.181818181818181)</f>
        <v>0.18181818181818099</v>
      </c>
      <c r="O332" s="25">
        <f ca="1">IFERROR(__xludf.DUMMYFUNCTION("""COMPUTED_VALUE"""),0.371428571428571)</f>
        <v>0.371428571428571</v>
      </c>
      <c r="P332" s="25">
        <f ca="1">IFERROR(__xludf.DUMMYFUNCTION("""COMPUTED_VALUE"""),0.260869565217391)</f>
        <v>0.26086956521739102</v>
      </c>
      <c r="Q332" s="25">
        <f ca="1">IFERROR(__xludf.DUMMYFUNCTION("""COMPUTED_VALUE"""),0)</f>
        <v>0</v>
      </c>
      <c r="R332" s="25">
        <f ca="1">IFERROR(__xludf.DUMMYFUNCTION("""COMPUTED_VALUE"""),0.291666666666666)</f>
        <v>0.29166666666666602</v>
      </c>
      <c r="S332" s="25">
        <f ca="1">IFERROR(__xludf.DUMMYFUNCTION("""COMPUTED_VALUE"""),0.333333333333333)</f>
        <v>0.33333333333333298</v>
      </c>
      <c r="T332" s="25">
        <f ca="1">IFERROR(__xludf.DUMMYFUNCTION("""COMPUTED_VALUE"""),0.111111111111111)</f>
        <v>0.11111111111111099</v>
      </c>
      <c r="U332" s="25">
        <f ca="1">IFERROR(__xludf.DUMMYFUNCTION("""COMPUTED_VALUE"""),0.25)</f>
        <v>0.25</v>
      </c>
      <c r="V332" s="25">
        <f ca="1">IFERROR(__xludf.DUMMYFUNCTION("""COMPUTED_VALUE"""),0)</f>
        <v>0</v>
      </c>
      <c r="W332" s="4"/>
      <c r="X332" s="4" t="str">
        <f ca="1">IFERROR(__xludf.DUMMYFUNCTION("""COMPUTED_VALUE"""),"| 3 L PHP-CGM @ | 1 L PRO @ ")</f>
        <v xml:space="preserve">| 3 L PHP-CGM @ | 1 L PRO @ </v>
      </c>
      <c r="Y332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Z332" s="4" t="str">
        <f ca="1">IFERROR(__xludf.DUMMYFUNCTION("""COMPUTED_VALUE"""),"| 3 P NS @ | 5 L JAVA @ | 6 L NS @ ")</f>
        <v xml:space="preserve">| 3 P NS @ | 5 L JAVA @ | 6 L NS @ </v>
      </c>
      <c r="AA332" s="4" t="str">
        <f ca="1">IFERROR(__xludf.DUMMYFUNCTION("""COMPUTED_VALUE"""),"| 3 P CPT @ | 5 L NS @ | 6 L CPT @ ")</f>
        <v xml:space="preserve">| 3 P CPT @ | 5 L NS @ | 6 L CPT @ </v>
      </c>
      <c r="AB332" s="4" t="str">
        <f ca="1">IFERROR(__xludf.DUMMYFUNCTION("""COMPUTED_VALUE"""),"| 1 P JAVA @ | 3 L CPT @ | 4 L PHP-CGM @ | 5 P Python @ ")</f>
        <v xml:space="preserve">| 1 P JAVA @ | 3 L CPT @ | 4 L PHP-CGM @ | 5 P Python @ </v>
      </c>
      <c r="AC332" s="4" t="str">
        <f ca="1">IFERROR(__xludf.DUMMYFUNCTION("""COMPUTED_VALUE"""),"| 1 P JAVA @ | 3 L PHP-CGM @ | 5 P PRO @ ")</f>
        <v xml:space="preserve">| 1 P JAVA @ | 3 L PHP-CGM @ | 5 P PRO @ </v>
      </c>
      <c r="AD332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AE332" s="4" t="str">
        <f ca="1">IFERROR(__xludf.DUMMYFUNCTION("""COMPUTED_VALUE"""),"| 3 P NS @ | 5 L JAVA @ | 6 L NS @ ")</f>
        <v xml:space="preserve">| 3 P NS @ | 5 L JAVA @ | 6 L NS @ </v>
      </c>
      <c r="AF332" s="4" t="str">
        <f ca="1">IFERROR(__xludf.DUMMYFUNCTION("""COMPUTED_VALUE"""),"| 1 P PHP-CGM @ | 3 P CPT @ | 5 L NS @ | 6 L CPT @ ")</f>
        <v xml:space="preserve">| 1 P PHP-CGM @ | 3 P CPT @ | 5 L NS @ | 6 L CPT @ </v>
      </c>
      <c r="AG332" s="4" t="str">
        <f ca="1">IFERROR(__xludf.DUMMYFUNCTION("""COMPUTED_VALUE"""),"| 1 P JAVA @ | 3 L CPT @ | 4 L PHP-CGM @ | 5 P Python @ ")</f>
        <v xml:space="preserve">| 1 P JAVA @ | 3 L CPT @ | 4 L PHP-CGM @ | 5 P Python @ </v>
      </c>
      <c r="AH332" s="4" t="str">
        <f ca="1">IFERROR(__xludf.DUMMYFUNCTION("""COMPUTED_VALUE"""),"| 1 P PHP-CGM @ | 3 P CPT @ | 5 L NS @ | 6 L CPT @ ")</f>
        <v xml:space="preserve">| 1 P PHP-CGM @ | 3 P CPT @ | 5 L NS @ | 6 L CPT @ </v>
      </c>
      <c r="AI332" s="4" t="str">
        <f ca="1">IFERROR(__xludf.DUMMYFUNCTION("""COMPUTED_VALUE"""),"| 1 P JAVA @ | 3 L CPT @ | 4 L PHP-CGM @ | 5 P Python @ ")</f>
        <v xml:space="preserve">| 1 P JAVA @ | 3 L CPT @ | 4 L PHP-CGM @ | 5 P Python @ </v>
      </c>
      <c r="AJ332" s="4" t="str">
        <f ca="1">IFERROR(__xludf.DUMMYFUNCTION("""COMPUTED_VALUE"""),"| 1 P JAVA @ | 3 L PHP-CGM % | 4 L JAVA % | 5 P PRO @ ")</f>
        <v xml:space="preserve">| 1 P JAVA @ | 3 L PHP-CGM % | 4 L JAVA % | 5 P PRO @ </v>
      </c>
      <c r="AK332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L332" s="4" t="str">
        <f ca="1">IFERROR(__xludf.DUMMYFUNCTION("""COMPUTED_VALUE"""),"| 3 P NS @ | 5 L JAVA @ | 6 L NS @ ")</f>
        <v xml:space="preserve">| 3 P NS @ | 5 L JAVA @ | 6 L NS @ </v>
      </c>
      <c r="AM332" s="4" t="str">
        <f ca="1">IFERROR(__xludf.DUMMYFUNCTION("""COMPUTED_VALUE"""),"| 1 P PHP-CGM @ | 3 P CPT @ | 5 L NS @ | 6 L CPT @ ")</f>
        <v xml:space="preserve">| 1 P PHP-CGM @ | 3 P CPT @ | 5 L NS @ | 6 L CPT @ </v>
      </c>
      <c r="AN332" s="4" t="str">
        <f ca="1">IFERROR(__xludf.DUMMYFUNCTION("""COMPUTED_VALUE"""),"| 1 P JAVA @ | 4 L PHP-CGM @ | 5 P Python @ ")</f>
        <v xml:space="preserve">| 1 P JAVA @ | 4 L PHP-CGM @ | 5 P Python @ </v>
      </c>
      <c r="AO332" s="4" t="str">
        <f ca="1">IFERROR(__xludf.DUMMYFUNCTION("""COMPUTED_VALUE"""),"| 1 P JAVA @ | 3 L PHP-CGM % | 4 L JAVA % | 5 P PRO @ ")</f>
        <v xml:space="preserve">| 1 P JAVA @ | 3 L PHP-CGM % | 4 L JAVA % | 5 P PRO @ </v>
      </c>
      <c r="AP332" s="4" t="str">
        <f ca="1">IFERROR(__xludf.DUMMYFUNCTION("""COMPUTED_VALUE"""),"| 1 L JAVA @ | 2 L PHP-CGM @ | 3 P Python @ | 5 L CPT % | 6 L NS % ")</f>
        <v xml:space="preserve">| 1 L JAVA @ | 2 L PHP-CGM @ | 3 P Python @ | 5 L CPT % | 6 L NS % </v>
      </c>
      <c r="AQ332" s="4" t="str">
        <f ca="1">IFERROR(__xludf.DUMMYFUNCTION("""COMPUTED_VALUE"""),"| 1 L INE @ | 3 P NS % | 5 L JAVA % | 6 L NS % ")</f>
        <v xml:space="preserve">| 1 L INE @ | 3 P NS % | 5 L JAVA % | 6 L NS % </v>
      </c>
      <c r="AR332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32" s="4" t="str">
        <f ca="1">IFERROR(__xludf.DUMMYFUNCTION("""COMPUTED_VALUE"""),"| 1 P JAVA % | 3 L PHP-CGM % | 4 L JAVA @ | 5 P PRO @ ")</f>
        <v xml:space="preserve">| 1 P JAVA % | 3 L PHP-CGM % | 4 L JAVA @ | 5 P PRO @ </v>
      </c>
      <c r="AT33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32" s="4" t="str">
        <f ca="1">IFERROR(__xludf.DUMMYFUNCTION("""COMPUTED_VALUE"""),"| 1 L INE @ | 3 P NS % | 5 L JAVA % | 6 L NS % ")</f>
        <v xml:space="preserve">| 1 L INE @ | 3 P NS % | 5 L JAVA % | 6 L NS % </v>
      </c>
      <c r="AV332" s="4" t="str">
        <f ca="1">IFERROR(__xludf.DUMMYFUNCTION("""COMPUTED_VALUE"""),"| 1 P PHP-CGM % | 3 P CPT % | 5 L NS @ | 6 L CPT @ ")</f>
        <v xml:space="preserve">| 1 P PHP-CGM % | 3 P CPT % | 5 L NS @ | 6 L CPT @ </v>
      </c>
      <c r="AW332" s="4" t="str">
        <f ca="1">IFERROR(__xludf.DUMMYFUNCTION("""COMPUTED_VALUE"""),"| 1 P JAVA @ | 3 L CPT % | 4 L PHP-CGM % | 5 P Python @ ")</f>
        <v xml:space="preserve">| 1 P JAVA @ | 3 L CPT % | 4 L PHP-CGM % | 5 P Python @ </v>
      </c>
      <c r="AX332" s="4" t="str">
        <f ca="1">IFERROR(__xludf.DUMMYFUNCTION("""COMPUTED_VALUE"""),"| 1 P JAVA % | 3 L JAVA % | 4 L PHP-CGM % | 5 P PRO % ")</f>
        <v xml:space="preserve">| 1 P JAVA % | 3 L JAVA % | 4 L PHP-CGM % | 5 P PRO % </v>
      </c>
      <c r="AY332" s="4" t="str">
        <f ca="1">IFERROR(__xludf.DUMMYFUNCTION("""COMPUTED_VALUE"""),"| 2 L PHP-CGM @ | 3 P Python % | 5 L CPT @ | 6 L NS % | 1 L JAVA @ ")</f>
        <v xml:space="preserve">| 2 L PHP-CGM @ | 3 P Python % | 5 L CPT @ | 6 L NS % | 1 L JAVA @ </v>
      </c>
      <c r="AZ332" s="4" t="str">
        <f ca="1">IFERROR(__xludf.DUMMYFUNCTION("""COMPUTED_VALUE"""),"| 1 P PHP-CGM % | 3 P CPT @ | 5 L NS % | 6 L CPT @ ")</f>
        <v xml:space="preserve">| 1 P PHP-CGM % | 3 P CPT @ | 5 L NS % | 6 L CPT @ </v>
      </c>
      <c r="BA332" s="4" t="str">
        <f ca="1">IFERROR(__xludf.DUMMYFUNCTION("""COMPUTED_VALUE"""),"| 1 P JAVA % | 3 L CPT % | 4 L PHP-CGM % | 5 P Python @ ")</f>
        <v xml:space="preserve">| 1 P JAVA % | 3 L CPT % | 4 L PHP-CGM % | 5 P Python @ </v>
      </c>
      <c r="BB332" s="4" t="str">
        <f ca="1">IFERROR(__xludf.DUMMYFUNCTION("""COMPUTED_VALUE"""),"| 1 P JAVA @ | 3 L PHP-CGM % | 4 L JAVA % | 5 L PRO @ ")</f>
        <v xml:space="preserve">| 1 P JAVA @ | 3 L PHP-CGM % | 4 L JAVA % | 5 L PRO @ </v>
      </c>
      <c r="BC33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32" s="4" t="str">
        <f ca="1">IFERROR(__xludf.DUMMYFUNCTION("""COMPUTED_VALUE"""),"| 1 L INE @ | 3 P NS @ | 5 L JAVA @ | 6 L NS @ ")</f>
        <v xml:space="preserve">| 1 L INE @ | 3 P NS @ | 5 L JAVA @ | 6 L NS @ </v>
      </c>
      <c r="BE332" s="4" t="str">
        <f ca="1">IFERROR(__xludf.DUMMYFUNCTION("""COMPUTED_VALUE"""),"| 1 P PHP-CGM @ | 3 P CPT @ | 5 L NS @ | 6 L CPT @ ")</f>
        <v xml:space="preserve">| 1 P PHP-CGM @ | 3 P CPT @ | 5 L NS @ | 6 L CPT @ </v>
      </c>
      <c r="BF332" s="4" t="str">
        <f ca="1">IFERROR(__xludf.DUMMYFUNCTION("""COMPUTED_VALUE"""),"| 1 P JAVA @ | 3 L CPT @ | 4 L PHP-CGM @ | 5 P Python @ ")</f>
        <v xml:space="preserve">| 1 P JAVA @ | 3 L CPT @ | 4 L PHP-CGM @ | 5 P Python @ </v>
      </c>
      <c r="BG332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H332" s="4" t="str">
        <f ca="1">IFERROR(__xludf.DUMMYFUNCTION("""COMPUTED_VALUE"""),"| 1 L INE @ | 3 P NS @ | 5 L JAVA @ | 6 L NS @ ")</f>
        <v xml:space="preserve">| 1 L INE @ | 3 P NS @ | 5 L JAVA @ | 6 L NS @ </v>
      </c>
      <c r="BI332" s="4" t="str">
        <f ca="1">IFERROR(__xludf.DUMMYFUNCTION("""COMPUTED_VALUE"""),"| 1 P PHP-CGM @ | 3 P CPT @ | 5 L NS @ | 6 L CPT @ ")</f>
        <v xml:space="preserve">| 1 P PHP-CGM @ | 3 P CPT @ | 5 L NS @ | 6 L CPT @ </v>
      </c>
      <c r="BJ332" s="4" t="str">
        <f ca="1">IFERROR(__xludf.DUMMYFUNCTION("""COMPUTED_VALUE"""),"| 1 P JAVA @ | 3 L CPT @ | 4 L PHP-CGM @ | 5 P Python @ ")</f>
        <v xml:space="preserve">| 1 P JAVA @ | 3 L CPT @ | 4 L PHP-CGM @ | 5 P Python @ </v>
      </c>
      <c r="BK332" s="4" t="str">
        <f ca="1">IFERROR(__xludf.DUMMYFUNCTION("""COMPUTED_VALUE"""),"| 1 P JAVA @ | 3 L PHP-CGM @ | 4 L JAVA @ | 5 P PRO @ ")</f>
        <v xml:space="preserve">| 1 P JAVA @ | 3 L PHP-CGM @ | 4 L JAVA @ | 5 P PRO @ </v>
      </c>
      <c r="BL332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2" s="4" t="str">
        <f ca="1">IFERROR(__xludf.DUMMYFUNCTION("""COMPUTED_VALUE"""),"| 1 L INE @ | 3 P NS @ | 5 L JAVA @ | 6 L NS @ ")</f>
        <v xml:space="preserve">| 1 L INE @ | 3 P NS @ | 5 L JAVA @ | 6 L NS @ </v>
      </c>
      <c r="BN332" s="4" t="str">
        <f ca="1">IFERROR(__xludf.DUMMYFUNCTION("""COMPUTED_VALUE"""),"| 1 P PHP-CGM @ | 3 P CPT @ | 5 L NS @ | 6 L CPT @ ")</f>
        <v xml:space="preserve">| 1 P PHP-CGM @ | 3 P CPT @ | 5 L NS @ | 6 L CPT @ </v>
      </c>
      <c r="BO332" s="4" t="str">
        <f ca="1">IFERROR(__xludf.DUMMYFUNCTION("""COMPUTED_VALUE"""),"| 1 P JAVA @ | 4 L PHP-CGM @ | 3 L CPT @ | 5 P Python @ ")</f>
        <v xml:space="preserve">| 1 P JAVA @ | 4 L PHP-CGM @ | 3 L CPT @ | 5 P Python @ </v>
      </c>
      <c r="BP332" s="4" t="str">
        <f ca="1">IFERROR(__xludf.DUMMYFUNCTION("""COMPUTED_VALUE"""),"| 1 P JAVA @ | 3 L PHP-CGM @ | 4 L JAVA @ | 5 P PRO @ ")</f>
        <v xml:space="preserve">| 1 P JAVA @ | 3 L PHP-CGM @ | 4 L JAVA @ | 5 P PRO @ </v>
      </c>
      <c r="BQ332" s="4" t="str">
        <f ca="1">IFERROR(__xludf.DUMMYFUNCTION("""COMPUTED_VALUE"""),"| 6 L NS % | 5 L JAVA @ ")</f>
        <v xml:space="preserve">| 6 L NS % | 5 L JAVA @ </v>
      </c>
      <c r="BR332" s="4"/>
      <c r="BS332" s="4" t="str">
        <f ca="1">IFERROR(__xludf.DUMMYFUNCTION("""COMPUTED_VALUE"""),"| 4 L PHP-CGM % ")</f>
        <v xml:space="preserve">| 4 L PHP-CGM % </v>
      </c>
      <c r="BT332" s="4" t="str">
        <f ca="1">IFERROR(__xludf.DUMMYFUNCTION("""COMPUTED_VALUE"""),"| 1 P JAVA @ | 3 L PHP-CGM @ ")</f>
        <v xml:space="preserve">| 1 P JAVA @ | 3 L PHP-CGM @ </v>
      </c>
      <c r="BU332" s="4" t="str">
        <f ca="1">IFERROR(__xludf.DUMMYFUNCTION("""COMPUTED_VALUE"""),"| 1 L JAVA @ | 2 L PHP-CGM % | 3 P Python @ ")</f>
        <v xml:space="preserve">| 1 L JAVA @ | 2 L PHP-CGM % | 3 P Python @ </v>
      </c>
      <c r="BV332" s="4" t="str">
        <f ca="1">IFERROR(__xludf.DUMMYFUNCTION("""COMPUTED_VALUE"""),"| 1 P JAVA @ | 3 L PHP-CGM @ | 4 L JAVA @ | 5 P PRO @ ")</f>
        <v xml:space="preserve">| 1 P JAVA @ | 3 L PHP-CGM @ | 4 L JAVA @ | 5 P PRO @ </v>
      </c>
      <c r="BW332" s="4" t="str">
        <f ca="1">IFERROR(__xludf.DUMMYFUNCTION("""COMPUTED_VALUE"""),"| 1 L JAVA % | 2 L PHP-CGM % | 3 P Python @ ")</f>
        <v xml:space="preserve">| 1 L JAVA % | 2 L PHP-CGM % | 3 P Python @ </v>
      </c>
      <c r="BX332" s="4" t="str">
        <f ca="1">IFERROR(__xludf.DUMMYFUNCTION("""COMPUTED_VALUE"""),"| 1 L INE @ | 3 P NS @ | 5 L JAVA @ | 6 L NS @ ")</f>
        <v xml:space="preserve">| 1 L INE @ | 3 P NS @ | 5 L JAVA @ | 6 L NS @ </v>
      </c>
      <c r="BY332" s="4" t="str">
        <f ca="1">IFERROR(__xludf.DUMMYFUNCTION("""COMPUTED_VALUE"""),"| 1 P PHP-CGM @ | 3 P CPT @ | 5 L NS % | 6 L CPT @ ")</f>
        <v xml:space="preserve">| 1 P PHP-CGM @ | 3 P CPT @ | 5 L NS % | 6 L CPT @ </v>
      </c>
      <c r="BZ332" s="4" t="str">
        <f ca="1">IFERROR(__xludf.DUMMYFUNCTION("""COMPUTED_VALUE"""),"| 1 P JAVA % | 3 L CPT @ | 4 L PHP-CGM @ | 5 P Python % ")</f>
        <v xml:space="preserve">| 1 P JAVA % | 3 L CPT @ | 4 L PHP-CGM @ | 5 P Python % </v>
      </c>
      <c r="CA332" s="4" t="str">
        <f ca="1">IFERROR(__xludf.DUMMYFUNCTION("""COMPUTED_VALUE"""),"| 1 P JAVA % | 3 L PHP-CGM @ | 3 L JAVA @ | 5 P PRO @ ")</f>
        <v xml:space="preserve">| 1 P JAVA % | 3 L PHP-CGM @ | 3 L JAVA @ | 5 P PRO @ </v>
      </c>
      <c r="CB332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CC332" s="4" t="str">
        <f ca="1">IFERROR(__xludf.DUMMYFUNCTION("""COMPUTED_VALUE"""),"| 1 L INE % | 3 P NS % | 5 L JAVA % | 6 L NS % ")</f>
        <v xml:space="preserve">| 1 L INE % | 3 P NS % | 5 L JAVA % | 6 L NS % </v>
      </c>
      <c r="CD332" s="4" t="str">
        <f ca="1">IFERROR(__xludf.DUMMYFUNCTION("""COMPUTED_VALUE"""),"| 1 P PHP-CGM @ | 3 P CPT % | 5 L NS % | 6 L CPT @ ")</f>
        <v xml:space="preserve">| 1 P PHP-CGM @ | 3 P CPT % | 5 L NS % | 6 L CPT @ </v>
      </c>
      <c r="CE332" s="4" t="str">
        <f ca="1">IFERROR(__xludf.DUMMYFUNCTION("""COMPUTED_VALUE"""),"| 1 P JAVA @ | 3 L CPT % | 4 L PHP-CGM % | 5 P Python % ")</f>
        <v xml:space="preserve">| 1 P JAVA @ | 3 L CPT % | 4 L PHP-CGM % | 5 P Python % </v>
      </c>
      <c r="CF332" s="4" t="str">
        <f ca="1">IFERROR(__xludf.DUMMYFUNCTION("""COMPUTED_VALUE"""),"| 1 P JAVA % | 4 L JAVA % | 3 L PHP-CGM % | 5 L PRO % ")</f>
        <v xml:space="preserve">| 1 P JAVA % | 4 L JAVA % | 3 L PHP-CGM % | 5 L PRO % </v>
      </c>
      <c r="CG332" s="4" t="str">
        <f ca="1">IFERROR(__xludf.DUMMYFUNCTION("""COMPUTED_VALUE"""),"| 1 L JAVA % | 2 L PHP-CGM % | 3 P Python % | 6 L NS @ ")</f>
        <v xml:space="preserve">| 1 L JAVA % | 2 L PHP-CGM % | 3 P Python % | 6 L NS @ </v>
      </c>
      <c r="CH332" s="4" t="str">
        <f ca="1">IFERROR(__xludf.DUMMYFUNCTION("""COMPUTED_VALUE"""),"| 1 L INE % | 3 P NS % | 5 L JAVA @ | 6 L NS % ")</f>
        <v xml:space="preserve">| 1 L INE % | 3 P NS % | 5 L JAVA @ | 6 L NS % </v>
      </c>
      <c r="CI332" s="4" t="str">
        <f ca="1">IFERROR(__xludf.DUMMYFUNCTION("""COMPUTED_VALUE"""),"| 3 P CPT % | 5 L NS @ | 6 L CPT @ ")</f>
        <v xml:space="preserve">| 3 P CPT % | 5 L NS @ | 6 L CPT @ </v>
      </c>
      <c r="CJ332" s="4" t="str">
        <f ca="1">IFERROR(__xludf.DUMMYFUNCTION("""COMPUTED_VALUE"""),"| 3 L CPT @ ")</f>
        <v xml:space="preserve">| 3 L CPT @ </v>
      </c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</row>
    <row r="333" spans="1:102" ht="12.5" x14ac:dyDescent="0.25">
      <c r="A333" s="3">
        <f ca="1">IFERROR(__xludf.DUMMYFUNCTION("""COMPUTED_VALUE"""),1)</f>
        <v>1</v>
      </c>
      <c r="B333" s="3" t="str">
        <f ca="1">IFERROR(__xludf.DUMMYFUNCTION("""COMPUTED_VALUE"""),"ITA")</f>
        <v>ITA</v>
      </c>
      <c r="C333" s="32" t="str">
        <f ca="1">IFERROR(__xludf.DUMMYFUNCTION("""COMPUTED_VALUE"""),"22291371005")</f>
        <v>22291371005</v>
      </c>
      <c r="D333" s="4" t="str">
        <f ca="1">IFERROR(__xludf.DUMMYFUNCTION("""COMPUTED_VALUE"""),"BIND VED SURAJKUMAR")</f>
        <v>BIND VED SURAJKUMAR</v>
      </c>
      <c r="E333" s="3" t="str">
        <f ca="1">IFERROR(__xludf.DUMMYFUNCTION("""COMPUTED_VALUE"""),"Sweety - Mor")</f>
        <v>Sweety - Mor</v>
      </c>
      <c r="F333" s="3">
        <f ca="1">IFERROR(__xludf.DUMMYFUNCTION("""COMPUTED_VALUE"""),9365466048)</f>
        <v>9365466048</v>
      </c>
      <c r="G333" s="3">
        <f ca="1">IFERROR(__xludf.DUMMYFUNCTION("""COMPUTED_VALUE"""),7984502694)</f>
        <v>7984502694</v>
      </c>
      <c r="H333" s="33">
        <f ca="1">IFERROR(__xludf.DUMMYFUNCTION("""COMPUTED_VALUE"""),0.629032258064516)</f>
        <v>0.62903225806451601</v>
      </c>
      <c r="I333" s="25">
        <f ca="1">IFERROR(__xludf.DUMMYFUNCTION("""COMPUTED_VALUE"""),0.6)</f>
        <v>0.6</v>
      </c>
      <c r="J333" s="25">
        <f ca="1">IFERROR(__xludf.DUMMYFUNCTION("""COMPUTED_VALUE"""),0.384615384615384)</f>
        <v>0.38461538461538403</v>
      </c>
      <c r="K333" s="25">
        <f ca="1">IFERROR(__xludf.DUMMYFUNCTION("""COMPUTED_VALUE"""),0.694444444444444)</f>
        <v>0.69444444444444398</v>
      </c>
      <c r="L333" s="25">
        <f ca="1">IFERROR(__xludf.DUMMYFUNCTION("""COMPUTED_VALUE"""),0.909090909090909)</f>
        <v>0.90909090909090895</v>
      </c>
      <c r="M333" s="25">
        <f ca="1">IFERROR(__xludf.DUMMYFUNCTION("""COMPUTED_VALUE"""),0.684210526315789)</f>
        <v>0.68421052631578905</v>
      </c>
      <c r="N333" s="25">
        <f ca="1">IFERROR(__xludf.DUMMYFUNCTION("""COMPUTED_VALUE"""),0.818181818181818)</f>
        <v>0.81818181818181801</v>
      </c>
      <c r="O333" s="25">
        <f ca="1">IFERROR(__xludf.DUMMYFUNCTION("""COMPUTED_VALUE"""),0.722222222222222)</f>
        <v>0.72222222222222199</v>
      </c>
      <c r="P333" s="25">
        <f ca="1">IFERROR(__xludf.DUMMYFUNCTION("""COMPUTED_VALUE"""),0.541666666666666)</f>
        <v>0.54166666666666596</v>
      </c>
      <c r="Q333" s="25">
        <f ca="1">IFERROR(__xludf.DUMMYFUNCTION("""COMPUTED_VALUE"""),0)</f>
        <v>0</v>
      </c>
      <c r="R333" s="25">
        <f ca="1">IFERROR(__xludf.DUMMYFUNCTION("""COMPUTED_VALUE"""),0.625)</f>
        <v>0.625</v>
      </c>
      <c r="S333" s="25">
        <f ca="1">IFERROR(__xludf.DUMMYFUNCTION("""COMPUTED_VALUE"""),0.666666666666666)</f>
        <v>0.66666666666666596</v>
      </c>
      <c r="T333" s="25">
        <f ca="1">IFERROR(__xludf.DUMMYFUNCTION("""COMPUTED_VALUE"""),0.222222222222222)</f>
        <v>0.22222222222222199</v>
      </c>
      <c r="U333" s="25">
        <f ca="1">IFERROR(__xludf.DUMMYFUNCTION("""COMPUTED_VALUE"""),0.25)</f>
        <v>0.25</v>
      </c>
      <c r="V333" s="25">
        <f ca="1">IFERROR(__xludf.DUMMYFUNCTION("""COMPUTED_VALUE"""),0)</f>
        <v>0</v>
      </c>
      <c r="W333" s="4"/>
      <c r="X333" s="4" t="str">
        <f ca="1">IFERROR(__xludf.DUMMYFUNCTION("""COMPUTED_VALUE"""),"| 1 P JAVA @ | 4 L JAVA % | 3 L PHP-CGM % | 1 L PRO @ ")</f>
        <v xml:space="preserve">| 1 P JAVA @ | 4 L JAVA % | 3 L PHP-CGM % | 1 L PRO @ </v>
      </c>
      <c r="Y333" s="4" t="str">
        <f ca="1">IFERROR(__xludf.DUMMYFUNCTION("""COMPUTED_VALUE"""),"| 1 L JAVA @ | 2 L PHP-CGM % | 3 P Python @ | 5 L CPT @ | 6 L NS @ ")</f>
        <v xml:space="preserve">| 1 L JAVA @ | 2 L PHP-CGM % | 3 P Python @ | 5 L CPT @ | 6 L NS @ </v>
      </c>
      <c r="Z333" s="4" t="str">
        <f ca="1">IFERROR(__xludf.DUMMYFUNCTION("""COMPUTED_VALUE"""),"| 3 P NS % | 5 L JAVA % | 6 L NS % ")</f>
        <v xml:space="preserve">| 3 P NS % | 5 L JAVA % | 6 L NS % </v>
      </c>
      <c r="AA333" s="4" t="str">
        <f ca="1">IFERROR(__xludf.DUMMYFUNCTION("""COMPUTED_VALUE"""),"| 3 P CPT % | 5 L NS % | 6 L CPT % ")</f>
        <v xml:space="preserve">| 3 P CPT % | 5 L NS % | 6 L CPT % </v>
      </c>
      <c r="AB333" s="4" t="str">
        <f ca="1">IFERROR(__xludf.DUMMYFUNCTION("""COMPUTED_VALUE"""),"| 1 P JAVA @ | 3 L CPT @ | 4 L PHP-CGM @ | 5 P Python @ ")</f>
        <v xml:space="preserve">| 1 P JAVA @ | 3 L CPT @ | 4 L PHP-CGM @ | 5 P Python @ </v>
      </c>
      <c r="AC333" s="4" t="str">
        <f ca="1">IFERROR(__xludf.DUMMYFUNCTION("""COMPUTED_VALUE"""),"| 1 P JAVA % | 3 L PHP-CGM % | 5 P PRO % ")</f>
        <v xml:space="preserve">| 1 P JAVA % | 3 L PHP-CGM % | 5 P PRO % </v>
      </c>
      <c r="AD333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33" s="4" t="str">
        <f ca="1">IFERROR(__xludf.DUMMYFUNCTION("""COMPUTED_VALUE"""),"| 3 P NS % | 5 L JAVA % | 6 L NS % ")</f>
        <v xml:space="preserve">| 3 P NS % | 5 L JAVA % | 6 L NS % </v>
      </c>
      <c r="AF333" s="4" t="str">
        <f ca="1">IFERROR(__xludf.DUMMYFUNCTION("""COMPUTED_VALUE"""),"| 1 P PHP-CGM % | 3 P CPT @ | 5 L NS % | 6 L CPT % ")</f>
        <v xml:space="preserve">| 1 P PHP-CGM % | 3 P CPT @ | 5 L NS % | 6 L CPT % </v>
      </c>
      <c r="AG333" s="4" t="str">
        <f ca="1">IFERROR(__xludf.DUMMYFUNCTION("""COMPUTED_VALUE"""),"| 1 P JAVA @ | 3 L CPT @ | 4 L PHP-CGM @ | 5 P Python @ ")</f>
        <v xml:space="preserve">| 1 P JAVA @ | 3 L CPT @ | 4 L PHP-CGM @ | 5 P Python @ </v>
      </c>
      <c r="AH333" s="4" t="str">
        <f ca="1">IFERROR(__xludf.DUMMYFUNCTION("""COMPUTED_VALUE"""),"| 1 P PHP-CGM % | 3 P CPT % | 5 L NS % | 6 L CPT % ")</f>
        <v xml:space="preserve">| 1 P PHP-CGM % | 3 P CPT % | 5 L NS % | 6 L CPT % </v>
      </c>
      <c r="AI333" s="4" t="str">
        <f ca="1">IFERROR(__xludf.DUMMYFUNCTION("""COMPUTED_VALUE"""),"| 1 P JAVA % | 3 L CPT % | 4 L PHP-CGM % | 5 P Python % ")</f>
        <v xml:space="preserve">| 1 P JAVA % | 3 L CPT % | 4 L PHP-CGM % | 5 P Python % </v>
      </c>
      <c r="AJ333" s="4" t="str">
        <f ca="1">IFERROR(__xludf.DUMMYFUNCTION("""COMPUTED_VALUE"""),"| 1 P JAVA % | 3 L PHP-CGM % | 4 L JAVA % | 5 P PRO % ")</f>
        <v xml:space="preserve">| 1 P JAVA % | 3 L PHP-CGM % | 4 L JAVA % | 5 P PRO % </v>
      </c>
      <c r="AK33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33" s="4" t="str">
        <f ca="1">IFERROR(__xludf.DUMMYFUNCTION("""COMPUTED_VALUE"""),"| 3 P NS % | 5 L JAVA % | 6 L NS % ")</f>
        <v xml:space="preserve">| 3 P NS % | 5 L JAVA % | 6 L NS % </v>
      </c>
      <c r="AM333" s="4" t="str">
        <f ca="1">IFERROR(__xludf.DUMMYFUNCTION("""COMPUTED_VALUE"""),"| 1 P PHP-CGM % | 3 P CPT @ | 5 L NS % | 6 L CPT % ")</f>
        <v xml:space="preserve">| 1 P PHP-CGM % | 3 P CPT @ | 5 L NS % | 6 L CPT % </v>
      </c>
      <c r="AN333" s="4" t="str">
        <f ca="1">IFERROR(__xludf.DUMMYFUNCTION("""COMPUTED_VALUE"""),"| 1 P JAVA % | 4 L PHP-CGM % | 5 P Python % ")</f>
        <v xml:space="preserve">| 1 P JAVA % | 4 L PHP-CGM % | 5 P Python % </v>
      </c>
      <c r="AO333" s="4" t="str">
        <f ca="1">IFERROR(__xludf.DUMMYFUNCTION("""COMPUTED_VALUE"""),"| 1 P JAVA % | 3 L PHP-CGM % | 4 L JAVA % | 5 P PRO @ ")</f>
        <v xml:space="preserve">| 1 P JAVA % | 3 L PHP-CGM % | 4 L JAVA % | 5 P PRO @ </v>
      </c>
      <c r="AP333" s="4" t="str">
        <f ca="1">IFERROR(__xludf.DUMMYFUNCTION("""COMPUTED_VALUE"""),"| 1 L JAVA @ | 2 L PHP-CGM @ | 3 P Python % | 5 L CPT % | 6 L NS % ")</f>
        <v xml:space="preserve">| 1 L JAVA @ | 2 L PHP-CGM @ | 3 P Python % | 5 L CPT % | 6 L NS % </v>
      </c>
      <c r="AQ333" s="4" t="str">
        <f ca="1">IFERROR(__xludf.DUMMYFUNCTION("""COMPUTED_VALUE"""),"| 1 L INE @ | 3 P NS % | 5 L JAVA % | 6 L NS % ")</f>
        <v xml:space="preserve">| 1 L INE @ | 3 P NS % | 5 L JAVA % | 6 L NS % </v>
      </c>
      <c r="AR333" s="4" t="str">
        <f ca="1">IFERROR(__xludf.DUMMYFUNCTION("""COMPUTED_VALUE"""),"| 1 P PHP-CGM % | 3 L CPT % | 3 P CPT @ | 5 L NS @ | 6 L CPT @ ")</f>
        <v xml:space="preserve">| 1 P PHP-CGM % | 3 L CPT % | 3 P CPT @ | 5 L NS @ | 6 L CPT @ </v>
      </c>
      <c r="AS333" s="4" t="str">
        <f ca="1">IFERROR(__xludf.DUMMYFUNCTION("""COMPUTED_VALUE"""),"| 1 P JAVA @ | 3 L PHP-CGM @ | 4 L JAVA @ | 5 P PRO @ ")</f>
        <v xml:space="preserve">| 1 P JAVA @ | 3 L PHP-CGM @ | 4 L JAVA @ | 5 P PRO @ </v>
      </c>
      <c r="AT33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33" s="4" t="str">
        <f ca="1">IFERROR(__xludf.DUMMYFUNCTION("""COMPUTED_VALUE"""),"| 1 L INE % | 3 P NS % | 5 L JAVA @ | 6 L NS @ ")</f>
        <v xml:space="preserve">| 1 L INE % | 3 P NS % | 5 L JAVA @ | 6 L NS @ </v>
      </c>
      <c r="AV333" s="4" t="str">
        <f ca="1">IFERROR(__xludf.DUMMYFUNCTION("""COMPUTED_VALUE"""),"| 1 P PHP-CGM % | 3 P CPT @ | 5 L NS % | 6 L CPT % ")</f>
        <v xml:space="preserve">| 1 P PHP-CGM % | 3 P CPT @ | 5 L NS % | 6 L CPT % </v>
      </c>
      <c r="AW333" s="4" t="str">
        <f ca="1">IFERROR(__xludf.DUMMYFUNCTION("""COMPUTED_VALUE"""),"| 1 P JAVA @ | 3 L CPT @ | 4 L PHP-CGM @ | 5 P Python % ")</f>
        <v xml:space="preserve">| 1 P JAVA @ | 3 L CPT @ | 4 L PHP-CGM @ | 5 P Python % </v>
      </c>
      <c r="AX333" s="4" t="str">
        <f ca="1">IFERROR(__xludf.DUMMYFUNCTION("""COMPUTED_VALUE"""),"| 1 P JAVA % | 3 L JAVA % | 4 L PHP-CGM % | 5 P PRO @ ")</f>
        <v xml:space="preserve">| 1 P JAVA % | 3 L JAVA % | 4 L PHP-CGM % | 5 P PRO @ </v>
      </c>
      <c r="AY333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33" s="4" t="str">
        <f ca="1">IFERROR(__xludf.DUMMYFUNCTION("""COMPUTED_VALUE"""),"| 1 P PHP-CGM % | 3 P CPT % | 5 L NS % | 6 L CPT % ")</f>
        <v xml:space="preserve">| 1 P PHP-CGM % | 3 P CPT % | 5 L NS % | 6 L CPT % </v>
      </c>
      <c r="BA333" s="4" t="str">
        <f ca="1">IFERROR(__xludf.DUMMYFUNCTION("""COMPUTED_VALUE"""),"| 1 P JAVA @ | 3 L CPT % | 4 L PHP-CGM % | 5 P Python @ ")</f>
        <v xml:space="preserve">| 1 P JAVA @ | 3 L CPT % | 4 L PHP-CGM % | 5 P Python @ </v>
      </c>
      <c r="BB333" s="4" t="str">
        <f ca="1">IFERROR(__xludf.DUMMYFUNCTION("""COMPUTED_VALUE"""),"| 1 P JAVA % | 3 L PHP-CGM % | 4 L JAVA % | 5 L PRO % ")</f>
        <v xml:space="preserve">| 1 P JAVA % | 3 L PHP-CGM % | 4 L JAVA % | 5 L PRO % </v>
      </c>
      <c r="BC33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33" s="4" t="str">
        <f ca="1">IFERROR(__xludf.DUMMYFUNCTION("""COMPUTED_VALUE"""),"| 1 L INE @ | 3 P NS % | 5 L JAVA % | 6 L NS % ")</f>
        <v xml:space="preserve">| 1 L INE @ | 3 P NS % | 5 L JAVA % | 6 L NS % </v>
      </c>
      <c r="BE333" s="4" t="str">
        <f ca="1">IFERROR(__xludf.DUMMYFUNCTION("""COMPUTED_VALUE"""),"| 1 P PHP-CGM % | 3 P CPT @ | 5 L NS @ | 6 L CPT @ ")</f>
        <v xml:space="preserve">| 1 P PHP-CGM % | 3 P CPT @ | 5 L NS @ | 6 L CPT @ </v>
      </c>
      <c r="BF333" s="4" t="str">
        <f ca="1">IFERROR(__xludf.DUMMYFUNCTION("""COMPUTED_VALUE"""),"| 1 P JAVA % | 3 L CPT % | 4 L PHP-CGM % | 5 P Python % ")</f>
        <v xml:space="preserve">| 1 P JAVA % | 3 L CPT % | 4 L PHP-CGM % | 5 P Python % </v>
      </c>
      <c r="BG33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33" s="4" t="str">
        <f ca="1">IFERROR(__xludf.DUMMYFUNCTION("""COMPUTED_VALUE"""),"| 1 L INE @ | 3 P NS % | 5 L JAVA % | 6 L NS % ")</f>
        <v xml:space="preserve">| 1 L INE @ | 3 P NS % | 5 L JAVA % | 6 L NS % </v>
      </c>
      <c r="BI333" s="4" t="str">
        <f ca="1">IFERROR(__xludf.DUMMYFUNCTION("""COMPUTED_VALUE"""),"| 1 P PHP-CGM % | 3 P CPT @ | 5 L NS % | 6 L CPT % ")</f>
        <v xml:space="preserve">| 1 P PHP-CGM % | 3 P CPT @ | 5 L NS % | 6 L CPT % </v>
      </c>
      <c r="BJ333" s="4" t="str">
        <f ca="1">IFERROR(__xludf.DUMMYFUNCTION("""COMPUTED_VALUE"""),"| 1 P JAVA % | 3 L CPT % | 4 L PHP-CGM % | 5 P Python @ ")</f>
        <v xml:space="preserve">| 1 P JAVA % | 3 L CPT % | 4 L PHP-CGM % | 5 P Python @ </v>
      </c>
      <c r="BK333" s="4" t="str">
        <f ca="1">IFERROR(__xludf.DUMMYFUNCTION("""COMPUTED_VALUE"""),"| 1 P JAVA % | 3 L PHP-CGM % | 4 L JAVA % | 5 P PRO @ ")</f>
        <v xml:space="preserve">| 1 P JAVA % | 3 L PHP-CGM % | 4 L JAVA % | 5 P PRO @ </v>
      </c>
      <c r="BL333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3" s="4" t="str">
        <f ca="1">IFERROR(__xludf.DUMMYFUNCTION("""COMPUTED_VALUE"""),"| 1 L INE @ | 3 P NS @ | 5 L JAVA @ | 6 L NS @ ")</f>
        <v xml:space="preserve">| 1 L INE @ | 3 P NS @ | 5 L JAVA @ | 6 L NS @ </v>
      </c>
      <c r="BN333" s="4" t="str">
        <f ca="1">IFERROR(__xludf.DUMMYFUNCTION("""COMPUTED_VALUE"""),"| 1 P PHP-CGM @ | 3 P CPT @ | 5 L NS @ | 6 L CPT @ ")</f>
        <v xml:space="preserve">| 1 P PHP-CGM @ | 3 P CPT @ | 5 L NS @ | 6 L CPT @ </v>
      </c>
      <c r="BO333" s="4" t="str">
        <f ca="1">IFERROR(__xludf.DUMMYFUNCTION("""COMPUTED_VALUE"""),"| 1 P JAVA @ | 4 L PHP-CGM @ | 3 L CPT @ | 5 P Python @ ")</f>
        <v xml:space="preserve">| 1 P JAVA @ | 4 L PHP-CGM @ | 3 L CPT @ | 5 P Python @ </v>
      </c>
      <c r="BP333" s="4" t="str">
        <f ca="1">IFERROR(__xludf.DUMMYFUNCTION("""COMPUTED_VALUE"""),"| 1 P JAVA @ | 3 L PHP-CGM @ | 4 L JAVA @ | 5 P PRO @ ")</f>
        <v xml:space="preserve">| 1 P JAVA @ | 3 L PHP-CGM @ | 4 L JAVA @ | 5 P PRO @ </v>
      </c>
      <c r="BQ333" s="4" t="str">
        <f ca="1">IFERROR(__xludf.DUMMYFUNCTION("""COMPUTED_VALUE"""),"| 6 L NS % | 5 L JAVA @ ")</f>
        <v xml:space="preserve">| 6 L NS % | 5 L JAVA @ </v>
      </c>
      <c r="BR333" s="4"/>
      <c r="BS333" s="4" t="str">
        <f ca="1">IFERROR(__xludf.DUMMYFUNCTION("""COMPUTED_VALUE"""),"| 4 L PHP-CGM % ")</f>
        <v xml:space="preserve">| 4 L PHP-CGM % </v>
      </c>
      <c r="BT333" s="4" t="str">
        <f ca="1">IFERROR(__xludf.DUMMYFUNCTION("""COMPUTED_VALUE"""),"| 1 P JAVA @ | 3 L PHP-CGM @ ")</f>
        <v xml:space="preserve">| 1 P JAVA @ | 3 L PHP-CGM @ </v>
      </c>
      <c r="BU333" s="4" t="str">
        <f ca="1">IFERROR(__xludf.DUMMYFUNCTION("""COMPUTED_VALUE"""),"| 1 L JAVA % | 2 L PHP-CGM @ | 3 P Python % ")</f>
        <v xml:space="preserve">| 1 L JAVA % | 2 L PHP-CGM @ | 3 P Python % </v>
      </c>
      <c r="BV333" s="4" t="str">
        <f ca="1">IFERROR(__xludf.DUMMYFUNCTION("""COMPUTED_VALUE"""),"| 1 P JAVA @ | 3 L PHP-CGM @ | 4 L JAVA @ | 5 P PRO @ ")</f>
        <v xml:space="preserve">| 1 P JAVA @ | 3 L PHP-CGM @ | 4 L JAVA @ | 5 P PRO @ </v>
      </c>
      <c r="BW333" s="4" t="str">
        <f ca="1">IFERROR(__xludf.DUMMYFUNCTION("""COMPUTED_VALUE"""),"| 1 L JAVA % | 2 L PHP-CGM % | 3 P Python % ")</f>
        <v xml:space="preserve">| 1 L JAVA % | 2 L PHP-CGM % | 3 P Python % </v>
      </c>
      <c r="BX333" s="4" t="str">
        <f ca="1">IFERROR(__xludf.DUMMYFUNCTION("""COMPUTED_VALUE"""),"| 1 L INE @ | 3 P NS % | 5 L JAVA % | 6 L NS % ")</f>
        <v xml:space="preserve">| 1 L INE @ | 3 P NS % | 5 L JAVA % | 6 L NS % </v>
      </c>
      <c r="BY333" s="4" t="str">
        <f ca="1">IFERROR(__xludf.DUMMYFUNCTION("""COMPUTED_VALUE"""),"| 1 P PHP-CGM % | 3 P CPT % | 5 L NS % | 6 L CPT @ ")</f>
        <v xml:space="preserve">| 1 P PHP-CGM % | 3 P CPT % | 5 L NS % | 6 L CPT @ </v>
      </c>
      <c r="BZ333" s="4" t="str">
        <f ca="1">IFERROR(__xludf.DUMMYFUNCTION("""COMPUTED_VALUE"""),"| 1 P JAVA @ | 3 L CPT % | 4 L PHP-CGM % | 5 P Python @ ")</f>
        <v xml:space="preserve">| 1 P JAVA @ | 3 L CPT % | 4 L PHP-CGM % | 5 P Python @ </v>
      </c>
      <c r="CA333" s="4" t="str">
        <f ca="1">IFERROR(__xludf.DUMMYFUNCTION("""COMPUTED_VALUE"""),"| 1 P JAVA % | 3 L PHP-CGM % | 3 L JAVA % | 5 P PRO @ ")</f>
        <v xml:space="preserve">| 1 P JAVA % | 3 L PHP-CGM % | 3 L JAVA % | 5 P PRO @ </v>
      </c>
      <c r="CB333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CC333" s="4" t="str">
        <f ca="1">IFERROR(__xludf.DUMMYFUNCTION("""COMPUTED_VALUE"""),"| 1 L INE % | 3 P NS % | 5 L JAVA @ | 6 L NS @ ")</f>
        <v xml:space="preserve">| 1 L INE % | 3 P NS % | 5 L JAVA @ | 6 L NS @ </v>
      </c>
      <c r="CD333" s="4" t="str">
        <f ca="1">IFERROR(__xludf.DUMMYFUNCTION("""COMPUTED_VALUE"""),"| 1 P PHP-CGM @ | 3 P CPT @ | 5 L NS @ | 6 L CPT @ ")</f>
        <v xml:space="preserve">| 1 P PHP-CGM @ | 3 P CPT @ | 5 L NS @ | 6 L CPT @ </v>
      </c>
      <c r="CE333" s="4" t="str">
        <f ca="1">IFERROR(__xludf.DUMMYFUNCTION("""COMPUTED_VALUE"""),"| 1 P JAVA % | 3 L CPT @ | 4 L PHP-CGM @ | 5 P Python @ ")</f>
        <v xml:space="preserve">| 1 P JAVA % | 3 L CPT @ | 4 L PHP-CGM @ | 5 P Python @ </v>
      </c>
      <c r="CF333" s="4" t="str">
        <f ca="1">IFERROR(__xludf.DUMMYFUNCTION("""COMPUTED_VALUE"""),"| 1 P JAVA % | 4 L JAVA % | 3 L PHP-CGM % | 5 L PRO % ")</f>
        <v xml:space="preserve">| 1 P JAVA % | 4 L JAVA % | 3 L PHP-CGM % | 5 L PRO % </v>
      </c>
      <c r="CG333" s="4" t="str">
        <f ca="1">IFERROR(__xludf.DUMMYFUNCTION("""COMPUTED_VALUE"""),"| 1 L JAVA % | 2 L PHP-CGM % | 3 P Python % | 6 L NS @ ")</f>
        <v xml:space="preserve">| 1 L JAVA % | 2 L PHP-CGM % | 3 P Python % | 6 L NS @ </v>
      </c>
      <c r="CH333" s="4" t="str">
        <f ca="1">IFERROR(__xludf.DUMMYFUNCTION("""COMPUTED_VALUE"""),"| 1 L INE @ | 3 P NS % | 5 L JAVA % | 6 L NS % ")</f>
        <v xml:space="preserve">| 1 L INE @ | 3 P NS % | 5 L JAVA % | 6 L NS % </v>
      </c>
      <c r="CI333" s="4" t="str">
        <f ca="1">IFERROR(__xludf.DUMMYFUNCTION("""COMPUTED_VALUE"""),"| 3 P CPT % | 5 L NS @ | 6 L CPT @ ")</f>
        <v xml:space="preserve">| 3 P CPT % | 5 L NS @ | 6 L CPT @ </v>
      </c>
      <c r="CJ333" s="4" t="str">
        <f ca="1">IFERROR(__xludf.DUMMYFUNCTION("""COMPUTED_VALUE"""),"| 3 L CPT @ ")</f>
        <v xml:space="preserve">| 3 L CPT @ </v>
      </c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</row>
    <row r="334" spans="1:102" ht="12.5" x14ac:dyDescent="0.25">
      <c r="A334" s="3">
        <f ca="1">IFERROR(__xludf.DUMMYFUNCTION("""COMPUTED_VALUE"""),1)</f>
        <v>1</v>
      </c>
      <c r="B334" s="3" t="str">
        <f ca="1">IFERROR(__xludf.DUMMYFUNCTION("""COMPUTED_VALUE"""),"ITA")</f>
        <v>ITA</v>
      </c>
      <c r="C334" s="32" t="str">
        <f ca="1">IFERROR(__xludf.DUMMYFUNCTION("""COMPUTED_VALUE"""),"22291371050")</f>
        <v>22291371050</v>
      </c>
      <c r="D334" s="4" t="str">
        <f ca="1">IFERROR(__xludf.DUMMYFUNCTION("""COMPUTED_VALUE"""),"PATEL DAKSH VISHALBHAI")</f>
        <v>PATEL DAKSH VISHALBHAI</v>
      </c>
      <c r="E334" s="3" t="str">
        <f ca="1">IFERROR(__xludf.DUMMYFUNCTION("""COMPUTED_VALUE"""),"Sweety - Mor")</f>
        <v>Sweety - Mor</v>
      </c>
      <c r="F334" s="3">
        <f ca="1">IFERROR(__xludf.DUMMYFUNCTION("""COMPUTED_VALUE"""),7861846236)</f>
        <v>7861846236</v>
      </c>
      <c r="G334" s="3">
        <f ca="1">IFERROR(__xludf.DUMMYFUNCTION("""COMPUTED_VALUE"""),9898575541)</f>
        <v>9898575541</v>
      </c>
      <c r="H334" s="33">
        <f ca="1">IFERROR(__xludf.DUMMYFUNCTION("""COMPUTED_VALUE"""),0.407258064516129)</f>
        <v>0.407258064516129</v>
      </c>
      <c r="I334" s="25">
        <f ca="1">IFERROR(__xludf.DUMMYFUNCTION("""COMPUTED_VALUE"""),0.428571428571428)</f>
        <v>0.42857142857142799</v>
      </c>
      <c r="J334" s="25">
        <f ca="1">IFERROR(__xludf.DUMMYFUNCTION("""COMPUTED_VALUE"""),0.538461538461538)</f>
        <v>0.53846153846153799</v>
      </c>
      <c r="K334" s="25">
        <f ca="1">IFERROR(__xludf.DUMMYFUNCTION("""COMPUTED_VALUE"""),0.444444444444444)</f>
        <v>0.44444444444444398</v>
      </c>
      <c r="L334" s="25">
        <f ca="1">IFERROR(__xludf.DUMMYFUNCTION("""COMPUTED_VALUE"""),0.454545454545454)</f>
        <v>0.45454545454545398</v>
      </c>
      <c r="M334" s="25">
        <f ca="1">IFERROR(__xludf.DUMMYFUNCTION("""COMPUTED_VALUE"""),0.447368421052631)</f>
        <v>0.44736842105263103</v>
      </c>
      <c r="N334" s="25">
        <f ca="1">IFERROR(__xludf.DUMMYFUNCTION("""COMPUTED_VALUE"""),0.727272727272727)</f>
        <v>0.72727272727272696</v>
      </c>
      <c r="O334" s="25">
        <f ca="1">IFERROR(__xludf.DUMMYFUNCTION("""COMPUTED_VALUE"""),0.416666666666666)</f>
        <v>0.41666666666666602</v>
      </c>
      <c r="P334" s="25">
        <f ca="1">IFERROR(__xludf.DUMMYFUNCTION("""COMPUTED_VALUE"""),0.25)</f>
        <v>0.25</v>
      </c>
      <c r="Q334" s="25">
        <f ca="1">IFERROR(__xludf.DUMMYFUNCTION("""COMPUTED_VALUE"""),0)</f>
        <v>0</v>
      </c>
      <c r="R334" s="25">
        <f ca="1">IFERROR(__xludf.DUMMYFUNCTION("""COMPUTED_VALUE"""),0.291666666666666)</f>
        <v>0.29166666666666602</v>
      </c>
      <c r="S334" s="25">
        <f ca="1">IFERROR(__xludf.DUMMYFUNCTION("""COMPUTED_VALUE"""),0.666666666666666)</f>
        <v>0.66666666666666596</v>
      </c>
      <c r="T334" s="25">
        <f ca="1">IFERROR(__xludf.DUMMYFUNCTION("""COMPUTED_VALUE"""),0.222222222222222)</f>
        <v>0.22222222222222199</v>
      </c>
      <c r="U334" s="25">
        <f ca="1">IFERROR(__xludf.DUMMYFUNCTION("""COMPUTED_VALUE"""),0.125)</f>
        <v>0.125</v>
      </c>
      <c r="V334" s="25">
        <f ca="1">IFERROR(__xludf.DUMMYFUNCTION("""COMPUTED_VALUE"""),0)</f>
        <v>0</v>
      </c>
      <c r="W334" s="4"/>
      <c r="X334" s="4" t="str">
        <f ca="1">IFERROR(__xludf.DUMMYFUNCTION("""COMPUTED_VALUE"""),"| 1 P JAVA @ | 4 L JAVA % | 3 L PHP-CGM % | 1 L PRO @ ")</f>
        <v xml:space="preserve">| 1 P JAVA @ | 4 L JAVA % | 3 L PHP-CGM % | 1 L PRO @ </v>
      </c>
      <c r="Y334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Z334" s="4" t="str">
        <f ca="1">IFERROR(__xludf.DUMMYFUNCTION("""COMPUTED_VALUE"""),"| 3 P NS @ | 5 L JAVA @ | 6 L NS @ ")</f>
        <v xml:space="preserve">| 3 P NS @ | 5 L JAVA @ | 6 L NS @ </v>
      </c>
      <c r="AA334" s="4" t="str">
        <f ca="1">IFERROR(__xludf.DUMMYFUNCTION("""COMPUTED_VALUE"""),"| 3 P CPT % | 5 L NS % | 6 L CPT % ")</f>
        <v xml:space="preserve">| 3 P CPT % | 5 L NS % | 6 L CPT % </v>
      </c>
      <c r="AB334" s="4" t="str">
        <f ca="1">IFERROR(__xludf.DUMMYFUNCTION("""COMPUTED_VALUE"""),"| 1 P JAVA @ | 3 L CPT @ | 4 L PHP-CGM @ | 5 P Python @ ")</f>
        <v xml:space="preserve">| 1 P JAVA @ | 3 L CPT @ | 4 L PHP-CGM @ | 5 P Python @ </v>
      </c>
      <c r="AC334" s="4" t="str">
        <f ca="1">IFERROR(__xludf.DUMMYFUNCTION("""COMPUTED_VALUE"""),"| 1 P JAVA % | 3 L PHP-CGM % | 5 P PRO % ")</f>
        <v xml:space="preserve">| 1 P JAVA % | 3 L PHP-CGM % | 5 P PRO % </v>
      </c>
      <c r="AD334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AE334" s="4" t="str">
        <f ca="1">IFERROR(__xludf.DUMMYFUNCTION("""COMPUTED_VALUE"""),"| 3 P NS % | 5 L JAVA % | 6 L NS % ")</f>
        <v xml:space="preserve">| 3 P NS % | 5 L JAVA % | 6 L NS % </v>
      </c>
      <c r="AF334" s="4" t="str">
        <f ca="1">IFERROR(__xludf.DUMMYFUNCTION("""COMPUTED_VALUE"""),"| 1 P PHP-CGM % | 3 P CPT @ | 5 L NS % | 6 L CPT % ")</f>
        <v xml:space="preserve">| 1 P PHP-CGM % | 3 P CPT @ | 5 L NS % | 6 L CPT % </v>
      </c>
      <c r="AG334" s="4" t="str">
        <f ca="1">IFERROR(__xludf.DUMMYFUNCTION("""COMPUTED_VALUE"""),"| 1 P JAVA @ | 3 L CPT @ | 4 L PHP-CGM @ | 5 P Python @ ")</f>
        <v xml:space="preserve">| 1 P JAVA @ | 3 L CPT @ | 4 L PHP-CGM @ | 5 P Python @ </v>
      </c>
      <c r="AH334" s="4" t="str">
        <f ca="1">IFERROR(__xludf.DUMMYFUNCTION("""COMPUTED_VALUE"""),"| 1 P PHP-CGM % | 3 P CPT % | 5 L NS % | 6 L CPT % ")</f>
        <v xml:space="preserve">| 1 P PHP-CGM % | 3 P CPT % | 5 L NS % | 6 L CPT % </v>
      </c>
      <c r="AI334" s="4" t="str">
        <f ca="1">IFERROR(__xludf.DUMMYFUNCTION("""COMPUTED_VALUE"""),"| 1 P JAVA @ | 3 L CPT @ | 4 L PHP-CGM @ | 5 P Python @ ")</f>
        <v xml:space="preserve">| 1 P JAVA @ | 3 L CPT @ | 4 L PHP-CGM @ | 5 P Python @ </v>
      </c>
      <c r="AJ334" s="4" t="str">
        <f ca="1">IFERROR(__xludf.DUMMYFUNCTION("""COMPUTED_VALUE"""),"| 1 P JAVA % | 3 L PHP-CGM % | 4 L JAVA % | 5 P PRO % ")</f>
        <v xml:space="preserve">| 1 P JAVA % | 3 L PHP-CGM % | 4 L JAVA % | 5 P PRO % </v>
      </c>
      <c r="AK33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34" s="4" t="str">
        <f ca="1">IFERROR(__xludf.DUMMYFUNCTION("""COMPUTED_VALUE"""),"| 3 P NS @ | 5 L JAVA @ | 6 L NS @ ")</f>
        <v xml:space="preserve">| 3 P NS @ | 5 L JAVA @ | 6 L NS @ </v>
      </c>
      <c r="AM334" s="4" t="str">
        <f ca="1">IFERROR(__xludf.DUMMYFUNCTION("""COMPUTED_VALUE"""),"| 1 P PHP-CGM % | 3 P CPT @ | 5 L NS @ | 6 L CPT @ ")</f>
        <v xml:space="preserve">| 1 P PHP-CGM % | 3 P CPT @ | 5 L NS @ | 6 L CPT @ </v>
      </c>
      <c r="AN334" s="4" t="str">
        <f ca="1">IFERROR(__xludf.DUMMYFUNCTION("""COMPUTED_VALUE"""),"| 1 P JAVA @ | 4 L PHP-CGM @ | 5 P Python @ ")</f>
        <v xml:space="preserve">| 1 P JAVA @ | 4 L PHP-CGM @ | 5 P Python @ </v>
      </c>
      <c r="AO334" s="4" t="str">
        <f ca="1">IFERROR(__xludf.DUMMYFUNCTION("""COMPUTED_VALUE"""),"| 1 P JAVA % | 3 L PHP-CGM % | 4 L JAVA % | 5 P PRO @ ")</f>
        <v xml:space="preserve">| 1 P JAVA % | 3 L PHP-CGM % | 4 L JAVA % | 5 P PRO @ </v>
      </c>
      <c r="AP33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34" s="4" t="str">
        <f ca="1">IFERROR(__xludf.DUMMYFUNCTION("""COMPUTED_VALUE"""),"| 1 L INE @ | 3 P NS @ | 5 L JAVA @ | 6 L NS @ ")</f>
        <v xml:space="preserve">| 1 L INE @ | 3 P NS @ | 5 L JAVA @ | 6 L NS @ </v>
      </c>
      <c r="AR334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34" s="4" t="str">
        <f ca="1">IFERROR(__xludf.DUMMYFUNCTION("""COMPUTED_VALUE"""),"| 1 P JAVA @ | 3 L PHP-CGM @ | 4 L JAVA @ | 5 P PRO @ ")</f>
        <v xml:space="preserve">| 1 P JAVA @ | 3 L PHP-CGM @ | 4 L JAVA @ | 5 P PRO @ </v>
      </c>
      <c r="AT334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U334" s="4" t="str">
        <f ca="1">IFERROR(__xludf.DUMMYFUNCTION("""COMPUTED_VALUE"""),"| 1 L INE @ | 3 P NS % | 5 L JAVA % | 6 L NS % ")</f>
        <v xml:space="preserve">| 1 L INE @ | 3 P NS % | 5 L JAVA % | 6 L NS % </v>
      </c>
      <c r="AV334" s="4" t="str">
        <f ca="1">IFERROR(__xludf.DUMMYFUNCTION("""COMPUTED_VALUE"""),"| 1 P PHP-CGM % | 3 P CPT % | 5 L NS % | 6 L CPT % ")</f>
        <v xml:space="preserve">| 1 P PHP-CGM % | 3 P CPT % | 5 L NS % | 6 L CPT % </v>
      </c>
      <c r="AW334" s="4" t="str">
        <f ca="1">IFERROR(__xludf.DUMMYFUNCTION("""COMPUTED_VALUE"""),"| 1 P JAVA @ | 3 L CPT % | 4 L PHP-CGM % | 5 P Python % ")</f>
        <v xml:space="preserve">| 1 P JAVA @ | 3 L CPT % | 4 L PHP-CGM % | 5 P Python % </v>
      </c>
      <c r="AX334" s="4" t="str">
        <f ca="1">IFERROR(__xludf.DUMMYFUNCTION("""COMPUTED_VALUE"""),"| 1 P JAVA @ | 3 L JAVA @ | 4 L PHP-CGM @ | 5 P PRO @ ")</f>
        <v xml:space="preserve">| 1 P JAVA @ | 3 L JAVA @ | 4 L PHP-CGM @ | 5 P PRO @ </v>
      </c>
      <c r="AY334" s="4" t="str">
        <f ca="1">IFERROR(__xludf.DUMMYFUNCTION("""COMPUTED_VALUE"""),"| 2 L PHP-CGM @ | 3 P Python @ | 5 L CPT @ | 6 L NS @ | 1 L JAVA @ ")</f>
        <v xml:space="preserve">| 2 L PHP-CGM @ | 3 P Python @ | 5 L CPT @ | 6 L NS @ | 1 L JAVA @ </v>
      </c>
      <c r="AZ334" s="4" t="str">
        <f ca="1">IFERROR(__xludf.DUMMYFUNCTION("""COMPUTED_VALUE"""),"| 1 P PHP-CGM % | 3 P CPT % | 5 L NS % | 6 L CPT % ")</f>
        <v xml:space="preserve">| 1 P PHP-CGM % | 3 P CPT % | 5 L NS % | 6 L CPT % </v>
      </c>
      <c r="BA334" s="4" t="str">
        <f ca="1">IFERROR(__xludf.DUMMYFUNCTION("""COMPUTED_VALUE"""),"| 1 P JAVA @ | 3 L CPT % | 4 L PHP-CGM % | 5 P Python @ ")</f>
        <v xml:space="preserve">| 1 P JAVA @ | 3 L CPT % | 4 L PHP-CGM % | 5 P Python @ </v>
      </c>
      <c r="BB334" s="4" t="str">
        <f ca="1">IFERROR(__xludf.DUMMYFUNCTION("""COMPUTED_VALUE"""),"| 1 P JAVA % | 3 L PHP-CGM % | 4 L JAVA % | 5 L PRO % ")</f>
        <v xml:space="preserve">| 1 P JAVA % | 3 L PHP-CGM % | 4 L JAVA % | 5 L PRO % </v>
      </c>
      <c r="BC33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34" s="4" t="str">
        <f ca="1">IFERROR(__xludf.DUMMYFUNCTION("""COMPUTED_VALUE"""),"| 1 L INE @ | 3 P NS @ | 5 L JAVA @ | 6 L NS @ ")</f>
        <v xml:space="preserve">| 1 L INE @ | 3 P NS @ | 5 L JAVA @ | 6 L NS @ </v>
      </c>
      <c r="BE334" s="4" t="str">
        <f ca="1">IFERROR(__xludf.DUMMYFUNCTION("""COMPUTED_VALUE"""),"| 1 P PHP-CGM @ | 3 P CPT @ | 5 L NS @ | 6 L CPT @ ")</f>
        <v xml:space="preserve">| 1 P PHP-CGM @ | 3 P CPT @ | 5 L NS @ | 6 L CPT @ </v>
      </c>
      <c r="BF334" s="4" t="str">
        <f ca="1">IFERROR(__xludf.DUMMYFUNCTION("""COMPUTED_VALUE"""),"| 1 P JAVA @ | 3 L CPT @ | 4 L PHP-CGM @ | 5 P Python @ ")</f>
        <v xml:space="preserve">| 1 P JAVA @ | 3 L CPT @ | 4 L PHP-CGM @ | 5 P Python @ </v>
      </c>
      <c r="BG334" s="4" t="str">
        <f ca="1">IFERROR(__xludf.DUMMYFUNCTION("""COMPUTED_VALUE"""),"| 1 L JAVA % | 2 L PHP-CGM % | 3 P Python @ | 5 L CPT @ | 6 L NS @ ")</f>
        <v xml:space="preserve">| 1 L JAVA % | 2 L PHP-CGM % | 3 P Python @ | 5 L CPT @ | 6 L NS @ </v>
      </c>
      <c r="BH334" s="4" t="str">
        <f ca="1">IFERROR(__xludf.DUMMYFUNCTION("""COMPUTED_VALUE"""),"| 1 L INE @ | 3 P NS % | 5 L JAVA @ | 6 L NS @ ")</f>
        <v xml:space="preserve">| 1 L INE @ | 3 P NS % | 5 L JAVA @ | 6 L NS @ </v>
      </c>
      <c r="BI334" s="4" t="str">
        <f ca="1">IFERROR(__xludf.DUMMYFUNCTION("""COMPUTED_VALUE"""),"| 1 P PHP-CGM % | 3 P CPT @ | 5 L NS % | 6 L CPT % ")</f>
        <v xml:space="preserve">| 1 P PHP-CGM % | 3 P CPT @ | 5 L NS % | 6 L CPT % </v>
      </c>
      <c r="BJ334" s="4" t="str">
        <f ca="1">IFERROR(__xludf.DUMMYFUNCTION("""COMPUTED_VALUE"""),"| 1 P JAVA % | 3 L CPT @ | 4 L PHP-CGM @ | 5 P Python @ ")</f>
        <v xml:space="preserve">| 1 P JAVA % | 3 L CPT @ | 4 L PHP-CGM @ | 5 P Python @ </v>
      </c>
      <c r="BK334" s="4" t="str">
        <f ca="1">IFERROR(__xludf.DUMMYFUNCTION("""COMPUTED_VALUE"""),"| 1 P JAVA @ | 3 L PHP-CGM @ | 4 L JAVA @ | 5 P PRO @ ")</f>
        <v xml:space="preserve">| 1 P JAVA @ | 3 L PHP-CGM @ | 4 L JAVA @ | 5 P PRO @ </v>
      </c>
      <c r="BL334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4" s="4" t="str">
        <f ca="1">IFERROR(__xludf.DUMMYFUNCTION("""COMPUTED_VALUE"""),"| 1 L INE @ | 3 P NS @ | 5 L JAVA @ | 6 L NS @ ")</f>
        <v xml:space="preserve">| 1 L INE @ | 3 P NS @ | 5 L JAVA @ | 6 L NS @ </v>
      </c>
      <c r="BN334" s="4" t="str">
        <f ca="1">IFERROR(__xludf.DUMMYFUNCTION("""COMPUTED_VALUE"""),"| 1 P PHP-CGM @ | 3 P CPT @ | 5 L NS @ | 6 L CPT @ ")</f>
        <v xml:space="preserve">| 1 P PHP-CGM @ | 3 P CPT @ | 5 L NS @ | 6 L CPT @ </v>
      </c>
      <c r="BO334" s="4" t="str">
        <f ca="1">IFERROR(__xludf.DUMMYFUNCTION("""COMPUTED_VALUE"""),"| 1 P JAVA @ | 4 L PHP-CGM @ | 3 L CPT @ | 5 P Python @ ")</f>
        <v xml:space="preserve">| 1 P JAVA @ | 4 L PHP-CGM @ | 3 L CPT @ | 5 P Python @ </v>
      </c>
      <c r="BP334" s="4" t="str">
        <f ca="1">IFERROR(__xludf.DUMMYFUNCTION("""COMPUTED_VALUE"""),"| 1 P JAVA @ | 3 L PHP-CGM @ | 4 L JAVA @ | 5 P PRO @ ")</f>
        <v xml:space="preserve">| 1 P JAVA @ | 3 L PHP-CGM @ | 4 L JAVA @ | 5 P PRO @ </v>
      </c>
      <c r="BQ334" s="4" t="str">
        <f ca="1">IFERROR(__xludf.DUMMYFUNCTION("""COMPUTED_VALUE"""),"| 6 L NS % | 5 L JAVA @ ")</f>
        <v xml:space="preserve">| 6 L NS % | 5 L JAVA @ </v>
      </c>
      <c r="BR334" s="4"/>
      <c r="BS334" s="4" t="str">
        <f ca="1">IFERROR(__xludf.DUMMYFUNCTION("""COMPUTED_VALUE"""),"| 4 L PHP-CGM % ")</f>
        <v xml:space="preserve">| 4 L PHP-CGM % </v>
      </c>
      <c r="BT334" s="4" t="str">
        <f ca="1">IFERROR(__xludf.DUMMYFUNCTION("""COMPUTED_VALUE"""),"| 1 P JAVA @ | 3 L PHP-CGM @ ")</f>
        <v xml:space="preserve">| 1 P JAVA @ | 3 L PHP-CGM @ </v>
      </c>
      <c r="BU334" s="4" t="str">
        <f ca="1">IFERROR(__xludf.DUMMYFUNCTION("""COMPUTED_VALUE"""),"| 1 L JAVA @ | 2 L PHP-CGM @ | 3 P Python @ ")</f>
        <v xml:space="preserve">| 1 L JAVA @ | 2 L PHP-CGM @ | 3 P Python @ </v>
      </c>
      <c r="BV334" s="4" t="str">
        <f ca="1">IFERROR(__xludf.DUMMYFUNCTION("""COMPUTED_VALUE"""),"| 1 P JAVA @ | 3 L PHP-CGM @ | 4 L JAVA @ | 5 P PRO @ ")</f>
        <v xml:space="preserve">| 1 P JAVA @ | 3 L PHP-CGM @ | 4 L JAVA @ | 5 P PRO @ </v>
      </c>
      <c r="BW334" s="4" t="str">
        <f ca="1">IFERROR(__xludf.DUMMYFUNCTION("""COMPUTED_VALUE"""),"| 1 L JAVA @ | 2 L PHP-CGM @ | 3 P Python @ ")</f>
        <v xml:space="preserve">| 1 L JAVA @ | 2 L PHP-CGM @ | 3 P Python @ </v>
      </c>
      <c r="BX334" s="4" t="str">
        <f ca="1">IFERROR(__xludf.DUMMYFUNCTION("""COMPUTED_VALUE"""),"| 1 L INE @ | 3 P NS @ | 5 L JAVA @ | 6 L NS @ ")</f>
        <v xml:space="preserve">| 1 L INE @ | 3 P NS @ | 5 L JAVA @ | 6 L NS @ </v>
      </c>
      <c r="BY334" s="4" t="str">
        <f ca="1">IFERROR(__xludf.DUMMYFUNCTION("""COMPUTED_VALUE"""),"| 1 P PHP-CGM % | 3 P CPT % | 5 L NS @ | 6 L CPT @ ")</f>
        <v xml:space="preserve">| 1 P PHP-CGM % | 3 P CPT % | 5 L NS @ | 6 L CPT @ </v>
      </c>
      <c r="BZ334" s="4" t="str">
        <f ca="1">IFERROR(__xludf.DUMMYFUNCTION("""COMPUTED_VALUE"""),"| 1 P JAVA @ | 3 L CPT % | 4 L PHP-CGM % | 5 P Python @ ")</f>
        <v xml:space="preserve">| 1 P JAVA @ | 3 L CPT % | 4 L PHP-CGM % | 5 P Python @ </v>
      </c>
      <c r="CA334" s="4" t="str">
        <f ca="1">IFERROR(__xludf.DUMMYFUNCTION("""COMPUTED_VALUE"""),"| 1 P JAVA @ | 3 L PHP-CGM @ | 3 L JAVA @ | 5 P PRO @ ")</f>
        <v xml:space="preserve">| 1 P JAVA @ | 3 L PHP-CGM @ | 3 L JAVA @ | 5 P PRO @ </v>
      </c>
      <c r="CB334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CC334" s="4" t="str">
        <f ca="1">IFERROR(__xludf.DUMMYFUNCTION("""COMPUTED_VALUE"""),"| 1 L INE % | 3 P NS % | 5 L JAVA % | 6 L NS % ")</f>
        <v xml:space="preserve">| 1 L INE % | 3 P NS % | 5 L JAVA % | 6 L NS % </v>
      </c>
      <c r="CD334" s="4" t="str">
        <f ca="1">IFERROR(__xludf.DUMMYFUNCTION("""COMPUTED_VALUE"""),"| 1 P PHP-CGM % | 3 P CPT % | 5 L NS % | 6 L CPT % ")</f>
        <v xml:space="preserve">| 1 P PHP-CGM % | 3 P CPT % | 5 L NS % | 6 L CPT % </v>
      </c>
      <c r="CE334" s="4" t="str">
        <f ca="1">IFERROR(__xludf.DUMMYFUNCTION("""COMPUTED_VALUE"""),"| 1 P JAVA @ | 3 L CPT % | 4 L PHP-CGM % | 5 P Python % ")</f>
        <v xml:space="preserve">| 1 P JAVA @ | 3 L CPT % | 4 L PHP-CGM % | 5 P Python % </v>
      </c>
      <c r="CF334" s="4" t="str">
        <f ca="1">IFERROR(__xludf.DUMMYFUNCTION("""COMPUTED_VALUE"""),"| 1 P JAVA % | 4 L JAVA % | 3 L PHP-CGM % | 5 L PRO % ")</f>
        <v xml:space="preserve">| 1 P JAVA % | 4 L JAVA % | 3 L PHP-CGM % | 5 L PRO % </v>
      </c>
      <c r="CG334" s="4" t="str">
        <f ca="1">IFERROR(__xludf.DUMMYFUNCTION("""COMPUTED_VALUE"""),"| 1 L JAVA % | 2 L PHP-CGM % | 3 P Python % | 6 L NS @ ")</f>
        <v xml:space="preserve">| 1 L JAVA % | 2 L PHP-CGM % | 3 P Python % | 6 L NS @ </v>
      </c>
      <c r="CH334" s="4" t="str">
        <f ca="1">IFERROR(__xludf.DUMMYFUNCTION("""COMPUTED_VALUE"""),"| 1 L INE @ | 3 P NS % | 5 L JAVA % | 6 L NS % ")</f>
        <v xml:space="preserve">| 1 L INE @ | 3 P NS % | 5 L JAVA % | 6 L NS % </v>
      </c>
      <c r="CI334" s="4" t="str">
        <f ca="1">IFERROR(__xludf.DUMMYFUNCTION("""COMPUTED_VALUE"""),"| 3 P CPT % | 5 L NS @ | 6 L CPT @ ")</f>
        <v xml:space="preserve">| 3 P CPT % | 5 L NS @ | 6 L CPT @ </v>
      </c>
      <c r="CJ334" s="4" t="str">
        <f ca="1">IFERROR(__xludf.DUMMYFUNCTION("""COMPUTED_VALUE"""),"| 3 L CPT @ ")</f>
        <v xml:space="preserve">| 3 L CPT @ </v>
      </c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</row>
    <row r="335" spans="1:102" ht="12.5" x14ac:dyDescent="0.25">
      <c r="A335" s="3">
        <f ca="1">IFERROR(__xludf.DUMMYFUNCTION("""COMPUTED_VALUE"""),1)</f>
        <v>1</v>
      </c>
      <c r="B335" s="3" t="str">
        <f ca="1">IFERROR(__xludf.DUMMYFUNCTION("""COMPUTED_VALUE"""),"ITA")</f>
        <v>ITA</v>
      </c>
      <c r="C335" s="32" t="str">
        <f ca="1">IFERROR(__xludf.DUMMYFUNCTION("""COMPUTED_VALUE"""),"22291371051")</f>
        <v>22291371051</v>
      </c>
      <c r="D335" s="4" t="str">
        <f ca="1">IFERROR(__xludf.DUMMYFUNCTION("""COMPUTED_VALUE"""),"PATEL DAMAN MITESHBHAI")</f>
        <v>PATEL DAMAN MITESHBHAI</v>
      </c>
      <c r="E335" s="3" t="str">
        <f ca="1">IFERROR(__xludf.DUMMYFUNCTION("""COMPUTED_VALUE"""),"Sweety - Mor")</f>
        <v>Sweety - Mor</v>
      </c>
      <c r="F335" s="3">
        <f ca="1">IFERROR(__xludf.DUMMYFUNCTION("""COMPUTED_VALUE"""),7016576411)</f>
        <v>7016576411</v>
      </c>
      <c r="G335" s="3">
        <f ca="1">IFERROR(__xludf.DUMMYFUNCTION("""COMPUTED_VALUE"""),9664736360)</f>
        <v>9664736360</v>
      </c>
      <c r="H335" s="33">
        <f ca="1">IFERROR(__xludf.DUMMYFUNCTION("""COMPUTED_VALUE"""),0.629032258064516)</f>
        <v>0.62903225806451601</v>
      </c>
      <c r="I335" s="25">
        <f ca="1">IFERROR(__xludf.DUMMYFUNCTION("""COMPUTED_VALUE"""),0.628571428571428)</f>
        <v>0.628571428571428</v>
      </c>
      <c r="J335" s="25">
        <f ca="1">IFERROR(__xludf.DUMMYFUNCTION("""COMPUTED_VALUE"""),0.307692307692307)</f>
        <v>0.30769230769230699</v>
      </c>
      <c r="K335" s="25">
        <f ca="1">IFERROR(__xludf.DUMMYFUNCTION("""COMPUTED_VALUE"""),0.666666666666666)</f>
        <v>0.66666666666666596</v>
      </c>
      <c r="L335" s="25">
        <f ca="1">IFERROR(__xludf.DUMMYFUNCTION("""COMPUTED_VALUE"""),0.909090909090909)</f>
        <v>0.90909090909090895</v>
      </c>
      <c r="M335" s="25">
        <f ca="1">IFERROR(__xludf.DUMMYFUNCTION("""COMPUTED_VALUE"""),0.763157894736842)</f>
        <v>0.76315789473684204</v>
      </c>
      <c r="N335" s="25">
        <f ca="1">IFERROR(__xludf.DUMMYFUNCTION("""COMPUTED_VALUE"""),0.727272727272727)</f>
        <v>0.72727272727272696</v>
      </c>
      <c r="O335" s="25">
        <f ca="1">IFERROR(__xludf.DUMMYFUNCTION("""COMPUTED_VALUE"""),0.722222222222222)</f>
        <v>0.72222222222222199</v>
      </c>
      <c r="P335" s="25">
        <f ca="1">IFERROR(__xludf.DUMMYFUNCTION("""COMPUTED_VALUE"""),0.5)</f>
        <v>0.5</v>
      </c>
      <c r="Q335" s="25">
        <f ca="1">IFERROR(__xludf.DUMMYFUNCTION("""COMPUTED_VALUE"""),0)</f>
        <v>0</v>
      </c>
      <c r="R335" s="25">
        <f ca="1">IFERROR(__xludf.DUMMYFUNCTION("""COMPUTED_VALUE"""),0.625)</f>
        <v>0.625</v>
      </c>
      <c r="S335" s="25">
        <f ca="1">IFERROR(__xludf.DUMMYFUNCTION("""COMPUTED_VALUE"""),0.666666666666666)</f>
        <v>0.66666666666666596</v>
      </c>
      <c r="T335" s="25">
        <f ca="1">IFERROR(__xludf.DUMMYFUNCTION("""COMPUTED_VALUE"""),0.222222222222222)</f>
        <v>0.22222222222222199</v>
      </c>
      <c r="U335" s="25">
        <f ca="1">IFERROR(__xludf.DUMMYFUNCTION("""COMPUTED_VALUE"""),0.25)</f>
        <v>0.25</v>
      </c>
      <c r="V335" s="25">
        <f ca="1">IFERROR(__xludf.DUMMYFUNCTION("""COMPUTED_VALUE"""),0)</f>
        <v>0</v>
      </c>
      <c r="W335" s="4"/>
      <c r="X335" s="4" t="str">
        <f ca="1">IFERROR(__xludf.DUMMYFUNCTION("""COMPUTED_VALUE"""),"| 1 P JAVA @ | 4 L JAVA % | 3 L PHP-CGM % | 1 L PRO @ ")</f>
        <v xml:space="preserve">| 1 P JAVA @ | 4 L JAVA % | 3 L PHP-CGM % | 1 L PRO @ </v>
      </c>
      <c r="Y335" s="4" t="str">
        <f ca="1">IFERROR(__xludf.DUMMYFUNCTION("""COMPUTED_VALUE"""),"| 1 L JAVA @ | 2 L PHP-CGM % | 3 P Python @ | 5 L CPT @ | 6 L NS @ ")</f>
        <v xml:space="preserve">| 1 L JAVA @ | 2 L PHP-CGM % | 3 P Python @ | 5 L CPT @ | 6 L NS @ </v>
      </c>
      <c r="Z335" s="4" t="str">
        <f ca="1">IFERROR(__xludf.DUMMYFUNCTION("""COMPUTED_VALUE"""),"| 3 P NS % | 5 L JAVA % | 6 L NS % ")</f>
        <v xml:space="preserve">| 3 P NS % | 5 L JAVA % | 6 L NS % </v>
      </c>
      <c r="AA335" s="4" t="str">
        <f ca="1">IFERROR(__xludf.DUMMYFUNCTION("""COMPUTED_VALUE"""),"| 3 P CPT % | 5 L NS % | 6 L CPT % ")</f>
        <v xml:space="preserve">| 3 P CPT % | 5 L NS % | 6 L CPT % </v>
      </c>
      <c r="AB335" s="4" t="str">
        <f ca="1">IFERROR(__xludf.DUMMYFUNCTION("""COMPUTED_VALUE"""),"| 1 P JAVA @ | 3 L CPT @ | 4 L PHP-CGM @ | 5 P Python @ ")</f>
        <v xml:space="preserve">| 1 P JAVA @ | 3 L CPT @ | 4 L PHP-CGM @ | 5 P Python @ </v>
      </c>
      <c r="AC335" s="4" t="str">
        <f ca="1">IFERROR(__xludf.DUMMYFUNCTION("""COMPUTED_VALUE"""),"| 1 P JAVA % | 3 L PHP-CGM % | 5 P PRO % ")</f>
        <v xml:space="preserve">| 1 P JAVA % | 3 L PHP-CGM % | 5 P PRO % </v>
      </c>
      <c r="AD335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35" s="4" t="str">
        <f ca="1">IFERROR(__xludf.DUMMYFUNCTION("""COMPUTED_VALUE"""),"| 3 P NS % | 5 L JAVA % | 6 L NS % ")</f>
        <v xml:space="preserve">| 3 P NS % | 5 L JAVA % | 6 L NS % </v>
      </c>
      <c r="AF335" s="4" t="str">
        <f ca="1">IFERROR(__xludf.DUMMYFUNCTION("""COMPUTED_VALUE"""),"| 1 P PHP-CGM % | 3 P CPT @ | 5 L NS % | 6 L CPT % ")</f>
        <v xml:space="preserve">| 1 P PHP-CGM % | 3 P CPT @ | 5 L NS % | 6 L CPT % </v>
      </c>
      <c r="AG335" s="4" t="str">
        <f ca="1">IFERROR(__xludf.DUMMYFUNCTION("""COMPUTED_VALUE"""),"| 1 P JAVA @ | 3 L CPT @ | 4 L PHP-CGM @ | 5 P Python @ ")</f>
        <v xml:space="preserve">| 1 P JAVA @ | 3 L CPT @ | 4 L PHP-CGM @ | 5 P Python @ </v>
      </c>
      <c r="AH335" s="4" t="str">
        <f ca="1">IFERROR(__xludf.DUMMYFUNCTION("""COMPUTED_VALUE"""),"| 1 P PHP-CGM % | 3 P CPT % | 5 L NS % | 6 L CPT % ")</f>
        <v xml:space="preserve">| 1 P PHP-CGM % | 3 P CPT % | 5 L NS % | 6 L CPT % </v>
      </c>
      <c r="AI335" s="4" t="str">
        <f ca="1">IFERROR(__xludf.DUMMYFUNCTION("""COMPUTED_VALUE"""),"| 1 P JAVA % | 3 L CPT % | 4 L PHP-CGM % | 5 P Python % ")</f>
        <v xml:space="preserve">| 1 P JAVA % | 3 L CPT % | 4 L PHP-CGM % | 5 P Python % </v>
      </c>
      <c r="AJ335" s="4" t="str">
        <f ca="1">IFERROR(__xludf.DUMMYFUNCTION("""COMPUTED_VALUE"""),"| 1 P JAVA % | 3 L PHP-CGM % | 4 L JAVA % | 5 P PRO % ")</f>
        <v xml:space="preserve">| 1 P JAVA % | 3 L PHP-CGM % | 4 L JAVA % | 5 P PRO % </v>
      </c>
      <c r="AK33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35" s="4" t="str">
        <f ca="1">IFERROR(__xludf.DUMMYFUNCTION("""COMPUTED_VALUE"""),"| 3 P NS % | 5 L JAVA % | 6 L NS % ")</f>
        <v xml:space="preserve">| 3 P NS % | 5 L JAVA % | 6 L NS % </v>
      </c>
      <c r="AM335" s="4" t="str">
        <f ca="1">IFERROR(__xludf.DUMMYFUNCTION("""COMPUTED_VALUE"""),"| 1 P PHP-CGM % | 3 P CPT @ | 5 L NS % | 6 L CPT % ")</f>
        <v xml:space="preserve">| 1 P PHP-CGM % | 3 P CPT @ | 5 L NS % | 6 L CPT % </v>
      </c>
      <c r="AN335" s="4" t="str">
        <f ca="1">IFERROR(__xludf.DUMMYFUNCTION("""COMPUTED_VALUE"""),"| 1 P JAVA % | 4 L PHP-CGM % | 5 P Python % ")</f>
        <v xml:space="preserve">| 1 P JAVA % | 4 L PHP-CGM % | 5 P Python % </v>
      </c>
      <c r="AO335" s="4" t="str">
        <f ca="1">IFERROR(__xludf.DUMMYFUNCTION("""COMPUTED_VALUE"""),"| 1 P JAVA % | 3 L PHP-CGM % | 4 L JAVA % | 5 P PRO @ ")</f>
        <v xml:space="preserve">| 1 P JAVA % | 3 L PHP-CGM % | 4 L JAVA % | 5 P PRO @ </v>
      </c>
      <c r="AP33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35" s="4" t="str">
        <f ca="1">IFERROR(__xludf.DUMMYFUNCTION("""COMPUTED_VALUE"""),"| 1 L INE @ | 3 P NS % | 5 L JAVA % | 6 L NS % ")</f>
        <v xml:space="preserve">| 1 L INE @ | 3 P NS % | 5 L JAVA % | 6 L NS % </v>
      </c>
      <c r="AR335" s="4" t="str">
        <f ca="1">IFERROR(__xludf.DUMMYFUNCTION("""COMPUTED_VALUE"""),"| 1 P PHP-CGM % | 3 L CPT % | 3 P CPT @ | 5 L NS @ | 6 L CPT @ ")</f>
        <v xml:space="preserve">| 1 P PHP-CGM % | 3 L CPT % | 3 P CPT @ | 5 L NS @ | 6 L CPT @ </v>
      </c>
      <c r="AS335" s="4" t="str">
        <f ca="1">IFERROR(__xludf.DUMMYFUNCTION("""COMPUTED_VALUE"""),"| 1 P JAVA @ | 3 L PHP-CGM @ | 4 L JAVA @ | 5 P PRO @ ")</f>
        <v xml:space="preserve">| 1 P JAVA @ | 3 L PHP-CGM @ | 4 L JAVA @ | 5 P PRO @ </v>
      </c>
      <c r="AT33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35" s="4" t="str">
        <f ca="1">IFERROR(__xludf.DUMMYFUNCTION("""COMPUTED_VALUE"""),"| 1 L INE % | 3 P NS % | 5 L JAVA @ | 6 L NS @ ")</f>
        <v xml:space="preserve">| 1 L INE % | 3 P NS % | 5 L JAVA @ | 6 L NS @ </v>
      </c>
      <c r="AV335" s="4" t="str">
        <f ca="1">IFERROR(__xludf.DUMMYFUNCTION("""COMPUTED_VALUE"""),"| 1 P PHP-CGM % | 3 P CPT @ | 5 L NS % | 6 L CPT % ")</f>
        <v xml:space="preserve">| 1 P PHP-CGM % | 3 P CPT @ | 5 L NS % | 6 L CPT % </v>
      </c>
      <c r="AW335" s="4" t="str">
        <f ca="1">IFERROR(__xludf.DUMMYFUNCTION("""COMPUTED_VALUE"""),"| 1 P JAVA @ | 3 L CPT % | 4 L PHP-CGM % | 5 P Python % ")</f>
        <v xml:space="preserve">| 1 P JAVA @ | 3 L CPT % | 4 L PHP-CGM % | 5 P Python % </v>
      </c>
      <c r="AX335" s="4" t="str">
        <f ca="1">IFERROR(__xludf.DUMMYFUNCTION("""COMPUTED_VALUE"""),"| 1 P JAVA % | 3 L JAVA % | 4 L PHP-CGM % | 5 P PRO @ ")</f>
        <v xml:space="preserve">| 1 P JAVA % | 3 L JAVA % | 4 L PHP-CGM % | 5 P PRO @ </v>
      </c>
      <c r="AY335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35" s="4" t="str">
        <f ca="1">IFERROR(__xludf.DUMMYFUNCTION("""COMPUTED_VALUE"""),"| 1 P PHP-CGM % | 3 P CPT @ | 5 L NS % | 6 L CPT % ")</f>
        <v xml:space="preserve">| 1 P PHP-CGM % | 3 P CPT @ | 5 L NS % | 6 L CPT % </v>
      </c>
      <c r="BA335" s="4" t="str">
        <f ca="1">IFERROR(__xludf.DUMMYFUNCTION("""COMPUTED_VALUE"""),"| 1 P JAVA @ | 3 L CPT % | 4 L PHP-CGM % | 5 P Python @ ")</f>
        <v xml:space="preserve">| 1 P JAVA @ | 3 L CPT % | 4 L PHP-CGM % | 5 P Python @ </v>
      </c>
      <c r="BB335" s="4" t="str">
        <f ca="1">IFERROR(__xludf.DUMMYFUNCTION("""COMPUTED_VALUE"""),"| 1 P JAVA % | 3 L PHP-CGM % | 4 L JAVA % | 5 L PRO % ")</f>
        <v xml:space="preserve">| 1 P JAVA % | 3 L PHP-CGM % | 4 L JAVA % | 5 L PRO % </v>
      </c>
      <c r="BC33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35" s="4" t="str">
        <f ca="1">IFERROR(__xludf.DUMMYFUNCTION("""COMPUTED_VALUE"""),"| 1 L INE @ | 3 P NS % | 5 L JAVA % | 6 L NS % ")</f>
        <v xml:space="preserve">| 1 L INE @ | 3 P NS % | 5 L JAVA % | 6 L NS % </v>
      </c>
      <c r="BE335" s="4" t="str">
        <f ca="1">IFERROR(__xludf.DUMMYFUNCTION("""COMPUTED_VALUE"""),"| 1 P PHP-CGM @ | 3 P CPT @ | 5 L NS @ | 6 L CPT @ ")</f>
        <v xml:space="preserve">| 1 P PHP-CGM @ | 3 P CPT @ | 5 L NS @ | 6 L CPT @ </v>
      </c>
      <c r="BF335" s="4" t="str">
        <f ca="1">IFERROR(__xludf.DUMMYFUNCTION("""COMPUTED_VALUE"""),"| 1 P JAVA % | 3 L CPT % | 4 L PHP-CGM % | 5 P Python % ")</f>
        <v xml:space="preserve">| 1 P JAVA % | 3 L CPT % | 4 L PHP-CGM % | 5 P Python % </v>
      </c>
      <c r="BG33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35" s="4" t="str">
        <f ca="1">IFERROR(__xludf.DUMMYFUNCTION("""COMPUTED_VALUE"""),"| 1 L INE @ | 3 P NS % | 5 L JAVA @ | 6 L NS @ ")</f>
        <v xml:space="preserve">| 1 L INE @ | 3 P NS % | 5 L JAVA @ | 6 L NS @ </v>
      </c>
      <c r="BI335" s="4" t="str">
        <f ca="1">IFERROR(__xludf.DUMMYFUNCTION("""COMPUTED_VALUE"""),"| 1 P PHP-CGM % | 3 P CPT @ | 5 L NS % | 6 L CPT % ")</f>
        <v xml:space="preserve">| 1 P PHP-CGM % | 3 P CPT @ | 5 L NS % | 6 L CPT % </v>
      </c>
      <c r="BJ335" s="4" t="str">
        <f ca="1">IFERROR(__xludf.DUMMYFUNCTION("""COMPUTED_VALUE"""),"| 1 P JAVA % | 3 L CPT % | 4 L PHP-CGM % | 5 P Python @ ")</f>
        <v xml:space="preserve">| 1 P JAVA % | 3 L CPT % | 4 L PHP-CGM % | 5 P Python @ </v>
      </c>
      <c r="BK335" s="4" t="str">
        <f ca="1">IFERROR(__xludf.DUMMYFUNCTION("""COMPUTED_VALUE"""),"| 1 P JAVA @ | 3 L PHP-CGM @ | 4 L JAVA @ | 5 P PRO @ ")</f>
        <v xml:space="preserve">| 1 P JAVA @ | 3 L PHP-CGM @ | 4 L JAVA @ | 5 P PRO @ </v>
      </c>
      <c r="BL335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5" s="4" t="str">
        <f ca="1">IFERROR(__xludf.DUMMYFUNCTION("""COMPUTED_VALUE"""),"| 1 L INE @ | 3 P NS @ | 5 L JAVA @ | 6 L NS @ ")</f>
        <v xml:space="preserve">| 1 L INE @ | 3 P NS @ | 5 L JAVA @ | 6 L NS @ </v>
      </c>
      <c r="BN335" s="4" t="str">
        <f ca="1">IFERROR(__xludf.DUMMYFUNCTION("""COMPUTED_VALUE"""),"| 1 P PHP-CGM @ | 3 P CPT @ | 5 L NS @ | 6 L CPT @ ")</f>
        <v xml:space="preserve">| 1 P PHP-CGM @ | 3 P CPT @ | 5 L NS @ | 6 L CPT @ </v>
      </c>
      <c r="BO335" s="4" t="str">
        <f ca="1">IFERROR(__xludf.DUMMYFUNCTION("""COMPUTED_VALUE"""),"| 1 P JAVA @ | 4 L PHP-CGM @ | 3 L CPT @ | 5 P Python @ ")</f>
        <v xml:space="preserve">| 1 P JAVA @ | 4 L PHP-CGM @ | 3 L CPT @ | 5 P Python @ </v>
      </c>
      <c r="BP335" s="4" t="str">
        <f ca="1">IFERROR(__xludf.DUMMYFUNCTION("""COMPUTED_VALUE"""),"| 1 P JAVA % | 3 L PHP-CGM % | 4 L JAVA % | 5 P PRO @ ")</f>
        <v xml:space="preserve">| 1 P JAVA % | 3 L PHP-CGM % | 4 L JAVA % | 5 P PRO @ </v>
      </c>
      <c r="BQ335" s="4" t="str">
        <f ca="1">IFERROR(__xludf.DUMMYFUNCTION("""COMPUTED_VALUE"""),"| 6 L NS % | 5 L JAVA @ ")</f>
        <v xml:space="preserve">| 6 L NS % | 5 L JAVA @ </v>
      </c>
      <c r="BR335" s="4"/>
      <c r="BS335" s="4" t="str">
        <f ca="1">IFERROR(__xludf.DUMMYFUNCTION("""COMPUTED_VALUE"""),"| 4 L PHP-CGM % ")</f>
        <v xml:space="preserve">| 4 L PHP-CGM % </v>
      </c>
      <c r="BT335" s="4" t="str">
        <f ca="1">IFERROR(__xludf.DUMMYFUNCTION("""COMPUTED_VALUE"""),"| 1 P JAVA @ | 3 L PHP-CGM @ ")</f>
        <v xml:space="preserve">| 1 P JAVA @ | 3 L PHP-CGM @ </v>
      </c>
      <c r="BU335" s="4" t="str">
        <f ca="1">IFERROR(__xludf.DUMMYFUNCTION("""COMPUTED_VALUE"""),"| 1 L JAVA % | 2 L PHP-CGM % | 3 P Python % ")</f>
        <v xml:space="preserve">| 1 L JAVA % | 2 L PHP-CGM % | 3 P Python % </v>
      </c>
      <c r="BV335" s="4" t="str">
        <f ca="1">IFERROR(__xludf.DUMMYFUNCTION("""COMPUTED_VALUE"""),"| 1 P JAVA @ | 3 L PHP-CGM @ | 4 L JAVA @ | 5 P PRO @ ")</f>
        <v xml:space="preserve">| 1 P JAVA @ | 3 L PHP-CGM @ | 4 L JAVA @ | 5 P PRO @ </v>
      </c>
      <c r="BW335" s="4" t="str">
        <f ca="1">IFERROR(__xludf.DUMMYFUNCTION("""COMPUTED_VALUE"""),"| 1 L JAVA % | 2 L PHP-CGM % | 3 P Python % ")</f>
        <v xml:space="preserve">| 1 L JAVA % | 2 L PHP-CGM % | 3 P Python % </v>
      </c>
      <c r="BX335" s="4" t="str">
        <f ca="1">IFERROR(__xludf.DUMMYFUNCTION("""COMPUTED_VALUE"""),"| 1 L INE @ | 3 P NS % | 5 L JAVA % | 6 L NS % ")</f>
        <v xml:space="preserve">| 1 L INE @ | 3 P NS % | 5 L JAVA % | 6 L NS % </v>
      </c>
      <c r="BY335" s="4" t="str">
        <f ca="1">IFERROR(__xludf.DUMMYFUNCTION("""COMPUTED_VALUE"""),"| 1 P PHP-CGM % | 3 P CPT % | 5 L NS % | 6 L CPT % ")</f>
        <v xml:space="preserve">| 1 P PHP-CGM % | 3 P CPT % | 5 L NS % | 6 L CPT % </v>
      </c>
      <c r="BZ335" s="4" t="str">
        <f ca="1">IFERROR(__xludf.DUMMYFUNCTION("""COMPUTED_VALUE"""),"| 1 P JAVA @ | 3 L CPT % | 4 L PHP-CGM % | 5 P Python @ ")</f>
        <v xml:space="preserve">| 1 P JAVA @ | 3 L CPT % | 4 L PHP-CGM % | 5 P Python @ </v>
      </c>
      <c r="CA335" s="4" t="str">
        <f ca="1">IFERROR(__xludf.DUMMYFUNCTION("""COMPUTED_VALUE"""),"| 1 P JAVA % | 3 L PHP-CGM % | 3 L JAVA % | 5 P PRO @ ")</f>
        <v xml:space="preserve">| 1 P JAVA % | 3 L PHP-CGM % | 3 L JAVA % | 5 P PRO @ </v>
      </c>
      <c r="CB335" s="4" t="str">
        <f ca="1">IFERROR(__xludf.DUMMYFUNCTION("""COMPUTED_VALUE"""),"| 1 L JAVA % | 2 L PHP-CGM % | 3 P Python % | 6 L NS % | 5 L CPT @ ")</f>
        <v xml:space="preserve">| 1 L JAVA % | 2 L PHP-CGM % | 3 P Python % | 6 L NS % | 5 L CPT @ </v>
      </c>
      <c r="CC335" s="4" t="str">
        <f ca="1">IFERROR(__xludf.DUMMYFUNCTION("""COMPUTED_VALUE"""),"| 1 L INE % | 3 P NS % | 5 L JAVA @ | 6 L NS @ ")</f>
        <v xml:space="preserve">| 1 L INE % | 3 P NS % | 5 L JAVA @ | 6 L NS @ </v>
      </c>
      <c r="CD335" s="4" t="str">
        <f ca="1">IFERROR(__xludf.DUMMYFUNCTION("""COMPUTED_VALUE"""),"| 1 P PHP-CGM @ | 3 P CPT @ | 5 L NS @ | 6 L CPT @ ")</f>
        <v xml:space="preserve">| 1 P PHP-CGM @ | 3 P CPT @ | 5 L NS @ | 6 L CPT @ </v>
      </c>
      <c r="CE335" s="4" t="str">
        <f ca="1">IFERROR(__xludf.DUMMYFUNCTION("""COMPUTED_VALUE"""),"| 1 P JAVA @ | 3 L CPT @ | 4 L PHP-CGM @ | 5 P Python @ ")</f>
        <v xml:space="preserve">| 1 P JAVA @ | 3 L CPT @ | 4 L PHP-CGM @ | 5 P Python @ </v>
      </c>
      <c r="CF335" s="4" t="str">
        <f ca="1">IFERROR(__xludf.DUMMYFUNCTION("""COMPUTED_VALUE"""),"| 1 P JAVA % | 4 L JAVA % | 3 L PHP-CGM % | 5 L PRO % ")</f>
        <v xml:space="preserve">| 1 P JAVA % | 4 L JAVA % | 3 L PHP-CGM % | 5 L PRO % </v>
      </c>
      <c r="CG335" s="4" t="str">
        <f ca="1">IFERROR(__xludf.DUMMYFUNCTION("""COMPUTED_VALUE"""),"| 1 L JAVA % | 2 L PHP-CGM % | 3 P Python % | 6 L NS @ ")</f>
        <v xml:space="preserve">| 1 L JAVA % | 2 L PHP-CGM % | 3 P Python % | 6 L NS @ </v>
      </c>
      <c r="CH335" s="4" t="str">
        <f ca="1">IFERROR(__xludf.DUMMYFUNCTION("""COMPUTED_VALUE"""),"| 1 L INE @ | 3 P NS % | 5 L JAVA % | 6 L NS % ")</f>
        <v xml:space="preserve">| 1 L INE @ | 3 P NS % | 5 L JAVA % | 6 L NS % </v>
      </c>
      <c r="CI335" s="4" t="str">
        <f ca="1">IFERROR(__xludf.DUMMYFUNCTION("""COMPUTED_VALUE"""),"| 3 P CPT % | 5 L NS @ | 6 L CPT @ ")</f>
        <v xml:space="preserve">| 3 P CPT % | 5 L NS @ | 6 L CPT @ </v>
      </c>
      <c r="CJ335" s="4" t="str">
        <f ca="1">IFERROR(__xludf.DUMMYFUNCTION("""COMPUTED_VALUE"""),"| 3 L CPT @ ")</f>
        <v xml:space="preserve">| 3 L CPT @ </v>
      </c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</row>
    <row r="336" spans="1:102" ht="12.5" x14ac:dyDescent="0.25">
      <c r="A336" s="3">
        <f ca="1">IFERROR(__xludf.DUMMYFUNCTION("""COMPUTED_VALUE"""),1)</f>
        <v>1</v>
      </c>
      <c r="B336" s="3" t="str">
        <f ca="1">IFERROR(__xludf.DUMMYFUNCTION("""COMPUTED_VALUE"""),"ITA")</f>
        <v>ITA</v>
      </c>
      <c r="C336" s="32" t="str">
        <f ca="1">IFERROR(__xludf.DUMMYFUNCTION("""COMPUTED_VALUE"""),"22291371090")</f>
        <v>22291371090</v>
      </c>
      <c r="D336" s="4" t="str">
        <f ca="1">IFERROR(__xludf.DUMMYFUNCTION("""COMPUTED_VALUE"""),"PATEL RAJKUMAR BIPINBHAI")</f>
        <v>PATEL RAJKUMAR BIPINBHAI</v>
      </c>
      <c r="E336" s="3" t="str">
        <f ca="1">IFERROR(__xludf.DUMMYFUNCTION("""COMPUTED_VALUE"""),"Sweety - Mor")</f>
        <v>Sweety - Mor</v>
      </c>
      <c r="F336" s="3">
        <f ca="1">IFERROR(__xludf.DUMMYFUNCTION("""COMPUTED_VALUE"""),8128146203)</f>
        <v>8128146203</v>
      </c>
      <c r="G336" s="3">
        <f ca="1">IFERROR(__xludf.DUMMYFUNCTION("""COMPUTED_VALUE"""),8690746203)</f>
        <v>8690746203</v>
      </c>
      <c r="H336" s="33">
        <f ca="1">IFERROR(__xludf.DUMMYFUNCTION("""COMPUTED_VALUE"""),0.568548387096774)</f>
        <v>0.56854838709677402</v>
      </c>
      <c r="I336" s="25">
        <f ca="1">IFERROR(__xludf.DUMMYFUNCTION("""COMPUTED_VALUE"""),0.514285714285714)</f>
        <v>0.51428571428571401</v>
      </c>
      <c r="J336" s="25">
        <f ca="1">IFERROR(__xludf.DUMMYFUNCTION("""COMPUTED_VALUE"""),0.307692307692307)</f>
        <v>0.30769230769230699</v>
      </c>
      <c r="K336" s="25">
        <f ca="1">IFERROR(__xludf.DUMMYFUNCTION("""COMPUTED_VALUE"""),0.666666666666666)</f>
        <v>0.66666666666666596</v>
      </c>
      <c r="L336" s="25">
        <f ca="1">IFERROR(__xludf.DUMMYFUNCTION("""COMPUTED_VALUE"""),0.909090909090909)</f>
        <v>0.90909090909090895</v>
      </c>
      <c r="M336" s="25">
        <f ca="1">IFERROR(__xludf.DUMMYFUNCTION("""COMPUTED_VALUE"""),0.605263157894736)</f>
        <v>0.60526315789473595</v>
      </c>
      <c r="N336" s="25">
        <f ca="1">IFERROR(__xludf.DUMMYFUNCTION("""COMPUTED_VALUE"""),0.636363636363636)</f>
        <v>0.63636363636363602</v>
      </c>
      <c r="O336" s="25">
        <f ca="1">IFERROR(__xludf.DUMMYFUNCTION("""COMPUTED_VALUE"""),0.666666666666666)</f>
        <v>0.66666666666666596</v>
      </c>
      <c r="P336" s="25">
        <f ca="1">IFERROR(__xludf.DUMMYFUNCTION("""COMPUTED_VALUE"""),0.5)</f>
        <v>0.5</v>
      </c>
      <c r="Q336" s="25">
        <f ca="1">IFERROR(__xludf.DUMMYFUNCTION("""COMPUTED_VALUE"""),0)</f>
        <v>0</v>
      </c>
      <c r="R336" s="25">
        <f ca="1">IFERROR(__xludf.DUMMYFUNCTION("""COMPUTED_VALUE"""),0.541666666666666)</f>
        <v>0.54166666666666596</v>
      </c>
      <c r="S336" s="25">
        <f ca="1">IFERROR(__xludf.DUMMYFUNCTION("""COMPUTED_VALUE"""),0.666666666666666)</f>
        <v>0.66666666666666596</v>
      </c>
      <c r="T336" s="25">
        <f ca="1">IFERROR(__xludf.DUMMYFUNCTION("""COMPUTED_VALUE"""),0.222222222222222)</f>
        <v>0.22222222222222199</v>
      </c>
      <c r="U336" s="25">
        <f ca="1">IFERROR(__xludf.DUMMYFUNCTION("""COMPUTED_VALUE"""),0.25)</f>
        <v>0.25</v>
      </c>
      <c r="V336" s="25">
        <f ca="1">IFERROR(__xludf.DUMMYFUNCTION("""COMPUTED_VALUE"""),0)</f>
        <v>0</v>
      </c>
      <c r="W336" s="4"/>
      <c r="X336" s="4" t="str">
        <f ca="1">IFERROR(__xludf.DUMMYFUNCTION("""COMPUTED_VALUE"""),"| 1 P JAVA @ | 4 L JAVA @ | 3 L PHP-CGM @ | 1 L PRO @ ")</f>
        <v xml:space="preserve">| 1 P JAVA @ | 4 L JAVA @ | 3 L PHP-CGM @ | 1 L PRO @ </v>
      </c>
      <c r="Y336" s="4" t="str">
        <f ca="1">IFERROR(__xludf.DUMMYFUNCTION("""COMPUTED_VALUE"""),"| 1 L JAVA @ | 2 L PHP-CGM % | 3 P Python @ | 5 L CPT @ | 6 L NS @ ")</f>
        <v xml:space="preserve">| 1 L JAVA @ | 2 L PHP-CGM % | 3 P Python @ | 5 L CPT @ | 6 L NS @ </v>
      </c>
      <c r="Z336" s="4" t="str">
        <f ca="1">IFERROR(__xludf.DUMMYFUNCTION("""COMPUTED_VALUE"""),"| 3 P NS % | 5 L JAVA % | 6 L NS % ")</f>
        <v xml:space="preserve">| 3 P NS % | 5 L JAVA % | 6 L NS % </v>
      </c>
      <c r="AA336" s="4" t="str">
        <f ca="1">IFERROR(__xludf.DUMMYFUNCTION("""COMPUTED_VALUE"""),"| 3 P CPT % | 5 L NS % | 6 L CPT % ")</f>
        <v xml:space="preserve">| 3 P CPT % | 5 L NS % | 6 L CPT % </v>
      </c>
      <c r="AB336" s="4" t="str">
        <f ca="1">IFERROR(__xludf.DUMMYFUNCTION("""COMPUTED_VALUE"""),"| 1 P JAVA @ | 3 L CPT @ | 4 L PHP-CGM @ | 5 P Python @ ")</f>
        <v xml:space="preserve">| 1 P JAVA @ | 3 L CPT @ | 4 L PHP-CGM @ | 5 P Python @ </v>
      </c>
      <c r="AC336" s="4" t="str">
        <f ca="1">IFERROR(__xludf.DUMMYFUNCTION("""COMPUTED_VALUE"""),"| 1 P JAVA % | 3 L PHP-CGM % | 5 P PRO % ")</f>
        <v xml:space="preserve">| 1 P JAVA % | 3 L PHP-CGM % | 5 P PRO % </v>
      </c>
      <c r="AD336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36" s="4" t="str">
        <f ca="1">IFERROR(__xludf.DUMMYFUNCTION("""COMPUTED_VALUE"""),"| 3 P NS % | 5 L JAVA % | 6 L NS % ")</f>
        <v xml:space="preserve">| 3 P NS % | 5 L JAVA % | 6 L NS % </v>
      </c>
      <c r="AF336" s="4" t="str">
        <f ca="1">IFERROR(__xludf.DUMMYFUNCTION("""COMPUTED_VALUE"""),"| 1 P PHP-CGM % | 3 P CPT @ | 5 L NS % | 6 L CPT % ")</f>
        <v xml:space="preserve">| 1 P PHP-CGM % | 3 P CPT @ | 5 L NS % | 6 L CPT % </v>
      </c>
      <c r="AG336" s="4" t="str">
        <f ca="1">IFERROR(__xludf.DUMMYFUNCTION("""COMPUTED_VALUE"""),"| 1 P JAVA @ | 3 L CPT @ | 4 L PHP-CGM @ | 5 P Python @ ")</f>
        <v xml:space="preserve">| 1 P JAVA @ | 3 L CPT @ | 4 L PHP-CGM @ | 5 P Python @ </v>
      </c>
      <c r="AH336" s="4" t="str">
        <f ca="1">IFERROR(__xludf.DUMMYFUNCTION("""COMPUTED_VALUE"""),"| 1 P PHP-CGM % | 3 P CPT % | 5 L NS % | 6 L CPT % ")</f>
        <v xml:space="preserve">| 1 P PHP-CGM % | 3 P CPT % | 5 L NS % | 6 L CPT % </v>
      </c>
      <c r="AI336" s="4" t="str">
        <f ca="1">IFERROR(__xludf.DUMMYFUNCTION("""COMPUTED_VALUE"""),"| 1 P JAVA % | 3 L CPT % | 4 L PHP-CGM % | 5 P Python % ")</f>
        <v xml:space="preserve">| 1 P JAVA % | 3 L CPT % | 4 L PHP-CGM % | 5 P Python % </v>
      </c>
      <c r="AJ336" s="4" t="str">
        <f ca="1">IFERROR(__xludf.DUMMYFUNCTION("""COMPUTED_VALUE"""),"| 1 P JAVA % | 3 L PHP-CGM % | 4 L JAVA % | 5 P PRO % ")</f>
        <v xml:space="preserve">| 1 P JAVA % | 3 L PHP-CGM % | 4 L JAVA % | 5 P PRO % </v>
      </c>
      <c r="AK33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36" s="4" t="str">
        <f ca="1">IFERROR(__xludf.DUMMYFUNCTION("""COMPUTED_VALUE"""),"| 3 P NS % | 5 L JAVA % | 6 L NS % ")</f>
        <v xml:space="preserve">| 3 P NS % | 5 L JAVA % | 6 L NS % </v>
      </c>
      <c r="AM336" s="4" t="str">
        <f ca="1">IFERROR(__xludf.DUMMYFUNCTION("""COMPUTED_VALUE"""),"| 1 P PHP-CGM % | 3 P CPT @ | 5 L NS % | 6 L CPT % ")</f>
        <v xml:space="preserve">| 1 P PHP-CGM % | 3 P CPT @ | 5 L NS % | 6 L CPT % </v>
      </c>
      <c r="AN336" s="4" t="str">
        <f ca="1">IFERROR(__xludf.DUMMYFUNCTION("""COMPUTED_VALUE"""),"| 1 P JAVA % | 4 L PHP-CGM % | 5 P Python % ")</f>
        <v xml:space="preserve">| 1 P JAVA % | 4 L PHP-CGM % | 5 P Python % </v>
      </c>
      <c r="AO336" s="4" t="str">
        <f ca="1">IFERROR(__xludf.DUMMYFUNCTION("""COMPUTED_VALUE"""),"| 1 P JAVA % | 3 L PHP-CGM % | 4 L JAVA % | 5 P PRO @ ")</f>
        <v xml:space="preserve">| 1 P JAVA % | 3 L PHP-CGM % | 4 L JAVA % | 5 P PRO @ </v>
      </c>
      <c r="AP336" s="4" t="str">
        <f ca="1">IFERROR(__xludf.DUMMYFUNCTION("""COMPUTED_VALUE"""),"| 1 L JAVA @ | 2 L PHP-CGM @ | 3 P Python % | 5 L CPT % | 6 L NS % ")</f>
        <v xml:space="preserve">| 1 L JAVA @ | 2 L PHP-CGM @ | 3 P Python % | 5 L CPT % | 6 L NS % </v>
      </c>
      <c r="AQ336" s="4" t="str">
        <f ca="1">IFERROR(__xludf.DUMMYFUNCTION("""COMPUTED_VALUE"""),"| 1 L INE @ | 3 P NS % | 5 L JAVA % | 6 L NS % ")</f>
        <v xml:space="preserve">| 1 L INE @ | 3 P NS % | 5 L JAVA % | 6 L NS % </v>
      </c>
      <c r="AR336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36" s="4" t="str">
        <f ca="1">IFERROR(__xludf.DUMMYFUNCTION("""COMPUTED_VALUE"""),"| 1 P JAVA @ | 3 L PHP-CGM @ | 4 L JAVA @ | 5 P PRO @ ")</f>
        <v xml:space="preserve">| 1 P JAVA @ | 3 L PHP-CGM @ | 4 L JAVA @ | 5 P PRO @ </v>
      </c>
      <c r="AT33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36" s="4" t="str">
        <f ca="1">IFERROR(__xludf.DUMMYFUNCTION("""COMPUTED_VALUE"""),"| 1 L INE % | 3 P NS % | 5 L JAVA @ | 6 L NS @ ")</f>
        <v xml:space="preserve">| 1 L INE % | 3 P NS % | 5 L JAVA @ | 6 L NS @ </v>
      </c>
      <c r="AV336" s="4" t="str">
        <f ca="1">IFERROR(__xludf.DUMMYFUNCTION("""COMPUTED_VALUE"""),"| 1 P PHP-CGM % | 3 P CPT @ | 5 L NS % | 6 L CPT % ")</f>
        <v xml:space="preserve">| 1 P PHP-CGM % | 3 P CPT @ | 5 L NS % | 6 L CPT % </v>
      </c>
      <c r="AW336" s="4" t="str">
        <f ca="1">IFERROR(__xludf.DUMMYFUNCTION("""COMPUTED_VALUE"""),"| 1 P JAVA @ | 3 L CPT @ | 4 L PHP-CGM @ | 5 P Python @ ")</f>
        <v xml:space="preserve">| 1 P JAVA @ | 3 L CPT @ | 4 L PHP-CGM @ | 5 P Python @ </v>
      </c>
      <c r="AX336" s="4" t="str">
        <f ca="1">IFERROR(__xludf.DUMMYFUNCTION("""COMPUTED_VALUE"""),"| 1 P JAVA % | 3 L JAVA % | 4 L PHP-CGM % | 5 P PRO @ ")</f>
        <v xml:space="preserve">| 1 P JAVA % | 3 L JAVA % | 4 L PHP-CGM % | 5 P PRO @ </v>
      </c>
      <c r="AY336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36" s="4" t="str">
        <f ca="1">IFERROR(__xludf.DUMMYFUNCTION("""COMPUTED_VALUE"""),"| 1 P PHP-CGM @ | 3 P CPT @ | 5 L NS @ | 6 L CPT @ ")</f>
        <v xml:space="preserve">| 1 P PHP-CGM @ | 3 P CPT @ | 5 L NS @ | 6 L CPT @ </v>
      </c>
      <c r="BA336" s="4" t="str">
        <f ca="1">IFERROR(__xludf.DUMMYFUNCTION("""COMPUTED_VALUE"""),"| 1 P JAVA @ | 3 L CPT @ | 4 L PHP-CGM @ | 5 P Python @ ")</f>
        <v xml:space="preserve">| 1 P JAVA @ | 3 L CPT @ | 4 L PHP-CGM @ | 5 P Python @ </v>
      </c>
      <c r="BB336" s="4" t="str">
        <f ca="1">IFERROR(__xludf.DUMMYFUNCTION("""COMPUTED_VALUE"""),"| 1 P JAVA % | 3 L PHP-CGM % | 4 L JAVA % | 5 L PRO % ")</f>
        <v xml:space="preserve">| 1 P JAVA % | 3 L PHP-CGM % | 4 L JAVA % | 5 L PRO % </v>
      </c>
      <c r="BC33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36" s="4" t="str">
        <f ca="1">IFERROR(__xludf.DUMMYFUNCTION("""COMPUTED_VALUE"""),"| 1 L INE @ | 3 P NS % | 5 L JAVA % | 6 L NS % ")</f>
        <v xml:space="preserve">| 1 L INE @ | 3 P NS % | 5 L JAVA % | 6 L NS % </v>
      </c>
      <c r="BE336" s="4" t="str">
        <f ca="1">IFERROR(__xludf.DUMMYFUNCTION("""COMPUTED_VALUE"""),"| 1 P PHP-CGM % | 3 P CPT @ | 5 L NS @ | 6 L CPT @ ")</f>
        <v xml:space="preserve">| 1 P PHP-CGM % | 3 P CPT @ | 5 L NS @ | 6 L CPT @ </v>
      </c>
      <c r="BF336" s="4" t="str">
        <f ca="1">IFERROR(__xludf.DUMMYFUNCTION("""COMPUTED_VALUE"""),"| 1 P JAVA % | 3 L CPT % | 4 L PHP-CGM % | 5 P Python % ")</f>
        <v xml:space="preserve">| 1 P JAVA % | 3 L CPT % | 4 L PHP-CGM % | 5 P Python % </v>
      </c>
      <c r="BG33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36" s="4" t="str">
        <f ca="1">IFERROR(__xludf.DUMMYFUNCTION("""COMPUTED_VALUE"""),"| 1 L INE @ | 3 P NS % | 5 L JAVA % | 6 L NS % ")</f>
        <v xml:space="preserve">| 1 L INE @ | 3 P NS % | 5 L JAVA % | 6 L NS % </v>
      </c>
      <c r="BI336" s="4" t="str">
        <f ca="1">IFERROR(__xludf.DUMMYFUNCTION("""COMPUTED_VALUE"""),"| 1 P PHP-CGM % | 3 P CPT @ | 5 L NS % | 6 L CPT % ")</f>
        <v xml:space="preserve">| 1 P PHP-CGM % | 3 P CPT @ | 5 L NS % | 6 L CPT % </v>
      </c>
      <c r="BJ336" s="4" t="str">
        <f ca="1">IFERROR(__xludf.DUMMYFUNCTION("""COMPUTED_VALUE"""),"| 1 P JAVA @ | 3 L CPT @ | 4 L PHP-CGM @ | 5 P Python @ ")</f>
        <v xml:space="preserve">| 1 P JAVA @ | 3 L CPT @ | 4 L PHP-CGM @ | 5 P Python @ </v>
      </c>
      <c r="BK336" s="4" t="str">
        <f ca="1">IFERROR(__xludf.DUMMYFUNCTION("""COMPUTED_VALUE"""),"| 1 P JAVA @ | 3 L PHP-CGM @ | 4 L JAVA @ | 5 P PRO @ ")</f>
        <v xml:space="preserve">| 1 P JAVA @ | 3 L PHP-CGM @ | 4 L JAVA @ | 5 P PRO @ </v>
      </c>
      <c r="BL336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6" s="4" t="str">
        <f ca="1">IFERROR(__xludf.DUMMYFUNCTION("""COMPUTED_VALUE"""),"| 1 L INE @ | 3 P NS @ | 5 L JAVA @ | 6 L NS @ ")</f>
        <v xml:space="preserve">| 1 L INE @ | 3 P NS @ | 5 L JAVA @ | 6 L NS @ </v>
      </c>
      <c r="BN336" s="4" t="str">
        <f ca="1">IFERROR(__xludf.DUMMYFUNCTION("""COMPUTED_VALUE"""),"| 1 P PHP-CGM @ | 3 P CPT @ | 5 L NS @ | 6 L CPT @ ")</f>
        <v xml:space="preserve">| 1 P PHP-CGM @ | 3 P CPT @ | 5 L NS @ | 6 L CPT @ </v>
      </c>
      <c r="BO336" s="4" t="str">
        <f ca="1">IFERROR(__xludf.DUMMYFUNCTION("""COMPUTED_VALUE"""),"| 1 P JAVA @ | 4 L PHP-CGM @ | 3 L CPT @ | 5 P Python @ ")</f>
        <v xml:space="preserve">| 1 P JAVA @ | 4 L PHP-CGM @ | 3 L CPT @ | 5 P Python @ </v>
      </c>
      <c r="BP336" s="4" t="str">
        <f ca="1">IFERROR(__xludf.DUMMYFUNCTION("""COMPUTED_VALUE"""),"| 1 P JAVA % | 3 L PHP-CGM % | 4 L JAVA % | 5 P PRO @ ")</f>
        <v xml:space="preserve">| 1 P JAVA % | 3 L PHP-CGM % | 4 L JAVA % | 5 P PRO @ </v>
      </c>
      <c r="BQ336" s="4" t="str">
        <f ca="1">IFERROR(__xludf.DUMMYFUNCTION("""COMPUTED_VALUE"""),"| 6 L NS % | 5 L JAVA @ ")</f>
        <v xml:space="preserve">| 6 L NS % | 5 L JAVA @ </v>
      </c>
      <c r="BR336" s="4"/>
      <c r="BS336" s="4" t="str">
        <f ca="1">IFERROR(__xludf.DUMMYFUNCTION("""COMPUTED_VALUE"""),"| 4 L PHP-CGM % ")</f>
        <v xml:space="preserve">| 4 L PHP-CGM % </v>
      </c>
      <c r="BT336" s="4" t="str">
        <f ca="1">IFERROR(__xludf.DUMMYFUNCTION("""COMPUTED_VALUE"""),"| 1 P JAVA @ | 3 L PHP-CGM @ ")</f>
        <v xml:space="preserve">| 1 P JAVA @ | 3 L PHP-CGM @ </v>
      </c>
      <c r="BU336" s="4" t="str">
        <f ca="1">IFERROR(__xludf.DUMMYFUNCTION("""COMPUTED_VALUE"""),"| 1 L JAVA @ | 2 L PHP-CGM @ | 3 P Python @ ")</f>
        <v xml:space="preserve">| 1 L JAVA @ | 2 L PHP-CGM @ | 3 P Python @ </v>
      </c>
      <c r="BV336" s="4" t="str">
        <f ca="1">IFERROR(__xludf.DUMMYFUNCTION("""COMPUTED_VALUE"""),"| 1 P JAVA @ | 3 L PHP-CGM @ | 4 L JAVA @ | 5 P PRO @ ")</f>
        <v xml:space="preserve">| 1 P JAVA @ | 3 L PHP-CGM @ | 4 L JAVA @ | 5 P PRO @ </v>
      </c>
      <c r="BW336" s="4" t="str">
        <f ca="1">IFERROR(__xludf.DUMMYFUNCTION("""COMPUTED_VALUE"""),"| 1 L JAVA % | 2 L PHP-CGM % | 3 P Python % ")</f>
        <v xml:space="preserve">| 1 L JAVA % | 2 L PHP-CGM % | 3 P Python % </v>
      </c>
      <c r="BX336" s="4" t="str">
        <f ca="1">IFERROR(__xludf.DUMMYFUNCTION("""COMPUTED_VALUE"""),"| 1 L INE @ | 3 P NS % | 5 L JAVA % | 6 L NS % ")</f>
        <v xml:space="preserve">| 1 L INE @ | 3 P NS % | 5 L JAVA % | 6 L NS % </v>
      </c>
      <c r="BY336" s="4" t="str">
        <f ca="1">IFERROR(__xludf.DUMMYFUNCTION("""COMPUTED_VALUE"""),"| 1 P PHP-CGM % | 3 P CPT % | 5 L NS % | 6 L CPT % ")</f>
        <v xml:space="preserve">| 1 P PHP-CGM % | 3 P CPT % | 5 L NS % | 6 L CPT % </v>
      </c>
      <c r="BZ336" s="4" t="str">
        <f ca="1">IFERROR(__xludf.DUMMYFUNCTION("""COMPUTED_VALUE"""),"| 1 P JAVA @ | 3 L CPT % | 4 L PHP-CGM % | 5 P Python @ ")</f>
        <v xml:space="preserve">| 1 P JAVA @ | 3 L CPT % | 4 L PHP-CGM % | 5 P Python @ </v>
      </c>
      <c r="CA336" s="4" t="str">
        <f ca="1">IFERROR(__xludf.DUMMYFUNCTION("""COMPUTED_VALUE"""),"| 1 P JAVA % | 3 L PHP-CGM % | 3 L JAVA % | 5 P PRO @ ")</f>
        <v xml:space="preserve">| 1 P JAVA % | 3 L PHP-CGM % | 3 L JAVA % | 5 P PRO @ </v>
      </c>
      <c r="CB336" s="4" t="str">
        <f ca="1">IFERROR(__xludf.DUMMYFUNCTION("""COMPUTED_VALUE"""),"| 1 L JAVA % | 2 L PHP-CGM % | 3 P Python % | 6 L NS % | 5 L CPT @ ")</f>
        <v xml:space="preserve">| 1 L JAVA % | 2 L PHP-CGM % | 3 P Python % | 6 L NS % | 5 L CPT @ </v>
      </c>
      <c r="CC336" s="4" t="str">
        <f ca="1">IFERROR(__xludf.DUMMYFUNCTION("""COMPUTED_VALUE"""),"| 1 L INE % | 3 P NS % | 5 L JAVA @ | 6 L NS @ ")</f>
        <v xml:space="preserve">| 1 L INE % | 3 P NS % | 5 L JAVA @ | 6 L NS @ </v>
      </c>
      <c r="CD336" s="4" t="str">
        <f ca="1">IFERROR(__xludf.DUMMYFUNCTION("""COMPUTED_VALUE"""),"| 1 P PHP-CGM @ | 3 P CPT @ | 5 L NS @ | 6 L CPT @ ")</f>
        <v xml:space="preserve">| 1 P PHP-CGM @ | 3 P CPT @ | 5 L NS @ | 6 L CPT @ </v>
      </c>
      <c r="CE336" s="4" t="str">
        <f ca="1">IFERROR(__xludf.DUMMYFUNCTION("""COMPUTED_VALUE"""),"| 1 P JAVA % | 3 L CPT @ | 4 L PHP-CGM @ | 5 P Python @ ")</f>
        <v xml:space="preserve">| 1 P JAVA % | 3 L CPT @ | 4 L PHP-CGM @ | 5 P Python @ </v>
      </c>
      <c r="CF336" s="4" t="str">
        <f ca="1">IFERROR(__xludf.DUMMYFUNCTION("""COMPUTED_VALUE"""),"| 1 P JAVA % | 4 L JAVA % | 3 L PHP-CGM % | 5 L PRO % ")</f>
        <v xml:space="preserve">| 1 P JAVA % | 4 L JAVA % | 3 L PHP-CGM % | 5 L PRO % </v>
      </c>
      <c r="CG336" s="4" t="str">
        <f ca="1">IFERROR(__xludf.DUMMYFUNCTION("""COMPUTED_VALUE"""),"| 1 L JAVA % | 2 L PHP-CGM % | 3 P Python % | 6 L NS @ ")</f>
        <v xml:space="preserve">| 1 L JAVA % | 2 L PHP-CGM % | 3 P Python % | 6 L NS @ </v>
      </c>
      <c r="CH336" s="4" t="str">
        <f ca="1">IFERROR(__xludf.DUMMYFUNCTION("""COMPUTED_VALUE"""),"| 1 L INE @ | 3 P NS % | 5 L JAVA % | 6 L NS % ")</f>
        <v xml:space="preserve">| 1 L INE @ | 3 P NS % | 5 L JAVA % | 6 L NS % </v>
      </c>
      <c r="CI336" s="4" t="str">
        <f ca="1">IFERROR(__xludf.DUMMYFUNCTION("""COMPUTED_VALUE"""),"| 3 P CPT % | 5 L NS @ | 6 L CPT @ ")</f>
        <v xml:space="preserve">| 3 P CPT % | 5 L NS @ | 6 L CPT @ </v>
      </c>
      <c r="CJ336" s="4" t="str">
        <f ca="1">IFERROR(__xludf.DUMMYFUNCTION("""COMPUTED_VALUE"""),"| 3 L CPT @ ")</f>
        <v xml:space="preserve">| 3 L CPT @ </v>
      </c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</row>
    <row r="337" spans="1:102" ht="12.5" x14ac:dyDescent="0.25">
      <c r="A337" s="3">
        <f ca="1">IFERROR(__xludf.DUMMYFUNCTION("""COMPUTED_VALUE"""),1)</f>
        <v>1</v>
      </c>
      <c r="B337" s="3" t="str">
        <f ca="1">IFERROR(__xludf.DUMMYFUNCTION("""COMPUTED_VALUE"""),"ITA")</f>
        <v>ITA</v>
      </c>
      <c r="C337" s="32" t="str">
        <f ca="1">IFERROR(__xludf.DUMMYFUNCTION("""COMPUTED_VALUE"""),"22291371103")</f>
        <v>22291371103</v>
      </c>
      <c r="D337" s="4" t="str">
        <f ca="1">IFERROR(__xludf.DUMMYFUNCTION("""COMPUTED_VALUE"""),"PATEL VED VIKRAMBHAI")</f>
        <v>PATEL VED VIKRAMBHAI</v>
      </c>
      <c r="E337" s="3" t="str">
        <f ca="1">IFERROR(__xludf.DUMMYFUNCTION("""COMPUTED_VALUE"""),"Sweety - Mor")</f>
        <v>Sweety - Mor</v>
      </c>
      <c r="F337" s="3">
        <f ca="1">IFERROR(__xludf.DUMMYFUNCTION("""COMPUTED_VALUE"""),8140416551)</f>
        <v>8140416551</v>
      </c>
      <c r="G337" s="3">
        <f ca="1">IFERROR(__xludf.DUMMYFUNCTION("""COMPUTED_VALUE"""),9723731760)</f>
        <v>9723731760</v>
      </c>
      <c r="H337" s="33">
        <f ca="1">IFERROR(__xludf.DUMMYFUNCTION("""COMPUTED_VALUE"""),0.584677419354838)</f>
        <v>0.58467741935483797</v>
      </c>
      <c r="I337" s="25">
        <f ca="1">IFERROR(__xludf.DUMMYFUNCTION("""COMPUTED_VALUE"""),0.6)</f>
        <v>0.6</v>
      </c>
      <c r="J337" s="25">
        <f ca="1">IFERROR(__xludf.DUMMYFUNCTION("""COMPUTED_VALUE"""),0.461538461538461)</f>
        <v>0.46153846153846101</v>
      </c>
      <c r="K337" s="25">
        <f ca="1">IFERROR(__xludf.DUMMYFUNCTION("""COMPUTED_VALUE"""),0.611111111111111)</f>
        <v>0.61111111111111105</v>
      </c>
      <c r="L337" s="25">
        <f ca="1">IFERROR(__xludf.DUMMYFUNCTION("""COMPUTED_VALUE"""),0.727272727272727)</f>
        <v>0.72727272727272696</v>
      </c>
      <c r="M337" s="25">
        <f ca="1">IFERROR(__xludf.DUMMYFUNCTION("""COMPUTED_VALUE"""),0.736842105263157)</f>
        <v>0.73684210526315697</v>
      </c>
      <c r="N337" s="25">
        <f ca="1">IFERROR(__xludf.DUMMYFUNCTION("""COMPUTED_VALUE"""),0.636363636363636)</f>
        <v>0.63636363636363602</v>
      </c>
      <c r="O337" s="25">
        <f ca="1">IFERROR(__xludf.DUMMYFUNCTION("""COMPUTED_VALUE"""),0.694444444444444)</f>
        <v>0.69444444444444398</v>
      </c>
      <c r="P337" s="25">
        <f ca="1">IFERROR(__xludf.DUMMYFUNCTION("""COMPUTED_VALUE"""),0.416666666666666)</f>
        <v>0.41666666666666602</v>
      </c>
      <c r="Q337" s="25">
        <f ca="1">IFERROR(__xludf.DUMMYFUNCTION("""COMPUTED_VALUE"""),0)</f>
        <v>0</v>
      </c>
      <c r="R337" s="25">
        <f ca="1">IFERROR(__xludf.DUMMYFUNCTION("""COMPUTED_VALUE"""),0.5)</f>
        <v>0.5</v>
      </c>
      <c r="S337" s="25">
        <f ca="1">IFERROR(__xludf.DUMMYFUNCTION("""COMPUTED_VALUE"""),0.666666666666666)</f>
        <v>0.66666666666666596</v>
      </c>
      <c r="T337" s="25">
        <f ca="1">IFERROR(__xludf.DUMMYFUNCTION("""COMPUTED_VALUE"""),0.222222222222222)</f>
        <v>0.22222222222222199</v>
      </c>
      <c r="U337" s="25">
        <f ca="1">IFERROR(__xludf.DUMMYFUNCTION("""COMPUTED_VALUE"""),0.25)</f>
        <v>0.25</v>
      </c>
      <c r="V337" s="25">
        <f ca="1">IFERROR(__xludf.DUMMYFUNCTION("""COMPUTED_VALUE"""),0)</f>
        <v>0</v>
      </c>
      <c r="W337" s="4"/>
      <c r="X337" s="4" t="str">
        <f ca="1">IFERROR(__xludf.DUMMYFUNCTION("""COMPUTED_VALUE"""),"| 1 P JAVA @ | 4 L JAVA % | 3 L PHP-CGM % | 1 L PRO @ ")</f>
        <v xml:space="preserve">| 1 P JAVA @ | 4 L JAVA % | 3 L PHP-CGM % | 1 L PRO @ </v>
      </c>
      <c r="Y337" s="4" t="str">
        <f ca="1">IFERROR(__xludf.DUMMYFUNCTION("""COMPUTED_VALUE"""),"| 1 L JAVA @ | 2 L PHP-CGM % | 3 P Python @ | 5 L CPT @ | 6 L NS @ ")</f>
        <v xml:space="preserve">| 1 L JAVA @ | 2 L PHP-CGM % | 3 P Python @ | 5 L CPT @ | 6 L NS @ </v>
      </c>
      <c r="Z337" s="4" t="str">
        <f ca="1">IFERROR(__xludf.DUMMYFUNCTION("""COMPUTED_VALUE"""),"| 3 P NS % | 5 L JAVA % | 6 L NS % ")</f>
        <v xml:space="preserve">| 3 P NS % | 5 L JAVA % | 6 L NS % </v>
      </c>
      <c r="AA337" s="4" t="str">
        <f ca="1">IFERROR(__xludf.DUMMYFUNCTION("""COMPUTED_VALUE"""),"| 3 P CPT % | 5 L NS % | 6 L CPT % ")</f>
        <v xml:space="preserve">| 3 P CPT % | 5 L NS % | 6 L CPT % </v>
      </c>
      <c r="AB337" s="4" t="str">
        <f ca="1">IFERROR(__xludf.DUMMYFUNCTION("""COMPUTED_VALUE"""),"| 1 P JAVA % | 3 L CPT % | 4 L PHP-CGM % | 5 P Python @ ")</f>
        <v xml:space="preserve">| 1 P JAVA % | 3 L CPT % | 4 L PHP-CGM % | 5 P Python @ </v>
      </c>
      <c r="AC337" s="4" t="str">
        <f ca="1">IFERROR(__xludf.DUMMYFUNCTION("""COMPUTED_VALUE"""),"| 1 P JAVA @ | 3 L PHP-CGM @ | 5 P PRO @ ")</f>
        <v xml:space="preserve">| 1 P JAVA @ | 3 L PHP-CGM @ | 5 P PRO @ </v>
      </c>
      <c r="AD337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37" s="4" t="str">
        <f ca="1">IFERROR(__xludf.DUMMYFUNCTION("""COMPUTED_VALUE"""),"| 3 P NS % | 5 L JAVA % | 6 L NS % ")</f>
        <v xml:space="preserve">| 3 P NS % | 5 L JAVA % | 6 L NS % </v>
      </c>
      <c r="AF337" s="4" t="str">
        <f ca="1">IFERROR(__xludf.DUMMYFUNCTION("""COMPUTED_VALUE"""),"| 1 P PHP-CGM % | 3 P CPT @ | 5 L NS % | 6 L CPT % ")</f>
        <v xml:space="preserve">| 1 P PHP-CGM % | 3 P CPT @ | 5 L NS % | 6 L CPT % </v>
      </c>
      <c r="AG337" s="4" t="str">
        <f ca="1">IFERROR(__xludf.DUMMYFUNCTION("""COMPUTED_VALUE"""),"| 1 P JAVA @ | 3 L CPT % | 4 L PHP-CGM % | 5 P Python % ")</f>
        <v xml:space="preserve">| 1 P JAVA @ | 3 L CPT % | 4 L PHP-CGM % | 5 P Python % </v>
      </c>
      <c r="AH337" s="4" t="str">
        <f ca="1">IFERROR(__xludf.DUMMYFUNCTION("""COMPUTED_VALUE"""),"| 1 P PHP-CGM % | 3 P CPT % | 5 L NS % | 6 L CPT % ")</f>
        <v xml:space="preserve">| 1 P PHP-CGM % | 3 P CPT % | 5 L NS % | 6 L CPT % </v>
      </c>
      <c r="AI337" s="4" t="str">
        <f ca="1">IFERROR(__xludf.DUMMYFUNCTION("""COMPUTED_VALUE"""),"| 1 P JAVA % | 3 L CPT % | 4 L PHP-CGM % | 5 P Python % ")</f>
        <v xml:space="preserve">| 1 P JAVA % | 3 L CPT % | 4 L PHP-CGM % | 5 P Python % </v>
      </c>
      <c r="AJ337" s="4" t="str">
        <f ca="1">IFERROR(__xludf.DUMMYFUNCTION("""COMPUTED_VALUE"""),"| 1 P JAVA % | 3 L PHP-CGM % | 4 L JAVA % | 5 P PRO % ")</f>
        <v xml:space="preserve">| 1 P JAVA % | 3 L PHP-CGM % | 4 L JAVA % | 5 P PRO % </v>
      </c>
      <c r="AK337" s="4" t="str">
        <f ca="1">IFERROR(__xludf.DUMMYFUNCTION("""COMPUTED_VALUE"""),"| 1 L JAVA % | 2 L PHP-CGM % | 3 P Python @ | 5 L CPT @ | 6 L NS @ ")</f>
        <v xml:space="preserve">| 1 L JAVA % | 2 L PHP-CGM % | 3 P Python @ | 5 L CPT @ | 6 L NS @ </v>
      </c>
      <c r="AL337" s="4" t="str">
        <f ca="1">IFERROR(__xludf.DUMMYFUNCTION("""COMPUTED_VALUE"""),"| 3 P NS @ | 5 L JAVA @ | 6 L NS @ ")</f>
        <v xml:space="preserve">| 3 P NS @ | 5 L JAVA @ | 6 L NS @ </v>
      </c>
      <c r="AM337" s="4" t="str">
        <f ca="1">IFERROR(__xludf.DUMMYFUNCTION("""COMPUTED_VALUE"""),"| 1 P PHP-CGM % | 3 P CPT @ | 5 L NS % | 6 L CPT % ")</f>
        <v xml:space="preserve">| 1 P PHP-CGM % | 3 P CPT @ | 5 L NS % | 6 L CPT % </v>
      </c>
      <c r="AN337" s="4" t="str">
        <f ca="1">IFERROR(__xludf.DUMMYFUNCTION("""COMPUTED_VALUE"""),"| 1 P JAVA @ | 4 L PHP-CGM @ | 5 P Python @ ")</f>
        <v xml:space="preserve">| 1 P JAVA @ | 4 L PHP-CGM @ | 5 P Python @ </v>
      </c>
      <c r="AO337" s="4" t="str">
        <f ca="1">IFERROR(__xludf.DUMMYFUNCTION("""COMPUTED_VALUE"""),"| 1 P JAVA % | 3 L PHP-CGM % | 4 L JAVA % | 5 P PRO % ")</f>
        <v xml:space="preserve">| 1 P JAVA % | 3 L PHP-CGM % | 4 L JAVA % | 5 P PRO % </v>
      </c>
      <c r="AP33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37" s="4" t="str">
        <f ca="1">IFERROR(__xludf.DUMMYFUNCTION("""COMPUTED_VALUE"""),"| 1 L INE @ | 3 P NS @ | 5 L JAVA @ | 6 L NS @ ")</f>
        <v xml:space="preserve">| 1 L INE @ | 3 P NS @ | 5 L JAVA @ | 6 L NS @ </v>
      </c>
      <c r="AR337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37" s="4" t="str">
        <f ca="1">IFERROR(__xludf.DUMMYFUNCTION("""COMPUTED_VALUE"""),"| 1 P JAVA @ | 3 L PHP-CGM @ | 4 L JAVA @ | 5 P PRO @ ")</f>
        <v xml:space="preserve">| 1 P JAVA @ | 3 L PHP-CGM @ | 4 L JAVA @ | 5 P PRO @ </v>
      </c>
      <c r="AT33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37" s="4" t="str">
        <f ca="1">IFERROR(__xludf.DUMMYFUNCTION("""COMPUTED_VALUE"""),"| 1 L INE % | 3 P NS % | 5 L JAVA @ | 6 L NS @ ")</f>
        <v xml:space="preserve">| 1 L INE % | 3 P NS % | 5 L JAVA @ | 6 L NS @ </v>
      </c>
      <c r="AV337" s="4" t="str">
        <f ca="1">IFERROR(__xludf.DUMMYFUNCTION("""COMPUTED_VALUE"""),"| 1 P PHP-CGM % | 3 P CPT % | 5 L NS % | 6 L CPT % ")</f>
        <v xml:space="preserve">| 1 P PHP-CGM % | 3 P CPT % | 5 L NS % | 6 L CPT % </v>
      </c>
      <c r="AW337" s="4" t="str">
        <f ca="1">IFERROR(__xludf.DUMMYFUNCTION("""COMPUTED_VALUE"""),"| 1 P JAVA @ | 3 L CPT % | 4 L PHP-CGM % | 5 P Python % ")</f>
        <v xml:space="preserve">| 1 P JAVA @ | 3 L CPT % | 4 L PHP-CGM % | 5 P Python % </v>
      </c>
      <c r="AX337" s="4" t="str">
        <f ca="1">IFERROR(__xludf.DUMMYFUNCTION("""COMPUTED_VALUE"""),"| 1 P JAVA % | 3 L JAVA % | 4 L PHP-CGM % | 5 P PRO @ ")</f>
        <v xml:space="preserve">| 1 P JAVA % | 3 L JAVA % | 4 L PHP-CGM % | 5 P PRO @ </v>
      </c>
      <c r="AY337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37" s="4" t="str">
        <f ca="1">IFERROR(__xludf.DUMMYFUNCTION("""COMPUTED_VALUE"""),"| 1 P PHP-CGM % | 3 P CPT % | 5 L NS % | 6 L CPT % ")</f>
        <v xml:space="preserve">| 1 P PHP-CGM % | 3 P CPT % | 5 L NS % | 6 L CPT % </v>
      </c>
      <c r="BA337" s="4" t="str">
        <f ca="1">IFERROR(__xludf.DUMMYFUNCTION("""COMPUTED_VALUE"""),"| 1 P JAVA @ | 3 L CPT % | 4 L PHP-CGM % | 5 P Python @ ")</f>
        <v xml:space="preserve">| 1 P JAVA @ | 3 L CPT % | 4 L PHP-CGM % | 5 P Python @ </v>
      </c>
      <c r="BB337" s="4" t="str">
        <f ca="1">IFERROR(__xludf.DUMMYFUNCTION("""COMPUTED_VALUE"""),"| 1 P JAVA % | 3 L PHP-CGM % | 4 L JAVA % | 5 L PRO % ")</f>
        <v xml:space="preserve">| 1 P JAVA % | 3 L PHP-CGM % | 4 L JAVA % | 5 L PRO % </v>
      </c>
      <c r="BC33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37" s="4" t="str">
        <f ca="1">IFERROR(__xludf.DUMMYFUNCTION("""COMPUTED_VALUE"""),"| 1 L INE @ | 3 P NS % | 5 L JAVA % | 6 L NS % ")</f>
        <v xml:space="preserve">| 1 L INE @ | 3 P NS % | 5 L JAVA % | 6 L NS % </v>
      </c>
      <c r="BE337" s="4" t="str">
        <f ca="1">IFERROR(__xludf.DUMMYFUNCTION("""COMPUTED_VALUE"""),"| 1 P PHP-CGM @ | 3 P CPT @ | 5 L NS @ | 6 L CPT @ ")</f>
        <v xml:space="preserve">| 1 P PHP-CGM @ | 3 P CPT @ | 5 L NS @ | 6 L CPT @ </v>
      </c>
      <c r="BF337" s="4" t="str">
        <f ca="1">IFERROR(__xludf.DUMMYFUNCTION("""COMPUTED_VALUE"""),"| 1 P JAVA @ | 3 L CPT @ | 4 L PHP-CGM @ | 5 P Python @ ")</f>
        <v xml:space="preserve">| 1 P JAVA @ | 3 L CPT @ | 4 L PHP-CGM @ | 5 P Python @ </v>
      </c>
      <c r="BG33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37" s="4" t="str">
        <f ca="1">IFERROR(__xludf.DUMMYFUNCTION("""COMPUTED_VALUE"""),"| 1 L INE @ | 3 P NS % | 5 L JAVA % | 6 L NS % ")</f>
        <v xml:space="preserve">| 1 L INE @ | 3 P NS % | 5 L JAVA % | 6 L NS % </v>
      </c>
      <c r="BI337" s="4" t="str">
        <f ca="1">IFERROR(__xludf.DUMMYFUNCTION("""COMPUTED_VALUE"""),"| 1 P PHP-CGM % | 3 P CPT @ | 5 L NS % | 6 L CPT % ")</f>
        <v xml:space="preserve">| 1 P PHP-CGM % | 3 P CPT @ | 5 L NS % | 6 L CPT % </v>
      </c>
      <c r="BJ337" s="4" t="str">
        <f ca="1">IFERROR(__xludf.DUMMYFUNCTION("""COMPUTED_VALUE"""),"| 1 P JAVA % | 3 L CPT % | 4 L PHP-CGM % | 5 P Python @ ")</f>
        <v xml:space="preserve">| 1 P JAVA % | 3 L CPT % | 4 L PHP-CGM % | 5 P Python @ </v>
      </c>
      <c r="BK337" s="4" t="str">
        <f ca="1">IFERROR(__xludf.DUMMYFUNCTION("""COMPUTED_VALUE"""),"| 1 P JAVA % | 3 L PHP-CGM % | 4 L JAVA % | 5 P PRO @ ")</f>
        <v xml:space="preserve">| 1 P JAVA % | 3 L PHP-CGM % | 4 L JAVA % | 5 P PRO @ </v>
      </c>
      <c r="BL337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7" s="4" t="str">
        <f ca="1">IFERROR(__xludf.DUMMYFUNCTION("""COMPUTED_VALUE"""),"| 1 L INE @ | 3 P NS @ | 5 L JAVA @ | 6 L NS @ ")</f>
        <v xml:space="preserve">| 1 L INE @ | 3 P NS @ | 5 L JAVA @ | 6 L NS @ </v>
      </c>
      <c r="BN337" s="4" t="str">
        <f ca="1">IFERROR(__xludf.DUMMYFUNCTION("""COMPUTED_VALUE"""),"| 1 P PHP-CGM @ | 3 P CPT @ | 5 L NS @ | 6 L CPT @ ")</f>
        <v xml:space="preserve">| 1 P PHP-CGM @ | 3 P CPT @ | 5 L NS @ | 6 L CPT @ </v>
      </c>
      <c r="BO337" s="4" t="str">
        <f ca="1">IFERROR(__xludf.DUMMYFUNCTION("""COMPUTED_VALUE"""),"| 1 P JAVA @ | 4 L PHP-CGM @ | 3 L CPT @ | 5 P Python @ ")</f>
        <v xml:space="preserve">| 1 P JAVA @ | 4 L PHP-CGM @ | 3 L CPT @ | 5 P Python @ </v>
      </c>
      <c r="BP337" s="4" t="str">
        <f ca="1">IFERROR(__xludf.DUMMYFUNCTION("""COMPUTED_VALUE"""),"| 1 P JAVA @ | 3 L PHP-CGM @ | 4 L JAVA @ | 5 P PRO @ ")</f>
        <v xml:space="preserve">| 1 P JAVA @ | 3 L PHP-CGM @ | 4 L JAVA @ | 5 P PRO @ </v>
      </c>
      <c r="BQ337" s="4" t="str">
        <f ca="1">IFERROR(__xludf.DUMMYFUNCTION("""COMPUTED_VALUE"""),"| 6 L NS % | 5 L JAVA @ ")</f>
        <v xml:space="preserve">| 6 L NS % | 5 L JAVA @ </v>
      </c>
      <c r="BR337" s="4"/>
      <c r="BS337" s="4" t="str">
        <f ca="1">IFERROR(__xludf.DUMMYFUNCTION("""COMPUTED_VALUE"""),"| 4 L PHP-CGM % ")</f>
        <v xml:space="preserve">| 4 L PHP-CGM % </v>
      </c>
      <c r="BT337" s="4" t="str">
        <f ca="1">IFERROR(__xludf.DUMMYFUNCTION("""COMPUTED_VALUE"""),"| 1 P JAVA @ | 3 L PHP-CGM @ ")</f>
        <v xml:space="preserve">| 1 P JAVA @ | 3 L PHP-CGM @ </v>
      </c>
      <c r="BU337" s="4" t="str">
        <f ca="1">IFERROR(__xludf.DUMMYFUNCTION("""COMPUTED_VALUE"""),"| 1 L JAVA % | 2 L PHP-CGM % | 3 P Python @ ")</f>
        <v xml:space="preserve">| 1 L JAVA % | 2 L PHP-CGM % | 3 P Python @ </v>
      </c>
      <c r="BV337" s="4" t="str">
        <f ca="1">IFERROR(__xludf.DUMMYFUNCTION("""COMPUTED_VALUE"""),"| 1 P JAVA @ | 3 L PHP-CGM @ | 4 L JAVA @ | 5 P PRO @ ")</f>
        <v xml:space="preserve">| 1 P JAVA @ | 3 L PHP-CGM @ | 4 L JAVA @ | 5 P PRO @ </v>
      </c>
      <c r="BW337" s="4" t="str">
        <f ca="1">IFERROR(__xludf.DUMMYFUNCTION("""COMPUTED_VALUE"""),"| 1 L JAVA % | 2 L PHP-CGM % | 3 P Python % ")</f>
        <v xml:space="preserve">| 1 L JAVA % | 2 L PHP-CGM % | 3 P Python % </v>
      </c>
      <c r="BX337" s="4" t="str">
        <f ca="1">IFERROR(__xludf.DUMMYFUNCTION("""COMPUTED_VALUE"""),"| 1 L INE @ | 3 P NS % | 5 L JAVA % | 6 L NS % ")</f>
        <v xml:space="preserve">| 1 L INE @ | 3 P NS % | 5 L JAVA % | 6 L NS % </v>
      </c>
      <c r="BY337" s="4" t="str">
        <f ca="1">IFERROR(__xludf.DUMMYFUNCTION("""COMPUTED_VALUE"""),"| 1 P PHP-CGM % | 3 P CPT % | 5 L NS % | 6 L CPT % ")</f>
        <v xml:space="preserve">| 1 P PHP-CGM % | 3 P CPT % | 5 L NS % | 6 L CPT % </v>
      </c>
      <c r="BZ337" s="4" t="str">
        <f ca="1">IFERROR(__xludf.DUMMYFUNCTION("""COMPUTED_VALUE"""),"| 1 P JAVA @ | 3 L CPT % | 4 L PHP-CGM % | 5 P Python @ ")</f>
        <v xml:space="preserve">| 1 P JAVA @ | 3 L CPT % | 4 L PHP-CGM % | 5 P Python @ </v>
      </c>
      <c r="CA337" s="4" t="str">
        <f ca="1">IFERROR(__xludf.DUMMYFUNCTION("""COMPUTED_VALUE"""),"| 1 P JAVA % | 3 L PHP-CGM % | 3 L JAVA % | 5 P PRO @ ")</f>
        <v xml:space="preserve">| 1 P JAVA % | 3 L PHP-CGM % | 3 L JAVA % | 5 P PRO @ </v>
      </c>
      <c r="CB337" s="4" t="str">
        <f ca="1">IFERROR(__xludf.DUMMYFUNCTION("""COMPUTED_VALUE"""),"| 1 L JAVA % | 2 L PHP-CGM % | 3 P Python % | 6 L NS % | 5 L CPT @ ")</f>
        <v xml:space="preserve">| 1 L JAVA % | 2 L PHP-CGM % | 3 P Python % | 6 L NS % | 5 L CPT @ </v>
      </c>
      <c r="CC337" s="4" t="str">
        <f ca="1">IFERROR(__xludf.DUMMYFUNCTION("""COMPUTED_VALUE"""),"| 1 L INE % | 3 P NS % | 5 L JAVA @ | 6 L NS @ ")</f>
        <v xml:space="preserve">| 1 L INE % | 3 P NS % | 5 L JAVA @ | 6 L NS @ </v>
      </c>
      <c r="CD337" s="4" t="str">
        <f ca="1">IFERROR(__xludf.DUMMYFUNCTION("""COMPUTED_VALUE"""),"| 1 P PHP-CGM @ | 3 P CPT @ | 5 L NS @ | 6 L CPT @ ")</f>
        <v xml:space="preserve">| 1 P PHP-CGM @ | 3 P CPT @ | 5 L NS @ | 6 L CPT @ </v>
      </c>
      <c r="CE337" s="4" t="str">
        <f ca="1">IFERROR(__xludf.DUMMYFUNCTION("""COMPUTED_VALUE"""),"| 1 P JAVA @ | 3 L CPT @ | 4 L PHP-CGM @ | 5 P Python @ ")</f>
        <v xml:space="preserve">| 1 P JAVA @ | 3 L CPT @ | 4 L PHP-CGM @ | 5 P Python @ </v>
      </c>
      <c r="CF337" s="4" t="str">
        <f ca="1">IFERROR(__xludf.DUMMYFUNCTION("""COMPUTED_VALUE"""),"| 1 P JAVA % | 4 L JAVA % | 3 L PHP-CGM % | 5 L PRO % ")</f>
        <v xml:space="preserve">| 1 P JAVA % | 4 L JAVA % | 3 L PHP-CGM % | 5 L PRO % </v>
      </c>
      <c r="CG337" s="4" t="str">
        <f ca="1">IFERROR(__xludf.DUMMYFUNCTION("""COMPUTED_VALUE"""),"| 1 L JAVA % | 2 L PHP-CGM % | 3 P Python % | 6 L NS @ ")</f>
        <v xml:space="preserve">| 1 L JAVA % | 2 L PHP-CGM % | 3 P Python % | 6 L NS @ </v>
      </c>
      <c r="CH337" s="4" t="str">
        <f ca="1">IFERROR(__xludf.DUMMYFUNCTION("""COMPUTED_VALUE"""),"| 1 L INE @ | 3 P NS % | 5 L JAVA % | 6 L NS % ")</f>
        <v xml:space="preserve">| 1 L INE @ | 3 P NS % | 5 L JAVA % | 6 L NS % </v>
      </c>
      <c r="CI337" s="4" t="str">
        <f ca="1">IFERROR(__xludf.DUMMYFUNCTION("""COMPUTED_VALUE"""),"| 3 P CPT % | 5 L NS @ | 6 L CPT @ ")</f>
        <v xml:space="preserve">| 3 P CPT % | 5 L NS @ | 6 L CPT @ </v>
      </c>
      <c r="CJ337" s="4" t="str">
        <f ca="1">IFERROR(__xludf.DUMMYFUNCTION("""COMPUTED_VALUE"""),"| 3 L CPT @ ")</f>
        <v xml:space="preserve">| 3 L CPT @ </v>
      </c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</row>
    <row r="338" spans="1:102" ht="12.5" x14ac:dyDescent="0.25">
      <c r="A338" s="3">
        <f ca="1">IFERROR(__xludf.DUMMYFUNCTION("""COMPUTED_VALUE"""),1)</f>
        <v>1</v>
      </c>
      <c r="B338" s="3" t="str">
        <f ca="1">IFERROR(__xludf.DUMMYFUNCTION("""COMPUTED_VALUE"""),"ITA")</f>
        <v>ITA</v>
      </c>
      <c r="C338" s="32" t="str">
        <f ca="1">IFERROR(__xludf.DUMMYFUNCTION("""COMPUTED_VALUE"""),"22291371141")</f>
        <v>22291371141</v>
      </c>
      <c r="D338" s="4" t="str">
        <f ca="1">IFERROR(__xludf.DUMMYFUNCTION("""COMPUTED_VALUE"""),"SEZAN ISRAIL VAGADIYA")</f>
        <v>SEZAN ISRAIL VAGADIYA</v>
      </c>
      <c r="E338" s="3" t="str">
        <f ca="1">IFERROR(__xludf.DUMMYFUNCTION("""COMPUTED_VALUE"""),"Sweety - Mor")</f>
        <v>Sweety - Mor</v>
      </c>
      <c r="F338" s="3">
        <f ca="1">IFERROR(__xludf.DUMMYFUNCTION("""COMPUTED_VALUE"""),7499668718)</f>
        <v>7499668718</v>
      </c>
      <c r="G338" s="3">
        <f ca="1">IFERROR(__xludf.DUMMYFUNCTION("""COMPUTED_VALUE"""),8080955494)</f>
        <v>8080955494</v>
      </c>
      <c r="H338" s="33">
        <f ca="1">IFERROR(__xludf.DUMMYFUNCTION("""COMPUTED_VALUE"""),0.354838709677419)</f>
        <v>0.35483870967741898</v>
      </c>
      <c r="I338" s="25">
        <f ca="1">IFERROR(__xludf.DUMMYFUNCTION("""COMPUTED_VALUE"""),0.285714285714285)</f>
        <v>0.28571428571428498</v>
      </c>
      <c r="J338" s="25">
        <f ca="1">IFERROR(__xludf.DUMMYFUNCTION("""COMPUTED_VALUE"""),0.461538461538461)</f>
        <v>0.46153846153846101</v>
      </c>
      <c r="K338" s="25">
        <f ca="1">IFERROR(__xludf.DUMMYFUNCTION("""COMPUTED_VALUE"""),0.333333333333333)</f>
        <v>0.33333333333333298</v>
      </c>
      <c r="L338" s="25">
        <f ca="1">IFERROR(__xludf.DUMMYFUNCTION("""COMPUTED_VALUE"""),0.545454545454545)</f>
        <v>0.54545454545454497</v>
      </c>
      <c r="M338" s="25">
        <f ca="1">IFERROR(__xludf.DUMMYFUNCTION("""COMPUTED_VALUE"""),0.368421052631578)</f>
        <v>0.36842105263157798</v>
      </c>
      <c r="N338" s="25">
        <f ca="1">IFERROR(__xludf.DUMMYFUNCTION("""COMPUTED_VALUE"""),0.545454545454545)</f>
        <v>0.54545454545454497</v>
      </c>
      <c r="O338" s="25">
        <f ca="1">IFERROR(__xludf.DUMMYFUNCTION("""COMPUTED_VALUE"""),0.361111111111111)</f>
        <v>0.36111111111111099</v>
      </c>
      <c r="P338" s="25">
        <f ca="1">IFERROR(__xludf.DUMMYFUNCTION("""COMPUTED_VALUE"""),0.375)</f>
        <v>0.375</v>
      </c>
      <c r="Q338" s="25">
        <f ca="1">IFERROR(__xludf.DUMMYFUNCTION("""COMPUTED_VALUE"""),0)</f>
        <v>0</v>
      </c>
      <c r="R338" s="25">
        <f ca="1">IFERROR(__xludf.DUMMYFUNCTION("""COMPUTED_VALUE"""),0.333333333333333)</f>
        <v>0.33333333333333298</v>
      </c>
      <c r="S338" s="25">
        <f ca="1">IFERROR(__xludf.DUMMYFUNCTION("""COMPUTED_VALUE"""),0.333333333333333)</f>
        <v>0.33333333333333298</v>
      </c>
      <c r="T338" s="25">
        <f ca="1">IFERROR(__xludf.DUMMYFUNCTION("""COMPUTED_VALUE"""),0)</f>
        <v>0</v>
      </c>
      <c r="U338" s="25">
        <f ca="1">IFERROR(__xludf.DUMMYFUNCTION("""COMPUTED_VALUE"""),0.375)</f>
        <v>0.375</v>
      </c>
      <c r="V338" s="25">
        <f ca="1">IFERROR(__xludf.DUMMYFUNCTION("""COMPUTED_VALUE"""),0)</f>
        <v>0</v>
      </c>
      <c r="W338" s="4"/>
      <c r="X338" s="4" t="str">
        <f ca="1">IFERROR(__xludf.DUMMYFUNCTION("""COMPUTED_VALUE"""),"| 1 P JAVA @ | 4 L JAVA @ | 3 L PHP-CGM @ | 1 L PRO @ ")</f>
        <v xml:space="preserve">| 1 P JAVA @ | 4 L JAVA @ | 3 L PHP-CGM @ | 1 L PRO @ </v>
      </c>
      <c r="Y338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Z338" s="4" t="str">
        <f ca="1">IFERROR(__xludf.DUMMYFUNCTION("""COMPUTED_VALUE"""),"| 3 P NS @ | 5 L JAVA @ | 6 L NS @ ")</f>
        <v xml:space="preserve">| 3 P NS @ | 5 L JAVA @ | 6 L NS @ </v>
      </c>
      <c r="AA338" s="4" t="str">
        <f ca="1">IFERROR(__xludf.DUMMYFUNCTION("""COMPUTED_VALUE"""),"| 3 P CPT @ | 5 L NS @ | 6 L CPT @ ")</f>
        <v xml:space="preserve">| 3 P CPT @ | 5 L NS @ | 6 L CPT @ </v>
      </c>
      <c r="AB338" s="4" t="str">
        <f ca="1">IFERROR(__xludf.DUMMYFUNCTION("""COMPUTED_VALUE"""),"| 1 P JAVA @ | 3 L CPT @ | 4 L PHP-CGM @ | 5 P Python @ ")</f>
        <v xml:space="preserve">| 1 P JAVA @ | 3 L CPT @ | 4 L PHP-CGM @ | 5 P Python @ </v>
      </c>
      <c r="AC338" s="4" t="str">
        <f ca="1">IFERROR(__xludf.DUMMYFUNCTION("""COMPUTED_VALUE"""),"| 1 P JAVA % | 3 L PHP-CGM % | 5 P PRO @ ")</f>
        <v xml:space="preserve">| 1 P JAVA % | 3 L PHP-CGM % | 5 P PRO @ </v>
      </c>
      <c r="AD338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AE338" s="4" t="str">
        <f ca="1">IFERROR(__xludf.DUMMYFUNCTION("""COMPUTED_VALUE"""),"| 3 P NS % | 5 L JAVA % | 6 L NS % ")</f>
        <v xml:space="preserve">| 3 P NS % | 5 L JAVA % | 6 L NS % </v>
      </c>
      <c r="AF338" s="4" t="str">
        <f ca="1">IFERROR(__xludf.DUMMYFUNCTION("""COMPUTED_VALUE"""),"| 1 P PHP-CGM @ | 3 P CPT @ | 5 L NS @ | 6 L CPT @ ")</f>
        <v xml:space="preserve">| 1 P PHP-CGM @ | 3 P CPT @ | 5 L NS @ | 6 L CPT @ </v>
      </c>
      <c r="AG338" s="4" t="str">
        <f ca="1">IFERROR(__xludf.DUMMYFUNCTION("""COMPUTED_VALUE"""),"| 1 P JAVA % | 3 L CPT % | 4 L PHP-CGM % | 5 P Python % ")</f>
        <v xml:space="preserve">| 1 P JAVA % | 3 L CPT % | 4 L PHP-CGM % | 5 P Python % </v>
      </c>
      <c r="AH338" s="4" t="str">
        <f ca="1">IFERROR(__xludf.DUMMYFUNCTION("""COMPUTED_VALUE"""),"| 1 P PHP-CGM @ | 3 P CPT @ | 5 L NS @ | 6 L CPT @ ")</f>
        <v xml:space="preserve">| 1 P PHP-CGM @ | 3 P CPT @ | 5 L NS @ | 6 L CPT @ </v>
      </c>
      <c r="AI338" s="4" t="str">
        <f ca="1">IFERROR(__xludf.DUMMYFUNCTION("""COMPUTED_VALUE"""),"| 1 P JAVA % | 3 L CPT @ | 4 L PHP-CGM @ | 5 P Python @ ")</f>
        <v xml:space="preserve">| 1 P JAVA % | 3 L CPT @ | 4 L PHP-CGM @ | 5 P Python @ </v>
      </c>
      <c r="AJ338" s="4" t="str">
        <f ca="1">IFERROR(__xludf.DUMMYFUNCTION("""COMPUTED_VALUE"""),"| 1 P JAVA @ | 3 L PHP-CGM @ | 4 L JAVA @ | 5 P PRO @ ")</f>
        <v xml:space="preserve">| 1 P JAVA @ | 3 L PHP-CGM @ | 4 L JAVA @ | 5 P PRO @ </v>
      </c>
      <c r="AK338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L338" s="4" t="str">
        <f ca="1">IFERROR(__xludf.DUMMYFUNCTION("""COMPUTED_VALUE"""),"| 3 P NS @ | 5 L JAVA @ | 6 L NS @ ")</f>
        <v xml:space="preserve">| 3 P NS @ | 5 L JAVA @ | 6 L NS @ </v>
      </c>
      <c r="AM338" s="4" t="str">
        <f ca="1">IFERROR(__xludf.DUMMYFUNCTION("""COMPUTED_VALUE"""),"| 1 P PHP-CGM % | 3 P CPT % | 5 L NS @ | 6 L CPT @ ")</f>
        <v xml:space="preserve">| 1 P PHP-CGM % | 3 P CPT % | 5 L NS @ | 6 L CPT @ </v>
      </c>
      <c r="AN338" s="4" t="str">
        <f ca="1">IFERROR(__xludf.DUMMYFUNCTION("""COMPUTED_VALUE"""),"| 1 P JAVA @ | 4 L PHP-CGM @ | 5 P Python @ ")</f>
        <v xml:space="preserve">| 1 P JAVA @ | 4 L PHP-CGM @ | 5 P Python @ </v>
      </c>
      <c r="AO338" s="4" t="str">
        <f ca="1">IFERROR(__xludf.DUMMYFUNCTION("""COMPUTED_VALUE"""),"| 1 P JAVA @ | 3 L PHP-CGM @ | 4 L JAVA @ | 5 P PRO @ ")</f>
        <v xml:space="preserve">| 1 P JAVA @ | 3 L PHP-CGM @ | 4 L JAVA @ | 5 P PRO @ </v>
      </c>
      <c r="AP338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38" s="4" t="str">
        <f ca="1">IFERROR(__xludf.DUMMYFUNCTION("""COMPUTED_VALUE"""),"| 1 L INE % | 3 P NS % | 5 L JAVA % | 6 L NS % ")</f>
        <v xml:space="preserve">| 1 L INE % | 3 P NS % | 5 L JAVA % | 6 L NS % </v>
      </c>
      <c r="AR338" s="4" t="str">
        <f ca="1">IFERROR(__xludf.DUMMYFUNCTION("""COMPUTED_VALUE"""),"| 1 P PHP-CGM % | 3 L CPT @ | 3 P CPT @ | 5 L NS @ | 6 L CPT @ ")</f>
        <v xml:space="preserve">| 1 P PHP-CGM % | 3 L CPT @ | 3 P CPT @ | 5 L NS @ | 6 L CPT @ </v>
      </c>
      <c r="AS338" s="4" t="str">
        <f ca="1">IFERROR(__xludf.DUMMYFUNCTION("""COMPUTED_VALUE"""),"| 1 P JAVA @ | 3 L PHP-CGM @ | 4 L JAVA @ | 5 P PRO @ ")</f>
        <v xml:space="preserve">| 1 P JAVA @ | 3 L PHP-CGM @ | 4 L JAVA @ | 5 P PRO @ </v>
      </c>
      <c r="AT338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AU338" s="4" t="str">
        <f ca="1">IFERROR(__xludf.DUMMYFUNCTION("""COMPUTED_VALUE"""),"| 1 L INE @ | 3 P NS @ | 5 L JAVA @ | 6 L NS @ ")</f>
        <v xml:space="preserve">| 1 L INE @ | 3 P NS @ | 5 L JAVA @ | 6 L NS @ </v>
      </c>
      <c r="AV338" s="4" t="str">
        <f ca="1">IFERROR(__xludf.DUMMYFUNCTION("""COMPUTED_VALUE"""),"| 1 P PHP-CGM % | 3 P CPT % | 5 L NS % | 6 L CPT % ")</f>
        <v xml:space="preserve">| 1 P PHP-CGM % | 3 P CPT % | 5 L NS % | 6 L CPT % </v>
      </c>
      <c r="AW338" s="4" t="str">
        <f ca="1">IFERROR(__xludf.DUMMYFUNCTION("""COMPUTED_VALUE"""),"| 1 P JAVA % | 3 L CPT % | 4 L PHP-CGM % | 5 P Python % ")</f>
        <v xml:space="preserve">| 1 P JAVA % | 3 L CPT % | 4 L PHP-CGM % | 5 P Python % </v>
      </c>
      <c r="AX338" s="4" t="str">
        <f ca="1">IFERROR(__xludf.DUMMYFUNCTION("""COMPUTED_VALUE"""),"| 1 P JAVA % | 3 L JAVA % | 4 L PHP-CGM % | 5 P PRO @ ")</f>
        <v xml:space="preserve">| 1 P JAVA % | 3 L JAVA % | 4 L PHP-CGM % | 5 P PRO @ </v>
      </c>
      <c r="AY338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38" s="4" t="str">
        <f ca="1">IFERROR(__xludf.DUMMYFUNCTION("""COMPUTED_VALUE"""),"| 1 P PHP-CGM % | 3 P CPT % | 5 L NS % | 6 L CPT % ")</f>
        <v xml:space="preserve">| 1 P PHP-CGM % | 3 P CPT % | 5 L NS % | 6 L CPT % </v>
      </c>
      <c r="BA338" s="4" t="str">
        <f ca="1">IFERROR(__xludf.DUMMYFUNCTION("""COMPUTED_VALUE"""),"| 1 P JAVA % | 3 L CPT % | 4 L PHP-CGM % | 5 P Python @ ")</f>
        <v xml:space="preserve">| 1 P JAVA % | 3 L CPT % | 4 L PHP-CGM % | 5 P Python @ </v>
      </c>
      <c r="BB338" s="4" t="str">
        <f ca="1">IFERROR(__xludf.DUMMYFUNCTION("""COMPUTED_VALUE"""),"| 1 P JAVA % | 3 L PHP-CGM % | 4 L JAVA % | 5 L PRO @ ")</f>
        <v xml:space="preserve">| 1 P JAVA % | 3 L PHP-CGM % | 4 L JAVA % | 5 L PRO @ </v>
      </c>
      <c r="BC338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D338" s="4" t="str">
        <f ca="1">IFERROR(__xludf.DUMMYFUNCTION("""COMPUTED_VALUE"""),"| 1 L INE % | 3 P NS % | 5 L JAVA @ | 6 L NS @ ")</f>
        <v xml:space="preserve">| 1 L INE % | 3 P NS % | 5 L JAVA @ | 6 L NS @ </v>
      </c>
      <c r="BE338" s="4" t="str">
        <f ca="1">IFERROR(__xludf.DUMMYFUNCTION("""COMPUTED_VALUE"""),"| 1 P PHP-CGM % | 3 P CPT % | 5 L NS % | 6 L CPT @ ")</f>
        <v xml:space="preserve">| 1 P PHP-CGM % | 3 P CPT % | 5 L NS % | 6 L CPT @ </v>
      </c>
      <c r="BF338" s="4" t="str">
        <f ca="1">IFERROR(__xludf.DUMMYFUNCTION("""COMPUTED_VALUE"""),"| 1 P JAVA @ | 3 L CPT @ | 4 L PHP-CGM @ | 5 P Python @ ")</f>
        <v xml:space="preserve">| 1 P JAVA @ | 3 L CPT @ | 4 L PHP-CGM @ | 5 P Python @ </v>
      </c>
      <c r="BG338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38" s="4" t="str">
        <f ca="1">IFERROR(__xludf.DUMMYFUNCTION("""COMPUTED_VALUE"""),"| 1 L INE @ | 3 P NS % | 5 L JAVA % | 6 L NS % ")</f>
        <v xml:space="preserve">| 1 L INE @ | 3 P NS % | 5 L JAVA % | 6 L NS % </v>
      </c>
      <c r="BI338" s="4" t="str">
        <f ca="1">IFERROR(__xludf.DUMMYFUNCTION("""COMPUTED_VALUE"""),"| 1 P PHP-CGM @ | 3 P CPT @ | 5 L NS @ | 6 L CPT @ ")</f>
        <v xml:space="preserve">| 1 P PHP-CGM @ | 3 P CPT @ | 5 L NS @ | 6 L CPT @ </v>
      </c>
      <c r="BJ338" s="4" t="str">
        <f ca="1">IFERROR(__xludf.DUMMYFUNCTION("""COMPUTED_VALUE"""),"| 1 P JAVA @ | 3 L CPT @ | 4 L PHP-CGM @ | 5 P Python @ ")</f>
        <v xml:space="preserve">| 1 P JAVA @ | 3 L CPT @ | 4 L PHP-CGM @ | 5 P Python @ </v>
      </c>
      <c r="BK338" s="4" t="str">
        <f ca="1">IFERROR(__xludf.DUMMYFUNCTION("""COMPUTED_VALUE"""),"| 1 P JAVA @ | 3 L PHP-CGM @ | 4 L JAVA @ | 5 P PRO @ ")</f>
        <v xml:space="preserve">| 1 P JAVA @ | 3 L PHP-CGM @ | 4 L JAVA @ | 5 P PRO @ </v>
      </c>
      <c r="BL338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8" s="4" t="str">
        <f ca="1">IFERROR(__xludf.DUMMYFUNCTION("""COMPUTED_VALUE"""),"| 1 L INE @ | 3 P NS @ | 5 L JAVA @ | 6 L NS @ ")</f>
        <v xml:space="preserve">| 1 L INE @ | 3 P NS @ | 5 L JAVA @ | 6 L NS @ </v>
      </c>
      <c r="BN338" s="4" t="str">
        <f ca="1">IFERROR(__xludf.DUMMYFUNCTION("""COMPUTED_VALUE"""),"| 1 P PHP-CGM @ | 3 P CPT @ | 5 L NS @ | 6 L CPT @ ")</f>
        <v xml:space="preserve">| 1 P PHP-CGM @ | 3 P CPT @ | 5 L NS @ | 6 L CPT @ </v>
      </c>
      <c r="BO338" s="4" t="str">
        <f ca="1">IFERROR(__xludf.DUMMYFUNCTION("""COMPUTED_VALUE"""),"| 1 P JAVA @ | 4 L PHP-CGM @ | 3 L CPT @ | 5 P Python @ ")</f>
        <v xml:space="preserve">| 1 P JAVA @ | 4 L PHP-CGM @ | 3 L CPT @ | 5 P Python @ </v>
      </c>
      <c r="BP338" s="4" t="str">
        <f ca="1">IFERROR(__xludf.DUMMYFUNCTION("""COMPUTED_VALUE"""),"| 1 P JAVA @ | 3 L PHP-CGM @ | 4 L JAVA @ | 5 P PRO @ ")</f>
        <v xml:space="preserve">| 1 P JAVA @ | 3 L PHP-CGM @ | 4 L JAVA @ | 5 P PRO @ </v>
      </c>
      <c r="BQ338" s="4" t="str">
        <f ca="1">IFERROR(__xludf.DUMMYFUNCTION("""COMPUTED_VALUE"""),"| 6 L NS % | 5 L JAVA % ")</f>
        <v xml:space="preserve">| 6 L NS % | 5 L JAVA % </v>
      </c>
      <c r="BR338" s="4"/>
      <c r="BS338" s="4" t="str">
        <f ca="1">IFERROR(__xludf.DUMMYFUNCTION("""COMPUTED_VALUE"""),"| 4 L PHP-CGM % ")</f>
        <v xml:space="preserve">| 4 L PHP-CGM % </v>
      </c>
      <c r="BT338" s="4" t="str">
        <f ca="1">IFERROR(__xludf.DUMMYFUNCTION("""COMPUTED_VALUE"""),"| 1 P JAVA @ | 3 L PHP-CGM @ ")</f>
        <v xml:space="preserve">| 1 P JAVA @ | 3 L PHP-CGM @ </v>
      </c>
      <c r="BU338" s="4" t="str">
        <f ca="1">IFERROR(__xludf.DUMMYFUNCTION("""COMPUTED_VALUE"""),"| 1 L JAVA @ | 2 L PHP-CGM @ | 3 P Python @ ")</f>
        <v xml:space="preserve">| 1 L JAVA @ | 2 L PHP-CGM @ | 3 P Python @ </v>
      </c>
      <c r="BV338" s="4" t="str">
        <f ca="1">IFERROR(__xludf.DUMMYFUNCTION("""COMPUTED_VALUE"""),"| 1 P JAVA @ | 3 L PHP-CGM @ | 4 L JAVA @ | 5 P PRO @ ")</f>
        <v xml:space="preserve">| 1 P JAVA @ | 3 L PHP-CGM @ | 4 L JAVA @ | 5 P PRO @ </v>
      </c>
      <c r="BW338" s="4" t="str">
        <f ca="1">IFERROR(__xludf.DUMMYFUNCTION("""COMPUTED_VALUE"""),"| 1 L JAVA @ | 2 L PHP-CGM @ | 3 P Python @ ")</f>
        <v xml:space="preserve">| 1 L JAVA @ | 2 L PHP-CGM @ | 3 P Python @ </v>
      </c>
      <c r="BX338" s="4" t="str">
        <f ca="1">IFERROR(__xludf.DUMMYFUNCTION("""COMPUTED_VALUE"""),"| 1 L INE @ | 3 P NS @ | 5 L JAVA @ | 6 L NS @ ")</f>
        <v xml:space="preserve">| 1 L INE @ | 3 P NS @ | 5 L JAVA @ | 6 L NS @ </v>
      </c>
      <c r="BY338" s="4" t="str">
        <f ca="1">IFERROR(__xludf.DUMMYFUNCTION("""COMPUTED_VALUE"""),"| 1 P PHP-CGM @ | 3 P CPT @ | 5 L NS @ | 6 L CPT @ ")</f>
        <v xml:space="preserve">| 1 P PHP-CGM @ | 3 P CPT @ | 5 L NS @ | 6 L CPT @ </v>
      </c>
      <c r="BZ338" s="4" t="str">
        <f ca="1">IFERROR(__xludf.DUMMYFUNCTION("""COMPUTED_VALUE"""),"| 1 P JAVA @ | 3 L CPT @ | 4 L PHP-CGM @ | 5 P Python @ ")</f>
        <v xml:space="preserve">| 1 P JAVA @ | 3 L CPT @ | 4 L PHP-CGM @ | 5 P Python @ </v>
      </c>
      <c r="CA338" s="4" t="str">
        <f ca="1">IFERROR(__xludf.DUMMYFUNCTION("""COMPUTED_VALUE"""),"| 1 P JAVA @ | 3 L PHP-CGM @ | 3 L JAVA @ | 5 P PRO @ ")</f>
        <v xml:space="preserve">| 1 P JAVA @ | 3 L PHP-CGM @ | 3 L JAVA @ | 5 P PRO @ </v>
      </c>
      <c r="CB338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CC338" s="4" t="str">
        <f ca="1">IFERROR(__xludf.DUMMYFUNCTION("""COMPUTED_VALUE"""),"| 1 L INE % | 3 P NS % | 5 L JAVA % | 6 L NS % ")</f>
        <v xml:space="preserve">| 1 L INE % | 3 P NS % | 5 L JAVA % | 6 L NS % </v>
      </c>
      <c r="CD338" s="4" t="str">
        <f ca="1">IFERROR(__xludf.DUMMYFUNCTION("""COMPUTED_VALUE"""),"| 1 P PHP-CGM % | 3 P CPT % | 5 L NS % | 6 L CPT % ")</f>
        <v xml:space="preserve">| 1 P PHP-CGM % | 3 P CPT % | 5 L NS % | 6 L CPT % </v>
      </c>
      <c r="CE338" s="4" t="str">
        <f ca="1">IFERROR(__xludf.DUMMYFUNCTION("""COMPUTED_VALUE"""),"| 1 P JAVA % | 3 L CPT % | 4 L PHP-CGM % | 5 P Python % ")</f>
        <v xml:space="preserve">| 1 P JAVA % | 3 L CPT % | 4 L PHP-CGM % | 5 P Python % </v>
      </c>
      <c r="CF338" s="4" t="str">
        <f ca="1">IFERROR(__xludf.DUMMYFUNCTION("""COMPUTED_VALUE"""),"| 1 P JAVA % | 4 L JAVA % | 3 L PHP-CGM % | 5 L PRO % ")</f>
        <v xml:space="preserve">| 1 P JAVA % | 4 L JAVA % | 3 L PHP-CGM % | 5 L PRO % </v>
      </c>
      <c r="CG338" s="4" t="str">
        <f ca="1">IFERROR(__xludf.DUMMYFUNCTION("""COMPUTED_VALUE"""),"| 1 L JAVA % | 2 L PHP-CGM % | 3 P Python % | 6 L NS @ ")</f>
        <v xml:space="preserve">| 1 L JAVA % | 2 L PHP-CGM % | 3 P Python % | 6 L NS @ </v>
      </c>
      <c r="CH338" s="4" t="str">
        <f ca="1">IFERROR(__xludf.DUMMYFUNCTION("""COMPUTED_VALUE"""),"| 1 L INE @ | 3 P NS % | 5 L JAVA @ | 6 L NS @ ")</f>
        <v xml:space="preserve">| 1 L INE @ | 3 P NS % | 5 L JAVA @ | 6 L NS @ </v>
      </c>
      <c r="CI338" s="4" t="str">
        <f ca="1">IFERROR(__xludf.DUMMYFUNCTION("""COMPUTED_VALUE"""),"| 3 P CPT % | 5 L NS @ | 6 L CPT @ ")</f>
        <v xml:space="preserve">| 3 P CPT % | 5 L NS @ | 6 L CPT @ </v>
      </c>
      <c r="CJ338" s="4" t="str">
        <f ca="1">IFERROR(__xludf.DUMMYFUNCTION("""COMPUTED_VALUE"""),"| 3 L CPT @ ")</f>
        <v xml:space="preserve">| 3 L CPT @ </v>
      </c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</row>
    <row r="339" spans="1:102" ht="12.5" x14ac:dyDescent="0.25">
      <c r="A339" s="3">
        <f ca="1">IFERROR(__xludf.DUMMYFUNCTION("""COMPUTED_VALUE"""),1)</f>
        <v>1</v>
      </c>
      <c r="B339" s="3" t="str">
        <f ca="1">IFERROR(__xludf.DUMMYFUNCTION("""COMPUTED_VALUE"""),"ITA")</f>
        <v>ITA</v>
      </c>
      <c r="C339" s="32" t="str">
        <f ca="1">IFERROR(__xludf.DUMMYFUNCTION("""COMPUTED_VALUE"""),"22291371153")</f>
        <v>22291371153</v>
      </c>
      <c r="D339" s="4" t="str">
        <f ca="1">IFERROR(__xludf.DUMMYFUNCTION("""COMPUTED_VALUE"""),"VIJAPURA TOSIF ASIFBHAI")</f>
        <v>VIJAPURA TOSIF ASIFBHAI</v>
      </c>
      <c r="E339" s="3" t="str">
        <f ca="1">IFERROR(__xludf.DUMMYFUNCTION("""COMPUTED_VALUE"""),"Sweety - Mor")</f>
        <v>Sweety - Mor</v>
      </c>
      <c r="F339" s="3">
        <f ca="1">IFERROR(__xludf.DUMMYFUNCTION("""COMPUTED_VALUE"""),9925143431)</f>
        <v>9925143431</v>
      </c>
      <c r="G339" s="3">
        <f ca="1">IFERROR(__xludf.DUMMYFUNCTION("""COMPUTED_VALUE"""),9913483009)</f>
        <v>9913483009</v>
      </c>
      <c r="H339" s="33">
        <f ca="1">IFERROR(__xludf.DUMMYFUNCTION("""COMPUTED_VALUE"""),0.0524193548387096)</f>
        <v>5.2419354838709603E-2</v>
      </c>
      <c r="I339" s="25">
        <f ca="1">IFERROR(__xludf.DUMMYFUNCTION("""COMPUTED_VALUE"""),0.0857142857142857)</f>
        <v>8.5714285714285701E-2</v>
      </c>
      <c r="J339" s="25">
        <f ca="1">IFERROR(__xludf.DUMMYFUNCTION("""COMPUTED_VALUE"""),0)</f>
        <v>0</v>
      </c>
      <c r="K339" s="25">
        <f ca="1">IFERROR(__xludf.DUMMYFUNCTION("""COMPUTED_VALUE"""),0.0555555555555555)</f>
        <v>5.5555555555555497E-2</v>
      </c>
      <c r="L339" s="25">
        <f ca="1">IFERROR(__xludf.DUMMYFUNCTION("""COMPUTED_VALUE"""),0.0909090909090909)</f>
        <v>9.0909090909090898E-2</v>
      </c>
      <c r="M339" s="25">
        <f ca="1">IFERROR(__xludf.DUMMYFUNCTION("""COMPUTED_VALUE"""),0.0789473684210526)</f>
        <v>7.8947368421052599E-2</v>
      </c>
      <c r="N339" s="25">
        <f ca="1">IFERROR(__xludf.DUMMYFUNCTION("""COMPUTED_VALUE"""),0)</f>
        <v>0</v>
      </c>
      <c r="O339" s="25">
        <f ca="1">IFERROR(__xludf.DUMMYFUNCTION("""COMPUTED_VALUE"""),0.0555555555555555)</f>
        <v>5.5555555555555497E-2</v>
      </c>
      <c r="P339" s="25">
        <f ca="1">IFERROR(__xludf.DUMMYFUNCTION("""COMPUTED_VALUE"""),0)</f>
        <v>0</v>
      </c>
      <c r="Q339" s="25">
        <f ca="1">IFERROR(__xludf.DUMMYFUNCTION("""COMPUTED_VALUE"""),0)</f>
        <v>0</v>
      </c>
      <c r="R339" s="25">
        <f ca="1">IFERROR(__xludf.DUMMYFUNCTION("""COMPUTED_VALUE"""),0.0416666666666666)</f>
        <v>4.1666666666666602E-2</v>
      </c>
      <c r="S339" s="25">
        <f ca="1">IFERROR(__xludf.DUMMYFUNCTION("""COMPUTED_VALUE"""),0.333333333333333)</f>
        <v>0.33333333333333298</v>
      </c>
      <c r="T339" s="25">
        <f ca="1">IFERROR(__xludf.DUMMYFUNCTION("""COMPUTED_VALUE"""),0)</f>
        <v>0</v>
      </c>
      <c r="U339" s="25">
        <f ca="1">IFERROR(__xludf.DUMMYFUNCTION("""COMPUTED_VALUE"""),0)</f>
        <v>0</v>
      </c>
      <c r="V339" s="25">
        <f ca="1">IFERROR(__xludf.DUMMYFUNCTION("""COMPUTED_VALUE"""),0)</f>
        <v>0</v>
      </c>
      <c r="W339" s="4"/>
      <c r="X339" s="4" t="str">
        <f ca="1">IFERROR(__xludf.DUMMYFUNCTION("""COMPUTED_VALUE"""),"| 1 P JAVA @ | 4 L JAVA @ | 3 L PHP-CGM @ | 1 L PRO @ ")</f>
        <v xml:space="preserve">| 1 P JAVA @ | 4 L JAVA @ | 3 L PHP-CGM @ | 1 L PRO @ </v>
      </c>
      <c r="Y33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Z339" s="4" t="str">
        <f ca="1">IFERROR(__xludf.DUMMYFUNCTION("""COMPUTED_VALUE"""),"| 3 P NS @ | 5 L JAVA @ | 6 L NS @ ")</f>
        <v xml:space="preserve">| 3 P NS @ | 5 L JAVA @ | 6 L NS @ </v>
      </c>
      <c r="AA339" s="4" t="str">
        <f ca="1">IFERROR(__xludf.DUMMYFUNCTION("""COMPUTED_VALUE"""),"| 3 P CPT @ | 5 L NS @ | 6 L CPT @ ")</f>
        <v xml:space="preserve">| 3 P CPT @ | 5 L NS @ | 6 L CPT @ </v>
      </c>
      <c r="AB339" s="4" t="str">
        <f ca="1">IFERROR(__xludf.DUMMYFUNCTION("""COMPUTED_VALUE"""),"| 1 P JAVA @ | 3 L CPT @ | 4 L PHP-CGM @ | 5 P Python @ ")</f>
        <v xml:space="preserve">| 1 P JAVA @ | 3 L CPT @ | 4 L PHP-CGM @ | 5 P Python @ </v>
      </c>
      <c r="AC339" s="4" t="str">
        <f ca="1">IFERROR(__xludf.DUMMYFUNCTION("""COMPUTED_VALUE"""),"| 1 P JAVA @ | 3 L PHP-CGM @ | 5 P PRO @ ")</f>
        <v xml:space="preserve">| 1 P JAVA @ | 3 L PHP-CGM @ | 5 P PRO @ </v>
      </c>
      <c r="AD339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AE339" s="4" t="str">
        <f ca="1">IFERROR(__xludf.DUMMYFUNCTION("""COMPUTED_VALUE"""),"| 3 P NS @ | 5 L JAVA @ | 6 L NS @ ")</f>
        <v xml:space="preserve">| 3 P NS @ | 5 L JAVA @ | 6 L NS @ </v>
      </c>
      <c r="AF339" s="4" t="str">
        <f ca="1">IFERROR(__xludf.DUMMYFUNCTION("""COMPUTED_VALUE"""),"| 1 P PHP-CGM @ | 3 P CPT @ | 5 L NS @ | 6 L CPT @ ")</f>
        <v xml:space="preserve">| 1 P PHP-CGM @ | 3 P CPT @ | 5 L NS @ | 6 L CPT @ </v>
      </c>
      <c r="AG339" s="4" t="str">
        <f ca="1">IFERROR(__xludf.DUMMYFUNCTION("""COMPUTED_VALUE"""),"| 1 P JAVA @ | 3 L CPT @ | 4 L PHP-CGM @ | 5 P Python @ ")</f>
        <v xml:space="preserve">| 1 P JAVA @ | 3 L CPT @ | 4 L PHP-CGM @ | 5 P Python @ </v>
      </c>
      <c r="AH339" s="4" t="str">
        <f ca="1">IFERROR(__xludf.DUMMYFUNCTION("""COMPUTED_VALUE"""),"| 1 P PHP-CGM @ | 3 P CPT @ | 5 L NS @ | 6 L CPT @ ")</f>
        <v xml:space="preserve">| 1 P PHP-CGM @ | 3 P CPT @ | 5 L NS @ | 6 L CPT @ </v>
      </c>
      <c r="AI339" s="4" t="str">
        <f ca="1">IFERROR(__xludf.DUMMYFUNCTION("""COMPUTED_VALUE"""),"| 1 P JAVA @ | 3 L CPT @ | 4 L PHP-CGM @ | 5 P Python @ ")</f>
        <v xml:space="preserve">| 1 P JAVA @ | 3 L CPT @ | 4 L PHP-CGM @ | 5 P Python @ </v>
      </c>
      <c r="AJ339" s="4" t="str">
        <f ca="1">IFERROR(__xludf.DUMMYFUNCTION("""COMPUTED_VALUE"""),"| 1 P JAVA @ | 3 L PHP-CGM @ | 4 L JAVA @ | 5 P PRO @ ")</f>
        <v xml:space="preserve">| 1 P JAVA @ | 3 L PHP-CGM @ | 4 L JAVA @ | 5 P PRO @ </v>
      </c>
      <c r="AK33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L339" s="4" t="str">
        <f ca="1">IFERROR(__xludf.DUMMYFUNCTION("""COMPUTED_VALUE"""),"| 3 P NS % | 5 L JAVA @ | 6 L NS @ ")</f>
        <v xml:space="preserve">| 3 P NS % | 5 L JAVA @ | 6 L NS @ </v>
      </c>
      <c r="AM339" s="4" t="str">
        <f ca="1">IFERROR(__xludf.DUMMYFUNCTION("""COMPUTED_VALUE"""),"| 1 P PHP-CGM @ | 3 P CPT @ | 5 L NS @ | 6 L CPT @ ")</f>
        <v xml:space="preserve">| 1 P PHP-CGM @ | 3 P CPT @ | 5 L NS @ | 6 L CPT @ </v>
      </c>
      <c r="AN339" s="4" t="str">
        <f ca="1">IFERROR(__xludf.DUMMYFUNCTION("""COMPUTED_VALUE"""),"| 1 P JAVA @ | 4 L PHP-CGM @ | 5 P Python @ ")</f>
        <v xml:space="preserve">| 1 P JAVA @ | 4 L PHP-CGM @ | 5 P Python @ </v>
      </c>
      <c r="AO339" s="4" t="str">
        <f ca="1">IFERROR(__xludf.DUMMYFUNCTION("""COMPUTED_VALUE"""),"| 1 P JAVA @ | 3 L PHP-CGM @ | 4 L JAVA @ | 5 P PRO @ ")</f>
        <v xml:space="preserve">| 1 P JAVA @ | 3 L PHP-CGM @ | 4 L JAVA @ | 5 P PRO @ </v>
      </c>
      <c r="AP33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Q339" s="4" t="str">
        <f ca="1">IFERROR(__xludf.DUMMYFUNCTION("""COMPUTED_VALUE"""),"| 1 L INE @ | 3 P NS @ | 5 L JAVA @ | 6 L NS @ ")</f>
        <v xml:space="preserve">| 1 L INE @ | 3 P NS @ | 5 L JAVA @ | 6 L NS @ </v>
      </c>
      <c r="AR339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39" s="4" t="str">
        <f ca="1">IFERROR(__xludf.DUMMYFUNCTION("""COMPUTED_VALUE"""),"| 1 P JAVA @ | 3 L PHP-CGM @ | 4 L JAVA @ | 5 P PRO @ ")</f>
        <v xml:space="preserve">| 1 P JAVA @ | 3 L PHP-CGM @ | 4 L JAVA @ | 5 P PRO @ </v>
      </c>
      <c r="AT339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39" s="4" t="str">
        <f ca="1">IFERROR(__xludf.DUMMYFUNCTION("""COMPUTED_VALUE"""),"| 1 L INE @ | 3 P NS @ | 5 L JAVA @ | 6 L NS @ ")</f>
        <v xml:space="preserve">| 1 L INE @ | 3 P NS @ | 5 L JAVA @ | 6 L NS @ </v>
      </c>
      <c r="AV339" s="4" t="str">
        <f ca="1">IFERROR(__xludf.DUMMYFUNCTION("""COMPUTED_VALUE"""),"| 1 P PHP-CGM @ | 3 P CPT @ | 5 L NS @ | 6 L CPT @ ")</f>
        <v xml:space="preserve">| 1 P PHP-CGM @ | 3 P CPT @ | 5 L NS @ | 6 L CPT @ </v>
      </c>
      <c r="AW339" s="4" t="str">
        <f ca="1">IFERROR(__xludf.DUMMYFUNCTION("""COMPUTED_VALUE"""),"| 1 P JAVA @ | 3 L CPT % | 4 L PHP-CGM % | 5 P Python @ ")</f>
        <v xml:space="preserve">| 1 P JAVA @ | 3 L CPT % | 4 L PHP-CGM % | 5 P Python @ </v>
      </c>
      <c r="AX339" s="4" t="str">
        <f ca="1">IFERROR(__xludf.DUMMYFUNCTION("""COMPUTED_VALUE"""),"| 1 P JAVA @ | 3 L JAVA @ | 4 L PHP-CGM @ | 5 P PRO @ ")</f>
        <v xml:space="preserve">| 1 P JAVA @ | 3 L JAVA @ | 4 L PHP-CGM @ | 5 P PRO @ </v>
      </c>
      <c r="AY339" s="4" t="str">
        <f ca="1">IFERROR(__xludf.DUMMYFUNCTION("""COMPUTED_VALUE"""),"| 2 L PHP-CGM @ | 3 P Python @ | 5 L CPT % | 6 L NS @ | 1 L JAVA @ ")</f>
        <v xml:space="preserve">| 2 L PHP-CGM @ | 3 P Python @ | 5 L CPT % | 6 L NS @ | 1 L JAVA @ </v>
      </c>
      <c r="AZ339" s="4" t="str">
        <f ca="1">IFERROR(__xludf.DUMMYFUNCTION("""COMPUTED_VALUE"""),"| 1 P PHP-CGM @ | 3 P CPT @ | 5 L NS @ | 6 L CPT @ ")</f>
        <v xml:space="preserve">| 1 P PHP-CGM @ | 3 P CPT @ | 5 L NS @ | 6 L CPT @ </v>
      </c>
      <c r="BA339" s="4" t="str">
        <f ca="1">IFERROR(__xludf.DUMMYFUNCTION("""COMPUTED_VALUE"""),"| 1 P JAVA @ | 3 L CPT @ | 4 L PHP-CGM @ | 5 P Python @ ")</f>
        <v xml:space="preserve">| 1 P JAVA @ | 3 L CPT @ | 4 L PHP-CGM @ | 5 P Python @ </v>
      </c>
      <c r="BB339" s="4" t="str">
        <f ca="1">IFERROR(__xludf.DUMMYFUNCTION("""COMPUTED_VALUE"""),"| 1 P JAVA @ | 3 L PHP-CGM @ | 4 L JAVA @ | 5 L PRO @ ")</f>
        <v xml:space="preserve">| 1 P JAVA @ | 3 L PHP-CGM @ | 4 L JAVA @ | 5 L PRO @ </v>
      </c>
      <c r="BC33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D339" s="4" t="str">
        <f ca="1">IFERROR(__xludf.DUMMYFUNCTION("""COMPUTED_VALUE"""),"| 1 L INE @ | 3 P NS @ | 5 L JAVA @ | 6 L NS @ ")</f>
        <v xml:space="preserve">| 1 L INE @ | 3 P NS @ | 5 L JAVA @ | 6 L NS @ </v>
      </c>
      <c r="BE339" s="4" t="str">
        <f ca="1">IFERROR(__xludf.DUMMYFUNCTION("""COMPUTED_VALUE"""),"| 1 P PHP-CGM @ | 3 P CPT @ | 5 L NS @ | 6 L CPT @ ")</f>
        <v xml:space="preserve">| 1 P PHP-CGM @ | 3 P CPT @ | 5 L NS @ | 6 L CPT @ </v>
      </c>
      <c r="BF339" s="4" t="str">
        <f ca="1">IFERROR(__xludf.DUMMYFUNCTION("""COMPUTED_VALUE"""),"| 1 P JAVA @ | 3 L CPT @ | 4 L PHP-CGM @ | 5 P Python @ ")</f>
        <v xml:space="preserve">| 1 P JAVA @ | 3 L CPT @ | 4 L PHP-CGM @ | 5 P Python @ </v>
      </c>
      <c r="BG33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H339" s="4" t="str">
        <f ca="1">IFERROR(__xludf.DUMMYFUNCTION("""COMPUTED_VALUE"""),"| 1 L INE @ | 3 P NS @ | 5 L JAVA @ | 6 L NS @ ")</f>
        <v xml:space="preserve">| 1 L INE @ | 3 P NS @ | 5 L JAVA @ | 6 L NS @ </v>
      </c>
      <c r="BI339" s="4" t="str">
        <f ca="1">IFERROR(__xludf.DUMMYFUNCTION("""COMPUTED_VALUE"""),"| 1 P PHP-CGM @ | 3 P CPT @ | 5 L NS @ | 6 L CPT @ ")</f>
        <v xml:space="preserve">| 1 P PHP-CGM @ | 3 P CPT @ | 5 L NS @ | 6 L CPT @ </v>
      </c>
      <c r="BJ339" s="4" t="str">
        <f ca="1">IFERROR(__xludf.DUMMYFUNCTION("""COMPUTED_VALUE"""),"| 1 P JAVA @ | 3 L CPT @ | 4 L PHP-CGM @ | 5 P Python @ ")</f>
        <v xml:space="preserve">| 1 P JAVA @ | 3 L CPT @ | 4 L PHP-CGM @ | 5 P Python @ </v>
      </c>
      <c r="BK339" s="4" t="str">
        <f ca="1">IFERROR(__xludf.DUMMYFUNCTION("""COMPUTED_VALUE"""),"| 1 P JAVA @ | 3 L PHP-CGM @ | 4 L JAVA @ | 5 P PRO @ ")</f>
        <v xml:space="preserve">| 1 P JAVA @ | 3 L PHP-CGM @ | 4 L JAVA @ | 5 P PRO @ </v>
      </c>
      <c r="BL339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39" s="4" t="str">
        <f ca="1">IFERROR(__xludf.DUMMYFUNCTION("""COMPUTED_VALUE"""),"| 1 L INE @ | 3 P NS @ | 5 L JAVA @ | 6 L NS @ ")</f>
        <v xml:space="preserve">| 1 L INE @ | 3 P NS @ | 5 L JAVA @ | 6 L NS @ </v>
      </c>
      <c r="BN339" s="4" t="str">
        <f ca="1">IFERROR(__xludf.DUMMYFUNCTION("""COMPUTED_VALUE"""),"| 1 P PHP-CGM @ | 3 P CPT @ | 5 L NS @ | 6 L CPT @ ")</f>
        <v xml:space="preserve">| 1 P PHP-CGM @ | 3 P CPT @ | 5 L NS @ | 6 L CPT @ </v>
      </c>
      <c r="BO339" s="4" t="str">
        <f ca="1">IFERROR(__xludf.DUMMYFUNCTION("""COMPUTED_VALUE"""),"| 1 P JAVA @ | 4 L PHP-CGM @ | 3 L CPT @ | 5 P Python @ ")</f>
        <v xml:space="preserve">| 1 P JAVA @ | 4 L PHP-CGM @ | 3 L CPT @ | 5 P Python @ </v>
      </c>
      <c r="BP339" s="4" t="str">
        <f ca="1">IFERROR(__xludf.DUMMYFUNCTION("""COMPUTED_VALUE"""),"| 1 P JAVA @ | 3 L PHP-CGM @ | 4 L JAVA @ | 5 P PRO @ ")</f>
        <v xml:space="preserve">| 1 P JAVA @ | 3 L PHP-CGM @ | 4 L JAVA @ | 5 P PRO @ </v>
      </c>
      <c r="BQ339" s="4" t="str">
        <f ca="1">IFERROR(__xludf.DUMMYFUNCTION("""COMPUTED_VALUE"""),"| 6 L NS % | 5 L JAVA % ")</f>
        <v xml:space="preserve">| 6 L NS % | 5 L JAVA % </v>
      </c>
      <c r="BR339" s="4"/>
      <c r="BS339" s="4" t="str">
        <f ca="1">IFERROR(__xludf.DUMMYFUNCTION("""COMPUTED_VALUE"""),"| 4 L PHP-CGM % ")</f>
        <v xml:space="preserve">| 4 L PHP-CGM % </v>
      </c>
      <c r="BT339" s="4" t="str">
        <f ca="1">IFERROR(__xludf.DUMMYFUNCTION("""COMPUTED_VALUE"""),"| 1 P JAVA @ | 3 L PHP-CGM @ ")</f>
        <v xml:space="preserve">| 1 P JAVA @ | 3 L PHP-CGM @ </v>
      </c>
      <c r="BU339" s="4" t="str">
        <f ca="1">IFERROR(__xludf.DUMMYFUNCTION("""COMPUTED_VALUE"""),"| 1 L JAVA @ | 2 L PHP-CGM @ | 3 P Python @ ")</f>
        <v xml:space="preserve">| 1 L JAVA @ | 2 L PHP-CGM @ | 3 P Python @ </v>
      </c>
      <c r="BV339" s="4" t="str">
        <f ca="1">IFERROR(__xludf.DUMMYFUNCTION("""COMPUTED_VALUE"""),"| 1 P JAVA @ | 3 L PHP-CGM @ | 4 L JAVA @ | 5 P PRO @ ")</f>
        <v xml:space="preserve">| 1 P JAVA @ | 3 L PHP-CGM @ | 4 L JAVA @ | 5 P PRO @ </v>
      </c>
      <c r="BW339" s="4" t="str">
        <f ca="1">IFERROR(__xludf.DUMMYFUNCTION("""COMPUTED_VALUE"""),"| 1 L JAVA @ | 2 L PHP-CGM @ | 3 P Python @ ")</f>
        <v xml:space="preserve">| 1 L JAVA @ | 2 L PHP-CGM @ | 3 P Python @ </v>
      </c>
      <c r="BX339" s="4" t="str">
        <f ca="1">IFERROR(__xludf.DUMMYFUNCTION("""COMPUTED_VALUE"""),"| 1 L INE @ | 3 P NS @ | 5 L JAVA @ | 6 L NS @ ")</f>
        <v xml:space="preserve">| 1 L INE @ | 3 P NS @ | 5 L JAVA @ | 6 L NS @ </v>
      </c>
      <c r="BY339" s="4" t="str">
        <f ca="1">IFERROR(__xludf.DUMMYFUNCTION("""COMPUTED_VALUE"""),"| 1 P PHP-CGM @ | 3 P CPT @ | 5 L NS @ | 6 L CPT @ ")</f>
        <v xml:space="preserve">| 1 P PHP-CGM @ | 3 P CPT @ | 5 L NS @ | 6 L CPT @ </v>
      </c>
      <c r="BZ339" s="4" t="str">
        <f ca="1">IFERROR(__xludf.DUMMYFUNCTION("""COMPUTED_VALUE"""),"| 1 P JAVA @ | 3 L CPT @ | 4 L PHP-CGM @ | 5 P Python @ ")</f>
        <v xml:space="preserve">| 1 P JAVA @ | 3 L CPT @ | 4 L PHP-CGM @ | 5 P Python @ </v>
      </c>
      <c r="CA339" s="4" t="str">
        <f ca="1">IFERROR(__xludf.DUMMYFUNCTION("""COMPUTED_VALUE"""),"| 1 P JAVA @ | 3 L PHP-CGM @ | 3 L JAVA @ | 5 P PRO @ ")</f>
        <v xml:space="preserve">| 1 P JAVA @ | 3 L PHP-CGM @ | 3 L JAVA @ | 5 P PRO @ </v>
      </c>
      <c r="CB339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CC339" s="4" t="str">
        <f ca="1">IFERROR(__xludf.DUMMYFUNCTION("""COMPUTED_VALUE"""),"| 1 L INE @ | 3 P NS @ | 5 L JAVA @ | 6 L NS @ ")</f>
        <v xml:space="preserve">| 1 L INE @ | 3 P NS @ | 5 L JAVA @ | 6 L NS @ </v>
      </c>
      <c r="CD339" s="4" t="str">
        <f ca="1">IFERROR(__xludf.DUMMYFUNCTION("""COMPUTED_VALUE"""),"| 1 P PHP-CGM @ | 3 P CPT @ | 5 L NS @ | 6 L CPT @ ")</f>
        <v xml:space="preserve">| 1 P PHP-CGM @ | 3 P CPT @ | 5 L NS @ | 6 L CPT @ </v>
      </c>
      <c r="CE339" s="4" t="str">
        <f ca="1">IFERROR(__xludf.DUMMYFUNCTION("""COMPUTED_VALUE"""),"| 1 P JAVA @ | 3 L CPT @ | 4 L PHP-CGM @ | 5 P Python @ ")</f>
        <v xml:space="preserve">| 1 P JAVA @ | 3 L CPT @ | 4 L PHP-CGM @ | 5 P Python @ </v>
      </c>
      <c r="CF339" s="4" t="str">
        <f ca="1">IFERROR(__xludf.DUMMYFUNCTION("""COMPUTED_VALUE"""),"| 1 P JAVA @ | 4 L JAVA @ | 3 L PHP-CGM @ | 5 L PRO % ")</f>
        <v xml:space="preserve">| 1 P JAVA @ | 4 L JAVA @ | 3 L PHP-CGM @ | 5 L PRO % </v>
      </c>
      <c r="CG339" s="4" t="str">
        <f ca="1">IFERROR(__xludf.DUMMYFUNCTION("""COMPUTED_VALUE"""),"| 1 L JAVA @ | 2 L PHP-CGM @ | 3 P Python @ | 6 L NS @ ")</f>
        <v xml:space="preserve">| 1 L JAVA @ | 2 L PHP-CGM @ | 3 P Python @ | 6 L NS @ </v>
      </c>
      <c r="CH339" s="4" t="str">
        <f ca="1">IFERROR(__xludf.DUMMYFUNCTION("""COMPUTED_VALUE"""),"| 1 L INE @ | 3 P NS @ | 5 L JAVA @ | 6 L NS @ ")</f>
        <v xml:space="preserve">| 1 L INE @ | 3 P NS @ | 5 L JAVA @ | 6 L NS @ </v>
      </c>
      <c r="CI339" s="4" t="str">
        <f ca="1">IFERROR(__xludf.DUMMYFUNCTION("""COMPUTED_VALUE"""),"| 3 P CPT @ | 5 L NS @ | 6 L CPT @ ")</f>
        <v xml:space="preserve">| 3 P CPT @ | 5 L NS @ | 6 L CPT @ </v>
      </c>
      <c r="CJ339" s="4" t="str">
        <f ca="1">IFERROR(__xludf.DUMMYFUNCTION("""COMPUTED_VALUE"""),"| 3 L CPT @ ")</f>
        <v xml:space="preserve">| 3 L CPT @ </v>
      </c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</row>
    <row r="340" spans="1:102" ht="12.5" x14ac:dyDescent="0.25">
      <c r="A340" s="3">
        <f ca="1">IFERROR(__xludf.DUMMYFUNCTION("""COMPUTED_VALUE"""),1)</f>
        <v>1</v>
      </c>
      <c r="B340" s="3" t="str">
        <f ca="1">IFERROR(__xludf.DUMMYFUNCTION("""COMPUTED_VALUE"""),"ITA")</f>
        <v>ITA</v>
      </c>
      <c r="C340" s="32" t="str">
        <f ca="1">IFERROR(__xludf.DUMMYFUNCTION("""COMPUTED_VALUE"""),"23291371001")</f>
        <v>23291371001</v>
      </c>
      <c r="D340" s="4" t="str">
        <f ca="1">IFERROR(__xludf.DUMMYFUNCTION("""COMPUTED_VALUE"""),"BABI ISRABANU NASIRKHAN")</f>
        <v>BABI ISRABANU NASIRKHAN</v>
      </c>
      <c r="E340" s="3" t="str">
        <f ca="1">IFERROR(__xludf.DUMMYFUNCTION("""COMPUTED_VALUE"""),"Sweety - Mor")</f>
        <v>Sweety - Mor</v>
      </c>
      <c r="F340" s="3">
        <f ca="1">IFERROR(__xludf.DUMMYFUNCTION("""COMPUTED_VALUE"""),7984447940)</f>
        <v>7984447940</v>
      </c>
      <c r="G340" s="3">
        <f ca="1">IFERROR(__xludf.DUMMYFUNCTION("""COMPUTED_VALUE"""),9909179300)</f>
        <v>9909179300</v>
      </c>
      <c r="H340" s="33">
        <f ca="1">IFERROR(__xludf.DUMMYFUNCTION("""COMPUTED_VALUE"""),0.713709677419354)</f>
        <v>0.71370967741935398</v>
      </c>
      <c r="I340" s="25">
        <f ca="1">IFERROR(__xludf.DUMMYFUNCTION("""COMPUTED_VALUE"""),0.542857142857142)</f>
        <v>0.54285714285714204</v>
      </c>
      <c r="J340" s="25">
        <f ca="1">IFERROR(__xludf.DUMMYFUNCTION("""COMPUTED_VALUE"""),0.692307692307692)</f>
        <v>0.69230769230769196</v>
      </c>
      <c r="K340" s="25">
        <f ca="1">IFERROR(__xludf.DUMMYFUNCTION("""COMPUTED_VALUE"""),0.527777777777777)</f>
        <v>0.52777777777777701</v>
      </c>
      <c r="L340" s="25">
        <f ca="1">IFERROR(__xludf.DUMMYFUNCTION("""COMPUTED_VALUE"""),0.727272727272727)</f>
        <v>0.72727272727272696</v>
      </c>
      <c r="M340" s="25">
        <f ca="1">IFERROR(__xludf.DUMMYFUNCTION("""COMPUTED_VALUE"""),0.868421052631579)</f>
        <v>0.86842105263157898</v>
      </c>
      <c r="N340" s="25">
        <f ca="1">IFERROR(__xludf.DUMMYFUNCTION("""COMPUTED_VALUE"""),0.636363636363636)</f>
        <v>0.63636363636363602</v>
      </c>
      <c r="O340" s="25">
        <f ca="1">IFERROR(__xludf.DUMMYFUNCTION("""COMPUTED_VALUE"""),0.833333333333333)</f>
        <v>0.83333333333333304</v>
      </c>
      <c r="P340" s="25">
        <f ca="1">IFERROR(__xludf.DUMMYFUNCTION("""COMPUTED_VALUE"""),0.833333333333333)</f>
        <v>0.83333333333333304</v>
      </c>
      <c r="Q340" s="25">
        <f ca="1">IFERROR(__xludf.DUMMYFUNCTION("""COMPUTED_VALUE"""),0)</f>
        <v>0</v>
      </c>
      <c r="R340" s="25">
        <f ca="1">IFERROR(__xludf.DUMMYFUNCTION("""COMPUTED_VALUE"""),0.708333333333333)</f>
        <v>0.70833333333333304</v>
      </c>
      <c r="S340" s="25">
        <f ca="1">IFERROR(__xludf.DUMMYFUNCTION("""COMPUTED_VALUE"""),0.666666666666666)</f>
        <v>0.66666666666666596</v>
      </c>
      <c r="T340" s="25">
        <f ca="1">IFERROR(__xludf.DUMMYFUNCTION("""COMPUTED_VALUE"""),0.888888888888888)</f>
        <v>0.88888888888888795</v>
      </c>
      <c r="U340" s="25">
        <f ca="1">IFERROR(__xludf.DUMMYFUNCTION("""COMPUTED_VALUE"""),0.625)</f>
        <v>0.625</v>
      </c>
      <c r="V340" s="25">
        <f ca="1">IFERROR(__xludf.DUMMYFUNCTION("""COMPUTED_VALUE"""),0)</f>
        <v>0</v>
      </c>
      <c r="W340" s="4"/>
      <c r="X340" s="4" t="str">
        <f ca="1">IFERROR(__xludf.DUMMYFUNCTION("""COMPUTED_VALUE"""),"| 1 P JAVA % | 4 L JAVA % | 3 L PHP-CGM % | 1 L PRO @ ")</f>
        <v xml:space="preserve">| 1 P JAVA % | 4 L JAVA % | 3 L PHP-CGM % | 1 L PRO @ </v>
      </c>
      <c r="Y34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40" s="4" t="str">
        <f ca="1">IFERROR(__xludf.DUMMYFUNCTION("""COMPUTED_VALUE"""),"| 3 P NS % | 5 L JAVA % | 6 L NS % ")</f>
        <v xml:space="preserve">| 3 P NS % | 5 L JAVA % | 6 L NS % </v>
      </c>
      <c r="AA340" s="4" t="str">
        <f ca="1">IFERROR(__xludf.DUMMYFUNCTION("""COMPUTED_VALUE"""),"| 3 P CPT % | 5 L NS % | 6 L CPT % ")</f>
        <v xml:space="preserve">| 3 P CPT % | 5 L NS % | 6 L CPT % </v>
      </c>
      <c r="AB340" s="4" t="str">
        <f ca="1">IFERROR(__xludf.DUMMYFUNCTION("""COMPUTED_VALUE"""),"| 1 P JAVA % | 3 L CPT % | 4 L PHP-CGM % | 5 P Python @ ")</f>
        <v xml:space="preserve">| 1 P JAVA % | 3 L CPT % | 4 L PHP-CGM % | 5 P Python @ </v>
      </c>
      <c r="AC340" s="4" t="str">
        <f ca="1">IFERROR(__xludf.DUMMYFUNCTION("""COMPUTED_VALUE"""),"| 1 P JAVA % | 3 L PHP-CGM % | 5 P PRO @ ")</f>
        <v xml:space="preserve">| 1 P JAVA % | 3 L PHP-CGM % | 5 P PRO @ </v>
      </c>
      <c r="AD340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0" s="4" t="str">
        <f ca="1">IFERROR(__xludf.DUMMYFUNCTION("""COMPUTED_VALUE"""),"| 3 P NS % | 5 L JAVA % | 6 L NS % ")</f>
        <v xml:space="preserve">| 3 P NS % | 5 L JAVA % | 6 L NS % </v>
      </c>
      <c r="AF340" s="4" t="str">
        <f ca="1">IFERROR(__xludf.DUMMYFUNCTION("""COMPUTED_VALUE"""),"| 1 P PHP-CGM @ | 3 P CPT @ | 5 L NS @ | 6 L CPT @ ")</f>
        <v xml:space="preserve">| 1 P PHP-CGM @ | 3 P CPT @ | 5 L NS @ | 6 L CPT @ </v>
      </c>
      <c r="AG340" s="4" t="str">
        <f ca="1">IFERROR(__xludf.DUMMYFUNCTION("""COMPUTED_VALUE"""),"| 1 P JAVA % | 3 L CPT % | 4 L PHP-CGM % | 5 P Python @ ")</f>
        <v xml:space="preserve">| 1 P JAVA % | 3 L CPT % | 4 L PHP-CGM % | 5 P Python @ </v>
      </c>
      <c r="AH340" s="4" t="str">
        <f ca="1">IFERROR(__xludf.DUMMYFUNCTION("""COMPUTED_VALUE"""),"| 1 P PHP-CGM % | 3 P CPT % | 5 L NS % | 6 L CPT % ")</f>
        <v xml:space="preserve">| 1 P PHP-CGM % | 3 P CPT % | 5 L NS % | 6 L CPT % </v>
      </c>
      <c r="AI340" s="4" t="str">
        <f ca="1">IFERROR(__xludf.DUMMYFUNCTION("""COMPUTED_VALUE"""),"| 1 P JAVA % | 3 L CPT % | 4 L PHP-CGM % | 5 P Python % ")</f>
        <v xml:space="preserve">| 1 P JAVA % | 3 L CPT % | 4 L PHP-CGM % | 5 P Python % </v>
      </c>
      <c r="AJ340" s="4" t="str">
        <f ca="1">IFERROR(__xludf.DUMMYFUNCTION("""COMPUTED_VALUE"""),"| 1 P JAVA % | 3 L PHP-CGM % | 4 L JAVA % | 5 P PRO % ")</f>
        <v xml:space="preserve">| 1 P JAVA % | 3 L PHP-CGM % | 4 L JAVA % | 5 P PRO % </v>
      </c>
      <c r="AK34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40" s="4" t="str">
        <f ca="1">IFERROR(__xludf.DUMMYFUNCTION("""COMPUTED_VALUE"""),"| 3 P NS % | 5 L JAVA % | 6 L NS % ")</f>
        <v xml:space="preserve">| 3 P NS % | 5 L JAVA % | 6 L NS % </v>
      </c>
      <c r="AM340" s="4" t="str">
        <f ca="1">IFERROR(__xludf.DUMMYFUNCTION("""COMPUTED_VALUE"""),"| 1 P PHP-CGM @ | 3 P CPT @ | 5 L NS @ | 6 L CPT @ ")</f>
        <v xml:space="preserve">| 1 P PHP-CGM @ | 3 P CPT @ | 5 L NS @ | 6 L CPT @ </v>
      </c>
      <c r="AN340" s="4" t="str">
        <f ca="1">IFERROR(__xludf.DUMMYFUNCTION("""COMPUTED_VALUE"""),"| 1 P JAVA % | 4 L PHP-CGM % | 5 P Python @ ")</f>
        <v xml:space="preserve">| 1 P JAVA % | 4 L PHP-CGM % | 5 P Python @ </v>
      </c>
      <c r="AO340" s="4" t="str">
        <f ca="1">IFERROR(__xludf.DUMMYFUNCTION("""COMPUTED_VALUE"""),"| 1 P JAVA % | 3 L PHP-CGM % | 4 L JAVA % | 5 P PRO % ")</f>
        <v xml:space="preserve">| 1 P JAVA % | 3 L PHP-CGM % | 4 L JAVA % | 5 P PRO % </v>
      </c>
      <c r="AP340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AQ340" s="4" t="str">
        <f ca="1">IFERROR(__xludf.DUMMYFUNCTION("""COMPUTED_VALUE"""),"| 1 L INE @ | 3 P NS @ | 5 L JAVA @ | 6 L NS @ ")</f>
        <v xml:space="preserve">| 1 L INE @ | 3 P NS @ | 5 L JAVA @ | 6 L NS @ </v>
      </c>
      <c r="AR340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40" s="4" t="str">
        <f ca="1">IFERROR(__xludf.DUMMYFUNCTION("""COMPUTED_VALUE"""),"| 1 P JAVA % | 3 L PHP-CGM % | 4 L JAVA % | 5 P PRO % ")</f>
        <v xml:space="preserve">| 1 P JAVA % | 3 L PHP-CGM % | 4 L JAVA % | 5 P PRO % </v>
      </c>
      <c r="AT34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0" s="4" t="str">
        <f ca="1">IFERROR(__xludf.DUMMYFUNCTION("""COMPUTED_VALUE"""),"| 1 L INE % | 3 P NS % | 5 L JAVA @ | 6 L NS @ ")</f>
        <v xml:space="preserve">| 1 L INE % | 3 P NS % | 5 L JAVA @ | 6 L NS @ </v>
      </c>
      <c r="AV340" s="4" t="str">
        <f ca="1">IFERROR(__xludf.DUMMYFUNCTION("""COMPUTED_VALUE"""),"| 1 P PHP-CGM % | 3 P CPT % | 5 L NS % | 6 L CPT % ")</f>
        <v xml:space="preserve">| 1 P PHP-CGM % | 3 P CPT % | 5 L NS % | 6 L CPT % </v>
      </c>
      <c r="AW340" s="4" t="str">
        <f ca="1">IFERROR(__xludf.DUMMYFUNCTION("""COMPUTED_VALUE"""),"| 1 P JAVA % | 3 L CPT % | 4 L PHP-CGM % | 5 P Python % ")</f>
        <v xml:space="preserve">| 1 P JAVA % | 3 L CPT % | 4 L PHP-CGM % | 5 P Python % </v>
      </c>
      <c r="AX340" s="4" t="str">
        <f ca="1">IFERROR(__xludf.DUMMYFUNCTION("""COMPUTED_VALUE"""),"| 1 P JAVA % | 3 L JAVA % | 4 L PHP-CGM % | 5 P PRO % ")</f>
        <v xml:space="preserve">| 1 P JAVA % | 3 L JAVA % | 4 L PHP-CGM % | 5 P PRO % </v>
      </c>
      <c r="AY340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0" s="4" t="str">
        <f ca="1">IFERROR(__xludf.DUMMYFUNCTION("""COMPUTED_VALUE"""),"| 1 P PHP-CGM % | 3 P CPT % | 5 L NS @ | 6 L CPT @ ")</f>
        <v xml:space="preserve">| 1 P PHP-CGM % | 3 P CPT % | 5 L NS @ | 6 L CPT @ </v>
      </c>
      <c r="BA340" s="4" t="str">
        <f ca="1">IFERROR(__xludf.DUMMYFUNCTION("""COMPUTED_VALUE"""),"| 1 P JAVA @ | 3 L CPT @ | 4 L PHP-CGM @ | 5 P Python @ ")</f>
        <v xml:space="preserve">| 1 P JAVA @ | 3 L CPT @ | 4 L PHP-CGM @ | 5 P Python @ </v>
      </c>
      <c r="BB340" s="4" t="str">
        <f ca="1">IFERROR(__xludf.DUMMYFUNCTION("""COMPUTED_VALUE"""),"| 1 P JAVA % | 3 L PHP-CGM % | 4 L JAVA % | 5 L PRO % ")</f>
        <v xml:space="preserve">| 1 P JAVA % | 3 L PHP-CGM % | 4 L JAVA % | 5 L PRO % </v>
      </c>
      <c r="BC34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40" s="4" t="str">
        <f ca="1">IFERROR(__xludf.DUMMYFUNCTION("""COMPUTED_VALUE"""),"| 1 L INE % | 3 P NS % | 5 L JAVA % | 6 L NS % ")</f>
        <v xml:space="preserve">| 1 L INE % | 3 P NS % | 5 L JAVA % | 6 L NS % </v>
      </c>
      <c r="BE340" s="4" t="str">
        <f ca="1">IFERROR(__xludf.DUMMYFUNCTION("""COMPUTED_VALUE"""),"| 1 P PHP-CGM @ | 3 P CPT @ | 5 L NS @ | 6 L CPT @ ")</f>
        <v xml:space="preserve">| 1 P PHP-CGM @ | 3 P CPT @ | 5 L NS @ | 6 L CPT @ </v>
      </c>
      <c r="BF340" s="4" t="str">
        <f ca="1">IFERROR(__xludf.DUMMYFUNCTION("""COMPUTED_VALUE"""),"| 1 P JAVA @ | 3 L CPT @ | 4 L PHP-CGM @ | 5 P Python @ ")</f>
        <v xml:space="preserve">| 1 P JAVA @ | 3 L CPT @ | 4 L PHP-CGM @ | 5 P Python @ </v>
      </c>
      <c r="BG34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40" s="4" t="str">
        <f ca="1">IFERROR(__xludf.DUMMYFUNCTION("""COMPUTED_VALUE"""),"| 1 L INE % | 3 P NS % | 5 L JAVA % | 6 L NS % ")</f>
        <v xml:space="preserve">| 1 L INE % | 3 P NS % | 5 L JAVA % | 6 L NS % </v>
      </c>
      <c r="BI340" s="4" t="str">
        <f ca="1">IFERROR(__xludf.DUMMYFUNCTION("""COMPUTED_VALUE"""),"| 1 P PHP-CGM % | 3 P CPT % | 5 L NS % | 6 L CPT % ")</f>
        <v xml:space="preserve">| 1 P PHP-CGM % | 3 P CPT % | 5 L NS % | 6 L CPT % </v>
      </c>
      <c r="BJ340" s="4" t="str">
        <f ca="1">IFERROR(__xludf.DUMMYFUNCTION("""COMPUTED_VALUE"""),"| 1 P JAVA % | 3 L CPT % | 4 L PHP-CGM % | 5 P Python @ ")</f>
        <v xml:space="preserve">| 1 P JAVA % | 3 L CPT % | 4 L PHP-CGM % | 5 P Python @ </v>
      </c>
      <c r="BK340" s="4" t="str">
        <f ca="1">IFERROR(__xludf.DUMMYFUNCTION("""COMPUTED_VALUE"""),"| 1 P JAVA % | 3 L PHP-CGM @ | 4 L JAVA @ | 5 P PRO % ")</f>
        <v xml:space="preserve">| 1 P JAVA % | 3 L PHP-CGM @ | 4 L JAVA @ | 5 P PRO % </v>
      </c>
      <c r="BL340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BM340" s="4" t="str">
        <f ca="1">IFERROR(__xludf.DUMMYFUNCTION("""COMPUTED_VALUE"""),"| 1 L INE @ | 3 P NS @ | 5 L JAVA @ | 6 L NS @ ")</f>
        <v xml:space="preserve">| 1 L INE @ | 3 P NS @ | 5 L JAVA @ | 6 L NS @ </v>
      </c>
      <c r="BN340" s="4" t="str">
        <f ca="1">IFERROR(__xludf.DUMMYFUNCTION("""COMPUTED_VALUE"""),"| 1 P PHP-CGM % | 3 P CPT % | 5 L NS % | 6 L CPT % ")</f>
        <v xml:space="preserve">| 1 P PHP-CGM % | 3 P CPT % | 5 L NS % | 6 L CPT % </v>
      </c>
      <c r="BO340" s="4" t="str">
        <f ca="1">IFERROR(__xludf.DUMMYFUNCTION("""COMPUTED_VALUE"""),"| 1 P JAVA % | 4 L PHP-CGM % | 3 L CPT % | 5 P Python % ")</f>
        <v xml:space="preserve">| 1 P JAVA % | 4 L PHP-CGM % | 3 L CPT % | 5 P Python % </v>
      </c>
      <c r="BP340" s="4" t="str">
        <f ca="1">IFERROR(__xludf.DUMMYFUNCTION("""COMPUTED_VALUE"""),"| 1 P JAVA % | 3 L PHP-CGM % | 4 L JAVA % | 5 P PRO % ")</f>
        <v xml:space="preserve">| 1 P JAVA % | 3 L PHP-CGM % | 4 L JAVA % | 5 P PRO % </v>
      </c>
      <c r="BQ340" s="4" t="str">
        <f ca="1">IFERROR(__xludf.DUMMYFUNCTION("""COMPUTED_VALUE"""),"| 6 L NS % | 5 L JAVA % ")</f>
        <v xml:space="preserve">| 6 L NS % | 5 L JAVA % </v>
      </c>
      <c r="BR340" s="4"/>
      <c r="BS340" s="4" t="str">
        <f ca="1">IFERROR(__xludf.DUMMYFUNCTION("""COMPUTED_VALUE"""),"| 4 L PHP-CGM % ")</f>
        <v xml:space="preserve">| 4 L PHP-CGM % </v>
      </c>
      <c r="BT340" s="4" t="str">
        <f ca="1">IFERROR(__xludf.DUMMYFUNCTION("""COMPUTED_VALUE"""),"| 1 P JAVA % | 3 L PHP-CGM % ")</f>
        <v xml:space="preserve">| 1 P JAVA % | 3 L PHP-CGM % </v>
      </c>
      <c r="BU340" s="4" t="str">
        <f ca="1">IFERROR(__xludf.DUMMYFUNCTION("""COMPUTED_VALUE"""),"| 1 L JAVA % | 2 L PHP-CGM % | 3 P Python % ")</f>
        <v xml:space="preserve">| 1 L JAVA % | 2 L PHP-CGM % | 3 P Python % </v>
      </c>
      <c r="BV340" s="4" t="str">
        <f ca="1">IFERROR(__xludf.DUMMYFUNCTION("""COMPUTED_VALUE"""),"| 1 P JAVA % | 3 L PHP-CGM % | 4 L JAVA % | 5 P PRO % ")</f>
        <v xml:space="preserve">| 1 P JAVA % | 3 L PHP-CGM % | 4 L JAVA % | 5 P PRO % </v>
      </c>
      <c r="BW340" s="4" t="str">
        <f ca="1">IFERROR(__xludf.DUMMYFUNCTION("""COMPUTED_VALUE"""),"| 1 L JAVA % | 2 L PHP-CGM % | 3 P Python % ")</f>
        <v xml:space="preserve">| 1 L JAVA % | 2 L PHP-CGM % | 3 P Python % </v>
      </c>
      <c r="BX340" s="4" t="str">
        <f ca="1">IFERROR(__xludf.DUMMYFUNCTION("""COMPUTED_VALUE"""),"| 1 L INE @ | 3 P NS @ | 5 L JAVA @ | 6 L NS @ ")</f>
        <v xml:space="preserve">| 1 L INE @ | 3 P NS @ | 5 L JAVA @ | 6 L NS @ </v>
      </c>
      <c r="BY340" s="4" t="str">
        <f ca="1">IFERROR(__xludf.DUMMYFUNCTION("""COMPUTED_VALUE"""),"| 1 P PHP-CGM % | 3 P CPT % | 5 L NS @ | 6 L CPT @ ")</f>
        <v xml:space="preserve">| 1 P PHP-CGM % | 3 P CPT % | 5 L NS @ | 6 L CPT @ </v>
      </c>
      <c r="BZ340" s="4" t="str">
        <f ca="1">IFERROR(__xludf.DUMMYFUNCTION("""COMPUTED_VALUE"""),"| 1 P JAVA @ | 3 L CPT @ | 4 L PHP-CGM @ | 5 P Python @ ")</f>
        <v xml:space="preserve">| 1 P JAVA @ | 3 L CPT @ | 4 L PHP-CGM @ | 5 P Python @ </v>
      </c>
      <c r="CA340" s="4" t="str">
        <f ca="1">IFERROR(__xludf.DUMMYFUNCTION("""COMPUTED_VALUE"""),"| 1 P JAVA % | 3 L PHP-CGM % | 3 L JAVA % | 5 P PRO % ")</f>
        <v xml:space="preserve">| 1 P JAVA % | 3 L PHP-CGM % | 3 L JAVA % | 5 P PRO % </v>
      </c>
      <c r="CB340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CC340" s="4" t="str">
        <f ca="1">IFERROR(__xludf.DUMMYFUNCTION("""COMPUTED_VALUE"""),"| 1 L INE % | 3 P NS % | 5 L JAVA % | 6 L NS % ")</f>
        <v xml:space="preserve">| 1 L INE % | 3 P NS % | 5 L JAVA % | 6 L NS % </v>
      </c>
      <c r="CD340" s="4" t="str">
        <f ca="1">IFERROR(__xludf.DUMMYFUNCTION("""COMPUTED_VALUE"""),"| 1 P PHP-CGM % | 3 P CPT % | 5 L NS @ | 6 L CPT @ ")</f>
        <v xml:space="preserve">| 1 P PHP-CGM % | 3 P CPT % | 5 L NS @ | 6 L CPT @ </v>
      </c>
      <c r="CE340" s="4" t="str">
        <f ca="1">IFERROR(__xludf.DUMMYFUNCTION("""COMPUTED_VALUE"""),"| 1 P JAVA @ | 3 L CPT @ | 4 L PHP-CGM @ | 5 P Python % ")</f>
        <v xml:space="preserve">| 1 P JAVA @ | 3 L CPT @ | 4 L PHP-CGM @ | 5 P Python % </v>
      </c>
      <c r="CF340" s="4" t="str">
        <f ca="1">IFERROR(__xludf.DUMMYFUNCTION("""COMPUTED_VALUE"""),"| 1 P JAVA % | 4 L JAVA % | 3 L PHP-CGM % | 5 L PRO % ")</f>
        <v xml:space="preserve">| 1 P JAVA % | 4 L JAVA % | 3 L PHP-CGM % | 5 L PRO % </v>
      </c>
      <c r="CG340" s="4" t="str">
        <f ca="1">IFERROR(__xludf.DUMMYFUNCTION("""COMPUTED_VALUE"""),"| 1 L JAVA % | 2 L PHP-CGM % | 3 P Python % | 6 L NS @ ")</f>
        <v xml:space="preserve">| 1 L JAVA % | 2 L PHP-CGM % | 3 P Python % | 6 L NS @ </v>
      </c>
      <c r="CH340" s="4" t="str">
        <f ca="1">IFERROR(__xludf.DUMMYFUNCTION("""COMPUTED_VALUE"""),"| 1 L INE % | 3 P NS % | 5 L JAVA @ | 6 L NS @ ")</f>
        <v xml:space="preserve">| 1 L INE % | 3 P NS % | 5 L JAVA @ | 6 L NS @ </v>
      </c>
      <c r="CI340" s="4" t="str">
        <f ca="1">IFERROR(__xludf.DUMMYFUNCTION("""COMPUTED_VALUE"""),"| 3 P CPT % | 5 L NS @ | 6 L CPT @ ")</f>
        <v xml:space="preserve">| 3 P CPT % | 5 L NS @ | 6 L CPT @ </v>
      </c>
      <c r="CJ340" s="4" t="str">
        <f ca="1">IFERROR(__xludf.DUMMYFUNCTION("""COMPUTED_VALUE"""),"| 3 L CPT @ ")</f>
        <v xml:space="preserve">| 3 L CPT @ </v>
      </c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</row>
    <row r="341" spans="1:102" ht="12.5" x14ac:dyDescent="0.25">
      <c r="A341" s="3">
        <f ca="1">IFERROR(__xludf.DUMMYFUNCTION("""COMPUTED_VALUE"""),1)</f>
        <v>1</v>
      </c>
      <c r="B341" s="3" t="str">
        <f ca="1">IFERROR(__xludf.DUMMYFUNCTION("""COMPUTED_VALUE"""),"ITA")</f>
        <v>ITA</v>
      </c>
      <c r="C341" s="32" t="str">
        <f ca="1">IFERROR(__xludf.DUMMYFUNCTION("""COMPUTED_VALUE"""),"23291371006")</f>
        <v>23291371006</v>
      </c>
      <c r="D341" s="4" t="str">
        <f ca="1">IFERROR(__xludf.DUMMYFUNCTION("""COMPUTED_VALUE"""),"BHATT SHLOK JIGARKUMAR")</f>
        <v>BHATT SHLOK JIGARKUMAR</v>
      </c>
      <c r="E341" s="3" t="str">
        <f ca="1">IFERROR(__xludf.DUMMYFUNCTION("""COMPUTED_VALUE"""),"Sweety - Mor")</f>
        <v>Sweety - Mor</v>
      </c>
      <c r="F341" s="3">
        <f ca="1">IFERROR(__xludf.DUMMYFUNCTION("""COMPUTED_VALUE"""),9712134752)</f>
        <v>9712134752</v>
      </c>
      <c r="G341" s="3">
        <f ca="1">IFERROR(__xludf.DUMMYFUNCTION("""COMPUTED_VALUE"""),8401793740)</f>
        <v>8401793740</v>
      </c>
      <c r="H341" s="33">
        <f ca="1">IFERROR(__xludf.DUMMYFUNCTION("""COMPUTED_VALUE"""),0.57258064516129)</f>
        <v>0.57258064516129004</v>
      </c>
      <c r="I341" s="25">
        <f ca="1">IFERROR(__xludf.DUMMYFUNCTION("""COMPUTED_VALUE"""),0.542857142857142)</f>
        <v>0.54285714285714204</v>
      </c>
      <c r="J341" s="25">
        <f ca="1">IFERROR(__xludf.DUMMYFUNCTION("""COMPUTED_VALUE"""),0.692307692307692)</f>
        <v>0.69230769230769196</v>
      </c>
      <c r="K341" s="25">
        <f ca="1">IFERROR(__xludf.DUMMYFUNCTION("""COMPUTED_VALUE"""),0.527777777777777)</f>
        <v>0.52777777777777701</v>
      </c>
      <c r="L341" s="25">
        <f ca="1">IFERROR(__xludf.DUMMYFUNCTION("""COMPUTED_VALUE"""),0.727272727272727)</f>
        <v>0.72727272727272696</v>
      </c>
      <c r="M341" s="25">
        <f ca="1">IFERROR(__xludf.DUMMYFUNCTION("""COMPUTED_VALUE"""),0.736842105263157)</f>
        <v>0.73684210526315697</v>
      </c>
      <c r="N341" s="25">
        <f ca="1">IFERROR(__xludf.DUMMYFUNCTION("""COMPUTED_VALUE"""),0.636363636363636)</f>
        <v>0.63636363636363602</v>
      </c>
      <c r="O341" s="25">
        <f ca="1">IFERROR(__xludf.DUMMYFUNCTION("""COMPUTED_VALUE"""),0.638888888888888)</f>
        <v>0.63888888888888795</v>
      </c>
      <c r="P341" s="25">
        <f ca="1">IFERROR(__xludf.DUMMYFUNCTION("""COMPUTED_VALUE"""),0.458333333333333)</f>
        <v>0.45833333333333298</v>
      </c>
      <c r="Q341" s="25">
        <f ca="1">IFERROR(__xludf.DUMMYFUNCTION("""COMPUTED_VALUE"""),0)</f>
        <v>0</v>
      </c>
      <c r="R341" s="25">
        <f ca="1">IFERROR(__xludf.DUMMYFUNCTION("""COMPUTED_VALUE"""),0.416666666666666)</f>
        <v>0.41666666666666602</v>
      </c>
      <c r="S341" s="25">
        <f ca="1">IFERROR(__xludf.DUMMYFUNCTION("""COMPUTED_VALUE"""),0.666666666666666)</f>
        <v>0.66666666666666596</v>
      </c>
      <c r="T341" s="25">
        <f ca="1">IFERROR(__xludf.DUMMYFUNCTION("""COMPUTED_VALUE"""),0.444444444444444)</f>
        <v>0.44444444444444398</v>
      </c>
      <c r="U341" s="25">
        <f ca="1">IFERROR(__xludf.DUMMYFUNCTION("""COMPUTED_VALUE"""),0.25)</f>
        <v>0.25</v>
      </c>
      <c r="V341" s="25">
        <f ca="1">IFERROR(__xludf.DUMMYFUNCTION("""COMPUTED_VALUE"""),0)</f>
        <v>0</v>
      </c>
      <c r="W341" s="4"/>
      <c r="X341" s="4" t="str">
        <f ca="1">IFERROR(__xludf.DUMMYFUNCTION("""COMPUTED_VALUE"""),"| 1 P JAVA @ | 4 L JAVA @ | 3 L PHP-CGM @ | 1 L PRO @ ")</f>
        <v xml:space="preserve">| 1 P JAVA @ | 4 L JAVA @ | 3 L PHP-CGM @ | 1 L PRO @ </v>
      </c>
      <c r="Y341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Z341" s="4" t="str">
        <f ca="1">IFERROR(__xludf.DUMMYFUNCTION("""COMPUTED_VALUE"""),"| 3 P NS @ | 5 L JAVA @ | 6 L NS @ ")</f>
        <v xml:space="preserve">| 3 P NS @ | 5 L JAVA @ | 6 L NS @ </v>
      </c>
      <c r="AA341" s="4" t="str">
        <f ca="1">IFERROR(__xludf.DUMMYFUNCTION("""COMPUTED_VALUE"""),"| 3 P CPT % | 5 L NS @ | 6 L CPT @ ")</f>
        <v xml:space="preserve">| 3 P CPT % | 5 L NS @ | 6 L CPT @ </v>
      </c>
      <c r="AB341" s="4" t="str">
        <f ca="1">IFERROR(__xludf.DUMMYFUNCTION("""COMPUTED_VALUE"""),"| 1 P JAVA % | 3 L CPT % | 4 L PHP-CGM % | 5 P Python @ ")</f>
        <v xml:space="preserve">| 1 P JAVA % | 3 L CPT % | 4 L PHP-CGM % | 5 P Python @ </v>
      </c>
      <c r="AC341" s="4" t="str">
        <f ca="1">IFERROR(__xludf.DUMMYFUNCTION("""COMPUTED_VALUE"""),"| 1 P JAVA % | 3 L PHP-CGM % | 5 P PRO % ")</f>
        <v xml:space="preserve">| 1 P JAVA % | 3 L PHP-CGM % | 5 P PRO % </v>
      </c>
      <c r="AD341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1" s="4" t="str">
        <f ca="1">IFERROR(__xludf.DUMMYFUNCTION("""COMPUTED_VALUE"""),"| 3 P NS % | 5 L JAVA @ | 6 L NS @ ")</f>
        <v xml:space="preserve">| 3 P NS % | 5 L JAVA @ | 6 L NS @ </v>
      </c>
      <c r="AF341" s="4" t="str">
        <f ca="1">IFERROR(__xludf.DUMMYFUNCTION("""COMPUTED_VALUE"""),"| 1 P PHP-CGM % | 3 P CPT % | 5 L NS % | 6 L CPT @ ")</f>
        <v xml:space="preserve">| 1 P PHP-CGM % | 3 P CPT % | 5 L NS % | 6 L CPT @ </v>
      </c>
      <c r="AG341" s="4" t="str">
        <f ca="1">IFERROR(__xludf.DUMMYFUNCTION("""COMPUTED_VALUE"""),"| 1 P JAVA @ | 3 L CPT @ | 4 L PHP-CGM @ | 5 P Python @ ")</f>
        <v xml:space="preserve">| 1 P JAVA @ | 3 L CPT @ | 4 L PHP-CGM @ | 5 P Python @ </v>
      </c>
      <c r="AH341" s="4" t="str">
        <f ca="1">IFERROR(__xludf.DUMMYFUNCTION("""COMPUTED_VALUE"""),"| 1 P PHP-CGM % | 3 P CPT % | 5 L NS % | 6 L CPT % ")</f>
        <v xml:space="preserve">| 1 P PHP-CGM % | 3 P CPT % | 5 L NS % | 6 L CPT % </v>
      </c>
      <c r="AI341" s="4" t="str">
        <f ca="1">IFERROR(__xludf.DUMMYFUNCTION("""COMPUTED_VALUE"""),"| 1 P JAVA % | 3 L CPT % | 4 L PHP-CGM % | 5 P Python @ ")</f>
        <v xml:space="preserve">| 1 P JAVA % | 3 L CPT % | 4 L PHP-CGM % | 5 P Python @ </v>
      </c>
      <c r="AJ341" s="4" t="str">
        <f ca="1">IFERROR(__xludf.DUMMYFUNCTION("""COMPUTED_VALUE"""),"| 1 P JAVA % | 3 L PHP-CGM % | 4 L JAVA % | 5 P PRO % ")</f>
        <v xml:space="preserve">| 1 P JAVA % | 3 L PHP-CGM % | 4 L JAVA % | 5 P PRO % </v>
      </c>
      <c r="AK341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41" s="4" t="str">
        <f ca="1">IFERROR(__xludf.DUMMYFUNCTION("""COMPUTED_VALUE"""),"| 3 P NS % | 5 L JAVA % | 6 L NS % ")</f>
        <v xml:space="preserve">| 3 P NS % | 5 L JAVA % | 6 L NS % </v>
      </c>
      <c r="AM341" s="4" t="str">
        <f ca="1">IFERROR(__xludf.DUMMYFUNCTION("""COMPUTED_VALUE"""),"| 1 P PHP-CGM % | 3 P CPT % | 5 L NS % | 6 L CPT % ")</f>
        <v xml:space="preserve">| 1 P PHP-CGM % | 3 P CPT % | 5 L NS % | 6 L CPT % </v>
      </c>
      <c r="AN341" s="4" t="str">
        <f ca="1">IFERROR(__xludf.DUMMYFUNCTION("""COMPUTED_VALUE"""),"| 1 P JAVA @ | 4 L PHP-CGM % | 5 P Python @ ")</f>
        <v xml:space="preserve">| 1 P JAVA @ | 4 L PHP-CGM % | 5 P Python @ </v>
      </c>
      <c r="AO341" s="4" t="str">
        <f ca="1">IFERROR(__xludf.DUMMYFUNCTION("""COMPUTED_VALUE"""),"| 1 P JAVA % | 3 L PHP-CGM % | 4 L JAVA % | 5 P PRO % ")</f>
        <v xml:space="preserve">| 1 P JAVA % | 3 L PHP-CGM % | 4 L JAVA % | 5 P PRO % </v>
      </c>
      <c r="AP341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1" s="4" t="str">
        <f ca="1">IFERROR(__xludf.DUMMYFUNCTION("""COMPUTED_VALUE"""),"| 1 L INE @ | 3 P NS % | 5 L JAVA @ | 6 L NS @ ")</f>
        <v xml:space="preserve">| 1 L INE @ | 3 P NS % | 5 L JAVA @ | 6 L NS @ </v>
      </c>
      <c r="AR341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41" s="4" t="str">
        <f ca="1">IFERROR(__xludf.DUMMYFUNCTION("""COMPUTED_VALUE"""),"| 1 P JAVA @ | 3 L PHP-CGM % | 4 L JAVA % | 5 P PRO % ")</f>
        <v xml:space="preserve">| 1 P JAVA @ | 3 L PHP-CGM % | 4 L JAVA % | 5 P PRO % </v>
      </c>
      <c r="AT341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1" s="4" t="str">
        <f ca="1">IFERROR(__xludf.DUMMYFUNCTION("""COMPUTED_VALUE"""),"| 1 L INE % | 3 P NS % | 5 L JAVA % | 6 L NS % ")</f>
        <v xml:space="preserve">| 1 L INE % | 3 P NS % | 5 L JAVA % | 6 L NS % </v>
      </c>
      <c r="AV341" s="4" t="str">
        <f ca="1">IFERROR(__xludf.DUMMYFUNCTION("""COMPUTED_VALUE"""),"| 1 P PHP-CGM % | 3 P CPT % | 5 L NS % | 6 L CPT % ")</f>
        <v xml:space="preserve">| 1 P PHP-CGM % | 3 P CPT % | 5 L NS % | 6 L CPT % </v>
      </c>
      <c r="AW341" s="4" t="str">
        <f ca="1">IFERROR(__xludf.DUMMYFUNCTION("""COMPUTED_VALUE"""),"| 1 P JAVA @ | 3 L CPT % | 4 L PHP-CGM % | 5 P Python @ ")</f>
        <v xml:space="preserve">| 1 P JAVA @ | 3 L CPT % | 4 L PHP-CGM % | 5 P Python @ </v>
      </c>
      <c r="AX341" s="4" t="str">
        <f ca="1">IFERROR(__xludf.DUMMYFUNCTION("""COMPUTED_VALUE"""),"| 1 P JAVA @ | 3 L JAVA @ | 4 L PHP-CGM @ | 5 P PRO @ ")</f>
        <v xml:space="preserve">| 1 P JAVA @ | 3 L JAVA @ | 4 L PHP-CGM @ | 5 P PRO @ </v>
      </c>
      <c r="AY341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1" s="4" t="str">
        <f ca="1">IFERROR(__xludf.DUMMYFUNCTION("""COMPUTED_VALUE"""),"| 1 P PHP-CGM % | 3 P CPT % | 5 L NS % | 6 L CPT % ")</f>
        <v xml:space="preserve">| 1 P PHP-CGM % | 3 P CPT % | 5 L NS % | 6 L CPT % </v>
      </c>
      <c r="BA341" s="4" t="str">
        <f ca="1">IFERROR(__xludf.DUMMYFUNCTION("""COMPUTED_VALUE"""),"| 1 P JAVA @ | 3 L CPT % | 4 L PHP-CGM % | 5 P Python @ ")</f>
        <v xml:space="preserve">| 1 P JAVA @ | 3 L CPT % | 4 L PHP-CGM % | 5 P Python @ </v>
      </c>
      <c r="BB341" s="4" t="str">
        <f ca="1">IFERROR(__xludf.DUMMYFUNCTION("""COMPUTED_VALUE"""),"| 1 P JAVA % | 3 L PHP-CGM % | 4 L JAVA % | 5 L PRO % ")</f>
        <v xml:space="preserve">| 1 P JAVA % | 3 L PHP-CGM % | 4 L JAVA % | 5 L PRO % </v>
      </c>
      <c r="BC341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BD341" s="4" t="str">
        <f ca="1">IFERROR(__xludf.DUMMYFUNCTION("""COMPUTED_VALUE"""),"| 1 L INE @ | 3 P NS @ | 5 L JAVA @ | 6 L NS @ ")</f>
        <v xml:space="preserve">| 1 L INE @ | 3 P NS @ | 5 L JAVA @ | 6 L NS @ </v>
      </c>
      <c r="BE341" s="4" t="str">
        <f ca="1">IFERROR(__xludf.DUMMYFUNCTION("""COMPUTED_VALUE"""),"| 1 P PHP-CGM @ | 3 P CPT @ | 5 L NS @ | 6 L CPT @ ")</f>
        <v xml:space="preserve">| 1 P PHP-CGM @ | 3 P CPT @ | 5 L NS @ | 6 L CPT @ </v>
      </c>
      <c r="BF341" s="4" t="str">
        <f ca="1">IFERROR(__xludf.DUMMYFUNCTION("""COMPUTED_VALUE"""),"| 1 P JAVA @ | 3 L CPT @ | 4 L PHP-CGM @ | 5 P Python @ ")</f>
        <v xml:space="preserve">| 1 P JAVA @ | 3 L CPT @ | 4 L PHP-CGM @ | 5 P Python @ </v>
      </c>
      <c r="BG341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41" s="4" t="str">
        <f ca="1">IFERROR(__xludf.DUMMYFUNCTION("""COMPUTED_VALUE"""),"| 1 L INE @ | 3 P NS % | 5 L JAVA % | 6 L NS % ")</f>
        <v xml:space="preserve">| 1 L INE @ | 3 P NS % | 5 L JAVA % | 6 L NS % </v>
      </c>
      <c r="BI341" s="4" t="str">
        <f ca="1">IFERROR(__xludf.DUMMYFUNCTION("""COMPUTED_VALUE"""),"| 1 P PHP-CGM % | 3 P CPT % | 5 L NS % | 6 L CPT % ")</f>
        <v xml:space="preserve">| 1 P PHP-CGM % | 3 P CPT % | 5 L NS % | 6 L CPT % </v>
      </c>
      <c r="BJ341" s="4" t="str">
        <f ca="1">IFERROR(__xludf.DUMMYFUNCTION("""COMPUTED_VALUE"""),"| 1 P JAVA % | 3 L CPT % | 4 L PHP-CGM % | 5 P Python @ ")</f>
        <v xml:space="preserve">| 1 P JAVA % | 3 L CPT % | 4 L PHP-CGM % | 5 P Python @ </v>
      </c>
      <c r="BK341" s="4" t="str">
        <f ca="1">IFERROR(__xludf.DUMMYFUNCTION("""COMPUTED_VALUE"""),"| 1 P JAVA @ | 3 L PHP-CGM @ | 4 L JAVA @ | 5 P PRO @ ")</f>
        <v xml:space="preserve">| 1 P JAVA @ | 3 L PHP-CGM @ | 4 L JAVA @ | 5 P PRO @ </v>
      </c>
      <c r="BL341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41" s="4" t="str">
        <f ca="1">IFERROR(__xludf.DUMMYFUNCTION("""COMPUTED_VALUE"""),"| 1 L INE @ | 3 P NS @ | 5 L JAVA @ | 6 L NS @ ")</f>
        <v xml:space="preserve">| 1 L INE @ | 3 P NS @ | 5 L JAVA @ | 6 L NS @ </v>
      </c>
      <c r="BN341" s="4" t="str">
        <f ca="1">IFERROR(__xludf.DUMMYFUNCTION("""COMPUTED_VALUE"""),"| 1 P PHP-CGM @ | 3 P CPT @ | 5 L NS @ | 6 L CPT @ ")</f>
        <v xml:space="preserve">| 1 P PHP-CGM @ | 3 P CPT @ | 5 L NS @ | 6 L CPT @ </v>
      </c>
      <c r="BO341" s="4" t="str">
        <f ca="1">IFERROR(__xludf.DUMMYFUNCTION("""COMPUTED_VALUE"""),"| 1 P JAVA @ | 4 L PHP-CGM @ | 3 L CPT @ | 5 P Python @ ")</f>
        <v xml:space="preserve">| 1 P JAVA @ | 4 L PHP-CGM @ | 3 L CPT @ | 5 P Python @ </v>
      </c>
      <c r="BP341" s="4" t="str">
        <f ca="1">IFERROR(__xludf.DUMMYFUNCTION("""COMPUTED_VALUE"""),"| 1 P JAVA % | 3 L PHP-CGM % | 4 L JAVA % | 5 P PRO @ ")</f>
        <v xml:space="preserve">| 1 P JAVA % | 3 L PHP-CGM % | 4 L JAVA % | 5 P PRO @ </v>
      </c>
      <c r="BQ341" s="4" t="str">
        <f ca="1">IFERROR(__xludf.DUMMYFUNCTION("""COMPUTED_VALUE"""),"| 6 L NS % | 5 L JAVA % ")</f>
        <v xml:space="preserve">| 6 L NS % | 5 L JAVA % </v>
      </c>
      <c r="BR341" s="4"/>
      <c r="BS341" s="4" t="str">
        <f ca="1">IFERROR(__xludf.DUMMYFUNCTION("""COMPUTED_VALUE"""),"| 4 L PHP-CGM % ")</f>
        <v xml:space="preserve">| 4 L PHP-CGM % </v>
      </c>
      <c r="BT341" s="4" t="str">
        <f ca="1">IFERROR(__xludf.DUMMYFUNCTION("""COMPUTED_VALUE"""),"| 1 P JAVA @ | 3 L PHP-CGM % ")</f>
        <v xml:space="preserve">| 1 P JAVA @ | 3 L PHP-CGM % </v>
      </c>
      <c r="BU341" s="4" t="str">
        <f ca="1">IFERROR(__xludf.DUMMYFUNCTION("""COMPUTED_VALUE"""),"| 1 L JAVA % | 2 L PHP-CGM % | 3 P Python @ ")</f>
        <v xml:space="preserve">| 1 L JAVA % | 2 L PHP-CGM % | 3 P Python @ </v>
      </c>
      <c r="BV341" s="4" t="str">
        <f ca="1">IFERROR(__xludf.DUMMYFUNCTION("""COMPUTED_VALUE"""),"| 1 P JAVA @ | 3 L PHP-CGM @ | 4 L JAVA @ | 5 P PRO @ ")</f>
        <v xml:space="preserve">| 1 P JAVA @ | 3 L PHP-CGM @ | 4 L JAVA @ | 5 P PRO @ </v>
      </c>
      <c r="BW341" s="4" t="str">
        <f ca="1">IFERROR(__xludf.DUMMYFUNCTION("""COMPUTED_VALUE"""),"| 1 L JAVA % | 2 L PHP-CGM % | 3 P Python % ")</f>
        <v xml:space="preserve">| 1 L JAVA % | 2 L PHP-CGM % | 3 P Python % </v>
      </c>
      <c r="BX341" s="4" t="str">
        <f ca="1">IFERROR(__xludf.DUMMYFUNCTION("""COMPUTED_VALUE"""),"| 1 L INE @ | 3 P NS % | 5 L JAVA % | 6 L NS % ")</f>
        <v xml:space="preserve">| 1 L INE @ | 3 P NS % | 5 L JAVA % | 6 L NS % </v>
      </c>
      <c r="BY341" s="4" t="str">
        <f ca="1">IFERROR(__xludf.DUMMYFUNCTION("""COMPUTED_VALUE"""),"| 1 P PHP-CGM % | 3 P CPT % | 5 L NS % | 6 L CPT % ")</f>
        <v xml:space="preserve">| 1 P PHP-CGM % | 3 P CPT % | 5 L NS % | 6 L CPT % </v>
      </c>
      <c r="BZ341" s="4" t="str">
        <f ca="1">IFERROR(__xludf.DUMMYFUNCTION("""COMPUTED_VALUE"""),"| 1 P JAVA @ | 3 L CPT % | 4 L PHP-CGM % | 5 P Python @ ")</f>
        <v xml:space="preserve">| 1 P JAVA @ | 3 L CPT % | 4 L PHP-CGM % | 5 P Python @ </v>
      </c>
      <c r="CA341" s="4" t="str">
        <f ca="1">IFERROR(__xludf.DUMMYFUNCTION("""COMPUTED_VALUE"""),"| 1 P JAVA % | 3 L PHP-CGM % | 3 L JAVA % | 5 P PRO @ ")</f>
        <v xml:space="preserve">| 1 P JAVA % | 3 L PHP-CGM % | 3 L JAVA % | 5 P PRO @ </v>
      </c>
      <c r="CB341" s="4" t="str">
        <f ca="1">IFERROR(__xludf.DUMMYFUNCTION("""COMPUTED_VALUE"""),"| 1 L JAVA % | 2 L PHP-CGM % | 3 P Python % | 6 L NS % | 5 L CPT @ ")</f>
        <v xml:space="preserve">| 1 L JAVA % | 2 L PHP-CGM % | 3 P Python % | 6 L NS % | 5 L CPT @ </v>
      </c>
      <c r="CC341" s="4" t="str">
        <f ca="1">IFERROR(__xludf.DUMMYFUNCTION("""COMPUTED_VALUE"""),"| 1 L INE % | 3 P NS % | 5 L JAVA @ | 6 L NS @ ")</f>
        <v xml:space="preserve">| 1 L INE % | 3 P NS % | 5 L JAVA @ | 6 L NS @ </v>
      </c>
      <c r="CD341" s="4" t="str">
        <f ca="1">IFERROR(__xludf.DUMMYFUNCTION("""COMPUTED_VALUE"""),"| 1 P PHP-CGM @ | 3 P CPT @ | 5 L NS @ | 6 L CPT @ ")</f>
        <v xml:space="preserve">| 1 P PHP-CGM @ | 3 P CPT @ | 5 L NS @ | 6 L CPT @ </v>
      </c>
      <c r="CE341" s="4" t="str">
        <f ca="1">IFERROR(__xludf.DUMMYFUNCTION("""COMPUTED_VALUE"""),"| 1 P JAVA % | 3 L CPT @ | 4 L PHP-CGM @ | 5 P Python @ ")</f>
        <v xml:space="preserve">| 1 P JAVA % | 3 L CPT @ | 4 L PHP-CGM @ | 5 P Python @ </v>
      </c>
      <c r="CF341" s="4" t="str">
        <f ca="1">IFERROR(__xludf.DUMMYFUNCTION("""COMPUTED_VALUE"""),"| 1 P JAVA % | 4 L JAVA % | 3 L PHP-CGM % | 5 L PRO % ")</f>
        <v xml:space="preserve">| 1 P JAVA % | 4 L JAVA % | 3 L PHP-CGM % | 5 L PRO % </v>
      </c>
      <c r="CG341" s="4" t="str">
        <f ca="1">IFERROR(__xludf.DUMMYFUNCTION("""COMPUTED_VALUE"""),"| 1 L JAVA % | 2 L PHP-CGM % | 3 P Python % | 6 L NS @ ")</f>
        <v xml:space="preserve">| 1 L JAVA % | 2 L PHP-CGM % | 3 P Python % | 6 L NS @ </v>
      </c>
      <c r="CH341" s="4" t="str">
        <f ca="1">IFERROR(__xludf.DUMMYFUNCTION("""COMPUTED_VALUE"""),"| 1 L INE @ | 3 P NS % | 5 L JAVA @ | 6 L NS @ ")</f>
        <v xml:space="preserve">| 1 L INE @ | 3 P NS % | 5 L JAVA @ | 6 L NS @ </v>
      </c>
      <c r="CI341" s="4" t="str">
        <f ca="1">IFERROR(__xludf.DUMMYFUNCTION("""COMPUTED_VALUE"""),"| 3 P CPT % | 5 L NS @ | 6 L CPT @ ")</f>
        <v xml:space="preserve">| 3 P CPT % | 5 L NS @ | 6 L CPT @ </v>
      </c>
      <c r="CJ341" s="4" t="str">
        <f ca="1">IFERROR(__xludf.DUMMYFUNCTION("""COMPUTED_VALUE"""),"| 3 L CPT @ ")</f>
        <v xml:space="preserve">| 3 L CPT @ </v>
      </c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</row>
    <row r="342" spans="1:102" ht="12.5" x14ac:dyDescent="0.25">
      <c r="A342" s="3">
        <f ca="1">IFERROR(__xludf.DUMMYFUNCTION("""COMPUTED_VALUE"""),1)</f>
        <v>1</v>
      </c>
      <c r="B342" s="3" t="str">
        <f ca="1">IFERROR(__xludf.DUMMYFUNCTION("""COMPUTED_VALUE"""),"ITA")</f>
        <v>ITA</v>
      </c>
      <c r="C342" s="32" t="str">
        <f ca="1">IFERROR(__xludf.DUMMYFUNCTION("""COMPUTED_VALUE"""),"23291371008")</f>
        <v>23291371008</v>
      </c>
      <c r="D342" s="4" t="str">
        <f ca="1">IFERROR(__xludf.DUMMYFUNCTION("""COMPUTED_VALUE"""),"BRAHMBHATT NIL JIGNESHKUMAR")</f>
        <v>BRAHMBHATT NIL JIGNESHKUMAR</v>
      </c>
      <c r="E342" s="3" t="str">
        <f ca="1">IFERROR(__xludf.DUMMYFUNCTION("""COMPUTED_VALUE"""),"Sweety - Mor")</f>
        <v>Sweety - Mor</v>
      </c>
      <c r="F342" s="3">
        <f ca="1">IFERROR(__xludf.DUMMYFUNCTION("""COMPUTED_VALUE"""),7046380074)</f>
        <v>7046380074</v>
      </c>
      <c r="G342" s="3">
        <f ca="1">IFERROR(__xludf.DUMMYFUNCTION("""COMPUTED_VALUE"""),9099931810)</f>
        <v>9099931810</v>
      </c>
      <c r="H342" s="33">
        <f ca="1">IFERROR(__xludf.DUMMYFUNCTION("""COMPUTED_VALUE"""),0.842741935483871)</f>
        <v>0.842741935483871</v>
      </c>
      <c r="I342" s="25">
        <f ca="1">IFERROR(__xludf.DUMMYFUNCTION("""COMPUTED_VALUE"""),0.857142857142857)</f>
        <v>0.85714285714285698</v>
      </c>
      <c r="J342" s="25">
        <f ca="1">IFERROR(__xludf.DUMMYFUNCTION("""COMPUTED_VALUE"""),0.846153846153846)</f>
        <v>0.84615384615384603</v>
      </c>
      <c r="K342" s="25">
        <f ca="1">IFERROR(__xludf.DUMMYFUNCTION("""COMPUTED_VALUE"""),0.833333333333333)</f>
        <v>0.83333333333333304</v>
      </c>
      <c r="L342" s="25">
        <f ca="1">IFERROR(__xludf.DUMMYFUNCTION("""COMPUTED_VALUE"""),1)</f>
        <v>1</v>
      </c>
      <c r="M342" s="25">
        <f ca="1">IFERROR(__xludf.DUMMYFUNCTION("""COMPUTED_VALUE"""),0.868421052631579)</f>
        <v>0.86842105263157898</v>
      </c>
      <c r="N342" s="25">
        <f ca="1">IFERROR(__xludf.DUMMYFUNCTION("""COMPUTED_VALUE"""),0.818181818181818)</f>
        <v>0.81818181818181801</v>
      </c>
      <c r="O342" s="25">
        <f ca="1">IFERROR(__xludf.DUMMYFUNCTION("""COMPUTED_VALUE"""),0.833333333333333)</f>
        <v>0.83333333333333304</v>
      </c>
      <c r="P342" s="25">
        <f ca="1">IFERROR(__xludf.DUMMYFUNCTION("""COMPUTED_VALUE"""),0.791666666666666)</f>
        <v>0.79166666666666596</v>
      </c>
      <c r="Q342" s="25">
        <f ca="1">IFERROR(__xludf.DUMMYFUNCTION("""COMPUTED_VALUE"""),0)</f>
        <v>0</v>
      </c>
      <c r="R342" s="25">
        <f ca="1">IFERROR(__xludf.DUMMYFUNCTION("""COMPUTED_VALUE"""),0.875)</f>
        <v>0.875</v>
      </c>
      <c r="S342" s="25">
        <f ca="1">IFERROR(__xludf.DUMMYFUNCTION("""COMPUTED_VALUE"""),1)</f>
        <v>1</v>
      </c>
      <c r="T342" s="25">
        <f ca="1">IFERROR(__xludf.DUMMYFUNCTION("""COMPUTED_VALUE"""),0.555555555555555)</f>
        <v>0.55555555555555503</v>
      </c>
      <c r="U342" s="25">
        <f ca="1">IFERROR(__xludf.DUMMYFUNCTION("""COMPUTED_VALUE"""),0.875)</f>
        <v>0.875</v>
      </c>
      <c r="V342" s="25">
        <f ca="1">IFERROR(__xludf.DUMMYFUNCTION("""COMPUTED_VALUE"""),0)</f>
        <v>0</v>
      </c>
      <c r="W342" s="4"/>
      <c r="X342" s="4" t="str">
        <f ca="1">IFERROR(__xludf.DUMMYFUNCTION("""COMPUTED_VALUE"""),"| 1 P JAVA % | 4 L JAVA % | 3 L PHP-CGM % | 1 L PRO % ")</f>
        <v xml:space="preserve">| 1 P JAVA % | 4 L JAVA % | 3 L PHP-CGM % | 1 L PRO % </v>
      </c>
      <c r="Y34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42" s="4" t="str">
        <f ca="1">IFERROR(__xludf.DUMMYFUNCTION("""COMPUTED_VALUE"""),"| 3 P NS % | 5 L JAVA % | 6 L NS % ")</f>
        <v xml:space="preserve">| 3 P NS % | 5 L JAVA % | 6 L NS % </v>
      </c>
      <c r="AA342" s="4" t="str">
        <f ca="1">IFERROR(__xludf.DUMMYFUNCTION("""COMPUTED_VALUE"""),"| 3 P CPT % | 5 L NS % | 6 L CPT % ")</f>
        <v xml:space="preserve">| 3 P CPT % | 5 L NS % | 6 L CPT % </v>
      </c>
      <c r="AB342" s="4" t="str">
        <f ca="1">IFERROR(__xludf.DUMMYFUNCTION("""COMPUTED_VALUE"""),"| 1 P JAVA % | 3 L CPT % | 4 L PHP-CGM % | 5 P Python % ")</f>
        <v xml:space="preserve">| 1 P JAVA % | 3 L CPT % | 4 L PHP-CGM % | 5 P Python % </v>
      </c>
      <c r="AC342" s="4" t="str">
        <f ca="1">IFERROR(__xludf.DUMMYFUNCTION("""COMPUTED_VALUE"""),"| 1 P JAVA % | 3 L PHP-CGM % | 5 P PRO % ")</f>
        <v xml:space="preserve">| 1 P JAVA % | 3 L PHP-CGM % | 5 P PRO % </v>
      </c>
      <c r="AD342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2" s="4" t="str">
        <f ca="1">IFERROR(__xludf.DUMMYFUNCTION("""COMPUTED_VALUE"""),"| 3 P NS % | 5 L JAVA % | 6 L NS % ")</f>
        <v xml:space="preserve">| 3 P NS % | 5 L JAVA % | 6 L NS % </v>
      </c>
      <c r="AF342" s="4" t="str">
        <f ca="1">IFERROR(__xludf.DUMMYFUNCTION("""COMPUTED_VALUE"""),"| 1 P PHP-CGM % | 3 P CPT % | 5 L NS % | 6 L CPT % ")</f>
        <v xml:space="preserve">| 1 P PHP-CGM % | 3 P CPT % | 5 L NS % | 6 L CPT % </v>
      </c>
      <c r="AG342" s="4" t="str">
        <f ca="1">IFERROR(__xludf.DUMMYFUNCTION("""COMPUTED_VALUE"""),"| 1 P JAVA % | 3 L CPT % | 4 L PHP-CGM % | 5 P Python % ")</f>
        <v xml:space="preserve">| 1 P JAVA % | 3 L CPT % | 4 L PHP-CGM % | 5 P Python % </v>
      </c>
      <c r="AH342" s="4" t="str">
        <f ca="1">IFERROR(__xludf.DUMMYFUNCTION("""COMPUTED_VALUE"""),"| 1 P PHP-CGM % | 3 P CPT % | 5 L NS % | 6 L CPT % ")</f>
        <v xml:space="preserve">| 1 P PHP-CGM % | 3 P CPT % | 5 L NS % | 6 L CPT % </v>
      </c>
      <c r="AI342" s="4" t="str">
        <f ca="1">IFERROR(__xludf.DUMMYFUNCTION("""COMPUTED_VALUE"""),"| 1 P JAVA % | 3 L CPT % | 4 L PHP-CGM % | 5 P Python % ")</f>
        <v xml:space="preserve">| 1 P JAVA % | 3 L CPT % | 4 L PHP-CGM % | 5 P Python % </v>
      </c>
      <c r="AJ342" s="4" t="str">
        <f ca="1">IFERROR(__xludf.DUMMYFUNCTION("""COMPUTED_VALUE"""),"| 1 P JAVA % | 3 L PHP-CGM % | 4 L JAVA % | 5 P PRO % ")</f>
        <v xml:space="preserve">| 1 P JAVA % | 3 L PHP-CGM % | 4 L JAVA % | 5 P PRO % </v>
      </c>
      <c r="AK34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42" s="4" t="str">
        <f ca="1">IFERROR(__xludf.DUMMYFUNCTION("""COMPUTED_VALUE"""),"| 3 P NS % | 5 L JAVA % | 6 L NS % ")</f>
        <v xml:space="preserve">| 3 P NS % | 5 L JAVA % | 6 L NS % </v>
      </c>
      <c r="AM342" s="4" t="str">
        <f ca="1">IFERROR(__xludf.DUMMYFUNCTION("""COMPUTED_VALUE"""),"| 1 P PHP-CGM % | 3 P CPT % | 5 L NS % | 6 L CPT % ")</f>
        <v xml:space="preserve">| 1 P PHP-CGM % | 3 P CPT % | 5 L NS % | 6 L CPT % </v>
      </c>
      <c r="AN342" s="4" t="str">
        <f ca="1">IFERROR(__xludf.DUMMYFUNCTION("""COMPUTED_VALUE"""),"| 1 P JAVA % | 4 L PHP-CGM % | 5 P Python % ")</f>
        <v xml:space="preserve">| 1 P JAVA % | 4 L PHP-CGM % | 5 P Python % </v>
      </c>
      <c r="AO342" s="4" t="str">
        <f ca="1">IFERROR(__xludf.DUMMYFUNCTION("""COMPUTED_VALUE"""),"| 1 P JAVA % | 3 L PHP-CGM % | 4 L JAVA % | 5 P PRO @ ")</f>
        <v xml:space="preserve">| 1 P JAVA % | 3 L PHP-CGM % | 4 L JAVA % | 5 P PRO @ </v>
      </c>
      <c r="AP34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2" s="4" t="str">
        <f ca="1">IFERROR(__xludf.DUMMYFUNCTION("""COMPUTED_VALUE"""),"| 1 L INE % | 3 P NS % | 5 L JAVA % | 6 L NS % ")</f>
        <v xml:space="preserve">| 1 L INE % | 3 P NS % | 5 L JAVA % | 6 L NS % </v>
      </c>
      <c r="AR342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42" s="4" t="str">
        <f ca="1">IFERROR(__xludf.DUMMYFUNCTION("""COMPUTED_VALUE"""),"| 1 P JAVA @ | 3 L PHP-CGM @ | 4 L JAVA @ | 5 P PRO @ ")</f>
        <v xml:space="preserve">| 1 P JAVA @ | 3 L PHP-CGM @ | 4 L JAVA @ | 5 P PRO @ </v>
      </c>
      <c r="AT34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2" s="4" t="str">
        <f ca="1">IFERROR(__xludf.DUMMYFUNCTION("""COMPUTED_VALUE"""),"| 1 L INE % | 3 P NS % | 5 L JAVA % | 6 L NS % ")</f>
        <v xml:space="preserve">| 1 L INE % | 3 P NS % | 5 L JAVA % | 6 L NS % </v>
      </c>
      <c r="AV342" s="4" t="str">
        <f ca="1">IFERROR(__xludf.DUMMYFUNCTION("""COMPUTED_VALUE"""),"| 1 P PHP-CGM % | 3 P CPT % | 5 L NS % | 6 L CPT % ")</f>
        <v xml:space="preserve">| 1 P PHP-CGM % | 3 P CPT % | 5 L NS % | 6 L CPT % </v>
      </c>
      <c r="AW342" s="4" t="str">
        <f ca="1">IFERROR(__xludf.DUMMYFUNCTION("""COMPUTED_VALUE"""),"| 1 P JAVA % | 3 L CPT % | 4 L PHP-CGM % | 5 P Python % ")</f>
        <v xml:space="preserve">| 1 P JAVA % | 3 L CPT % | 4 L PHP-CGM % | 5 P Python % </v>
      </c>
      <c r="AX342" s="4" t="str">
        <f ca="1">IFERROR(__xludf.DUMMYFUNCTION("""COMPUTED_VALUE"""),"| 1 P JAVA % | 3 L JAVA % | 4 L PHP-CGM % | 5 P PRO % ")</f>
        <v xml:space="preserve">| 1 P JAVA % | 3 L JAVA % | 4 L PHP-CGM % | 5 P PRO % </v>
      </c>
      <c r="AY342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2" s="4" t="str">
        <f ca="1">IFERROR(__xludf.DUMMYFUNCTION("""COMPUTED_VALUE"""),"| 1 P PHP-CGM % | 3 P CPT % | 5 L NS % | 6 L CPT % ")</f>
        <v xml:space="preserve">| 1 P PHP-CGM % | 3 P CPT % | 5 L NS % | 6 L CPT % </v>
      </c>
      <c r="BA342" s="4" t="str">
        <f ca="1">IFERROR(__xludf.DUMMYFUNCTION("""COMPUTED_VALUE"""),"| 1 P JAVA % | 3 L CPT % | 4 L PHP-CGM % | 5 P Python % ")</f>
        <v xml:space="preserve">| 1 P JAVA % | 3 L CPT % | 4 L PHP-CGM % | 5 P Python % </v>
      </c>
      <c r="BB342" s="4" t="str">
        <f ca="1">IFERROR(__xludf.DUMMYFUNCTION("""COMPUTED_VALUE"""),"| 1 P JAVA % | 3 L PHP-CGM % | 4 L JAVA % | 5 L PRO % ")</f>
        <v xml:space="preserve">| 1 P JAVA % | 3 L PHP-CGM % | 4 L JAVA % | 5 L PRO % </v>
      </c>
      <c r="BC34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42" s="4" t="str">
        <f ca="1">IFERROR(__xludf.DUMMYFUNCTION("""COMPUTED_VALUE"""),"| 1 L INE @ | 3 P NS % | 5 L JAVA @ | 6 L NS @ ")</f>
        <v xml:space="preserve">| 1 L INE @ | 3 P NS % | 5 L JAVA @ | 6 L NS @ </v>
      </c>
      <c r="BE342" s="4" t="str">
        <f ca="1">IFERROR(__xludf.DUMMYFUNCTION("""COMPUTED_VALUE"""),"| 1 P PHP-CGM % | 3 P CPT % | 5 L NS % | 6 L CPT % ")</f>
        <v xml:space="preserve">| 1 P PHP-CGM % | 3 P CPT % | 5 L NS % | 6 L CPT % </v>
      </c>
      <c r="BF342" s="4" t="str">
        <f ca="1">IFERROR(__xludf.DUMMYFUNCTION("""COMPUTED_VALUE"""),"| 1 P JAVA % | 3 L CPT % | 4 L PHP-CGM % | 5 P Python % ")</f>
        <v xml:space="preserve">| 1 P JAVA % | 3 L CPT % | 4 L PHP-CGM % | 5 P Python % </v>
      </c>
      <c r="BG34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42" s="4" t="str">
        <f ca="1">IFERROR(__xludf.DUMMYFUNCTION("""COMPUTED_VALUE"""),"| 1 L INE % | 3 P NS % | 5 L JAVA % | 6 L NS % ")</f>
        <v xml:space="preserve">| 1 L INE % | 3 P NS % | 5 L JAVA % | 6 L NS % </v>
      </c>
      <c r="BI342" s="4" t="str">
        <f ca="1">IFERROR(__xludf.DUMMYFUNCTION("""COMPUTED_VALUE"""),"| 1 P PHP-CGM % | 3 P CPT % | 5 L NS % | 6 L CPT % ")</f>
        <v xml:space="preserve">| 1 P PHP-CGM % | 3 P CPT % | 5 L NS % | 6 L CPT % </v>
      </c>
      <c r="BJ342" s="4" t="str">
        <f ca="1">IFERROR(__xludf.DUMMYFUNCTION("""COMPUTED_VALUE"""),"| 1 P JAVA % | 3 L CPT % | 4 L PHP-CGM % | 5 P Python % ")</f>
        <v xml:space="preserve">| 1 P JAVA % | 3 L CPT % | 4 L PHP-CGM % | 5 P Python % </v>
      </c>
      <c r="BK342" s="4" t="str">
        <f ca="1">IFERROR(__xludf.DUMMYFUNCTION("""COMPUTED_VALUE"""),"| 1 P JAVA % | 3 L PHP-CGM % | 4 L JAVA % | 5 P PRO % ")</f>
        <v xml:space="preserve">| 1 P JAVA % | 3 L PHP-CGM % | 4 L JAVA % | 5 P PRO % </v>
      </c>
      <c r="BL342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BM342" s="4" t="str">
        <f ca="1">IFERROR(__xludf.DUMMYFUNCTION("""COMPUTED_VALUE"""),"| 1 L INE % | 3 P NS % | 5 L JAVA @ | 6 L NS @ ")</f>
        <v xml:space="preserve">| 1 L INE % | 3 P NS % | 5 L JAVA @ | 6 L NS @ </v>
      </c>
      <c r="BN342" s="4" t="str">
        <f ca="1">IFERROR(__xludf.DUMMYFUNCTION("""COMPUTED_VALUE"""),"| 1 P PHP-CGM @ | 3 P CPT @ | 5 L NS @ | 6 L CPT @ ")</f>
        <v xml:space="preserve">| 1 P PHP-CGM @ | 3 P CPT @ | 5 L NS @ | 6 L CPT @ </v>
      </c>
      <c r="BO342" s="4" t="str">
        <f ca="1">IFERROR(__xludf.DUMMYFUNCTION("""COMPUTED_VALUE"""),"| 1 P JAVA @ | 4 L PHP-CGM @ | 3 L CPT @ | 5 P Python @ ")</f>
        <v xml:space="preserve">| 1 P JAVA @ | 4 L PHP-CGM @ | 3 L CPT @ | 5 P Python @ </v>
      </c>
      <c r="BP342" s="4" t="str">
        <f ca="1">IFERROR(__xludf.DUMMYFUNCTION("""COMPUTED_VALUE"""),"| 1 P JAVA @ | 3 L PHP-CGM @ | 4 L JAVA @ | 5 P PRO @ ")</f>
        <v xml:space="preserve">| 1 P JAVA @ | 3 L PHP-CGM @ | 4 L JAVA @ | 5 P PRO @ </v>
      </c>
      <c r="BQ342" s="4" t="str">
        <f ca="1">IFERROR(__xludf.DUMMYFUNCTION("""COMPUTED_VALUE"""),"| 6 L NS % | 5 L JAVA % ")</f>
        <v xml:space="preserve">| 6 L NS % | 5 L JAVA % </v>
      </c>
      <c r="BR342" s="4"/>
      <c r="BS342" s="4" t="str">
        <f ca="1">IFERROR(__xludf.DUMMYFUNCTION("""COMPUTED_VALUE"""),"| 4 L PHP-CGM % ")</f>
        <v xml:space="preserve">| 4 L PHP-CGM % </v>
      </c>
      <c r="BT342" s="4" t="str">
        <f ca="1">IFERROR(__xludf.DUMMYFUNCTION("""COMPUTED_VALUE"""),"| 1 P JAVA @ | 3 L PHP-CGM % ")</f>
        <v xml:space="preserve">| 1 P JAVA @ | 3 L PHP-CGM % </v>
      </c>
      <c r="BU342" s="4" t="str">
        <f ca="1">IFERROR(__xludf.DUMMYFUNCTION("""COMPUTED_VALUE"""),"| 1 L JAVA @ | 2 L PHP-CGM @ | 3 P Python @ ")</f>
        <v xml:space="preserve">| 1 L JAVA @ | 2 L PHP-CGM @ | 3 P Python @ </v>
      </c>
      <c r="BV342" s="4" t="str">
        <f ca="1">IFERROR(__xludf.DUMMYFUNCTION("""COMPUTED_VALUE"""),"| 1 P JAVA @ | 3 L PHP-CGM @ | 4 L JAVA @ | 5 P PRO @ ")</f>
        <v xml:space="preserve">| 1 P JAVA @ | 3 L PHP-CGM @ | 4 L JAVA @ | 5 P PRO @ </v>
      </c>
      <c r="BW342" s="4" t="str">
        <f ca="1">IFERROR(__xludf.DUMMYFUNCTION("""COMPUTED_VALUE"""),"| 1 L JAVA % | 2 L PHP-CGM % | 3 P Python % ")</f>
        <v xml:space="preserve">| 1 L JAVA % | 2 L PHP-CGM % | 3 P Python % </v>
      </c>
      <c r="BX342" s="4" t="str">
        <f ca="1">IFERROR(__xludf.DUMMYFUNCTION("""COMPUTED_VALUE"""),"| 1 L INE % | 3 P NS % | 5 L JAVA % | 6 L NS % ")</f>
        <v xml:space="preserve">| 1 L INE % | 3 P NS % | 5 L JAVA % | 6 L NS % </v>
      </c>
      <c r="BY342" s="4" t="str">
        <f ca="1">IFERROR(__xludf.DUMMYFUNCTION("""COMPUTED_VALUE"""),"| 1 P PHP-CGM % | 3 P CPT % | 5 L NS % | 6 L CPT % ")</f>
        <v xml:space="preserve">| 1 P PHP-CGM % | 3 P CPT % | 5 L NS % | 6 L CPT % </v>
      </c>
      <c r="BZ342" s="4" t="str">
        <f ca="1">IFERROR(__xludf.DUMMYFUNCTION("""COMPUTED_VALUE"""),"| 1 P JAVA % | 3 L CPT % | 4 L PHP-CGM % | 5 P Python % ")</f>
        <v xml:space="preserve">| 1 P JAVA % | 3 L CPT % | 4 L PHP-CGM % | 5 P Python % </v>
      </c>
      <c r="CA342" s="4" t="str">
        <f ca="1">IFERROR(__xludf.DUMMYFUNCTION("""COMPUTED_VALUE"""),"| 1 P JAVA % | 3 L PHP-CGM % | 3 L JAVA % | 5 P PRO % ")</f>
        <v xml:space="preserve">| 1 P JAVA % | 3 L PHP-CGM % | 3 L JAVA % | 5 P PRO % </v>
      </c>
      <c r="CB342" s="4" t="str">
        <f ca="1">IFERROR(__xludf.DUMMYFUNCTION("""COMPUTED_VALUE"""),"| 1 L JAVA % | 2 L PHP-CGM % | 3 P Python @ | 6 L NS % | 5 L CPT % ")</f>
        <v xml:space="preserve">| 1 L JAVA % | 2 L PHP-CGM % | 3 P Python @ | 6 L NS % | 5 L CPT % </v>
      </c>
      <c r="CC342" s="4" t="str">
        <f ca="1">IFERROR(__xludf.DUMMYFUNCTION("""COMPUTED_VALUE"""),"| 1 L INE % | 3 P NS % | 5 L JAVA % | 6 L NS % ")</f>
        <v xml:space="preserve">| 1 L INE % | 3 P NS % | 5 L JAVA % | 6 L NS % </v>
      </c>
      <c r="CD342" s="4" t="str">
        <f ca="1">IFERROR(__xludf.DUMMYFUNCTION("""COMPUTED_VALUE"""),"| 1 P PHP-CGM % | 3 P CPT % | 5 L NS % | 6 L CPT % ")</f>
        <v xml:space="preserve">| 1 P PHP-CGM % | 3 P CPT % | 5 L NS % | 6 L CPT % </v>
      </c>
      <c r="CE342" s="4" t="str">
        <f ca="1">IFERROR(__xludf.DUMMYFUNCTION("""COMPUTED_VALUE"""),"| 1 P JAVA % | 3 L CPT % | 4 L PHP-CGM % | 5 P Python % ")</f>
        <v xml:space="preserve">| 1 P JAVA % | 3 L CPT % | 4 L PHP-CGM % | 5 P Python % </v>
      </c>
      <c r="CF342" s="4" t="str">
        <f ca="1">IFERROR(__xludf.DUMMYFUNCTION("""COMPUTED_VALUE"""),"| 1 P JAVA % | 4 L JAVA % | 3 L PHP-CGM % | 5 L PRO % ")</f>
        <v xml:space="preserve">| 1 P JAVA % | 4 L JAVA % | 3 L PHP-CGM % | 5 L PRO % </v>
      </c>
      <c r="CG342" s="4" t="str">
        <f ca="1">IFERROR(__xludf.DUMMYFUNCTION("""COMPUTED_VALUE"""),"| 1 L JAVA % | 2 L PHP-CGM % | 3 P Python % | 6 L NS @ ")</f>
        <v xml:space="preserve">| 1 L JAVA % | 2 L PHP-CGM % | 3 P Python % | 6 L NS @ </v>
      </c>
      <c r="CH342" s="4" t="str">
        <f ca="1">IFERROR(__xludf.DUMMYFUNCTION("""COMPUTED_VALUE"""),"| 1 L INE % | 3 P NS % | 5 L JAVA % | 6 L NS % ")</f>
        <v xml:space="preserve">| 1 L INE % | 3 P NS % | 5 L JAVA % | 6 L NS % </v>
      </c>
      <c r="CI342" s="4" t="str">
        <f ca="1">IFERROR(__xludf.DUMMYFUNCTION("""COMPUTED_VALUE"""),"| 3 P CPT % | 5 L NS @ | 6 L CPT @ ")</f>
        <v xml:space="preserve">| 3 P CPT % | 5 L NS @ | 6 L CPT @ </v>
      </c>
      <c r="CJ342" s="4" t="str">
        <f ca="1">IFERROR(__xludf.DUMMYFUNCTION("""COMPUTED_VALUE"""),"| 3 L CPT @ ")</f>
        <v xml:space="preserve">| 3 L CPT @ </v>
      </c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</row>
    <row r="343" spans="1:102" ht="12.5" x14ac:dyDescent="0.25">
      <c r="A343" s="3">
        <f ca="1">IFERROR(__xludf.DUMMYFUNCTION("""COMPUTED_VALUE"""),1)</f>
        <v>1</v>
      </c>
      <c r="B343" s="3" t="str">
        <f ca="1">IFERROR(__xludf.DUMMYFUNCTION("""COMPUTED_VALUE"""),"ITA")</f>
        <v>ITA</v>
      </c>
      <c r="C343" s="32" t="str">
        <f ca="1">IFERROR(__xludf.DUMMYFUNCTION("""COMPUTED_VALUE"""),"23291371009")</f>
        <v>23291371009</v>
      </c>
      <c r="D343" s="4" t="str">
        <f ca="1">IFERROR(__xludf.DUMMYFUNCTION("""COMPUTED_VALUE"""),"CHAUDHARI DAXKUMAR KANTILAL")</f>
        <v>CHAUDHARI DAXKUMAR KANTILAL</v>
      </c>
      <c r="E343" s="3" t="str">
        <f ca="1">IFERROR(__xludf.DUMMYFUNCTION("""COMPUTED_VALUE"""),"Sweety - Mor")</f>
        <v>Sweety - Mor</v>
      </c>
      <c r="F343" s="3">
        <f ca="1">IFERROR(__xludf.DUMMYFUNCTION("""COMPUTED_VALUE"""),8238643350)</f>
        <v>8238643350</v>
      </c>
      <c r="G343" s="3">
        <f ca="1">IFERROR(__xludf.DUMMYFUNCTION("""COMPUTED_VALUE"""),8849035453)</f>
        <v>8849035453</v>
      </c>
      <c r="H343" s="33">
        <f ca="1">IFERROR(__xludf.DUMMYFUNCTION("""COMPUTED_VALUE"""),0.705645161290322)</f>
        <v>0.70564516129032195</v>
      </c>
      <c r="I343" s="25">
        <f ca="1">IFERROR(__xludf.DUMMYFUNCTION("""COMPUTED_VALUE"""),0.485714285714285)</f>
        <v>0.48571428571428499</v>
      </c>
      <c r="J343" s="25">
        <f ca="1">IFERROR(__xludf.DUMMYFUNCTION("""COMPUTED_VALUE"""),1)</f>
        <v>1</v>
      </c>
      <c r="K343" s="25">
        <f ca="1">IFERROR(__xludf.DUMMYFUNCTION("""COMPUTED_VALUE"""),0.555555555555555)</f>
        <v>0.55555555555555503</v>
      </c>
      <c r="L343" s="25">
        <f ca="1">IFERROR(__xludf.DUMMYFUNCTION("""COMPUTED_VALUE"""),0.818181818181818)</f>
        <v>0.81818181818181801</v>
      </c>
      <c r="M343" s="25">
        <f ca="1">IFERROR(__xludf.DUMMYFUNCTION("""COMPUTED_VALUE"""),0.842105263157894)</f>
        <v>0.84210526315789402</v>
      </c>
      <c r="N343" s="25">
        <f ca="1">IFERROR(__xludf.DUMMYFUNCTION("""COMPUTED_VALUE"""),1)</f>
        <v>1</v>
      </c>
      <c r="O343" s="25">
        <f ca="1">IFERROR(__xludf.DUMMYFUNCTION("""COMPUTED_VALUE"""),0.861111111111111)</f>
        <v>0.86111111111111105</v>
      </c>
      <c r="P343" s="25">
        <f ca="1">IFERROR(__xludf.DUMMYFUNCTION("""COMPUTED_VALUE"""),0.666666666666666)</f>
        <v>0.66666666666666596</v>
      </c>
      <c r="Q343" s="25">
        <f ca="1">IFERROR(__xludf.DUMMYFUNCTION("""COMPUTED_VALUE"""),0)</f>
        <v>0</v>
      </c>
      <c r="R343" s="25">
        <f ca="1">IFERROR(__xludf.DUMMYFUNCTION("""COMPUTED_VALUE"""),0.708333333333333)</f>
        <v>0.70833333333333304</v>
      </c>
      <c r="S343" s="25">
        <f ca="1">IFERROR(__xludf.DUMMYFUNCTION("""COMPUTED_VALUE"""),0.333333333333333)</f>
        <v>0.33333333333333298</v>
      </c>
      <c r="T343" s="25">
        <f ca="1">IFERROR(__xludf.DUMMYFUNCTION("""COMPUTED_VALUE"""),0.555555555555555)</f>
        <v>0.55555555555555503</v>
      </c>
      <c r="U343" s="25">
        <f ca="1">IFERROR(__xludf.DUMMYFUNCTION("""COMPUTED_VALUE"""),0.375)</f>
        <v>0.375</v>
      </c>
      <c r="V343" s="25">
        <f ca="1">IFERROR(__xludf.DUMMYFUNCTION("""COMPUTED_VALUE"""),0)</f>
        <v>0</v>
      </c>
      <c r="W343" s="4"/>
      <c r="X343" s="4" t="str">
        <f ca="1">IFERROR(__xludf.DUMMYFUNCTION("""COMPUTED_VALUE"""),"| 1 P JAVA @ | 4 L JAVA @ | 3 L PHP-CGM @ | 1 L PRO @ ")</f>
        <v xml:space="preserve">| 1 P JAVA @ | 4 L JAVA @ | 3 L PHP-CGM @ | 1 L PRO @ </v>
      </c>
      <c r="Y343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Z343" s="4" t="str">
        <f ca="1">IFERROR(__xludf.DUMMYFUNCTION("""COMPUTED_VALUE"""),"| 3 P NS % | 5 L JAVA % | 6 L NS % ")</f>
        <v xml:space="preserve">| 3 P NS % | 5 L JAVA % | 6 L NS % </v>
      </c>
      <c r="AA343" s="4" t="str">
        <f ca="1">IFERROR(__xludf.DUMMYFUNCTION("""COMPUTED_VALUE"""),"| 3 P CPT % | 5 L NS @ | 6 L CPT @ ")</f>
        <v xml:space="preserve">| 3 P CPT % | 5 L NS @ | 6 L CPT @ </v>
      </c>
      <c r="AB343" s="4" t="str">
        <f ca="1">IFERROR(__xludf.DUMMYFUNCTION("""COMPUTED_VALUE"""),"| 1 P JAVA % | 3 L CPT % | 4 L PHP-CGM % | 5 P Python % ")</f>
        <v xml:space="preserve">| 1 P JAVA % | 3 L CPT % | 4 L PHP-CGM % | 5 P Python % </v>
      </c>
      <c r="AC343" s="4" t="str">
        <f ca="1">IFERROR(__xludf.DUMMYFUNCTION("""COMPUTED_VALUE"""),"| 1 P JAVA % | 3 L PHP-CGM % | 5 P PRO % ")</f>
        <v xml:space="preserve">| 1 P JAVA % | 3 L PHP-CGM % | 5 P PRO % </v>
      </c>
      <c r="AD343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3" s="4" t="str">
        <f ca="1">IFERROR(__xludf.DUMMYFUNCTION("""COMPUTED_VALUE"""),"| 3 P NS % | 5 L JAVA % | 6 L NS % ")</f>
        <v xml:space="preserve">| 3 P NS % | 5 L JAVA % | 6 L NS % </v>
      </c>
      <c r="AF343" s="4" t="str">
        <f ca="1">IFERROR(__xludf.DUMMYFUNCTION("""COMPUTED_VALUE"""),"| 1 P PHP-CGM % | 3 P CPT % | 5 L NS % | 6 L CPT % ")</f>
        <v xml:space="preserve">| 1 P PHP-CGM % | 3 P CPT % | 5 L NS % | 6 L CPT % </v>
      </c>
      <c r="AG343" s="4" t="str">
        <f ca="1">IFERROR(__xludf.DUMMYFUNCTION("""COMPUTED_VALUE"""),"| 1 P JAVA % | 3 L CPT % | 4 L PHP-CGM % | 5 P Python @ ")</f>
        <v xml:space="preserve">| 1 P JAVA % | 3 L CPT % | 4 L PHP-CGM % | 5 P Python @ </v>
      </c>
      <c r="AH343" s="4" t="str">
        <f ca="1">IFERROR(__xludf.DUMMYFUNCTION("""COMPUTED_VALUE"""),"| 1 P PHP-CGM % | 3 P CPT % | 5 L NS @ | 6 L CPT @ ")</f>
        <v xml:space="preserve">| 1 P PHP-CGM % | 3 P CPT % | 5 L NS @ | 6 L CPT @ </v>
      </c>
      <c r="AI343" s="4" t="str">
        <f ca="1">IFERROR(__xludf.DUMMYFUNCTION("""COMPUTED_VALUE"""),"| 1 P JAVA @ | 3 L CPT @ | 4 L PHP-CGM @ | 5 P Python @ ")</f>
        <v xml:space="preserve">| 1 P JAVA @ | 3 L CPT @ | 4 L PHP-CGM @ | 5 P Python @ </v>
      </c>
      <c r="AJ343" s="4" t="str">
        <f ca="1">IFERROR(__xludf.DUMMYFUNCTION("""COMPUTED_VALUE"""),"| 1 P JAVA % | 3 L PHP-CGM % | 4 L JAVA % | 5 P PRO @ ")</f>
        <v xml:space="preserve">| 1 P JAVA % | 3 L PHP-CGM % | 4 L JAVA % | 5 P PRO @ </v>
      </c>
      <c r="AK34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43" s="4" t="str">
        <f ca="1">IFERROR(__xludf.DUMMYFUNCTION("""COMPUTED_VALUE"""),"| 3 P NS % | 5 L JAVA % | 6 L NS % ")</f>
        <v xml:space="preserve">| 3 P NS % | 5 L JAVA % | 6 L NS % </v>
      </c>
      <c r="AM343" s="4" t="str">
        <f ca="1">IFERROR(__xludf.DUMMYFUNCTION("""COMPUTED_VALUE"""),"| 1 P PHP-CGM % | 3 P CPT % | 5 L NS @ | 6 L CPT @ ")</f>
        <v xml:space="preserve">| 1 P PHP-CGM % | 3 P CPT % | 5 L NS @ | 6 L CPT @ </v>
      </c>
      <c r="AN343" s="4" t="str">
        <f ca="1">IFERROR(__xludf.DUMMYFUNCTION("""COMPUTED_VALUE"""),"| 1 P JAVA % | 4 L PHP-CGM % | 5 P Python % ")</f>
        <v xml:space="preserve">| 1 P JAVA % | 4 L PHP-CGM % | 5 P Python % </v>
      </c>
      <c r="AO343" s="4" t="str">
        <f ca="1">IFERROR(__xludf.DUMMYFUNCTION("""COMPUTED_VALUE"""),"| 1 P JAVA % | 3 L PHP-CGM % | 4 L JAVA % | 5 P PRO % ")</f>
        <v xml:space="preserve">| 1 P JAVA % | 3 L PHP-CGM % | 4 L JAVA % | 5 P PRO % </v>
      </c>
      <c r="AP34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3" s="4" t="str">
        <f ca="1">IFERROR(__xludf.DUMMYFUNCTION("""COMPUTED_VALUE"""),"| 1 L INE @ | 3 P NS @ | 5 L JAVA @ | 6 L NS @ ")</f>
        <v xml:space="preserve">| 1 L INE @ | 3 P NS @ | 5 L JAVA @ | 6 L NS @ </v>
      </c>
      <c r="AR343" s="4" t="str">
        <f ca="1">IFERROR(__xludf.DUMMYFUNCTION("""COMPUTED_VALUE"""),"| 1 P PHP-CGM % | 3 L CPT % | 3 P CPT % | 5 L NS @ | 6 L CPT @ ")</f>
        <v xml:space="preserve">| 1 P PHP-CGM % | 3 L CPT % | 3 P CPT % | 5 L NS @ | 6 L CPT @ </v>
      </c>
      <c r="AS343" s="4" t="str">
        <f ca="1">IFERROR(__xludf.DUMMYFUNCTION("""COMPUTED_VALUE"""),"| 1 P JAVA @ | 3 L PHP-CGM % | 4 L JAVA % | 5 P PRO % ")</f>
        <v xml:space="preserve">| 1 P JAVA @ | 3 L PHP-CGM % | 4 L JAVA % | 5 P PRO % </v>
      </c>
      <c r="AT34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3" s="4" t="str">
        <f ca="1">IFERROR(__xludf.DUMMYFUNCTION("""COMPUTED_VALUE"""),"| 1 L INE % | 3 P NS % | 5 L JAVA % | 6 L NS % ")</f>
        <v xml:space="preserve">| 1 L INE % | 3 P NS % | 5 L JAVA % | 6 L NS % </v>
      </c>
      <c r="AV343" s="4" t="str">
        <f ca="1">IFERROR(__xludf.DUMMYFUNCTION("""COMPUTED_VALUE"""),"| 1 P PHP-CGM % | 3 P CPT % | 5 L NS % | 6 L CPT % ")</f>
        <v xml:space="preserve">| 1 P PHP-CGM % | 3 P CPT % | 5 L NS % | 6 L CPT % </v>
      </c>
      <c r="AW343" s="4" t="str">
        <f ca="1">IFERROR(__xludf.DUMMYFUNCTION("""COMPUTED_VALUE"""),"| 1 P JAVA @ | 3 L CPT % | 4 L PHP-CGM % | 5 P Python % ")</f>
        <v xml:space="preserve">| 1 P JAVA @ | 3 L CPT % | 4 L PHP-CGM % | 5 P Python % </v>
      </c>
      <c r="AX343" s="4" t="str">
        <f ca="1">IFERROR(__xludf.DUMMYFUNCTION("""COMPUTED_VALUE"""),"| 1 P JAVA % | 3 L JAVA % | 4 L PHP-CGM % | 5 P PRO % ")</f>
        <v xml:space="preserve">| 1 P JAVA % | 3 L JAVA % | 4 L PHP-CGM % | 5 P PRO % </v>
      </c>
      <c r="AY343" s="4" t="str">
        <f ca="1">IFERROR(__xludf.DUMMYFUNCTION("""COMPUTED_VALUE"""),"| 2 L PHP-CGM % | 3 P Python % | 5 L CPT @ | 6 L NS @ | 1 L JAVA % ")</f>
        <v xml:space="preserve">| 2 L PHP-CGM % | 3 P Python % | 5 L CPT @ | 6 L NS @ | 1 L JAVA % </v>
      </c>
      <c r="AZ343" s="4" t="str">
        <f ca="1">IFERROR(__xludf.DUMMYFUNCTION("""COMPUTED_VALUE"""),"| 1 P PHP-CGM % | 3 P CPT % | 5 L NS % | 6 L CPT % ")</f>
        <v xml:space="preserve">| 1 P PHP-CGM % | 3 P CPT % | 5 L NS % | 6 L CPT % </v>
      </c>
      <c r="BA343" s="4" t="str">
        <f ca="1">IFERROR(__xludf.DUMMYFUNCTION("""COMPUTED_VALUE"""),"| 1 P JAVA % | 3 L CPT % | 4 L PHP-CGM % | 5 P Python @ ")</f>
        <v xml:space="preserve">| 1 P JAVA % | 3 L CPT % | 4 L PHP-CGM % | 5 P Python @ </v>
      </c>
      <c r="BB343" s="4" t="str">
        <f ca="1">IFERROR(__xludf.DUMMYFUNCTION("""COMPUTED_VALUE"""),"| 1 P JAVA % | 3 L PHP-CGM % | 4 L JAVA % | 5 L PRO @ ")</f>
        <v xml:space="preserve">| 1 P JAVA % | 3 L PHP-CGM % | 4 L JAVA % | 5 L PRO @ </v>
      </c>
      <c r="BC34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43" s="4" t="str">
        <f ca="1">IFERROR(__xludf.DUMMYFUNCTION("""COMPUTED_VALUE"""),"| 1 L INE % | 3 P NS % | 5 L JAVA % | 6 L NS % ")</f>
        <v xml:space="preserve">| 1 L INE % | 3 P NS % | 5 L JAVA % | 6 L NS % </v>
      </c>
      <c r="BE343" s="4" t="str">
        <f ca="1">IFERROR(__xludf.DUMMYFUNCTION("""COMPUTED_VALUE"""),"| 1 P PHP-CGM % | 3 P CPT % | 5 L NS % | 6 L CPT % ")</f>
        <v xml:space="preserve">| 1 P PHP-CGM % | 3 P CPT % | 5 L NS % | 6 L CPT % </v>
      </c>
      <c r="BF343" s="4" t="str">
        <f ca="1">IFERROR(__xludf.DUMMYFUNCTION("""COMPUTED_VALUE"""),"| 1 P JAVA @ | 3 L CPT @ | 4 L PHP-CGM @ | 5 P Python @ ")</f>
        <v xml:space="preserve">| 1 P JAVA @ | 3 L CPT @ | 4 L PHP-CGM @ | 5 P Python @ </v>
      </c>
      <c r="BG34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43" s="4" t="str">
        <f ca="1">IFERROR(__xludf.DUMMYFUNCTION("""COMPUTED_VALUE"""),"| 1 L INE @ | 3 P NS % | 5 L JAVA % | 6 L NS % ")</f>
        <v xml:space="preserve">| 1 L INE @ | 3 P NS % | 5 L JAVA % | 6 L NS % </v>
      </c>
      <c r="BI343" s="4" t="str">
        <f ca="1">IFERROR(__xludf.DUMMYFUNCTION("""COMPUTED_VALUE"""),"| 1 P PHP-CGM % | 3 P CPT % | 5 L NS @ | 6 L CPT @ ")</f>
        <v xml:space="preserve">| 1 P PHP-CGM % | 3 P CPT % | 5 L NS @ | 6 L CPT @ </v>
      </c>
      <c r="BJ343" s="4" t="str">
        <f ca="1">IFERROR(__xludf.DUMMYFUNCTION("""COMPUTED_VALUE"""),"| 1 P JAVA @ | 3 L CPT @ | 4 L PHP-CGM @ | 5 P Python @ ")</f>
        <v xml:space="preserve">| 1 P JAVA @ | 3 L CPT @ | 4 L PHP-CGM @ | 5 P Python @ </v>
      </c>
      <c r="BK343" s="4" t="str">
        <f ca="1">IFERROR(__xludf.DUMMYFUNCTION("""COMPUTED_VALUE"""),"| 1 P JAVA @ | 3 L PHP-CGM @ | 4 L JAVA @ | 5 P PRO @ ")</f>
        <v xml:space="preserve">| 1 P JAVA @ | 3 L PHP-CGM @ | 4 L JAVA @ | 5 P PRO @ </v>
      </c>
      <c r="BL343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BM343" s="4" t="str">
        <f ca="1">IFERROR(__xludf.DUMMYFUNCTION("""COMPUTED_VALUE"""),"| 1 L INE @ | 3 P NS % | 5 L JAVA % | 6 L NS % ")</f>
        <v xml:space="preserve">| 1 L INE @ | 3 P NS % | 5 L JAVA % | 6 L NS % </v>
      </c>
      <c r="BN343" s="4" t="str">
        <f ca="1">IFERROR(__xludf.DUMMYFUNCTION("""COMPUTED_VALUE"""),"| 1 P PHP-CGM % | 3 P CPT % | 5 L NS @ | 6 L CPT @ ")</f>
        <v xml:space="preserve">| 1 P PHP-CGM % | 3 P CPT % | 5 L NS @ | 6 L CPT @ </v>
      </c>
      <c r="BO343" s="4" t="str">
        <f ca="1">IFERROR(__xludf.DUMMYFUNCTION("""COMPUTED_VALUE"""),"| 1 P JAVA @ | 4 L PHP-CGM @ | 3 L CPT @ | 5 P Python @ ")</f>
        <v xml:space="preserve">| 1 P JAVA @ | 4 L PHP-CGM @ | 3 L CPT @ | 5 P Python @ </v>
      </c>
      <c r="BP343" s="4" t="str">
        <f ca="1">IFERROR(__xludf.DUMMYFUNCTION("""COMPUTED_VALUE"""),"| 1 P JAVA % | 3 L PHP-CGM % | 4 L JAVA % | 5 P PRO @ ")</f>
        <v xml:space="preserve">| 1 P JAVA % | 3 L PHP-CGM % | 4 L JAVA % | 5 P PRO @ </v>
      </c>
      <c r="BQ343" s="4" t="str">
        <f ca="1">IFERROR(__xludf.DUMMYFUNCTION("""COMPUTED_VALUE"""),"| 6 L NS % | 5 L JAVA @ ")</f>
        <v xml:space="preserve">| 6 L NS % | 5 L JAVA @ </v>
      </c>
      <c r="BR343" s="4"/>
      <c r="BS343" s="4" t="str">
        <f ca="1">IFERROR(__xludf.DUMMYFUNCTION("""COMPUTED_VALUE"""),"| 4 L PHP-CGM % ")</f>
        <v xml:space="preserve">| 4 L PHP-CGM % </v>
      </c>
      <c r="BT343" s="4" t="str">
        <f ca="1">IFERROR(__xludf.DUMMYFUNCTION("""COMPUTED_VALUE"""),"| 1 P JAVA % | 3 L PHP-CGM % ")</f>
        <v xml:space="preserve">| 1 P JAVA % | 3 L PHP-CGM % </v>
      </c>
      <c r="BU343" s="4" t="str">
        <f ca="1">IFERROR(__xludf.DUMMYFUNCTION("""COMPUTED_VALUE"""),"| 1 L JAVA % | 2 L PHP-CGM % | 3 P Python % ")</f>
        <v xml:space="preserve">| 1 L JAVA % | 2 L PHP-CGM % | 3 P Python % </v>
      </c>
      <c r="BV343" s="4" t="str">
        <f ca="1">IFERROR(__xludf.DUMMYFUNCTION("""COMPUTED_VALUE"""),"| 1 P JAVA % | 3 L PHP-CGM % | 4 L JAVA % | 5 P PRO @ ")</f>
        <v xml:space="preserve">| 1 P JAVA % | 3 L PHP-CGM % | 4 L JAVA % | 5 P PRO @ </v>
      </c>
      <c r="BW343" s="4" t="str">
        <f ca="1">IFERROR(__xludf.DUMMYFUNCTION("""COMPUTED_VALUE"""),"| 1 L JAVA % | 2 L PHP-CGM % | 3 P Python % ")</f>
        <v xml:space="preserve">| 1 L JAVA % | 2 L PHP-CGM % | 3 P Python % </v>
      </c>
      <c r="BX343" s="4" t="str">
        <f ca="1">IFERROR(__xludf.DUMMYFUNCTION("""COMPUTED_VALUE"""),"| 1 L INE @ | 3 P NS @ | 5 L JAVA @ | 6 L NS @ ")</f>
        <v xml:space="preserve">| 1 L INE @ | 3 P NS @ | 5 L JAVA @ | 6 L NS @ </v>
      </c>
      <c r="BY343" s="4" t="str">
        <f ca="1">IFERROR(__xludf.DUMMYFUNCTION("""COMPUTED_VALUE"""),"| 1 P PHP-CGM % | 3 P CPT % | 5 L NS @ | 6 L CPT @ ")</f>
        <v xml:space="preserve">| 1 P PHP-CGM % | 3 P CPT % | 5 L NS @ | 6 L CPT @ </v>
      </c>
      <c r="BZ343" s="4" t="str">
        <f ca="1">IFERROR(__xludf.DUMMYFUNCTION("""COMPUTED_VALUE"""),"| 1 P JAVA % | 3 L CPT % | 4 L PHP-CGM % | 5 P Python @ ")</f>
        <v xml:space="preserve">| 1 P JAVA % | 3 L CPT % | 4 L PHP-CGM % | 5 P Python @ </v>
      </c>
      <c r="CA343" s="4" t="str">
        <f ca="1">IFERROR(__xludf.DUMMYFUNCTION("""COMPUTED_VALUE"""),"| 1 P JAVA % | 3 L PHP-CGM % | 3 L JAVA % | 5 P PRO % ")</f>
        <v xml:space="preserve">| 1 P JAVA % | 3 L PHP-CGM % | 3 L JAVA % | 5 P PRO % </v>
      </c>
      <c r="CB343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CC343" s="4" t="str">
        <f ca="1">IFERROR(__xludf.DUMMYFUNCTION("""COMPUTED_VALUE"""),"| 1 L INE % | 3 P NS % | 5 L JAVA % | 6 L NS % ")</f>
        <v xml:space="preserve">| 1 L INE % | 3 P NS % | 5 L JAVA % | 6 L NS % </v>
      </c>
      <c r="CD343" s="4" t="str">
        <f ca="1">IFERROR(__xludf.DUMMYFUNCTION("""COMPUTED_VALUE"""),"| 1 P PHP-CGM % | 3 P CPT % | 5 L NS @ | 6 L CPT @ ")</f>
        <v xml:space="preserve">| 1 P PHP-CGM % | 3 P CPT % | 5 L NS @ | 6 L CPT @ </v>
      </c>
      <c r="CE343" s="4" t="str">
        <f ca="1">IFERROR(__xludf.DUMMYFUNCTION("""COMPUTED_VALUE"""),"| 1 P JAVA % | 3 L CPT % | 4 L PHP-CGM % | 5 P Python % ")</f>
        <v xml:space="preserve">| 1 P JAVA % | 3 L CPT % | 4 L PHP-CGM % | 5 P Python % </v>
      </c>
      <c r="CF343" s="4" t="str">
        <f ca="1">IFERROR(__xludf.DUMMYFUNCTION("""COMPUTED_VALUE"""),"| 1 P JAVA % | 4 L JAVA % | 3 L PHP-CGM % | 5 L PRO % ")</f>
        <v xml:space="preserve">| 1 P JAVA % | 4 L JAVA % | 3 L PHP-CGM % | 5 L PRO % </v>
      </c>
      <c r="CG343" s="4" t="str">
        <f ca="1">IFERROR(__xludf.DUMMYFUNCTION("""COMPUTED_VALUE"""),"| 1 L JAVA % | 2 L PHP-CGM % | 3 P Python % | 6 L NS @ ")</f>
        <v xml:space="preserve">| 1 L JAVA % | 2 L PHP-CGM % | 3 P Python % | 6 L NS @ </v>
      </c>
      <c r="CH343" s="4" t="str">
        <f ca="1">IFERROR(__xludf.DUMMYFUNCTION("""COMPUTED_VALUE"""),"| 1 L INE @ | 3 P NS % | 5 L JAVA % | 6 L NS % ")</f>
        <v xml:space="preserve">| 1 L INE @ | 3 P NS % | 5 L JAVA % | 6 L NS % </v>
      </c>
      <c r="CI343" s="4" t="str">
        <f ca="1">IFERROR(__xludf.DUMMYFUNCTION("""COMPUTED_VALUE"""),"| 3 P CPT % | 5 L NS @ | 6 L CPT @ ")</f>
        <v xml:space="preserve">| 3 P CPT % | 5 L NS @ | 6 L CPT @ </v>
      </c>
      <c r="CJ343" s="4" t="str">
        <f ca="1">IFERROR(__xludf.DUMMYFUNCTION("""COMPUTED_VALUE"""),"| 3 L CPT @ ")</f>
        <v xml:space="preserve">| 3 L CPT @ </v>
      </c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</row>
    <row r="344" spans="1:102" ht="12.5" x14ac:dyDescent="0.25">
      <c r="A344" s="3">
        <f ca="1">IFERROR(__xludf.DUMMYFUNCTION("""COMPUTED_VALUE"""),1)</f>
        <v>1</v>
      </c>
      <c r="B344" s="3" t="str">
        <f ca="1">IFERROR(__xludf.DUMMYFUNCTION("""COMPUTED_VALUE"""),"ITA")</f>
        <v>ITA</v>
      </c>
      <c r="C344" s="32" t="str">
        <f ca="1">IFERROR(__xludf.DUMMYFUNCTION("""COMPUTED_VALUE"""),"23291371010")</f>
        <v>23291371010</v>
      </c>
      <c r="D344" s="4" t="str">
        <f ca="1">IFERROR(__xludf.DUMMYFUNCTION("""COMPUTED_VALUE"""),"CHAUDHARI PANKTI VISHALKUMAR")</f>
        <v>CHAUDHARI PANKTI VISHALKUMAR</v>
      </c>
      <c r="E344" s="3" t="str">
        <f ca="1">IFERROR(__xludf.DUMMYFUNCTION("""COMPUTED_VALUE"""),"Sweety - Mor")</f>
        <v>Sweety - Mor</v>
      </c>
      <c r="F344" s="3">
        <f ca="1">IFERROR(__xludf.DUMMYFUNCTION("""COMPUTED_VALUE"""),9157293031)</f>
        <v>9157293031</v>
      </c>
      <c r="G344" s="3">
        <f ca="1">IFERROR(__xludf.DUMMYFUNCTION("""COMPUTED_VALUE"""),9157131415)</f>
        <v>9157131415</v>
      </c>
      <c r="H344" s="33">
        <f ca="1">IFERROR(__xludf.DUMMYFUNCTION("""COMPUTED_VALUE"""),0.713709677419354)</f>
        <v>0.71370967741935398</v>
      </c>
      <c r="I344" s="25">
        <f ca="1">IFERROR(__xludf.DUMMYFUNCTION("""COMPUTED_VALUE"""),0.628571428571428)</f>
        <v>0.628571428571428</v>
      </c>
      <c r="J344" s="25">
        <f ca="1">IFERROR(__xludf.DUMMYFUNCTION("""COMPUTED_VALUE"""),0.923076923076923)</f>
        <v>0.92307692307692302</v>
      </c>
      <c r="K344" s="25">
        <f ca="1">IFERROR(__xludf.DUMMYFUNCTION("""COMPUTED_VALUE"""),0.694444444444444)</f>
        <v>0.69444444444444398</v>
      </c>
      <c r="L344" s="25">
        <f ca="1">IFERROR(__xludf.DUMMYFUNCTION("""COMPUTED_VALUE"""),0.909090909090909)</f>
        <v>0.90909090909090895</v>
      </c>
      <c r="M344" s="25">
        <f ca="1">IFERROR(__xludf.DUMMYFUNCTION("""COMPUTED_VALUE"""),0.736842105263157)</f>
        <v>0.73684210526315697</v>
      </c>
      <c r="N344" s="25">
        <f ca="1">IFERROR(__xludf.DUMMYFUNCTION("""COMPUTED_VALUE"""),0.909090909090909)</f>
        <v>0.90909090909090895</v>
      </c>
      <c r="O344" s="25">
        <f ca="1">IFERROR(__xludf.DUMMYFUNCTION("""COMPUTED_VALUE"""),0.777777777777777)</f>
        <v>0.77777777777777701</v>
      </c>
      <c r="P344" s="25">
        <f ca="1">IFERROR(__xludf.DUMMYFUNCTION("""COMPUTED_VALUE"""),0.708333333333333)</f>
        <v>0.70833333333333304</v>
      </c>
      <c r="Q344" s="25">
        <f ca="1">IFERROR(__xludf.DUMMYFUNCTION("""COMPUTED_VALUE"""),0)</f>
        <v>0</v>
      </c>
      <c r="R344" s="25">
        <f ca="1">IFERROR(__xludf.DUMMYFUNCTION("""COMPUTED_VALUE"""),0.5)</f>
        <v>0.5</v>
      </c>
      <c r="S344" s="25">
        <f ca="1">IFERROR(__xludf.DUMMYFUNCTION("""COMPUTED_VALUE"""),0.666666666666666)</f>
        <v>0.66666666666666596</v>
      </c>
      <c r="T344" s="25">
        <f ca="1">IFERROR(__xludf.DUMMYFUNCTION("""COMPUTED_VALUE"""),0.666666666666666)</f>
        <v>0.66666666666666596</v>
      </c>
      <c r="U344" s="25">
        <f ca="1">IFERROR(__xludf.DUMMYFUNCTION("""COMPUTED_VALUE"""),0.625)</f>
        <v>0.625</v>
      </c>
      <c r="V344" s="25">
        <f ca="1">IFERROR(__xludf.DUMMYFUNCTION("""COMPUTED_VALUE"""),0)</f>
        <v>0</v>
      </c>
      <c r="W344" s="4"/>
      <c r="X344" s="4" t="str">
        <f ca="1">IFERROR(__xludf.DUMMYFUNCTION("""COMPUTED_VALUE"""),"| 1 P JAVA @ | 4 L JAVA @ | 3 L PHP-CGM @ | 1 L PRO @ ")</f>
        <v xml:space="preserve">| 1 P JAVA @ | 4 L JAVA @ | 3 L PHP-CGM @ | 1 L PRO @ </v>
      </c>
      <c r="Y34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44" s="4" t="str">
        <f ca="1">IFERROR(__xludf.DUMMYFUNCTION("""COMPUTED_VALUE"""),"| 3 P NS % | 5 L JAVA @ | 6 L NS @ ")</f>
        <v xml:space="preserve">| 3 P NS % | 5 L JAVA @ | 6 L NS @ </v>
      </c>
      <c r="AA344" s="4" t="str">
        <f ca="1">IFERROR(__xludf.DUMMYFUNCTION("""COMPUTED_VALUE"""),"| 3 P CPT % | 5 L NS % | 6 L CPT % ")</f>
        <v xml:space="preserve">| 3 P CPT % | 5 L NS % | 6 L CPT % </v>
      </c>
      <c r="AB344" s="4" t="str">
        <f ca="1">IFERROR(__xludf.DUMMYFUNCTION("""COMPUTED_VALUE"""),"| 1 P JAVA % | 3 L CPT % | 4 L PHP-CGM % | 5 P Python % ")</f>
        <v xml:space="preserve">| 1 P JAVA % | 3 L CPT % | 4 L PHP-CGM % | 5 P Python % </v>
      </c>
      <c r="AC344" s="4" t="str">
        <f ca="1">IFERROR(__xludf.DUMMYFUNCTION("""COMPUTED_VALUE"""),"| 1 P JAVA % | 3 L PHP-CGM % | 5 P PRO % ")</f>
        <v xml:space="preserve">| 1 P JAVA % | 3 L PHP-CGM % | 5 P PRO % </v>
      </c>
      <c r="AD344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4" s="4" t="str">
        <f ca="1">IFERROR(__xludf.DUMMYFUNCTION("""COMPUTED_VALUE"""),"| 3 P NS % | 5 L JAVA % | 6 L NS % ")</f>
        <v xml:space="preserve">| 3 P NS % | 5 L JAVA % | 6 L NS % </v>
      </c>
      <c r="AF344" s="4" t="str">
        <f ca="1">IFERROR(__xludf.DUMMYFUNCTION("""COMPUTED_VALUE"""),"| 1 P PHP-CGM % | 3 P CPT % | 5 L NS % | 6 L CPT % ")</f>
        <v xml:space="preserve">| 1 P PHP-CGM % | 3 P CPT % | 5 L NS % | 6 L CPT % </v>
      </c>
      <c r="AG344" s="4" t="str">
        <f ca="1">IFERROR(__xludf.DUMMYFUNCTION("""COMPUTED_VALUE"""),"| 1 P JAVA % | 3 L CPT % | 4 L PHP-CGM % | 5 P Python @ ")</f>
        <v xml:space="preserve">| 1 P JAVA % | 3 L CPT % | 4 L PHP-CGM % | 5 P Python @ </v>
      </c>
      <c r="AH344" s="4" t="str">
        <f ca="1">IFERROR(__xludf.DUMMYFUNCTION("""COMPUTED_VALUE"""),"| 1 P PHP-CGM % | 3 P CPT % | 5 L NS % | 6 L CPT % ")</f>
        <v xml:space="preserve">| 1 P PHP-CGM % | 3 P CPT % | 5 L NS % | 6 L CPT % </v>
      </c>
      <c r="AI344" s="4" t="str">
        <f ca="1">IFERROR(__xludf.DUMMYFUNCTION("""COMPUTED_VALUE"""),"| 1 P JAVA % | 3 L CPT % | 4 L PHP-CGM % | 5 P Python % ")</f>
        <v xml:space="preserve">| 1 P JAVA % | 3 L CPT % | 4 L PHP-CGM % | 5 P Python % </v>
      </c>
      <c r="AJ344" s="4" t="str">
        <f ca="1">IFERROR(__xludf.DUMMYFUNCTION("""COMPUTED_VALUE"""),"| 1 P JAVA % | 3 L PHP-CGM % | 4 L JAVA % | 5 P PRO % ")</f>
        <v xml:space="preserve">| 1 P JAVA % | 3 L PHP-CGM % | 4 L JAVA % | 5 P PRO % </v>
      </c>
      <c r="AK344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AL344" s="4" t="str">
        <f ca="1">IFERROR(__xludf.DUMMYFUNCTION("""COMPUTED_VALUE"""),"| 3 P NS % | 5 L JAVA % | 6 L NS % ")</f>
        <v xml:space="preserve">| 3 P NS % | 5 L JAVA % | 6 L NS % </v>
      </c>
      <c r="AM344" s="4" t="str">
        <f ca="1">IFERROR(__xludf.DUMMYFUNCTION("""COMPUTED_VALUE"""),"| 1 P PHP-CGM % | 3 P CPT % | 5 L NS % | 6 L CPT % ")</f>
        <v xml:space="preserve">| 1 P PHP-CGM % | 3 P CPT % | 5 L NS % | 6 L CPT % </v>
      </c>
      <c r="AN344" s="4" t="str">
        <f ca="1">IFERROR(__xludf.DUMMYFUNCTION("""COMPUTED_VALUE"""),"| 1 P JAVA % | 4 L PHP-CGM % | 5 P Python @ ")</f>
        <v xml:space="preserve">| 1 P JAVA % | 4 L PHP-CGM % | 5 P Python @ </v>
      </c>
      <c r="AO344" s="4" t="str">
        <f ca="1">IFERROR(__xludf.DUMMYFUNCTION("""COMPUTED_VALUE"""),"| 1 P JAVA % | 3 L PHP-CGM % | 4 L JAVA % | 5 P PRO % ")</f>
        <v xml:space="preserve">| 1 P JAVA % | 3 L PHP-CGM % | 4 L JAVA % | 5 P PRO % </v>
      </c>
      <c r="AP34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4" s="4" t="str">
        <f ca="1">IFERROR(__xludf.DUMMYFUNCTION("""COMPUTED_VALUE"""),"| 1 L INE @ | 3 P NS % | 5 L JAVA @ | 6 L NS @ ")</f>
        <v xml:space="preserve">| 1 L INE @ | 3 P NS % | 5 L JAVA @ | 6 L NS @ </v>
      </c>
      <c r="AR344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44" s="4" t="str">
        <f ca="1">IFERROR(__xludf.DUMMYFUNCTION("""COMPUTED_VALUE"""),"| 1 P JAVA % | 3 L PHP-CGM % | 4 L JAVA % | 5 P PRO % ")</f>
        <v xml:space="preserve">| 1 P JAVA % | 3 L PHP-CGM % | 4 L JAVA % | 5 P PRO % </v>
      </c>
      <c r="AT34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4" s="4" t="str">
        <f ca="1">IFERROR(__xludf.DUMMYFUNCTION("""COMPUTED_VALUE"""),"| 1 L INE % | 3 P NS % | 5 L JAVA % | 6 L NS % ")</f>
        <v xml:space="preserve">| 1 L INE % | 3 P NS % | 5 L JAVA % | 6 L NS % </v>
      </c>
      <c r="AV344" s="4" t="str">
        <f ca="1">IFERROR(__xludf.DUMMYFUNCTION("""COMPUTED_VALUE"""),"| 1 P PHP-CGM % | 3 P CPT % | 5 L NS % | 6 L CPT % ")</f>
        <v xml:space="preserve">| 1 P PHP-CGM % | 3 P CPT % | 5 L NS % | 6 L CPT % </v>
      </c>
      <c r="AW344" s="4" t="str">
        <f ca="1">IFERROR(__xludf.DUMMYFUNCTION("""COMPUTED_VALUE"""),"| 1 P JAVA % | 3 L CPT % | 4 L PHP-CGM % | 5 P Python @ ")</f>
        <v xml:space="preserve">| 1 P JAVA % | 3 L CPT % | 4 L PHP-CGM % | 5 P Python @ </v>
      </c>
      <c r="AX344" s="4" t="str">
        <f ca="1">IFERROR(__xludf.DUMMYFUNCTION("""COMPUTED_VALUE"""),"| 1 P JAVA % | 3 L JAVA % | 4 L PHP-CGM % | 5 P PRO % ")</f>
        <v xml:space="preserve">| 1 P JAVA % | 3 L JAVA % | 4 L PHP-CGM % | 5 P PRO % </v>
      </c>
      <c r="AY344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4" s="4" t="str">
        <f ca="1">IFERROR(__xludf.DUMMYFUNCTION("""COMPUTED_VALUE"""),"| 1 P PHP-CGM % | 3 P CPT % | 5 L NS % | 6 L CPT % ")</f>
        <v xml:space="preserve">| 1 P PHP-CGM % | 3 P CPT % | 5 L NS % | 6 L CPT % </v>
      </c>
      <c r="BA344" s="4" t="str">
        <f ca="1">IFERROR(__xludf.DUMMYFUNCTION("""COMPUTED_VALUE"""),"| 1 P JAVA @ | 3 L CPT @ | 4 L PHP-CGM @ | 5 P Python @ ")</f>
        <v xml:space="preserve">| 1 P JAVA @ | 3 L CPT @ | 4 L PHP-CGM @ | 5 P Python @ </v>
      </c>
      <c r="BB344" s="4" t="str">
        <f ca="1">IFERROR(__xludf.DUMMYFUNCTION("""COMPUTED_VALUE"""),"| 1 P JAVA % | 3 L PHP-CGM % | 4 L JAVA % | 5 L PRO % ")</f>
        <v xml:space="preserve">| 1 P JAVA % | 3 L PHP-CGM % | 4 L JAVA % | 5 L PRO % </v>
      </c>
      <c r="BC34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44" s="4" t="str">
        <f ca="1">IFERROR(__xludf.DUMMYFUNCTION("""COMPUTED_VALUE"""),"| 1 L INE % | 3 P NS % | 5 L JAVA % | 6 L NS % ")</f>
        <v xml:space="preserve">| 1 L INE % | 3 P NS % | 5 L JAVA % | 6 L NS % </v>
      </c>
      <c r="BE344" s="4" t="str">
        <f ca="1">IFERROR(__xludf.DUMMYFUNCTION("""COMPUTED_VALUE"""),"| 1 P PHP-CGM % | 3 P CPT % | 5 L NS @ | 6 L CPT @ ")</f>
        <v xml:space="preserve">| 1 P PHP-CGM % | 3 P CPT % | 5 L NS @ | 6 L CPT @ </v>
      </c>
      <c r="BF344" s="4" t="str">
        <f ca="1">IFERROR(__xludf.DUMMYFUNCTION("""COMPUTED_VALUE"""),"| 1 P JAVA @ | 3 L CPT @ | 4 L PHP-CGM @ | 5 P Python @ ")</f>
        <v xml:space="preserve">| 1 P JAVA @ | 3 L CPT @ | 4 L PHP-CGM @ | 5 P Python @ </v>
      </c>
      <c r="BG344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H344" s="4" t="str">
        <f ca="1">IFERROR(__xludf.DUMMYFUNCTION("""COMPUTED_VALUE"""),"| 1 L INE % | 3 P NS % | 5 L JAVA % | 6 L NS % ")</f>
        <v xml:space="preserve">| 1 L INE % | 3 P NS % | 5 L JAVA % | 6 L NS % </v>
      </c>
      <c r="BI344" s="4" t="str">
        <f ca="1">IFERROR(__xludf.DUMMYFUNCTION("""COMPUTED_VALUE"""),"| 1 P PHP-CGM % | 3 P CPT % | 5 L NS % | 6 L CPT % ")</f>
        <v xml:space="preserve">| 1 P PHP-CGM % | 3 P CPT % | 5 L NS % | 6 L CPT % </v>
      </c>
      <c r="BJ344" s="4" t="str">
        <f ca="1">IFERROR(__xludf.DUMMYFUNCTION("""COMPUTED_VALUE"""),"| 1 P JAVA @ | 3 L CPT @ | 4 L PHP-CGM @ | 5 P Python @ ")</f>
        <v xml:space="preserve">| 1 P JAVA @ | 3 L CPT @ | 4 L PHP-CGM @ | 5 P Python @ </v>
      </c>
      <c r="BK344" s="4" t="str">
        <f ca="1">IFERROR(__xludf.DUMMYFUNCTION("""COMPUTED_VALUE"""),"| 1 P JAVA @ | 3 L PHP-CGM @ | 4 L JAVA @ | 5 P PRO @ ")</f>
        <v xml:space="preserve">| 1 P JAVA @ | 3 L PHP-CGM @ | 4 L JAVA @ | 5 P PRO @ </v>
      </c>
      <c r="BL344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BM344" s="4" t="str">
        <f ca="1">IFERROR(__xludf.DUMMYFUNCTION("""COMPUTED_VALUE"""),"| 1 L INE % | 3 P NS % | 5 L JAVA % | 6 L NS % ")</f>
        <v xml:space="preserve">| 1 L INE % | 3 P NS % | 5 L JAVA % | 6 L NS % </v>
      </c>
      <c r="BN344" s="4" t="str">
        <f ca="1">IFERROR(__xludf.DUMMYFUNCTION("""COMPUTED_VALUE"""),"| 1 P PHP-CGM % | 3 P CPT % | 5 L NS % | 6 L CPT % ")</f>
        <v xml:space="preserve">| 1 P PHP-CGM % | 3 P CPT % | 5 L NS % | 6 L CPT % </v>
      </c>
      <c r="BO344" s="4" t="str">
        <f ca="1">IFERROR(__xludf.DUMMYFUNCTION("""COMPUTED_VALUE"""),"| 1 P JAVA % | 4 L PHP-CGM @ | 3 L CPT @ | 5 P Python @ ")</f>
        <v xml:space="preserve">| 1 P JAVA % | 4 L PHP-CGM @ | 3 L CPT @ | 5 P Python @ </v>
      </c>
      <c r="BP344" s="4" t="str">
        <f ca="1">IFERROR(__xludf.DUMMYFUNCTION("""COMPUTED_VALUE"""),"| 1 P JAVA @ | 3 L PHP-CGM @ | 4 L JAVA @ | 5 P PRO @ ")</f>
        <v xml:space="preserve">| 1 P JAVA @ | 3 L PHP-CGM @ | 4 L JAVA @ | 5 P PRO @ </v>
      </c>
      <c r="BQ344" s="4" t="str">
        <f ca="1">IFERROR(__xludf.DUMMYFUNCTION("""COMPUTED_VALUE"""),"| 6 L NS % | 5 L JAVA @ ")</f>
        <v xml:space="preserve">| 6 L NS % | 5 L JAVA @ </v>
      </c>
      <c r="BR344" s="4"/>
      <c r="BS344" s="4" t="str">
        <f ca="1">IFERROR(__xludf.DUMMYFUNCTION("""COMPUTED_VALUE"""),"| 4 L PHP-CGM % ")</f>
        <v xml:space="preserve">| 4 L PHP-CGM % </v>
      </c>
      <c r="BT344" s="4" t="str">
        <f ca="1">IFERROR(__xludf.DUMMYFUNCTION("""COMPUTED_VALUE"""),"| 1 P JAVA % | 3 L PHP-CGM % ")</f>
        <v xml:space="preserve">| 1 P JAVA % | 3 L PHP-CGM % </v>
      </c>
      <c r="BU344" s="4" t="str">
        <f ca="1">IFERROR(__xludf.DUMMYFUNCTION("""COMPUTED_VALUE"""),"| 1 L JAVA % | 2 L PHP-CGM % | 3 P Python % ")</f>
        <v xml:space="preserve">| 1 L JAVA % | 2 L PHP-CGM % | 3 P Python % </v>
      </c>
      <c r="BV344" s="4" t="str">
        <f ca="1">IFERROR(__xludf.DUMMYFUNCTION("""COMPUTED_VALUE"""),"| 1 P JAVA % | 3 L PHP-CGM % | 4 L JAVA % | 5 P PRO % ")</f>
        <v xml:space="preserve">| 1 P JAVA % | 3 L PHP-CGM % | 4 L JAVA % | 5 P PRO % </v>
      </c>
      <c r="BW344" s="4" t="str">
        <f ca="1">IFERROR(__xludf.DUMMYFUNCTION("""COMPUTED_VALUE"""),"| 1 L JAVA % | 2 L PHP-CGM % | 3 P Python % ")</f>
        <v xml:space="preserve">| 1 L JAVA % | 2 L PHP-CGM % | 3 P Python % </v>
      </c>
      <c r="BX344" s="4" t="str">
        <f ca="1">IFERROR(__xludf.DUMMYFUNCTION("""COMPUTED_VALUE"""),"| 1 L INE @ | 3 P NS % | 5 L JAVA % | 6 L NS % ")</f>
        <v xml:space="preserve">| 1 L INE @ | 3 P NS % | 5 L JAVA % | 6 L NS % </v>
      </c>
      <c r="BY344" s="4" t="str">
        <f ca="1">IFERROR(__xludf.DUMMYFUNCTION("""COMPUTED_VALUE"""),"| 1 P PHP-CGM % | 3 P CPT % | 5 L NS @ | 6 L CPT @ ")</f>
        <v xml:space="preserve">| 1 P PHP-CGM % | 3 P CPT % | 5 L NS @ | 6 L CPT @ </v>
      </c>
      <c r="BZ344" s="4" t="str">
        <f ca="1">IFERROR(__xludf.DUMMYFUNCTION("""COMPUTED_VALUE"""),"| 1 P JAVA % | 3 L CPT % | 4 L PHP-CGM % | 5 P Python @ ")</f>
        <v xml:space="preserve">| 1 P JAVA % | 3 L CPT % | 4 L PHP-CGM % | 5 P Python @ </v>
      </c>
      <c r="CA344" s="4" t="str">
        <f ca="1">IFERROR(__xludf.DUMMYFUNCTION("""COMPUTED_VALUE"""),"| 1 P JAVA % | 3 L PHP-CGM % | 3 L JAVA % | 5 P PRO @ ")</f>
        <v xml:space="preserve">| 1 P JAVA % | 3 L PHP-CGM % | 3 L JAVA % | 5 P PRO @ </v>
      </c>
      <c r="CB344" s="4" t="str">
        <f ca="1">IFERROR(__xludf.DUMMYFUNCTION("""COMPUTED_VALUE"""),"| 1 L JAVA % | 2 L PHP-CGM % | 3 P Python @ | 6 L NS % | 5 L CPT % ")</f>
        <v xml:space="preserve">| 1 L JAVA % | 2 L PHP-CGM % | 3 P Python @ | 6 L NS % | 5 L CPT % </v>
      </c>
      <c r="CC344" s="4" t="str">
        <f ca="1">IFERROR(__xludf.DUMMYFUNCTION("""COMPUTED_VALUE"""),"| 1 L INE % | 3 P NS @ | 5 L JAVA % | 6 L NS % ")</f>
        <v xml:space="preserve">| 1 L INE % | 3 P NS @ | 5 L JAVA % | 6 L NS % </v>
      </c>
      <c r="CD344" s="4" t="str">
        <f ca="1">IFERROR(__xludf.DUMMYFUNCTION("""COMPUTED_VALUE"""),"| 1 P PHP-CGM % | 3 P CPT % | 5 L NS @ | 6 L CPT @ ")</f>
        <v xml:space="preserve">| 1 P PHP-CGM % | 3 P CPT % | 5 L NS @ | 6 L CPT @ </v>
      </c>
      <c r="CE344" s="4" t="str">
        <f ca="1">IFERROR(__xludf.DUMMYFUNCTION("""COMPUTED_VALUE"""),"| 1 P JAVA @ | 3 L CPT @ | 4 L PHP-CGM @ | 5 P Python @ ")</f>
        <v xml:space="preserve">| 1 P JAVA @ | 3 L CPT @ | 4 L PHP-CGM @ | 5 P Python @ </v>
      </c>
      <c r="CF344" s="4" t="str">
        <f ca="1">IFERROR(__xludf.DUMMYFUNCTION("""COMPUTED_VALUE"""),"| 1 P JAVA % | 4 L JAVA % | 3 L PHP-CGM @ | 5 L PRO % ")</f>
        <v xml:space="preserve">| 1 P JAVA % | 4 L JAVA % | 3 L PHP-CGM @ | 5 L PRO % </v>
      </c>
      <c r="CG344" s="4" t="str">
        <f ca="1">IFERROR(__xludf.DUMMYFUNCTION("""COMPUTED_VALUE"""),"| 1 L JAVA % | 2 L PHP-CGM % | 3 P Python % | 6 L NS @ ")</f>
        <v xml:space="preserve">| 1 L JAVA % | 2 L PHP-CGM % | 3 P Python % | 6 L NS @ </v>
      </c>
      <c r="CH344" s="4" t="str">
        <f ca="1">IFERROR(__xludf.DUMMYFUNCTION("""COMPUTED_VALUE"""),"| 1 L INE @ | 3 P NS % | 5 L JAVA @ | 6 L NS @ ")</f>
        <v xml:space="preserve">| 1 L INE @ | 3 P NS % | 5 L JAVA @ | 6 L NS @ </v>
      </c>
      <c r="CI344" s="4" t="str">
        <f ca="1">IFERROR(__xludf.DUMMYFUNCTION("""COMPUTED_VALUE"""),"| 3 P CPT % | 5 L NS @ | 6 L CPT @ ")</f>
        <v xml:space="preserve">| 3 P CPT % | 5 L NS @ | 6 L CPT @ </v>
      </c>
      <c r="CJ344" s="4" t="str">
        <f ca="1">IFERROR(__xludf.DUMMYFUNCTION("""COMPUTED_VALUE"""),"| 3 L CPT @ ")</f>
        <v xml:space="preserve">| 3 L CPT @ </v>
      </c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</row>
    <row r="345" spans="1:102" ht="12.5" x14ac:dyDescent="0.25">
      <c r="A345" s="3">
        <f ca="1">IFERROR(__xludf.DUMMYFUNCTION("""COMPUTED_VALUE"""),1)</f>
        <v>1</v>
      </c>
      <c r="B345" s="3" t="str">
        <f ca="1">IFERROR(__xludf.DUMMYFUNCTION("""COMPUTED_VALUE"""),"ITA")</f>
        <v>ITA</v>
      </c>
      <c r="C345" s="32" t="str">
        <f ca="1">IFERROR(__xludf.DUMMYFUNCTION("""COMPUTED_VALUE"""),"23291371011")</f>
        <v>23291371011</v>
      </c>
      <c r="D345" s="4" t="str">
        <f ca="1">IFERROR(__xludf.DUMMYFUNCTION("""COMPUTED_VALUE"""),"CHAUDHARI PRITKUMAR RAJUBHAI")</f>
        <v>CHAUDHARI PRITKUMAR RAJUBHAI</v>
      </c>
      <c r="E345" s="3" t="str">
        <f ca="1">IFERROR(__xludf.DUMMYFUNCTION("""COMPUTED_VALUE"""),"Sweety - Mor")</f>
        <v>Sweety - Mor</v>
      </c>
      <c r="F345" s="3">
        <f ca="1">IFERROR(__xludf.DUMMYFUNCTION("""COMPUTED_VALUE"""),9427284545)</f>
        <v>9427284545</v>
      </c>
      <c r="G345" s="3">
        <f ca="1">IFERROR(__xludf.DUMMYFUNCTION("""COMPUTED_VALUE"""),9427060454)</f>
        <v>9427060454</v>
      </c>
      <c r="H345" s="33">
        <f ca="1">IFERROR(__xludf.DUMMYFUNCTION("""COMPUTED_VALUE"""),0.741935483870967)</f>
        <v>0.74193548387096697</v>
      </c>
      <c r="I345" s="25">
        <f ca="1">IFERROR(__xludf.DUMMYFUNCTION("""COMPUTED_VALUE"""),0.657142857142857)</f>
        <v>0.65714285714285703</v>
      </c>
      <c r="J345" s="25">
        <f ca="1">IFERROR(__xludf.DUMMYFUNCTION("""COMPUTED_VALUE"""),0.846153846153846)</f>
        <v>0.84615384615384603</v>
      </c>
      <c r="K345" s="25">
        <f ca="1">IFERROR(__xludf.DUMMYFUNCTION("""COMPUTED_VALUE"""),0.75)</f>
        <v>0.75</v>
      </c>
      <c r="L345" s="25">
        <f ca="1">IFERROR(__xludf.DUMMYFUNCTION("""COMPUTED_VALUE"""),0.818181818181818)</f>
        <v>0.81818181818181801</v>
      </c>
      <c r="M345" s="25">
        <f ca="1">IFERROR(__xludf.DUMMYFUNCTION("""COMPUTED_VALUE"""),0.894736842105263)</f>
        <v>0.89473684210526305</v>
      </c>
      <c r="N345" s="25">
        <f ca="1">IFERROR(__xludf.DUMMYFUNCTION("""COMPUTED_VALUE"""),0.636363636363636)</f>
        <v>0.63636363636363602</v>
      </c>
      <c r="O345" s="25">
        <f ca="1">IFERROR(__xludf.DUMMYFUNCTION("""COMPUTED_VALUE"""),0.777777777777777)</f>
        <v>0.77777777777777701</v>
      </c>
      <c r="P345" s="25">
        <f ca="1">IFERROR(__xludf.DUMMYFUNCTION("""COMPUTED_VALUE"""),0.791666666666666)</f>
        <v>0.79166666666666596</v>
      </c>
      <c r="Q345" s="25">
        <f ca="1">IFERROR(__xludf.DUMMYFUNCTION("""COMPUTED_VALUE"""),0)</f>
        <v>0</v>
      </c>
      <c r="R345" s="25">
        <f ca="1">IFERROR(__xludf.DUMMYFUNCTION("""COMPUTED_VALUE"""),0.625)</f>
        <v>0.625</v>
      </c>
      <c r="S345" s="25">
        <f ca="1">IFERROR(__xludf.DUMMYFUNCTION("""COMPUTED_VALUE"""),0.666666666666666)</f>
        <v>0.66666666666666596</v>
      </c>
      <c r="T345" s="25">
        <f ca="1">IFERROR(__xludf.DUMMYFUNCTION("""COMPUTED_VALUE"""),0.555555555555555)</f>
        <v>0.55555555555555503</v>
      </c>
      <c r="U345" s="25">
        <f ca="1">IFERROR(__xludf.DUMMYFUNCTION("""COMPUTED_VALUE"""),0.5)</f>
        <v>0.5</v>
      </c>
      <c r="V345" s="25">
        <f ca="1">IFERROR(__xludf.DUMMYFUNCTION("""COMPUTED_VALUE"""),0)</f>
        <v>0</v>
      </c>
      <c r="W345" s="4"/>
      <c r="X345" s="4" t="str">
        <f ca="1">IFERROR(__xludf.DUMMYFUNCTION("""COMPUTED_VALUE"""),"| 1 P JAVA % | 4 L JAVA % | 3 L PHP-CGM % | 1 L PRO @ ")</f>
        <v xml:space="preserve">| 1 P JAVA % | 4 L JAVA % | 3 L PHP-CGM % | 1 L PRO @ </v>
      </c>
      <c r="Y345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Z345" s="4" t="str">
        <f ca="1">IFERROR(__xludf.DUMMYFUNCTION("""COMPUTED_VALUE"""),"| 3 P NS % | 5 L JAVA % | 6 L NS % ")</f>
        <v xml:space="preserve">| 3 P NS % | 5 L JAVA % | 6 L NS % </v>
      </c>
      <c r="AA345" s="4" t="str">
        <f ca="1">IFERROR(__xludf.DUMMYFUNCTION("""COMPUTED_VALUE"""),"| 3 P CPT % | 5 L NS % | 6 L CPT % ")</f>
        <v xml:space="preserve">| 3 P CPT % | 5 L NS % | 6 L CPT % </v>
      </c>
      <c r="AB345" s="4" t="str">
        <f ca="1">IFERROR(__xludf.DUMMYFUNCTION("""COMPUTED_VALUE"""),"| 1 P JAVA % | 3 L CPT % | 4 L PHP-CGM % | 5 P Python @ ")</f>
        <v xml:space="preserve">| 1 P JAVA % | 3 L CPT % | 4 L PHP-CGM % | 5 P Python @ </v>
      </c>
      <c r="AC345" s="4" t="str">
        <f ca="1">IFERROR(__xludf.DUMMYFUNCTION("""COMPUTED_VALUE"""),"| 1 P JAVA % | 3 L PHP-CGM % | 5 P PRO % ")</f>
        <v xml:space="preserve">| 1 P JAVA % | 3 L PHP-CGM % | 5 P PRO % </v>
      </c>
      <c r="AD345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5" s="4" t="str">
        <f ca="1">IFERROR(__xludf.DUMMYFUNCTION("""COMPUTED_VALUE"""),"| 3 P NS % | 5 L JAVA % | 6 L NS % ")</f>
        <v xml:space="preserve">| 3 P NS % | 5 L JAVA % | 6 L NS % </v>
      </c>
      <c r="AF345" s="4" t="str">
        <f ca="1">IFERROR(__xludf.DUMMYFUNCTION("""COMPUTED_VALUE"""),"| 1 P PHP-CGM % | 3 P CPT % | 5 L NS % | 6 L CPT % ")</f>
        <v xml:space="preserve">| 1 P PHP-CGM % | 3 P CPT % | 5 L NS % | 6 L CPT % </v>
      </c>
      <c r="AG345" s="4" t="str">
        <f ca="1">IFERROR(__xludf.DUMMYFUNCTION("""COMPUTED_VALUE"""),"| 1 P JAVA % | 3 L CPT % | 4 L PHP-CGM % | 5 P Python @ ")</f>
        <v xml:space="preserve">| 1 P JAVA % | 3 L CPT % | 4 L PHP-CGM % | 5 P Python @ </v>
      </c>
      <c r="AH345" s="4" t="str">
        <f ca="1">IFERROR(__xludf.DUMMYFUNCTION("""COMPUTED_VALUE"""),"| 1 P PHP-CGM % | 3 P CPT % | 5 L NS % | 6 L CPT % ")</f>
        <v xml:space="preserve">| 1 P PHP-CGM % | 3 P CPT % | 5 L NS % | 6 L CPT % </v>
      </c>
      <c r="AI345" s="4" t="str">
        <f ca="1">IFERROR(__xludf.DUMMYFUNCTION("""COMPUTED_VALUE"""),"| 1 P JAVA % | 3 L CPT % | 4 L PHP-CGM % | 5 P Python % ")</f>
        <v xml:space="preserve">| 1 P JAVA % | 3 L CPT % | 4 L PHP-CGM % | 5 P Python % </v>
      </c>
      <c r="AJ345" s="4" t="str">
        <f ca="1">IFERROR(__xludf.DUMMYFUNCTION("""COMPUTED_VALUE"""),"| 1 P JAVA % | 3 L PHP-CGM % | 4 L JAVA % | 5 P PRO % ")</f>
        <v xml:space="preserve">| 1 P JAVA % | 3 L PHP-CGM % | 4 L JAVA % | 5 P PRO % </v>
      </c>
      <c r="AK34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45" s="4" t="str">
        <f ca="1">IFERROR(__xludf.DUMMYFUNCTION("""COMPUTED_VALUE"""),"| 3 P NS % | 5 L JAVA % | 6 L NS % ")</f>
        <v xml:space="preserve">| 3 P NS % | 5 L JAVA % | 6 L NS % </v>
      </c>
      <c r="AM345" s="4" t="str">
        <f ca="1">IFERROR(__xludf.DUMMYFUNCTION("""COMPUTED_VALUE"""),"| 1 P PHP-CGM % | 3 P CPT % | 5 L NS % | 6 L CPT % ")</f>
        <v xml:space="preserve">| 1 P PHP-CGM % | 3 P CPT % | 5 L NS % | 6 L CPT % </v>
      </c>
      <c r="AN345" s="4" t="str">
        <f ca="1">IFERROR(__xludf.DUMMYFUNCTION("""COMPUTED_VALUE"""),"| 1 P JAVA % | 4 L PHP-CGM % | 5 P Python @ ")</f>
        <v xml:space="preserve">| 1 P JAVA % | 4 L PHP-CGM % | 5 P Python @ </v>
      </c>
      <c r="AO345" s="4" t="str">
        <f ca="1">IFERROR(__xludf.DUMMYFUNCTION("""COMPUTED_VALUE"""),"| 1 P JAVA % | 3 L PHP-CGM % | 4 L JAVA % | 5 P PRO % ")</f>
        <v xml:space="preserve">| 1 P JAVA % | 3 L PHP-CGM % | 4 L JAVA % | 5 P PRO % </v>
      </c>
      <c r="AP34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5" s="4" t="str">
        <f ca="1">IFERROR(__xludf.DUMMYFUNCTION("""COMPUTED_VALUE"""),"| 1 L INE % | 3 P NS % | 5 L JAVA % | 6 L NS % ")</f>
        <v xml:space="preserve">| 1 L INE % | 3 P NS % | 5 L JAVA % | 6 L NS % </v>
      </c>
      <c r="AR345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45" s="4" t="str">
        <f ca="1">IFERROR(__xludf.DUMMYFUNCTION("""COMPUTED_VALUE"""),"| 1 P JAVA % | 3 L PHP-CGM % | 4 L JAVA @ | 5 P PRO % ")</f>
        <v xml:space="preserve">| 1 P JAVA % | 3 L PHP-CGM % | 4 L JAVA @ | 5 P PRO % </v>
      </c>
      <c r="AT34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5" s="4" t="str">
        <f ca="1">IFERROR(__xludf.DUMMYFUNCTION("""COMPUTED_VALUE"""),"| 1 L INE % | 3 P NS % | 5 L JAVA % | 6 L NS % ")</f>
        <v xml:space="preserve">| 1 L INE % | 3 P NS % | 5 L JAVA % | 6 L NS % </v>
      </c>
      <c r="AV345" s="4" t="str">
        <f ca="1">IFERROR(__xludf.DUMMYFUNCTION("""COMPUTED_VALUE"""),"| 1 P PHP-CGM % | 3 P CPT % | 5 L NS % | 6 L CPT % ")</f>
        <v xml:space="preserve">| 1 P PHP-CGM % | 3 P CPT % | 5 L NS % | 6 L CPT % </v>
      </c>
      <c r="AW345" s="4" t="str">
        <f ca="1">IFERROR(__xludf.DUMMYFUNCTION("""COMPUTED_VALUE"""),"| 1 P JAVA % | 3 L CPT % | 4 L PHP-CGM % | 5 P Python @ ")</f>
        <v xml:space="preserve">| 1 P JAVA % | 3 L CPT % | 4 L PHP-CGM % | 5 P Python @ </v>
      </c>
      <c r="AX345" s="4" t="str">
        <f ca="1">IFERROR(__xludf.DUMMYFUNCTION("""COMPUTED_VALUE"""),"| 1 P JAVA % | 3 L JAVA % | 4 L PHP-CGM % | 5 P PRO % ")</f>
        <v xml:space="preserve">| 1 P JAVA % | 3 L JAVA % | 4 L PHP-CGM % | 5 P PRO % </v>
      </c>
      <c r="AY345" s="4" t="str">
        <f ca="1">IFERROR(__xludf.DUMMYFUNCTION("""COMPUTED_VALUE"""),"| 2 L PHP-CGM % | 3 P Python % | 5 L CPT @ | 6 L NS % | 1 L JAVA % ")</f>
        <v xml:space="preserve">| 2 L PHP-CGM % | 3 P Python % | 5 L CPT @ | 6 L NS % | 1 L JAVA % </v>
      </c>
      <c r="AZ345" s="4" t="str">
        <f ca="1">IFERROR(__xludf.DUMMYFUNCTION("""COMPUTED_VALUE"""),"| 1 P PHP-CGM % | 3 P CPT % | 5 L NS % | 6 L CPT % ")</f>
        <v xml:space="preserve">| 1 P PHP-CGM % | 3 P CPT % | 5 L NS % | 6 L CPT % </v>
      </c>
      <c r="BA345" s="4" t="str">
        <f ca="1">IFERROR(__xludf.DUMMYFUNCTION("""COMPUTED_VALUE"""),"| 1 P JAVA % | 3 L CPT % | 4 L PHP-CGM % | 5 P Python @ ")</f>
        <v xml:space="preserve">| 1 P JAVA % | 3 L CPT % | 4 L PHP-CGM % | 5 P Python @ </v>
      </c>
      <c r="BB345" s="4" t="str">
        <f ca="1">IFERROR(__xludf.DUMMYFUNCTION("""COMPUTED_VALUE"""),"| 1 P JAVA @ | 3 L PHP-CGM % | 4 L JAVA % | 5 L PRO % ")</f>
        <v xml:space="preserve">| 1 P JAVA @ | 3 L PHP-CGM % | 4 L JAVA % | 5 L PRO % </v>
      </c>
      <c r="BC34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45" s="4" t="str">
        <f ca="1">IFERROR(__xludf.DUMMYFUNCTION("""COMPUTED_VALUE"""),"| 1 L INE @ | 3 P NS @ | 5 L JAVA @ | 6 L NS @ ")</f>
        <v xml:space="preserve">| 1 L INE @ | 3 P NS @ | 5 L JAVA @ | 6 L NS @ </v>
      </c>
      <c r="BE345" s="4" t="str">
        <f ca="1">IFERROR(__xludf.DUMMYFUNCTION("""COMPUTED_VALUE"""),"| 1 P PHP-CGM @ | 3 P CPT % | 5 L NS % | 6 L CPT @ ")</f>
        <v xml:space="preserve">| 1 P PHP-CGM @ | 3 P CPT % | 5 L NS % | 6 L CPT @ </v>
      </c>
      <c r="BF345" s="4" t="str">
        <f ca="1">IFERROR(__xludf.DUMMYFUNCTION("""COMPUTED_VALUE"""),"| 1 P JAVA % | 3 L CPT % | 4 L PHP-CGM % | 5 P Python @ ")</f>
        <v xml:space="preserve">| 1 P JAVA % | 3 L CPT % | 4 L PHP-CGM % | 5 P Python @ </v>
      </c>
      <c r="BG34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45" s="4" t="str">
        <f ca="1">IFERROR(__xludf.DUMMYFUNCTION("""COMPUTED_VALUE"""),"| 1 L INE % | 3 P NS % | 5 L JAVA % | 6 L NS % ")</f>
        <v xml:space="preserve">| 1 L INE % | 3 P NS % | 5 L JAVA % | 6 L NS % </v>
      </c>
      <c r="BI345" s="4" t="str">
        <f ca="1">IFERROR(__xludf.DUMMYFUNCTION("""COMPUTED_VALUE"""),"| 1 P PHP-CGM % | 3 P CPT % | 5 L NS % | 6 L CPT % ")</f>
        <v xml:space="preserve">| 1 P PHP-CGM % | 3 P CPT % | 5 L NS % | 6 L CPT % </v>
      </c>
      <c r="BJ345" s="4" t="str">
        <f ca="1">IFERROR(__xludf.DUMMYFUNCTION("""COMPUTED_VALUE"""),"| 1 P JAVA % | 3 L CPT % | 4 L PHP-CGM % | 5 P Python @ ")</f>
        <v xml:space="preserve">| 1 P JAVA % | 3 L CPT % | 4 L PHP-CGM % | 5 P Python @ </v>
      </c>
      <c r="BK345" s="4" t="str">
        <f ca="1">IFERROR(__xludf.DUMMYFUNCTION("""COMPUTED_VALUE"""),"| 1 P JAVA @ | 3 L PHP-CGM @ | 4 L JAVA @ | 5 P PRO @ ")</f>
        <v xml:space="preserve">| 1 P JAVA @ | 3 L PHP-CGM @ | 4 L JAVA @ | 5 P PRO @ </v>
      </c>
      <c r="BL345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45" s="4" t="str">
        <f ca="1">IFERROR(__xludf.DUMMYFUNCTION("""COMPUTED_VALUE"""),"| 1 L INE @ | 3 P NS @ | 5 L JAVA @ | 6 L NS @ ")</f>
        <v xml:space="preserve">| 1 L INE @ | 3 P NS @ | 5 L JAVA @ | 6 L NS @ </v>
      </c>
      <c r="BN345" s="4" t="str">
        <f ca="1">IFERROR(__xludf.DUMMYFUNCTION("""COMPUTED_VALUE"""),"| 1 P PHP-CGM @ | 3 P CPT @ | 5 L NS @ | 6 L CPT @ ")</f>
        <v xml:space="preserve">| 1 P PHP-CGM @ | 3 P CPT @ | 5 L NS @ | 6 L CPT @ </v>
      </c>
      <c r="BO345" s="4" t="str">
        <f ca="1">IFERROR(__xludf.DUMMYFUNCTION("""COMPUTED_VALUE"""),"| 1 P JAVA @ | 4 L PHP-CGM @ | 3 L CPT @ | 5 P Python @ ")</f>
        <v xml:space="preserve">| 1 P JAVA @ | 4 L PHP-CGM @ | 3 L CPT @ | 5 P Python @ </v>
      </c>
      <c r="BP345" s="4" t="str">
        <f ca="1">IFERROR(__xludf.DUMMYFUNCTION("""COMPUTED_VALUE"""),"| 1 P JAVA % | 3 L PHP-CGM % | 4 L JAVA % | 5 P PRO @ ")</f>
        <v xml:space="preserve">| 1 P JAVA % | 3 L PHP-CGM % | 4 L JAVA % | 5 P PRO @ </v>
      </c>
      <c r="BQ345" s="4" t="str">
        <f ca="1">IFERROR(__xludf.DUMMYFUNCTION("""COMPUTED_VALUE"""),"| 6 L NS % | 5 L JAVA @ ")</f>
        <v xml:space="preserve">| 6 L NS % | 5 L JAVA @ </v>
      </c>
      <c r="BR345" s="4"/>
      <c r="BS345" s="4" t="str">
        <f ca="1">IFERROR(__xludf.DUMMYFUNCTION("""COMPUTED_VALUE"""),"| 4 L PHP-CGM % ")</f>
        <v xml:space="preserve">| 4 L PHP-CGM % </v>
      </c>
      <c r="BT345" s="4" t="str">
        <f ca="1">IFERROR(__xludf.DUMMYFUNCTION("""COMPUTED_VALUE"""),"| 1 P JAVA @ | 3 L PHP-CGM % ")</f>
        <v xml:space="preserve">| 1 P JAVA @ | 3 L PHP-CGM % </v>
      </c>
      <c r="BU345" s="4" t="str">
        <f ca="1">IFERROR(__xludf.DUMMYFUNCTION("""COMPUTED_VALUE"""),"| 1 L JAVA % | 2 L PHP-CGM % | 3 P Python % ")</f>
        <v xml:space="preserve">| 1 L JAVA % | 2 L PHP-CGM % | 3 P Python % </v>
      </c>
      <c r="BV345" s="4" t="str">
        <f ca="1">IFERROR(__xludf.DUMMYFUNCTION("""COMPUTED_VALUE"""),"| 1 P JAVA % | 3 L PHP-CGM % | 4 L JAVA % | 5 P PRO @ ")</f>
        <v xml:space="preserve">| 1 P JAVA % | 3 L PHP-CGM % | 4 L JAVA % | 5 P PRO @ </v>
      </c>
      <c r="BW345" s="4" t="str">
        <f ca="1">IFERROR(__xludf.DUMMYFUNCTION("""COMPUTED_VALUE"""),"| 1 L JAVA % | 2 L PHP-CGM % | 3 P Python % ")</f>
        <v xml:space="preserve">| 1 L JAVA % | 2 L PHP-CGM % | 3 P Python % </v>
      </c>
      <c r="BX345" s="4" t="str">
        <f ca="1">IFERROR(__xludf.DUMMYFUNCTION("""COMPUTED_VALUE"""),"| 1 L INE @ | 3 P NS % | 5 L JAVA % | 6 L NS % ")</f>
        <v xml:space="preserve">| 1 L INE @ | 3 P NS % | 5 L JAVA % | 6 L NS % </v>
      </c>
      <c r="BY345" s="4" t="str">
        <f ca="1">IFERROR(__xludf.DUMMYFUNCTION("""COMPUTED_VALUE"""),"| 1 P PHP-CGM % | 3 P CPT % | 5 L NS % | 6 L CPT @ ")</f>
        <v xml:space="preserve">| 1 P PHP-CGM % | 3 P CPT % | 5 L NS % | 6 L CPT @ </v>
      </c>
      <c r="BZ345" s="4" t="str">
        <f ca="1">IFERROR(__xludf.DUMMYFUNCTION("""COMPUTED_VALUE"""),"| 1 P JAVA % | 3 L CPT @ | 4 L PHP-CGM @ | 5 P Python % ")</f>
        <v xml:space="preserve">| 1 P JAVA % | 3 L CPT @ | 4 L PHP-CGM @ | 5 P Python % </v>
      </c>
      <c r="CA345" s="4" t="str">
        <f ca="1">IFERROR(__xludf.DUMMYFUNCTION("""COMPUTED_VALUE"""),"| 1 P JAVA % | 3 L PHP-CGM % | 3 L JAVA @ | 5 P PRO @ ")</f>
        <v xml:space="preserve">| 1 P JAVA % | 3 L PHP-CGM % | 3 L JAVA @ | 5 P PRO @ </v>
      </c>
      <c r="CB345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CC345" s="4" t="str">
        <f ca="1">IFERROR(__xludf.DUMMYFUNCTION("""COMPUTED_VALUE"""),"| 1 L INE % | 3 P NS % | 5 L JAVA % | 6 L NS % ")</f>
        <v xml:space="preserve">| 1 L INE % | 3 P NS % | 5 L JAVA % | 6 L NS % </v>
      </c>
      <c r="CD345" s="4" t="str">
        <f ca="1">IFERROR(__xludf.DUMMYFUNCTION("""COMPUTED_VALUE"""),"| 1 P PHP-CGM @ | 3 P CPT % | 5 L NS % | 6 L CPT % ")</f>
        <v xml:space="preserve">| 1 P PHP-CGM @ | 3 P CPT % | 5 L NS % | 6 L CPT % </v>
      </c>
      <c r="CE345" s="4" t="str">
        <f ca="1">IFERROR(__xludf.DUMMYFUNCTION("""COMPUTED_VALUE"""),"| 1 P JAVA @ | 3 L CPT % | 4 L PHP-CGM % | 5 P Python % ")</f>
        <v xml:space="preserve">| 1 P JAVA @ | 3 L CPT % | 4 L PHP-CGM % | 5 P Python % </v>
      </c>
      <c r="CF345" s="4" t="str">
        <f ca="1">IFERROR(__xludf.DUMMYFUNCTION("""COMPUTED_VALUE"""),"| 1 P JAVA % | 4 L JAVA % | 3 L PHP-CGM % | 5 L PRO % ")</f>
        <v xml:space="preserve">| 1 P JAVA % | 4 L JAVA % | 3 L PHP-CGM % | 5 L PRO % </v>
      </c>
      <c r="CG345" s="4" t="str">
        <f ca="1">IFERROR(__xludf.DUMMYFUNCTION("""COMPUTED_VALUE"""),"| 1 L JAVA % | 2 L PHP-CGM % | 3 P Python % | 6 L NS @ ")</f>
        <v xml:space="preserve">| 1 L JAVA % | 2 L PHP-CGM % | 3 P Python % | 6 L NS @ </v>
      </c>
      <c r="CH345" s="4" t="str">
        <f ca="1">IFERROR(__xludf.DUMMYFUNCTION("""COMPUTED_VALUE"""),"| 1 L INE @ | 3 P NS % | 5 L JAVA @ | 6 L NS % ")</f>
        <v xml:space="preserve">| 1 L INE @ | 3 P NS % | 5 L JAVA @ | 6 L NS % </v>
      </c>
      <c r="CI345" s="4" t="str">
        <f ca="1">IFERROR(__xludf.DUMMYFUNCTION("""COMPUTED_VALUE"""),"| 3 P CPT % | 5 L NS @ | 6 L CPT @ ")</f>
        <v xml:space="preserve">| 3 P CPT % | 5 L NS @ | 6 L CPT @ </v>
      </c>
      <c r="CJ345" s="4" t="str">
        <f ca="1">IFERROR(__xludf.DUMMYFUNCTION("""COMPUTED_VALUE"""),"| 3 L CPT @ ")</f>
        <v xml:space="preserve">| 3 L CPT @ </v>
      </c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</row>
    <row r="346" spans="1:102" ht="12.5" x14ac:dyDescent="0.25">
      <c r="A346" s="3">
        <f ca="1">IFERROR(__xludf.DUMMYFUNCTION("""COMPUTED_VALUE"""),1)</f>
        <v>1</v>
      </c>
      <c r="B346" s="3" t="str">
        <f ca="1">IFERROR(__xludf.DUMMYFUNCTION("""COMPUTED_VALUE"""),"ITA")</f>
        <v>ITA</v>
      </c>
      <c r="C346" s="32" t="str">
        <f ca="1">IFERROR(__xludf.DUMMYFUNCTION("""COMPUTED_VALUE"""),"23291371014")</f>
        <v>23291371014</v>
      </c>
      <c r="D346" s="4" t="str">
        <f ca="1">IFERROR(__xludf.DUMMYFUNCTION("""COMPUTED_VALUE"""),"CHAUHAN ALOKSINH PARAKRAMSINH")</f>
        <v>CHAUHAN ALOKSINH PARAKRAMSINH</v>
      </c>
      <c r="E346" s="3" t="str">
        <f ca="1">IFERROR(__xludf.DUMMYFUNCTION("""COMPUTED_VALUE"""),"Sweety - Mor")</f>
        <v>Sweety - Mor</v>
      </c>
      <c r="F346" s="3">
        <f ca="1">IFERROR(__xludf.DUMMYFUNCTION("""COMPUTED_VALUE"""),7990149403)</f>
        <v>7990149403</v>
      </c>
      <c r="G346" s="3">
        <f ca="1">IFERROR(__xludf.DUMMYFUNCTION("""COMPUTED_VALUE"""),7265946627)</f>
        <v>7265946627</v>
      </c>
      <c r="H346" s="33">
        <f ca="1">IFERROR(__xludf.DUMMYFUNCTION("""COMPUTED_VALUE"""),0.850806451612903)</f>
        <v>0.85080645161290303</v>
      </c>
      <c r="I346" s="25">
        <f ca="1">IFERROR(__xludf.DUMMYFUNCTION("""COMPUTED_VALUE"""),0.771428571428571)</f>
        <v>0.77142857142857102</v>
      </c>
      <c r="J346" s="25">
        <f ca="1">IFERROR(__xludf.DUMMYFUNCTION("""COMPUTED_VALUE"""),1)</f>
        <v>1</v>
      </c>
      <c r="K346" s="25">
        <f ca="1">IFERROR(__xludf.DUMMYFUNCTION("""COMPUTED_VALUE"""),0.833333333333333)</f>
        <v>0.83333333333333304</v>
      </c>
      <c r="L346" s="25">
        <f ca="1">IFERROR(__xludf.DUMMYFUNCTION("""COMPUTED_VALUE"""),1)</f>
        <v>1</v>
      </c>
      <c r="M346" s="25">
        <f ca="1">IFERROR(__xludf.DUMMYFUNCTION("""COMPUTED_VALUE"""),0.789473684210526)</f>
        <v>0.78947368421052599</v>
      </c>
      <c r="N346" s="25">
        <f ca="1">IFERROR(__xludf.DUMMYFUNCTION("""COMPUTED_VALUE"""),0.909090909090909)</f>
        <v>0.90909090909090895</v>
      </c>
      <c r="O346" s="25">
        <f ca="1">IFERROR(__xludf.DUMMYFUNCTION("""COMPUTED_VALUE"""),0.777777777777777)</f>
        <v>0.77777777777777701</v>
      </c>
      <c r="P346" s="25">
        <f ca="1">IFERROR(__xludf.DUMMYFUNCTION("""COMPUTED_VALUE"""),0.958333333333333)</f>
        <v>0.95833333333333304</v>
      </c>
      <c r="Q346" s="25">
        <f ca="1">IFERROR(__xludf.DUMMYFUNCTION("""COMPUTED_VALUE"""),0)</f>
        <v>0</v>
      </c>
      <c r="R346" s="25">
        <f ca="1">IFERROR(__xludf.DUMMYFUNCTION("""COMPUTED_VALUE"""),0.916666666666666)</f>
        <v>0.91666666666666596</v>
      </c>
      <c r="S346" s="25">
        <f ca="1">IFERROR(__xludf.DUMMYFUNCTION("""COMPUTED_VALUE"""),1)</f>
        <v>1</v>
      </c>
      <c r="T346" s="25">
        <f ca="1">IFERROR(__xludf.DUMMYFUNCTION("""COMPUTED_VALUE"""),1)</f>
        <v>1</v>
      </c>
      <c r="U346" s="25">
        <f ca="1">IFERROR(__xludf.DUMMYFUNCTION("""COMPUTED_VALUE"""),0.625)</f>
        <v>0.625</v>
      </c>
      <c r="V346" s="25">
        <f ca="1">IFERROR(__xludf.DUMMYFUNCTION("""COMPUTED_VALUE"""),0)</f>
        <v>0</v>
      </c>
      <c r="W346" s="4"/>
      <c r="X346" s="4" t="str">
        <f ca="1">IFERROR(__xludf.DUMMYFUNCTION("""COMPUTED_VALUE"""),"| 1 P JAVA % | 4 L JAVA % | 3 L PHP-CGM % | 1 L PRO % ")</f>
        <v xml:space="preserve">| 1 P JAVA % | 4 L JAVA % | 3 L PHP-CGM % | 1 L PRO % </v>
      </c>
      <c r="Y34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46" s="4" t="str">
        <f ca="1">IFERROR(__xludf.DUMMYFUNCTION("""COMPUTED_VALUE"""),"| 3 P NS % | 5 L JAVA % | 6 L NS % ")</f>
        <v xml:space="preserve">| 3 P NS % | 5 L JAVA % | 6 L NS % </v>
      </c>
      <c r="AA346" s="4" t="str">
        <f ca="1">IFERROR(__xludf.DUMMYFUNCTION("""COMPUTED_VALUE"""),"| 3 P CPT % | 5 L NS % | 6 L CPT % ")</f>
        <v xml:space="preserve">| 3 P CPT % | 5 L NS % | 6 L CPT % </v>
      </c>
      <c r="AB346" s="4" t="str">
        <f ca="1">IFERROR(__xludf.DUMMYFUNCTION("""COMPUTED_VALUE"""),"| 1 P JAVA % | 3 L CPT % | 4 L PHP-CGM % | 5 P Python % ")</f>
        <v xml:space="preserve">| 1 P JAVA % | 3 L CPT % | 4 L PHP-CGM % | 5 P Python % </v>
      </c>
      <c r="AC346" s="4" t="str">
        <f ca="1">IFERROR(__xludf.DUMMYFUNCTION("""COMPUTED_VALUE"""),"| 1 P JAVA % | 3 L PHP-CGM % | 5 P PRO % ")</f>
        <v xml:space="preserve">| 1 P JAVA % | 3 L PHP-CGM % | 5 P PRO % </v>
      </c>
      <c r="AD346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6" s="4" t="str">
        <f ca="1">IFERROR(__xludf.DUMMYFUNCTION("""COMPUTED_VALUE"""),"| 3 P NS % | 5 L JAVA % | 6 L NS % ")</f>
        <v xml:space="preserve">| 3 P NS % | 5 L JAVA % | 6 L NS % </v>
      </c>
      <c r="AF346" s="4" t="str">
        <f ca="1">IFERROR(__xludf.DUMMYFUNCTION("""COMPUTED_VALUE"""),"| 1 P PHP-CGM % | 3 P CPT % | 5 L NS % | 6 L CPT % ")</f>
        <v xml:space="preserve">| 1 P PHP-CGM % | 3 P CPT % | 5 L NS % | 6 L CPT % </v>
      </c>
      <c r="AG346" s="4" t="str">
        <f ca="1">IFERROR(__xludf.DUMMYFUNCTION("""COMPUTED_VALUE"""),"| 1 P JAVA % | 3 L CPT % | 4 L PHP-CGM % | 5 P Python % ")</f>
        <v xml:space="preserve">| 1 P JAVA % | 3 L CPT % | 4 L PHP-CGM % | 5 P Python % </v>
      </c>
      <c r="AH346" s="4" t="str">
        <f ca="1">IFERROR(__xludf.DUMMYFUNCTION("""COMPUTED_VALUE"""),"| 1 P PHP-CGM % | 3 P CPT % | 5 L NS % | 6 L CPT % ")</f>
        <v xml:space="preserve">| 1 P PHP-CGM % | 3 P CPT % | 5 L NS % | 6 L CPT % </v>
      </c>
      <c r="AI346" s="4" t="str">
        <f ca="1">IFERROR(__xludf.DUMMYFUNCTION("""COMPUTED_VALUE"""),"| 1 P JAVA % | 3 L CPT % | 4 L PHP-CGM % | 5 P Python % ")</f>
        <v xml:space="preserve">| 1 P JAVA % | 3 L CPT % | 4 L PHP-CGM % | 5 P Python % </v>
      </c>
      <c r="AJ346" s="4" t="str">
        <f ca="1">IFERROR(__xludf.DUMMYFUNCTION("""COMPUTED_VALUE"""),"| 1 P JAVA % | 3 L PHP-CGM % | 4 L JAVA % | 5 P PRO % ")</f>
        <v xml:space="preserve">| 1 P JAVA % | 3 L PHP-CGM % | 4 L JAVA % | 5 P PRO % </v>
      </c>
      <c r="AK34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46" s="4" t="str">
        <f ca="1">IFERROR(__xludf.DUMMYFUNCTION("""COMPUTED_VALUE"""),"| 3 P NS % | 5 L JAVA % | 6 L NS % ")</f>
        <v xml:space="preserve">| 3 P NS % | 5 L JAVA % | 6 L NS % </v>
      </c>
      <c r="AM346" s="4" t="str">
        <f ca="1">IFERROR(__xludf.DUMMYFUNCTION("""COMPUTED_VALUE"""),"| 1 P PHP-CGM % | 3 P CPT % | 5 L NS % | 6 L CPT % ")</f>
        <v xml:space="preserve">| 1 P PHP-CGM % | 3 P CPT % | 5 L NS % | 6 L CPT % </v>
      </c>
      <c r="AN346" s="4" t="str">
        <f ca="1">IFERROR(__xludf.DUMMYFUNCTION("""COMPUTED_VALUE"""),"| 1 P JAVA % | 4 L PHP-CGM % | 5 P Python % ")</f>
        <v xml:space="preserve">| 1 P JAVA % | 4 L PHP-CGM % | 5 P Python % </v>
      </c>
      <c r="AO346" s="4" t="str">
        <f ca="1">IFERROR(__xludf.DUMMYFUNCTION("""COMPUTED_VALUE"""),"| 1 P JAVA % | 3 L PHP-CGM % | 4 L JAVA % | 5 P PRO % ")</f>
        <v xml:space="preserve">| 1 P JAVA % | 3 L PHP-CGM % | 4 L JAVA % | 5 P PRO % </v>
      </c>
      <c r="AP34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6" s="4" t="str">
        <f ca="1">IFERROR(__xludf.DUMMYFUNCTION("""COMPUTED_VALUE"""),"| 1 L INE % | 3 P NS % | 5 L JAVA % | 6 L NS % ")</f>
        <v xml:space="preserve">| 1 L INE % | 3 P NS % | 5 L JAVA % | 6 L NS % </v>
      </c>
      <c r="AR346" s="4" t="str">
        <f ca="1">IFERROR(__xludf.DUMMYFUNCTION("""COMPUTED_VALUE"""),"| 1 P PHP-CGM % | 3 L CPT % | 3 P CPT % | 5 L NS % | 6 L CPT % ")</f>
        <v xml:space="preserve">| 1 P PHP-CGM % | 3 L CPT % | 3 P CPT % | 5 L NS % | 6 L CPT % </v>
      </c>
      <c r="AS346" s="4" t="str">
        <f ca="1">IFERROR(__xludf.DUMMYFUNCTION("""COMPUTED_VALUE"""),"| 1 P JAVA % | 3 L PHP-CGM % | 4 L JAVA % | 5 P PRO % ")</f>
        <v xml:space="preserve">| 1 P JAVA % | 3 L PHP-CGM % | 4 L JAVA % | 5 P PRO % </v>
      </c>
      <c r="AT34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6" s="4" t="str">
        <f ca="1">IFERROR(__xludf.DUMMYFUNCTION("""COMPUTED_VALUE"""),"| 1 L INE % | 3 P NS % | 5 L JAVA % | 6 L NS % ")</f>
        <v xml:space="preserve">| 1 L INE % | 3 P NS % | 5 L JAVA % | 6 L NS % </v>
      </c>
      <c r="AV346" s="4" t="str">
        <f ca="1">IFERROR(__xludf.DUMMYFUNCTION("""COMPUTED_VALUE"""),"| 1 P PHP-CGM % | 3 P CPT % | 5 L NS % | 6 L CPT % ")</f>
        <v xml:space="preserve">| 1 P PHP-CGM % | 3 P CPT % | 5 L NS % | 6 L CPT % </v>
      </c>
      <c r="AW346" s="4" t="str">
        <f ca="1">IFERROR(__xludf.DUMMYFUNCTION("""COMPUTED_VALUE"""),"| 1 P JAVA % | 3 L CPT % | 4 L PHP-CGM % | 5 P Python % ")</f>
        <v xml:space="preserve">| 1 P JAVA % | 3 L CPT % | 4 L PHP-CGM % | 5 P Python % </v>
      </c>
      <c r="AX346" s="4" t="str">
        <f ca="1">IFERROR(__xludf.DUMMYFUNCTION("""COMPUTED_VALUE"""),"| 1 P JAVA % | 3 L JAVA % | 4 L PHP-CGM % | 5 P PRO % ")</f>
        <v xml:space="preserve">| 1 P JAVA % | 3 L JAVA % | 4 L PHP-CGM % | 5 P PRO % </v>
      </c>
      <c r="AY346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6" s="4" t="str">
        <f ca="1">IFERROR(__xludf.DUMMYFUNCTION("""COMPUTED_VALUE"""),"| 1 P PHP-CGM % | 3 P CPT % | 5 L NS % | 6 L CPT % ")</f>
        <v xml:space="preserve">| 1 P PHP-CGM % | 3 P CPT % | 5 L NS % | 6 L CPT % </v>
      </c>
      <c r="BA346" s="4" t="str">
        <f ca="1">IFERROR(__xludf.DUMMYFUNCTION("""COMPUTED_VALUE"""),"| 1 P JAVA % | 3 L CPT % | 4 L PHP-CGM % | 5 P Python % ")</f>
        <v xml:space="preserve">| 1 P JAVA % | 3 L CPT % | 4 L PHP-CGM % | 5 P Python % </v>
      </c>
      <c r="BB346" s="4" t="str">
        <f ca="1">IFERROR(__xludf.DUMMYFUNCTION("""COMPUTED_VALUE"""),"| 1 P JAVA % | 3 L PHP-CGM % | 4 L JAVA % | 5 L PRO % ")</f>
        <v xml:space="preserve">| 1 P JAVA % | 3 L PHP-CGM % | 4 L JAVA % | 5 L PRO % </v>
      </c>
      <c r="BC34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46" s="4" t="str">
        <f ca="1">IFERROR(__xludf.DUMMYFUNCTION("""COMPUTED_VALUE"""),"| 1 L INE % | 3 P NS % | 5 L JAVA % | 6 L NS % ")</f>
        <v xml:space="preserve">| 1 L INE % | 3 P NS % | 5 L JAVA % | 6 L NS % </v>
      </c>
      <c r="BE346" s="4" t="str">
        <f ca="1">IFERROR(__xludf.DUMMYFUNCTION("""COMPUTED_VALUE"""),"| 1 P PHP-CGM % | 3 P CPT % | 5 L NS % | 6 L CPT % ")</f>
        <v xml:space="preserve">| 1 P PHP-CGM % | 3 P CPT % | 5 L NS % | 6 L CPT % </v>
      </c>
      <c r="BF346" s="4" t="str">
        <f ca="1">IFERROR(__xludf.DUMMYFUNCTION("""COMPUTED_VALUE"""),"| 1 P JAVA % | 3 L CPT % | 4 L PHP-CGM % | 5 P Python % ")</f>
        <v xml:space="preserve">| 1 P JAVA % | 3 L CPT % | 4 L PHP-CGM % | 5 P Python % </v>
      </c>
      <c r="BG34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46" s="4" t="str">
        <f ca="1">IFERROR(__xludf.DUMMYFUNCTION("""COMPUTED_VALUE"""),"| 1 L INE % | 3 P NS % | 5 L JAVA % | 6 L NS % ")</f>
        <v xml:space="preserve">| 1 L INE % | 3 P NS % | 5 L JAVA % | 6 L NS % </v>
      </c>
      <c r="BI346" s="4" t="str">
        <f ca="1">IFERROR(__xludf.DUMMYFUNCTION("""COMPUTED_VALUE"""),"| 1 P PHP-CGM % | 3 P CPT % | 5 L NS % | 6 L CPT % ")</f>
        <v xml:space="preserve">| 1 P PHP-CGM % | 3 P CPT % | 5 L NS % | 6 L CPT % </v>
      </c>
      <c r="BJ346" s="4" t="str">
        <f ca="1">IFERROR(__xludf.DUMMYFUNCTION("""COMPUTED_VALUE"""),"| 1 P JAVA % | 3 L CPT % | 4 L PHP-CGM % | 5 P Python % ")</f>
        <v xml:space="preserve">| 1 P JAVA % | 3 L CPT % | 4 L PHP-CGM % | 5 P Python % </v>
      </c>
      <c r="BK346" s="4" t="str">
        <f ca="1">IFERROR(__xludf.DUMMYFUNCTION("""COMPUTED_VALUE"""),"| 1 P JAVA % | 3 L PHP-CGM % | 4 L JAVA % | 5 P PRO % ")</f>
        <v xml:space="preserve">| 1 P JAVA % | 3 L PHP-CGM % | 4 L JAVA % | 5 P PRO % </v>
      </c>
      <c r="BL346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BM346" s="4" t="str">
        <f ca="1">IFERROR(__xludf.DUMMYFUNCTION("""COMPUTED_VALUE"""),"| 1 L INE @ | 3 P NS % | 5 L JAVA % | 6 L NS % ")</f>
        <v xml:space="preserve">| 1 L INE @ | 3 P NS % | 5 L JAVA % | 6 L NS % </v>
      </c>
      <c r="BN346" s="4" t="str">
        <f ca="1">IFERROR(__xludf.DUMMYFUNCTION("""COMPUTED_VALUE"""),"| 1 P PHP-CGM % | 3 P CPT % | 5 L NS % | 6 L CPT % ")</f>
        <v xml:space="preserve">| 1 P PHP-CGM % | 3 P CPT % | 5 L NS % | 6 L CPT % </v>
      </c>
      <c r="BO346" s="4" t="str">
        <f ca="1">IFERROR(__xludf.DUMMYFUNCTION("""COMPUTED_VALUE"""),"| 1 P JAVA % | 4 L PHP-CGM @ | 3 L CPT @ | 5 P Python % ")</f>
        <v xml:space="preserve">| 1 P JAVA % | 4 L PHP-CGM @ | 3 L CPT @ | 5 P Python % </v>
      </c>
      <c r="BP346" s="4" t="str">
        <f ca="1">IFERROR(__xludf.DUMMYFUNCTION("""COMPUTED_VALUE"""),"| 1 P JAVA % | 3 L PHP-CGM @ | 4 L JAVA @ | 5 P PRO % ")</f>
        <v xml:space="preserve">| 1 P JAVA % | 3 L PHP-CGM @ | 4 L JAVA @ | 5 P PRO % </v>
      </c>
      <c r="BQ346" s="4" t="str">
        <f ca="1">IFERROR(__xludf.DUMMYFUNCTION("""COMPUTED_VALUE"""),"| 6 L NS % | 5 L JAVA @ ")</f>
        <v xml:space="preserve">| 6 L NS % | 5 L JAVA @ </v>
      </c>
      <c r="BR346" s="4"/>
      <c r="BS346" s="4" t="str">
        <f ca="1">IFERROR(__xludf.DUMMYFUNCTION("""COMPUTED_VALUE"""),"| 4 L PHP-CGM % ")</f>
        <v xml:space="preserve">| 4 L PHP-CGM % </v>
      </c>
      <c r="BT346" s="4" t="str">
        <f ca="1">IFERROR(__xludf.DUMMYFUNCTION("""COMPUTED_VALUE"""),"| 1 P JAVA % | 3 L PHP-CGM @ ")</f>
        <v xml:space="preserve">| 1 P JAVA % | 3 L PHP-CGM @ </v>
      </c>
      <c r="BU346" s="4" t="str">
        <f ca="1">IFERROR(__xludf.DUMMYFUNCTION("""COMPUTED_VALUE"""),"| 1 L JAVA @ | 2 L PHP-CGM @ | 3 P Python @ ")</f>
        <v xml:space="preserve">| 1 L JAVA @ | 2 L PHP-CGM @ | 3 P Python @ </v>
      </c>
      <c r="BV346" s="4" t="str">
        <f ca="1">IFERROR(__xludf.DUMMYFUNCTION("""COMPUTED_VALUE"""),"| 1 P JAVA % | 3 L PHP-CGM @ | 4 L JAVA @ | 5 P PRO % ")</f>
        <v xml:space="preserve">| 1 P JAVA % | 3 L PHP-CGM @ | 4 L JAVA @ | 5 P PRO % </v>
      </c>
      <c r="BW346" s="4" t="str">
        <f ca="1">IFERROR(__xludf.DUMMYFUNCTION("""COMPUTED_VALUE"""),"| 1 L JAVA % | 2 L PHP-CGM % | 3 P Python % ")</f>
        <v xml:space="preserve">| 1 L JAVA % | 2 L PHP-CGM % | 3 P Python % </v>
      </c>
      <c r="BX346" s="4" t="str">
        <f ca="1">IFERROR(__xludf.DUMMYFUNCTION("""COMPUTED_VALUE"""),"| 1 L INE @ | 3 P NS % | 5 L JAVA % | 6 L NS % ")</f>
        <v xml:space="preserve">| 1 L INE @ | 3 P NS % | 5 L JAVA % | 6 L NS % </v>
      </c>
      <c r="BY346" s="4" t="str">
        <f ca="1">IFERROR(__xludf.DUMMYFUNCTION("""COMPUTED_VALUE"""),"| 1 P PHP-CGM % | 3 P CPT % | 5 L NS % | 6 L CPT @ ")</f>
        <v xml:space="preserve">| 1 P PHP-CGM % | 3 P CPT % | 5 L NS % | 6 L CPT @ </v>
      </c>
      <c r="BZ346" s="4" t="str">
        <f ca="1">IFERROR(__xludf.DUMMYFUNCTION("""COMPUTED_VALUE"""),"| 1 P JAVA @ | 3 L CPT @ | 4 L PHP-CGM @ | 5 P Python @ ")</f>
        <v xml:space="preserve">| 1 P JAVA @ | 3 L CPT @ | 4 L PHP-CGM @ | 5 P Python @ </v>
      </c>
      <c r="CA346" s="4" t="str">
        <f ca="1">IFERROR(__xludf.DUMMYFUNCTION("""COMPUTED_VALUE"""),"| 1 P JAVA % | 3 L PHP-CGM @ | 3 L JAVA @ | 5 P PRO % ")</f>
        <v xml:space="preserve">| 1 P JAVA % | 3 L PHP-CGM @ | 3 L JAVA @ | 5 P PRO % </v>
      </c>
      <c r="CB346" s="4" t="str">
        <f ca="1">IFERROR(__xludf.DUMMYFUNCTION("""COMPUTED_VALUE"""),"| 1 L JAVA @ | 2 L PHP-CGM @ | 3 P Python % | 6 L NS @ | 5 L CPT @ ")</f>
        <v xml:space="preserve">| 1 L JAVA @ | 2 L PHP-CGM @ | 3 P Python % | 6 L NS @ | 5 L CPT @ </v>
      </c>
      <c r="CC346" s="4" t="str">
        <f ca="1">IFERROR(__xludf.DUMMYFUNCTION("""COMPUTED_VALUE"""),"| 1 L INE % | 3 P NS % | 5 L JAVA @ | 6 L NS % ")</f>
        <v xml:space="preserve">| 1 L INE % | 3 P NS % | 5 L JAVA @ | 6 L NS % </v>
      </c>
      <c r="CD346" s="4" t="str">
        <f ca="1">IFERROR(__xludf.DUMMYFUNCTION("""COMPUTED_VALUE"""),"| 1 P PHP-CGM @ | 3 P CPT % | 5 L NS @ | 6 L CPT @ ")</f>
        <v xml:space="preserve">| 1 P PHP-CGM @ | 3 P CPT % | 5 L NS @ | 6 L CPT @ </v>
      </c>
      <c r="CE346" s="4" t="str">
        <f ca="1">IFERROR(__xludf.DUMMYFUNCTION("""COMPUTED_VALUE"""),"| 1 P JAVA % | 3 L CPT % | 4 L PHP-CGM % | 5 P Python % ")</f>
        <v xml:space="preserve">| 1 P JAVA % | 3 L CPT % | 4 L PHP-CGM % | 5 P Python % </v>
      </c>
      <c r="CF346" s="4" t="str">
        <f ca="1">IFERROR(__xludf.DUMMYFUNCTION("""COMPUTED_VALUE"""),"| 1 P JAVA % | 4 L JAVA % | 3 L PHP-CGM % | 5 L PRO % ")</f>
        <v xml:space="preserve">| 1 P JAVA % | 4 L JAVA % | 3 L PHP-CGM % | 5 L PRO % </v>
      </c>
      <c r="CG346" s="4" t="str">
        <f ca="1">IFERROR(__xludf.DUMMYFUNCTION("""COMPUTED_VALUE"""),"| 1 L JAVA % | 2 L PHP-CGM % | 3 P Python % | 6 L NS @ ")</f>
        <v xml:space="preserve">| 1 L JAVA % | 2 L PHP-CGM % | 3 P Python % | 6 L NS @ </v>
      </c>
      <c r="CH346" s="4" t="str">
        <f ca="1">IFERROR(__xludf.DUMMYFUNCTION("""COMPUTED_VALUE"""),"| 1 L INE @ | 3 P NS % | 5 L JAVA @ | 6 L NS @ ")</f>
        <v xml:space="preserve">| 1 L INE @ | 3 P NS % | 5 L JAVA @ | 6 L NS @ </v>
      </c>
      <c r="CI346" s="4" t="str">
        <f ca="1">IFERROR(__xludf.DUMMYFUNCTION("""COMPUTED_VALUE"""),"| 3 P CPT % | 5 L NS @ | 6 L CPT @ ")</f>
        <v xml:space="preserve">| 3 P CPT % | 5 L NS @ | 6 L CPT @ </v>
      </c>
      <c r="CJ346" s="4" t="str">
        <f ca="1">IFERROR(__xludf.DUMMYFUNCTION("""COMPUTED_VALUE"""),"| 3 L CPT @ ")</f>
        <v xml:space="preserve">| 3 L CPT @ </v>
      </c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</row>
    <row r="347" spans="1:102" ht="12.5" x14ac:dyDescent="0.25">
      <c r="A347" s="3">
        <f ca="1">IFERROR(__xludf.DUMMYFUNCTION("""COMPUTED_VALUE"""),1)</f>
        <v>1</v>
      </c>
      <c r="B347" s="3" t="str">
        <f ca="1">IFERROR(__xludf.DUMMYFUNCTION("""COMPUTED_VALUE"""),"ITA")</f>
        <v>ITA</v>
      </c>
      <c r="C347" s="32" t="str">
        <f ca="1">IFERROR(__xludf.DUMMYFUNCTION("""COMPUTED_VALUE"""),"23291371015")</f>
        <v>23291371015</v>
      </c>
      <c r="D347" s="4" t="str">
        <f ca="1">IFERROR(__xludf.DUMMYFUNCTION("""COMPUTED_VALUE"""),"CHAUHAN MANVENDRASINH JAYDIPSINH")</f>
        <v>CHAUHAN MANVENDRASINH JAYDIPSINH</v>
      </c>
      <c r="E347" s="3" t="str">
        <f ca="1">IFERROR(__xludf.DUMMYFUNCTION("""COMPUTED_VALUE"""),"Sweety - Mor")</f>
        <v>Sweety - Mor</v>
      </c>
      <c r="F347" s="3">
        <f ca="1">IFERROR(__xludf.DUMMYFUNCTION("""COMPUTED_VALUE"""),9913713925)</f>
        <v>9913713925</v>
      </c>
      <c r="G347" s="3">
        <f ca="1">IFERROR(__xludf.DUMMYFUNCTION("""COMPUTED_VALUE"""),9909496917)</f>
        <v>9909496917</v>
      </c>
      <c r="H347" s="33">
        <f ca="1">IFERROR(__xludf.DUMMYFUNCTION("""COMPUTED_VALUE"""),0.75)</f>
        <v>0.75</v>
      </c>
      <c r="I347" s="25">
        <f ca="1">IFERROR(__xludf.DUMMYFUNCTION("""COMPUTED_VALUE"""),0.628571428571428)</f>
        <v>0.628571428571428</v>
      </c>
      <c r="J347" s="25">
        <f ca="1">IFERROR(__xludf.DUMMYFUNCTION("""COMPUTED_VALUE"""),0.846153846153846)</f>
        <v>0.84615384615384603</v>
      </c>
      <c r="K347" s="25">
        <f ca="1">IFERROR(__xludf.DUMMYFUNCTION("""COMPUTED_VALUE"""),0.777777777777777)</f>
        <v>0.77777777777777701</v>
      </c>
      <c r="L347" s="25">
        <f ca="1">IFERROR(__xludf.DUMMYFUNCTION("""COMPUTED_VALUE"""),1)</f>
        <v>1</v>
      </c>
      <c r="M347" s="25">
        <f ca="1">IFERROR(__xludf.DUMMYFUNCTION("""COMPUTED_VALUE"""),0.657894736842105)</f>
        <v>0.65789473684210498</v>
      </c>
      <c r="N347" s="25">
        <f ca="1">IFERROR(__xludf.DUMMYFUNCTION("""COMPUTED_VALUE"""),0.727272727272727)</f>
        <v>0.72727272727272696</v>
      </c>
      <c r="O347" s="25">
        <f ca="1">IFERROR(__xludf.DUMMYFUNCTION("""COMPUTED_VALUE"""),0.777777777777777)</f>
        <v>0.77777777777777701</v>
      </c>
      <c r="P347" s="25">
        <f ca="1">IFERROR(__xludf.DUMMYFUNCTION("""COMPUTED_VALUE"""),0.791666666666666)</f>
        <v>0.79166666666666596</v>
      </c>
      <c r="Q347" s="25">
        <f ca="1">IFERROR(__xludf.DUMMYFUNCTION("""COMPUTED_VALUE"""),0)</f>
        <v>0</v>
      </c>
      <c r="R347" s="25">
        <f ca="1">IFERROR(__xludf.DUMMYFUNCTION("""COMPUTED_VALUE"""),0.791666666666666)</f>
        <v>0.79166666666666596</v>
      </c>
      <c r="S347" s="25">
        <f ca="1">IFERROR(__xludf.DUMMYFUNCTION("""COMPUTED_VALUE"""),0.666666666666666)</f>
        <v>0.66666666666666596</v>
      </c>
      <c r="T347" s="25">
        <f ca="1">IFERROR(__xludf.DUMMYFUNCTION("""COMPUTED_VALUE"""),0.888888888888888)</f>
        <v>0.88888888888888795</v>
      </c>
      <c r="U347" s="25">
        <f ca="1">IFERROR(__xludf.DUMMYFUNCTION("""COMPUTED_VALUE"""),0.625)</f>
        <v>0.625</v>
      </c>
      <c r="V347" s="25">
        <f ca="1">IFERROR(__xludf.DUMMYFUNCTION("""COMPUTED_VALUE"""),0)</f>
        <v>0</v>
      </c>
      <c r="W347" s="4"/>
      <c r="X347" s="4" t="str">
        <f ca="1">IFERROR(__xludf.DUMMYFUNCTION("""COMPUTED_VALUE"""),"| 1 P JAVA % | 4 L JAVA % | 3 L PHP-CGM % | 1 L PRO % ")</f>
        <v xml:space="preserve">| 1 P JAVA % | 4 L JAVA % | 3 L PHP-CGM % | 1 L PRO % </v>
      </c>
      <c r="Y34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47" s="4" t="str">
        <f ca="1">IFERROR(__xludf.DUMMYFUNCTION("""COMPUTED_VALUE"""),"| 3 P NS % | 5 L JAVA % | 6 L NS % ")</f>
        <v xml:space="preserve">| 3 P NS % | 5 L JAVA % | 6 L NS % </v>
      </c>
      <c r="AA347" s="4" t="str">
        <f ca="1">IFERROR(__xludf.DUMMYFUNCTION("""COMPUTED_VALUE"""),"| 3 P CPT % | 5 L NS % | 6 L CPT % ")</f>
        <v xml:space="preserve">| 3 P CPT % | 5 L NS % | 6 L CPT % </v>
      </c>
      <c r="AB347" s="4" t="str">
        <f ca="1">IFERROR(__xludf.DUMMYFUNCTION("""COMPUTED_VALUE"""),"| 1 P JAVA % | 3 L CPT % | 4 L PHP-CGM % | 5 P Python @ ")</f>
        <v xml:space="preserve">| 1 P JAVA % | 3 L CPT % | 4 L PHP-CGM % | 5 P Python @ </v>
      </c>
      <c r="AC347" s="4" t="str">
        <f ca="1">IFERROR(__xludf.DUMMYFUNCTION("""COMPUTED_VALUE"""),"| 1 P JAVA % | 3 L PHP-CGM % | 5 P PRO @ ")</f>
        <v xml:space="preserve">| 1 P JAVA % | 3 L PHP-CGM % | 5 P PRO @ </v>
      </c>
      <c r="AD347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7" s="4" t="str">
        <f ca="1">IFERROR(__xludf.DUMMYFUNCTION("""COMPUTED_VALUE"""),"| 3 P NS % | 5 L JAVA % | 6 L NS % ")</f>
        <v xml:space="preserve">| 3 P NS % | 5 L JAVA % | 6 L NS % </v>
      </c>
      <c r="AF347" s="4" t="str">
        <f ca="1">IFERROR(__xludf.DUMMYFUNCTION("""COMPUTED_VALUE"""),"| 1 P PHP-CGM % | 3 P CPT % | 5 L NS % | 6 L CPT % ")</f>
        <v xml:space="preserve">| 1 P PHP-CGM % | 3 P CPT % | 5 L NS % | 6 L CPT % </v>
      </c>
      <c r="AG347" s="4" t="str">
        <f ca="1">IFERROR(__xludf.DUMMYFUNCTION("""COMPUTED_VALUE"""),"| 1 P JAVA % | 3 L CPT % | 4 L PHP-CGM % | 5 P Python % ")</f>
        <v xml:space="preserve">| 1 P JAVA % | 3 L CPT % | 4 L PHP-CGM % | 5 P Python % </v>
      </c>
      <c r="AH347" s="4" t="str">
        <f ca="1">IFERROR(__xludf.DUMMYFUNCTION("""COMPUTED_VALUE"""),"| 1 P PHP-CGM @ | 3 P CPT @ | 5 L NS @ | 6 L CPT @ ")</f>
        <v xml:space="preserve">| 1 P PHP-CGM @ | 3 P CPT @ | 5 L NS @ | 6 L CPT @ </v>
      </c>
      <c r="AI347" s="4" t="str">
        <f ca="1">IFERROR(__xludf.DUMMYFUNCTION("""COMPUTED_VALUE"""),"| 1 P JAVA @ | 3 L CPT @ | 4 L PHP-CGM @ | 5 P Python @ ")</f>
        <v xml:space="preserve">| 1 P JAVA @ | 3 L CPT @ | 4 L PHP-CGM @ | 5 P Python @ </v>
      </c>
      <c r="AJ347" s="4" t="str">
        <f ca="1">IFERROR(__xludf.DUMMYFUNCTION("""COMPUTED_VALUE"""),"| 1 P JAVA % | 3 L PHP-CGM % | 4 L JAVA % | 5 P PRO % ")</f>
        <v xml:space="preserve">| 1 P JAVA % | 3 L PHP-CGM % | 4 L JAVA % | 5 P PRO % </v>
      </c>
      <c r="AK34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47" s="4" t="str">
        <f ca="1">IFERROR(__xludf.DUMMYFUNCTION("""COMPUTED_VALUE"""),"| 3 P NS % | 5 L JAVA % | 6 L NS % ")</f>
        <v xml:space="preserve">| 3 P NS % | 5 L JAVA % | 6 L NS % </v>
      </c>
      <c r="AM347" s="4" t="str">
        <f ca="1">IFERROR(__xludf.DUMMYFUNCTION("""COMPUTED_VALUE"""),"| 1 P PHP-CGM % | 3 P CPT % | 5 L NS % | 6 L CPT % ")</f>
        <v xml:space="preserve">| 1 P PHP-CGM % | 3 P CPT % | 5 L NS % | 6 L CPT % </v>
      </c>
      <c r="AN347" s="4" t="str">
        <f ca="1">IFERROR(__xludf.DUMMYFUNCTION("""COMPUTED_VALUE"""),"| 1 P JAVA % | 4 L PHP-CGM % | 5 P Python % ")</f>
        <v xml:space="preserve">| 1 P JAVA % | 4 L PHP-CGM % | 5 P Python % </v>
      </c>
      <c r="AO347" s="4" t="str">
        <f ca="1">IFERROR(__xludf.DUMMYFUNCTION("""COMPUTED_VALUE"""),"| 1 P JAVA % | 3 L PHP-CGM % | 4 L JAVA % | 5 P PRO % ")</f>
        <v xml:space="preserve">| 1 P JAVA % | 3 L PHP-CGM % | 4 L JAVA % | 5 P PRO % </v>
      </c>
      <c r="AP34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7" s="4" t="str">
        <f ca="1">IFERROR(__xludf.DUMMYFUNCTION("""COMPUTED_VALUE"""),"| 1 L INE % | 3 P NS % | 5 L JAVA % | 6 L NS % ")</f>
        <v xml:space="preserve">| 1 L INE % | 3 P NS % | 5 L JAVA % | 6 L NS % </v>
      </c>
      <c r="AR347" s="4" t="str">
        <f ca="1">IFERROR(__xludf.DUMMYFUNCTION("""COMPUTED_VALUE"""),"| 1 P PHP-CGM % | 3 L CPT % | 3 P CPT % | 5 L NS % | 6 L CPT % ")</f>
        <v xml:space="preserve">| 1 P PHP-CGM % | 3 L CPT % | 3 P CPT % | 5 L NS % | 6 L CPT % </v>
      </c>
      <c r="AS347" s="4" t="str">
        <f ca="1">IFERROR(__xludf.DUMMYFUNCTION("""COMPUTED_VALUE"""),"| 1 P JAVA % | 3 L PHP-CGM % | 4 L JAVA % | 5 P PRO % ")</f>
        <v xml:space="preserve">| 1 P JAVA % | 3 L PHP-CGM % | 4 L JAVA % | 5 P PRO % </v>
      </c>
      <c r="AT34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7" s="4" t="str">
        <f ca="1">IFERROR(__xludf.DUMMYFUNCTION("""COMPUTED_VALUE"""),"| 1 L INE % | 3 P NS % | 5 L JAVA % | 6 L NS % ")</f>
        <v xml:space="preserve">| 1 L INE % | 3 P NS % | 5 L JAVA % | 6 L NS % </v>
      </c>
      <c r="AV347" s="4" t="str">
        <f ca="1">IFERROR(__xludf.DUMMYFUNCTION("""COMPUTED_VALUE"""),"| 1 P PHP-CGM % | 3 P CPT % | 5 L NS % | 6 L CPT % ")</f>
        <v xml:space="preserve">| 1 P PHP-CGM % | 3 P CPT % | 5 L NS % | 6 L CPT % </v>
      </c>
      <c r="AW347" s="4" t="str">
        <f ca="1">IFERROR(__xludf.DUMMYFUNCTION("""COMPUTED_VALUE"""),"| 1 P JAVA % | 3 L CPT % | 4 L PHP-CGM @ | 5 P Python % ")</f>
        <v xml:space="preserve">| 1 P JAVA % | 3 L CPT % | 4 L PHP-CGM @ | 5 P Python % </v>
      </c>
      <c r="AX347" s="4" t="str">
        <f ca="1">IFERROR(__xludf.DUMMYFUNCTION("""COMPUTED_VALUE"""),"| 1 P JAVA % | 3 L JAVA % | 4 L PHP-CGM % | 5 P PRO % ")</f>
        <v xml:space="preserve">| 1 P JAVA % | 3 L JAVA % | 4 L PHP-CGM % | 5 P PRO % </v>
      </c>
      <c r="AY347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7" s="4" t="str">
        <f ca="1">IFERROR(__xludf.DUMMYFUNCTION("""COMPUTED_VALUE"""),"| 1 P PHP-CGM % | 3 P CPT % | 5 L NS % | 6 L CPT % ")</f>
        <v xml:space="preserve">| 1 P PHP-CGM % | 3 P CPT % | 5 L NS % | 6 L CPT % </v>
      </c>
      <c r="BA347" s="4" t="str">
        <f ca="1">IFERROR(__xludf.DUMMYFUNCTION("""COMPUTED_VALUE"""),"| 1 P JAVA % | 3 L CPT @ | 4 L PHP-CGM @ | 5 P Python % ")</f>
        <v xml:space="preserve">| 1 P JAVA % | 3 L CPT @ | 4 L PHP-CGM @ | 5 P Python % </v>
      </c>
      <c r="BB347" s="4" t="str">
        <f ca="1">IFERROR(__xludf.DUMMYFUNCTION("""COMPUTED_VALUE"""),"| 1 P JAVA @ | 3 L PHP-CGM @ | 4 L JAVA @ | 5 L PRO @ ")</f>
        <v xml:space="preserve">| 1 P JAVA @ | 3 L PHP-CGM @ | 4 L JAVA @ | 5 L PRO @ </v>
      </c>
      <c r="BC34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47" s="4" t="str">
        <f ca="1">IFERROR(__xludf.DUMMYFUNCTION("""COMPUTED_VALUE"""),"| 1 L INE % | 3 P NS % | 5 L JAVA % | 6 L NS % ")</f>
        <v xml:space="preserve">| 1 L INE % | 3 P NS % | 5 L JAVA % | 6 L NS % </v>
      </c>
      <c r="BE347" s="4" t="str">
        <f ca="1">IFERROR(__xludf.DUMMYFUNCTION("""COMPUTED_VALUE"""),"| 1 P PHP-CGM % | 3 P CPT % | 5 L NS % | 6 L CPT % ")</f>
        <v xml:space="preserve">| 1 P PHP-CGM % | 3 P CPT % | 5 L NS % | 6 L CPT % </v>
      </c>
      <c r="BF347" s="4" t="str">
        <f ca="1">IFERROR(__xludf.DUMMYFUNCTION("""COMPUTED_VALUE"""),"| 1 P JAVA @ | 3 L CPT @ | 4 L PHP-CGM @ | 5 P Python @ ")</f>
        <v xml:space="preserve">| 1 P JAVA @ | 3 L CPT @ | 4 L PHP-CGM @ | 5 P Python @ </v>
      </c>
      <c r="BG34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47" s="4" t="str">
        <f ca="1">IFERROR(__xludf.DUMMYFUNCTION("""COMPUTED_VALUE"""),"| 1 L INE % | 3 P NS % | 5 L JAVA % | 6 L NS % ")</f>
        <v xml:space="preserve">| 1 L INE % | 3 P NS % | 5 L JAVA % | 6 L NS % </v>
      </c>
      <c r="BI347" s="4" t="str">
        <f ca="1">IFERROR(__xludf.DUMMYFUNCTION("""COMPUTED_VALUE"""),"| 1 P PHP-CGM % | 3 P CPT % | 5 L NS % | 6 L CPT % ")</f>
        <v xml:space="preserve">| 1 P PHP-CGM % | 3 P CPT % | 5 L NS % | 6 L CPT % </v>
      </c>
      <c r="BJ347" s="4" t="str">
        <f ca="1">IFERROR(__xludf.DUMMYFUNCTION("""COMPUTED_VALUE"""),"| 1 P JAVA % | 3 L CPT % | 4 L PHP-CGM % | 5 P Python % ")</f>
        <v xml:space="preserve">| 1 P JAVA % | 3 L CPT % | 4 L PHP-CGM % | 5 P Python % </v>
      </c>
      <c r="BK347" s="4" t="str">
        <f ca="1">IFERROR(__xludf.DUMMYFUNCTION("""COMPUTED_VALUE"""),"| 1 P JAVA % | 3 L PHP-CGM @ | 4 L JAVA @ | 5 P PRO % ")</f>
        <v xml:space="preserve">| 1 P JAVA % | 3 L PHP-CGM @ | 4 L JAVA @ | 5 P PRO % </v>
      </c>
      <c r="BL347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BM347" s="4" t="str">
        <f ca="1">IFERROR(__xludf.DUMMYFUNCTION("""COMPUTED_VALUE"""),"| 1 L INE @ | 3 P NS % | 5 L JAVA % | 6 L NS % ")</f>
        <v xml:space="preserve">| 1 L INE @ | 3 P NS % | 5 L JAVA % | 6 L NS % </v>
      </c>
      <c r="BN347" s="4" t="str">
        <f ca="1">IFERROR(__xludf.DUMMYFUNCTION("""COMPUTED_VALUE"""),"| 1 P PHP-CGM @ | 3 P CPT @ | 5 L NS @ | 6 L CPT @ ")</f>
        <v xml:space="preserve">| 1 P PHP-CGM @ | 3 P CPT @ | 5 L NS @ | 6 L CPT @ </v>
      </c>
      <c r="BO347" s="4" t="str">
        <f ca="1">IFERROR(__xludf.DUMMYFUNCTION("""COMPUTED_VALUE"""),"| 1 P JAVA @ | 4 L PHP-CGM @ | 3 L CPT @ | 5 P Python @ ")</f>
        <v xml:space="preserve">| 1 P JAVA @ | 4 L PHP-CGM @ | 3 L CPT @ | 5 P Python @ </v>
      </c>
      <c r="BP347" s="4" t="str">
        <f ca="1">IFERROR(__xludf.DUMMYFUNCTION("""COMPUTED_VALUE"""),"| 1 P JAVA % | 3 L PHP-CGM @ | 4 L JAVA @ | 5 P PRO % ")</f>
        <v xml:space="preserve">| 1 P JAVA % | 3 L PHP-CGM @ | 4 L JAVA @ | 5 P PRO % </v>
      </c>
      <c r="BQ347" s="4" t="str">
        <f ca="1">IFERROR(__xludf.DUMMYFUNCTION("""COMPUTED_VALUE"""),"| 6 L NS % | 5 L JAVA % ")</f>
        <v xml:space="preserve">| 6 L NS % | 5 L JAVA % </v>
      </c>
      <c r="BR347" s="4"/>
      <c r="BS347" s="4" t="str">
        <f ca="1">IFERROR(__xludf.DUMMYFUNCTION("""COMPUTED_VALUE"""),"| 4 L PHP-CGM % ")</f>
        <v xml:space="preserve">| 4 L PHP-CGM % </v>
      </c>
      <c r="BT347" s="4" t="str">
        <f ca="1">IFERROR(__xludf.DUMMYFUNCTION("""COMPUTED_VALUE"""),"| 1 P JAVA % | 3 L PHP-CGM @ ")</f>
        <v xml:space="preserve">| 1 P JAVA % | 3 L PHP-CGM @ </v>
      </c>
      <c r="BU347" s="4" t="str">
        <f ca="1">IFERROR(__xludf.DUMMYFUNCTION("""COMPUTED_VALUE"""),"| 1 L JAVA % | 2 L PHP-CGM % | 3 P Python % ")</f>
        <v xml:space="preserve">| 1 L JAVA % | 2 L PHP-CGM % | 3 P Python % </v>
      </c>
      <c r="BV347" s="4" t="str">
        <f ca="1">IFERROR(__xludf.DUMMYFUNCTION("""COMPUTED_VALUE"""),"| 1 P JAVA % | 3 L PHP-CGM @ | 4 L JAVA @ | 5 P PRO % ")</f>
        <v xml:space="preserve">| 1 P JAVA % | 3 L PHP-CGM @ | 4 L JAVA @ | 5 P PRO % </v>
      </c>
      <c r="BW347" s="4" t="str">
        <f ca="1">IFERROR(__xludf.DUMMYFUNCTION("""COMPUTED_VALUE"""),"| 1 L JAVA % | 2 L PHP-CGM % | 3 P Python % ")</f>
        <v xml:space="preserve">| 1 L JAVA % | 2 L PHP-CGM % | 3 P Python % </v>
      </c>
      <c r="BX347" s="4" t="str">
        <f ca="1">IFERROR(__xludf.DUMMYFUNCTION("""COMPUTED_VALUE"""),"| 1 L INE @ | 3 P NS % | 5 L JAVA % | 6 L NS % ")</f>
        <v xml:space="preserve">| 1 L INE @ | 3 P NS % | 5 L JAVA % | 6 L NS % </v>
      </c>
      <c r="BY347" s="4" t="str">
        <f ca="1">IFERROR(__xludf.DUMMYFUNCTION("""COMPUTED_VALUE"""),"| 1 P PHP-CGM % | 3 P CPT % | 5 L NS % | 6 L CPT @ ")</f>
        <v xml:space="preserve">| 1 P PHP-CGM % | 3 P CPT % | 5 L NS % | 6 L CPT @ </v>
      </c>
      <c r="BZ347" s="4" t="str">
        <f ca="1">IFERROR(__xludf.DUMMYFUNCTION("""COMPUTED_VALUE"""),"| 1 P JAVA @ | 3 L CPT @ | 4 L PHP-CGM @ | 5 P Python @ ")</f>
        <v xml:space="preserve">| 1 P JAVA @ | 3 L CPT @ | 4 L PHP-CGM @ | 5 P Python @ </v>
      </c>
      <c r="CA347" s="4" t="str">
        <f ca="1">IFERROR(__xludf.DUMMYFUNCTION("""COMPUTED_VALUE"""),"| 1 P JAVA % | 3 L PHP-CGM @ | 3 L JAVA @ | 5 P PRO % ")</f>
        <v xml:space="preserve">| 1 P JAVA % | 3 L PHP-CGM @ | 3 L JAVA @ | 5 P PRO % </v>
      </c>
      <c r="CB347" s="4" t="str">
        <f ca="1">IFERROR(__xludf.DUMMYFUNCTION("""COMPUTED_VALUE"""),"| 1 L JAVA @ | 2 L PHP-CGM @ | 3 P Python % | 6 L NS @ | 5 L CPT @ ")</f>
        <v xml:space="preserve">| 1 L JAVA @ | 2 L PHP-CGM @ | 3 P Python % | 6 L NS @ | 5 L CPT @ </v>
      </c>
      <c r="CC347" s="4" t="str">
        <f ca="1">IFERROR(__xludf.DUMMYFUNCTION("""COMPUTED_VALUE"""),"| 1 L INE % | 3 P NS % | 5 L JAVA @ | 6 L NS % ")</f>
        <v xml:space="preserve">| 1 L INE % | 3 P NS % | 5 L JAVA @ | 6 L NS % </v>
      </c>
      <c r="CD347" s="4" t="str">
        <f ca="1">IFERROR(__xludf.DUMMYFUNCTION("""COMPUTED_VALUE"""),"| 1 P PHP-CGM @ | 3 P CPT % | 5 L NS @ | 6 L CPT @ ")</f>
        <v xml:space="preserve">| 1 P PHP-CGM @ | 3 P CPT % | 5 L NS @ | 6 L CPT @ </v>
      </c>
      <c r="CE347" s="4" t="str">
        <f ca="1">IFERROR(__xludf.DUMMYFUNCTION("""COMPUTED_VALUE"""),"| 1 P JAVA % | 3 L CPT % | 4 L PHP-CGM % | 5 P Python % ")</f>
        <v xml:space="preserve">| 1 P JAVA % | 3 L CPT % | 4 L PHP-CGM % | 5 P Python % </v>
      </c>
      <c r="CF347" s="4" t="str">
        <f ca="1">IFERROR(__xludf.DUMMYFUNCTION("""COMPUTED_VALUE"""),"| 1 P JAVA % | 4 L JAVA % | 3 L PHP-CGM % | 5 L PRO % ")</f>
        <v xml:space="preserve">| 1 P JAVA % | 4 L JAVA % | 3 L PHP-CGM % | 5 L PRO % </v>
      </c>
      <c r="CG347" s="4" t="str">
        <f ca="1">IFERROR(__xludf.DUMMYFUNCTION("""COMPUTED_VALUE"""),"| 1 L JAVA % | 2 L PHP-CGM % | 3 P Python % | 6 L NS @ ")</f>
        <v xml:space="preserve">| 1 L JAVA % | 2 L PHP-CGM % | 3 P Python % | 6 L NS @ </v>
      </c>
      <c r="CH347" s="4" t="str">
        <f ca="1">IFERROR(__xludf.DUMMYFUNCTION("""COMPUTED_VALUE"""),"| 1 L INE @ | 3 P NS % | 5 L JAVA @ | 6 L NS @ ")</f>
        <v xml:space="preserve">| 1 L INE @ | 3 P NS % | 5 L JAVA @ | 6 L NS @ </v>
      </c>
      <c r="CI347" s="4" t="str">
        <f ca="1">IFERROR(__xludf.DUMMYFUNCTION("""COMPUTED_VALUE"""),"| 3 P CPT % | 5 L NS @ | 6 L CPT @ ")</f>
        <v xml:space="preserve">| 3 P CPT % | 5 L NS @ | 6 L CPT @ </v>
      </c>
      <c r="CJ347" s="4" t="str">
        <f ca="1">IFERROR(__xludf.DUMMYFUNCTION("""COMPUTED_VALUE"""),"| 3 L CPT @ ")</f>
        <v xml:space="preserve">| 3 L CPT @ </v>
      </c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</row>
    <row r="348" spans="1:102" ht="12.5" x14ac:dyDescent="0.25">
      <c r="A348" s="3">
        <f ca="1">IFERROR(__xludf.DUMMYFUNCTION("""COMPUTED_VALUE"""),1)</f>
        <v>1</v>
      </c>
      <c r="B348" s="3" t="str">
        <f ca="1">IFERROR(__xludf.DUMMYFUNCTION("""COMPUTED_VALUE"""),"ITA")</f>
        <v>ITA</v>
      </c>
      <c r="C348" s="32" t="str">
        <f ca="1">IFERROR(__xludf.DUMMYFUNCTION("""COMPUTED_VALUE"""),"23291371019")</f>
        <v>23291371019</v>
      </c>
      <c r="D348" s="4" t="str">
        <f ca="1">IFERROR(__xludf.DUMMYFUNCTION("""COMPUTED_VALUE"""),"DABHI DIVY JASHVANTBHAI")</f>
        <v>DABHI DIVY JASHVANTBHAI</v>
      </c>
      <c r="E348" s="3" t="str">
        <f ca="1">IFERROR(__xludf.DUMMYFUNCTION("""COMPUTED_VALUE"""),"Sweety - Mor")</f>
        <v>Sweety - Mor</v>
      </c>
      <c r="F348" s="3">
        <f ca="1">IFERROR(__xludf.DUMMYFUNCTION("""COMPUTED_VALUE"""),9723059909)</f>
        <v>9723059909</v>
      </c>
      <c r="G348" s="3">
        <f ca="1">IFERROR(__xludf.DUMMYFUNCTION("""COMPUTED_VALUE"""),8490029281)</f>
        <v>8490029281</v>
      </c>
      <c r="H348" s="33">
        <f ca="1">IFERROR(__xludf.DUMMYFUNCTION("""COMPUTED_VALUE"""),0.524193548387096)</f>
        <v>0.52419354838709598</v>
      </c>
      <c r="I348" s="25">
        <f ca="1">IFERROR(__xludf.DUMMYFUNCTION("""COMPUTED_VALUE"""),0.457142857142857)</f>
        <v>0.45714285714285702</v>
      </c>
      <c r="J348" s="25">
        <f ca="1">IFERROR(__xludf.DUMMYFUNCTION("""COMPUTED_VALUE"""),0.23076923076923)</f>
        <v>0.23076923076923</v>
      </c>
      <c r="K348" s="25">
        <f ca="1">IFERROR(__xludf.DUMMYFUNCTION("""COMPUTED_VALUE"""),0.75)</f>
        <v>0.75</v>
      </c>
      <c r="L348" s="25">
        <f ca="1">IFERROR(__xludf.DUMMYFUNCTION("""COMPUTED_VALUE"""),0.454545454545454)</f>
        <v>0.45454545454545398</v>
      </c>
      <c r="M348" s="25">
        <f ca="1">IFERROR(__xludf.DUMMYFUNCTION("""COMPUTED_VALUE"""),0.657894736842105)</f>
        <v>0.65789473684210498</v>
      </c>
      <c r="N348" s="25">
        <f ca="1">IFERROR(__xludf.DUMMYFUNCTION("""COMPUTED_VALUE"""),0.0909090909090909)</f>
        <v>9.0909090909090898E-2</v>
      </c>
      <c r="O348" s="25">
        <f ca="1">IFERROR(__xludf.DUMMYFUNCTION("""COMPUTED_VALUE"""),0.75)</f>
        <v>0.75</v>
      </c>
      <c r="P348" s="25">
        <f ca="1">IFERROR(__xludf.DUMMYFUNCTION("""COMPUTED_VALUE"""),0.5)</f>
        <v>0.5</v>
      </c>
      <c r="Q348" s="25">
        <f ca="1">IFERROR(__xludf.DUMMYFUNCTION("""COMPUTED_VALUE"""),0)</f>
        <v>0</v>
      </c>
      <c r="R348" s="25">
        <f ca="1">IFERROR(__xludf.DUMMYFUNCTION("""COMPUTED_VALUE"""),0.208333333333333)</f>
        <v>0.20833333333333301</v>
      </c>
      <c r="S348" s="25">
        <f ca="1">IFERROR(__xludf.DUMMYFUNCTION("""COMPUTED_VALUE"""),0.666666666666666)</f>
        <v>0.66666666666666596</v>
      </c>
      <c r="T348" s="25">
        <f ca="1">IFERROR(__xludf.DUMMYFUNCTION("""COMPUTED_VALUE"""),0.555555555555555)</f>
        <v>0.55555555555555503</v>
      </c>
      <c r="U348" s="25">
        <f ca="1">IFERROR(__xludf.DUMMYFUNCTION("""COMPUTED_VALUE"""),0.25)</f>
        <v>0.25</v>
      </c>
      <c r="V348" s="25">
        <f ca="1">IFERROR(__xludf.DUMMYFUNCTION("""COMPUTED_VALUE"""),0)</f>
        <v>0</v>
      </c>
      <c r="W348" s="4"/>
      <c r="X348" s="4" t="str">
        <f ca="1">IFERROR(__xludf.DUMMYFUNCTION("""COMPUTED_VALUE"""),"| 1 P JAVA % | 4 L JAVA % | 3 L PHP-CGM % | 1 L PRO % ")</f>
        <v xml:space="preserve">| 1 P JAVA % | 4 L JAVA % | 3 L PHP-CGM % | 1 L PRO % </v>
      </c>
      <c r="Y348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Z348" s="4" t="str">
        <f ca="1">IFERROR(__xludf.DUMMYFUNCTION("""COMPUTED_VALUE"""),"| 3 P NS % | 5 L JAVA % | 6 L NS % ")</f>
        <v xml:space="preserve">| 3 P NS % | 5 L JAVA % | 6 L NS % </v>
      </c>
      <c r="AA348" s="4" t="str">
        <f ca="1">IFERROR(__xludf.DUMMYFUNCTION("""COMPUTED_VALUE"""),"| 3 P CPT % | 5 L NS % | 6 L CPT % ")</f>
        <v xml:space="preserve">| 3 P CPT % | 5 L NS % | 6 L CPT % </v>
      </c>
      <c r="AB348" s="4" t="str">
        <f ca="1">IFERROR(__xludf.DUMMYFUNCTION("""COMPUTED_VALUE"""),"| 1 P JAVA @ | 3 L CPT @ | 4 L PHP-CGM @ | 5 P Python @ ")</f>
        <v xml:space="preserve">| 1 P JAVA @ | 3 L CPT @ | 4 L PHP-CGM @ | 5 P Python @ </v>
      </c>
      <c r="AC348" s="4" t="str">
        <f ca="1">IFERROR(__xludf.DUMMYFUNCTION("""COMPUTED_VALUE"""),"| 1 P JAVA @ | 3 L PHP-CGM % | 5 P PRO % ")</f>
        <v xml:space="preserve">| 1 P JAVA @ | 3 L PHP-CGM % | 5 P PRO % </v>
      </c>
      <c r="AD348" s="4" t="str">
        <f ca="1">IFERROR(__xludf.DUMMYFUNCTION("""COMPUTED_VALUE"""),"| 1 L JAVA % | 2 L PHP-CGM % | 3 P Python @ | 6 L NS % | 5 L CPT % ")</f>
        <v xml:space="preserve">| 1 L JAVA % | 2 L PHP-CGM % | 3 P Python @ | 6 L NS % | 5 L CPT % </v>
      </c>
      <c r="AE348" s="4" t="str">
        <f ca="1">IFERROR(__xludf.DUMMYFUNCTION("""COMPUTED_VALUE"""),"| 3 P NS @ | 5 L JAVA % | 6 L NS % ")</f>
        <v xml:space="preserve">| 3 P NS @ | 5 L JAVA % | 6 L NS % </v>
      </c>
      <c r="AF348" s="4" t="str">
        <f ca="1">IFERROR(__xludf.DUMMYFUNCTION("""COMPUTED_VALUE"""),"| 1 P PHP-CGM @ | 3 P CPT @ | 5 L NS @ | 6 L CPT @ ")</f>
        <v xml:space="preserve">| 1 P PHP-CGM @ | 3 P CPT @ | 5 L NS @ | 6 L CPT @ </v>
      </c>
      <c r="AG348" s="4" t="str">
        <f ca="1">IFERROR(__xludf.DUMMYFUNCTION("""COMPUTED_VALUE"""),"| 1 P JAVA % | 3 L CPT % | 4 L PHP-CGM % | 5 P Python @ ")</f>
        <v xml:space="preserve">| 1 P JAVA % | 3 L CPT % | 4 L PHP-CGM % | 5 P Python @ </v>
      </c>
      <c r="AH348" s="4" t="str">
        <f ca="1">IFERROR(__xludf.DUMMYFUNCTION("""COMPUTED_VALUE"""),"| 1 P PHP-CGM @ | 3 P CPT @ | 5 L NS % | 6 L CPT % ")</f>
        <v xml:space="preserve">| 1 P PHP-CGM @ | 3 P CPT @ | 5 L NS % | 6 L CPT % </v>
      </c>
      <c r="AI348" s="4" t="str">
        <f ca="1">IFERROR(__xludf.DUMMYFUNCTION("""COMPUTED_VALUE"""),"| 1 P JAVA @ | 3 L CPT @ | 4 L PHP-CGM @ | 5 P Python @ ")</f>
        <v xml:space="preserve">| 1 P JAVA @ | 3 L CPT @ | 4 L PHP-CGM @ | 5 P Python @ </v>
      </c>
      <c r="AJ348" s="4" t="str">
        <f ca="1">IFERROR(__xludf.DUMMYFUNCTION("""COMPUTED_VALUE"""),"| 1 P JAVA @ | 3 L PHP-CGM % | 4 L JAVA % | 5 P PRO @ ")</f>
        <v xml:space="preserve">| 1 P JAVA @ | 3 L PHP-CGM % | 4 L JAVA % | 5 P PRO @ </v>
      </c>
      <c r="AK348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L348" s="4" t="str">
        <f ca="1">IFERROR(__xludf.DUMMYFUNCTION("""COMPUTED_VALUE"""),"| 3 P NS % | 5 L JAVA % | 6 L NS % ")</f>
        <v xml:space="preserve">| 3 P NS % | 5 L JAVA % | 6 L NS % </v>
      </c>
      <c r="AM348" s="4" t="str">
        <f ca="1">IFERROR(__xludf.DUMMYFUNCTION("""COMPUTED_VALUE"""),"| 1 P PHP-CGM @ | 3 P CPT @ | 5 L NS % | 6 L CPT % ")</f>
        <v xml:space="preserve">| 1 P PHP-CGM @ | 3 P CPT @ | 5 L NS % | 6 L CPT % </v>
      </c>
      <c r="AN348" s="4" t="str">
        <f ca="1">IFERROR(__xludf.DUMMYFUNCTION("""COMPUTED_VALUE"""),"| 1 P JAVA @ | 4 L PHP-CGM @ | 5 P Python @ ")</f>
        <v xml:space="preserve">| 1 P JAVA @ | 4 L PHP-CGM @ | 5 P Python @ </v>
      </c>
      <c r="AO348" s="4" t="str">
        <f ca="1">IFERROR(__xludf.DUMMYFUNCTION("""COMPUTED_VALUE"""),"| 1 P JAVA % | 3 L PHP-CGM % | 4 L JAVA % | 5 P PRO @ ")</f>
        <v xml:space="preserve">| 1 P JAVA % | 3 L PHP-CGM % | 4 L JAVA % | 5 P PRO @ </v>
      </c>
      <c r="AP348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48" s="4" t="str">
        <f ca="1">IFERROR(__xludf.DUMMYFUNCTION("""COMPUTED_VALUE"""),"| 1 L INE @ | 3 P NS @ | 5 L JAVA % | 6 L NS % ")</f>
        <v xml:space="preserve">| 1 L INE @ | 3 P NS @ | 5 L JAVA % | 6 L NS % </v>
      </c>
      <c r="AR348" s="4" t="str">
        <f ca="1">IFERROR(__xludf.DUMMYFUNCTION("""COMPUTED_VALUE"""),"| 1 P PHP-CGM @ | 3 L CPT @ | 3 P CPT @ | 5 L NS % | 6 L CPT % ")</f>
        <v xml:space="preserve">| 1 P PHP-CGM @ | 3 L CPT @ | 3 P CPT @ | 5 L NS % | 6 L CPT % </v>
      </c>
      <c r="AS348" s="4" t="str">
        <f ca="1">IFERROR(__xludf.DUMMYFUNCTION("""COMPUTED_VALUE"""),"| 1 P JAVA % | 3 L PHP-CGM % | 4 L JAVA % | 5 P PRO % ")</f>
        <v xml:space="preserve">| 1 P JAVA % | 3 L PHP-CGM % | 4 L JAVA % | 5 P PRO % </v>
      </c>
      <c r="AT348" s="4" t="str">
        <f ca="1">IFERROR(__xludf.DUMMYFUNCTION("""COMPUTED_VALUE"""),"| 1 L JAVA % | 2 L PHP-CGM % | 3 P Python @ | 5 L CPT % | 6 L NS @ ")</f>
        <v xml:space="preserve">| 1 L JAVA % | 2 L PHP-CGM % | 3 P Python @ | 5 L CPT % | 6 L NS @ </v>
      </c>
      <c r="AU348" s="4" t="str">
        <f ca="1">IFERROR(__xludf.DUMMYFUNCTION("""COMPUTED_VALUE"""),"| 1 L INE % | 3 P NS % | 5 L JAVA % | 6 L NS % ")</f>
        <v xml:space="preserve">| 1 L INE % | 3 P NS % | 5 L JAVA % | 6 L NS % </v>
      </c>
      <c r="AV348" s="4" t="str">
        <f ca="1">IFERROR(__xludf.DUMMYFUNCTION("""COMPUTED_VALUE"""),"| 1 P PHP-CGM @ | 3 P CPT @ | 5 L NS % | 6 L CPT @ ")</f>
        <v xml:space="preserve">| 1 P PHP-CGM @ | 3 P CPT @ | 5 L NS % | 6 L CPT @ </v>
      </c>
      <c r="AW348" s="4" t="str">
        <f ca="1">IFERROR(__xludf.DUMMYFUNCTION("""COMPUTED_VALUE"""),"| 1 P JAVA % | 3 L CPT % | 4 L PHP-CGM % | 5 P Python @ ")</f>
        <v xml:space="preserve">| 1 P JAVA % | 3 L CPT % | 4 L PHP-CGM % | 5 P Python @ </v>
      </c>
      <c r="AX348" s="4" t="str">
        <f ca="1">IFERROR(__xludf.DUMMYFUNCTION("""COMPUTED_VALUE"""),"| 1 P JAVA % | 3 L JAVA % | 4 L PHP-CGM % | 5 P PRO % ")</f>
        <v xml:space="preserve">| 1 P JAVA % | 3 L JAVA % | 4 L PHP-CGM % | 5 P PRO % </v>
      </c>
      <c r="AY348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8" s="4" t="str">
        <f ca="1">IFERROR(__xludf.DUMMYFUNCTION("""COMPUTED_VALUE"""),"| 1 P PHP-CGM % | 3 P CPT @ | 5 L NS % | 6 L CPT @ ")</f>
        <v xml:space="preserve">| 1 P PHP-CGM % | 3 P CPT @ | 5 L NS % | 6 L CPT @ </v>
      </c>
      <c r="BA348" s="4" t="str">
        <f ca="1">IFERROR(__xludf.DUMMYFUNCTION("""COMPUTED_VALUE"""),"| 1 P JAVA % | 3 L CPT @ | 4 L PHP-CGM @ | 5 P Python @ ")</f>
        <v xml:space="preserve">| 1 P JAVA % | 3 L CPT @ | 4 L PHP-CGM @ | 5 P Python @ </v>
      </c>
      <c r="BB348" s="4" t="str">
        <f ca="1">IFERROR(__xludf.DUMMYFUNCTION("""COMPUTED_VALUE"""),"| 1 P JAVA @ | 3 L PHP-CGM % | 4 L JAVA % | 5 L PRO @ ")</f>
        <v xml:space="preserve">| 1 P JAVA @ | 3 L PHP-CGM % | 4 L JAVA % | 5 L PRO @ </v>
      </c>
      <c r="BC348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D348" s="4" t="str">
        <f ca="1">IFERROR(__xludf.DUMMYFUNCTION("""COMPUTED_VALUE"""),"| 1 L INE @ | 3 P NS @ | 5 L JAVA @ | 6 L NS @ ")</f>
        <v xml:space="preserve">| 1 L INE @ | 3 P NS @ | 5 L JAVA @ | 6 L NS @ </v>
      </c>
      <c r="BE348" s="4" t="str">
        <f ca="1">IFERROR(__xludf.DUMMYFUNCTION("""COMPUTED_VALUE"""),"| 1 P PHP-CGM @ | 3 P CPT @ | 5 L NS % | 6 L CPT @ ")</f>
        <v xml:space="preserve">| 1 P PHP-CGM @ | 3 P CPT @ | 5 L NS % | 6 L CPT @ </v>
      </c>
      <c r="BF348" s="4" t="str">
        <f ca="1">IFERROR(__xludf.DUMMYFUNCTION("""COMPUTED_VALUE"""),"| 1 P JAVA @ | 3 L CPT @ | 4 L PHP-CGM @ | 5 P Python @ ")</f>
        <v xml:space="preserve">| 1 P JAVA @ | 3 L CPT @ | 4 L PHP-CGM @ | 5 P Python @ </v>
      </c>
      <c r="BG348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BH348" s="4" t="str">
        <f ca="1">IFERROR(__xludf.DUMMYFUNCTION("""COMPUTED_VALUE"""),"| 1 L INE @ | 3 P NS @ | 5 L JAVA % | 6 L NS % ")</f>
        <v xml:space="preserve">| 1 L INE @ | 3 P NS @ | 5 L JAVA % | 6 L NS % </v>
      </c>
      <c r="BI348" s="4" t="str">
        <f ca="1">IFERROR(__xludf.DUMMYFUNCTION("""COMPUTED_VALUE"""),"| 1 P PHP-CGM @ | 3 P CPT @ | 5 L NS % | 6 L CPT % ")</f>
        <v xml:space="preserve">| 1 P PHP-CGM @ | 3 P CPT @ | 5 L NS % | 6 L CPT % </v>
      </c>
      <c r="BJ348" s="4" t="str">
        <f ca="1">IFERROR(__xludf.DUMMYFUNCTION("""COMPUTED_VALUE"""),"| 1 P JAVA @ | 3 L CPT % | 4 L PHP-CGM % | 5 P Python @ ")</f>
        <v xml:space="preserve">| 1 P JAVA @ | 3 L CPT % | 4 L PHP-CGM % | 5 P Python @ </v>
      </c>
      <c r="BK348" s="4" t="str">
        <f ca="1">IFERROR(__xludf.DUMMYFUNCTION("""COMPUTED_VALUE"""),"| 1 P JAVA @ | 3 L PHP-CGM @ | 4 L JAVA @ | 5 P PRO % ")</f>
        <v xml:space="preserve">| 1 P JAVA @ | 3 L PHP-CGM @ | 4 L JAVA @ | 5 P PRO % </v>
      </c>
      <c r="BL348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48" s="4" t="str">
        <f ca="1">IFERROR(__xludf.DUMMYFUNCTION("""COMPUTED_VALUE"""),"| 1 L INE @ | 3 P NS @ | 5 L JAVA @ | 6 L NS @ ")</f>
        <v xml:space="preserve">| 1 L INE @ | 3 P NS @ | 5 L JAVA @ | 6 L NS @ </v>
      </c>
      <c r="BN348" s="4" t="str">
        <f ca="1">IFERROR(__xludf.DUMMYFUNCTION("""COMPUTED_VALUE"""),"| 1 P PHP-CGM @ | 3 P CPT @ | 5 L NS @ | 6 L CPT @ ")</f>
        <v xml:space="preserve">| 1 P PHP-CGM @ | 3 P CPT @ | 5 L NS @ | 6 L CPT @ </v>
      </c>
      <c r="BO348" s="4" t="str">
        <f ca="1">IFERROR(__xludf.DUMMYFUNCTION("""COMPUTED_VALUE"""),"| 1 P JAVA % | 4 L PHP-CGM @ | 3 L CPT @ | 5 P Python % ")</f>
        <v xml:space="preserve">| 1 P JAVA % | 4 L PHP-CGM @ | 3 L CPT @ | 5 P Python % </v>
      </c>
      <c r="BP348" s="4" t="str">
        <f ca="1">IFERROR(__xludf.DUMMYFUNCTION("""COMPUTED_VALUE"""),"| 1 P JAVA @ | 3 L PHP-CGM @ | 4 L JAVA @ | 5 P PRO @ ")</f>
        <v xml:space="preserve">| 1 P JAVA @ | 3 L PHP-CGM @ | 4 L JAVA @ | 5 P PRO @ </v>
      </c>
      <c r="BQ348" s="4" t="str">
        <f ca="1">IFERROR(__xludf.DUMMYFUNCTION("""COMPUTED_VALUE"""),"| 6 L NS % | 5 L JAVA % ")</f>
        <v xml:space="preserve">| 6 L NS % | 5 L JAVA % </v>
      </c>
      <c r="BR348" s="4"/>
      <c r="BS348" s="4" t="str">
        <f ca="1">IFERROR(__xludf.DUMMYFUNCTION("""COMPUTED_VALUE"""),"| 4 L PHP-CGM % ")</f>
        <v xml:space="preserve">| 4 L PHP-CGM % </v>
      </c>
      <c r="BT348" s="4" t="str">
        <f ca="1">IFERROR(__xludf.DUMMYFUNCTION("""COMPUTED_VALUE"""),"| 1 P JAVA % | 3 L PHP-CGM % ")</f>
        <v xml:space="preserve">| 1 P JAVA % | 3 L PHP-CGM % </v>
      </c>
      <c r="BU348" s="4" t="str">
        <f ca="1">IFERROR(__xludf.DUMMYFUNCTION("""COMPUTED_VALUE"""),"| 1 L JAVA % | 2 L PHP-CGM % | 3 P Python @ ")</f>
        <v xml:space="preserve">| 1 L JAVA % | 2 L PHP-CGM % | 3 P Python @ </v>
      </c>
      <c r="BV348" s="4" t="str">
        <f ca="1">IFERROR(__xludf.DUMMYFUNCTION("""COMPUTED_VALUE"""),"| 1 P JAVA @ | 3 L PHP-CGM % | 4 L JAVA % | 5 P PRO % ")</f>
        <v xml:space="preserve">| 1 P JAVA @ | 3 L PHP-CGM % | 4 L JAVA % | 5 P PRO % </v>
      </c>
      <c r="BW348" s="4" t="str">
        <f ca="1">IFERROR(__xludf.DUMMYFUNCTION("""COMPUTED_VALUE"""),"| 1 L JAVA % | 2 L PHP-CGM % | 3 P Python @ ")</f>
        <v xml:space="preserve">| 1 L JAVA % | 2 L PHP-CGM % | 3 P Python @ </v>
      </c>
      <c r="BX348" s="4" t="str">
        <f ca="1">IFERROR(__xludf.DUMMYFUNCTION("""COMPUTED_VALUE"""),"| 1 L INE @ | 3 P NS @ | 5 L JAVA % | 6 L NS % ")</f>
        <v xml:space="preserve">| 1 L INE @ | 3 P NS @ | 5 L JAVA % | 6 L NS % </v>
      </c>
      <c r="BY348" s="4" t="str">
        <f ca="1">IFERROR(__xludf.DUMMYFUNCTION("""COMPUTED_VALUE"""),"| 1 P PHP-CGM @ | 3 P CPT @ | 5 L NS % | 6 L CPT @ ")</f>
        <v xml:space="preserve">| 1 P PHP-CGM @ | 3 P CPT @ | 5 L NS % | 6 L CPT @ </v>
      </c>
      <c r="BZ348" s="4" t="str">
        <f ca="1">IFERROR(__xludf.DUMMYFUNCTION("""COMPUTED_VALUE"""),"| 1 P JAVA @ | 3 L CPT @ | 4 L PHP-CGM % | 5 P Python % ")</f>
        <v xml:space="preserve">| 1 P JAVA @ | 3 L CPT @ | 4 L PHP-CGM % | 5 P Python % </v>
      </c>
      <c r="CA348" s="4" t="str">
        <f ca="1">IFERROR(__xludf.DUMMYFUNCTION("""COMPUTED_VALUE"""),"| 1 P JAVA % | 3 L PHP-CGM % | 3 L JAVA % | 5 P PRO @ ")</f>
        <v xml:space="preserve">| 1 P JAVA % | 3 L PHP-CGM % | 3 L JAVA % | 5 P PRO @ </v>
      </c>
      <c r="CB348" s="4" t="str">
        <f ca="1">IFERROR(__xludf.DUMMYFUNCTION("""COMPUTED_VALUE"""),"| 1 L JAVA % | 2 L PHP-CGM % | 3 P Python @ | 6 L NS % | 5 L CPT % ")</f>
        <v xml:space="preserve">| 1 L JAVA % | 2 L PHP-CGM % | 3 P Python @ | 6 L NS % | 5 L CPT % </v>
      </c>
      <c r="CC348" s="4" t="str">
        <f ca="1">IFERROR(__xludf.DUMMYFUNCTION("""COMPUTED_VALUE"""),"| 1 L INE % | 3 P NS % | 5 L JAVA % | 6 L NS % ")</f>
        <v xml:space="preserve">| 1 L INE % | 3 P NS % | 5 L JAVA % | 6 L NS % </v>
      </c>
      <c r="CD348" s="4" t="str">
        <f ca="1">IFERROR(__xludf.DUMMYFUNCTION("""COMPUTED_VALUE"""),"| 1 P PHP-CGM @ | 3 P CPT % | 5 L NS % | 6 L CPT % ")</f>
        <v xml:space="preserve">| 1 P PHP-CGM @ | 3 P CPT % | 5 L NS % | 6 L CPT % </v>
      </c>
      <c r="CE348" s="4" t="str">
        <f ca="1">IFERROR(__xludf.DUMMYFUNCTION("""COMPUTED_VALUE"""),"| 1 P JAVA % | 3 L CPT @ | 4 L PHP-CGM % | 5 P Python % ")</f>
        <v xml:space="preserve">| 1 P JAVA % | 3 L CPT @ | 4 L PHP-CGM % | 5 P Python % </v>
      </c>
      <c r="CF348" s="4" t="str">
        <f ca="1">IFERROR(__xludf.DUMMYFUNCTION("""COMPUTED_VALUE"""),"| 1 P JAVA % | 4 L JAVA % | 3 L PHP-CGM @ | 5 L PRO % ")</f>
        <v xml:space="preserve">| 1 P JAVA % | 4 L JAVA % | 3 L PHP-CGM @ | 5 L PRO % </v>
      </c>
      <c r="CG348" s="4" t="str">
        <f ca="1">IFERROR(__xludf.DUMMYFUNCTION("""COMPUTED_VALUE"""),"| 1 L JAVA @ | 2 L PHP-CGM @ | 3 P Python @ | 6 L NS % ")</f>
        <v xml:space="preserve">| 1 L JAVA @ | 2 L PHP-CGM @ | 3 P Python @ | 6 L NS % </v>
      </c>
      <c r="CH348" s="4" t="str">
        <f ca="1">IFERROR(__xludf.DUMMYFUNCTION("""COMPUTED_VALUE"""),"| 1 L INE @ | 3 P NS % | 5 L JAVA @ | 6 L NS % ")</f>
        <v xml:space="preserve">| 1 L INE @ | 3 P NS % | 5 L JAVA @ | 6 L NS % </v>
      </c>
      <c r="CI348" s="4" t="str">
        <f ca="1">IFERROR(__xludf.DUMMYFUNCTION("""COMPUTED_VALUE"""),"| 3 P CPT % | 5 L NS @ | 6 L CPT @ ")</f>
        <v xml:space="preserve">| 3 P CPT % | 5 L NS @ | 6 L CPT @ </v>
      </c>
      <c r="CJ348" s="4" t="str">
        <f ca="1">IFERROR(__xludf.DUMMYFUNCTION("""COMPUTED_VALUE"""),"| 3 L CPT @ ")</f>
        <v xml:space="preserve">| 3 L CPT @ </v>
      </c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</row>
    <row r="349" spans="1:102" ht="12.5" x14ac:dyDescent="0.25">
      <c r="A349" s="3">
        <f ca="1">IFERROR(__xludf.DUMMYFUNCTION("""COMPUTED_VALUE"""),1)</f>
        <v>1</v>
      </c>
      <c r="B349" s="3" t="str">
        <f ca="1">IFERROR(__xludf.DUMMYFUNCTION("""COMPUTED_VALUE"""),"ITA")</f>
        <v>ITA</v>
      </c>
      <c r="C349" s="32" t="str">
        <f ca="1">IFERROR(__xludf.DUMMYFUNCTION("""COMPUTED_VALUE"""),"23291371020")</f>
        <v>23291371020</v>
      </c>
      <c r="D349" s="4" t="str">
        <f ca="1">IFERROR(__xludf.DUMMYFUNCTION("""COMPUTED_VALUE"""),"DANTANI ROSHANIBEN VERSHIBHAI")</f>
        <v>DANTANI ROSHANIBEN VERSHIBHAI</v>
      </c>
      <c r="E349" s="3" t="str">
        <f ca="1">IFERROR(__xludf.DUMMYFUNCTION("""COMPUTED_VALUE"""),"Sweety - Mor")</f>
        <v>Sweety - Mor</v>
      </c>
      <c r="F349" s="3">
        <f ca="1">IFERROR(__xludf.DUMMYFUNCTION("""COMPUTED_VALUE"""),9376944071)</f>
        <v>9376944071</v>
      </c>
      <c r="G349" s="3">
        <f ca="1">IFERROR(__xludf.DUMMYFUNCTION("""COMPUTED_VALUE"""),9376944071)</f>
        <v>9376944071</v>
      </c>
      <c r="H349" s="33">
        <f ca="1">IFERROR(__xludf.DUMMYFUNCTION("""COMPUTED_VALUE"""),0.580645161290322)</f>
        <v>0.58064516129032195</v>
      </c>
      <c r="I349" s="25">
        <f ca="1">IFERROR(__xludf.DUMMYFUNCTION("""COMPUTED_VALUE"""),0.485714285714285)</f>
        <v>0.48571428571428499</v>
      </c>
      <c r="J349" s="25">
        <f ca="1">IFERROR(__xludf.DUMMYFUNCTION("""COMPUTED_VALUE"""),0.769230769230769)</f>
        <v>0.76923076923076905</v>
      </c>
      <c r="K349" s="25">
        <f ca="1">IFERROR(__xludf.DUMMYFUNCTION("""COMPUTED_VALUE"""),0.416666666666666)</f>
        <v>0.41666666666666602</v>
      </c>
      <c r="L349" s="25">
        <f ca="1">IFERROR(__xludf.DUMMYFUNCTION("""COMPUTED_VALUE"""),0.636363636363636)</f>
        <v>0.63636363636363602</v>
      </c>
      <c r="M349" s="25">
        <f ca="1">IFERROR(__xludf.DUMMYFUNCTION("""COMPUTED_VALUE"""),0.736842105263157)</f>
        <v>0.73684210526315697</v>
      </c>
      <c r="N349" s="25">
        <f ca="1">IFERROR(__xludf.DUMMYFUNCTION("""COMPUTED_VALUE"""),0.545454545454545)</f>
        <v>0.54545454545454497</v>
      </c>
      <c r="O349" s="25">
        <f ca="1">IFERROR(__xludf.DUMMYFUNCTION("""COMPUTED_VALUE"""),0.611111111111111)</f>
        <v>0.61111111111111105</v>
      </c>
      <c r="P349" s="25">
        <f ca="1">IFERROR(__xludf.DUMMYFUNCTION("""COMPUTED_VALUE"""),0.708333333333333)</f>
        <v>0.70833333333333304</v>
      </c>
      <c r="Q349" s="25">
        <f ca="1">IFERROR(__xludf.DUMMYFUNCTION("""COMPUTED_VALUE"""),0)</f>
        <v>0</v>
      </c>
      <c r="R349" s="25">
        <f ca="1">IFERROR(__xludf.DUMMYFUNCTION("""COMPUTED_VALUE"""),0.458333333333333)</f>
        <v>0.45833333333333298</v>
      </c>
      <c r="S349" s="25">
        <f ca="1">IFERROR(__xludf.DUMMYFUNCTION("""COMPUTED_VALUE"""),0.666666666666666)</f>
        <v>0.66666666666666596</v>
      </c>
      <c r="T349" s="25">
        <f ca="1">IFERROR(__xludf.DUMMYFUNCTION("""COMPUTED_VALUE"""),0.666666666666666)</f>
        <v>0.66666666666666596</v>
      </c>
      <c r="U349" s="25">
        <f ca="1">IFERROR(__xludf.DUMMYFUNCTION("""COMPUTED_VALUE"""),0.375)</f>
        <v>0.375</v>
      </c>
      <c r="V349" s="25">
        <f ca="1">IFERROR(__xludf.DUMMYFUNCTION("""COMPUTED_VALUE"""),0)</f>
        <v>0</v>
      </c>
      <c r="W349" s="4"/>
      <c r="X349" s="4" t="str">
        <f ca="1">IFERROR(__xludf.DUMMYFUNCTION("""COMPUTED_VALUE"""),"| 1 P JAVA % | 4 L JAVA % | 3 L PHP-CGM % | 1 L PRO @ ")</f>
        <v xml:space="preserve">| 1 P JAVA % | 4 L JAVA % | 3 L PHP-CGM % | 1 L PRO @ </v>
      </c>
      <c r="Y34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Z349" s="4" t="str">
        <f ca="1">IFERROR(__xludf.DUMMYFUNCTION("""COMPUTED_VALUE"""),"| 3 P NS % | 5 L JAVA % | 6 L NS % ")</f>
        <v xml:space="preserve">| 3 P NS % | 5 L JAVA % | 6 L NS % </v>
      </c>
      <c r="AA349" s="4" t="str">
        <f ca="1">IFERROR(__xludf.DUMMYFUNCTION("""COMPUTED_VALUE"""),"| 3 P CPT % | 5 L NS % | 6 L CPT % ")</f>
        <v xml:space="preserve">| 3 P CPT % | 5 L NS % | 6 L CPT % </v>
      </c>
      <c r="AB349" s="4" t="str">
        <f ca="1">IFERROR(__xludf.DUMMYFUNCTION("""COMPUTED_VALUE"""),"| 1 P JAVA % | 3 L CPT % | 4 L PHP-CGM % | 5 P Python @ ")</f>
        <v xml:space="preserve">| 1 P JAVA % | 3 L CPT % | 4 L PHP-CGM % | 5 P Python @ </v>
      </c>
      <c r="AC349" s="4" t="str">
        <f ca="1">IFERROR(__xludf.DUMMYFUNCTION("""COMPUTED_VALUE"""),"| 1 P JAVA % | 3 L PHP-CGM % | 5 P PRO @ ")</f>
        <v xml:space="preserve">| 1 P JAVA % | 3 L PHP-CGM % | 5 P PRO @ </v>
      </c>
      <c r="AD349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49" s="4" t="str">
        <f ca="1">IFERROR(__xludf.DUMMYFUNCTION("""COMPUTED_VALUE"""),"| 3 P NS @ | 5 L JAVA @ | 6 L NS @ ")</f>
        <v xml:space="preserve">| 3 P NS @ | 5 L JAVA @ | 6 L NS @ </v>
      </c>
      <c r="AF349" s="4" t="str">
        <f ca="1">IFERROR(__xludf.DUMMYFUNCTION("""COMPUTED_VALUE"""),"| 1 P PHP-CGM @ | 3 P CPT % | 5 L NS % | 6 L CPT % ")</f>
        <v xml:space="preserve">| 1 P PHP-CGM @ | 3 P CPT % | 5 L NS % | 6 L CPT % </v>
      </c>
      <c r="AG349" s="4" t="str">
        <f ca="1">IFERROR(__xludf.DUMMYFUNCTION("""COMPUTED_VALUE"""),"| 1 P JAVA % | 3 L CPT % | 4 L PHP-CGM % | 5 P Python @ ")</f>
        <v xml:space="preserve">| 1 P JAVA % | 3 L CPT % | 4 L PHP-CGM % | 5 P Python @ </v>
      </c>
      <c r="AH349" s="4" t="str">
        <f ca="1">IFERROR(__xludf.DUMMYFUNCTION("""COMPUTED_VALUE"""),"| 1 P PHP-CGM % | 3 P CPT % | 5 L NS % | 6 L CPT @ ")</f>
        <v xml:space="preserve">| 1 P PHP-CGM % | 3 P CPT % | 5 L NS % | 6 L CPT @ </v>
      </c>
      <c r="AI349" s="4" t="str">
        <f ca="1">IFERROR(__xludf.DUMMYFUNCTION("""COMPUTED_VALUE"""),"| 1 P JAVA % | 3 L CPT % | 4 L PHP-CGM % | 5 P Python % ")</f>
        <v xml:space="preserve">| 1 P JAVA % | 3 L CPT % | 4 L PHP-CGM % | 5 P Python % </v>
      </c>
      <c r="AJ349" s="4" t="str">
        <f ca="1">IFERROR(__xludf.DUMMYFUNCTION("""COMPUTED_VALUE"""),"| 1 P JAVA % | 3 L PHP-CGM % | 4 L JAVA % | 5 P PRO % ")</f>
        <v xml:space="preserve">| 1 P JAVA % | 3 L PHP-CGM % | 4 L JAVA % | 5 P PRO % </v>
      </c>
      <c r="AK349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AL349" s="4" t="str">
        <f ca="1">IFERROR(__xludf.DUMMYFUNCTION("""COMPUTED_VALUE"""),"| 3 P NS % | 5 L JAVA % | 6 L NS % ")</f>
        <v xml:space="preserve">| 3 P NS % | 5 L JAVA % | 6 L NS % </v>
      </c>
      <c r="AM349" s="4" t="str">
        <f ca="1">IFERROR(__xludf.DUMMYFUNCTION("""COMPUTED_VALUE"""),"| 1 P PHP-CGM % | 3 P CPT % | 5 L NS @ | 6 L CPT @ ")</f>
        <v xml:space="preserve">| 1 P PHP-CGM % | 3 P CPT % | 5 L NS @ | 6 L CPT @ </v>
      </c>
      <c r="AN349" s="4" t="str">
        <f ca="1">IFERROR(__xludf.DUMMYFUNCTION("""COMPUTED_VALUE"""),"| 1 P JAVA @ | 4 L PHP-CGM % | 5 P Python @ ")</f>
        <v xml:space="preserve">| 1 P JAVA @ | 4 L PHP-CGM % | 5 P Python @ </v>
      </c>
      <c r="AO349" s="4" t="str">
        <f ca="1">IFERROR(__xludf.DUMMYFUNCTION("""COMPUTED_VALUE"""),"| 1 P JAVA @ | 3 L PHP-CGM @ | 4 L JAVA @ | 5 P PRO @ ")</f>
        <v xml:space="preserve">| 1 P JAVA @ | 3 L PHP-CGM @ | 4 L JAVA @ | 5 P PRO @ </v>
      </c>
      <c r="AP349" s="4" t="str">
        <f ca="1">IFERROR(__xludf.DUMMYFUNCTION("""COMPUTED_VALUE"""),"| 1 L JAVA % | 2 L PHP-CGM % | 3 P Python @ | 5 L CPT @ | 6 L NS @ ")</f>
        <v xml:space="preserve">| 1 L JAVA % | 2 L PHP-CGM % | 3 P Python @ | 5 L CPT @ | 6 L NS @ </v>
      </c>
      <c r="AQ349" s="4" t="str">
        <f ca="1">IFERROR(__xludf.DUMMYFUNCTION("""COMPUTED_VALUE"""),"| 1 L INE @ | 3 P NS @ | 5 L JAVA @ | 6 L NS @ ")</f>
        <v xml:space="preserve">| 1 L INE @ | 3 P NS @ | 5 L JAVA @ | 6 L NS @ </v>
      </c>
      <c r="AR349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49" s="4" t="str">
        <f ca="1">IFERROR(__xludf.DUMMYFUNCTION("""COMPUTED_VALUE"""),"| 1 P JAVA % | 3 L PHP-CGM % | 4 L JAVA % | 5 P PRO % ")</f>
        <v xml:space="preserve">| 1 P JAVA % | 3 L PHP-CGM % | 4 L JAVA % | 5 P PRO % </v>
      </c>
      <c r="AT349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49" s="4" t="str">
        <f ca="1">IFERROR(__xludf.DUMMYFUNCTION("""COMPUTED_VALUE"""),"| 1 L INE % | 3 P NS % | 5 L JAVA @ | 6 L NS @ ")</f>
        <v xml:space="preserve">| 1 L INE % | 3 P NS % | 5 L JAVA @ | 6 L NS @ </v>
      </c>
      <c r="AV349" s="4" t="str">
        <f ca="1">IFERROR(__xludf.DUMMYFUNCTION("""COMPUTED_VALUE"""),"| 1 P PHP-CGM @ | 3 P CPT % | 5 L NS % | 6 L CPT % ")</f>
        <v xml:space="preserve">| 1 P PHP-CGM @ | 3 P CPT % | 5 L NS % | 6 L CPT % </v>
      </c>
      <c r="AW349" s="4" t="str">
        <f ca="1">IFERROR(__xludf.DUMMYFUNCTION("""COMPUTED_VALUE"""),"| 1 P JAVA % | 3 L CPT % | 4 L PHP-CGM % | 5 P Python % ")</f>
        <v xml:space="preserve">| 1 P JAVA % | 3 L CPT % | 4 L PHP-CGM % | 5 P Python % </v>
      </c>
      <c r="AX349" s="4" t="str">
        <f ca="1">IFERROR(__xludf.DUMMYFUNCTION("""COMPUTED_VALUE"""),"| 1 P JAVA % | 3 L JAVA % | 4 L PHP-CGM % | 5 P PRO % ")</f>
        <v xml:space="preserve">| 1 P JAVA % | 3 L JAVA % | 4 L PHP-CGM % | 5 P PRO % </v>
      </c>
      <c r="AY349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49" s="4" t="str">
        <f ca="1">IFERROR(__xludf.DUMMYFUNCTION("""COMPUTED_VALUE"""),"| 1 P PHP-CGM % | 3 P CPT % | 5 L NS @ | 6 L CPT @ ")</f>
        <v xml:space="preserve">| 1 P PHP-CGM % | 3 P CPT % | 5 L NS @ | 6 L CPT @ </v>
      </c>
      <c r="BA349" s="4" t="str">
        <f ca="1">IFERROR(__xludf.DUMMYFUNCTION("""COMPUTED_VALUE"""),"| 1 P JAVA @ | 3 L CPT @ | 4 L PHP-CGM @ | 5 P Python @ ")</f>
        <v xml:space="preserve">| 1 P JAVA @ | 3 L CPT @ | 4 L PHP-CGM @ | 5 P Python @ </v>
      </c>
      <c r="BB349" s="4" t="str">
        <f ca="1">IFERROR(__xludf.DUMMYFUNCTION("""COMPUTED_VALUE"""),"| 1 P JAVA % | 3 L PHP-CGM % | 4 L JAVA % | 5 L PRO % ")</f>
        <v xml:space="preserve">| 1 P JAVA % | 3 L PHP-CGM % | 4 L JAVA % | 5 L PRO % </v>
      </c>
      <c r="BC34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D349" s="4" t="str">
        <f ca="1">IFERROR(__xludf.DUMMYFUNCTION("""COMPUTED_VALUE"""),"| 1 L INE % | 3 P NS % | 5 L JAVA % | 6 L NS % ")</f>
        <v xml:space="preserve">| 1 L INE % | 3 P NS % | 5 L JAVA % | 6 L NS % </v>
      </c>
      <c r="BE349" s="4" t="str">
        <f ca="1">IFERROR(__xludf.DUMMYFUNCTION("""COMPUTED_VALUE"""),"| 1 P PHP-CGM % | 3 P CPT % | 5 L NS @ | 6 L CPT @ ")</f>
        <v xml:space="preserve">| 1 P PHP-CGM % | 3 P CPT % | 5 L NS @ | 6 L CPT @ </v>
      </c>
      <c r="BF349" s="4" t="str">
        <f ca="1">IFERROR(__xludf.DUMMYFUNCTION("""COMPUTED_VALUE"""),"| 1 P JAVA @ | 3 L CPT @ | 4 L PHP-CGM @ | 5 P Python @ ")</f>
        <v xml:space="preserve">| 1 P JAVA @ | 3 L CPT @ | 4 L PHP-CGM @ | 5 P Python @ </v>
      </c>
      <c r="BG34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H349" s="4" t="str">
        <f ca="1">IFERROR(__xludf.DUMMYFUNCTION("""COMPUTED_VALUE"""),"| 1 L INE @ | 3 P NS @ | 5 L JAVA @ | 6 L NS @ ")</f>
        <v xml:space="preserve">| 1 L INE @ | 3 P NS @ | 5 L JAVA @ | 6 L NS @ </v>
      </c>
      <c r="BI349" s="4" t="str">
        <f ca="1">IFERROR(__xludf.DUMMYFUNCTION("""COMPUTED_VALUE"""),"| 1 P PHP-CGM @ | 3 P CPT @ | 5 L NS @ | 6 L CPT @ ")</f>
        <v xml:space="preserve">| 1 P PHP-CGM @ | 3 P CPT @ | 5 L NS @ | 6 L CPT @ </v>
      </c>
      <c r="BJ349" s="4" t="str">
        <f ca="1">IFERROR(__xludf.DUMMYFUNCTION("""COMPUTED_VALUE"""),"| 1 P JAVA @ | 3 L CPT @ | 4 L PHP-CGM @ | 5 P Python @ ")</f>
        <v xml:space="preserve">| 1 P JAVA @ | 3 L CPT @ | 4 L PHP-CGM @ | 5 P Python @ </v>
      </c>
      <c r="BK349" s="4" t="str">
        <f ca="1">IFERROR(__xludf.DUMMYFUNCTION("""COMPUTED_VALUE"""),"| 1 P JAVA % | 3 L PHP-CGM @ | 4 L JAVA @ | 5 P PRO % ")</f>
        <v xml:space="preserve">| 1 P JAVA % | 3 L PHP-CGM @ | 4 L JAVA @ | 5 P PRO % </v>
      </c>
      <c r="BL349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49" s="4" t="str">
        <f ca="1">IFERROR(__xludf.DUMMYFUNCTION("""COMPUTED_VALUE"""),"| 1 L INE @ | 3 P NS % | 5 L JAVA @ | 6 L NS @ ")</f>
        <v xml:space="preserve">| 1 L INE @ | 3 P NS % | 5 L JAVA @ | 6 L NS @ </v>
      </c>
      <c r="BN349" s="4" t="str">
        <f ca="1">IFERROR(__xludf.DUMMYFUNCTION("""COMPUTED_VALUE"""),"| 1 P PHP-CGM % | 3 P CPT % | 5 L NS % | 6 L CPT % ")</f>
        <v xml:space="preserve">| 1 P PHP-CGM % | 3 P CPT % | 5 L NS % | 6 L CPT % </v>
      </c>
      <c r="BO349" s="4" t="str">
        <f ca="1">IFERROR(__xludf.DUMMYFUNCTION("""COMPUTED_VALUE"""),"| 1 P JAVA % | 4 L PHP-CGM % | 3 L CPT % | 5 P Python % ")</f>
        <v xml:space="preserve">| 1 P JAVA % | 4 L PHP-CGM % | 3 L CPT % | 5 P Python % </v>
      </c>
      <c r="BP349" s="4" t="str">
        <f ca="1">IFERROR(__xludf.DUMMYFUNCTION("""COMPUTED_VALUE"""),"| 1 P JAVA % | 3 L PHP-CGM % | 4 L JAVA % | 5 P PRO % ")</f>
        <v xml:space="preserve">| 1 P JAVA % | 3 L PHP-CGM % | 4 L JAVA % | 5 P PRO % </v>
      </c>
      <c r="BQ349" s="4" t="str">
        <f ca="1">IFERROR(__xludf.DUMMYFUNCTION("""COMPUTED_VALUE"""),"| 6 L NS % | 5 L JAVA % ")</f>
        <v xml:space="preserve">| 6 L NS % | 5 L JAVA % </v>
      </c>
      <c r="BR349" s="4"/>
      <c r="BS349" s="4" t="str">
        <f ca="1">IFERROR(__xludf.DUMMYFUNCTION("""COMPUTED_VALUE"""),"| 4 L PHP-CGM % ")</f>
        <v xml:space="preserve">| 4 L PHP-CGM % </v>
      </c>
      <c r="BT349" s="4" t="str">
        <f ca="1">IFERROR(__xludf.DUMMYFUNCTION("""COMPUTED_VALUE"""),"| 1 P JAVA % | 3 L PHP-CGM % ")</f>
        <v xml:space="preserve">| 1 P JAVA % | 3 L PHP-CGM % </v>
      </c>
      <c r="BU349" s="4" t="str">
        <f ca="1">IFERROR(__xludf.DUMMYFUNCTION("""COMPUTED_VALUE"""),"| 1 L JAVA % | 2 L PHP-CGM % | 3 P Python % ")</f>
        <v xml:space="preserve">| 1 L JAVA % | 2 L PHP-CGM % | 3 P Python % </v>
      </c>
      <c r="BV349" s="4" t="str">
        <f ca="1">IFERROR(__xludf.DUMMYFUNCTION("""COMPUTED_VALUE"""),"| 1 P JAVA % | 3 L PHP-CGM % | 4 L JAVA % | 5 P PRO % ")</f>
        <v xml:space="preserve">| 1 P JAVA % | 3 L PHP-CGM % | 4 L JAVA % | 5 P PRO % </v>
      </c>
      <c r="BW349" s="4" t="str">
        <f ca="1">IFERROR(__xludf.DUMMYFUNCTION("""COMPUTED_VALUE"""),"| 1 L JAVA % | 2 L PHP-CGM % | 3 P Python % ")</f>
        <v xml:space="preserve">| 1 L JAVA % | 2 L PHP-CGM % | 3 P Python % </v>
      </c>
      <c r="BX349" s="4" t="str">
        <f ca="1">IFERROR(__xludf.DUMMYFUNCTION("""COMPUTED_VALUE"""),"| 1 L INE @ | 3 P NS @ | 5 L JAVA @ | 6 L NS @ ")</f>
        <v xml:space="preserve">| 1 L INE @ | 3 P NS @ | 5 L JAVA @ | 6 L NS @ </v>
      </c>
      <c r="BY349" s="4" t="str">
        <f ca="1">IFERROR(__xludf.DUMMYFUNCTION("""COMPUTED_VALUE"""),"| 1 P PHP-CGM % | 3 P CPT % | 5 L NS % | 6 L CPT % ")</f>
        <v xml:space="preserve">| 1 P PHP-CGM % | 3 P CPT % | 5 L NS % | 6 L CPT % </v>
      </c>
      <c r="BZ349" s="4" t="str">
        <f ca="1">IFERROR(__xludf.DUMMYFUNCTION("""COMPUTED_VALUE"""),"| 1 P JAVA % | 3 L CPT % | 4 L PHP-CGM % | 5 P Python @ ")</f>
        <v xml:space="preserve">| 1 P JAVA % | 3 L CPT % | 4 L PHP-CGM % | 5 P Python @ </v>
      </c>
      <c r="CA349" s="4" t="str">
        <f ca="1">IFERROR(__xludf.DUMMYFUNCTION("""COMPUTED_VALUE"""),"| 1 P JAVA @ | 3 L PHP-CGM @ | 3 L JAVA @ | 5 P PRO @ ")</f>
        <v xml:space="preserve">| 1 P JAVA @ | 3 L PHP-CGM @ | 3 L JAVA @ | 5 P PRO @ </v>
      </c>
      <c r="CB349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CC349" s="4" t="str">
        <f ca="1">IFERROR(__xludf.DUMMYFUNCTION("""COMPUTED_VALUE"""),"| 1 L INE % | 3 P NS % | 5 L JAVA % | 6 L NS % ")</f>
        <v xml:space="preserve">| 1 L INE % | 3 P NS % | 5 L JAVA % | 6 L NS % </v>
      </c>
      <c r="CD349" s="4" t="str">
        <f ca="1">IFERROR(__xludf.DUMMYFUNCTION("""COMPUTED_VALUE"""),"| 1 P PHP-CGM @ | 3 P CPT @ | 5 L NS @ | 6 L CPT @ ")</f>
        <v xml:space="preserve">| 1 P PHP-CGM @ | 3 P CPT @ | 5 L NS @ | 6 L CPT @ </v>
      </c>
      <c r="CE349" s="4" t="str">
        <f ca="1">IFERROR(__xludf.DUMMYFUNCTION("""COMPUTED_VALUE"""),"| 1 P JAVA @ | 3 L CPT % | 4 L PHP-CGM % | 5 P Python % ")</f>
        <v xml:space="preserve">| 1 P JAVA @ | 3 L CPT % | 4 L PHP-CGM % | 5 P Python % </v>
      </c>
      <c r="CF349" s="4" t="str">
        <f ca="1">IFERROR(__xludf.DUMMYFUNCTION("""COMPUTED_VALUE"""),"| 1 P JAVA % | 4 L JAVA % | 3 L PHP-CGM % | 5 L PRO % ")</f>
        <v xml:space="preserve">| 1 P JAVA % | 4 L JAVA % | 3 L PHP-CGM % | 5 L PRO % </v>
      </c>
      <c r="CG349" s="4" t="str">
        <f ca="1">IFERROR(__xludf.DUMMYFUNCTION("""COMPUTED_VALUE"""),"| 1 L JAVA % | 2 L PHP-CGM % | 3 P Python % | 6 L NS @ ")</f>
        <v xml:space="preserve">| 1 L JAVA % | 2 L PHP-CGM % | 3 P Python % | 6 L NS @ </v>
      </c>
      <c r="CH349" s="4" t="str">
        <f ca="1">IFERROR(__xludf.DUMMYFUNCTION("""COMPUTED_VALUE"""),"| 1 L INE @ | 3 P NS % | 5 L JAVA @ | 6 L NS @ ")</f>
        <v xml:space="preserve">| 1 L INE @ | 3 P NS % | 5 L JAVA @ | 6 L NS @ </v>
      </c>
      <c r="CI349" s="4" t="str">
        <f ca="1">IFERROR(__xludf.DUMMYFUNCTION("""COMPUTED_VALUE"""),"| 3 P CPT % | 5 L NS @ | 6 L CPT @ ")</f>
        <v xml:space="preserve">| 3 P CPT % | 5 L NS @ | 6 L CPT @ </v>
      </c>
      <c r="CJ349" s="4" t="str">
        <f ca="1">IFERROR(__xludf.DUMMYFUNCTION("""COMPUTED_VALUE"""),"| 3 L CPT @ ")</f>
        <v xml:space="preserve">| 3 L CPT @ </v>
      </c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</row>
    <row r="350" spans="1:102" ht="12.5" x14ac:dyDescent="0.25">
      <c r="A350" s="3">
        <f ca="1">IFERROR(__xludf.DUMMYFUNCTION("""COMPUTED_VALUE"""),1)</f>
        <v>1</v>
      </c>
      <c r="B350" s="3" t="str">
        <f ca="1">IFERROR(__xludf.DUMMYFUNCTION("""COMPUTED_VALUE"""),"ITA")</f>
        <v>ITA</v>
      </c>
      <c r="C350" s="32" t="str">
        <f ca="1">IFERROR(__xludf.DUMMYFUNCTION("""COMPUTED_VALUE"""),"23291371021")</f>
        <v>23291371021</v>
      </c>
      <c r="D350" s="4" t="str">
        <f ca="1">IFERROR(__xludf.DUMMYFUNCTION("""COMPUTED_VALUE"""),"DARJI KUSH RAMESHBHAIJ")</f>
        <v>DARJI KUSH RAMESHBHAIJ</v>
      </c>
      <c r="E350" s="3" t="str">
        <f ca="1">IFERROR(__xludf.DUMMYFUNCTION("""COMPUTED_VALUE"""),"Sweety - Mor")</f>
        <v>Sweety - Mor</v>
      </c>
      <c r="F350" s="3">
        <f ca="1">IFERROR(__xludf.DUMMYFUNCTION("""COMPUTED_VALUE"""),9978795476)</f>
        <v>9978795476</v>
      </c>
      <c r="G350" s="3"/>
      <c r="H350" s="33">
        <f ca="1">IFERROR(__xludf.DUMMYFUNCTION("""COMPUTED_VALUE"""),0.693548387096774)</f>
        <v>0.69354838709677402</v>
      </c>
      <c r="I350" s="25">
        <f ca="1">IFERROR(__xludf.DUMMYFUNCTION("""COMPUTED_VALUE"""),0.571428571428571)</f>
        <v>0.57142857142857095</v>
      </c>
      <c r="J350" s="25">
        <f ca="1">IFERROR(__xludf.DUMMYFUNCTION("""COMPUTED_VALUE"""),0.846153846153846)</f>
        <v>0.84615384615384603</v>
      </c>
      <c r="K350" s="25">
        <f ca="1">IFERROR(__xludf.DUMMYFUNCTION("""COMPUTED_VALUE"""),0.472222222222222)</f>
        <v>0.47222222222222199</v>
      </c>
      <c r="L350" s="25">
        <f ca="1">IFERROR(__xludf.DUMMYFUNCTION("""COMPUTED_VALUE"""),0.727272727272727)</f>
        <v>0.72727272727272696</v>
      </c>
      <c r="M350" s="25">
        <f ca="1">IFERROR(__xludf.DUMMYFUNCTION("""COMPUTED_VALUE"""),0.868421052631579)</f>
        <v>0.86842105263157898</v>
      </c>
      <c r="N350" s="25">
        <f ca="1">IFERROR(__xludf.DUMMYFUNCTION("""COMPUTED_VALUE"""),0.818181818181818)</f>
        <v>0.81818181818181801</v>
      </c>
      <c r="O350" s="25">
        <f ca="1">IFERROR(__xludf.DUMMYFUNCTION("""COMPUTED_VALUE"""),0.75)</f>
        <v>0.75</v>
      </c>
      <c r="P350" s="25">
        <f ca="1">IFERROR(__xludf.DUMMYFUNCTION("""COMPUTED_VALUE"""),0.833333333333333)</f>
        <v>0.83333333333333304</v>
      </c>
      <c r="Q350" s="25">
        <f ca="1">IFERROR(__xludf.DUMMYFUNCTION("""COMPUTED_VALUE"""),0)</f>
        <v>0</v>
      </c>
      <c r="R350" s="25">
        <f ca="1">IFERROR(__xludf.DUMMYFUNCTION("""COMPUTED_VALUE"""),0.75)</f>
        <v>0.75</v>
      </c>
      <c r="S350" s="25">
        <f ca="1">IFERROR(__xludf.DUMMYFUNCTION("""COMPUTED_VALUE"""),0.333333333333333)</f>
        <v>0.33333333333333298</v>
      </c>
      <c r="T350" s="25">
        <f ca="1">IFERROR(__xludf.DUMMYFUNCTION("""COMPUTED_VALUE"""),0.555555555555555)</f>
        <v>0.55555555555555503</v>
      </c>
      <c r="U350" s="25">
        <f ca="1">IFERROR(__xludf.DUMMYFUNCTION("""COMPUTED_VALUE"""),0.375)</f>
        <v>0.375</v>
      </c>
      <c r="V350" s="25">
        <f ca="1">IFERROR(__xludf.DUMMYFUNCTION("""COMPUTED_VALUE"""),0)</f>
        <v>0</v>
      </c>
      <c r="W350" s="4"/>
      <c r="X350" s="4" t="str">
        <f ca="1">IFERROR(__xludf.DUMMYFUNCTION("""COMPUTED_VALUE"""),"| 1 P JAVA @ | 4 L JAVA @ | 3 L PHP-CGM @ | 1 L PRO @ ")</f>
        <v xml:space="preserve">| 1 P JAVA @ | 4 L JAVA @ | 3 L PHP-CGM @ | 1 L PRO @ </v>
      </c>
      <c r="Y350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Z350" s="4" t="str">
        <f ca="1">IFERROR(__xludf.DUMMYFUNCTION("""COMPUTED_VALUE"""),"| 3 P NS % | 5 L JAVA % | 6 L NS % ")</f>
        <v xml:space="preserve">| 3 P NS % | 5 L JAVA % | 6 L NS % </v>
      </c>
      <c r="AA350" s="4" t="str">
        <f ca="1">IFERROR(__xludf.DUMMYFUNCTION("""COMPUTED_VALUE"""),"| 3 P CPT % | 5 L NS @ | 6 L CPT @ ")</f>
        <v xml:space="preserve">| 3 P CPT % | 5 L NS @ | 6 L CPT @ </v>
      </c>
      <c r="AB350" s="4" t="str">
        <f ca="1">IFERROR(__xludf.DUMMYFUNCTION("""COMPUTED_VALUE"""),"| 1 P JAVA % | 3 L CPT % | 4 L PHP-CGM % | 5 P Python % ")</f>
        <v xml:space="preserve">| 1 P JAVA % | 3 L CPT % | 4 L PHP-CGM % | 5 P Python % </v>
      </c>
      <c r="AC350" s="4" t="str">
        <f ca="1">IFERROR(__xludf.DUMMYFUNCTION("""COMPUTED_VALUE"""),"| 1 P JAVA % | 3 L PHP-CGM % | 5 P PRO % ")</f>
        <v xml:space="preserve">| 1 P JAVA % | 3 L PHP-CGM % | 5 P PRO % </v>
      </c>
      <c r="AD350" s="4" t="str">
        <f ca="1">IFERROR(__xludf.DUMMYFUNCTION("""COMPUTED_VALUE"""),"| 1 L JAVA % | 2 L PHP-CGM @ | 3 P Python % | 6 L NS % | 5 L CPT % ")</f>
        <v xml:space="preserve">| 1 L JAVA % | 2 L PHP-CGM @ | 3 P Python % | 6 L NS % | 5 L CPT % </v>
      </c>
      <c r="AE350" s="4" t="str">
        <f ca="1">IFERROR(__xludf.DUMMYFUNCTION("""COMPUTED_VALUE"""),"| 3 P NS % | 5 L JAVA % | 6 L NS % ")</f>
        <v xml:space="preserve">| 3 P NS % | 5 L JAVA % | 6 L NS % </v>
      </c>
      <c r="AF350" s="4" t="str">
        <f ca="1">IFERROR(__xludf.DUMMYFUNCTION("""COMPUTED_VALUE"""),"| 1 P PHP-CGM % | 3 P CPT % | 5 L NS % | 6 L CPT % ")</f>
        <v xml:space="preserve">| 1 P PHP-CGM % | 3 P CPT % | 5 L NS % | 6 L CPT % </v>
      </c>
      <c r="AG350" s="4" t="str">
        <f ca="1">IFERROR(__xludf.DUMMYFUNCTION("""COMPUTED_VALUE"""),"| 1 P JAVA % | 3 L CPT % | 4 L PHP-CGM % | 5 P Python % ")</f>
        <v xml:space="preserve">| 1 P JAVA % | 3 L CPT % | 4 L PHP-CGM % | 5 P Python % </v>
      </c>
      <c r="AH350" s="4" t="str">
        <f ca="1">IFERROR(__xludf.DUMMYFUNCTION("""COMPUTED_VALUE"""),"| 1 P PHP-CGM @ | 3 P CPT @ | 5 L NS @ | 6 L CPT @ ")</f>
        <v xml:space="preserve">| 1 P PHP-CGM @ | 3 P CPT @ | 5 L NS @ | 6 L CPT @ </v>
      </c>
      <c r="AI350" s="4" t="str">
        <f ca="1">IFERROR(__xludf.DUMMYFUNCTION("""COMPUTED_VALUE"""),"| 1 P JAVA % | 3 L CPT % | 4 L PHP-CGM % | 5 P Python % ")</f>
        <v xml:space="preserve">| 1 P JAVA % | 3 L CPT % | 4 L PHP-CGM % | 5 P Python % </v>
      </c>
      <c r="AJ350" s="4" t="str">
        <f ca="1">IFERROR(__xludf.DUMMYFUNCTION("""COMPUTED_VALUE"""),"| 1 P JAVA % | 3 L PHP-CGM % | 4 L JAVA % | 5 P PRO @ ")</f>
        <v xml:space="preserve">| 1 P JAVA % | 3 L PHP-CGM % | 4 L JAVA % | 5 P PRO @ </v>
      </c>
      <c r="AK35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0" s="4" t="str">
        <f ca="1">IFERROR(__xludf.DUMMYFUNCTION("""COMPUTED_VALUE"""),"| 3 P NS % | 5 L JAVA % | 6 L NS % ")</f>
        <v xml:space="preserve">| 3 P NS % | 5 L JAVA % | 6 L NS % </v>
      </c>
      <c r="AM350" s="4" t="str">
        <f ca="1">IFERROR(__xludf.DUMMYFUNCTION("""COMPUTED_VALUE"""),"| 1 P PHP-CGM % | 3 P CPT % | 5 L NS @ | 6 L CPT @ ")</f>
        <v xml:space="preserve">| 1 P PHP-CGM % | 3 P CPT % | 5 L NS @ | 6 L CPT @ </v>
      </c>
      <c r="AN350" s="4" t="str">
        <f ca="1">IFERROR(__xludf.DUMMYFUNCTION("""COMPUTED_VALUE"""),"| 1 P JAVA % | 4 L PHP-CGM % | 5 P Python % ")</f>
        <v xml:space="preserve">| 1 P JAVA % | 4 L PHP-CGM % | 5 P Python % </v>
      </c>
      <c r="AO350" s="4" t="str">
        <f ca="1">IFERROR(__xludf.DUMMYFUNCTION("""COMPUTED_VALUE"""),"| 1 P JAVA % | 3 L PHP-CGM % | 4 L JAVA % | 5 P PRO % ")</f>
        <v xml:space="preserve">| 1 P JAVA % | 3 L PHP-CGM % | 4 L JAVA % | 5 P PRO % </v>
      </c>
      <c r="AP35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50" s="4" t="str">
        <f ca="1">IFERROR(__xludf.DUMMYFUNCTION("""COMPUTED_VALUE"""),"| 1 L INE @ | 3 P NS @ | 5 L JAVA @ | 6 L NS @ ")</f>
        <v xml:space="preserve">| 1 L INE @ | 3 P NS @ | 5 L JAVA @ | 6 L NS @ </v>
      </c>
      <c r="AR350" s="4" t="str">
        <f ca="1">IFERROR(__xludf.DUMMYFUNCTION("""COMPUTED_VALUE"""),"| 1 P PHP-CGM % | 3 L CPT % | 3 P CPT % | 5 L NS @ | 6 L CPT @ ")</f>
        <v xml:space="preserve">| 1 P PHP-CGM % | 3 L CPT % | 3 P CPT % | 5 L NS @ | 6 L CPT @ </v>
      </c>
      <c r="AS350" s="4" t="str">
        <f ca="1">IFERROR(__xludf.DUMMYFUNCTION("""COMPUTED_VALUE"""),"| 1 P JAVA @ | 3 L PHP-CGM % | 4 L JAVA % | 5 P PRO % ")</f>
        <v xml:space="preserve">| 1 P JAVA @ | 3 L PHP-CGM % | 4 L JAVA % | 5 P PRO % </v>
      </c>
      <c r="AT35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50" s="4" t="str">
        <f ca="1">IFERROR(__xludf.DUMMYFUNCTION("""COMPUTED_VALUE"""),"| 1 L INE % | 3 P NS % | 5 L JAVA % | 6 L NS % ")</f>
        <v xml:space="preserve">| 1 L INE % | 3 P NS % | 5 L JAVA % | 6 L NS % </v>
      </c>
      <c r="AV350" s="4" t="str">
        <f ca="1">IFERROR(__xludf.DUMMYFUNCTION("""COMPUTED_VALUE"""),"| 1 P PHP-CGM % | 3 P CPT % | 5 L NS @ | 6 L CPT % ")</f>
        <v xml:space="preserve">| 1 P PHP-CGM % | 3 P CPT % | 5 L NS @ | 6 L CPT % </v>
      </c>
      <c r="AW350" s="4" t="str">
        <f ca="1">IFERROR(__xludf.DUMMYFUNCTION("""COMPUTED_VALUE"""),"| 1 P JAVA @ | 3 L CPT % | 4 L PHP-CGM % | 5 P Python % ")</f>
        <v xml:space="preserve">| 1 P JAVA @ | 3 L CPT % | 4 L PHP-CGM % | 5 P Python % </v>
      </c>
      <c r="AX350" s="4" t="str">
        <f ca="1">IFERROR(__xludf.DUMMYFUNCTION("""COMPUTED_VALUE"""),"| 1 P JAVA % | 3 L JAVA % | 4 L PHP-CGM % | 5 P PRO % ")</f>
        <v xml:space="preserve">| 1 P JAVA % | 3 L JAVA % | 4 L PHP-CGM % | 5 P PRO % </v>
      </c>
      <c r="AY350" s="4" t="str">
        <f ca="1">IFERROR(__xludf.DUMMYFUNCTION("""COMPUTED_VALUE"""),"| 2 L PHP-CGM % | 3 P Python % | 5 L CPT @ | 6 L NS @ | 1 L JAVA % ")</f>
        <v xml:space="preserve">| 2 L PHP-CGM % | 3 P Python % | 5 L CPT @ | 6 L NS @ | 1 L JAVA % </v>
      </c>
      <c r="AZ350" s="4" t="str">
        <f ca="1">IFERROR(__xludf.DUMMYFUNCTION("""COMPUTED_VALUE"""),"| 1 P PHP-CGM % | 3 P CPT % | 5 L NS % | 6 L CPT % ")</f>
        <v xml:space="preserve">| 1 P PHP-CGM % | 3 P CPT % | 5 L NS % | 6 L CPT % </v>
      </c>
      <c r="BA350" s="4" t="str">
        <f ca="1">IFERROR(__xludf.DUMMYFUNCTION("""COMPUTED_VALUE"""),"| 1 P JAVA % | 3 L CPT % | 4 L PHP-CGM % | 5 P Python @ ")</f>
        <v xml:space="preserve">| 1 P JAVA % | 3 L CPT % | 4 L PHP-CGM % | 5 P Python @ </v>
      </c>
      <c r="BB350" s="4" t="str">
        <f ca="1">IFERROR(__xludf.DUMMYFUNCTION("""COMPUTED_VALUE"""),"| 1 P JAVA % | 3 L PHP-CGM % | 4 L JAVA % | 5 L PRO @ ")</f>
        <v xml:space="preserve">| 1 P JAVA % | 3 L PHP-CGM % | 4 L JAVA % | 5 L PRO @ </v>
      </c>
      <c r="BC350" s="4" t="str">
        <f ca="1">IFERROR(__xludf.DUMMYFUNCTION("""COMPUTED_VALUE"""),"| 1 L JAVA @ | 2 L PHP-CGM % | 3 P Python % | 5 L CPT % | 6 L NS % ")</f>
        <v xml:space="preserve">| 1 L JAVA @ | 2 L PHP-CGM % | 3 P Python % | 5 L CPT % | 6 L NS % </v>
      </c>
      <c r="BD350" s="4" t="str">
        <f ca="1">IFERROR(__xludf.DUMMYFUNCTION("""COMPUTED_VALUE"""),"| 1 L INE % | 3 P NS % | 5 L JAVA % | 6 L NS % ")</f>
        <v xml:space="preserve">| 1 L INE % | 3 P NS % | 5 L JAVA % | 6 L NS % </v>
      </c>
      <c r="BE350" s="4" t="str">
        <f ca="1">IFERROR(__xludf.DUMMYFUNCTION("""COMPUTED_VALUE"""),"| 1 P PHP-CGM % | 3 P CPT % | 5 L NS % | 6 L CPT % ")</f>
        <v xml:space="preserve">| 1 P PHP-CGM % | 3 P CPT % | 5 L NS % | 6 L CPT % </v>
      </c>
      <c r="BF350" s="4" t="str">
        <f ca="1">IFERROR(__xludf.DUMMYFUNCTION("""COMPUTED_VALUE"""),"| 1 P JAVA % | 3 L CPT % | 4 L PHP-CGM % | 5 P Python @ ")</f>
        <v xml:space="preserve">| 1 P JAVA % | 3 L CPT % | 4 L PHP-CGM % | 5 P Python @ </v>
      </c>
      <c r="BG350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50" s="4" t="str">
        <f ca="1">IFERROR(__xludf.DUMMYFUNCTION("""COMPUTED_VALUE"""),"| 1 L INE @ | 3 P NS % | 5 L JAVA % | 6 L NS % ")</f>
        <v xml:space="preserve">| 1 L INE @ | 3 P NS % | 5 L JAVA % | 6 L NS % </v>
      </c>
      <c r="BI350" s="4" t="str">
        <f ca="1">IFERROR(__xludf.DUMMYFUNCTION("""COMPUTED_VALUE"""),"| 1 P PHP-CGM % | 3 P CPT % | 5 L NS @ | 6 L CPT @ ")</f>
        <v xml:space="preserve">| 1 P PHP-CGM % | 3 P CPT % | 5 L NS @ | 6 L CPT @ </v>
      </c>
      <c r="BJ350" s="4" t="str">
        <f ca="1">IFERROR(__xludf.DUMMYFUNCTION("""COMPUTED_VALUE"""),"| 1 P JAVA % | 3 L CPT % | 4 L PHP-CGM % | 5 P Python @ ")</f>
        <v xml:space="preserve">| 1 P JAVA % | 3 L CPT % | 4 L PHP-CGM % | 5 P Python @ </v>
      </c>
      <c r="BK350" s="4" t="str">
        <f ca="1">IFERROR(__xludf.DUMMYFUNCTION("""COMPUTED_VALUE"""),"| 1 P JAVA % | 3 L PHP-CGM % | 4 L JAVA % | 5 P PRO @ ")</f>
        <v xml:space="preserve">| 1 P JAVA % | 3 L PHP-CGM % | 4 L JAVA % | 5 P PRO @ </v>
      </c>
      <c r="BL350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50" s="4" t="str">
        <f ca="1">IFERROR(__xludf.DUMMYFUNCTION("""COMPUTED_VALUE"""),"| 1 L INE @ | 3 P NS @ | 5 L JAVA @ | 6 L NS @ ")</f>
        <v xml:space="preserve">| 1 L INE @ | 3 P NS @ | 5 L JAVA @ | 6 L NS @ </v>
      </c>
      <c r="BN350" s="4" t="str">
        <f ca="1">IFERROR(__xludf.DUMMYFUNCTION("""COMPUTED_VALUE"""),"| 1 P PHP-CGM @ | 3 P CPT @ | 5 L NS @ | 6 L CPT @ ")</f>
        <v xml:space="preserve">| 1 P PHP-CGM @ | 3 P CPT @ | 5 L NS @ | 6 L CPT @ </v>
      </c>
      <c r="BO350" s="4" t="str">
        <f ca="1">IFERROR(__xludf.DUMMYFUNCTION("""COMPUTED_VALUE"""),"| 1 P JAVA @ | 4 L PHP-CGM @ | 3 L CPT @ | 5 P Python @ ")</f>
        <v xml:space="preserve">| 1 P JAVA @ | 4 L PHP-CGM @ | 3 L CPT @ | 5 P Python @ </v>
      </c>
      <c r="BP350" s="4" t="str">
        <f ca="1">IFERROR(__xludf.DUMMYFUNCTION("""COMPUTED_VALUE"""),"| 1 P JAVA % | 3 L PHP-CGM @ | 4 L JAVA % | 5 P PRO @ ")</f>
        <v xml:space="preserve">| 1 P JAVA % | 3 L PHP-CGM @ | 4 L JAVA % | 5 P PRO @ </v>
      </c>
      <c r="BQ350" s="4" t="str">
        <f ca="1">IFERROR(__xludf.DUMMYFUNCTION("""COMPUTED_VALUE"""),"| 6 L NS % | 5 L JAVA @ ")</f>
        <v xml:space="preserve">| 6 L NS % | 5 L JAVA @ </v>
      </c>
      <c r="BR350" s="4"/>
      <c r="BS350" s="4" t="str">
        <f ca="1">IFERROR(__xludf.DUMMYFUNCTION("""COMPUTED_VALUE"""),"| 4 L PHP-CGM % ")</f>
        <v xml:space="preserve">| 4 L PHP-CGM % </v>
      </c>
      <c r="BT350" s="4" t="str">
        <f ca="1">IFERROR(__xludf.DUMMYFUNCTION("""COMPUTED_VALUE"""),"| 1 P JAVA % | 3 L PHP-CGM % ")</f>
        <v xml:space="preserve">| 1 P JAVA % | 3 L PHP-CGM % </v>
      </c>
      <c r="BU350" s="4" t="str">
        <f ca="1">IFERROR(__xludf.DUMMYFUNCTION("""COMPUTED_VALUE"""),"| 1 L JAVA % | 2 L PHP-CGM % | 3 P Python % ")</f>
        <v xml:space="preserve">| 1 L JAVA % | 2 L PHP-CGM % | 3 P Python % </v>
      </c>
      <c r="BV350" s="4" t="str">
        <f ca="1">IFERROR(__xludf.DUMMYFUNCTION("""COMPUTED_VALUE"""),"| 1 P JAVA % | 3 L PHP-CGM % | 4 L JAVA % | 5 P PRO @ ")</f>
        <v xml:space="preserve">| 1 P JAVA % | 3 L PHP-CGM % | 4 L JAVA % | 5 P PRO @ </v>
      </c>
      <c r="BW350" s="4" t="str">
        <f ca="1">IFERROR(__xludf.DUMMYFUNCTION("""COMPUTED_VALUE"""),"| 1 L JAVA @ | 2 L PHP-CGM % | 3 P Python % ")</f>
        <v xml:space="preserve">| 1 L JAVA @ | 2 L PHP-CGM % | 3 P Python % </v>
      </c>
      <c r="BX350" s="4" t="str">
        <f ca="1">IFERROR(__xludf.DUMMYFUNCTION("""COMPUTED_VALUE"""),"| 1 L INE @ | 3 P NS @ | 5 L JAVA @ | 6 L NS @ ")</f>
        <v xml:space="preserve">| 1 L INE @ | 3 P NS @ | 5 L JAVA @ | 6 L NS @ </v>
      </c>
      <c r="BY350" s="4" t="str">
        <f ca="1">IFERROR(__xludf.DUMMYFUNCTION("""COMPUTED_VALUE"""),"| 1 P PHP-CGM % | 3 P CPT % | 5 L NS @ | 6 L CPT @ ")</f>
        <v xml:space="preserve">| 1 P PHP-CGM % | 3 P CPT % | 5 L NS @ | 6 L CPT @ </v>
      </c>
      <c r="BZ350" s="4" t="str">
        <f ca="1">IFERROR(__xludf.DUMMYFUNCTION("""COMPUTED_VALUE"""),"| 1 P JAVA % | 3 L CPT % | 4 L PHP-CGM % | 5 P Python @ ")</f>
        <v xml:space="preserve">| 1 P JAVA % | 3 L CPT % | 4 L PHP-CGM % | 5 P Python @ </v>
      </c>
      <c r="CA350" s="4" t="str">
        <f ca="1">IFERROR(__xludf.DUMMYFUNCTION("""COMPUTED_VALUE"""),"| 1 P JAVA % | 3 L PHP-CGM % | 3 L JAVA % | 5 P PRO % ")</f>
        <v xml:space="preserve">| 1 P JAVA % | 3 L PHP-CGM % | 3 L JAVA % | 5 P PRO % </v>
      </c>
      <c r="CB350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CC350" s="4" t="str">
        <f ca="1">IFERROR(__xludf.DUMMYFUNCTION("""COMPUTED_VALUE"""),"| 1 L INE % | 3 P NS % | 5 L JAVA % | 6 L NS % ")</f>
        <v xml:space="preserve">| 1 L INE % | 3 P NS % | 5 L JAVA % | 6 L NS % </v>
      </c>
      <c r="CD350" s="4" t="str">
        <f ca="1">IFERROR(__xludf.DUMMYFUNCTION("""COMPUTED_VALUE"""),"| 1 P PHP-CGM % | 3 P CPT % | 5 L NS @ | 6 L CPT @ ")</f>
        <v xml:space="preserve">| 1 P PHP-CGM % | 3 P CPT % | 5 L NS @ | 6 L CPT @ </v>
      </c>
      <c r="CE350" s="4" t="str">
        <f ca="1">IFERROR(__xludf.DUMMYFUNCTION("""COMPUTED_VALUE"""),"| 1 P JAVA % | 3 L CPT % | 4 L PHP-CGM % | 5 P Python % ")</f>
        <v xml:space="preserve">| 1 P JAVA % | 3 L CPT % | 4 L PHP-CGM % | 5 P Python % </v>
      </c>
      <c r="CF350" s="4" t="str">
        <f ca="1">IFERROR(__xludf.DUMMYFUNCTION("""COMPUTED_VALUE"""),"| 1 P JAVA % | 4 L JAVA % | 3 L PHP-CGM % | 5 L PRO % ")</f>
        <v xml:space="preserve">| 1 P JAVA % | 4 L JAVA % | 3 L PHP-CGM % | 5 L PRO % </v>
      </c>
      <c r="CG350" s="4" t="str">
        <f ca="1">IFERROR(__xludf.DUMMYFUNCTION("""COMPUTED_VALUE"""),"| 1 L JAVA % | 2 L PHP-CGM % | 3 P Python % | 6 L NS @ ")</f>
        <v xml:space="preserve">| 1 L JAVA % | 2 L PHP-CGM % | 3 P Python % | 6 L NS @ </v>
      </c>
      <c r="CH350" s="4" t="str">
        <f ca="1">IFERROR(__xludf.DUMMYFUNCTION("""COMPUTED_VALUE"""),"| 1 L INE @ | 3 P NS % | 5 L JAVA @ | 6 L NS @ ")</f>
        <v xml:space="preserve">| 1 L INE @ | 3 P NS % | 5 L JAVA @ | 6 L NS @ </v>
      </c>
      <c r="CI350" s="4" t="str">
        <f ca="1">IFERROR(__xludf.DUMMYFUNCTION("""COMPUTED_VALUE"""),"| 3 P CPT % | 5 L NS @ | 6 L CPT @ ")</f>
        <v xml:space="preserve">| 3 P CPT % | 5 L NS @ | 6 L CPT @ </v>
      </c>
      <c r="CJ350" s="4" t="str">
        <f ca="1">IFERROR(__xludf.DUMMYFUNCTION("""COMPUTED_VALUE"""),"| 3 L CPT @ ")</f>
        <v xml:space="preserve">| 3 L CPT @ </v>
      </c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</row>
    <row r="351" spans="1:102" ht="12.5" x14ac:dyDescent="0.25">
      <c r="A351" s="3">
        <f ca="1">IFERROR(__xludf.DUMMYFUNCTION("""COMPUTED_VALUE"""),1)</f>
        <v>1</v>
      </c>
      <c r="B351" s="3" t="str">
        <f ca="1">IFERROR(__xludf.DUMMYFUNCTION("""COMPUTED_VALUE"""),"ITA")</f>
        <v>ITA</v>
      </c>
      <c r="C351" s="32" t="str">
        <f ca="1">IFERROR(__xludf.DUMMYFUNCTION("""COMPUTED_VALUE"""),"23291371022")</f>
        <v>23291371022</v>
      </c>
      <c r="D351" s="4" t="str">
        <f ca="1">IFERROR(__xludf.DUMMYFUNCTION("""COMPUTED_VALUE"""),"DARJI PRINCEKUMAR ASHOKBHAI")</f>
        <v>DARJI PRINCEKUMAR ASHOKBHAI</v>
      </c>
      <c r="E351" s="3" t="str">
        <f ca="1">IFERROR(__xludf.DUMMYFUNCTION("""COMPUTED_VALUE"""),"Sweety - Mor")</f>
        <v>Sweety - Mor</v>
      </c>
      <c r="F351" s="3">
        <f ca="1">IFERROR(__xludf.DUMMYFUNCTION("""COMPUTED_VALUE"""),9016555836)</f>
        <v>9016555836</v>
      </c>
      <c r="G351" s="3">
        <f ca="1">IFERROR(__xludf.DUMMYFUNCTION("""COMPUTED_VALUE"""),9558886326)</f>
        <v>9558886326</v>
      </c>
      <c r="H351" s="33">
        <f ca="1">IFERROR(__xludf.DUMMYFUNCTION("""COMPUTED_VALUE"""),0.649193548387096)</f>
        <v>0.64919354838709598</v>
      </c>
      <c r="I351" s="25">
        <f ca="1">IFERROR(__xludf.DUMMYFUNCTION("""COMPUTED_VALUE"""),0.571428571428571)</f>
        <v>0.57142857142857095</v>
      </c>
      <c r="J351" s="25">
        <f ca="1">IFERROR(__xludf.DUMMYFUNCTION("""COMPUTED_VALUE"""),0.615384615384615)</f>
        <v>0.61538461538461497</v>
      </c>
      <c r="K351" s="25">
        <f ca="1">IFERROR(__xludf.DUMMYFUNCTION("""COMPUTED_VALUE"""),0.722222222222222)</f>
        <v>0.72222222222222199</v>
      </c>
      <c r="L351" s="25">
        <f ca="1">IFERROR(__xludf.DUMMYFUNCTION("""COMPUTED_VALUE"""),0.818181818181818)</f>
        <v>0.81818181818181801</v>
      </c>
      <c r="M351" s="25">
        <f ca="1">IFERROR(__xludf.DUMMYFUNCTION("""COMPUTED_VALUE"""),0.710526315789473)</f>
        <v>0.71052631578947301</v>
      </c>
      <c r="N351" s="25">
        <f ca="1">IFERROR(__xludf.DUMMYFUNCTION("""COMPUTED_VALUE"""),0.727272727272727)</f>
        <v>0.72727272727272696</v>
      </c>
      <c r="O351" s="25">
        <f ca="1">IFERROR(__xludf.DUMMYFUNCTION("""COMPUTED_VALUE"""),0.722222222222222)</f>
        <v>0.72222222222222199</v>
      </c>
      <c r="P351" s="25">
        <f ca="1">IFERROR(__xludf.DUMMYFUNCTION("""COMPUTED_VALUE"""),0.625)</f>
        <v>0.625</v>
      </c>
      <c r="Q351" s="25">
        <f ca="1">IFERROR(__xludf.DUMMYFUNCTION("""COMPUTED_VALUE"""),0)</f>
        <v>0</v>
      </c>
      <c r="R351" s="25">
        <f ca="1">IFERROR(__xludf.DUMMYFUNCTION("""COMPUTED_VALUE"""),0.541666666666666)</f>
        <v>0.54166666666666596</v>
      </c>
      <c r="S351" s="25">
        <f ca="1">IFERROR(__xludf.DUMMYFUNCTION("""COMPUTED_VALUE"""),0.666666666666666)</f>
        <v>0.66666666666666596</v>
      </c>
      <c r="T351" s="25">
        <f ca="1">IFERROR(__xludf.DUMMYFUNCTION("""COMPUTED_VALUE"""),0.555555555555555)</f>
        <v>0.55555555555555503</v>
      </c>
      <c r="U351" s="25">
        <f ca="1">IFERROR(__xludf.DUMMYFUNCTION("""COMPUTED_VALUE"""),0.25)</f>
        <v>0.25</v>
      </c>
      <c r="V351" s="25">
        <f ca="1">IFERROR(__xludf.DUMMYFUNCTION("""COMPUTED_VALUE"""),0)</f>
        <v>0</v>
      </c>
      <c r="W351" s="4"/>
      <c r="X351" s="4" t="str">
        <f ca="1">IFERROR(__xludf.DUMMYFUNCTION("""COMPUTED_VALUE"""),"| 1 P JAVA @ | 4 L JAVA @ | 3 L PHP-CGM @ | 1 L PRO @ ")</f>
        <v xml:space="preserve">| 1 P JAVA @ | 4 L JAVA @ | 3 L PHP-CGM @ | 1 L PRO @ </v>
      </c>
      <c r="Y351" s="4" t="str">
        <f ca="1">IFERROR(__xludf.DUMMYFUNCTION("""COMPUTED_VALUE"""),"| 1 L JAVA % | 2 L PHP-CGM % | 3 P Python % | 5 L CPT @ | 6 L NS % ")</f>
        <v xml:space="preserve">| 1 L JAVA % | 2 L PHP-CGM % | 3 P Python % | 5 L CPT @ | 6 L NS % </v>
      </c>
      <c r="Z351" s="4" t="str">
        <f ca="1">IFERROR(__xludf.DUMMYFUNCTION("""COMPUTED_VALUE"""),"| 3 P NS % | 5 L JAVA @ | 6 L NS @ ")</f>
        <v xml:space="preserve">| 3 P NS % | 5 L JAVA @ | 6 L NS @ </v>
      </c>
      <c r="AA351" s="4" t="str">
        <f ca="1">IFERROR(__xludf.DUMMYFUNCTION("""COMPUTED_VALUE"""),"| 3 P CPT % | 5 L NS % | 6 L CPT @ ")</f>
        <v xml:space="preserve">| 3 P CPT % | 5 L NS % | 6 L CPT @ </v>
      </c>
      <c r="AB351" s="4" t="str">
        <f ca="1">IFERROR(__xludf.DUMMYFUNCTION("""COMPUTED_VALUE"""),"| 1 P JAVA % | 3 L CPT % | 4 L PHP-CGM % | 5 P Python % ")</f>
        <v xml:space="preserve">| 1 P JAVA % | 3 L CPT % | 4 L PHP-CGM % | 5 P Python % </v>
      </c>
      <c r="AC351" s="4" t="str">
        <f ca="1">IFERROR(__xludf.DUMMYFUNCTION("""COMPUTED_VALUE"""),"| 1 P JAVA % | 3 L PHP-CGM @ | 5 P PRO % ")</f>
        <v xml:space="preserve">| 1 P JAVA % | 3 L PHP-CGM @ | 5 P PRO % </v>
      </c>
      <c r="AD351" s="4" t="str">
        <f ca="1">IFERROR(__xludf.DUMMYFUNCTION("""COMPUTED_VALUE"""),"| 1 L JAVA % | 2 L PHP-CGM % | 3 P Python @ | 6 L NS @ | 5 L CPT @ ")</f>
        <v xml:space="preserve">| 1 L JAVA % | 2 L PHP-CGM % | 3 P Python @ | 6 L NS @ | 5 L CPT @ </v>
      </c>
      <c r="AE351" s="4" t="str">
        <f ca="1">IFERROR(__xludf.DUMMYFUNCTION("""COMPUTED_VALUE"""),"| 3 P NS % | 5 L JAVA % | 6 L NS % ")</f>
        <v xml:space="preserve">| 3 P NS % | 5 L JAVA % | 6 L NS % </v>
      </c>
      <c r="AF351" s="4" t="str">
        <f ca="1">IFERROR(__xludf.DUMMYFUNCTION("""COMPUTED_VALUE"""),"| 1 P PHP-CGM % | 3 P CPT % | 5 L NS @ | 6 L CPT @ ")</f>
        <v xml:space="preserve">| 1 P PHP-CGM % | 3 P CPT % | 5 L NS @ | 6 L CPT @ </v>
      </c>
      <c r="AG351" s="4" t="str">
        <f ca="1">IFERROR(__xludf.DUMMYFUNCTION("""COMPUTED_VALUE"""),"| 1 P JAVA % | 3 L CPT % | 4 L PHP-CGM % | 5 P Python @ ")</f>
        <v xml:space="preserve">| 1 P JAVA % | 3 L CPT % | 4 L PHP-CGM % | 5 P Python @ </v>
      </c>
      <c r="AH351" s="4" t="str">
        <f ca="1">IFERROR(__xludf.DUMMYFUNCTION("""COMPUTED_VALUE"""),"| 1 P PHP-CGM % | 3 P CPT @ | 5 L NS % | 6 L CPT % ")</f>
        <v xml:space="preserve">| 1 P PHP-CGM % | 3 P CPT @ | 5 L NS % | 6 L CPT % </v>
      </c>
      <c r="AI351" s="4" t="str">
        <f ca="1">IFERROR(__xludf.DUMMYFUNCTION("""COMPUTED_VALUE"""),"| 1 P JAVA % | 3 L CPT % | 4 L PHP-CGM % | 5 P Python % ")</f>
        <v xml:space="preserve">| 1 P JAVA % | 3 L CPT % | 4 L PHP-CGM % | 5 P Python % </v>
      </c>
      <c r="AJ351" s="4" t="str">
        <f ca="1">IFERROR(__xludf.DUMMYFUNCTION("""COMPUTED_VALUE"""),"| 1 P JAVA @ | 3 L PHP-CGM % | 4 L JAVA % | 5 P PRO @ ")</f>
        <v xml:space="preserve">| 1 P JAVA @ | 3 L PHP-CGM % | 4 L JAVA % | 5 P PRO @ </v>
      </c>
      <c r="AK351" s="4" t="str">
        <f ca="1">IFERROR(__xludf.DUMMYFUNCTION("""COMPUTED_VALUE"""),"| 1 L JAVA % | 2 L PHP-CGM % | 3 P Python @ | 5 L CPT % | 6 L NS % ")</f>
        <v xml:space="preserve">| 1 L JAVA % | 2 L PHP-CGM % | 3 P Python @ | 5 L CPT % | 6 L NS % </v>
      </c>
      <c r="AL351" s="4" t="str">
        <f ca="1">IFERROR(__xludf.DUMMYFUNCTION("""COMPUTED_VALUE"""),"| 3 P NS % | 5 L JAVA @ | 6 L NS % ")</f>
        <v xml:space="preserve">| 3 P NS % | 5 L JAVA @ | 6 L NS % </v>
      </c>
      <c r="AM351" s="4" t="str">
        <f ca="1">IFERROR(__xludf.DUMMYFUNCTION("""COMPUTED_VALUE"""),"| 1 P PHP-CGM % | 3 P CPT % | 5 L NS % | 6 L CPT % ")</f>
        <v xml:space="preserve">| 1 P PHP-CGM % | 3 P CPT % | 5 L NS % | 6 L CPT % </v>
      </c>
      <c r="AN351" s="4" t="str">
        <f ca="1">IFERROR(__xludf.DUMMYFUNCTION("""COMPUTED_VALUE"""),"| 1 P JAVA @ | 4 L PHP-CGM % | 5 P Python % ")</f>
        <v xml:space="preserve">| 1 P JAVA @ | 4 L PHP-CGM % | 5 P Python % </v>
      </c>
      <c r="AO351" s="4" t="str">
        <f ca="1">IFERROR(__xludf.DUMMYFUNCTION("""COMPUTED_VALUE"""),"| 1 P JAVA % | 3 L PHP-CGM % | 4 L JAVA % | 5 P PRO % ")</f>
        <v xml:space="preserve">| 1 P JAVA % | 3 L PHP-CGM % | 4 L JAVA % | 5 P PRO % </v>
      </c>
      <c r="AP351" s="4" t="str">
        <f ca="1">IFERROR(__xludf.DUMMYFUNCTION("""COMPUTED_VALUE"""),"| 1 L JAVA @ | 2 L PHP-CGM @ | 3 P Python % | 5 L CPT % | 6 L NS % ")</f>
        <v xml:space="preserve">| 1 L JAVA @ | 2 L PHP-CGM @ | 3 P Python % | 5 L CPT % | 6 L NS % </v>
      </c>
      <c r="AQ351" s="4" t="str">
        <f ca="1">IFERROR(__xludf.DUMMYFUNCTION("""COMPUTED_VALUE"""),"| 1 L INE @ | 3 P NS % | 5 L JAVA % | 6 L NS % ")</f>
        <v xml:space="preserve">| 1 L INE @ | 3 P NS % | 5 L JAVA % | 6 L NS % </v>
      </c>
      <c r="AR351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51" s="4" t="str">
        <f ca="1">IFERROR(__xludf.DUMMYFUNCTION("""COMPUTED_VALUE"""),"| 1 P JAVA % | 3 L PHP-CGM % | 4 L JAVA % | 5 P PRO % ")</f>
        <v xml:space="preserve">| 1 P JAVA % | 3 L PHP-CGM % | 4 L JAVA % | 5 P PRO % </v>
      </c>
      <c r="AT351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51" s="4" t="str">
        <f ca="1">IFERROR(__xludf.DUMMYFUNCTION("""COMPUTED_VALUE"""),"| 1 L INE @ | 3 P NS % | 5 L JAVA % | 6 L NS % ")</f>
        <v xml:space="preserve">| 1 L INE @ | 3 P NS % | 5 L JAVA % | 6 L NS % </v>
      </c>
      <c r="AV351" s="4" t="str">
        <f ca="1">IFERROR(__xludf.DUMMYFUNCTION("""COMPUTED_VALUE"""),"| 1 P PHP-CGM % | 3 P CPT % | 5 L NS % | 6 L CPT % ")</f>
        <v xml:space="preserve">| 1 P PHP-CGM % | 3 P CPT % | 5 L NS % | 6 L CPT % </v>
      </c>
      <c r="AW351" s="4" t="str">
        <f ca="1">IFERROR(__xludf.DUMMYFUNCTION("""COMPUTED_VALUE"""),"| 1 P JAVA % | 3 L CPT @ | 4 L PHP-CGM % | 5 P Python % ")</f>
        <v xml:space="preserve">| 1 P JAVA % | 3 L CPT @ | 4 L PHP-CGM % | 5 P Python % </v>
      </c>
      <c r="AX351" s="4" t="str">
        <f ca="1">IFERROR(__xludf.DUMMYFUNCTION("""COMPUTED_VALUE"""),"| 1 P JAVA % | 3 L JAVA % | 4 L PHP-CGM % | 5 P PRO % ")</f>
        <v xml:space="preserve">| 1 P JAVA % | 3 L JAVA % | 4 L PHP-CGM % | 5 P PRO % </v>
      </c>
      <c r="AY351" s="4" t="str">
        <f ca="1">IFERROR(__xludf.DUMMYFUNCTION("""COMPUTED_VALUE"""),"| 2 L PHP-CGM % | 3 P Python % | 5 L CPT @ | 6 L NS % | 1 L JAVA % ")</f>
        <v xml:space="preserve">| 2 L PHP-CGM % | 3 P Python % | 5 L CPT @ | 6 L NS % | 1 L JAVA % </v>
      </c>
      <c r="AZ351" s="4" t="str">
        <f ca="1">IFERROR(__xludf.DUMMYFUNCTION("""COMPUTED_VALUE"""),"| 1 P PHP-CGM % | 3 P CPT % | 5 L NS % | 6 L CPT % ")</f>
        <v xml:space="preserve">| 1 P PHP-CGM % | 3 P CPT % | 5 L NS % | 6 L CPT % </v>
      </c>
      <c r="BA351" s="4" t="str">
        <f ca="1">IFERROR(__xludf.DUMMYFUNCTION("""COMPUTED_VALUE"""),"| 1 P JAVA @ | 3 L CPT % | 4 L PHP-CGM % | 5 P Python @ ")</f>
        <v xml:space="preserve">| 1 P JAVA @ | 3 L CPT % | 4 L PHP-CGM % | 5 P Python @ </v>
      </c>
      <c r="BB351" s="4" t="str">
        <f ca="1">IFERROR(__xludf.DUMMYFUNCTION("""COMPUTED_VALUE"""),"| 1 P JAVA % | 3 L PHP-CGM % | 4 L JAVA % | 5 L PRO % ")</f>
        <v xml:space="preserve">| 1 P JAVA % | 3 L PHP-CGM % | 4 L JAVA % | 5 L PRO % </v>
      </c>
      <c r="BC351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D351" s="4" t="str">
        <f ca="1">IFERROR(__xludf.DUMMYFUNCTION("""COMPUTED_VALUE"""),"| 1 L INE @ | 3 P NS % | 5 L JAVA % | 6 L NS % ")</f>
        <v xml:space="preserve">| 1 L INE @ | 3 P NS % | 5 L JAVA % | 6 L NS % </v>
      </c>
      <c r="BE351" s="4" t="str">
        <f ca="1">IFERROR(__xludf.DUMMYFUNCTION("""COMPUTED_VALUE"""),"| 1 P PHP-CGM % | 3 P CPT @ | 5 L NS % | 6 L CPT @ ")</f>
        <v xml:space="preserve">| 1 P PHP-CGM % | 3 P CPT @ | 5 L NS % | 6 L CPT @ </v>
      </c>
      <c r="BF351" s="4" t="str">
        <f ca="1">IFERROR(__xludf.DUMMYFUNCTION("""COMPUTED_VALUE"""),"| 1 P JAVA @ | 3 L CPT @ | 4 L PHP-CGM @ | 5 P Python @ ")</f>
        <v xml:space="preserve">| 1 P JAVA @ | 3 L CPT @ | 4 L PHP-CGM @ | 5 P Python @ </v>
      </c>
      <c r="BG351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51" s="4" t="str">
        <f ca="1">IFERROR(__xludf.DUMMYFUNCTION("""COMPUTED_VALUE"""),"| 1 L INE % | 3 P NS % | 5 L JAVA % | 6 L NS % ")</f>
        <v xml:space="preserve">| 1 L INE % | 3 P NS % | 5 L JAVA % | 6 L NS % </v>
      </c>
      <c r="BI351" s="4" t="str">
        <f ca="1">IFERROR(__xludf.DUMMYFUNCTION("""COMPUTED_VALUE"""),"| 1 P PHP-CGM % | 3 P CPT % | 5 L NS % | 6 L CPT % ")</f>
        <v xml:space="preserve">| 1 P PHP-CGM % | 3 P CPT % | 5 L NS % | 6 L CPT % </v>
      </c>
      <c r="BJ351" s="4" t="str">
        <f ca="1">IFERROR(__xludf.DUMMYFUNCTION("""COMPUTED_VALUE"""),"| 1 P JAVA % | 3 L CPT % | 4 L PHP-CGM % | 5 P Python % ")</f>
        <v xml:space="preserve">| 1 P JAVA % | 3 L CPT % | 4 L PHP-CGM % | 5 P Python % </v>
      </c>
      <c r="BK351" s="4" t="str">
        <f ca="1">IFERROR(__xludf.DUMMYFUNCTION("""COMPUTED_VALUE"""),"| 1 P JAVA % | 3 L PHP-CGM % | 4 L JAVA % | 5 P PRO @ ")</f>
        <v xml:space="preserve">| 1 P JAVA % | 3 L PHP-CGM % | 4 L JAVA % | 5 P PRO @ </v>
      </c>
      <c r="BL351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51" s="4" t="str">
        <f ca="1">IFERROR(__xludf.DUMMYFUNCTION("""COMPUTED_VALUE"""),"| 1 L INE @ | 3 P NS @ | 5 L JAVA @ | 6 L NS @ ")</f>
        <v xml:space="preserve">| 1 L INE @ | 3 P NS @ | 5 L JAVA @ | 6 L NS @ </v>
      </c>
      <c r="BN351" s="4" t="str">
        <f ca="1">IFERROR(__xludf.DUMMYFUNCTION("""COMPUTED_VALUE"""),"| 1 P PHP-CGM % | 3 P CPT @ | 5 L NS % | 6 L CPT % ")</f>
        <v xml:space="preserve">| 1 P PHP-CGM % | 3 P CPT @ | 5 L NS % | 6 L CPT % </v>
      </c>
      <c r="BO351" s="4" t="str">
        <f ca="1">IFERROR(__xludf.DUMMYFUNCTION("""COMPUTED_VALUE"""),"| 1 P JAVA @ | 4 L PHP-CGM @ | 3 L CPT % | 5 P Python @ ")</f>
        <v xml:space="preserve">| 1 P JAVA @ | 4 L PHP-CGM @ | 3 L CPT % | 5 P Python @ </v>
      </c>
      <c r="BP351" s="4" t="str">
        <f ca="1">IFERROR(__xludf.DUMMYFUNCTION("""COMPUTED_VALUE"""),"| 1 P JAVA % | 3 L PHP-CGM % | 4 L JAVA % | 5 P PRO @ ")</f>
        <v xml:space="preserve">| 1 P JAVA % | 3 L PHP-CGM % | 4 L JAVA % | 5 P PRO @ </v>
      </c>
      <c r="BQ351" s="4" t="str">
        <f ca="1">IFERROR(__xludf.DUMMYFUNCTION("""COMPUTED_VALUE"""),"| 6 L NS % | 5 L JAVA % ")</f>
        <v xml:space="preserve">| 6 L NS % | 5 L JAVA % </v>
      </c>
      <c r="BR351" s="4"/>
      <c r="BS351" s="4" t="str">
        <f ca="1">IFERROR(__xludf.DUMMYFUNCTION("""COMPUTED_VALUE"""),"| 4 L PHP-CGM % ")</f>
        <v xml:space="preserve">| 4 L PHP-CGM % </v>
      </c>
      <c r="BT351" s="4" t="str">
        <f ca="1">IFERROR(__xludf.DUMMYFUNCTION("""COMPUTED_VALUE"""),"| 1 P JAVA % | 3 L PHP-CGM % ")</f>
        <v xml:space="preserve">| 1 P JAVA % | 3 L PHP-CGM % </v>
      </c>
      <c r="BU351" s="4" t="str">
        <f ca="1">IFERROR(__xludf.DUMMYFUNCTION("""COMPUTED_VALUE"""),"| 1 L JAVA @ | 2 L PHP-CGM @ | 3 P Python @ ")</f>
        <v xml:space="preserve">| 1 L JAVA @ | 2 L PHP-CGM @ | 3 P Python @ </v>
      </c>
      <c r="BV351" s="4" t="str">
        <f ca="1">IFERROR(__xludf.DUMMYFUNCTION("""COMPUTED_VALUE"""),"| 1 P JAVA % | 3 L PHP-CGM % | 4 L JAVA % | 5 P PRO @ ")</f>
        <v xml:space="preserve">| 1 P JAVA % | 3 L PHP-CGM % | 4 L JAVA % | 5 P PRO @ </v>
      </c>
      <c r="BW351" s="4" t="str">
        <f ca="1">IFERROR(__xludf.DUMMYFUNCTION("""COMPUTED_VALUE"""),"| 1 L JAVA % | 2 L PHP-CGM % | 3 P Python % ")</f>
        <v xml:space="preserve">| 1 L JAVA % | 2 L PHP-CGM % | 3 P Python % </v>
      </c>
      <c r="BX351" s="4" t="str">
        <f ca="1">IFERROR(__xludf.DUMMYFUNCTION("""COMPUTED_VALUE"""),"| 1 L INE @ | 3 P NS % | 5 L JAVA % | 6 L NS % ")</f>
        <v xml:space="preserve">| 1 L INE @ | 3 P NS % | 5 L JAVA % | 6 L NS % </v>
      </c>
      <c r="BY351" s="4" t="str">
        <f ca="1">IFERROR(__xludf.DUMMYFUNCTION("""COMPUTED_VALUE"""),"| 1 P PHP-CGM @ | 3 P CPT @ | 5 L NS @ | 6 L CPT @ ")</f>
        <v xml:space="preserve">| 1 P PHP-CGM @ | 3 P CPT @ | 5 L NS @ | 6 L CPT @ </v>
      </c>
      <c r="BZ351" s="4" t="str">
        <f ca="1">IFERROR(__xludf.DUMMYFUNCTION("""COMPUTED_VALUE"""),"| 1 P JAVA @ | 3 L CPT @ | 4 L PHP-CGM @ | 5 P Python @ ")</f>
        <v xml:space="preserve">| 1 P JAVA @ | 3 L CPT @ | 4 L PHP-CGM @ | 5 P Python @ </v>
      </c>
      <c r="CA351" s="4" t="str">
        <f ca="1">IFERROR(__xludf.DUMMYFUNCTION("""COMPUTED_VALUE"""),"| 1 P JAVA @ | 3 L PHP-CGM % | 3 L JAVA % | 5 P PRO % ")</f>
        <v xml:space="preserve">| 1 P JAVA @ | 3 L PHP-CGM % | 3 L JAVA % | 5 P PRO % </v>
      </c>
      <c r="CB351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CC351" s="4" t="str">
        <f ca="1">IFERROR(__xludf.DUMMYFUNCTION("""COMPUTED_VALUE"""),"| 1 L INE % | 3 P NS @ | 5 L JAVA @ | 6 L NS @ ")</f>
        <v xml:space="preserve">| 1 L INE % | 3 P NS @ | 5 L JAVA @ | 6 L NS @ </v>
      </c>
      <c r="CD351" s="4" t="str">
        <f ca="1">IFERROR(__xludf.DUMMYFUNCTION("""COMPUTED_VALUE"""),"| 1 P PHP-CGM @ | 3 P CPT % | 5 L NS % | 6 L CPT % ")</f>
        <v xml:space="preserve">| 1 P PHP-CGM @ | 3 P CPT % | 5 L NS % | 6 L CPT % </v>
      </c>
      <c r="CE351" s="4" t="str">
        <f ca="1">IFERROR(__xludf.DUMMYFUNCTION("""COMPUTED_VALUE"""),"| 1 P JAVA @ | 3 L CPT @ | 4 L PHP-CGM @ | 5 P Python @ ")</f>
        <v xml:space="preserve">| 1 P JAVA @ | 3 L CPT @ | 4 L PHP-CGM @ | 5 P Python @ </v>
      </c>
      <c r="CF351" s="4" t="str">
        <f ca="1">IFERROR(__xludf.DUMMYFUNCTION("""COMPUTED_VALUE"""),"| 1 P JAVA % | 4 L JAVA % | 3 L PHP-CGM % | 5 L PRO % ")</f>
        <v xml:space="preserve">| 1 P JAVA % | 4 L JAVA % | 3 L PHP-CGM % | 5 L PRO % </v>
      </c>
      <c r="CG351" s="4" t="str">
        <f ca="1">IFERROR(__xludf.DUMMYFUNCTION("""COMPUTED_VALUE"""),"| 1 L JAVA % | 2 L PHP-CGM @ | 3 P Python % | 6 L NS % ")</f>
        <v xml:space="preserve">| 1 L JAVA % | 2 L PHP-CGM @ | 3 P Python % | 6 L NS % </v>
      </c>
      <c r="CH351" s="4" t="str">
        <f ca="1">IFERROR(__xludf.DUMMYFUNCTION("""COMPUTED_VALUE"""),"| 1 L INE @ | 3 P NS % | 5 L JAVA @ | 6 L NS @ ")</f>
        <v xml:space="preserve">| 1 L INE @ | 3 P NS % | 5 L JAVA @ | 6 L NS @ </v>
      </c>
      <c r="CI351" s="4" t="str">
        <f ca="1">IFERROR(__xludf.DUMMYFUNCTION("""COMPUTED_VALUE"""),"| 3 P CPT % | 5 L NS % | 6 L CPT % ")</f>
        <v xml:space="preserve">| 3 P CPT % | 5 L NS % | 6 L CPT % </v>
      </c>
      <c r="CJ351" s="4" t="str">
        <f ca="1">IFERROR(__xludf.DUMMYFUNCTION("""COMPUTED_VALUE"""),"| 3 L CPT @ ")</f>
        <v xml:space="preserve">| 3 L CPT @ </v>
      </c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</row>
    <row r="352" spans="1:102" ht="12.5" x14ac:dyDescent="0.25">
      <c r="A352" s="3">
        <f ca="1">IFERROR(__xludf.DUMMYFUNCTION("""COMPUTED_VALUE"""),1)</f>
        <v>1</v>
      </c>
      <c r="B352" s="3" t="str">
        <f ca="1">IFERROR(__xludf.DUMMYFUNCTION("""COMPUTED_VALUE"""),"ITA")</f>
        <v>ITA</v>
      </c>
      <c r="C352" s="32" t="str">
        <f ca="1">IFERROR(__xludf.DUMMYFUNCTION("""COMPUTED_VALUE"""),"23291371031")</f>
        <v>23291371031</v>
      </c>
      <c r="D352" s="4" t="str">
        <f ca="1">IFERROR(__xludf.DUMMYFUNCTION("""COMPUTED_VALUE"""),"GOSWAMI URVISHGIRI JITENDRAGIRI")</f>
        <v>GOSWAMI URVISHGIRI JITENDRAGIRI</v>
      </c>
      <c r="E352" s="3" t="str">
        <f ca="1">IFERROR(__xludf.DUMMYFUNCTION("""COMPUTED_VALUE"""),"Sweety - Mor")</f>
        <v>Sweety - Mor</v>
      </c>
      <c r="F352" s="3">
        <f ca="1">IFERROR(__xludf.DUMMYFUNCTION("""COMPUTED_VALUE"""),6356384002)</f>
        <v>6356384002</v>
      </c>
      <c r="G352" s="3">
        <f ca="1">IFERROR(__xludf.DUMMYFUNCTION("""COMPUTED_VALUE"""),9825085352)</f>
        <v>9825085352</v>
      </c>
      <c r="H352" s="33">
        <f ca="1">IFERROR(__xludf.DUMMYFUNCTION("""COMPUTED_VALUE"""),0.674796747967479)</f>
        <v>0.67479674796747902</v>
      </c>
      <c r="I352" s="25">
        <f ca="1">IFERROR(__xludf.DUMMYFUNCTION("""COMPUTED_VALUE"""),0.441176470588235)</f>
        <v>0.441176470588235</v>
      </c>
      <c r="J352" s="25">
        <f ca="1">IFERROR(__xludf.DUMMYFUNCTION("""COMPUTED_VALUE"""),0.75)</f>
        <v>0.75</v>
      </c>
      <c r="K352" s="25">
        <f ca="1">IFERROR(__xludf.DUMMYFUNCTION("""COMPUTED_VALUE"""),0.542857142857142)</f>
        <v>0.54285714285714204</v>
      </c>
      <c r="L352" s="25">
        <f ca="1">IFERROR(__xludf.DUMMYFUNCTION("""COMPUTED_VALUE"""),0.909090909090909)</f>
        <v>0.90909090909090895</v>
      </c>
      <c r="M352" s="25">
        <f ca="1">IFERROR(__xludf.DUMMYFUNCTION("""COMPUTED_VALUE"""),0.81578947368421)</f>
        <v>0.81578947368420995</v>
      </c>
      <c r="N352" s="25">
        <f ca="1">IFERROR(__xludf.DUMMYFUNCTION("""COMPUTED_VALUE"""),0.8)</f>
        <v>0.8</v>
      </c>
      <c r="O352" s="25">
        <f ca="1">IFERROR(__xludf.DUMMYFUNCTION("""COMPUTED_VALUE"""),0.81578947368421)</f>
        <v>0.81578947368420995</v>
      </c>
      <c r="P352" s="25">
        <f ca="1">IFERROR(__xludf.DUMMYFUNCTION("""COMPUTED_VALUE"""),0.608695652173913)</f>
        <v>0.60869565217391297</v>
      </c>
      <c r="Q352" s="25">
        <f ca="1">IFERROR(__xludf.DUMMYFUNCTION("""COMPUTED_VALUE"""),0)</f>
        <v>0</v>
      </c>
      <c r="R352" s="25">
        <f ca="1">IFERROR(__xludf.DUMMYFUNCTION("""COMPUTED_VALUE"""),0.666666666666666)</f>
        <v>0.66666666666666596</v>
      </c>
      <c r="S352" s="25">
        <f ca="1">IFERROR(__xludf.DUMMYFUNCTION("""COMPUTED_VALUE"""),1)</f>
        <v>1</v>
      </c>
      <c r="T352" s="25">
        <f ca="1">IFERROR(__xludf.DUMMYFUNCTION("""COMPUTED_VALUE"""),0.454545454545454)</f>
        <v>0.45454545454545398</v>
      </c>
      <c r="U352" s="25">
        <f ca="1">IFERROR(__xludf.DUMMYFUNCTION("""COMPUTED_VALUE"""),0.75)</f>
        <v>0.75</v>
      </c>
      <c r="V352" s="25">
        <f ca="1">IFERROR(__xludf.DUMMYFUNCTION("""COMPUTED_VALUE"""),0)</f>
        <v>0</v>
      </c>
      <c r="W352" s="4"/>
      <c r="X352" s="4" t="str">
        <f ca="1">IFERROR(__xludf.DUMMYFUNCTION("""COMPUTED_VALUE"""),"| 5 L PHP-CGM @ | 6 L NS @ | 7 P NS @ ")</f>
        <v xml:space="preserve">| 5 L PHP-CGM @ | 6 L NS @ | 7 P NS @ </v>
      </c>
      <c r="Y352" s="4" t="str">
        <f ca="1">IFERROR(__xludf.DUMMYFUNCTION("""COMPUTED_VALUE"""),"| 5 L NS % | 6 L PHP-CGM % | 7 L JAVA @ | 8 L CPT @ ")</f>
        <v xml:space="preserve">| 5 L NS % | 6 L PHP-CGM % | 7 L JAVA @ | 8 L CPT @ </v>
      </c>
      <c r="Z352" s="4" t="str">
        <f ca="1">IFERROR(__xludf.DUMMYFUNCTION("""COMPUTED_VALUE"""),"| 5 L JAVA % | 6 L NS % | 7 P CPT % | 9 P JAVA % ")</f>
        <v xml:space="preserve">| 5 L JAVA % | 6 L NS % | 7 P CPT % | 9 P JAVA % </v>
      </c>
      <c r="AA352" s="4" t="str">
        <f ca="1">IFERROR(__xludf.DUMMYFUNCTION("""COMPUTED_VALUE"""),"| 5 L CPT % | 6 L JAVA % | 7 P Python % | 9 P PRO @ ")</f>
        <v xml:space="preserve">| 5 L CPT % | 6 L JAVA % | 7 P Python % | 9 P PRO @ </v>
      </c>
      <c r="AB352" s="4" t="str">
        <f ca="1">IFERROR(__xludf.DUMMYFUNCTION("""COMPUTED_VALUE"""),"| 5 L PHP-CGM @ | 6 L CPT @ | 7 P JAVA @ ")</f>
        <v xml:space="preserve">| 5 L PHP-CGM @ | 6 L CPT @ | 7 P JAVA @ </v>
      </c>
      <c r="AC352" s="4" t="str">
        <f ca="1">IFERROR(__xludf.DUMMYFUNCTION("""COMPUTED_VALUE"""),"| 5 L PHP-CGM % | 6 L NS % | 7 P NS % | 9 P PHP-CGM % ")</f>
        <v xml:space="preserve">| 5 L PHP-CGM % | 6 L NS % | 7 P NS % | 9 P PHP-CGM % </v>
      </c>
      <c r="AD352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352" s="4" t="str">
        <f ca="1">IFERROR(__xludf.DUMMYFUNCTION("""COMPUTED_VALUE"""),"| 5 L JAVA % | 6 L NS % | 7 P CPT % | 9 P JAVA % ")</f>
        <v xml:space="preserve">| 5 L JAVA % | 6 L NS % | 7 P CPT % | 9 P JAVA % </v>
      </c>
      <c r="AF352" s="4" t="str">
        <f ca="1">IFERROR(__xludf.DUMMYFUNCTION("""COMPUTED_VALUE"""),"| 5 L CPT % | 6 L JAVA % | 7 P Python % | 9 P PRO % ")</f>
        <v xml:space="preserve">| 5 L CPT % | 6 L JAVA % | 7 P Python % | 9 P PRO % </v>
      </c>
      <c r="AG352" s="4" t="str">
        <f ca="1">IFERROR(__xludf.DUMMYFUNCTION("""COMPUTED_VALUE"""),"| 5 L PHP-CGM @ | 6 L CPT @ | 7 P JAVA @ ")</f>
        <v xml:space="preserve">| 5 L PHP-CGM @ | 6 L CPT @ | 7 P JAVA @ </v>
      </c>
      <c r="AH352" s="4" t="str">
        <f ca="1">IFERROR(__xludf.DUMMYFUNCTION("""COMPUTED_VALUE"""),"| 5 L CPT % | 6 L JAVA % | 7 P Python % | 9 P PRO % ")</f>
        <v xml:space="preserve">| 5 L CPT % | 6 L JAVA % | 7 P Python % | 9 P PRO % </v>
      </c>
      <c r="AI352" s="4" t="str">
        <f ca="1">IFERROR(__xludf.DUMMYFUNCTION("""COMPUTED_VALUE"""),"| 4 L PHP-CGM % | 5 P Python % ")</f>
        <v xml:space="preserve">| 4 L PHP-CGM % | 5 P Python % </v>
      </c>
      <c r="AJ352" s="4" t="str">
        <f ca="1">IFERROR(__xludf.DUMMYFUNCTION("""COMPUTED_VALUE"""),"| 1 P JAVA % | 3 L PHP-CGM % | 4 L JAVA % | 5 P PRO @ ")</f>
        <v xml:space="preserve">| 1 P JAVA % | 3 L PHP-CGM % | 4 L JAVA % | 5 P PRO @ </v>
      </c>
      <c r="AK35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2" s="4" t="str">
        <f ca="1">IFERROR(__xludf.DUMMYFUNCTION("""COMPUTED_VALUE"""),"| 3 P NS % | 5 L JAVA % | 6 L NS % ")</f>
        <v xml:space="preserve">| 3 P NS % | 5 L JAVA % | 6 L NS % </v>
      </c>
      <c r="AM352" s="4" t="str">
        <f ca="1">IFERROR(__xludf.DUMMYFUNCTION("""COMPUTED_VALUE"""),"| 1 P PHP-CGM % | 3 P CPT % | 5 L NS % | 6 L CPT % ")</f>
        <v xml:space="preserve">| 1 P PHP-CGM % | 3 P CPT % | 5 L NS % | 6 L CPT % </v>
      </c>
      <c r="AN352" s="4" t="str">
        <f ca="1">IFERROR(__xludf.DUMMYFUNCTION("""COMPUTED_VALUE"""),"| 1 P JAVA % | 4 L PHP-CGM % | 5 P Python @ ")</f>
        <v xml:space="preserve">| 1 P JAVA % | 4 L PHP-CGM % | 5 P Python @ </v>
      </c>
      <c r="AO352" s="4" t="str">
        <f ca="1">IFERROR(__xludf.DUMMYFUNCTION("""COMPUTED_VALUE"""),"| 1 P JAVA % | 3 L PHP-CGM % | 4 L JAVA % | 5 P PRO % ")</f>
        <v xml:space="preserve">| 1 P JAVA % | 3 L PHP-CGM % | 4 L JAVA % | 5 P PRO % </v>
      </c>
      <c r="AP35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52" s="4" t="str">
        <f ca="1">IFERROR(__xludf.DUMMYFUNCTION("""COMPUTED_VALUE"""),"| 1 L INE % | 3 P NS % | 5 L JAVA % | 6 L NS % ")</f>
        <v xml:space="preserve">| 1 L INE % | 3 P NS % | 5 L JAVA % | 6 L NS % </v>
      </c>
      <c r="AR352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52" s="4" t="str">
        <f ca="1">IFERROR(__xludf.DUMMYFUNCTION("""COMPUTED_VALUE"""),"| 1 P JAVA % | 3 L PHP-CGM % | 4 L JAVA % | 5 P PRO % ")</f>
        <v xml:space="preserve">| 1 P JAVA % | 3 L PHP-CGM % | 4 L JAVA % | 5 P PRO % </v>
      </c>
      <c r="AT352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52" s="4" t="str">
        <f ca="1">IFERROR(__xludf.DUMMYFUNCTION("""COMPUTED_VALUE"""),"| 1 L INE % | 3 P NS % | 5 L JAVA % | 6 L NS % ")</f>
        <v xml:space="preserve">| 1 L INE % | 3 P NS % | 5 L JAVA % | 6 L NS % </v>
      </c>
      <c r="AV352" s="4" t="str">
        <f ca="1">IFERROR(__xludf.DUMMYFUNCTION("""COMPUTED_VALUE"""),"| 1 P PHP-CGM % | 3 P CPT % | 5 L NS @ | 6 L CPT @ ")</f>
        <v xml:space="preserve">| 1 P PHP-CGM % | 3 P CPT % | 5 L NS @ | 6 L CPT @ </v>
      </c>
      <c r="AW352" s="4" t="str">
        <f ca="1">IFERROR(__xludf.DUMMYFUNCTION("""COMPUTED_VALUE"""),"| 1 P JAVA @ | 3 L CPT @ | 4 L PHP-CGM @ | 5 P Python @ ")</f>
        <v xml:space="preserve">| 1 P JAVA @ | 3 L CPT @ | 4 L PHP-CGM @ | 5 P Python @ </v>
      </c>
      <c r="AX352" s="4" t="str">
        <f ca="1">IFERROR(__xludf.DUMMYFUNCTION("""COMPUTED_VALUE"""),"| 1 P JAVA % | 3 L JAVA % | 4 L PHP-CGM % | 5 P PRO % ")</f>
        <v xml:space="preserve">| 1 P JAVA % | 3 L JAVA % | 4 L PHP-CGM % | 5 P PRO % </v>
      </c>
      <c r="AY352" s="4" t="str">
        <f ca="1">IFERROR(__xludf.DUMMYFUNCTION("""COMPUTED_VALUE"""),"| 2 L PHP-CGM % | 3 P Python % | 5 L CPT @ | 6 L NS @ | 1 L JAVA % ")</f>
        <v xml:space="preserve">| 2 L PHP-CGM % | 3 P Python % | 5 L CPT @ | 6 L NS @ | 1 L JAVA % </v>
      </c>
      <c r="AZ352" s="4" t="str">
        <f ca="1">IFERROR(__xludf.DUMMYFUNCTION("""COMPUTED_VALUE"""),"| 1 P PHP-CGM % | 3 P CPT % | 5 L NS % | 6 L CPT % ")</f>
        <v xml:space="preserve">| 1 P PHP-CGM % | 3 P CPT % | 5 L NS % | 6 L CPT % </v>
      </c>
      <c r="BA352" s="4" t="str">
        <f ca="1">IFERROR(__xludf.DUMMYFUNCTION("""COMPUTED_VALUE"""),"| 1 P JAVA % | 3 L CPT % | 4 L PHP-CGM % | 5 P Python @ ")</f>
        <v xml:space="preserve">| 1 P JAVA % | 3 L CPT % | 4 L PHP-CGM % | 5 P Python @ </v>
      </c>
      <c r="BB352" s="4" t="str">
        <f ca="1">IFERROR(__xludf.DUMMYFUNCTION("""COMPUTED_VALUE"""),"| 1 P JAVA @ | 3 L PHP-CGM % | 4 L JAVA % | 5 L PRO % ")</f>
        <v xml:space="preserve">| 1 P JAVA @ | 3 L PHP-CGM % | 4 L JAVA % | 5 L PRO % </v>
      </c>
      <c r="BC352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BD352" s="4" t="str">
        <f ca="1">IFERROR(__xludf.DUMMYFUNCTION("""COMPUTED_VALUE"""),"| 1 L INE @ | 3 P NS % | 5 L JAVA @ | 6 L NS @ ")</f>
        <v xml:space="preserve">| 1 L INE @ | 3 P NS % | 5 L JAVA @ | 6 L NS @ </v>
      </c>
      <c r="BE352" s="4" t="str">
        <f ca="1">IFERROR(__xludf.DUMMYFUNCTION("""COMPUTED_VALUE"""),"| 1 P PHP-CGM % | 3 P CPT % | 5 L NS % | 6 L CPT @ ")</f>
        <v xml:space="preserve">| 1 P PHP-CGM % | 3 P CPT % | 5 L NS % | 6 L CPT @ </v>
      </c>
      <c r="BF352" s="4" t="str">
        <f ca="1">IFERROR(__xludf.DUMMYFUNCTION("""COMPUTED_VALUE"""),"| 1 P JAVA % | 3 L CPT % | 4 L PHP-CGM % | 5 P Python @ ")</f>
        <v xml:space="preserve">| 1 P JAVA % | 3 L CPT % | 4 L PHP-CGM % | 5 P Python @ </v>
      </c>
      <c r="BG352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H352" s="4" t="str">
        <f ca="1">IFERROR(__xludf.DUMMYFUNCTION("""COMPUTED_VALUE"""),"| 1 L INE % | 3 P NS % | 5 L JAVA % | 6 L NS % ")</f>
        <v xml:space="preserve">| 1 L INE % | 3 P NS % | 5 L JAVA % | 6 L NS % </v>
      </c>
      <c r="BI352" s="4" t="str">
        <f ca="1">IFERROR(__xludf.DUMMYFUNCTION("""COMPUTED_VALUE"""),"| 1 P PHP-CGM % | 3 P CPT % | 5 L NS @ | 6 L CPT @ ")</f>
        <v xml:space="preserve">| 1 P PHP-CGM % | 3 P CPT % | 5 L NS @ | 6 L CPT @ </v>
      </c>
      <c r="BJ352" s="4" t="str">
        <f ca="1">IFERROR(__xludf.DUMMYFUNCTION("""COMPUTED_VALUE"""),"| 1 P JAVA @ | 3 L CPT @ | 4 L PHP-CGM @ | 5 P Python @ ")</f>
        <v xml:space="preserve">| 1 P JAVA @ | 3 L CPT @ | 4 L PHP-CGM @ | 5 P Python @ </v>
      </c>
      <c r="BK352" s="4" t="str">
        <f ca="1">IFERROR(__xludf.DUMMYFUNCTION("""COMPUTED_VALUE"""),"| 1 P JAVA @ | 3 L PHP-CGM % | 4 L JAVA % | 5 P PRO @ ")</f>
        <v xml:space="preserve">| 1 P JAVA @ | 3 L PHP-CGM % | 4 L JAVA % | 5 P PRO @ </v>
      </c>
      <c r="BL352" s="4" t="str">
        <f ca="1">IFERROR(__xludf.DUMMYFUNCTION("""COMPUTED_VALUE"""),"| 1 L JAVA % | 2 L PHP-CGM % | 3 P Python @ | 6 L NS @ | 5 L CPT @ ")</f>
        <v xml:space="preserve">| 1 L JAVA % | 2 L PHP-CGM % | 3 P Python @ | 6 L NS @ | 5 L CPT @ </v>
      </c>
      <c r="BM352" s="4" t="str">
        <f ca="1">IFERROR(__xludf.DUMMYFUNCTION("""COMPUTED_VALUE"""),"| 1 L INE % | 3 P NS % | 5 L JAVA @ | 6 L NS @ ")</f>
        <v xml:space="preserve">| 1 L INE % | 3 P NS % | 5 L JAVA @ | 6 L NS @ </v>
      </c>
      <c r="BN352" s="4" t="str">
        <f ca="1">IFERROR(__xludf.DUMMYFUNCTION("""COMPUTED_VALUE"""),"| 1 P PHP-CGM % | 3 P CPT @ | 5 L NS % | 6 L CPT % ")</f>
        <v xml:space="preserve">| 1 P PHP-CGM % | 3 P CPT @ | 5 L NS % | 6 L CPT % </v>
      </c>
      <c r="BO352" s="4" t="str">
        <f ca="1">IFERROR(__xludf.DUMMYFUNCTION("""COMPUTED_VALUE"""),"| 1 P JAVA @ | 4 L PHP-CGM % | 3 L CPT % | 5 P Python % ")</f>
        <v xml:space="preserve">| 1 P JAVA @ | 4 L PHP-CGM % | 3 L CPT % | 5 P Python % </v>
      </c>
      <c r="BP352" s="4" t="str">
        <f ca="1">IFERROR(__xludf.DUMMYFUNCTION("""COMPUTED_VALUE"""),"| 1 P JAVA % | 3 L PHP-CGM % | 4 L JAVA % | 5 P PRO @ ")</f>
        <v xml:space="preserve">| 1 P JAVA % | 3 L PHP-CGM % | 4 L JAVA % | 5 P PRO @ </v>
      </c>
      <c r="BQ352" s="4" t="str">
        <f ca="1">IFERROR(__xludf.DUMMYFUNCTION("""COMPUTED_VALUE"""),"| 6 L NS % | 5 L JAVA @ ")</f>
        <v xml:space="preserve">| 6 L NS % | 5 L JAVA @ </v>
      </c>
      <c r="BR352" s="4"/>
      <c r="BS352" s="4" t="str">
        <f ca="1">IFERROR(__xludf.DUMMYFUNCTION("""COMPUTED_VALUE"""),"| 4 L PHP-CGM % ")</f>
        <v xml:space="preserve">| 4 L PHP-CGM % </v>
      </c>
      <c r="BT352" s="4" t="str">
        <f ca="1">IFERROR(__xludf.DUMMYFUNCTION("""COMPUTED_VALUE"""),"| 1 P JAVA @ | 3 L PHP-CGM % ")</f>
        <v xml:space="preserve">| 1 P JAVA @ | 3 L PHP-CGM % </v>
      </c>
      <c r="BU352" s="4" t="str">
        <f ca="1">IFERROR(__xludf.DUMMYFUNCTION("""COMPUTED_VALUE"""),"| 1 L JAVA % | 2 L PHP-CGM % | 3 P Python % ")</f>
        <v xml:space="preserve">| 1 L JAVA % | 2 L PHP-CGM % | 3 P Python % </v>
      </c>
      <c r="BV352" s="4" t="str">
        <f ca="1">IFERROR(__xludf.DUMMYFUNCTION("""COMPUTED_VALUE"""),"| 1 P JAVA % | 3 L PHP-CGM % | 4 L JAVA % | 5 P PRO @ ")</f>
        <v xml:space="preserve">| 1 P JAVA % | 3 L PHP-CGM % | 4 L JAVA % | 5 P PRO @ </v>
      </c>
      <c r="BW352" s="4" t="str">
        <f ca="1">IFERROR(__xludf.DUMMYFUNCTION("""COMPUTED_VALUE"""),"| 1 L JAVA % | 2 L PHP-CGM % | 3 P Python % ")</f>
        <v xml:space="preserve">| 1 L JAVA % | 2 L PHP-CGM % | 3 P Python % </v>
      </c>
      <c r="BX352" s="4" t="str">
        <f ca="1">IFERROR(__xludf.DUMMYFUNCTION("""COMPUTED_VALUE"""),"| 1 L INE % | 3 P NS % | 5 L JAVA % | 6 L NS % ")</f>
        <v xml:space="preserve">| 1 L INE % | 3 P NS % | 5 L JAVA % | 6 L NS % </v>
      </c>
      <c r="BY352" s="4" t="str">
        <f ca="1">IFERROR(__xludf.DUMMYFUNCTION("""COMPUTED_VALUE"""),"| 1 P PHP-CGM % | 3 P CPT % | 5 L NS @ | 6 L CPT @ ")</f>
        <v xml:space="preserve">| 1 P PHP-CGM % | 3 P CPT % | 5 L NS @ | 6 L CPT @ </v>
      </c>
      <c r="BZ352" s="4" t="str">
        <f ca="1">IFERROR(__xludf.DUMMYFUNCTION("""COMPUTED_VALUE"""),"| 1 P JAVA % | 3 L CPT % | 4 L PHP-CGM % | 5 P Python % ")</f>
        <v xml:space="preserve">| 1 P JAVA % | 3 L CPT % | 4 L PHP-CGM % | 5 P Python % </v>
      </c>
      <c r="CA352" s="4" t="str">
        <f ca="1">IFERROR(__xludf.DUMMYFUNCTION("""COMPUTED_VALUE"""),"| 1 P JAVA % | 3 L PHP-CGM % | 3 L JAVA % | 5 P PRO @ ")</f>
        <v xml:space="preserve">| 1 P JAVA % | 3 L PHP-CGM % | 3 L JAVA % | 5 P PRO @ </v>
      </c>
      <c r="CB352" s="4" t="str">
        <f ca="1">IFERROR(__xludf.DUMMYFUNCTION("""COMPUTED_VALUE"""),"| 1 L JAVA % | 2 L PHP-CGM % | 3 P Python % | 6 L NS @ | 5 L CPT @ ")</f>
        <v xml:space="preserve">| 1 L JAVA % | 2 L PHP-CGM % | 3 P Python % | 6 L NS @ | 5 L CPT @ </v>
      </c>
      <c r="CC352" s="4" t="str">
        <f ca="1">IFERROR(__xludf.DUMMYFUNCTION("""COMPUTED_VALUE"""),"| 1 L INE % | 3 P NS % | 5 L JAVA @ | 6 L NS @ ")</f>
        <v xml:space="preserve">| 1 L INE % | 3 P NS % | 5 L JAVA @ | 6 L NS @ </v>
      </c>
      <c r="CD352" s="4" t="str">
        <f ca="1">IFERROR(__xludf.DUMMYFUNCTION("""COMPUTED_VALUE"""),"| 1 P PHP-CGM @ | 3 P CPT @ | 5 L NS @ | 6 L CPT @ ")</f>
        <v xml:space="preserve">| 1 P PHP-CGM @ | 3 P CPT @ | 5 L NS @ | 6 L CPT @ </v>
      </c>
      <c r="CE352" s="4" t="str">
        <f ca="1">IFERROR(__xludf.DUMMYFUNCTION("""COMPUTED_VALUE"""),"| 1 P JAVA @ | 3 L CPT @ | 4 L PHP-CGM @ | 5 P Python @ ")</f>
        <v xml:space="preserve">| 1 P JAVA @ | 3 L CPT @ | 4 L PHP-CGM @ | 5 P Python @ </v>
      </c>
      <c r="CF352" s="4" t="str">
        <f ca="1">IFERROR(__xludf.DUMMYFUNCTION("""COMPUTED_VALUE"""),"| 1 P JAVA % | 4 L JAVA % | 3 L PHP-CGM % | 5 L PRO % ")</f>
        <v xml:space="preserve">| 1 P JAVA % | 4 L JAVA % | 3 L PHP-CGM % | 5 L PRO % </v>
      </c>
      <c r="CG352" s="4" t="str">
        <f ca="1">IFERROR(__xludf.DUMMYFUNCTION("""COMPUTED_VALUE"""),"| 1 L JAVA % | 2 L PHP-CGM % | 3 P Python % | 6 L NS @ ")</f>
        <v xml:space="preserve">| 1 L JAVA % | 2 L PHP-CGM % | 3 P Python % | 6 L NS @ </v>
      </c>
      <c r="CH352" s="4" t="str">
        <f ca="1">IFERROR(__xludf.DUMMYFUNCTION("""COMPUTED_VALUE"""),"| 1 L INE @ | 3 P NS % | 5 L JAVA @ | 6 L NS % ")</f>
        <v xml:space="preserve">| 1 L INE @ | 3 P NS % | 5 L JAVA @ | 6 L NS % </v>
      </c>
      <c r="CI352" s="4" t="str">
        <f ca="1">IFERROR(__xludf.DUMMYFUNCTION("""COMPUTED_VALUE"""),"| 3 P CPT % | 5 L NS @ | 6 L CPT @ ")</f>
        <v xml:space="preserve">| 3 P CPT % | 5 L NS @ | 6 L CPT @ </v>
      </c>
      <c r="CJ352" s="4" t="str">
        <f ca="1">IFERROR(__xludf.DUMMYFUNCTION("""COMPUTED_VALUE"""),"| 3 L CPT @ ")</f>
        <v xml:space="preserve">| 3 L CPT @ </v>
      </c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</row>
    <row r="353" spans="1:102" ht="12.5" x14ac:dyDescent="0.25">
      <c r="A353" s="3">
        <f ca="1">IFERROR(__xludf.DUMMYFUNCTION("""COMPUTED_VALUE"""),1)</f>
        <v>1</v>
      </c>
      <c r="B353" s="3" t="str">
        <f ca="1">IFERROR(__xludf.DUMMYFUNCTION("""COMPUTED_VALUE"""),"ITA")</f>
        <v>ITA</v>
      </c>
      <c r="C353" s="32" t="str">
        <f ca="1">IFERROR(__xludf.DUMMYFUNCTION("""COMPUTED_VALUE"""),"23291371033")</f>
        <v>23291371033</v>
      </c>
      <c r="D353" s="4" t="str">
        <f ca="1">IFERROR(__xludf.DUMMYFUNCTION("""COMPUTED_VALUE"""),"JOSHI DEVKUMAR MAHESHBHAI")</f>
        <v>JOSHI DEVKUMAR MAHESHBHAI</v>
      </c>
      <c r="E353" s="3" t="str">
        <f ca="1">IFERROR(__xludf.DUMMYFUNCTION("""COMPUTED_VALUE"""),"Sweety - Mor")</f>
        <v>Sweety - Mor</v>
      </c>
      <c r="F353" s="3">
        <f ca="1">IFERROR(__xludf.DUMMYFUNCTION("""COMPUTED_VALUE"""),9265342821)</f>
        <v>9265342821</v>
      </c>
      <c r="G353" s="3">
        <f ca="1">IFERROR(__xludf.DUMMYFUNCTION("""COMPUTED_VALUE"""),9624969211)</f>
        <v>9624969211</v>
      </c>
      <c r="H353" s="33">
        <f ca="1">IFERROR(__xludf.DUMMYFUNCTION("""COMPUTED_VALUE"""),0.57258064516129)</f>
        <v>0.57258064516129004</v>
      </c>
      <c r="I353" s="25">
        <f ca="1">IFERROR(__xludf.DUMMYFUNCTION("""COMPUTED_VALUE"""),0.485714285714285)</f>
        <v>0.48571428571428499</v>
      </c>
      <c r="J353" s="25">
        <f ca="1">IFERROR(__xludf.DUMMYFUNCTION("""COMPUTED_VALUE"""),0.692307692307692)</f>
        <v>0.69230769230769196</v>
      </c>
      <c r="K353" s="25">
        <f ca="1">IFERROR(__xludf.DUMMYFUNCTION("""COMPUTED_VALUE"""),0.527777777777777)</f>
        <v>0.52777777777777701</v>
      </c>
      <c r="L353" s="25">
        <f ca="1">IFERROR(__xludf.DUMMYFUNCTION("""COMPUTED_VALUE"""),0.727272727272727)</f>
        <v>0.72727272727272696</v>
      </c>
      <c r="M353" s="25">
        <f ca="1">IFERROR(__xludf.DUMMYFUNCTION("""COMPUTED_VALUE"""),0.605263157894736)</f>
        <v>0.60526315789473595</v>
      </c>
      <c r="N353" s="25">
        <f ca="1">IFERROR(__xludf.DUMMYFUNCTION("""COMPUTED_VALUE"""),0.636363636363636)</f>
        <v>0.63636363636363602</v>
      </c>
      <c r="O353" s="25">
        <f ca="1">IFERROR(__xludf.DUMMYFUNCTION("""COMPUTED_VALUE"""),0.583333333333333)</f>
        <v>0.58333333333333304</v>
      </c>
      <c r="P353" s="25">
        <f ca="1">IFERROR(__xludf.DUMMYFUNCTION("""COMPUTED_VALUE"""),0.541666666666666)</f>
        <v>0.54166666666666596</v>
      </c>
      <c r="Q353" s="25">
        <f ca="1">IFERROR(__xludf.DUMMYFUNCTION("""COMPUTED_VALUE"""),0)</f>
        <v>0</v>
      </c>
      <c r="R353" s="25">
        <f ca="1">IFERROR(__xludf.DUMMYFUNCTION("""COMPUTED_VALUE"""),0.583333333333333)</f>
        <v>0.58333333333333304</v>
      </c>
      <c r="S353" s="25">
        <f ca="1">IFERROR(__xludf.DUMMYFUNCTION("""COMPUTED_VALUE"""),0.333333333333333)</f>
        <v>0.33333333333333298</v>
      </c>
      <c r="T353" s="25">
        <f ca="1">IFERROR(__xludf.DUMMYFUNCTION("""COMPUTED_VALUE"""),0.666666666666666)</f>
        <v>0.66666666666666596</v>
      </c>
      <c r="U353" s="25">
        <f ca="1">IFERROR(__xludf.DUMMYFUNCTION("""COMPUTED_VALUE"""),0.5)</f>
        <v>0.5</v>
      </c>
      <c r="V353" s="25">
        <f ca="1">IFERROR(__xludf.DUMMYFUNCTION("""COMPUTED_VALUE"""),0)</f>
        <v>0</v>
      </c>
      <c r="W353" s="4"/>
      <c r="X353" s="4" t="str">
        <f ca="1">IFERROR(__xludf.DUMMYFUNCTION("""COMPUTED_VALUE"""),"| 1 P JAVA @ | 4 L JAVA @ | 3 L PHP-CGM @ | 1 L PRO @ ")</f>
        <v xml:space="preserve">| 1 P JAVA @ | 4 L JAVA @ | 3 L PHP-CGM @ | 1 L PRO @ </v>
      </c>
      <c r="Y353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Z353" s="4" t="str">
        <f ca="1">IFERROR(__xludf.DUMMYFUNCTION("""COMPUTED_VALUE"""),"| 3 P NS @ | 5 L JAVA @ | 6 L NS @ ")</f>
        <v xml:space="preserve">| 3 P NS @ | 5 L JAVA @ | 6 L NS @ </v>
      </c>
      <c r="AA353" s="4" t="str">
        <f ca="1">IFERROR(__xludf.DUMMYFUNCTION("""COMPUTED_VALUE"""),"| 3 P CPT % | 5 L NS % | 6 L CPT % ")</f>
        <v xml:space="preserve">| 3 P CPT % | 5 L NS % | 6 L CPT % </v>
      </c>
      <c r="AB353" s="4" t="str">
        <f ca="1">IFERROR(__xludf.DUMMYFUNCTION("""COMPUTED_VALUE"""),"| 1 P JAVA % | 3 L CPT % | 4 L PHP-CGM % | 5 P Python % ")</f>
        <v xml:space="preserve">| 1 P JAVA % | 3 L CPT % | 4 L PHP-CGM % | 5 P Python % </v>
      </c>
      <c r="AC353" s="4" t="str">
        <f ca="1">IFERROR(__xludf.DUMMYFUNCTION("""COMPUTED_VALUE"""),"| 1 P JAVA % | 3 L PHP-CGM @ | 5 P PRO % ")</f>
        <v xml:space="preserve">| 1 P JAVA % | 3 L PHP-CGM @ | 5 P PRO % </v>
      </c>
      <c r="AD353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53" s="4" t="str">
        <f ca="1">IFERROR(__xludf.DUMMYFUNCTION("""COMPUTED_VALUE"""),"| 3 P NS % | 5 L JAVA % | 6 L NS % ")</f>
        <v xml:space="preserve">| 3 P NS % | 5 L JAVA % | 6 L NS % </v>
      </c>
      <c r="AF353" s="4" t="str">
        <f ca="1">IFERROR(__xludf.DUMMYFUNCTION("""COMPUTED_VALUE"""),"| 1 P PHP-CGM % | 3 P CPT % | 5 L NS @ | 6 L CPT @ ")</f>
        <v xml:space="preserve">| 1 P PHP-CGM % | 3 P CPT % | 5 L NS @ | 6 L CPT @ </v>
      </c>
      <c r="AG353" s="4" t="str">
        <f ca="1">IFERROR(__xludf.DUMMYFUNCTION("""COMPUTED_VALUE"""),"| 1 P JAVA @ | 3 L CPT @ | 4 L PHP-CGM @ | 5 P Python @ ")</f>
        <v xml:space="preserve">| 1 P JAVA @ | 3 L CPT @ | 4 L PHP-CGM @ | 5 P Python @ </v>
      </c>
      <c r="AH353" s="4" t="str">
        <f ca="1">IFERROR(__xludf.DUMMYFUNCTION("""COMPUTED_VALUE"""),"| 1 P PHP-CGM % | 3 P CPT @ | 5 L NS % | 6 L CPT % ")</f>
        <v xml:space="preserve">| 1 P PHP-CGM % | 3 P CPT @ | 5 L NS % | 6 L CPT % </v>
      </c>
      <c r="AI353" s="4" t="str">
        <f ca="1">IFERROR(__xludf.DUMMYFUNCTION("""COMPUTED_VALUE"""),"| 1 P JAVA % | 3 L CPT % | 4 L PHP-CGM % | 5 P Python % ")</f>
        <v xml:space="preserve">| 1 P JAVA % | 3 L CPT % | 4 L PHP-CGM % | 5 P Python % </v>
      </c>
      <c r="AJ353" s="4" t="str">
        <f ca="1">IFERROR(__xludf.DUMMYFUNCTION("""COMPUTED_VALUE"""),"| 1 P JAVA % | 3 L PHP-CGM % | 4 L JAVA % | 5 P PRO % ")</f>
        <v xml:space="preserve">| 1 P JAVA % | 3 L PHP-CGM % | 4 L JAVA % | 5 P PRO % </v>
      </c>
      <c r="AK35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3" s="4" t="str">
        <f ca="1">IFERROR(__xludf.DUMMYFUNCTION("""COMPUTED_VALUE"""),"| 3 P NS % | 5 L JAVA % | 6 L NS % ")</f>
        <v xml:space="preserve">| 3 P NS % | 5 L JAVA % | 6 L NS % </v>
      </c>
      <c r="AM353" s="4" t="str">
        <f ca="1">IFERROR(__xludf.DUMMYFUNCTION("""COMPUTED_VALUE"""),"| 1 P PHP-CGM % | 3 P CPT % | 5 L NS @ | 6 L CPT @ ")</f>
        <v xml:space="preserve">| 1 P PHP-CGM % | 3 P CPT % | 5 L NS @ | 6 L CPT @ </v>
      </c>
      <c r="AN353" s="4" t="str">
        <f ca="1">IFERROR(__xludf.DUMMYFUNCTION("""COMPUTED_VALUE"""),"| 1 P JAVA @ | 4 L PHP-CGM @ | 5 P Python @ ")</f>
        <v xml:space="preserve">| 1 P JAVA @ | 4 L PHP-CGM @ | 5 P Python @ </v>
      </c>
      <c r="AO353" s="4" t="str">
        <f ca="1">IFERROR(__xludf.DUMMYFUNCTION("""COMPUTED_VALUE"""),"| 1 P JAVA % | 3 L PHP-CGM % | 4 L JAVA % | 5 P PRO % ")</f>
        <v xml:space="preserve">| 1 P JAVA % | 3 L PHP-CGM % | 4 L JAVA % | 5 P PRO % </v>
      </c>
      <c r="AP353" s="4" t="str">
        <f ca="1">IFERROR(__xludf.DUMMYFUNCTION("""COMPUTED_VALUE"""),"| 1 L JAVA @ | 2 L PHP-CGM @ | 3 P Python % | 5 L CPT % | 6 L NS % ")</f>
        <v xml:space="preserve">| 1 L JAVA @ | 2 L PHP-CGM @ | 3 P Python % | 5 L CPT % | 6 L NS % </v>
      </c>
      <c r="AQ353" s="4" t="str">
        <f ca="1">IFERROR(__xludf.DUMMYFUNCTION("""COMPUTED_VALUE"""),"| 1 L INE % | 3 P NS % | 5 L JAVA % | 6 L NS % ")</f>
        <v xml:space="preserve">| 1 L INE % | 3 P NS % | 5 L JAVA % | 6 L NS % </v>
      </c>
      <c r="AR353" s="4" t="str">
        <f ca="1">IFERROR(__xludf.DUMMYFUNCTION("""COMPUTED_VALUE"""),"| 1 P PHP-CGM % | 3 L CPT @ | 3 P CPT % | 5 L NS @ | 6 L CPT @ ")</f>
        <v xml:space="preserve">| 1 P PHP-CGM % | 3 L CPT @ | 3 P CPT % | 5 L NS @ | 6 L CPT @ </v>
      </c>
      <c r="AS353" s="4" t="str">
        <f ca="1">IFERROR(__xludf.DUMMYFUNCTION("""COMPUTED_VALUE"""),"| 1 P JAVA @ | 3 L PHP-CGM @ | 4 L JAVA @ | 5 P PRO @ ")</f>
        <v xml:space="preserve">| 1 P JAVA @ | 3 L PHP-CGM @ | 4 L JAVA @ | 5 P PRO @ </v>
      </c>
      <c r="AT353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U353" s="4" t="str">
        <f ca="1">IFERROR(__xludf.DUMMYFUNCTION("""COMPUTED_VALUE"""),"| 1 L INE @ | 3 P NS % | 5 L JAVA % | 6 L NS % ")</f>
        <v xml:space="preserve">| 1 L INE @ | 3 P NS % | 5 L JAVA % | 6 L NS % </v>
      </c>
      <c r="AV353" s="4" t="str">
        <f ca="1">IFERROR(__xludf.DUMMYFUNCTION("""COMPUTED_VALUE"""),"| 1 P PHP-CGM % | 3 P CPT % | 5 L NS % | 6 L CPT % ")</f>
        <v xml:space="preserve">| 1 P PHP-CGM % | 3 P CPT % | 5 L NS % | 6 L CPT % </v>
      </c>
      <c r="AW353" s="4" t="str">
        <f ca="1">IFERROR(__xludf.DUMMYFUNCTION("""COMPUTED_VALUE"""),"| 1 P JAVA % | 3 L CPT @ | 4 L PHP-CGM % | 5 P Python % ")</f>
        <v xml:space="preserve">| 1 P JAVA % | 3 L CPT @ | 4 L PHP-CGM % | 5 P Python % </v>
      </c>
      <c r="AX353" s="4" t="str">
        <f ca="1">IFERROR(__xludf.DUMMYFUNCTION("""COMPUTED_VALUE"""),"| 1 P JAVA % | 3 L JAVA % | 4 L PHP-CGM % | 5 P PRO % ")</f>
        <v xml:space="preserve">| 1 P JAVA % | 3 L JAVA % | 4 L PHP-CGM % | 5 P PRO % </v>
      </c>
      <c r="AY353" s="4" t="str">
        <f ca="1">IFERROR(__xludf.DUMMYFUNCTION("""COMPUTED_VALUE"""),"| 2 L PHP-CGM % | 3 P Python % | 5 L CPT @ | 6 L NS @ | 1 L JAVA % ")</f>
        <v xml:space="preserve">| 2 L PHP-CGM % | 3 P Python % | 5 L CPT @ | 6 L NS @ | 1 L JAVA % </v>
      </c>
      <c r="AZ353" s="4" t="str">
        <f ca="1">IFERROR(__xludf.DUMMYFUNCTION("""COMPUTED_VALUE"""),"| 1 P PHP-CGM % | 3 P CPT % | 5 L NS % | 6 L CPT % ")</f>
        <v xml:space="preserve">| 1 P PHP-CGM % | 3 P CPT % | 5 L NS % | 6 L CPT % </v>
      </c>
      <c r="BA353" s="4" t="str">
        <f ca="1">IFERROR(__xludf.DUMMYFUNCTION("""COMPUTED_VALUE"""),"| 1 P JAVA % | 3 L CPT % | 4 L PHP-CGM % | 5 P Python % ")</f>
        <v xml:space="preserve">| 1 P JAVA % | 3 L CPT % | 4 L PHP-CGM % | 5 P Python % </v>
      </c>
      <c r="BB353" s="4" t="str">
        <f ca="1">IFERROR(__xludf.DUMMYFUNCTION("""COMPUTED_VALUE"""),"| 1 P JAVA @ | 3 L PHP-CGM % | 4 L JAVA @ | 5 L PRO @ ")</f>
        <v xml:space="preserve">| 1 P JAVA @ | 3 L PHP-CGM % | 4 L JAVA @ | 5 L PRO @ </v>
      </c>
      <c r="BC353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D353" s="4" t="str">
        <f ca="1">IFERROR(__xludf.DUMMYFUNCTION("""COMPUTED_VALUE"""),"| 1 L INE @ | 3 P NS @ | 5 L JAVA @ | 6 L NS @ ")</f>
        <v xml:space="preserve">| 1 L INE @ | 3 P NS @ | 5 L JAVA @ | 6 L NS @ </v>
      </c>
      <c r="BE353" s="4" t="str">
        <f ca="1">IFERROR(__xludf.DUMMYFUNCTION("""COMPUTED_VALUE"""),"| 1 P PHP-CGM @ | 3 P CPT @ | 5 L NS @ | 6 L CPT @ ")</f>
        <v xml:space="preserve">| 1 P PHP-CGM @ | 3 P CPT @ | 5 L NS @ | 6 L CPT @ </v>
      </c>
      <c r="BF353" s="4" t="str">
        <f ca="1">IFERROR(__xludf.DUMMYFUNCTION("""COMPUTED_VALUE"""),"| 1 P JAVA @ | 3 L CPT @ | 4 L PHP-CGM @ | 5 P Python @ ")</f>
        <v xml:space="preserve">| 1 P JAVA @ | 3 L CPT @ | 4 L PHP-CGM @ | 5 P Python @ </v>
      </c>
      <c r="BG353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53" s="4" t="str">
        <f ca="1">IFERROR(__xludf.DUMMYFUNCTION("""COMPUTED_VALUE"""),"| 1 L INE % | 3 P NS % | 5 L JAVA % | 6 L NS % ")</f>
        <v xml:space="preserve">| 1 L INE % | 3 P NS % | 5 L JAVA % | 6 L NS % </v>
      </c>
      <c r="BI353" s="4" t="str">
        <f ca="1">IFERROR(__xludf.DUMMYFUNCTION("""COMPUTED_VALUE"""),"| 1 P PHP-CGM % | 3 P CPT % | 5 L NS % | 6 L CPT % ")</f>
        <v xml:space="preserve">| 1 P PHP-CGM % | 3 P CPT % | 5 L NS % | 6 L CPT % </v>
      </c>
      <c r="BJ353" s="4" t="str">
        <f ca="1">IFERROR(__xludf.DUMMYFUNCTION("""COMPUTED_VALUE"""),"| 1 P JAVA % | 3 L CPT % | 4 L PHP-CGM % | 5 P Python % ")</f>
        <v xml:space="preserve">| 1 P JAVA % | 3 L CPT % | 4 L PHP-CGM % | 5 P Python % </v>
      </c>
      <c r="BK353" s="4" t="str">
        <f ca="1">IFERROR(__xludf.DUMMYFUNCTION("""COMPUTED_VALUE"""),"| 1 P JAVA @ | 3 L PHP-CGM % | 4 L JAVA % | 5 P PRO @ ")</f>
        <v xml:space="preserve">| 1 P JAVA @ | 3 L PHP-CGM % | 4 L JAVA % | 5 P PRO @ </v>
      </c>
      <c r="BL353" s="4" t="str">
        <f ca="1">IFERROR(__xludf.DUMMYFUNCTION("""COMPUTED_VALUE"""),"| 1 L JAVA @ | 2 L PHP-CGM @ | 3 P Python @ | 6 L NS % | 5 L CPT % ")</f>
        <v xml:space="preserve">| 1 L JAVA @ | 2 L PHP-CGM @ | 3 P Python @ | 6 L NS % | 5 L CPT % </v>
      </c>
      <c r="BM353" s="4" t="str">
        <f ca="1">IFERROR(__xludf.DUMMYFUNCTION("""COMPUTED_VALUE"""),"| 1 L INE @ | 3 P NS @ | 5 L JAVA @ | 6 L NS @ ")</f>
        <v xml:space="preserve">| 1 L INE @ | 3 P NS @ | 5 L JAVA @ | 6 L NS @ </v>
      </c>
      <c r="BN353" s="4" t="str">
        <f ca="1">IFERROR(__xludf.DUMMYFUNCTION("""COMPUTED_VALUE"""),"| 1 P PHP-CGM @ | 3 P CPT @ | 5 L NS @ | 6 L CPT @ ")</f>
        <v xml:space="preserve">| 1 P PHP-CGM @ | 3 P CPT @ | 5 L NS @ | 6 L CPT @ </v>
      </c>
      <c r="BO353" s="4" t="str">
        <f ca="1">IFERROR(__xludf.DUMMYFUNCTION("""COMPUTED_VALUE"""),"| 1 P JAVA @ | 4 L PHP-CGM @ | 3 L CPT @ | 5 P Python @ ")</f>
        <v xml:space="preserve">| 1 P JAVA @ | 4 L PHP-CGM @ | 3 L CPT @ | 5 P Python @ </v>
      </c>
      <c r="BP353" s="4" t="str">
        <f ca="1">IFERROR(__xludf.DUMMYFUNCTION("""COMPUTED_VALUE"""),"| 1 P JAVA % | 3 L PHP-CGM % | 4 L JAVA % | 5 P PRO % ")</f>
        <v xml:space="preserve">| 1 P JAVA % | 3 L PHP-CGM % | 4 L JAVA % | 5 P PRO % </v>
      </c>
      <c r="BQ353" s="4" t="str">
        <f ca="1">IFERROR(__xludf.DUMMYFUNCTION("""COMPUTED_VALUE"""),"| 6 L NS % | 5 L JAVA % ")</f>
        <v xml:space="preserve">| 6 L NS % | 5 L JAVA % </v>
      </c>
      <c r="BR353" s="4"/>
      <c r="BS353" s="4" t="str">
        <f ca="1">IFERROR(__xludf.DUMMYFUNCTION("""COMPUTED_VALUE"""),"| 4 L PHP-CGM % ")</f>
        <v xml:space="preserve">| 4 L PHP-CGM % </v>
      </c>
      <c r="BT353" s="4" t="str">
        <f ca="1">IFERROR(__xludf.DUMMYFUNCTION("""COMPUTED_VALUE"""),"| 1 P JAVA % | 3 L PHP-CGM % ")</f>
        <v xml:space="preserve">| 1 P JAVA % | 3 L PHP-CGM % </v>
      </c>
      <c r="BU353" s="4" t="str">
        <f ca="1">IFERROR(__xludf.DUMMYFUNCTION("""COMPUTED_VALUE"""),"| 1 L JAVA @ | 2 L PHP-CGM @ | 3 P Python % ")</f>
        <v xml:space="preserve">| 1 L JAVA @ | 2 L PHP-CGM @ | 3 P Python % </v>
      </c>
      <c r="BV353" s="4" t="str">
        <f ca="1">IFERROR(__xludf.DUMMYFUNCTION("""COMPUTED_VALUE"""),"| 1 P JAVA % | 3 L PHP-CGM % | 4 L JAVA % | 5 P PRO @ ")</f>
        <v xml:space="preserve">| 1 P JAVA % | 3 L PHP-CGM % | 4 L JAVA % | 5 P PRO @ </v>
      </c>
      <c r="BW353" s="4" t="str">
        <f ca="1">IFERROR(__xludf.DUMMYFUNCTION("""COMPUTED_VALUE"""),"| 1 L JAVA % | 2 L PHP-CGM % | 3 P Python % ")</f>
        <v xml:space="preserve">| 1 L JAVA % | 2 L PHP-CGM % | 3 P Python % </v>
      </c>
      <c r="BX353" s="4" t="str">
        <f ca="1">IFERROR(__xludf.DUMMYFUNCTION("""COMPUTED_VALUE"""),"| 1 L INE % | 3 P NS % | 5 L JAVA @ | 6 L NS @ ")</f>
        <v xml:space="preserve">| 1 L INE % | 3 P NS % | 5 L JAVA @ | 6 L NS @ </v>
      </c>
      <c r="BY353" s="4" t="str">
        <f ca="1">IFERROR(__xludf.DUMMYFUNCTION("""COMPUTED_VALUE"""),"| 1 P PHP-CGM @ | 3 P CPT @ | 5 L NS @ | 6 L CPT @ ")</f>
        <v xml:space="preserve">| 1 P PHP-CGM @ | 3 P CPT @ | 5 L NS @ | 6 L CPT @ </v>
      </c>
      <c r="BZ353" s="4" t="str">
        <f ca="1">IFERROR(__xludf.DUMMYFUNCTION("""COMPUTED_VALUE"""),"| 1 P JAVA @ | 3 L CPT @ | 4 L PHP-CGM @ | 5 P Python @ ")</f>
        <v xml:space="preserve">| 1 P JAVA @ | 3 L CPT @ | 4 L PHP-CGM @ | 5 P Python @ </v>
      </c>
      <c r="CA353" s="4" t="str">
        <f ca="1">IFERROR(__xludf.DUMMYFUNCTION("""COMPUTED_VALUE"""),"| 1 P JAVA @ | 3 L PHP-CGM % | 3 L JAVA % | 5 P PRO % ")</f>
        <v xml:space="preserve">| 1 P JAVA @ | 3 L PHP-CGM % | 3 L JAVA % | 5 P PRO % </v>
      </c>
      <c r="CB353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CC353" s="4" t="str">
        <f ca="1">IFERROR(__xludf.DUMMYFUNCTION("""COMPUTED_VALUE"""),"| 1 L INE % | 3 P NS % | 5 L JAVA @ | 6 L NS @ ")</f>
        <v xml:space="preserve">| 1 L INE % | 3 P NS % | 5 L JAVA @ | 6 L NS @ </v>
      </c>
      <c r="CD353" s="4" t="str">
        <f ca="1">IFERROR(__xludf.DUMMYFUNCTION("""COMPUTED_VALUE"""),"| 1 P PHP-CGM @ | 3 P CPT % | 5 L NS % | 6 L CPT % ")</f>
        <v xml:space="preserve">| 1 P PHP-CGM @ | 3 P CPT % | 5 L NS % | 6 L CPT % </v>
      </c>
      <c r="CE353" s="4" t="str">
        <f ca="1">IFERROR(__xludf.DUMMYFUNCTION("""COMPUTED_VALUE"""),"| 1 P JAVA @ | 3 L CPT % | 4 L PHP-CGM % | 5 P Python @ ")</f>
        <v xml:space="preserve">| 1 P JAVA @ | 3 L CPT % | 4 L PHP-CGM % | 5 P Python @ </v>
      </c>
      <c r="CF353" s="4" t="str">
        <f ca="1">IFERROR(__xludf.DUMMYFUNCTION("""COMPUTED_VALUE"""),"| 1 P JAVA % | 4 L JAVA % | 3 L PHP-CGM % | 5 L PRO % ")</f>
        <v xml:space="preserve">| 1 P JAVA % | 4 L JAVA % | 3 L PHP-CGM % | 5 L PRO % </v>
      </c>
      <c r="CG353" s="4" t="str">
        <f ca="1">IFERROR(__xludf.DUMMYFUNCTION("""COMPUTED_VALUE"""),"| 1 L JAVA % | 2 L PHP-CGM @ | 3 P Python % | 6 L NS % ")</f>
        <v xml:space="preserve">| 1 L JAVA % | 2 L PHP-CGM @ | 3 P Python % | 6 L NS % </v>
      </c>
      <c r="CH353" s="4" t="str">
        <f ca="1">IFERROR(__xludf.DUMMYFUNCTION("""COMPUTED_VALUE"""),"| 1 L INE @ | 3 P NS % | 5 L JAVA @ | 6 L NS @ ")</f>
        <v xml:space="preserve">| 1 L INE @ | 3 P NS % | 5 L JAVA @ | 6 L NS @ </v>
      </c>
      <c r="CI353" s="4" t="str">
        <f ca="1">IFERROR(__xludf.DUMMYFUNCTION("""COMPUTED_VALUE"""),"| 3 P CPT % | 5 L NS @ | 6 L CPT @ ")</f>
        <v xml:space="preserve">| 3 P CPT % | 5 L NS @ | 6 L CPT @ </v>
      </c>
      <c r="CJ353" s="4" t="str">
        <f ca="1">IFERROR(__xludf.DUMMYFUNCTION("""COMPUTED_VALUE"""),"| 3 L CPT @ ")</f>
        <v xml:space="preserve">| 3 L CPT @ </v>
      </c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</row>
    <row r="354" spans="1:102" ht="12.5" x14ac:dyDescent="0.25">
      <c r="A354" s="3">
        <f ca="1">IFERROR(__xludf.DUMMYFUNCTION("""COMPUTED_VALUE"""),1)</f>
        <v>1</v>
      </c>
      <c r="B354" s="3" t="str">
        <f ca="1">IFERROR(__xludf.DUMMYFUNCTION("""COMPUTED_VALUE"""),"ITA")</f>
        <v>ITA</v>
      </c>
      <c r="C354" s="32" t="str">
        <f ca="1">IFERROR(__xludf.DUMMYFUNCTION("""COMPUTED_VALUE"""),"23291371034")</f>
        <v>23291371034</v>
      </c>
      <c r="D354" s="4" t="str">
        <f ca="1">IFERROR(__xludf.DUMMYFUNCTION("""COMPUTED_VALUE"""),"JOSHI MOKSHANG ANANDKUMAR")</f>
        <v>JOSHI MOKSHANG ANANDKUMAR</v>
      </c>
      <c r="E354" s="3" t="str">
        <f ca="1">IFERROR(__xludf.DUMMYFUNCTION("""COMPUTED_VALUE"""),"Sweety - Mor")</f>
        <v>Sweety - Mor</v>
      </c>
      <c r="F354" s="3">
        <f ca="1">IFERROR(__xludf.DUMMYFUNCTION("""COMPUTED_VALUE"""),9429189896)</f>
        <v>9429189896</v>
      </c>
      <c r="G354" s="3">
        <f ca="1">IFERROR(__xludf.DUMMYFUNCTION("""COMPUTED_VALUE"""),9909400503)</f>
        <v>9909400503</v>
      </c>
      <c r="H354" s="33">
        <f ca="1">IFERROR(__xludf.DUMMYFUNCTION("""COMPUTED_VALUE"""),0.633064516129032)</f>
        <v>0.63306451612903203</v>
      </c>
      <c r="I354" s="25">
        <f ca="1">IFERROR(__xludf.DUMMYFUNCTION("""COMPUTED_VALUE"""),0.571428571428571)</f>
        <v>0.57142857142857095</v>
      </c>
      <c r="J354" s="25">
        <f ca="1">IFERROR(__xludf.DUMMYFUNCTION("""COMPUTED_VALUE"""),0.615384615384615)</f>
        <v>0.61538461538461497</v>
      </c>
      <c r="K354" s="25">
        <f ca="1">IFERROR(__xludf.DUMMYFUNCTION("""COMPUTED_VALUE"""),0.75)</f>
        <v>0.75</v>
      </c>
      <c r="L354" s="25">
        <f ca="1">IFERROR(__xludf.DUMMYFUNCTION("""COMPUTED_VALUE"""),0.818181818181818)</f>
        <v>0.81818181818181801</v>
      </c>
      <c r="M354" s="25">
        <f ca="1">IFERROR(__xludf.DUMMYFUNCTION("""COMPUTED_VALUE"""),0.684210526315789)</f>
        <v>0.68421052631578905</v>
      </c>
      <c r="N354" s="25">
        <f ca="1">IFERROR(__xludf.DUMMYFUNCTION("""COMPUTED_VALUE"""),0.545454545454545)</f>
        <v>0.54545454545454497</v>
      </c>
      <c r="O354" s="25">
        <f ca="1">IFERROR(__xludf.DUMMYFUNCTION("""COMPUTED_VALUE"""),0.75)</f>
        <v>0.75</v>
      </c>
      <c r="P354" s="25">
        <f ca="1">IFERROR(__xludf.DUMMYFUNCTION("""COMPUTED_VALUE"""),0.375)</f>
        <v>0.375</v>
      </c>
      <c r="Q354" s="25">
        <f ca="1">IFERROR(__xludf.DUMMYFUNCTION("""COMPUTED_VALUE"""),0)</f>
        <v>0</v>
      </c>
      <c r="R354" s="25">
        <f ca="1">IFERROR(__xludf.DUMMYFUNCTION("""COMPUTED_VALUE"""),0.541666666666666)</f>
        <v>0.54166666666666596</v>
      </c>
      <c r="S354" s="25">
        <f ca="1">IFERROR(__xludf.DUMMYFUNCTION("""COMPUTED_VALUE"""),0.666666666666666)</f>
        <v>0.66666666666666596</v>
      </c>
      <c r="T354" s="25">
        <f ca="1">IFERROR(__xludf.DUMMYFUNCTION("""COMPUTED_VALUE"""),0.555555555555555)</f>
        <v>0.55555555555555503</v>
      </c>
      <c r="U354" s="25">
        <f ca="1">IFERROR(__xludf.DUMMYFUNCTION("""COMPUTED_VALUE"""),0.625)</f>
        <v>0.625</v>
      </c>
      <c r="V354" s="25">
        <f ca="1">IFERROR(__xludf.DUMMYFUNCTION("""COMPUTED_VALUE"""),0)</f>
        <v>0</v>
      </c>
      <c r="W354" s="4"/>
      <c r="X354" s="4" t="str">
        <f ca="1">IFERROR(__xludf.DUMMYFUNCTION("""COMPUTED_VALUE"""),"| 1 P JAVA @ | 4 L JAVA @ | 3 L PHP-CGM @ | 1 L PRO @ ")</f>
        <v xml:space="preserve">| 1 P JAVA @ | 4 L JAVA @ | 3 L PHP-CGM @ | 1 L PRO @ </v>
      </c>
      <c r="Y35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54" s="4" t="str">
        <f ca="1">IFERROR(__xludf.DUMMYFUNCTION("""COMPUTED_VALUE"""),"| 3 P NS @ | 5 L JAVA @ | 6 L NS @ ")</f>
        <v xml:space="preserve">| 3 P NS @ | 5 L JAVA @ | 6 L NS @ </v>
      </c>
      <c r="AA354" s="4" t="str">
        <f ca="1">IFERROR(__xludf.DUMMYFUNCTION("""COMPUTED_VALUE"""),"| 3 P CPT % | 5 L NS % | 6 L CPT % ")</f>
        <v xml:space="preserve">| 3 P CPT % | 5 L NS % | 6 L CPT % </v>
      </c>
      <c r="AB354" s="4" t="str">
        <f ca="1">IFERROR(__xludf.DUMMYFUNCTION("""COMPUTED_VALUE"""),"| 1 P JAVA @ | 3 L CPT @ | 4 L PHP-CGM @ | 5 P Python @ ")</f>
        <v xml:space="preserve">| 1 P JAVA @ | 3 L CPT @ | 4 L PHP-CGM @ | 5 P Python @ </v>
      </c>
      <c r="AC354" s="4" t="str">
        <f ca="1">IFERROR(__xludf.DUMMYFUNCTION("""COMPUTED_VALUE"""),"| 1 P JAVA % | 3 L PHP-CGM % | 5 P PRO % ")</f>
        <v xml:space="preserve">| 1 P JAVA % | 3 L PHP-CGM % | 5 P PRO % </v>
      </c>
      <c r="AD354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54" s="4" t="str">
        <f ca="1">IFERROR(__xludf.DUMMYFUNCTION("""COMPUTED_VALUE"""),"| 3 P NS % | 5 L JAVA % | 6 L NS % ")</f>
        <v xml:space="preserve">| 3 P NS % | 5 L JAVA % | 6 L NS % </v>
      </c>
      <c r="AF354" s="4" t="str">
        <f ca="1">IFERROR(__xludf.DUMMYFUNCTION("""COMPUTED_VALUE"""),"| 1 P PHP-CGM % | 3 P CPT % | 5 L NS % | 6 L CPT % ")</f>
        <v xml:space="preserve">| 1 P PHP-CGM % | 3 P CPT % | 5 L NS % | 6 L CPT % </v>
      </c>
      <c r="AG354" s="4" t="str">
        <f ca="1">IFERROR(__xludf.DUMMYFUNCTION("""COMPUTED_VALUE"""),"| 1 P JAVA @ | 3 L CPT @ | 4 L PHP-CGM @ | 5 P Python @ ")</f>
        <v xml:space="preserve">| 1 P JAVA @ | 3 L CPT @ | 4 L PHP-CGM @ | 5 P Python @ </v>
      </c>
      <c r="AH354" s="4" t="str">
        <f ca="1">IFERROR(__xludf.DUMMYFUNCTION("""COMPUTED_VALUE"""),"| 1 P PHP-CGM @ | 3 P CPT @ | 5 L NS @ | 6 L CPT @ ")</f>
        <v xml:space="preserve">| 1 P PHP-CGM @ | 3 P CPT @ | 5 L NS @ | 6 L CPT @ </v>
      </c>
      <c r="AI354" s="4" t="str">
        <f ca="1">IFERROR(__xludf.DUMMYFUNCTION("""COMPUTED_VALUE"""),"| 1 P JAVA @ | 3 L CPT @ | 4 L PHP-CGM % | 5 P Python @ ")</f>
        <v xml:space="preserve">| 1 P JAVA @ | 3 L CPT @ | 4 L PHP-CGM % | 5 P Python @ </v>
      </c>
      <c r="AJ354" s="4" t="str">
        <f ca="1">IFERROR(__xludf.DUMMYFUNCTION("""COMPUTED_VALUE"""),"| 1 P JAVA % | 3 L PHP-CGM % | 4 L JAVA % | 5 P PRO % ")</f>
        <v xml:space="preserve">| 1 P JAVA % | 3 L PHP-CGM % | 4 L JAVA % | 5 P PRO % </v>
      </c>
      <c r="AK35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4" s="4" t="str">
        <f ca="1">IFERROR(__xludf.DUMMYFUNCTION("""COMPUTED_VALUE"""),"| 3 P NS % | 5 L JAVA % | 6 L NS % ")</f>
        <v xml:space="preserve">| 3 P NS % | 5 L JAVA % | 6 L NS % </v>
      </c>
      <c r="AM354" s="4" t="str">
        <f ca="1">IFERROR(__xludf.DUMMYFUNCTION("""COMPUTED_VALUE"""),"| 1 P PHP-CGM % | 3 P CPT % | 5 L NS % | 6 L CPT % ")</f>
        <v xml:space="preserve">| 1 P PHP-CGM % | 3 P CPT % | 5 L NS % | 6 L CPT % </v>
      </c>
      <c r="AN354" s="4" t="str">
        <f ca="1">IFERROR(__xludf.DUMMYFUNCTION("""COMPUTED_VALUE"""),"| 1 P JAVA @ | 4 L PHP-CGM @ | 5 P Python @ ")</f>
        <v xml:space="preserve">| 1 P JAVA @ | 4 L PHP-CGM @ | 5 P Python @ </v>
      </c>
      <c r="AO354" s="4" t="str">
        <f ca="1">IFERROR(__xludf.DUMMYFUNCTION("""COMPUTED_VALUE"""),"| 1 P JAVA @ | 3 L PHP-CGM % | 4 L JAVA % | 5 P PRO @ ")</f>
        <v xml:space="preserve">| 1 P JAVA @ | 3 L PHP-CGM % | 4 L JAVA % | 5 P PRO @ </v>
      </c>
      <c r="AP35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Q354" s="4" t="str">
        <f ca="1">IFERROR(__xludf.DUMMYFUNCTION("""COMPUTED_VALUE"""),"| 1 L INE % | 3 P NS % | 5 L JAVA % | 6 L NS % ")</f>
        <v xml:space="preserve">| 1 L INE % | 3 P NS % | 5 L JAVA % | 6 L NS % </v>
      </c>
      <c r="AR354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54" s="4" t="str">
        <f ca="1">IFERROR(__xludf.DUMMYFUNCTION("""COMPUTED_VALUE"""),"| 1 P JAVA @ | 3 L PHP-CGM @ | 4 L JAVA @ | 5 P PRO @ ")</f>
        <v xml:space="preserve">| 1 P JAVA @ | 3 L PHP-CGM @ | 4 L JAVA @ | 5 P PRO @ </v>
      </c>
      <c r="AT354" s="4" t="str">
        <f ca="1">IFERROR(__xludf.DUMMYFUNCTION("""COMPUTED_VALUE"""),"| 1 L JAVA @ | 2 L PHP-CGM @ | 3 P Python % | 5 L CPT % | 6 L NS % ")</f>
        <v xml:space="preserve">| 1 L JAVA @ | 2 L PHP-CGM @ | 3 P Python % | 5 L CPT % | 6 L NS % </v>
      </c>
      <c r="AU354" s="4" t="str">
        <f ca="1">IFERROR(__xludf.DUMMYFUNCTION("""COMPUTED_VALUE"""),"| 1 L INE % | 3 P NS % | 5 L JAVA % | 6 L NS % ")</f>
        <v xml:space="preserve">| 1 L INE % | 3 P NS % | 5 L JAVA % | 6 L NS % </v>
      </c>
      <c r="AV354" s="4" t="str">
        <f ca="1">IFERROR(__xludf.DUMMYFUNCTION("""COMPUTED_VALUE"""),"| 1 P PHP-CGM % | 3 P CPT % | 5 L NS % | 6 L CPT % ")</f>
        <v xml:space="preserve">| 1 P PHP-CGM % | 3 P CPT % | 5 L NS % | 6 L CPT % </v>
      </c>
      <c r="AW354" s="4" t="str">
        <f ca="1">IFERROR(__xludf.DUMMYFUNCTION("""COMPUTED_VALUE"""),"| 1 P JAVA % | 3 L CPT % | 4 L PHP-CGM % | 5 P Python % ")</f>
        <v xml:space="preserve">| 1 P JAVA % | 3 L CPT % | 4 L PHP-CGM % | 5 P Python % </v>
      </c>
      <c r="AX354" s="4" t="str">
        <f ca="1">IFERROR(__xludf.DUMMYFUNCTION("""COMPUTED_VALUE"""),"| 1 P JAVA % | 3 L JAVA % | 4 L PHP-CGM % | 5 P PRO % ")</f>
        <v xml:space="preserve">| 1 P JAVA % | 3 L JAVA % | 4 L PHP-CGM % | 5 P PRO % </v>
      </c>
      <c r="AY354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54" s="4" t="str">
        <f ca="1">IFERROR(__xludf.DUMMYFUNCTION("""COMPUTED_VALUE"""),"| 1 P PHP-CGM @ | 3 P CPT @ | 5 L NS @ | 6 L CPT @ ")</f>
        <v xml:space="preserve">| 1 P PHP-CGM @ | 3 P CPT @ | 5 L NS @ | 6 L CPT @ </v>
      </c>
      <c r="BA354" s="4" t="str">
        <f ca="1">IFERROR(__xludf.DUMMYFUNCTION("""COMPUTED_VALUE"""),"| 1 P JAVA % | 3 L CPT % | 4 L PHP-CGM % | 5 P Python % ")</f>
        <v xml:space="preserve">| 1 P JAVA % | 3 L CPT % | 4 L PHP-CGM % | 5 P Python % </v>
      </c>
      <c r="BB354" s="4" t="str">
        <f ca="1">IFERROR(__xludf.DUMMYFUNCTION("""COMPUTED_VALUE"""),"| 1 P JAVA @ | 3 L PHP-CGM % | 4 L JAVA % | 5 L PRO % ")</f>
        <v xml:space="preserve">| 1 P JAVA @ | 3 L PHP-CGM % | 4 L JAVA % | 5 L PRO % </v>
      </c>
      <c r="BC35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54" s="4" t="str">
        <f ca="1">IFERROR(__xludf.DUMMYFUNCTION("""COMPUTED_VALUE"""),"| 1 L INE @ | 3 P NS % | 5 L JAVA % | 6 L NS % ")</f>
        <v xml:space="preserve">| 1 L INE @ | 3 P NS % | 5 L JAVA % | 6 L NS % </v>
      </c>
      <c r="BE354" s="4" t="str">
        <f ca="1">IFERROR(__xludf.DUMMYFUNCTION("""COMPUTED_VALUE"""),"| 1 P PHP-CGM % | 3 P CPT % | 5 L NS % | 6 L CPT % ")</f>
        <v xml:space="preserve">| 1 P PHP-CGM % | 3 P CPT % | 5 L NS % | 6 L CPT % </v>
      </c>
      <c r="BF354" s="4" t="str">
        <f ca="1">IFERROR(__xludf.DUMMYFUNCTION("""COMPUTED_VALUE"""),"| 1 P JAVA % | 3 L CPT % | 4 L PHP-CGM % | 5 P Python % ")</f>
        <v xml:space="preserve">| 1 P JAVA % | 3 L CPT % | 4 L PHP-CGM % | 5 P Python % </v>
      </c>
      <c r="BG354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54" s="4" t="str">
        <f ca="1">IFERROR(__xludf.DUMMYFUNCTION("""COMPUTED_VALUE"""),"| 1 L INE % | 3 P NS % | 5 L JAVA % | 6 L NS % ")</f>
        <v xml:space="preserve">| 1 L INE % | 3 P NS % | 5 L JAVA % | 6 L NS % </v>
      </c>
      <c r="BI354" s="4" t="str">
        <f ca="1">IFERROR(__xludf.DUMMYFUNCTION("""COMPUTED_VALUE"""),"| 1 P PHP-CGM % | 3 P CPT % | 5 L NS % | 6 L CPT % ")</f>
        <v xml:space="preserve">| 1 P PHP-CGM % | 3 P CPT % | 5 L NS % | 6 L CPT % </v>
      </c>
      <c r="BJ354" s="4" t="str">
        <f ca="1">IFERROR(__xludf.DUMMYFUNCTION("""COMPUTED_VALUE"""),"| 1 P JAVA @ | 3 L CPT % | 4 L PHP-CGM % | 5 P Python @ ")</f>
        <v xml:space="preserve">| 1 P JAVA @ | 3 L CPT % | 4 L PHP-CGM % | 5 P Python @ </v>
      </c>
      <c r="BK354" s="4" t="str">
        <f ca="1">IFERROR(__xludf.DUMMYFUNCTION("""COMPUTED_VALUE"""),"| 1 P JAVA % | 3 L PHP-CGM % | 4 L JAVA % | 5 P PRO % ")</f>
        <v xml:space="preserve">| 1 P JAVA % | 3 L PHP-CGM % | 4 L JAVA % | 5 P PRO % </v>
      </c>
      <c r="BL354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BM354" s="4" t="str">
        <f ca="1">IFERROR(__xludf.DUMMYFUNCTION("""COMPUTED_VALUE"""),"| 1 L INE % | 3 P NS % | 5 L JAVA % | 6 L NS % ")</f>
        <v xml:space="preserve">| 1 L INE % | 3 P NS % | 5 L JAVA % | 6 L NS % </v>
      </c>
      <c r="BN354" s="4" t="str">
        <f ca="1">IFERROR(__xludf.DUMMYFUNCTION("""COMPUTED_VALUE"""),"| 1 P PHP-CGM % | 3 P CPT % | 5 L NS % | 6 L CPT % ")</f>
        <v xml:space="preserve">| 1 P PHP-CGM % | 3 P CPT % | 5 L NS % | 6 L CPT % </v>
      </c>
      <c r="BO354" s="4" t="str">
        <f ca="1">IFERROR(__xludf.DUMMYFUNCTION("""COMPUTED_VALUE"""),"| 1 P JAVA @ | 4 L PHP-CGM @ | 3 L CPT @ | 5 P Python @ ")</f>
        <v xml:space="preserve">| 1 P JAVA @ | 4 L PHP-CGM @ | 3 L CPT @ | 5 P Python @ </v>
      </c>
      <c r="BP354" s="4" t="str">
        <f ca="1">IFERROR(__xludf.DUMMYFUNCTION("""COMPUTED_VALUE"""),"| 1 P JAVA % | 3 L PHP-CGM % | 4 L JAVA % | 5 P PRO @ ")</f>
        <v xml:space="preserve">| 1 P JAVA % | 3 L PHP-CGM % | 4 L JAVA % | 5 P PRO @ </v>
      </c>
      <c r="BQ354" s="4" t="str">
        <f ca="1">IFERROR(__xludf.DUMMYFUNCTION("""COMPUTED_VALUE"""),"| 6 L NS % | 5 L JAVA @ ")</f>
        <v xml:space="preserve">| 6 L NS % | 5 L JAVA @ </v>
      </c>
      <c r="BR354" s="4"/>
      <c r="BS354" s="4" t="str">
        <f ca="1">IFERROR(__xludf.DUMMYFUNCTION("""COMPUTED_VALUE"""),"| 4 L PHP-CGM % ")</f>
        <v xml:space="preserve">| 4 L PHP-CGM % </v>
      </c>
      <c r="BT354" s="4" t="str">
        <f ca="1">IFERROR(__xludf.DUMMYFUNCTION("""COMPUTED_VALUE"""),"| 1 P JAVA @ | 3 L PHP-CGM @ ")</f>
        <v xml:space="preserve">| 1 P JAVA @ | 3 L PHP-CGM @ </v>
      </c>
      <c r="BU354" s="4" t="str">
        <f ca="1">IFERROR(__xludf.DUMMYFUNCTION("""COMPUTED_VALUE"""),"| 1 L JAVA @ | 2 L PHP-CGM @ | 3 P Python % ")</f>
        <v xml:space="preserve">| 1 L JAVA @ | 2 L PHP-CGM @ | 3 P Python % </v>
      </c>
      <c r="BV354" s="4" t="str">
        <f ca="1">IFERROR(__xludf.DUMMYFUNCTION("""COMPUTED_VALUE"""),"| 1 P JAVA @ | 3 L PHP-CGM @ | 4 L JAVA @ | 5 P PRO @ ")</f>
        <v xml:space="preserve">| 1 P JAVA @ | 3 L PHP-CGM @ | 4 L JAVA @ | 5 P PRO @ </v>
      </c>
      <c r="BW354" s="4" t="str">
        <f ca="1">IFERROR(__xludf.DUMMYFUNCTION("""COMPUTED_VALUE"""),"| 1 L JAVA % | 2 L PHP-CGM % | 3 P Python @ ")</f>
        <v xml:space="preserve">| 1 L JAVA % | 2 L PHP-CGM % | 3 P Python @ </v>
      </c>
      <c r="BX354" s="4" t="str">
        <f ca="1">IFERROR(__xludf.DUMMYFUNCTION("""COMPUTED_VALUE"""),"| 1 L INE @ | 3 P NS @ | 5 L JAVA @ | 6 L NS @ ")</f>
        <v xml:space="preserve">| 1 L INE @ | 3 P NS @ | 5 L JAVA @ | 6 L NS @ </v>
      </c>
      <c r="BY354" s="4" t="str">
        <f ca="1">IFERROR(__xludf.DUMMYFUNCTION("""COMPUTED_VALUE"""),"| 1 P PHP-CGM @ | 3 P CPT @ | 5 L NS @ | 6 L CPT @ ")</f>
        <v xml:space="preserve">| 1 P PHP-CGM @ | 3 P CPT @ | 5 L NS @ | 6 L CPT @ </v>
      </c>
      <c r="BZ354" s="4" t="str">
        <f ca="1">IFERROR(__xludf.DUMMYFUNCTION("""COMPUTED_VALUE"""),"| 1 P JAVA @ | 3 L CPT @ | 4 L PHP-CGM @ | 5 P Python @ ")</f>
        <v xml:space="preserve">| 1 P JAVA @ | 3 L CPT @ | 4 L PHP-CGM @ | 5 P Python @ </v>
      </c>
      <c r="CA354" s="4" t="str">
        <f ca="1">IFERROR(__xludf.DUMMYFUNCTION("""COMPUTED_VALUE"""),"| 1 P JAVA @ | 3 L PHP-CGM % | 3 L JAVA % | 5 P PRO % ")</f>
        <v xml:space="preserve">| 1 P JAVA @ | 3 L PHP-CGM % | 3 L JAVA % | 5 P PRO % </v>
      </c>
      <c r="CB354" s="4" t="str">
        <f ca="1">IFERROR(__xludf.DUMMYFUNCTION("""COMPUTED_VALUE"""),"| 1 L JAVA % | 2 L PHP-CGM % | 3 P Python @ | 6 L NS @ | 5 L CPT @ ")</f>
        <v xml:space="preserve">| 1 L JAVA % | 2 L PHP-CGM % | 3 P Python @ | 6 L NS @ | 5 L CPT @ </v>
      </c>
      <c r="CC354" s="4" t="str">
        <f ca="1">IFERROR(__xludf.DUMMYFUNCTION("""COMPUTED_VALUE"""),"| 1 L INE @ | 3 P NS % | 5 L JAVA % | 6 L NS % ")</f>
        <v xml:space="preserve">| 1 L INE @ | 3 P NS % | 5 L JAVA % | 6 L NS % </v>
      </c>
      <c r="CD354" s="4" t="str">
        <f ca="1">IFERROR(__xludf.DUMMYFUNCTION("""COMPUTED_VALUE"""),"| 1 P PHP-CGM @ | 3 P CPT @ | 5 L NS @ | 6 L CPT @ ")</f>
        <v xml:space="preserve">| 1 P PHP-CGM @ | 3 P CPT @ | 5 L NS @ | 6 L CPT @ </v>
      </c>
      <c r="CE354" s="4" t="str">
        <f ca="1">IFERROR(__xludf.DUMMYFUNCTION("""COMPUTED_VALUE"""),"| 1 P JAVA @ | 3 L CPT @ | 4 L PHP-CGM @ | 5 P Python @ ")</f>
        <v xml:space="preserve">| 1 P JAVA @ | 3 L CPT @ | 4 L PHP-CGM @ | 5 P Python @ </v>
      </c>
      <c r="CF354" s="4" t="str">
        <f ca="1">IFERROR(__xludf.DUMMYFUNCTION("""COMPUTED_VALUE"""),"| 1 P JAVA % | 4 L JAVA % | 3 L PHP-CGM % | 5 L PRO % ")</f>
        <v xml:space="preserve">| 1 P JAVA % | 4 L JAVA % | 3 L PHP-CGM % | 5 L PRO % </v>
      </c>
      <c r="CG354" s="4" t="str">
        <f ca="1">IFERROR(__xludf.DUMMYFUNCTION("""COMPUTED_VALUE"""),"| 1 L JAVA % | 2 L PHP-CGM % | 3 P Python @ | 6 L NS % ")</f>
        <v xml:space="preserve">| 1 L JAVA % | 2 L PHP-CGM % | 3 P Python @ | 6 L NS % </v>
      </c>
      <c r="CH354" s="4" t="str">
        <f ca="1">IFERROR(__xludf.DUMMYFUNCTION("""COMPUTED_VALUE"""),"| 1 L INE % | 3 P NS % | 5 L JAVA @ | 6 L NS % ")</f>
        <v xml:space="preserve">| 1 L INE % | 3 P NS % | 5 L JAVA @ | 6 L NS % </v>
      </c>
      <c r="CI354" s="4" t="str">
        <f ca="1">IFERROR(__xludf.DUMMYFUNCTION("""COMPUTED_VALUE"""),"| 3 P CPT % | 5 L NS @ | 6 L CPT @ ")</f>
        <v xml:space="preserve">| 3 P CPT % | 5 L NS @ | 6 L CPT @ </v>
      </c>
      <c r="CJ354" s="4" t="str">
        <f ca="1">IFERROR(__xludf.DUMMYFUNCTION("""COMPUTED_VALUE"""),"| 3 L CPT @ ")</f>
        <v xml:space="preserve">| 3 L CPT @ </v>
      </c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</row>
    <row r="355" spans="1:102" ht="12.5" x14ac:dyDescent="0.25">
      <c r="A355" s="3">
        <f ca="1">IFERROR(__xludf.DUMMYFUNCTION("""COMPUTED_VALUE"""),1)</f>
        <v>1</v>
      </c>
      <c r="B355" s="3" t="str">
        <f ca="1">IFERROR(__xludf.DUMMYFUNCTION("""COMPUTED_VALUE"""),"ITA")</f>
        <v>ITA</v>
      </c>
      <c r="C355" s="32" t="str">
        <f ca="1">IFERROR(__xludf.DUMMYFUNCTION("""COMPUTED_VALUE"""),"23291371035")</f>
        <v>23291371035</v>
      </c>
      <c r="D355" s="4" t="str">
        <f ca="1">IFERROR(__xludf.DUMMYFUNCTION("""COMPUTED_VALUE"""),"KAKANI OM SHAILESHBHAI")</f>
        <v>KAKANI OM SHAILESHBHAI</v>
      </c>
      <c r="E355" s="3" t="str">
        <f ca="1">IFERROR(__xludf.DUMMYFUNCTION("""COMPUTED_VALUE"""),"Sweety - Mor")</f>
        <v>Sweety - Mor</v>
      </c>
      <c r="F355" s="3">
        <f ca="1">IFERROR(__xludf.DUMMYFUNCTION("""COMPUTED_VALUE"""),7990867855)</f>
        <v>7990867855</v>
      </c>
      <c r="G355" s="3">
        <f ca="1">IFERROR(__xludf.DUMMYFUNCTION("""COMPUTED_VALUE"""),7698504200)</f>
        <v>7698504200</v>
      </c>
      <c r="H355" s="33">
        <f ca="1">IFERROR(__xludf.DUMMYFUNCTION("""COMPUTED_VALUE"""),0.693548387096774)</f>
        <v>0.69354838709677402</v>
      </c>
      <c r="I355" s="25">
        <f ca="1">IFERROR(__xludf.DUMMYFUNCTION("""COMPUTED_VALUE"""),0.685714285714285)</f>
        <v>0.68571428571428505</v>
      </c>
      <c r="J355" s="25">
        <f ca="1">IFERROR(__xludf.DUMMYFUNCTION("""COMPUTED_VALUE"""),0.846153846153846)</f>
        <v>0.84615384615384603</v>
      </c>
      <c r="K355" s="25">
        <f ca="1">IFERROR(__xludf.DUMMYFUNCTION("""COMPUTED_VALUE"""),0.722222222222222)</f>
        <v>0.72222222222222199</v>
      </c>
      <c r="L355" s="25">
        <f ca="1">IFERROR(__xludf.DUMMYFUNCTION("""COMPUTED_VALUE"""),1)</f>
        <v>1</v>
      </c>
      <c r="M355" s="25">
        <f ca="1">IFERROR(__xludf.DUMMYFUNCTION("""COMPUTED_VALUE"""),0.578947368421052)</f>
        <v>0.57894736842105199</v>
      </c>
      <c r="N355" s="25">
        <f ca="1">IFERROR(__xludf.DUMMYFUNCTION("""COMPUTED_VALUE"""),0.818181818181818)</f>
        <v>0.81818181818181801</v>
      </c>
      <c r="O355" s="25">
        <f ca="1">IFERROR(__xludf.DUMMYFUNCTION("""COMPUTED_VALUE"""),0.666666666666666)</f>
        <v>0.66666666666666596</v>
      </c>
      <c r="P355" s="25">
        <f ca="1">IFERROR(__xludf.DUMMYFUNCTION("""COMPUTED_VALUE"""),0.75)</f>
        <v>0.75</v>
      </c>
      <c r="Q355" s="25">
        <f ca="1">IFERROR(__xludf.DUMMYFUNCTION("""COMPUTED_VALUE"""),0)</f>
        <v>0</v>
      </c>
      <c r="R355" s="25">
        <f ca="1">IFERROR(__xludf.DUMMYFUNCTION("""COMPUTED_VALUE"""),0.5)</f>
        <v>0.5</v>
      </c>
      <c r="S355" s="25">
        <f ca="1">IFERROR(__xludf.DUMMYFUNCTION("""COMPUTED_VALUE"""),0.666666666666666)</f>
        <v>0.66666666666666596</v>
      </c>
      <c r="T355" s="25">
        <f ca="1">IFERROR(__xludf.DUMMYFUNCTION("""COMPUTED_VALUE"""),0.888888888888888)</f>
        <v>0.88888888888888795</v>
      </c>
      <c r="U355" s="25">
        <f ca="1">IFERROR(__xludf.DUMMYFUNCTION("""COMPUTED_VALUE"""),0.625)</f>
        <v>0.625</v>
      </c>
      <c r="V355" s="25">
        <f ca="1">IFERROR(__xludf.DUMMYFUNCTION("""COMPUTED_VALUE"""),0)</f>
        <v>0</v>
      </c>
      <c r="W355" s="4"/>
      <c r="X355" s="4" t="str">
        <f ca="1">IFERROR(__xludf.DUMMYFUNCTION("""COMPUTED_VALUE"""),"| 1 P JAVA @ | 4 L JAVA @ | 3 L PHP-CGM @ | 1 L PRO @ ")</f>
        <v xml:space="preserve">| 1 P JAVA @ | 4 L JAVA @ | 3 L PHP-CGM @ | 1 L PRO @ </v>
      </c>
      <c r="Y35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55" s="4" t="str">
        <f ca="1">IFERROR(__xludf.DUMMYFUNCTION("""COMPUTED_VALUE"""),"| 3 P NS % | 5 L JAVA % | 6 L NS % ")</f>
        <v xml:space="preserve">| 3 P NS % | 5 L JAVA % | 6 L NS % </v>
      </c>
      <c r="AA355" s="4" t="str">
        <f ca="1">IFERROR(__xludf.DUMMYFUNCTION("""COMPUTED_VALUE"""),"| 3 P CPT % | 5 L NS % | 6 L CPT % ")</f>
        <v xml:space="preserve">| 3 P CPT % | 5 L NS % | 6 L CPT % </v>
      </c>
      <c r="AB355" s="4" t="str">
        <f ca="1">IFERROR(__xludf.DUMMYFUNCTION("""COMPUTED_VALUE"""),"| 1 P JAVA % | 3 L CPT % | 4 L PHP-CGM % | 5 P Python @ ")</f>
        <v xml:space="preserve">| 1 P JAVA % | 3 L CPT % | 4 L PHP-CGM % | 5 P Python @ </v>
      </c>
      <c r="AC355" s="4" t="str">
        <f ca="1">IFERROR(__xludf.DUMMYFUNCTION("""COMPUTED_VALUE"""),"| 1 P JAVA % | 3 L PHP-CGM % | 5 P PRO % ")</f>
        <v xml:space="preserve">| 1 P JAVA % | 3 L PHP-CGM % | 5 P PRO % </v>
      </c>
      <c r="AD355" s="4" t="str">
        <f ca="1">IFERROR(__xludf.DUMMYFUNCTION("""COMPUTED_VALUE"""),"| 1 L JAVA % | 2 L PHP-CGM @ | 3 P Python % | 6 L NS % | 5 L CPT % ")</f>
        <v xml:space="preserve">| 1 L JAVA % | 2 L PHP-CGM @ | 3 P Python % | 6 L NS % | 5 L CPT % </v>
      </c>
      <c r="AE355" s="4" t="str">
        <f ca="1">IFERROR(__xludf.DUMMYFUNCTION("""COMPUTED_VALUE"""),"| 3 P NS % | 5 L JAVA % | 6 L NS % ")</f>
        <v xml:space="preserve">| 3 P NS % | 5 L JAVA % | 6 L NS % </v>
      </c>
      <c r="AF355" s="4" t="str">
        <f ca="1">IFERROR(__xludf.DUMMYFUNCTION("""COMPUTED_VALUE"""),"| 1 P PHP-CGM % | 3 P CPT % | 5 L NS % | 6 L CPT % ")</f>
        <v xml:space="preserve">| 1 P PHP-CGM % | 3 P CPT % | 5 L NS % | 6 L CPT % </v>
      </c>
      <c r="AG355" s="4" t="str">
        <f ca="1">IFERROR(__xludf.DUMMYFUNCTION("""COMPUTED_VALUE"""),"| 1 P JAVA % | 3 L CPT % | 4 L PHP-CGM % | 5 P Python % ")</f>
        <v xml:space="preserve">| 1 P JAVA % | 3 L CPT % | 4 L PHP-CGM % | 5 P Python % </v>
      </c>
      <c r="AH355" s="4" t="str">
        <f ca="1">IFERROR(__xludf.DUMMYFUNCTION("""COMPUTED_VALUE"""),"| 1 P PHP-CGM % | 3 P CPT % | 5 L NS % | 6 L CPT % ")</f>
        <v xml:space="preserve">| 1 P PHP-CGM % | 3 P CPT % | 5 L NS % | 6 L CPT % </v>
      </c>
      <c r="AI355" s="4" t="str">
        <f ca="1">IFERROR(__xludf.DUMMYFUNCTION("""COMPUTED_VALUE"""),"| 1 P JAVA % | 3 L CPT % | 4 L PHP-CGM % | 5 P Python @ ")</f>
        <v xml:space="preserve">| 1 P JAVA % | 3 L CPT % | 4 L PHP-CGM % | 5 P Python @ </v>
      </c>
      <c r="AJ355" s="4" t="str">
        <f ca="1">IFERROR(__xludf.DUMMYFUNCTION("""COMPUTED_VALUE"""),"| 1 P JAVA % | 3 L PHP-CGM % | 4 L JAVA % | 5 P PRO % ")</f>
        <v xml:space="preserve">| 1 P JAVA % | 3 L PHP-CGM % | 4 L JAVA % | 5 P PRO % </v>
      </c>
      <c r="AK35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5" s="4" t="str">
        <f ca="1">IFERROR(__xludf.DUMMYFUNCTION("""COMPUTED_VALUE"""),"| 3 P NS % | 5 L JAVA % | 6 L NS % ")</f>
        <v xml:space="preserve">| 3 P NS % | 5 L JAVA % | 6 L NS % </v>
      </c>
      <c r="AM355" s="4" t="str">
        <f ca="1">IFERROR(__xludf.DUMMYFUNCTION("""COMPUTED_VALUE"""),"| 1 P PHP-CGM % | 3 P CPT % | 5 L NS % | 6 L CPT % ")</f>
        <v xml:space="preserve">| 1 P PHP-CGM % | 3 P CPT % | 5 L NS % | 6 L CPT % </v>
      </c>
      <c r="AN355" s="4" t="str">
        <f ca="1">IFERROR(__xludf.DUMMYFUNCTION("""COMPUTED_VALUE"""),"| 1 P JAVA @ | 4 L PHP-CGM @ | 5 P Python @ ")</f>
        <v xml:space="preserve">| 1 P JAVA @ | 4 L PHP-CGM @ | 5 P Python @ </v>
      </c>
      <c r="AO355" s="4" t="str">
        <f ca="1">IFERROR(__xludf.DUMMYFUNCTION("""COMPUTED_VALUE"""),"| 1 P JAVA % | 3 L PHP-CGM % | 4 L JAVA % | 5 P PRO % ")</f>
        <v xml:space="preserve">| 1 P JAVA % | 3 L PHP-CGM % | 4 L JAVA % | 5 P PRO % </v>
      </c>
      <c r="AP355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Q355" s="4" t="str">
        <f ca="1">IFERROR(__xludf.DUMMYFUNCTION("""COMPUTED_VALUE"""),"| 1 L INE % | 3 P NS % | 5 L JAVA % | 6 L NS % ")</f>
        <v xml:space="preserve">| 1 L INE % | 3 P NS % | 5 L JAVA % | 6 L NS % </v>
      </c>
      <c r="AR355" s="4" t="str">
        <f ca="1">IFERROR(__xludf.DUMMYFUNCTION("""COMPUTED_VALUE"""),"| 1 P PHP-CGM % | 3 L CPT @ | 3 P CPT % | 5 L NS % | 6 L CPT % ")</f>
        <v xml:space="preserve">| 1 P PHP-CGM % | 3 L CPT @ | 3 P CPT % | 5 L NS % | 6 L CPT % </v>
      </c>
      <c r="AS355" s="4" t="str">
        <f ca="1">IFERROR(__xludf.DUMMYFUNCTION("""COMPUTED_VALUE"""),"| 1 P JAVA % | 3 L PHP-CGM % | 4 L JAVA % | 5 P PRO % ")</f>
        <v xml:space="preserve">| 1 P JAVA % | 3 L PHP-CGM % | 4 L JAVA % | 5 P PRO % </v>
      </c>
      <c r="AT35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55" s="4" t="str">
        <f ca="1">IFERROR(__xludf.DUMMYFUNCTION("""COMPUTED_VALUE"""),"| 1 L INE % | 3 P NS % | 5 L JAVA % | 6 L NS % ")</f>
        <v xml:space="preserve">| 1 L INE % | 3 P NS % | 5 L JAVA % | 6 L NS % </v>
      </c>
      <c r="AV355" s="4" t="str">
        <f ca="1">IFERROR(__xludf.DUMMYFUNCTION("""COMPUTED_VALUE"""),"| 1 P PHP-CGM % | 3 P CPT % | 5 L NS % | 6 L CPT % ")</f>
        <v xml:space="preserve">| 1 P PHP-CGM % | 3 P CPT % | 5 L NS % | 6 L CPT % </v>
      </c>
      <c r="AW355" s="4" t="str">
        <f ca="1">IFERROR(__xludf.DUMMYFUNCTION("""COMPUTED_VALUE"""),"| 1 P JAVA % | 3 L CPT % | 4 L PHP-CGM @ | 5 P Python % ")</f>
        <v xml:space="preserve">| 1 P JAVA % | 3 L CPT % | 4 L PHP-CGM @ | 5 P Python % </v>
      </c>
      <c r="AX355" s="4" t="str">
        <f ca="1">IFERROR(__xludf.DUMMYFUNCTION("""COMPUTED_VALUE"""),"| 1 P JAVA @ | 3 L JAVA @ | 4 L PHP-CGM @ | 5 P PRO @ ")</f>
        <v xml:space="preserve">| 1 P JAVA @ | 3 L JAVA @ | 4 L PHP-CGM @ | 5 P PRO @ </v>
      </c>
      <c r="AY355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55" s="4" t="str">
        <f ca="1">IFERROR(__xludf.DUMMYFUNCTION("""COMPUTED_VALUE"""),"| 1 P PHP-CGM % | 3 P CPT % | 5 L NS % | 6 L CPT % ")</f>
        <v xml:space="preserve">| 1 P PHP-CGM % | 3 P CPT % | 5 L NS % | 6 L CPT % </v>
      </c>
      <c r="BA355" s="4" t="str">
        <f ca="1">IFERROR(__xludf.DUMMYFUNCTION("""COMPUTED_VALUE"""),"| 1 P JAVA % | 3 L CPT % | 4 L PHP-CGM % | 5 P Python % ")</f>
        <v xml:space="preserve">| 1 P JAVA % | 3 L CPT % | 4 L PHP-CGM % | 5 P Python % </v>
      </c>
      <c r="BB355" s="4" t="str">
        <f ca="1">IFERROR(__xludf.DUMMYFUNCTION("""COMPUTED_VALUE"""),"| 1 P JAVA % | 3 L PHP-CGM % | 4 L JAVA % | 5 L PRO % ")</f>
        <v xml:space="preserve">| 1 P JAVA % | 3 L PHP-CGM % | 4 L JAVA % | 5 L PRO % </v>
      </c>
      <c r="BC355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55" s="4" t="str">
        <f ca="1">IFERROR(__xludf.DUMMYFUNCTION("""COMPUTED_VALUE"""),"| 1 L INE % | 3 P NS % | 5 L JAVA % | 6 L NS % ")</f>
        <v xml:space="preserve">| 1 L INE % | 3 P NS % | 5 L JAVA % | 6 L NS % </v>
      </c>
      <c r="BE355" s="4" t="str">
        <f ca="1">IFERROR(__xludf.DUMMYFUNCTION("""COMPUTED_VALUE"""),"| 1 P PHP-CGM % | 3 P CPT % | 5 L NS % | 6 L CPT % ")</f>
        <v xml:space="preserve">| 1 P PHP-CGM % | 3 P CPT % | 5 L NS % | 6 L CPT % </v>
      </c>
      <c r="BF355" s="4" t="str">
        <f ca="1">IFERROR(__xludf.DUMMYFUNCTION("""COMPUTED_VALUE"""),"| 1 P JAVA % | 3 L CPT % | 4 L PHP-CGM % | 5 P Python @ ")</f>
        <v xml:space="preserve">| 1 P JAVA % | 3 L CPT % | 4 L PHP-CGM % | 5 P Python @ </v>
      </c>
      <c r="BG355" s="4" t="str">
        <f ca="1">IFERROR(__xludf.DUMMYFUNCTION("""COMPUTED_VALUE"""),"| 1 L JAVA % | 2 L PHP-CGM % | 3 P Python % | 5 L CPT % | 6 L NS @ ")</f>
        <v xml:space="preserve">| 1 L JAVA % | 2 L PHP-CGM % | 3 P Python % | 5 L CPT % | 6 L NS @ </v>
      </c>
      <c r="BH355" s="4" t="str">
        <f ca="1">IFERROR(__xludf.DUMMYFUNCTION("""COMPUTED_VALUE"""),"| 1 L INE % | 3 P NS % | 5 L JAVA % | 6 L NS % ")</f>
        <v xml:space="preserve">| 1 L INE % | 3 P NS % | 5 L JAVA % | 6 L NS % </v>
      </c>
      <c r="BI355" s="4" t="str">
        <f ca="1">IFERROR(__xludf.DUMMYFUNCTION("""COMPUTED_VALUE"""),"| 1 P PHP-CGM % | 3 P CPT % | 5 L NS % | 6 L CPT % ")</f>
        <v xml:space="preserve">| 1 P PHP-CGM % | 3 P CPT % | 5 L NS % | 6 L CPT % </v>
      </c>
      <c r="BJ355" s="4" t="str">
        <f ca="1">IFERROR(__xludf.DUMMYFUNCTION("""COMPUTED_VALUE"""),"| 1 P JAVA @ | 3 L CPT @ | 4 L PHP-CGM @ | 5 P Python @ ")</f>
        <v xml:space="preserve">| 1 P JAVA @ | 3 L CPT @ | 4 L PHP-CGM @ | 5 P Python @ </v>
      </c>
      <c r="BK355" s="4" t="str">
        <f ca="1">IFERROR(__xludf.DUMMYFUNCTION("""COMPUTED_VALUE"""),"| 1 P JAVA % | 3 L PHP-CGM @ | 4 L JAVA @ | 5 P PRO % ")</f>
        <v xml:space="preserve">| 1 P JAVA % | 3 L PHP-CGM @ | 4 L JAVA @ | 5 P PRO % </v>
      </c>
      <c r="BL355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55" s="4" t="str">
        <f ca="1">IFERROR(__xludf.DUMMYFUNCTION("""COMPUTED_VALUE"""),"| 1 L INE @ | 3 P NS % | 5 L JAVA % | 6 L NS % ")</f>
        <v xml:space="preserve">| 1 L INE @ | 3 P NS % | 5 L JAVA % | 6 L NS % </v>
      </c>
      <c r="BN355" s="4" t="str">
        <f ca="1">IFERROR(__xludf.DUMMYFUNCTION("""COMPUTED_VALUE"""),"| 1 P PHP-CGM @ | 3 P CPT @ | 5 L NS @ | 6 L CPT @ ")</f>
        <v xml:space="preserve">| 1 P PHP-CGM @ | 3 P CPT @ | 5 L NS @ | 6 L CPT @ </v>
      </c>
      <c r="BO355" s="4" t="str">
        <f ca="1">IFERROR(__xludf.DUMMYFUNCTION("""COMPUTED_VALUE"""),"| 1 P JAVA @ | 4 L PHP-CGM @ | 3 L CPT @ | 5 P Python @ ")</f>
        <v xml:space="preserve">| 1 P JAVA @ | 4 L PHP-CGM @ | 3 L CPT @ | 5 P Python @ </v>
      </c>
      <c r="BP355" s="4" t="str">
        <f ca="1">IFERROR(__xludf.DUMMYFUNCTION("""COMPUTED_VALUE"""),"| 1 P JAVA % | 3 L PHP-CGM @ | 4 L JAVA @ | 5 P PRO % ")</f>
        <v xml:space="preserve">| 1 P JAVA % | 3 L PHP-CGM @ | 4 L JAVA @ | 5 P PRO % </v>
      </c>
      <c r="BQ355" s="4" t="str">
        <f ca="1">IFERROR(__xludf.DUMMYFUNCTION("""COMPUTED_VALUE"""),"| 6 L NS % | 5 L JAVA @ ")</f>
        <v xml:space="preserve">| 6 L NS % | 5 L JAVA @ </v>
      </c>
      <c r="BR355" s="4"/>
      <c r="BS355" s="4" t="str">
        <f ca="1">IFERROR(__xludf.DUMMYFUNCTION("""COMPUTED_VALUE"""),"| 4 L PHP-CGM % ")</f>
        <v xml:space="preserve">| 4 L PHP-CGM % </v>
      </c>
      <c r="BT355" s="4" t="str">
        <f ca="1">IFERROR(__xludf.DUMMYFUNCTION("""COMPUTED_VALUE"""),"| 1 P JAVA @ | 3 L PHP-CGM @ ")</f>
        <v xml:space="preserve">| 1 P JAVA @ | 3 L PHP-CGM @ </v>
      </c>
      <c r="BU355" s="4" t="str">
        <f ca="1">IFERROR(__xludf.DUMMYFUNCTION("""COMPUTED_VALUE"""),"| 1 L JAVA @ | 2 L PHP-CGM @ | 3 P Python @ ")</f>
        <v xml:space="preserve">| 1 L JAVA @ | 2 L PHP-CGM @ | 3 P Python @ </v>
      </c>
      <c r="BV355" s="4" t="str">
        <f ca="1">IFERROR(__xludf.DUMMYFUNCTION("""COMPUTED_VALUE"""),"| 1 P JAVA % | 3 L PHP-CGM % | 4 L JAVA % | 5 P PRO % ")</f>
        <v xml:space="preserve">| 1 P JAVA % | 3 L PHP-CGM % | 4 L JAVA % | 5 P PRO % </v>
      </c>
      <c r="BW355" s="4" t="str">
        <f ca="1">IFERROR(__xludf.DUMMYFUNCTION("""COMPUTED_VALUE"""),"| 1 L JAVA % | 2 L PHP-CGM % | 3 P Python % ")</f>
        <v xml:space="preserve">| 1 L JAVA % | 2 L PHP-CGM % | 3 P Python % </v>
      </c>
      <c r="BX355" s="4" t="str">
        <f ca="1">IFERROR(__xludf.DUMMYFUNCTION("""COMPUTED_VALUE"""),"| 1 L INE @ | 3 P NS % | 5 L JAVA % | 6 L NS % ")</f>
        <v xml:space="preserve">| 1 L INE @ | 3 P NS % | 5 L JAVA % | 6 L NS % </v>
      </c>
      <c r="BY355" s="4" t="str">
        <f ca="1">IFERROR(__xludf.DUMMYFUNCTION("""COMPUTED_VALUE"""),"| 1 P PHP-CGM % | 3 P CPT % | 5 L NS % | 6 L CPT @ ")</f>
        <v xml:space="preserve">| 1 P PHP-CGM % | 3 P CPT % | 5 L NS % | 6 L CPT @ </v>
      </c>
      <c r="BZ355" s="4" t="str">
        <f ca="1">IFERROR(__xludf.DUMMYFUNCTION("""COMPUTED_VALUE"""),"| 1 P JAVA % | 3 L CPT @ | 4 L PHP-CGM @ | 5 P Python @ ")</f>
        <v xml:space="preserve">| 1 P JAVA % | 3 L CPT @ | 4 L PHP-CGM @ | 5 P Python @ </v>
      </c>
      <c r="CA355" s="4" t="str">
        <f ca="1">IFERROR(__xludf.DUMMYFUNCTION("""COMPUTED_VALUE"""),"| 1 P JAVA % | 3 L PHP-CGM @ | 3 L JAVA @ | 5 P PRO % ")</f>
        <v xml:space="preserve">| 1 P JAVA % | 3 L PHP-CGM @ | 3 L JAVA @ | 5 P PRO % </v>
      </c>
      <c r="CB355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CC355" s="4" t="str">
        <f ca="1">IFERROR(__xludf.DUMMYFUNCTION("""COMPUTED_VALUE"""),"| 1 L INE % | 3 P NS % | 5 L JAVA @ | 6 L NS @ ")</f>
        <v xml:space="preserve">| 1 L INE % | 3 P NS % | 5 L JAVA @ | 6 L NS @ </v>
      </c>
      <c r="CD355" s="4" t="str">
        <f ca="1">IFERROR(__xludf.DUMMYFUNCTION("""COMPUTED_VALUE"""),"| 1 P PHP-CGM @ | 3 P CPT @ | 5 L NS @ | 6 L CPT @ ")</f>
        <v xml:space="preserve">| 1 P PHP-CGM @ | 3 P CPT @ | 5 L NS @ | 6 L CPT @ </v>
      </c>
      <c r="CE355" s="4" t="str">
        <f ca="1">IFERROR(__xludf.DUMMYFUNCTION("""COMPUTED_VALUE"""),"| 1 P JAVA % | 3 L CPT % | 4 L PHP-CGM % | 5 P Python % ")</f>
        <v xml:space="preserve">| 1 P JAVA % | 3 L CPT % | 4 L PHP-CGM % | 5 P Python % </v>
      </c>
      <c r="CF355" s="4" t="str">
        <f ca="1">IFERROR(__xludf.DUMMYFUNCTION("""COMPUTED_VALUE"""),"| 1 P JAVA % | 4 L JAVA % | 3 L PHP-CGM % | 5 L PRO % ")</f>
        <v xml:space="preserve">| 1 P JAVA % | 4 L JAVA % | 3 L PHP-CGM % | 5 L PRO % </v>
      </c>
      <c r="CG355" s="4" t="str">
        <f ca="1">IFERROR(__xludf.DUMMYFUNCTION("""COMPUTED_VALUE"""),"| 1 L JAVA % | 2 L PHP-CGM % | 3 P Python @ | 6 L NS @ ")</f>
        <v xml:space="preserve">| 1 L JAVA % | 2 L PHP-CGM % | 3 P Python @ | 6 L NS @ </v>
      </c>
      <c r="CH355" s="4" t="str">
        <f ca="1">IFERROR(__xludf.DUMMYFUNCTION("""COMPUTED_VALUE"""),"| 1 L INE @ | 3 P NS % | 5 L JAVA @ | 6 L NS @ ")</f>
        <v xml:space="preserve">| 1 L INE @ | 3 P NS % | 5 L JAVA @ | 6 L NS @ </v>
      </c>
      <c r="CI355" s="4" t="str">
        <f ca="1">IFERROR(__xludf.DUMMYFUNCTION("""COMPUTED_VALUE"""),"| 3 P CPT % | 5 L NS @ | 6 L CPT % ")</f>
        <v xml:space="preserve">| 3 P CPT % | 5 L NS @ | 6 L CPT % </v>
      </c>
      <c r="CJ355" s="4" t="str">
        <f ca="1">IFERROR(__xludf.DUMMYFUNCTION("""COMPUTED_VALUE"""),"| 3 L CPT @ ")</f>
        <v xml:space="preserve">| 3 L CPT @ </v>
      </c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</row>
    <row r="356" spans="1:102" ht="12.5" x14ac:dyDescent="0.25">
      <c r="A356" s="3">
        <f ca="1">IFERROR(__xludf.DUMMYFUNCTION("""COMPUTED_VALUE"""),1)</f>
        <v>1</v>
      </c>
      <c r="B356" s="3" t="str">
        <f ca="1">IFERROR(__xludf.DUMMYFUNCTION("""COMPUTED_VALUE"""),"ITA")</f>
        <v>ITA</v>
      </c>
      <c r="C356" s="32" t="str">
        <f ca="1">IFERROR(__xludf.DUMMYFUNCTION("""COMPUTED_VALUE"""),"23291371037")</f>
        <v>23291371037</v>
      </c>
      <c r="D356" s="4" t="str">
        <f ca="1">IFERROR(__xludf.DUMMYFUNCTION("""COMPUTED_VALUE"""),"LIMBACHIYA AYUSH JASMIRKUMAR")</f>
        <v>LIMBACHIYA AYUSH JASMIRKUMAR</v>
      </c>
      <c r="E356" s="3" t="str">
        <f ca="1">IFERROR(__xludf.DUMMYFUNCTION("""COMPUTED_VALUE"""),"Sweety - Mor")</f>
        <v>Sweety - Mor</v>
      </c>
      <c r="F356" s="3">
        <f ca="1">IFERROR(__xludf.DUMMYFUNCTION("""COMPUTED_VALUE"""),6355858355)</f>
        <v>6355858355</v>
      </c>
      <c r="G356" s="3">
        <f ca="1">IFERROR(__xludf.DUMMYFUNCTION("""COMPUTED_VALUE"""),9725263360)</f>
        <v>9725263360</v>
      </c>
      <c r="H356" s="33">
        <f ca="1">IFERROR(__xludf.DUMMYFUNCTION("""COMPUTED_VALUE"""),0.725806451612903)</f>
        <v>0.72580645161290303</v>
      </c>
      <c r="I356" s="25">
        <f ca="1">IFERROR(__xludf.DUMMYFUNCTION("""COMPUTED_VALUE"""),0.6)</f>
        <v>0.6</v>
      </c>
      <c r="J356" s="25">
        <f ca="1">IFERROR(__xludf.DUMMYFUNCTION("""COMPUTED_VALUE"""),0.461538461538461)</f>
        <v>0.46153846153846101</v>
      </c>
      <c r="K356" s="25">
        <f ca="1">IFERROR(__xludf.DUMMYFUNCTION("""COMPUTED_VALUE"""),0.75)</f>
        <v>0.75</v>
      </c>
      <c r="L356" s="25">
        <f ca="1">IFERROR(__xludf.DUMMYFUNCTION("""COMPUTED_VALUE"""),0.909090909090909)</f>
        <v>0.90909090909090895</v>
      </c>
      <c r="M356" s="25">
        <f ca="1">IFERROR(__xludf.DUMMYFUNCTION("""COMPUTED_VALUE"""),0.763157894736842)</f>
        <v>0.76315789473684204</v>
      </c>
      <c r="N356" s="25">
        <f ca="1">IFERROR(__xludf.DUMMYFUNCTION("""COMPUTED_VALUE"""),0.818181818181818)</f>
        <v>0.81818181818181801</v>
      </c>
      <c r="O356" s="25">
        <f ca="1">IFERROR(__xludf.DUMMYFUNCTION("""COMPUTED_VALUE"""),0.777777777777777)</f>
        <v>0.77777777777777701</v>
      </c>
      <c r="P356" s="25">
        <f ca="1">IFERROR(__xludf.DUMMYFUNCTION("""COMPUTED_VALUE"""),0.708333333333333)</f>
        <v>0.70833333333333304</v>
      </c>
      <c r="Q356" s="25">
        <f ca="1">IFERROR(__xludf.DUMMYFUNCTION("""COMPUTED_VALUE"""),0)</f>
        <v>0</v>
      </c>
      <c r="R356" s="25">
        <f ca="1">IFERROR(__xludf.DUMMYFUNCTION("""COMPUTED_VALUE"""),0.75)</f>
        <v>0.75</v>
      </c>
      <c r="S356" s="25">
        <f ca="1">IFERROR(__xludf.DUMMYFUNCTION("""COMPUTED_VALUE"""),0.666666666666666)</f>
        <v>0.66666666666666596</v>
      </c>
      <c r="T356" s="25">
        <f ca="1">IFERROR(__xludf.DUMMYFUNCTION("""COMPUTED_VALUE"""),0.666666666666666)</f>
        <v>0.66666666666666596</v>
      </c>
      <c r="U356" s="25">
        <f ca="1">IFERROR(__xludf.DUMMYFUNCTION("""COMPUTED_VALUE"""),0.875)</f>
        <v>0.875</v>
      </c>
      <c r="V356" s="25">
        <f ca="1">IFERROR(__xludf.DUMMYFUNCTION("""COMPUTED_VALUE"""),0)</f>
        <v>0</v>
      </c>
      <c r="W356" s="4"/>
      <c r="X356" s="4" t="str">
        <f ca="1">IFERROR(__xludf.DUMMYFUNCTION("""COMPUTED_VALUE"""),"| 1 P JAVA % | 4 L JAVA % | 3 L PHP-CGM % | 1 L PRO @ ")</f>
        <v xml:space="preserve">| 1 P JAVA % | 4 L JAVA % | 3 L PHP-CGM % | 1 L PRO @ </v>
      </c>
      <c r="Y35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56" s="4" t="str">
        <f ca="1">IFERROR(__xludf.DUMMYFUNCTION("""COMPUTED_VALUE"""),"| 3 P NS % | 5 L JAVA % | 6 L NS @ ")</f>
        <v xml:space="preserve">| 3 P NS % | 5 L JAVA % | 6 L NS @ </v>
      </c>
      <c r="AA356" s="4" t="str">
        <f ca="1">IFERROR(__xludf.DUMMYFUNCTION("""COMPUTED_VALUE"""),"| 3 P CPT @ | 5 L NS @ | 6 L CPT @ ")</f>
        <v xml:space="preserve">| 3 P CPT @ | 5 L NS @ | 6 L CPT @ </v>
      </c>
      <c r="AB356" s="4" t="str">
        <f ca="1">IFERROR(__xludf.DUMMYFUNCTION("""COMPUTED_VALUE"""),"| 1 P JAVA % | 3 L CPT % | 4 L PHP-CGM % | 5 P Python % ")</f>
        <v xml:space="preserve">| 1 P JAVA % | 3 L CPT % | 4 L PHP-CGM % | 5 P Python % </v>
      </c>
      <c r="AC356" s="4" t="str">
        <f ca="1">IFERROR(__xludf.DUMMYFUNCTION("""COMPUTED_VALUE"""),"| 1 P JAVA % | 3 L PHP-CGM @ | 5 P PRO % ")</f>
        <v xml:space="preserve">| 1 P JAVA % | 3 L PHP-CGM @ | 5 P PRO % </v>
      </c>
      <c r="AD356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56" s="4" t="str">
        <f ca="1">IFERROR(__xludf.DUMMYFUNCTION("""COMPUTED_VALUE"""),"| 3 P NS % | 5 L JAVA % | 6 L NS % ")</f>
        <v xml:space="preserve">| 3 P NS % | 5 L JAVA % | 6 L NS % </v>
      </c>
      <c r="AF356" s="4" t="str">
        <f ca="1">IFERROR(__xludf.DUMMYFUNCTION("""COMPUTED_VALUE"""),"| 1 P PHP-CGM % | 3 P CPT % | 5 L NS @ | 6 L CPT @ ")</f>
        <v xml:space="preserve">| 1 P PHP-CGM % | 3 P CPT % | 5 L NS @ | 6 L CPT @ </v>
      </c>
      <c r="AG356" s="4" t="str">
        <f ca="1">IFERROR(__xludf.DUMMYFUNCTION("""COMPUTED_VALUE"""),"| 1 P JAVA @ | 3 L CPT @ | 4 L PHP-CGM % | 5 P Python @ ")</f>
        <v xml:space="preserve">| 1 P JAVA @ | 3 L CPT @ | 4 L PHP-CGM % | 5 P Python @ </v>
      </c>
      <c r="AH356" s="4" t="str">
        <f ca="1">IFERROR(__xludf.DUMMYFUNCTION("""COMPUTED_VALUE"""),"| 1 P PHP-CGM % | 3 P CPT @ | 5 L NS @ | 6 L CPT @ ")</f>
        <v xml:space="preserve">| 1 P PHP-CGM % | 3 P CPT @ | 5 L NS @ | 6 L CPT @ </v>
      </c>
      <c r="AI356" s="4" t="str">
        <f ca="1">IFERROR(__xludf.DUMMYFUNCTION("""COMPUTED_VALUE"""),"| 1 P JAVA % | 3 L CPT % | 4 L PHP-CGM % | 5 P Python % ")</f>
        <v xml:space="preserve">| 1 P JAVA % | 3 L CPT % | 4 L PHP-CGM % | 5 P Python % </v>
      </c>
      <c r="AJ356" s="4" t="str">
        <f ca="1">IFERROR(__xludf.DUMMYFUNCTION("""COMPUTED_VALUE"""),"| 1 P JAVA % | 3 L PHP-CGM % | 4 L JAVA % | 5 P PRO % ")</f>
        <v xml:space="preserve">| 1 P JAVA % | 3 L PHP-CGM % | 4 L JAVA % | 5 P PRO % </v>
      </c>
      <c r="AK35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6" s="4" t="str">
        <f ca="1">IFERROR(__xludf.DUMMYFUNCTION("""COMPUTED_VALUE"""),"| 3 P NS % | 5 L JAVA @ | 6 L NS % ")</f>
        <v xml:space="preserve">| 3 P NS % | 5 L JAVA @ | 6 L NS % </v>
      </c>
      <c r="AM356" s="4" t="str">
        <f ca="1">IFERROR(__xludf.DUMMYFUNCTION("""COMPUTED_VALUE"""),"| 1 P PHP-CGM % | 3 P CPT @ | 5 L NS @ | 6 L CPT @ ")</f>
        <v xml:space="preserve">| 1 P PHP-CGM % | 3 P CPT @ | 5 L NS @ | 6 L CPT @ </v>
      </c>
      <c r="AN356" s="4" t="str">
        <f ca="1">IFERROR(__xludf.DUMMYFUNCTION("""COMPUTED_VALUE"""),"| 1 P JAVA % | 4 L PHP-CGM % | 5 P Python % ")</f>
        <v xml:space="preserve">| 1 P JAVA % | 4 L PHP-CGM % | 5 P Python % </v>
      </c>
      <c r="AO356" s="4" t="str">
        <f ca="1">IFERROR(__xludf.DUMMYFUNCTION("""COMPUTED_VALUE"""),"| 1 P JAVA % | 3 L PHP-CGM % | 4 L JAVA % | 5 P PRO % ")</f>
        <v xml:space="preserve">| 1 P JAVA % | 3 L PHP-CGM % | 4 L JAVA % | 5 P PRO % </v>
      </c>
      <c r="AP356" s="4" t="str">
        <f ca="1">IFERROR(__xludf.DUMMYFUNCTION("""COMPUTED_VALUE"""),"| 1 L JAVA @ | 2 L PHP-CGM @ | 3 P Python % | 5 L CPT % | 6 L NS % ")</f>
        <v xml:space="preserve">| 1 L JAVA @ | 2 L PHP-CGM @ | 3 P Python % | 5 L CPT % | 6 L NS % </v>
      </c>
      <c r="AQ356" s="4" t="str">
        <f ca="1">IFERROR(__xludf.DUMMYFUNCTION("""COMPUTED_VALUE"""),"| 1 L INE % | 3 P NS % | 5 L JAVA % | 6 L NS % ")</f>
        <v xml:space="preserve">| 1 L INE % | 3 P NS % | 5 L JAVA % | 6 L NS % </v>
      </c>
      <c r="AR356" s="4" t="str">
        <f ca="1">IFERROR(__xludf.DUMMYFUNCTION("""COMPUTED_VALUE"""),"| 1 P PHP-CGM % | 3 L CPT % | 3 P CPT % | 5 L NS % | 6 L CPT @ ")</f>
        <v xml:space="preserve">| 1 P PHP-CGM % | 3 L CPT % | 3 P CPT % | 5 L NS % | 6 L CPT @ </v>
      </c>
      <c r="AS356" s="4" t="str">
        <f ca="1">IFERROR(__xludf.DUMMYFUNCTION("""COMPUTED_VALUE"""),"| 1 P JAVA % | 3 L PHP-CGM % | 4 L JAVA % | 5 P PRO % ")</f>
        <v xml:space="preserve">| 1 P JAVA % | 3 L PHP-CGM % | 4 L JAVA % | 5 P PRO % </v>
      </c>
      <c r="AT35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56" s="4" t="str">
        <f ca="1">IFERROR(__xludf.DUMMYFUNCTION("""COMPUTED_VALUE"""),"| 1 L INE @ | 3 P NS % | 5 L JAVA @ | 6 L NS % ")</f>
        <v xml:space="preserve">| 1 L INE @ | 3 P NS % | 5 L JAVA @ | 6 L NS % </v>
      </c>
      <c r="AV356" s="4" t="str">
        <f ca="1">IFERROR(__xludf.DUMMYFUNCTION("""COMPUTED_VALUE"""),"| 1 P PHP-CGM % | 3 P CPT % | 5 L NS % | 6 L CPT % ")</f>
        <v xml:space="preserve">| 1 P PHP-CGM % | 3 P CPT % | 5 L NS % | 6 L CPT % </v>
      </c>
      <c r="AW356" s="4" t="str">
        <f ca="1">IFERROR(__xludf.DUMMYFUNCTION("""COMPUTED_VALUE"""),"| 1 P JAVA % | 3 L CPT @ | 4 L PHP-CGM @ | 5 P Python % ")</f>
        <v xml:space="preserve">| 1 P JAVA % | 3 L CPT @ | 4 L PHP-CGM @ | 5 P Python % </v>
      </c>
      <c r="AX356" s="4" t="str">
        <f ca="1">IFERROR(__xludf.DUMMYFUNCTION("""COMPUTED_VALUE"""),"| 1 P JAVA % | 3 L JAVA % | 4 L PHP-CGM % | 5 P PRO % ")</f>
        <v xml:space="preserve">| 1 P JAVA % | 3 L JAVA % | 4 L PHP-CGM % | 5 P PRO % </v>
      </c>
      <c r="AY356" s="4" t="str">
        <f ca="1">IFERROR(__xludf.DUMMYFUNCTION("""COMPUTED_VALUE"""),"| 2 L PHP-CGM % | 3 P Python % | 5 L CPT @ | 6 L NS % | 1 L JAVA % ")</f>
        <v xml:space="preserve">| 2 L PHP-CGM % | 3 P Python % | 5 L CPT @ | 6 L NS % | 1 L JAVA % </v>
      </c>
      <c r="AZ356" s="4" t="str">
        <f ca="1">IFERROR(__xludf.DUMMYFUNCTION("""COMPUTED_VALUE"""),"| 1 P PHP-CGM % | 3 P CPT % | 5 L NS % | 6 L CPT % ")</f>
        <v xml:space="preserve">| 1 P PHP-CGM % | 3 P CPT % | 5 L NS % | 6 L CPT % </v>
      </c>
      <c r="BA356" s="4" t="str">
        <f ca="1">IFERROR(__xludf.DUMMYFUNCTION("""COMPUTED_VALUE"""),"| 1 P JAVA % | 3 L CPT % | 4 L PHP-CGM % | 5 P Python % ")</f>
        <v xml:space="preserve">| 1 P JAVA % | 3 L CPT % | 4 L PHP-CGM % | 5 P Python % </v>
      </c>
      <c r="BB356" s="4" t="str">
        <f ca="1">IFERROR(__xludf.DUMMYFUNCTION("""COMPUTED_VALUE"""),"| 1 P JAVA % | 3 L PHP-CGM % | 4 L JAVA % | 5 L PRO % ")</f>
        <v xml:space="preserve">| 1 P JAVA % | 3 L PHP-CGM % | 4 L JAVA % | 5 L PRO % </v>
      </c>
      <c r="BC35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56" s="4" t="str">
        <f ca="1">IFERROR(__xludf.DUMMYFUNCTION("""COMPUTED_VALUE"""),"| 1 L INE % | 3 P NS % | 5 L JAVA % | 6 L NS % ")</f>
        <v xml:space="preserve">| 1 L INE % | 3 P NS % | 5 L JAVA % | 6 L NS % </v>
      </c>
      <c r="BE356" s="4" t="str">
        <f ca="1">IFERROR(__xludf.DUMMYFUNCTION("""COMPUTED_VALUE"""),"| 1 P PHP-CGM % | 3 P CPT @ | 5 L NS @ | 6 L CPT @ ")</f>
        <v xml:space="preserve">| 1 P PHP-CGM % | 3 P CPT @ | 5 L NS @ | 6 L CPT @ </v>
      </c>
      <c r="BF356" s="4" t="str">
        <f ca="1">IFERROR(__xludf.DUMMYFUNCTION("""COMPUTED_VALUE"""),"| 1 P JAVA % | 3 L CPT % | 4 L PHP-CGM % | 5 P Python % ")</f>
        <v xml:space="preserve">| 1 P JAVA % | 3 L CPT % | 4 L PHP-CGM % | 5 P Python % </v>
      </c>
      <c r="BG356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56" s="4" t="str">
        <f ca="1">IFERROR(__xludf.DUMMYFUNCTION("""COMPUTED_VALUE"""),"| 1 L INE % | 3 P NS % | 5 L JAVA % | 6 L NS % ")</f>
        <v xml:space="preserve">| 1 L INE % | 3 P NS % | 5 L JAVA % | 6 L NS % </v>
      </c>
      <c r="BI356" s="4" t="str">
        <f ca="1">IFERROR(__xludf.DUMMYFUNCTION("""COMPUTED_VALUE"""),"| 1 P PHP-CGM @ | 3 P CPT @ | 5 L NS % | 6 L CPT @ ")</f>
        <v xml:space="preserve">| 1 P PHP-CGM @ | 3 P CPT @ | 5 L NS % | 6 L CPT @ </v>
      </c>
      <c r="BJ356" s="4" t="str">
        <f ca="1">IFERROR(__xludf.DUMMYFUNCTION("""COMPUTED_VALUE"""),"| 1 P JAVA % | 3 L CPT % | 4 L PHP-CGM % | 5 P Python @ ")</f>
        <v xml:space="preserve">| 1 P JAVA % | 3 L CPT % | 4 L PHP-CGM % | 5 P Python @ </v>
      </c>
      <c r="BK356" s="4" t="str">
        <f ca="1">IFERROR(__xludf.DUMMYFUNCTION("""COMPUTED_VALUE"""),"| 1 P JAVA @ | 3 L PHP-CGM % | 4 L JAVA % | 5 P PRO @ ")</f>
        <v xml:space="preserve">| 1 P JAVA @ | 3 L PHP-CGM % | 4 L JAVA % | 5 P PRO @ </v>
      </c>
      <c r="BL356" s="4" t="str">
        <f ca="1">IFERROR(__xludf.DUMMYFUNCTION("""COMPUTED_VALUE"""),"| 1 L JAVA @ | 2 L PHP-CGM @ | 3 P Python @ | 6 L NS % | 5 L CPT % ")</f>
        <v xml:space="preserve">| 1 L JAVA @ | 2 L PHP-CGM @ | 3 P Python @ | 6 L NS % | 5 L CPT % </v>
      </c>
      <c r="BM356" s="4" t="str">
        <f ca="1">IFERROR(__xludf.DUMMYFUNCTION("""COMPUTED_VALUE"""),"| 1 L INE % | 3 P NS % | 5 L JAVA % | 6 L NS % ")</f>
        <v xml:space="preserve">| 1 L INE % | 3 P NS % | 5 L JAVA % | 6 L NS % </v>
      </c>
      <c r="BN356" s="4" t="str">
        <f ca="1">IFERROR(__xludf.DUMMYFUNCTION("""COMPUTED_VALUE"""),"| 1 P PHP-CGM % | 3 P CPT @ | 5 L NS % | 6 L CPT % ")</f>
        <v xml:space="preserve">| 1 P PHP-CGM % | 3 P CPT @ | 5 L NS % | 6 L CPT % </v>
      </c>
      <c r="BO356" s="4" t="str">
        <f ca="1">IFERROR(__xludf.DUMMYFUNCTION("""COMPUTED_VALUE"""),"| 1 P JAVA @ | 4 L PHP-CGM @ | 3 L CPT @ | 5 P Python @ ")</f>
        <v xml:space="preserve">| 1 P JAVA @ | 4 L PHP-CGM @ | 3 L CPT @ | 5 P Python @ </v>
      </c>
      <c r="BP356" s="4" t="str">
        <f ca="1">IFERROR(__xludf.DUMMYFUNCTION("""COMPUTED_VALUE"""),"| 1 P JAVA % | 3 L PHP-CGM % | 4 L JAVA % | 5 P PRO @ ")</f>
        <v xml:space="preserve">| 1 P JAVA % | 3 L PHP-CGM % | 4 L JAVA % | 5 P PRO @ </v>
      </c>
      <c r="BQ356" s="4" t="str">
        <f ca="1">IFERROR(__xludf.DUMMYFUNCTION("""COMPUTED_VALUE"""),"| 6 L NS % | 5 L JAVA % ")</f>
        <v xml:space="preserve">| 6 L NS % | 5 L JAVA % </v>
      </c>
      <c r="BR356" s="4"/>
      <c r="BS356" s="4" t="str">
        <f ca="1">IFERROR(__xludf.DUMMYFUNCTION("""COMPUTED_VALUE"""),"| 4 L PHP-CGM % ")</f>
        <v xml:space="preserve">| 4 L PHP-CGM % </v>
      </c>
      <c r="BT356" s="4" t="str">
        <f ca="1">IFERROR(__xludf.DUMMYFUNCTION("""COMPUTED_VALUE"""),"| 1 P JAVA @ | 3 L PHP-CGM % ")</f>
        <v xml:space="preserve">| 1 P JAVA @ | 3 L PHP-CGM % </v>
      </c>
      <c r="BU356" s="4" t="str">
        <f ca="1">IFERROR(__xludf.DUMMYFUNCTION("""COMPUTED_VALUE"""),"| 1 L JAVA @ | 2 L PHP-CGM @ | 3 P Python % ")</f>
        <v xml:space="preserve">| 1 L JAVA @ | 2 L PHP-CGM @ | 3 P Python % </v>
      </c>
      <c r="BV356" s="4" t="str">
        <f ca="1">IFERROR(__xludf.DUMMYFUNCTION("""COMPUTED_VALUE"""),"| 1 P JAVA % | 3 L PHP-CGM % | 4 L JAVA % | 5 P PRO @ ")</f>
        <v xml:space="preserve">| 1 P JAVA % | 3 L PHP-CGM % | 4 L JAVA % | 5 P PRO @ </v>
      </c>
      <c r="BW356" s="4" t="str">
        <f ca="1">IFERROR(__xludf.DUMMYFUNCTION("""COMPUTED_VALUE"""),"| 1 L JAVA % | 2 L PHP-CGM % | 3 P Python % ")</f>
        <v xml:space="preserve">| 1 L JAVA % | 2 L PHP-CGM % | 3 P Python % </v>
      </c>
      <c r="BX356" s="4" t="str">
        <f ca="1">IFERROR(__xludf.DUMMYFUNCTION("""COMPUTED_VALUE"""),"| 1 L INE % | 3 P NS % | 5 L JAVA % | 6 L NS % ")</f>
        <v xml:space="preserve">| 1 L INE % | 3 P NS % | 5 L JAVA % | 6 L NS % </v>
      </c>
      <c r="BY356" s="4" t="str">
        <f ca="1">IFERROR(__xludf.DUMMYFUNCTION("""COMPUTED_VALUE"""),"| 1 P PHP-CGM % | 3 P CPT @ | 5 L NS % | 6 L CPT % ")</f>
        <v xml:space="preserve">| 1 P PHP-CGM % | 3 P CPT @ | 5 L NS % | 6 L CPT % </v>
      </c>
      <c r="BZ356" s="4" t="str">
        <f ca="1">IFERROR(__xludf.DUMMYFUNCTION("""COMPUTED_VALUE"""),"| 1 P JAVA @ | 3 L CPT % | 4 L PHP-CGM % | 5 P Python @ ")</f>
        <v xml:space="preserve">| 1 P JAVA @ | 3 L CPT % | 4 L PHP-CGM % | 5 P Python @ </v>
      </c>
      <c r="CA356" s="4" t="str">
        <f ca="1">IFERROR(__xludf.DUMMYFUNCTION("""COMPUTED_VALUE"""),"| 1 P JAVA @ | 3 L PHP-CGM @ | 3 L JAVA @ | 5 P PRO % ")</f>
        <v xml:space="preserve">| 1 P JAVA @ | 3 L PHP-CGM @ | 3 L JAVA @ | 5 P PRO % </v>
      </c>
      <c r="CB356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CC356" s="4" t="str">
        <f ca="1">IFERROR(__xludf.DUMMYFUNCTION("""COMPUTED_VALUE"""),"| 1 L INE % | 3 P NS @ | 5 L JAVA @ | 6 L NS @ ")</f>
        <v xml:space="preserve">| 1 L INE % | 3 P NS @ | 5 L JAVA @ | 6 L NS @ </v>
      </c>
      <c r="CD356" s="4" t="str">
        <f ca="1">IFERROR(__xludf.DUMMYFUNCTION("""COMPUTED_VALUE"""),"| 1 P PHP-CGM @ | 3 P CPT % | 5 L NS @ | 6 L CPT @ ")</f>
        <v xml:space="preserve">| 1 P PHP-CGM @ | 3 P CPT % | 5 L NS @ | 6 L CPT @ </v>
      </c>
      <c r="CE356" s="4" t="str">
        <f ca="1">IFERROR(__xludf.DUMMYFUNCTION("""COMPUTED_VALUE"""),"| 1 P JAVA @ | 3 L CPT @ | 4 L PHP-CGM @ | 5 P Python @ ")</f>
        <v xml:space="preserve">| 1 P JAVA @ | 3 L CPT @ | 4 L PHP-CGM @ | 5 P Python @ </v>
      </c>
      <c r="CF356" s="4" t="str">
        <f ca="1">IFERROR(__xludf.DUMMYFUNCTION("""COMPUTED_VALUE"""),"| 1 P JAVA % | 4 L JAVA % | 3 L PHP-CGM % | 5 L PRO % ")</f>
        <v xml:space="preserve">| 1 P JAVA % | 4 L JAVA % | 3 L PHP-CGM % | 5 L PRO % </v>
      </c>
      <c r="CG356" s="4" t="str">
        <f ca="1">IFERROR(__xludf.DUMMYFUNCTION("""COMPUTED_VALUE"""),"| 1 L JAVA % | 2 L PHP-CGM @ | 3 P Python % | 6 L NS % ")</f>
        <v xml:space="preserve">| 1 L JAVA % | 2 L PHP-CGM @ | 3 P Python % | 6 L NS % </v>
      </c>
      <c r="CH356" s="4" t="str">
        <f ca="1">IFERROR(__xludf.DUMMYFUNCTION("""COMPUTED_VALUE"""),"| 1 L INE % | 3 P NS % | 5 L JAVA @ | 6 L NS @ ")</f>
        <v xml:space="preserve">| 1 L INE % | 3 P NS % | 5 L JAVA @ | 6 L NS @ </v>
      </c>
      <c r="CI356" s="4" t="str">
        <f ca="1">IFERROR(__xludf.DUMMYFUNCTION("""COMPUTED_VALUE"""),"| 3 P CPT % | 5 L NS % | 6 L CPT % ")</f>
        <v xml:space="preserve">| 3 P CPT % | 5 L NS % | 6 L CPT % </v>
      </c>
      <c r="CJ356" s="4" t="str">
        <f ca="1">IFERROR(__xludf.DUMMYFUNCTION("""COMPUTED_VALUE"""),"| 3 L CPT @ ")</f>
        <v xml:space="preserve">| 3 L CPT @ </v>
      </c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</row>
    <row r="357" spans="1:102" ht="12.5" x14ac:dyDescent="0.25">
      <c r="A357" s="3">
        <f ca="1">IFERROR(__xludf.DUMMYFUNCTION("""COMPUTED_VALUE"""),1)</f>
        <v>1</v>
      </c>
      <c r="B357" s="3" t="str">
        <f ca="1">IFERROR(__xludf.DUMMYFUNCTION("""COMPUTED_VALUE"""),"ITA")</f>
        <v>ITA</v>
      </c>
      <c r="C357" s="32" t="str">
        <f ca="1">IFERROR(__xludf.DUMMYFUNCTION("""COMPUTED_VALUE"""),"23291371038")</f>
        <v>23291371038</v>
      </c>
      <c r="D357" s="4" t="str">
        <f ca="1">IFERROR(__xludf.DUMMYFUNCTION("""COMPUTED_VALUE"""),"LUHARIYA AVISHKUMAR LALAJIBHAI")</f>
        <v>LUHARIYA AVISHKUMAR LALAJIBHAI</v>
      </c>
      <c r="E357" s="3" t="str">
        <f ca="1">IFERROR(__xludf.DUMMYFUNCTION("""COMPUTED_VALUE"""),"Sweety - Mor")</f>
        <v>Sweety - Mor</v>
      </c>
      <c r="F357" s="3">
        <f ca="1">IFERROR(__xludf.DUMMYFUNCTION("""COMPUTED_VALUE"""),9723660491)</f>
        <v>9723660491</v>
      </c>
      <c r="G357" s="3">
        <f ca="1">IFERROR(__xludf.DUMMYFUNCTION("""COMPUTED_VALUE"""),7984485938)</f>
        <v>7984485938</v>
      </c>
      <c r="H357" s="33">
        <f ca="1">IFERROR(__xludf.DUMMYFUNCTION("""COMPUTED_VALUE"""),0.451612903225806)</f>
        <v>0.45161290322580599</v>
      </c>
      <c r="I357" s="25">
        <f ca="1">IFERROR(__xludf.DUMMYFUNCTION("""COMPUTED_VALUE"""),0.4)</f>
        <v>0.4</v>
      </c>
      <c r="J357" s="25">
        <f ca="1">IFERROR(__xludf.DUMMYFUNCTION("""COMPUTED_VALUE"""),0.384615384615384)</f>
        <v>0.38461538461538403</v>
      </c>
      <c r="K357" s="25">
        <f ca="1">IFERROR(__xludf.DUMMYFUNCTION("""COMPUTED_VALUE"""),0.361111111111111)</f>
        <v>0.36111111111111099</v>
      </c>
      <c r="L357" s="25">
        <f ca="1">IFERROR(__xludf.DUMMYFUNCTION("""COMPUTED_VALUE"""),0.454545454545454)</f>
        <v>0.45454545454545398</v>
      </c>
      <c r="M357" s="25">
        <f ca="1">IFERROR(__xludf.DUMMYFUNCTION("""COMPUTED_VALUE"""),0.526315789473684)</f>
        <v>0.52631578947368396</v>
      </c>
      <c r="N357" s="25">
        <f ca="1">IFERROR(__xludf.DUMMYFUNCTION("""COMPUTED_VALUE"""),0.545454545454545)</f>
        <v>0.54545454545454497</v>
      </c>
      <c r="O357" s="25">
        <f ca="1">IFERROR(__xludf.DUMMYFUNCTION("""COMPUTED_VALUE"""),0.5)</f>
        <v>0.5</v>
      </c>
      <c r="P357" s="25">
        <f ca="1">IFERROR(__xludf.DUMMYFUNCTION("""COMPUTED_VALUE"""),0.5)</f>
        <v>0.5</v>
      </c>
      <c r="Q357" s="25">
        <f ca="1">IFERROR(__xludf.DUMMYFUNCTION("""COMPUTED_VALUE"""),0)</f>
        <v>0</v>
      </c>
      <c r="R357" s="25">
        <f ca="1">IFERROR(__xludf.DUMMYFUNCTION("""COMPUTED_VALUE"""),0.541666666666666)</f>
        <v>0.54166666666666596</v>
      </c>
      <c r="S357" s="25">
        <f ca="1">IFERROR(__xludf.DUMMYFUNCTION("""COMPUTED_VALUE"""),0.666666666666666)</f>
        <v>0.66666666666666596</v>
      </c>
      <c r="T357" s="25">
        <f ca="1">IFERROR(__xludf.DUMMYFUNCTION("""COMPUTED_VALUE"""),0.222222222222222)</f>
        <v>0.22222222222222199</v>
      </c>
      <c r="U357" s="25">
        <f ca="1">IFERROR(__xludf.DUMMYFUNCTION("""COMPUTED_VALUE"""),0.25)</f>
        <v>0.25</v>
      </c>
      <c r="V357" s="25">
        <f ca="1">IFERROR(__xludf.DUMMYFUNCTION("""COMPUTED_VALUE"""),0)</f>
        <v>0</v>
      </c>
      <c r="W357" s="4"/>
      <c r="X357" s="4" t="str">
        <f ca="1">IFERROR(__xludf.DUMMYFUNCTION("""COMPUTED_VALUE"""),"| 1 P JAVA @ | 4 L JAVA @ | 3 L PHP-CGM @ | 1 L PRO @ ")</f>
        <v xml:space="preserve">| 1 P JAVA @ | 4 L JAVA @ | 3 L PHP-CGM @ | 1 L PRO @ </v>
      </c>
      <c r="Y357" s="4" t="str">
        <f ca="1">IFERROR(__xludf.DUMMYFUNCTION("""COMPUTED_VALUE"""),"| 1 L JAVA @ | 2 L PHP-CGM % | 3 P Python @ | 5 L CPT @ | 6 L NS @ ")</f>
        <v xml:space="preserve">| 1 L JAVA @ | 2 L PHP-CGM % | 3 P Python @ | 5 L CPT @ | 6 L NS @ </v>
      </c>
      <c r="Z357" s="4" t="str">
        <f ca="1">IFERROR(__xludf.DUMMYFUNCTION("""COMPUTED_VALUE"""),"| 3 P NS @ | 5 L JAVA @ | 6 L NS @ ")</f>
        <v xml:space="preserve">| 3 P NS @ | 5 L JAVA @ | 6 L NS @ </v>
      </c>
      <c r="AA357" s="4" t="str">
        <f ca="1">IFERROR(__xludf.DUMMYFUNCTION("""COMPUTED_VALUE"""),"| 3 P CPT @ | 5 L NS @ | 6 L CPT @ ")</f>
        <v xml:space="preserve">| 3 P CPT @ | 5 L NS @ | 6 L CPT @ </v>
      </c>
      <c r="AB357" s="4" t="str">
        <f ca="1">IFERROR(__xludf.DUMMYFUNCTION("""COMPUTED_VALUE"""),"| 1 P JAVA % | 3 L CPT @ | 4 L PHP-CGM @ | 5 P Python @ ")</f>
        <v xml:space="preserve">| 1 P JAVA % | 3 L CPT @ | 4 L PHP-CGM @ | 5 P Python @ </v>
      </c>
      <c r="AC357" s="4" t="str">
        <f ca="1">IFERROR(__xludf.DUMMYFUNCTION("""COMPUTED_VALUE"""),"| 1 P JAVA % | 3 L PHP-CGM @ | 5 P PRO % ")</f>
        <v xml:space="preserve">| 1 P JAVA % | 3 L PHP-CGM @ | 5 P PRO % </v>
      </c>
      <c r="AD357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AE357" s="4" t="str">
        <f ca="1">IFERROR(__xludf.DUMMYFUNCTION("""COMPUTED_VALUE"""),"| 3 P NS % | 5 L JAVA % | 6 L NS % ")</f>
        <v xml:space="preserve">| 3 P NS % | 5 L JAVA % | 6 L NS % </v>
      </c>
      <c r="AF357" s="4" t="str">
        <f ca="1">IFERROR(__xludf.DUMMYFUNCTION("""COMPUTED_VALUE"""),"| 1 P PHP-CGM @ | 3 P CPT @ | 5 L NS @ | 6 L CPT @ ")</f>
        <v xml:space="preserve">| 1 P PHP-CGM @ | 3 P CPT @ | 5 L NS @ | 6 L CPT @ </v>
      </c>
      <c r="AG357" s="4" t="str">
        <f ca="1">IFERROR(__xludf.DUMMYFUNCTION("""COMPUTED_VALUE"""),"| 1 P JAVA @ | 3 L CPT @ | 4 L PHP-CGM @ | 5 P Python @ ")</f>
        <v xml:space="preserve">| 1 P JAVA @ | 3 L CPT @ | 4 L PHP-CGM @ | 5 P Python @ </v>
      </c>
      <c r="AH357" s="4" t="str">
        <f ca="1">IFERROR(__xludf.DUMMYFUNCTION("""COMPUTED_VALUE"""),"| 1 P PHP-CGM % | 3 P CPT @ | 5 L NS % | 6 L CPT % ")</f>
        <v xml:space="preserve">| 1 P PHP-CGM % | 3 P CPT @ | 5 L NS % | 6 L CPT % </v>
      </c>
      <c r="AI357" s="4" t="str">
        <f ca="1">IFERROR(__xludf.DUMMYFUNCTION("""COMPUTED_VALUE"""),"| 1 P JAVA % | 3 L CPT % | 4 L PHP-CGM % | 5 P Python % ")</f>
        <v xml:space="preserve">| 1 P JAVA % | 3 L CPT % | 4 L PHP-CGM % | 5 P Python % </v>
      </c>
      <c r="AJ357" s="4" t="str">
        <f ca="1">IFERROR(__xludf.DUMMYFUNCTION("""COMPUTED_VALUE"""),"| 1 P JAVA % | 3 L PHP-CGM % | 4 L JAVA % | 5 P PRO @ ")</f>
        <v xml:space="preserve">| 1 P JAVA % | 3 L PHP-CGM % | 4 L JAVA % | 5 P PRO @ </v>
      </c>
      <c r="AK35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7" s="4" t="str">
        <f ca="1">IFERROR(__xludf.DUMMYFUNCTION("""COMPUTED_VALUE"""),"| 3 P NS % | 5 L JAVA % | 6 L NS % ")</f>
        <v xml:space="preserve">| 3 P NS % | 5 L JAVA % | 6 L NS % </v>
      </c>
      <c r="AM357" s="4" t="str">
        <f ca="1">IFERROR(__xludf.DUMMYFUNCTION("""COMPUTED_VALUE"""),"| 1 P PHP-CGM % | 3 P CPT % | 5 L NS @ | 6 L CPT @ ")</f>
        <v xml:space="preserve">| 1 P PHP-CGM % | 3 P CPT % | 5 L NS @ | 6 L CPT @ </v>
      </c>
      <c r="AN357" s="4" t="str">
        <f ca="1">IFERROR(__xludf.DUMMYFUNCTION("""COMPUTED_VALUE"""),"| 1 P JAVA @ | 4 L PHP-CGM % | 5 P Python @ ")</f>
        <v xml:space="preserve">| 1 P JAVA @ | 4 L PHP-CGM % | 5 P Python @ </v>
      </c>
      <c r="AO357" s="4" t="str">
        <f ca="1">IFERROR(__xludf.DUMMYFUNCTION("""COMPUTED_VALUE"""),"| 1 P JAVA @ | 3 L PHP-CGM % | 4 L JAVA % | 5 P PRO @ ")</f>
        <v xml:space="preserve">| 1 P JAVA @ | 3 L PHP-CGM % | 4 L JAVA % | 5 P PRO @ </v>
      </c>
      <c r="AP357" s="4" t="str">
        <f ca="1">IFERROR(__xludf.DUMMYFUNCTION("""COMPUTED_VALUE"""),"| 1 L JAVA @ | 2 L PHP-CGM @ | 3 P Python % | 5 L CPT % | 6 L NS % ")</f>
        <v xml:space="preserve">| 1 L JAVA @ | 2 L PHP-CGM @ | 3 P Python % | 5 L CPT % | 6 L NS % </v>
      </c>
      <c r="AQ357" s="4" t="str">
        <f ca="1">IFERROR(__xludf.DUMMYFUNCTION("""COMPUTED_VALUE"""),"| 1 L INE @ | 3 P NS @ | 5 L JAVA @ | 6 L NS @ ")</f>
        <v xml:space="preserve">| 1 L INE @ | 3 P NS @ | 5 L JAVA @ | 6 L NS @ </v>
      </c>
      <c r="AR357" s="4" t="str">
        <f ca="1">IFERROR(__xludf.DUMMYFUNCTION("""COMPUTED_VALUE"""),"| 1 P PHP-CGM @ | 3 L CPT % | 3 P CPT @ | 5 L NS @ | 6 L CPT @ ")</f>
        <v xml:space="preserve">| 1 P PHP-CGM @ | 3 L CPT % | 3 P CPT @ | 5 L NS @ | 6 L CPT @ </v>
      </c>
      <c r="AS357" s="4" t="str">
        <f ca="1">IFERROR(__xludf.DUMMYFUNCTION("""COMPUTED_VALUE"""),"| 1 P JAVA % | 3 L PHP-CGM % | 4 L JAVA % | 5 P PRO @ ")</f>
        <v xml:space="preserve">| 1 P JAVA % | 3 L PHP-CGM % | 4 L JAVA % | 5 P PRO @ </v>
      </c>
      <c r="AT35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57" s="4" t="str">
        <f ca="1">IFERROR(__xludf.DUMMYFUNCTION("""COMPUTED_VALUE"""),"| 1 L INE @ | 3 P NS @ | 5 L JAVA @ | 6 L NS @ ")</f>
        <v xml:space="preserve">| 1 L INE @ | 3 P NS @ | 5 L JAVA @ | 6 L NS @ </v>
      </c>
      <c r="AV357" s="4" t="str">
        <f ca="1">IFERROR(__xludf.DUMMYFUNCTION("""COMPUTED_VALUE"""),"| 1 P PHP-CGM @ | 3 P CPT @ | 5 L NS @ | 6 L CPT @ ")</f>
        <v xml:space="preserve">| 1 P PHP-CGM @ | 3 P CPT @ | 5 L NS @ | 6 L CPT @ </v>
      </c>
      <c r="AW357" s="4" t="str">
        <f ca="1">IFERROR(__xludf.DUMMYFUNCTION("""COMPUTED_VALUE"""),"| 1 P JAVA % | 3 L CPT @ | 4 L PHP-CGM % | 5 P Python % ")</f>
        <v xml:space="preserve">| 1 P JAVA % | 3 L CPT @ | 4 L PHP-CGM % | 5 P Python % </v>
      </c>
      <c r="AX357" s="4" t="str">
        <f ca="1">IFERROR(__xludf.DUMMYFUNCTION("""COMPUTED_VALUE"""),"| 1 P JAVA % | 3 L JAVA % | 4 L PHP-CGM % | 5 P PRO % ")</f>
        <v xml:space="preserve">| 1 P JAVA % | 3 L JAVA % | 4 L PHP-CGM % | 5 P PRO % </v>
      </c>
      <c r="AY357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57" s="4" t="str">
        <f ca="1">IFERROR(__xludf.DUMMYFUNCTION("""COMPUTED_VALUE"""),"| 1 P PHP-CGM % | 3 P CPT % | 5 L NS @ | 6 L CPT % ")</f>
        <v xml:space="preserve">| 1 P PHP-CGM % | 3 P CPT % | 5 L NS @ | 6 L CPT % </v>
      </c>
      <c r="BA357" s="4" t="str">
        <f ca="1">IFERROR(__xludf.DUMMYFUNCTION("""COMPUTED_VALUE"""),"| 1 P JAVA % | 3 L CPT % | 4 L PHP-CGM % | 5 P Python % ")</f>
        <v xml:space="preserve">| 1 P JAVA % | 3 L CPT % | 4 L PHP-CGM % | 5 P Python % </v>
      </c>
      <c r="BB357" s="4" t="str">
        <f ca="1">IFERROR(__xludf.DUMMYFUNCTION("""COMPUTED_VALUE"""),"| 1 P JAVA % | 3 L PHP-CGM % | 4 L JAVA % | 5 L PRO % ")</f>
        <v xml:space="preserve">| 1 P JAVA % | 3 L PHP-CGM % | 4 L JAVA % | 5 L PRO % </v>
      </c>
      <c r="BC35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57" s="4" t="str">
        <f ca="1">IFERROR(__xludf.DUMMYFUNCTION("""COMPUTED_VALUE"""),"| 1 L INE @ | 3 P NS % | 5 L JAVA % | 6 L NS % ")</f>
        <v xml:space="preserve">| 1 L INE @ | 3 P NS % | 5 L JAVA % | 6 L NS % </v>
      </c>
      <c r="BE357" s="4" t="str">
        <f ca="1">IFERROR(__xludf.DUMMYFUNCTION("""COMPUTED_VALUE"""),"| 1 P PHP-CGM % | 3 P CPT @ | 5 L NS @ | 6 L CPT @ ")</f>
        <v xml:space="preserve">| 1 P PHP-CGM % | 3 P CPT @ | 5 L NS @ | 6 L CPT @ </v>
      </c>
      <c r="BF357" s="4" t="str">
        <f ca="1">IFERROR(__xludf.DUMMYFUNCTION("""COMPUTED_VALUE"""),"| 1 P JAVA @ | 3 L CPT @ | 4 L PHP-CGM @ | 5 P Python @ ")</f>
        <v xml:space="preserve">| 1 P JAVA @ | 3 L CPT @ | 4 L PHP-CGM @ | 5 P Python @ </v>
      </c>
      <c r="BG357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H357" s="4" t="str">
        <f ca="1">IFERROR(__xludf.DUMMYFUNCTION("""COMPUTED_VALUE"""),"| 1 L INE % | 3 P NS % | 5 L JAVA % | 6 L NS % ")</f>
        <v xml:space="preserve">| 1 L INE % | 3 P NS % | 5 L JAVA % | 6 L NS % </v>
      </c>
      <c r="BI357" s="4" t="str">
        <f ca="1">IFERROR(__xludf.DUMMYFUNCTION("""COMPUTED_VALUE"""),"| 1 P PHP-CGM % | 3 P CPT % | 5 L NS @ | 6 L CPT @ ")</f>
        <v xml:space="preserve">| 1 P PHP-CGM % | 3 P CPT % | 5 L NS @ | 6 L CPT @ </v>
      </c>
      <c r="BJ357" s="4" t="str">
        <f ca="1">IFERROR(__xludf.DUMMYFUNCTION("""COMPUTED_VALUE"""),"| 1 P JAVA % | 3 L CPT % | 4 L PHP-CGM % | 5 P Python % ")</f>
        <v xml:space="preserve">| 1 P JAVA % | 3 L CPT % | 4 L PHP-CGM % | 5 P Python % </v>
      </c>
      <c r="BK357" s="4" t="str">
        <f ca="1">IFERROR(__xludf.DUMMYFUNCTION("""COMPUTED_VALUE"""),"| 1 P JAVA @ | 3 L PHP-CGM @ | 4 L JAVA @ | 5 P PRO @ ")</f>
        <v xml:space="preserve">| 1 P JAVA @ | 3 L PHP-CGM @ | 4 L JAVA @ | 5 P PRO @ </v>
      </c>
      <c r="BL357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57" s="4" t="str">
        <f ca="1">IFERROR(__xludf.DUMMYFUNCTION("""COMPUTED_VALUE"""),"| 1 L INE @ | 3 P NS @ | 5 L JAVA @ | 6 L NS @ ")</f>
        <v xml:space="preserve">| 1 L INE @ | 3 P NS @ | 5 L JAVA @ | 6 L NS @ </v>
      </c>
      <c r="BN357" s="4" t="str">
        <f ca="1">IFERROR(__xludf.DUMMYFUNCTION("""COMPUTED_VALUE"""),"| 1 P PHP-CGM @ | 3 P CPT @ | 5 L NS @ | 6 L CPT @ ")</f>
        <v xml:space="preserve">| 1 P PHP-CGM @ | 3 P CPT @ | 5 L NS @ | 6 L CPT @ </v>
      </c>
      <c r="BO357" s="4" t="str">
        <f ca="1">IFERROR(__xludf.DUMMYFUNCTION("""COMPUTED_VALUE"""),"| 1 P JAVA @ | 4 L PHP-CGM @ | 3 L CPT @ | 5 P Python @ ")</f>
        <v xml:space="preserve">| 1 P JAVA @ | 4 L PHP-CGM @ | 3 L CPT @ | 5 P Python @ </v>
      </c>
      <c r="BP357" s="4" t="str">
        <f ca="1">IFERROR(__xludf.DUMMYFUNCTION("""COMPUTED_VALUE"""),"| 1 P JAVA % | 3 L PHP-CGM @ | 4 L JAVA % | 5 P PRO @ ")</f>
        <v xml:space="preserve">| 1 P JAVA % | 3 L PHP-CGM @ | 4 L JAVA % | 5 P PRO @ </v>
      </c>
      <c r="BQ357" s="4" t="str">
        <f ca="1">IFERROR(__xludf.DUMMYFUNCTION("""COMPUTED_VALUE"""),"| 6 L NS % | 5 L JAVA @ ")</f>
        <v xml:space="preserve">| 6 L NS % | 5 L JAVA @ </v>
      </c>
      <c r="BR357" s="4"/>
      <c r="BS357" s="4" t="str">
        <f ca="1">IFERROR(__xludf.DUMMYFUNCTION("""COMPUTED_VALUE"""),"| 4 L PHP-CGM % ")</f>
        <v xml:space="preserve">| 4 L PHP-CGM % </v>
      </c>
      <c r="BT357" s="4" t="str">
        <f ca="1">IFERROR(__xludf.DUMMYFUNCTION("""COMPUTED_VALUE"""),"| 1 P JAVA @ | 3 L PHP-CGM @ ")</f>
        <v xml:space="preserve">| 1 P JAVA @ | 3 L PHP-CGM @ </v>
      </c>
      <c r="BU357" s="4" t="str">
        <f ca="1">IFERROR(__xludf.DUMMYFUNCTION("""COMPUTED_VALUE"""),"| 1 L JAVA @ | 2 L PHP-CGM @ | 3 P Python @ ")</f>
        <v xml:space="preserve">| 1 L JAVA @ | 2 L PHP-CGM @ | 3 P Python @ </v>
      </c>
      <c r="BV357" s="4" t="str">
        <f ca="1">IFERROR(__xludf.DUMMYFUNCTION("""COMPUTED_VALUE"""),"| 1 P JAVA @ | 3 L PHP-CGM @ | 4 L JAVA @ | 5 P PRO @ ")</f>
        <v xml:space="preserve">| 1 P JAVA @ | 3 L PHP-CGM @ | 4 L JAVA @ | 5 P PRO @ </v>
      </c>
      <c r="BW357" s="4" t="str">
        <f ca="1">IFERROR(__xludf.DUMMYFUNCTION("""COMPUTED_VALUE"""),"| 1 L JAVA @ | 2 L PHP-CGM @ | 3 P Python @ ")</f>
        <v xml:space="preserve">| 1 L JAVA @ | 2 L PHP-CGM @ | 3 P Python @ </v>
      </c>
      <c r="BX357" s="4" t="str">
        <f ca="1">IFERROR(__xludf.DUMMYFUNCTION("""COMPUTED_VALUE"""),"| 1 L INE @ | 3 P NS @ | 5 L JAVA @ | 6 L NS @ ")</f>
        <v xml:space="preserve">| 1 L INE @ | 3 P NS @ | 5 L JAVA @ | 6 L NS @ </v>
      </c>
      <c r="BY357" s="4" t="str">
        <f ca="1">IFERROR(__xludf.DUMMYFUNCTION("""COMPUTED_VALUE"""),"| 1 P PHP-CGM % | 3 P CPT @ | 5 L NS @ | 6 L CPT @ ")</f>
        <v xml:space="preserve">| 1 P PHP-CGM % | 3 P CPT @ | 5 L NS @ | 6 L CPT @ </v>
      </c>
      <c r="BZ357" s="4" t="str">
        <f ca="1">IFERROR(__xludf.DUMMYFUNCTION("""COMPUTED_VALUE"""),"| 1 P JAVA @ | 3 L CPT % | 4 L PHP-CGM % | 5 P Python @ ")</f>
        <v xml:space="preserve">| 1 P JAVA @ | 3 L CPT % | 4 L PHP-CGM % | 5 P Python @ </v>
      </c>
      <c r="CA357" s="4" t="str">
        <f ca="1">IFERROR(__xludf.DUMMYFUNCTION("""COMPUTED_VALUE"""),"| 1 P JAVA @ | 3 L PHP-CGM @ | 3 L JAVA @ | 5 P PRO @ ")</f>
        <v xml:space="preserve">| 1 P JAVA @ | 3 L PHP-CGM @ | 3 L JAVA @ | 5 P PRO @ </v>
      </c>
      <c r="CB357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CC357" s="4" t="str">
        <f ca="1">IFERROR(__xludf.DUMMYFUNCTION("""COMPUTED_VALUE"""),"| 1 L INE % | 3 P NS @ | 5 L JAVA @ | 6 L NS @ ")</f>
        <v xml:space="preserve">| 1 L INE % | 3 P NS @ | 5 L JAVA @ | 6 L NS @ </v>
      </c>
      <c r="CD357" s="4" t="str">
        <f ca="1">IFERROR(__xludf.DUMMYFUNCTION("""COMPUTED_VALUE"""),"| 1 P PHP-CGM @ | 3 P CPT % | 5 L NS @ | 6 L CPT @ ")</f>
        <v xml:space="preserve">| 1 P PHP-CGM @ | 3 P CPT % | 5 L NS @ | 6 L CPT @ </v>
      </c>
      <c r="CE357" s="4" t="str">
        <f ca="1">IFERROR(__xludf.DUMMYFUNCTION("""COMPUTED_VALUE"""),"| 1 P JAVA @ | 3 L CPT @ | 4 L PHP-CGM @ | 5 P Python % ")</f>
        <v xml:space="preserve">| 1 P JAVA @ | 3 L CPT @ | 4 L PHP-CGM @ | 5 P Python % </v>
      </c>
      <c r="CF357" s="4" t="str">
        <f ca="1">IFERROR(__xludf.DUMMYFUNCTION("""COMPUTED_VALUE"""),"| 1 P JAVA % | 4 L JAVA % | 3 L PHP-CGM % | 5 L PRO % ")</f>
        <v xml:space="preserve">| 1 P JAVA % | 4 L JAVA % | 3 L PHP-CGM % | 5 L PRO % </v>
      </c>
      <c r="CG357" s="4" t="str">
        <f ca="1">IFERROR(__xludf.DUMMYFUNCTION("""COMPUTED_VALUE"""),"| 1 L JAVA % | 2 L PHP-CGM @ | 3 P Python % | 6 L NS @ ")</f>
        <v xml:space="preserve">| 1 L JAVA % | 2 L PHP-CGM @ | 3 P Python % | 6 L NS @ </v>
      </c>
      <c r="CH357" s="4" t="str">
        <f ca="1">IFERROR(__xludf.DUMMYFUNCTION("""COMPUTED_VALUE"""),"| 1 L INE @ | 3 P NS % | 5 L JAVA @ | 6 L NS @ ")</f>
        <v xml:space="preserve">| 1 L INE @ | 3 P NS % | 5 L JAVA @ | 6 L NS @ </v>
      </c>
      <c r="CI357" s="4" t="str">
        <f ca="1">IFERROR(__xludf.DUMMYFUNCTION("""COMPUTED_VALUE"""),"| 3 P CPT % | 5 L NS @ | 6 L CPT @ ")</f>
        <v xml:space="preserve">| 3 P CPT % | 5 L NS @ | 6 L CPT @ </v>
      </c>
      <c r="CJ357" s="4" t="str">
        <f ca="1">IFERROR(__xludf.DUMMYFUNCTION("""COMPUTED_VALUE"""),"| 3 L CPT @ ")</f>
        <v xml:space="preserve">| 3 L CPT @ </v>
      </c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</row>
    <row r="358" spans="1:102" ht="12.5" x14ac:dyDescent="0.25">
      <c r="A358" s="3">
        <f ca="1">IFERROR(__xludf.DUMMYFUNCTION("""COMPUTED_VALUE"""),1)</f>
        <v>1</v>
      </c>
      <c r="B358" s="3" t="str">
        <f ca="1">IFERROR(__xludf.DUMMYFUNCTION("""COMPUTED_VALUE"""),"ITA")</f>
        <v>ITA</v>
      </c>
      <c r="C358" s="32" t="str">
        <f ca="1">IFERROR(__xludf.DUMMYFUNCTION("""COMPUTED_VALUE"""),"23291371041")</f>
        <v>23291371041</v>
      </c>
      <c r="D358" s="4" t="str">
        <f ca="1">IFERROR(__xludf.DUMMYFUNCTION("""COMPUTED_VALUE"""),"MANSURI MAHIR ALTAFHUSEN")</f>
        <v>MANSURI MAHIR ALTAFHUSEN</v>
      </c>
      <c r="E358" s="3" t="str">
        <f ca="1">IFERROR(__xludf.DUMMYFUNCTION("""COMPUTED_VALUE"""),"Sweety - Mor")</f>
        <v>Sweety - Mor</v>
      </c>
      <c r="F358" s="3">
        <f ca="1">IFERROR(__xludf.DUMMYFUNCTION("""COMPUTED_VALUE"""),9909318109)</f>
        <v>9909318109</v>
      </c>
      <c r="G358" s="3">
        <f ca="1">IFERROR(__xludf.DUMMYFUNCTION("""COMPUTED_VALUE"""),9824062922)</f>
        <v>9824062922</v>
      </c>
      <c r="H358" s="33">
        <f ca="1">IFERROR(__xludf.DUMMYFUNCTION("""COMPUTED_VALUE"""),0.709677419354838)</f>
        <v>0.70967741935483797</v>
      </c>
      <c r="I358" s="25">
        <f ca="1">IFERROR(__xludf.DUMMYFUNCTION("""COMPUTED_VALUE"""),0.628571428571428)</f>
        <v>0.628571428571428</v>
      </c>
      <c r="J358" s="25">
        <f ca="1">IFERROR(__xludf.DUMMYFUNCTION("""COMPUTED_VALUE"""),0.846153846153846)</f>
        <v>0.84615384615384603</v>
      </c>
      <c r="K358" s="25">
        <f ca="1">IFERROR(__xludf.DUMMYFUNCTION("""COMPUTED_VALUE"""),0.666666666666666)</f>
        <v>0.66666666666666596</v>
      </c>
      <c r="L358" s="25">
        <f ca="1">IFERROR(__xludf.DUMMYFUNCTION("""COMPUTED_VALUE"""),0.727272727272727)</f>
        <v>0.72727272727272696</v>
      </c>
      <c r="M358" s="25">
        <f ca="1">IFERROR(__xludf.DUMMYFUNCTION("""COMPUTED_VALUE"""),0.789473684210526)</f>
        <v>0.78947368421052599</v>
      </c>
      <c r="N358" s="25">
        <f ca="1">IFERROR(__xludf.DUMMYFUNCTION("""COMPUTED_VALUE"""),0.818181818181818)</f>
        <v>0.81818181818181801</v>
      </c>
      <c r="O358" s="25">
        <f ca="1">IFERROR(__xludf.DUMMYFUNCTION("""COMPUTED_VALUE"""),0.722222222222222)</f>
        <v>0.72222222222222199</v>
      </c>
      <c r="P358" s="25">
        <f ca="1">IFERROR(__xludf.DUMMYFUNCTION("""COMPUTED_VALUE"""),0.833333333333333)</f>
        <v>0.83333333333333304</v>
      </c>
      <c r="Q358" s="25">
        <f ca="1">IFERROR(__xludf.DUMMYFUNCTION("""COMPUTED_VALUE"""),0)</f>
        <v>0</v>
      </c>
      <c r="R358" s="25">
        <f ca="1">IFERROR(__xludf.DUMMYFUNCTION("""COMPUTED_VALUE"""),0.583333333333333)</f>
        <v>0.58333333333333304</v>
      </c>
      <c r="S358" s="25">
        <f ca="1">IFERROR(__xludf.DUMMYFUNCTION("""COMPUTED_VALUE"""),1)</f>
        <v>1</v>
      </c>
      <c r="T358" s="25">
        <f ca="1">IFERROR(__xludf.DUMMYFUNCTION("""COMPUTED_VALUE"""),0.666666666666666)</f>
        <v>0.66666666666666596</v>
      </c>
      <c r="U358" s="25">
        <f ca="1">IFERROR(__xludf.DUMMYFUNCTION("""COMPUTED_VALUE"""),0.375)</f>
        <v>0.375</v>
      </c>
      <c r="V358" s="25">
        <f ca="1">IFERROR(__xludf.DUMMYFUNCTION("""COMPUTED_VALUE"""),0)</f>
        <v>0</v>
      </c>
      <c r="W358" s="4"/>
      <c r="X358" s="4" t="str">
        <f ca="1">IFERROR(__xludf.DUMMYFUNCTION("""COMPUTED_VALUE"""),"| 1 P JAVA % | 4 L JAVA % | 3 L PHP-CGM % | 1 L PRO % ")</f>
        <v xml:space="preserve">| 1 P JAVA % | 4 L JAVA % | 3 L PHP-CGM % | 1 L PRO % </v>
      </c>
      <c r="Y358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Z358" s="4" t="str">
        <f ca="1">IFERROR(__xludf.DUMMYFUNCTION("""COMPUTED_VALUE"""),"| 3 P NS @ | 5 L JAVA @ | 6 L NS @ ")</f>
        <v xml:space="preserve">| 3 P NS @ | 5 L JAVA @ | 6 L NS @ </v>
      </c>
      <c r="AA358" s="4" t="str">
        <f ca="1">IFERROR(__xludf.DUMMYFUNCTION("""COMPUTED_VALUE"""),"| 3 P CPT % | 5 L NS % | 6 L CPT % ")</f>
        <v xml:space="preserve">| 3 P CPT % | 5 L NS % | 6 L CPT % </v>
      </c>
      <c r="AB358" s="4" t="str">
        <f ca="1">IFERROR(__xludf.DUMMYFUNCTION("""COMPUTED_VALUE"""),"| 1 P JAVA % | 3 L CPT % | 4 L PHP-CGM % | 5 P Python % ")</f>
        <v xml:space="preserve">| 1 P JAVA % | 3 L CPT % | 4 L PHP-CGM % | 5 P Python % </v>
      </c>
      <c r="AC358" s="4" t="str">
        <f ca="1">IFERROR(__xludf.DUMMYFUNCTION("""COMPUTED_VALUE"""),"| 1 P JAVA % | 3 L PHP-CGM % | 5 P PRO % ")</f>
        <v xml:space="preserve">| 1 P JAVA % | 3 L PHP-CGM % | 5 P PRO % </v>
      </c>
      <c r="AD358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AE358" s="4" t="str">
        <f ca="1">IFERROR(__xludf.DUMMYFUNCTION("""COMPUTED_VALUE"""),"| 3 P NS % | 5 L JAVA % | 6 L NS % ")</f>
        <v xml:space="preserve">| 3 P NS % | 5 L JAVA % | 6 L NS % </v>
      </c>
      <c r="AF358" s="4" t="str">
        <f ca="1">IFERROR(__xludf.DUMMYFUNCTION("""COMPUTED_VALUE"""),"| 1 P PHP-CGM % | 3 P CPT % | 5 L NS % | 6 L CPT % ")</f>
        <v xml:space="preserve">| 1 P PHP-CGM % | 3 P CPT % | 5 L NS % | 6 L CPT % </v>
      </c>
      <c r="AG358" s="4" t="str">
        <f ca="1">IFERROR(__xludf.DUMMYFUNCTION("""COMPUTED_VALUE"""),"| 1 P JAVA % | 3 L CPT % | 4 L PHP-CGM % | 5 P Python @ ")</f>
        <v xml:space="preserve">| 1 P JAVA % | 3 L CPT % | 4 L PHP-CGM % | 5 P Python @ </v>
      </c>
      <c r="AH358" s="4" t="str">
        <f ca="1">IFERROR(__xludf.DUMMYFUNCTION("""COMPUTED_VALUE"""),"| 1 P PHP-CGM @ | 3 P CPT @ | 5 L NS @ | 6 L CPT @ ")</f>
        <v xml:space="preserve">| 1 P PHP-CGM @ | 3 P CPT @ | 5 L NS @ | 6 L CPT @ </v>
      </c>
      <c r="AI358" s="4" t="str">
        <f ca="1">IFERROR(__xludf.DUMMYFUNCTION("""COMPUTED_VALUE"""),"| 1 P JAVA @ | 3 L CPT @ | 4 L PHP-CGM @ | 5 P Python @ ")</f>
        <v xml:space="preserve">| 1 P JAVA @ | 3 L CPT @ | 4 L PHP-CGM @ | 5 P Python @ </v>
      </c>
      <c r="AJ358" s="4" t="str">
        <f ca="1">IFERROR(__xludf.DUMMYFUNCTION("""COMPUTED_VALUE"""),"| 1 P JAVA % | 3 L PHP-CGM % | 4 L JAVA % | 5 P PRO % ")</f>
        <v xml:space="preserve">| 1 P JAVA % | 3 L PHP-CGM % | 4 L JAVA % | 5 P PRO % </v>
      </c>
      <c r="AK358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L358" s="4" t="str">
        <f ca="1">IFERROR(__xludf.DUMMYFUNCTION("""COMPUTED_VALUE"""),"| 3 P NS % | 5 L JAVA % | 6 L NS % ")</f>
        <v xml:space="preserve">| 3 P NS % | 5 L JAVA % | 6 L NS % </v>
      </c>
      <c r="AM358" s="4" t="str">
        <f ca="1">IFERROR(__xludf.DUMMYFUNCTION("""COMPUTED_VALUE"""),"| 1 P PHP-CGM % | 3 P CPT % | 5 L NS % | 6 L CPT % ")</f>
        <v xml:space="preserve">| 1 P PHP-CGM % | 3 P CPT % | 5 L NS % | 6 L CPT % </v>
      </c>
      <c r="AN358" s="4" t="str">
        <f ca="1">IFERROR(__xludf.DUMMYFUNCTION("""COMPUTED_VALUE"""),"| 1 P JAVA @ | 4 L PHP-CGM @ | 5 P Python @ ")</f>
        <v xml:space="preserve">| 1 P JAVA @ | 4 L PHP-CGM @ | 5 P Python @ </v>
      </c>
      <c r="AO358" s="4" t="str">
        <f ca="1">IFERROR(__xludf.DUMMYFUNCTION("""COMPUTED_VALUE"""),"| 1 P JAVA % | 3 L PHP-CGM % | 4 L JAVA % | 5 P PRO @ ")</f>
        <v xml:space="preserve">| 1 P JAVA % | 3 L PHP-CGM % | 4 L JAVA % | 5 P PRO @ </v>
      </c>
      <c r="AP358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Q358" s="4" t="str">
        <f ca="1">IFERROR(__xludf.DUMMYFUNCTION("""COMPUTED_VALUE"""),"| 1 L INE @ | 3 P NS % | 5 L JAVA % | 6 L NS % ")</f>
        <v xml:space="preserve">| 1 L INE @ | 3 P NS % | 5 L JAVA % | 6 L NS % </v>
      </c>
      <c r="AR358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58" s="4" t="str">
        <f ca="1">IFERROR(__xludf.DUMMYFUNCTION("""COMPUTED_VALUE"""),"| 1 P JAVA % | 3 L PHP-CGM % | 4 L JAVA % | 5 P PRO % ")</f>
        <v xml:space="preserve">| 1 P JAVA % | 3 L PHP-CGM % | 4 L JAVA % | 5 P PRO % </v>
      </c>
      <c r="AT358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AU358" s="4" t="str">
        <f ca="1">IFERROR(__xludf.DUMMYFUNCTION("""COMPUTED_VALUE"""),"| 1 L INE % | 3 P NS % | 5 L JAVA % | 6 L NS % ")</f>
        <v xml:space="preserve">| 1 L INE % | 3 P NS % | 5 L JAVA % | 6 L NS % </v>
      </c>
      <c r="AV358" s="4" t="str">
        <f ca="1">IFERROR(__xludf.DUMMYFUNCTION("""COMPUTED_VALUE"""),"| 1 P PHP-CGM % | 3 P CPT % | 5 L NS % | 6 L CPT % ")</f>
        <v xml:space="preserve">| 1 P PHP-CGM % | 3 P CPT % | 5 L NS % | 6 L CPT % </v>
      </c>
      <c r="AW358" s="4" t="str">
        <f ca="1">IFERROR(__xludf.DUMMYFUNCTION("""COMPUTED_VALUE"""),"| 1 P JAVA % | 3 L CPT % | 4 L PHP-CGM % | 5 P Python % ")</f>
        <v xml:space="preserve">| 1 P JAVA % | 3 L CPT % | 4 L PHP-CGM % | 5 P Python % </v>
      </c>
      <c r="AX358" s="4" t="str">
        <f ca="1">IFERROR(__xludf.DUMMYFUNCTION("""COMPUTED_VALUE"""),"| 1 P JAVA % | 3 L JAVA % | 4 L PHP-CGM % | 5 P PRO @ ")</f>
        <v xml:space="preserve">| 1 P JAVA % | 3 L JAVA % | 4 L PHP-CGM % | 5 P PRO @ </v>
      </c>
      <c r="AY358" s="4" t="str">
        <f ca="1">IFERROR(__xludf.DUMMYFUNCTION("""COMPUTED_VALUE"""),"| 2 L PHP-CGM % | 3 P Python % | 5 L CPT % | 6 L NS % | 1 L JAVA % ")</f>
        <v xml:space="preserve">| 2 L PHP-CGM % | 3 P Python % | 5 L CPT % | 6 L NS % | 1 L JAVA % </v>
      </c>
      <c r="AZ358" s="4" t="str">
        <f ca="1">IFERROR(__xludf.DUMMYFUNCTION("""COMPUTED_VALUE"""),"| 1 P PHP-CGM % | 3 P CPT % | 5 L NS % | 6 L CPT % ")</f>
        <v xml:space="preserve">| 1 P PHP-CGM % | 3 P CPT % | 5 L NS % | 6 L CPT % </v>
      </c>
      <c r="BA358" s="4" t="str">
        <f ca="1">IFERROR(__xludf.DUMMYFUNCTION("""COMPUTED_VALUE"""),"| 1 P JAVA % | 3 L CPT % | 4 L PHP-CGM % | 5 P Python % ")</f>
        <v xml:space="preserve">| 1 P JAVA % | 3 L CPT % | 4 L PHP-CGM % | 5 P Python % </v>
      </c>
      <c r="BB358" s="4" t="str">
        <f ca="1">IFERROR(__xludf.DUMMYFUNCTION("""COMPUTED_VALUE"""),"| 1 P JAVA % | 3 L PHP-CGM % | 4 L JAVA % | 5 L PRO % ")</f>
        <v xml:space="preserve">| 1 P JAVA % | 3 L PHP-CGM % | 4 L JAVA % | 5 L PRO % </v>
      </c>
      <c r="BC358" s="4" t="str">
        <f ca="1">IFERROR(__xludf.DUMMYFUNCTION("""COMPUTED_VALUE"""),"| 1 L JAVA % | 2 L PHP-CGM % | 3 P Python % | 5 L CPT % | 6 L NS % ")</f>
        <v xml:space="preserve">| 1 L JAVA % | 2 L PHP-CGM % | 3 P Python % | 5 L CPT % | 6 L NS % </v>
      </c>
      <c r="BD358" s="4" t="str">
        <f ca="1">IFERROR(__xludf.DUMMYFUNCTION("""COMPUTED_VALUE"""),"| 1 L INE @ | 3 P NS % | 5 L JAVA % | 6 L NS % ")</f>
        <v xml:space="preserve">| 1 L INE @ | 3 P NS % | 5 L JAVA % | 6 L NS % </v>
      </c>
      <c r="BE358" s="4" t="str">
        <f ca="1">IFERROR(__xludf.DUMMYFUNCTION("""COMPUTED_VALUE"""),"| 1 P PHP-CGM % | 3 P CPT % | 5 L NS % | 6 L CPT @ ")</f>
        <v xml:space="preserve">| 1 P PHP-CGM % | 3 P CPT % | 5 L NS % | 6 L CPT @ </v>
      </c>
      <c r="BF358" s="4" t="str">
        <f ca="1">IFERROR(__xludf.DUMMYFUNCTION("""COMPUTED_VALUE"""),"| 1 P JAVA @ | 3 L CPT @ | 4 L PHP-CGM @ | 5 P Python @ ")</f>
        <v xml:space="preserve">| 1 P JAVA @ | 3 L CPT @ | 4 L PHP-CGM @ | 5 P Python @ </v>
      </c>
      <c r="BG358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BH358" s="4" t="str">
        <f ca="1">IFERROR(__xludf.DUMMYFUNCTION("""COMPUTED_VALUE"""),"| 1 L INE @ | 3 P NS % | 5 L JAVA % | 6 L NS % ")</f>
        <v xml:space="preserve">| 1 L INE @ | 3 P NS % | 5 L JAVA % | 6 L NS % </v>
      </c>
      <c r="BI358" s="4" t="str">
        <f ca="1">IFERROR(__xludf.DUMMYFUNCTION("""COMPUTED_VALUE"""),"| 1 P PHP-CGM % | 3 P CPT % | 5 L NS % | 6 L CPT % ")</f>
        <v xml:space="preserve">| 1 P PHP-CGM % | 3 P CPT % | 5 L NS % | 6 L CPT % </v>
      </c>
      <c r="BJ358" s="4" t="str">
        <f ca="1">IFERROR(__xludf.DUMMYFUNCTION("""COMPUTED_VALUE"""),"| 1 P JAVA % | 3 L CPT % | 4 L PHP-CGM % | 5 P Python % ")</f>
        <v xml:space="preserve">| 1 P JAVA % | 3 L CPT % | 4 L PHP-CGM % | 5 P Python % </v>
      </c>
      <c r="BK358" s="4" t="str">
        <f ca="1">IFERROR(__xludf.DUMMYFUNCTION("""COMPUTED_VALUE"""),"| 1 P JAVA % | 3 L PHP-CGM % | 4 L JAVA % | 5 P PRO % ")</f>
        <v xml:space="preserve">| 1 P JAVA % | 3 L PHP-CGM % | 4 L JAVA % | 5 P PRO % </v>
      </c>
      <c r="BL358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58" s="4" t="str">
        <f ca="1">IFERROR(__xludf.DUMMYFUNCTION("""COMPUTED_VALUE"""),"| 1 L INE % | 3 P NS % | 5 L JAVA % | 6 L NS % ")</f>
        <v xml:space="preserve">| 1 L INE % | 3 P NS % | 5 L JAVA % | 6 L NS % </v>
      </c>
      <c r="BN358" s="4" t="str">
        <f ca="1">IFERROR(__xludf.DUMMYFUNCTION("""COMPUTED_VALUE"""),"| 1 P PHP-CGM % | 3 P CPT % | 5 L NS % | 6 L CPT % ")</f>
        <v xml:space="preserve">| 1 P PHP-CGM % | 3 P CPT % | 5 L NS % | 6 L CPT % </v>
      </c>
      <c r="BO358" s="4" t="str">
        <f ca="1">IFERROR(__xludf.DUMMYFUNCTION("""COMPUTED_VALUE"""),"| 1 P JAVA % | 4 L PHP-CGM % | 3 L CPT % | 5 P Python @ ")</f>
        <v xml:space="preserve">| 1 P JAVA % | 4 L PHP-CGM % | 3 L CPT % | 5 P Python @ </v>
      </c>
      <c r="BP358" s="4" t="str">
        <f ca="1">IFERROR(__xludf.DUMMYFUNCTION("""COMPUTED_VALUE"""),"| 1 P JAVA % | 3 L PHP-CGM % | 4 L JAVA % | 5 P PRO % ")</f>
        <v xml:space="preserve">| 1 P JAVA % | 3 L PHP-CGM % | 4 L JAVA % | 5 P PRO % </v>
      </c>
      <c r="BQ358" s="4" t="str">
        <f ca="1">IFERROR(__xludf.DUMMYFUNCTION("""COMPUTED_VALUE"""),"| 6 L NS % | 5 L JAVA @ ")</f>
        <v xml:space="preserve">| 6 L NS % | 5 L JAVA @ </v>
      </c>
      <c r="BR358" s="4"/>
      <c r="BS358" s="4" t="str">
        <f ca="1">IFERROR(__xludf.DUMMYFUNCTION("""COMPUTED_VALUE"""),"| 4 L PHP-CGM % ")</f>
        <v xml:space="preserve">| 4 L PHP-CGM % </v>
      </c>
      <c r="BT358" s="4" t="str">
        <f ca="1">IFERROR(__xludf.DUMMYFUNCTION("""COMPUTED_VALUE"""),"| 1 P JAVA % | 3 L PHP-CGM % ")</f>
        <v xml:space="preserve">| 1 P JAVA % | 3 L PHP-CGM % </v>
      </c>
      <c r="BU358" s="4" t="str">
        <f ca="1">IFERROR(__xludf.DUMMYFUNCTION("""COMPUTED_VALUE"""),"| 1 L JAVA @ | 2 L PHP-CGM % | 3 P Python % ")</f>
        <v xml:space="preserve">| 1 L JAVA @ | 2 L PHP-CGM % | 3 P Python % </v>
      </c>
      <c r="BV358" s="4" t="str">
        <f ca="1">IFERROR(__xludf.DUMMYFUNCTION("""COMPUTED_VALUE"""),"| 1 P JAVA @ | 3 L PHP-CGM @ | 4 L JAVA @ | 5 P PRO @ ")</f>
        <v xml:space="preserve">| 1 P JAVA @ | 3 L PHP-CGM @ | 4 L JAVA @ | 5 P PRO @ </v>
      </c>
      <c r="BW358" s="4" t="str">
        <f ca="1">IFERROR(__xludf.DUMMYFUNCTION("""COMPUTED_VALUE"""),"| 1 L JAVA @ | 2 L PHP-CGM @ | 3 P Python @ ")</f>
        <v xml:space="preserve">| 1 L JAVA @ | 2 L PHP-CGM @ | 3 P Python @ </v>
      </c>
      <c r="BX358" s="4" t="str">
        <f ca="1">IFERROR(__xludf.DUMMYFUNCTION("""COMPUTED_VALUE"""),"| 1 L INE @ | 3 P NS @ | 5 L JAVA @ | 6 L NS @ ")</f>
        <v xml:space="preserve">| 1 L INE @ | 3 P NS @ | 5 L JAVA @ | 6 L NS @ </v>
      </c>
      <c r="BY358" s="4" t="str">
        <f ca="1">IFERROR(__xludf.DUMMYFUNCTION("""COMPUTED_VALUE"""),"| 1 P PHP-CGM % | 3 P CPT % | 5 L NS @ | 6 L CPT @ ")</f>
        <v xml:space="preserve">| 1 P PHP-CGM % | 3 P CPT % | 5 L NS @ | 6 L CPT @ </v>
      </c>
      <c r="BZ358" s="4" t="str">
        <f ca="1">IFERROR(__xludf.DUMMYFUNCTION("""COMPUTED_VALUE"""),"| 1 P JAVA % | 3 L CPT % | 4 L PHP-CGM % | 5 P Python @ ")</f>
        <v xml:space="preserve">| 1 P JAVA % | 3 L CPT % | 4 L PHP-CGM % | 5 P Python @ </v>
      </c>
      <c r="CA358" s="4" t="str">
        <f ca="1">IFERROR(__xludf.DUMMYFUNCTION("""COMPUTED_VALUE"""),"| 1 P JAVA % | 3 L PHP-CGM % | 3 L JAVA % | 5 P PRO % ")</f>
        <v xml:space="preserve">| 1 P JAVA % | 3 L PHP-CGM % | 3 L JAVA % | 5 P PRO % </v>
      </c>
      <c r="CB358" s="4" t="str">
        <f ca="1">IFERROR(__xludf.DUMMYFUNCTION("""COMPUTED_VALUE"""),"| 1 L JAVA % | 2 L PHP-CGM % | 3 P Python % | 6 L NS % | 5 L CPT % ")</f>
        <v xml:space="preserve">| 1 L JAVA % | 2 L PHP-CGM % | 3 P Python % | 6 L NS % | 5 L CPT % </v>
      </c>
      <c r="CC358" s="4" t="str">
        <f ca="1">IFERROR(__xludf.DUMMYFUNCTION("""COMPUTED_VALUE"""),"| 1 L INE % | 3 P NS @ | 5 L JAVA % | 6 L NS % ")</f>
        <v xml:space="preserve">| 1 L INE % | 3 P NS @ | 5 L JAVA % | 6 L NS % </v>
      </c>
      <c r="CD358" s="4" t="str">
        <f ca="1">IFERROR(__xludf.DUMMYFUNCTION("""COMPUTED_VALUE"""),"| 1 P PHP-CGM % | 3 P CPT % | 5 L NS % | 6 L CPT % ")</f>
        <v xml:space="preserve">| 1 P PHP-CGM % | 3 P CPT % | 5 L NS % | 6 L CPT % </v>
      </c>
      <c r="CE358" s="4" t="str">
        <f ca="1">IFERROR(__xludf.DUMMYFUNCTION("""COMPUTED_VALUE"""),"| 1 P JAVA % | 3 L CPT % | 4 L PHP-CGM % | 5 P Python % ")</f>
        <v xml:space="preserve">| 1 P JAVA % | 3 L CPT % | 4 L PHP-CGM % | 5 P Python % </v>
      </c>
      <c r="CF358" s="4" t="str">
        <f ca="1">IFERROR(__xludf.DUMMYFUNCTION("""COMPUTED_VALUE"""),"| 1 P JAVA % | 4 L JAVA % | 3 L PHP-CGM % | 5 L PRO % ")</f>
        <v xml:space="preserve">| 1 P JAVA % | 4 L JAVA % | 3 L PHP-CGM % | 5 L PRO % </v>
      </c>
      <c r="CG358" s="4" t="str">
        <f ca="1">IFERROR(__xludf.DUMMYFUNCTION("""COMPUTED_VALUE"""),"| 1 L JAVA % | 2 L PHP-CGM % | 3 P Python % | 6 L NS @ ")</f>
        <v xml:space="preserve">| 1 L JAVA % | 2 L PHP-CGM % | 3 P Python % | 6 L NS @ </v>
      </c>
      <c r="CH358" s="4" t="str">
        <f ca="1">IFERROR(__xludf.DUMMYFUNCTION("""COMPUTED_VALUE"""),"| 1 L INE @ | 3 P NS % | 5 L JAVA @ | 6 L NS @ ")</f>
        <v xml:space="preserve">| 1 L INE @ | 3 P NS % | 5 L JAVA @ | 6 L NS @ </v>
      </c>
      <c r="CI358" s="4" t="str">
        <f ca="1">IFERROR(__xludf.DUMMYFUNCTION("""COMPUTED_VALUE"""),"| 3 P CPT % | 5 L NS @ | 6 L CPT @ ")</f>
        <v xml:space="preserve">| 3 P CPT % | 5 L NS @ | 6 L CPT @ </v>
      </c>
      <c r="CJ358" s="4" t="str">
        <f ca="1">IFERROR(__xludf.DUMMYFUNCTION("""COMPUTED_VALUE"""),"| 3 L CPT @ ")</f>
        <v xml:space="preserve">| 3 L CPT @ </v>
      </c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</row>
    <row r="359" spans="1:102" ht="12.5" x14ac:dyDescent="0.25">
      <c r="A359" s="3">
        <f ca="1">IFERROR(__xludf.DUMMYFUNCTION("""COMPUTED_VALUE"""),1)</f>
        <v>1</v>
      </c>
      <c r="B359" s="3" t="str">
        <f ca="1">IFERROR(__xludf.DUMMYFUNCTION("""COMPUTED_VALUE"""),"ITA")</f>
        <v>ITA</v>
      </c>
      <c r="C359" s="32" t="str">
        <f ca="1">IFERROR(__xludf.DUMMYFUNCTION("""COMPUTED_VALUE"""),"23291371042")</f>
        <v>23291371042</v>
      </c>
      <c r="D359" s="4" t="str">
        <f ca="1">IFERROR(__xludf.DUMMYFUNCTION("""COMPUTED_VALUE"""),"MANSURI RAIYAN USMANGANI")</f>
        <v>MANSURI RAIYAN USMANGANI</v>
      </c>
      <c r="E359" s="3" t="str">
        <f ca="1">IFERROR(__xludf.DUMMYFUNCTION("""COMPUTED_VALUE"""),"Sweety - Mor")</f>
        <v>Sweety - Mor</v>
      </c>
      <c r="F359" s="3">
        <f ca="1">IFERROR(__xludf.DUMMYFUNCTION("""COMPUTED_VALUE"""),9157374761)</f>
        <v>9157374761</v>
      </c>
      <c r="G359" s="3" t="str">
        <f ca="1">IFERROR(__xludf.DUMMYFUNCTION("""COMPUTED_VALUE"""),"8200694762, 8155948950")</f>
        <v>8200694762, 8155948950</v>
      </c>
      <c r="H359" s="33">
        <f ca="1">IFERROR(__xludf.DUMMYFUNCTION("""COMPUTED_VALUE"""),0.0241935483870967)</f>
        <v>2.4193548387096701E-2</v>
      </c>
      <c r="I359" s="25">
        <f ca="1">IFERROR(__xludf.DUMMYFUNCTION("""COMPUTED_VALUE"""),0)</f>
        <v>0</v>
      </c>
      <c r="J359" s="25">
        <f ca="1">IFERROR(__xludf.DUMMYFUNCTION("""COMPUTED_VALUE"""),0)</f>
        <v>0</v>
      </c>
      <c r="K359" s="25">
        <f ca="1">IFERROR(__xludf.DUMMYFUNCTION("""COMPUTED_VALUE"""),0)</f>
        <v>0</v>
      </c>
      <c r="L359" s="25">
        <f ca="1">IFERROR(__xludf.DUMMYFUNCTION("""COMPUTED_VALUE"""),0)</f>
        <v>0</v>
      </c>
      <c r="M359" s="25">
        <f ca="1">IFERROR(__xludf.DUMMYFUNCTION("""COMPUTED_VALUE"""),0.105263157894736)</f>
        <v>0.105263157894736</v>
      </c>
      <c r="N359" s="25">
        <f ca="1">IFERROR(__xludf.DUMMYFUNCTION("""COMPUTED_VALUE"""),0)</f>
        <v>0</v>
      </c>
      <c r="O359" s="25">
        <f ca="1">IFERROR(__xludf.DUMMYFUNCTION("""COMPUTED_VALUE"""),0)</f>
        <v>0</v>
      </c>
      <c r="P359" s="25">
        <f ca="1">IFERROR(__xludf.DUMMYFUNCTION("""COMPUTED_VALUE"""),0)</f>
        <v>0</v>
      </c>
      <c r="Q359" s="25">
        <f ca="1">IFERROR(__xludf.DUMMYFUNCTION("""COMPUTED_VALUE"""),0)</f>
        <v>0</v>
      </c>
      <c r="R359" s="25">
        <f ca="1">IFERROR(__xludf.DUMMYFUNCTION("""COMPUTED_VALUE"""),0)</f>
        <v>0</v>
      </c>
      <c r="S359" s="25">
        <f ca="1">IFERROR(__xludf.DUMMYFUNCTION("""COMPUTED_VALUE"""),0.333333333333333)</f>
        <v>0.33333333333333298</v>
      </c>
      <c r="T359" s="25">
        <f ca="1">IFERROR(__xludf.DUMMYFUNCTION("""COMPUTED_VALUE"""),0.111111111111111)</f>
        <v>0.11111111111111099</v>
      </c>
      <c r="U359" s="25">
        <f ca="1">IFERROR(__xludf.DUMMYFUNCTION("""COMPUTED_VALUE"""),0)</f>
        <v>0</v>
      </c>
      <c r="V359" s="25">
        <f ca="1">IFERROR(__xludf.DUMMYFUNCTION("""COMPUTED_VALUE"""),0)</f>
        <v>0</v>
      </c>
      <c r="W359" s="4"/>
      <c r="X359" s="4" t="str">
        <f ca="1">IFERROR(__xludf.DUMMYFUNCTION("""COMPUTED_VALUE"""),"| 1 P JAVA @ | 4 L JAVA @ | 3 L PHP-CGM @ | 1 L PRO @ ")</f>
        <v xml:space="preserve">| 1 P JAVA @ | 4 L JAVA @ | 3 L PHP-CGM @ | 1 L PRO @ </v>
      </c>
      <c r="Y359" s="4" t="str">
        <f ca="1">IFERROR(__xludf.DUMMYFUNCTION("""COMPUTED_VALUE"""),"| 1 L JAVA @ | 2 L PHP-CGM % | 3 P Python @ | 5 L CPT @ | 6 L NS @ ")</f>
        <v xml:space="preserve">| 1 L JAVA @ | 2 L PHP-CGM % | 3 P Python @ | 5 L CPT @ | 6 L NS @ </v>
      </c>
      <c r="Z359" s="4" t="str">
        <f ca="1">IFERROR(__xludf.DUMMYFUNCTION("""COMPUTED_VALUE"""),"| 3 P NS @ | 5 L JAVA @ | 6 L NS @ ")</f>
        <v xml:space="preserve">| 3 P NS @ | 5 L JAVA @ | 6 L NS @ </v>
      </c>
      <c r="AA359" s="4" t="str">
        <f ca="1">IFERROR(__xludf.DUMMYFUNCTION("""COMPUTED_VALUE"""),"| 3 P CPT @ | 5 L NS @ | 6 L CPT @ ")</f>
        <v xml:space="preserve">| 3 P CPT @ | 5 L NS @ | 6 L CPT @ </v>
      </c>
      <c r="AB359" s="4" t="str">
        <f ca="1">IFERROR(__xludf.DUMMYFUNCTION("""COMPUTED_VALUE"""),"| 1 P JAVA @ | 3 L CPT @ | 4 L PHP-CGM @ | 5 P Python @ ")</f>
        <v xml:space="preserve">| 1 P JAVA @ | 3 L CPT @ | 4 L PHP-CGM @ | 5 P Python @ </v>
      </c>
      <c r="AC359" s="4" t="str">
        <f ca="1">IFERROR(__xludf.DUMMYFUNCTION("""COMPUTED_VALUE"""),"| 1 P JAVA @ | 3 L PHP-CGM @ | 5 P PRO @ ")</f>
        <v xml:space="preserve">| 1 P JAVA @ | 3 L PHP-CGM @ | 5 P PRO @ </v>
      </c>
      <c r="AD359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AE359" s="4" t="str">
        <f ca="1">IFERROR(__xludf.DUMMYFUNCTION("""COMPUTED_VALUE"""),"| 3 P NS @ | 5 L JAVA @ | 6 L NS @ ")</f>
        <v xml:space="preserve">| 3 P NS @ | 5 L JAVA @ | 6 L NS @ </v>
      </c>
      <c r="AF359" s="4" t="str">
        <f ca="1">IFERROR(__xludf.DUMMYFUNCTION("""COMPUTED_VALUE"""),"| 1 P PHP-CGM @ | 3 P CPT @ | 5 L NS @ | 6 L CPT @ ")</f>
        <v xml:space="preserve">| 1 P PHP-CGM @ | 3 P CPT @ | 5 L NS @ | 6 L CPT @ </v>
      </c>
      <c r="AG359" s="4" t="str">
        <f ca="1">IFERROR(__xludf.DUMMYFUNCTION("""COMPUTED_VALUE"""),"| 1 P JAVA @ | 3 L CPT @ | 4 L PHP-CGM @ | 5 P Python @ ")</f>
        <v xml:space="preserve">| 1 P JAVA @ | 3 L CPT @ | 4 L PHP-CGM @ | 5 P Python @ </v>
      </c>
      <c r="AH359" s="4" t="str">
        <f ca="1">IFERROR(__xludf.DUMMYFUNCTION("""COMPUTED_VALUE"""),"| 1 P PHP-CGM @ | 3 P CPT @ | 5 L NS @ | 6 L CPT @ ")</f>
        <v xml:space="preserve">| 1 P PHP-CGM @ | 3 P CPT @ | 5 L NS @ | 6 L CPT @ </v>
      </c>
      <c r="AI359" s="4" t="str">
        <f ca="1">IFERROR(__xludf.DUMMYFUNCTION("""COMPUTED_VALUE"""),"| 1 P JAVA @ | 3 L CPT @ | 4 L PHP-CGM @ | 5 P Python @ ")</f>
        <v xml:space="preserve">| 1 P JAVA @ | 3 L CPT @ | 4 L PHP-CGM @ | 5 P Python @ </v>
      </c>
      <c r="AJ359" s="4" t="str">
        <f ca="1">IFERROR(__xludf.DUMMYFUNCTION("""COMPUTED_VALUE"""),"| 1 P JAVA @ | 3 L PHP-CGM @ | 4 L JAVA @ | 5 P PRO @ ")</f>
        <v xml:space="preserve">| 1 P JAVA @ | 3 L PHP-CGM @ | 4 L JAVA @ | 5 P PRO @ </v>
      </c>
      <c r="AK35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L359" s="4" t="str">
        <f ca="1">IFERROR(__xludf.DUMMYFUNCTION("""COMPUTED_VALUE"""),"| 3 P NS @ | 5 L JAVA @ | 6 L NS @ ")</f>
        <v xml:space="preserve">| 3 P NS @ | 5 L JAVA @ | 6 L NS @ </v>
      </c>
      <c r="AM359" s="4" t="str">
        <f ca="1">IFERROR(__xludf.DUMMYFUNCTION("""COMPUTED_VALUE"""),"| 1 P PHP-CGM @ | 3 P CPT @ | 5 L NS @ | 6 L CPT @ ")</f>
        <v xml:space="preserve">| 1 P PHP-CGM @ | 3 P CPT @ | 5 L NS @ | 6 L CPT @ </v>
      </c>
      <c r="AN359" s="4" t="str">
        <f ca="1">IFERROR(__xludf.DUMMYFUNCTION("""COMPUTED_VALUE"""),"| 1 P JAVA @ | 4 L PHP-CGM @ | 5 P Python @ ")</f>
        <v xml:space="preserve">| 1 P JAVA @ | 4 L PHP-CGM @ | 5 P Python @ </v>
      </c>
      <c r="AO359" s="4" t="str">
        <f ca="1">IFERROR(__xludf.DUMMYFUNCTION("""COMPUTED_VALUE"""),"| 1 P JAVA @ | 3 L PHP-CGM @ | 4 L JAVA @ | 5 P PRO @ ")</f>
        <v xml:space="preserve">| 1 P JAVA @ | 3 L PHP-CGM @ | 4 L JAVA @ | 5 P PRO @ </v>
      </c>
      <c r="AP35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Q359" s="4" t="str">
        <f ca="1">IFERROR(__xludf.DUMMYFUNCTION("""COMPUTED_VALUE"""),"| 1 L INE @ | 3 P NS @ | 5 L JAVA @ | 6 L NS @ ")</f>
        <v xml:space="preserve">| 1 L INE @ | 3 P NS @ | 5 L JAVA @ | 6 L NS @ </v>
      </c>
      <c r="AR359" s="4" t="str">
        <f ca="1">IFERROR(__xludf.DUMMYFUNCTION("""COMPUTED_VALUE"""),"| 1 P PHP-CGM @ | 3 L CPT @ | 3 P CPT @ | 5 L NS @ | 6 L CPT @ ")</f>
        <v xml:space="preserve">| 1 P PHP-CGM @ | 3 L CPT @ | 3 P CPT @ | 5 L NS @ | 6 L CPT @ </v>
      </c>
      <c r="AS359" s="4" t="str">
        <f ca="1">IFERROR(__xludf.DUMMYFUNCTION("""COMPUTED_VALUE"""),"| 1 P JAVA @ | 3 L PHP-CGM @ | 4 L JAVA @ | 5 P PRO @ ")</f>
        <v xml:space="preserve">| 1 P JAVA @ | 3 L PHP-CGM @ | 4 L JAVA @ | 5 P PRO @ </v>
      </c>
      <c r="AT35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AU359" s="4" t="str">
        <f ca="1">IFERROR(__xludf.DUMMYFUNCTION("""COMPUTED_VALUE"""),"| 1 L INE @ | 3 P NS @ | 5 L JAVA @ | 6 L NS @ ")</f>
        <v xml:space="preserve">| 1 L INE @ | 3 P NS @ | 5 L JAVA @ | 6 L NS @ </v>
      </c>
      <c r="AV359" s="4" t="str">
        <f ca="1">IFERROR(__xludf.DUMMYFUNCTION("""COMPUTED_VALUE"""),"| 1 P PHP-CGM @ | 3 P CPT @ | 5 L NS @ | 6 L CPT @ ")</f>
        <v xml:space="preserve">| 1 P PHP-CGM @ | 3 P CPT @ | 5 L NS @ | 6 L CPT @ </v>
      </c>
      <c r="AW359" s="4" t="str">
        <f ca="1">IFERROR(__xludf.DUMMYFUNCTION("""COMPUTED_VALUE"""),"| 1 P JAVA @ | 3 L CPT @ | 4 L PHP-CGM % | 5 P Python @ ")</f>
        <v xml:space="preserve">| 1 P JAVA @ | 3 L CPT @ | 4 L PHP-CGM % | 5 P Python @ </v>
      </c>
      <c r="AX359" s="4" t="str">
        <f ca="1">IFERROR(__xludf.DUMMYFUNCTION("""COMPUTED_VALUE"""),"| 1 P JAVA @ | 3 L JAVA @ | 4 L PHP-CGM @ | 5 P PRO @ ")</f>
        <v xml:space="preserve">| 1 P JAVA @ | 3 L JAVA @ | 4 L PHP-CGM @ | 5 P PRO @ </v>
      </c>
      <c r="AY359" s="4" t="str">
        <f ca="1">IFERROR(__xludf.DUMMYFUNCTION("""COMPUTED_VALUE"""),"| 2 L PHP-CGM @ | 3 P Python @ | 5 L CPT @ | 6 L NS @ | 1 L JAVA @ ")</f>
        <v xml:space="preserve">| 2 L PHP-CGM @ | 3 P Python @ | 5 L CPT @ | 6 L NS @ | 1 L JAVA @ </v>
      </c>
      <c r="AZ359" s="4" t="str">
        <f ca="1">IFERROR(__xludf.DUMMYFUNCTION("""COMPUTED_VALUE"""),"| 1 P PHP-CGM @ | 3 P CPT @ | 5 L NS @ | 6 L CPT @ ")</f>
        <v xml:space="preserve">| 1 P PHP-CGM @ | 3 P CPT @ | 5 L NS @ | 6 L CPT @ </v>
      </c>
      <c r="BA359" s="4" t="str">
        <f ca="1">IFERROR(__xludf.DUMMYFUNCTION("""COMPUTED_VALUE"""),"| 1 P JAVA @ | 3 L CPT @ | 4 L PHP-CGM @ | 5 P Python @ ")</f>
        <v xml:space="preserve">| 1 P JAVA @ | 3 L CPT @ | 4 L PHP-CGM @ | 5 P Python @ </v>
      </c>
      <c r="BB359" s="4" t="str">
        <f ca="1">IFERROR(__xludf.DUMMYFUNCTION("""COMPUTED_VALUE"""),"| 1 P JAVA @ | 3 L PHP-CGM @ | 4 L JAVA @ | 5 L PRO @ ")</f>
        <v xml:space="preserve">| 1 P JAVA @ | 3 L PHP-CGM @ | 4 L JAVA @ | 5 L PRO @ </v>
      </c>
      <c r="BC35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D359" s="4" t="str">
        <f ca="1">IFERROR(__xludf.DUMMYFUNCTION("""COMPUTED_VALUE"""),"| 1 L INE @ | 3 P NS @ | 5 L JAVA @ | 6 L NS @ ")</f>
        <v xml:space="preserve">| 1 L INE @ | 3 P NS @ | 5 L JAVA @ | 6 L NS @ </v>
      </c>
      <c r="BE359" s="4" t="str">
        <f ca="1">IFERROR(__xludf.DUMMYFUNCTION("""COMPUTED_VALUE"""),"| 1 P PHP-CGM @ | 3 P CPT @ | 5 L NS @ | 6 L CPT @ ")</f>
        <v xml:space="preserve">| 1 P PHP-CGM @ | 3 P CPT @ | 5 L NS @ | 6 L CPT @ </v>
      </c>
      <c r="BF359" s="4" t="str">
        <f ca="1">IFERROR(__xludf.DUMMYFUNCTION("""COMPUTED_VALUE"""),"| 1 P JAVA @ | 3 L CPT @ | 4 L PHP-CGM @ | 5 P Python @ ")</f>
        <v xml:space="preserve">| 1 P JAVA @ | 3 L CPT @ | 4 L PHP-CGM @ | 5 P Python @ </v>
      </c>
      <c r="BG359" s="4" t="str">
        <f ca="1">IFERROR(__xludf.DUMMYFUNCTION("""COMPUTED_VALUE"""),"| 1 L JAVA @ | 2 L PHP-CGM @ | 3 P Python @ | 5 L CPT @ | 6 L NS @ ")</f>
        <v xml:space="preserve">| 1 L JAVA @ | 2 L PHP-CGM @ | 3 P Python @ | 5 L CPT @ | 6 L NS @ </v>
      </c>
      <c r="BH359" s="4" t="str">
        <f ca="1">IFERROR(__xludf.DUMMYFUNCTION("""COMPUTED_VALUE"""),"| 1 L INE @ | 3 P NS @ | 5 L JAVA @ | 6 L NS @ ")</f>
        <v xml:space="preserve">| 1 L INE @ | 3 P NS @ | 5 L JAVA @ | 6 L NS @ </v>
      </c>
      <c r="BI359" s="4" t="str">
        <f ca="1">IFERROR(__xludf.DUMMYFUNCTION("""COMPUTED_VALUE"""),"| 1 P PHP-CGM @ | 3 P CPT @ | 5 L NS @ | 6 L CPT @ ")</f>
        <v xml:space="preserve">| 1 P PHP-CGM @ | 3 P CPT @ | 5 L NS @ | 6 L CPT @ </v>
      </c>
      <c r="BJ359" s="4" t="str">
        <f ca="1">IFERROR(__xludf.DUMMYFUNCTION("""COMPUTED_VALUE"""),"| 1 P JAVA @ | 3 L CPT @ | 4 L PHP-CGM @ | 5 P Python @ ")</f>
        <v xml:space="preserve">| 1 P JAVA @ | 3 L CPT @ | 4 L PHP-CGM @ | 5 P Python @ </v>
      </c>
      <c r="BK359" s="4" t="str">
        <f ca="1">IFERROR(__xludf.DUMMYFUNCTION("""COMPUTED_VALUE"""),"| 1 P JAVA @ | 3 L PHP-CGM @ | 4 L JAVA @ | 5 P PRO @ ")</f>
        <v xml:space="preserve">| 1 P JAVA @ | 3 L PHP-CGM @ | 4 L JAVA @ | 5 P PRO @ </v>
      </c>
      <c r="BL359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BM359" s="4" t="str">
        <f ca="1">IFERROR(__xludf.DUMMYFUNCTION("""COMPUTED_VALUE"""),"| 1 L INE @ | 3 P NS @ | 5 L JAVA @ | 6 L NS @ ")</f>
        <v xml:space="preserve">| 1 L INE @ | 3 P NS @ | 5 L JAVA @ | 6 L NS @ </v>
      </c>
      <c r="BN359" s="4" t="str">
        <f ca="1">IFERROR(__xludf.DUMMYFUNCTION("""COMPUTED_VALUE"""),"| 1 P PHP-CGM @ | 3 P CPT @ | 5 L NS @ | 6 L CPT @ ")</f>
        <v xml:space="preserve">| 1 P PHP-CGM @ | 3 P CPT @ | 5 L NS @ | 6 L CPT @ </v>
      </c>
      <c r="BO359" s="4" t="str">
        <f ca="1">IFERROR(__xludf.DUMMYFUNCTION("""COMPUTED_VALUE"""),"| 1 P JAVA @ | 4 L PHP-CGM @ | 3 L CPT @ | 5 P Python @ ")</f>
        <v xml:space="preserve">| 1 P JAVA @ | 4 L PHP-CGM @ | 3 L CPT @ | 5 P Python @ </v>
      </c>
      <c r="BP359" s="4" t="str">
        <f ca="1">IFERROR(__xludf.DUMMYFUNCTION("""COMPUTED_VALUE"""),"| 1 P JAVA @ | 3 L PHP-CGM % | 4 L JAVA @ | 5 P PRO @ ")</f>
        <v xml:space="preserve">| 1 P JAVA @ | 3 L PHP-CGM % | 4 L JAVA @ | 5 P PRO @ </v>
      </c>
      <c r="BQ359" s="4" t="str">
        <f ca="1">IFERROR(__xludf.DUMMYFUNCTION("""COMPUTED_VALUE"""),"| 6 L NS @ | 5 L JAVA @ ")</f>
        <v xml:space="preserve">| 6 L NS @ | 5 L JAVA @ </v>
      </c>
      <c r="BR359" s="4"/>
      <c r="BS359" s="4" t="str">
        <f ca="1">IFERROR(__xludf.DUMMYFUNCTION("""COMPUTED_VALUE"""),"| 4 L PHP-CGM % ")</f>
        <v xml:space="preserve">| 4 L PHP-CGM % </v>
      </c>
      <c r="BT359" s="4" t="str">
        <f ca="1">IFERROR(__xludf.DUMMYFUNCTION("""COMPUTED_VALUE"""),"| 1 P JAVA @ | 3 L PHP-CGM @ ")</f>
        <v xml:space="preserve">| 1 P JAVA @ | 3 L PHP-CGM @ </v>
      </c>
      <c r="BU359" s="4" t="str">
        <f ca="1">IFERROR(__xludf.DUMMYFUNCTION("""COMPUTED_VALUE"""),"| 1 L JAVA @ | 2 L PHP-CGM @ | 3 P Python @ ")</f>
        <v xml:space="preserve">| 1 L JAVA @ | 2 L PHP-CGM @ | 3 P Python @ </v>
      </c>
      <c r="BV359" s="4" t="str">
        <f ca="1">IFERROR(__xludf.DUMMYFUNCTION("""COMPUTED_VALUE"""),"| 1 P JAVA @ | 3 L PHP-CGM @ | 4 L JAVA @ | 5 P PRO @ ")</f>
        <v xml:space="preserve">| 1 P JAVA @ | 3 L PHP-CGM @ | 4 L JAVA @ | 5 P PRO @ </v>
      </c>
      <c r="BW359" s="4" t="str">
        <f ca="1">IFERROR(__xludf.DUMMYFUNCTION("""COMPUTED_VALUE"""),"| 1 L JAVA @ | 2 L PHP-CGM @ | 3 P Python @ ")</f>
        <v xml:space="preserve">| 1 L JAVA @ | 2 L PHP-CGM @ | 3 P Python @ </v>
      </c>
      <c r="BX359" s="4" t="str">
        <f ca="1">IFERROR(__xludf.DUMMYFUNCTION("""COMPUTED_VALUE"""),"| 1 L INE @ | 3 P NS @ | 5 L JAVA @ | 6 L NS @ ")</f>
        <v xml:space="preserve">| 1 L INE @ | 3 P NS @ | 5 L JAVA @ | 6 L NS @ </v>
      </c>
      <c r="BY359" s="4" t="str">
        <f ca="1">IFERROR(__xludf.DUMMYFUNCTION("""COMPUTED_VALUE"""),"| 1 P PHP-CGM @ | 3 P CPT @ | 5 L NS @ | 6 L CPT @ ")</f>
        <v xml:space="preserve">| 1 P PHP-CGM @ | 3 P CPT @ | 5 L NS @ | 6 L CPT @ </v>
      </c>
      <c r="BZ359" s="4" t="str">
        <f ca="1">IFERROR(__xludf.DUMMYFUNCTION("""COMPUTED_VALUE"""),"| 1 P JAVA @ | 3 L CPT @ | 4 L PHP-CGM @ | 5 P Python @ ")</f>
        <v xml:space="preserve">| 1 P JAVA @ | 3 L CPT @ | 4 L PHP-CGM @ | 5 P Python @ </v>
      </c>
      <c r="CA359" s="4" t="str">
        <f ca="1">IFERROR(__xludf.DUMMYFUNCTION("""COMPUTED_VALUE"""),"| 1 P JAVA @ | 3 L PHP-CGM @ | 3 L JAVA @ | 5 P PRO % ")</f>
        <v xml:space="preserve">| 1 P JAVA @ | 3 L PHP-CGM @ | 3 L JAVA @ | 5 P PRO % </v>
      </c>
      <c r="CB359" s="4" t="str">
        <f ca="1">IFERROR(__xludf.DUMMYFUNCTION("""COMPUTED_VALUE"""),"| 1 L JAVA @ | 2 L PHP-CGM @ | 3 P Python @ | 6 L NS @ | 5 L CPT @ ")</f>
        <v xml:space="preserve">| 1 L JAVA @ | 2 L PHP-CGM @ | 3 P Python @ | 6 L NS @ | 5 L CPT @ </v>
      </c>
      <c r="CC359" s="4" t="str">
        <f ca="1">IFERROR(__xludf.DUMMYFUNCTION("""COMPUTED_VALUE"""),"| 1 L INE @ | 3 P NS @ | 5 L JAVA @ | 6 L NS @ ")</f>
        <v xml:space="preserve">| 1 L INE @ | 3 P NS @ | 5 L JAVA @ | 6 L NS @ </v>
      </c>
      <c r="CD359" s="4" t="str">
        <f ca="1">IFERROR(__xludf.DUMMYFUNCTION("""COMPUTED_VALUE"""),"| 1 P PHP-CGM @ | 3 P CPT @ | 5 L NS @ | 6 L CPT @ ")</f>
        <v xml:space="preserve">| 1 P PHP-CGM @ | 3 P CPT @ | 5 L NS @ | 6 L CPT @ </v>
      </c>
      <c r="CE359" s="4" t="str">
        <f ca="1">IFERROR(__xludf.DUMMYFUNCTION("""COMPUTED_VALUE"""),"| 1 P JAVA @ | 3 L CPT @ | 4 L PHP-CGM @ | 5 P Python @ ")</f>
        <v xml:space="preserve">| 1 P JAVA @ | 3 L CPT @ | 4 L PHP-CGM @ | 5 P Python @ </v>
      </c>
      <c r="CF359" s="4" t="str">
        <f ca="1">IFERROR(__xludf.DUMMYFUNCTION("""COMPUTED_VALUE"""),"| 1 P JAVA @ | 4 L JAVA @ | 3 L PHP-CGM @ | 5 L PRO % ")</f>
        <v xml:space="preserve">| 1 P JAVA @ | 4 L JAVA @ | 3 L PHP-CGM @ | 5 L PRO % </v>
      </c>
      <c r="CG359" s="4" t="str">
        <f ca="1">IFERROR(__xludf.DUMMYFUNCTION("""COMPUTED_VALUE"""),"| 1 L JAVA @ | 2 L PHP-CGM @ | 3 P Python @ | 6 L NS @ ")</f>
        <v xml:space="preserve">| 1 L JAVA @ | 2 L PHP-CGM @ | 3 P Python @ | 6 L NS @ </v>
      </c>
      <c r="CH359" s="4" t="str">
        <f ca="1">IFERROR(__xludf.DUMMYFUNCTION("""COMPUTED_VALUE"""),"| 1 L INE @ | 3 P NS @ | 5 L JAVA @ | 6 L NS @ ")</f>
        <v xml:space="preserve">| 1 L INE @ | 3 P NS @ | 5 L JAVA @ | 6 L NS @ </v>
      </c>
      <c r="CI359" s="4" t="str">
        <f ca="1">IFERROR(__xludf.DUMMYFUNCTION("""COMPUTED_VALUE"""),"| 3 P CPT @ | 5 L NS @ | 6 L CPT @ ")</f>
        <v xml:space="preserve">| 3 P CPT @ | 5 L NS @ | 6 L CPT @ </v>
      </c>
      <c r="CJ359" s="4" t="str">
        <f ca="1">IFERROR(__xludf.DUMMYFUNCTION("""COMPUTED_VALUE"""),"| 3 L CPT @ ")</f>
        <v xml:space="preserve">| 3 L CPT @ </v>
      </c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</row>
    <row r="360" spans="1:102" ht="12.5" x14ac:dyDescent="0.25">
      <c r="A360" s="3">
        <f ca="1">IFERROR(__xludf.DUMMYFUNCTION("""COMPUTED_VALUE"""),2)</f>
        <v>2</v>
      </c>
      <c r="B360" s="3" t="str">
        <f ca="1">IFERROR(__xludf.DUMMYFUNCTION("""COMPUTED_VALUE"""),"ITA")</f>
        <v>ITA</v>
      </c>
      <c r="C360" s="32" t="str">
        <f ca="1">IFERROR(__xludf.DUMMYFUNCTION("""COMPUTED_VALUE"""),"23291371043")</f>
        <v>23291371043</v>
      </c>
      <c r="D360" s="4" t="str">
        <f ca="1">IFERROR(__xludf.DUMMYFUNCTION("""COMPUTED_VALUE"""),"MANSURI ZIDANBHAI SARAHBANU")</f>
        <v>MANSURI ZIDANBHAI SARAHBANU</v>
      </c>
      <c r="E360" s="3" t="str">
        <f ca="1">IFERROR(__xludf.DUMMYFUNCTION("""COMPUTED_VALUE"""),"Sweety - Mor")</f>
        <v>Sweety - Mor</v>
      </c>
      <c r="F360" s="3">
        <f ca="1">IFERROR(__xludf.DUMMYFUNCTION("""COMPUTED_VALUE"""),8153812217)</f>
        <v>8153812217</v>
      </c>
      <c r="G360" s="3" t="str">
        <f ca="1">IFERROR(__xludf.DUMMYFUNCTION("""COMPUTED_VALUE"""),"8153812217, 8200694762")</f>
        <v>8153812217, 8200694762</v>
      </c>
      <c r="H360" s="33">
        <f ca="1">IFERROR(__xludf.DUMMYFUNCTION("""COMPUTED_VALUE"""),0.56734693877551)</f>
        <v>0.56734693877551001</v>
      </c>
      <c r="I360" s="25">
        <f ca="1">IFERROR(__xludf.DUMMYFUNCTION("""COMPUTED_VALUE"""),0.514285714285714)</f>
        <v>0.51428571428571401</v>
      </c>
      <c r="J360" s="25">
        <f ca="1">IFERROR(__xludf.DUMMYFUNCTION("""COMPUTED_VALUE"""),0.75)</f>
        <v>0.75</v>
      </c>
      <c r="K360" s="25">
        <f ca="1">IFERROR(__xludf.DUMMYFUNCTION("""COMPUTED_VALUE"""),0.472222222222222)</f>
        <v>0.47222222222222199</v>
      </c>
      <c r="L360" s="25">
        <f ca="1">IFERROR(__xludf.DUMMYFUNCTION("""COMPUTED_VALUE"""),0.666666666666666)</f>
        <v>0.66666666666666596</v>
      </c>
      <c r="M360" s="25">
        <f ca="1">IFERROR(__xludf.DUMMYFUNCTION("""COMPUTED_VALUE"""),0.710526315789473)</f>
        <v>0.71052631578947301</v>
      </c>
      <c r="N360" s="25">
        <f ca="1">IFERROR(__xludf.DUMMYFUNCTION("""COMPUTED_VALUE"""),0.142857142857142)</f>
        <v>0.14285714285714199</v>
      </c>
      <c r="O360" s="25">
        <f ca="1">IFERROR(__xludf.DUMMYFUNCTION("""COMPUTED_VALUE"""),0.527777777777777)</f>
        <v>0.52777777777777701</v>
      </c>
      <c r="P360" s="25">
        <f ca="1">IFERROR(__xludf.DUMMYFUNCTION("""COMPUTED_VALUE"""),0.56)</f>
        <v>0.56000000000000005</v>
      </c>
      <c r="Q360" s="25">
        <f ca="1">IFERROR(__xludf.DUMMYFUNCTION("""COMPUTED_VALUE"""),0)</f>
        <v>0</v>
      </c>
      <c r="R360" s="25">
        <f ca="1">IFERROR(__xludf.DUMMYFUNCTION("""COMPUTED_VALUE"""),0.75)</f>
        <v>0.75</v>
      </c>
      <c r="S360" s="25">
        <f ca="1">IFERROR(__xludf.DUMMYFUNCTION("""COMPUTED_VALUE"""),1)</f>
        <v>1</v>
      </c>
      <c r="T360" s="25">
        <f ca="1">IFERROR(__xludf.DUMMYFUNCTION("""COMPUTED_VALUE"""),0.444444444444444)</f>
        <v>0.44444444444444398</v>
      </c>
      <c r="U360" s="25">
        <f ca="1">IFERROR(__xludf.DUMMYFUNCTION("""COMPUTED_VALUE"""),0.125)</f>
        <v>0.125</v>
      </c>
      <c r="V360" s="25">
        <f ca="1">IFERROR(__xludf.DUMMYFUNCTION("""COMPUTED_VALUE"""),0)</f>
        <v>0</v>
      </c>
      <c r="W360" s="4"/>
      <c r="X360" s="4" t="str">
        <f ca="1">IFERROR(__xludf.DUMMYFUNCTION("""COMPUTED_VALUE"""),"| 1 P JAVA % | 4 L JAVA % | 3 L PHP-CGM % | 1 L PRO % ")</f>
        <v xml:space="preserve">| 1 P JAVA % | 4 L JAVA % | 3 L PHP-CGM % | 1 L PRO % </v>
      </c>
      <c r="Y360" s="4" t="str">
        <f ca="1">IFERROR(__xludf.DUMMYFUNCTION("""COMPUTED_VALUE"""),"| 1 L JAVA % | 2 L PHP-CGM % | 3 P Python % | 5 L CPT @ | 6 L NS @ ")</f>
        <v xml:space="preserve">| 1 L JAVA % | 2 L PHP-CGM % | 3 P Python % | 5 L CPT @ | 6 L NS @ </v>
      </c>
      <c r="Z360" s="4" t="str">
        <f ca="1">IFERROR(__xludf.DUMMYFUNCTION("""COMPUTED_VALUE"""),"| 3 P NS % | 5 L JAVA @ | 6 L NS @ ")</f>
        <v xml:space="preserve">| 3 P NS % | 5 L JAVA @ | 6 L NS @ </v>
      </c>
      <c r="AA360" s="4" t="str">
        <f ca="1">IFERROR(__xludf.DUMMYFUNCTION("""COMPUTED_VALUE"""),"| 3 P CPT % | 5 L NS % | 6 L CPT @ ")</f>
        <v xml:space="preserve">| 3 P CPT % | 5 L NS % | 6 L CPT @ </v>
      </c>
      <c r="AB360" s="4" t="str">
        <f ca="1">IFERROR(__xludf.DUMMYFUNCTION("""COMPUTED_VALUE"""),"| 1 P JAVA @ | 3 L CPT @ | 4 L PHP-CGM @ | 5 P Python @ ")</f>
        <v xml:space="preserve">| 1 P JAVA @ | 3 L CPT @ | 4 L PHP-CGM @ | 5 P Python @ </v>
      </c>
      <c r="AC360" s="4" t="str">
        <f ca="1">IFERROR(__xludf.DUMMYFUNCTION("""COMPUTED_VALUE"""),"| 1 P Python % | 3 L PHP-CGM % | 5 P PRO % ")</f>
        <v xml:space="preserve">| 1 P Python % | 3 L PHP-CGM % | 5 P PRO % </v>
      </c>
      <c r="AD360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60" s="4" t="str">
        <f ca="1">IFERROR(__xludf.DUMMYFUNCTION("""COMPUTED_VALUE"""),"| 3 P CPT @ | 5 L JAVA @ | 6 L NS @ ")</f>
        <v xml:space="preserve">| 3 P CPT @ | 5 L JAVA @ | 6 L NS @ </v>
      </c>
      <c r="AF360" s="4" t="str">
        <f ca="1">IFERROR(__xludf.DUMMYFUNCTION("""COMPUTED_VALUE"""),"| 1 P Python % | 3 P JAVA % | 5 L NS % | 6 L CPT % ")</f>
        <v xml:space="preserve">| 1 P Python % | 3 P JAVA % | 5 L NS % | 6 L CPT % </v>
      </c>
      <c r="AG360" s="4" t="str">
        <f ca="1">IFERROR(__xludf.DUMMYFUNCTION("""COMPUTED_VALUE"""),"| 1 P NS % | 3 L CPT % | 4 L PHP-CGM @ | 5 P PHP-CGM @ ")</f>
        <v xml:space="preserve">| 1 P NS % | 3 L CPT % | 4 L PHP-CGM @ | 5 P PHP-CGM @ </v>
      </c>
      <c r="AH360" s="4" t="str">
        <f ca="1">IFERROR(__xludf.DUMMYFUNCTION("""COMPUTED_VALUE"""),"| 1 P Python % | 3 P JAVA % | 5 L NS % | 6 L CPT % ")</f>
        <v xml:space="preserve">| 1 P Python % | 3 P JAVA % | 5 L NS % | 6 L CPT % </v>
      </c>
      <c r="AI360" s="4" t="str">
        <f ca="1">IFERROR(__xludf.DUMMYFUNCTION("""COMPUTED_VALUE"""),"| 1 P NS % | 3 L CPT % | 4 L PHP-CGM % | 5 P PHP-CGM @ ")</f>
        <v xml:space="preserve">| 1 P NS % | 3 L CPT % | 4 L PHP-CGM % | 5 P PHP-CGM @ </v>
      </c>
      <c r="AJ360" s="4" t="str">
        <f ca="1">IFERROR(__xludf.DUMMYFUNCTION("""COMPUTED_VALUE"""),"| 1 P Python % | 3 L PHP-CGM % | 4 L JAVA % | 5 P PRO % ")</f>
        <v xml:space="preserve">| 1 P Python % | 3 L PHP-CGM % | 4 L JAVA % | 5 P PRO % </v>
      </c>
      <c r="AK360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L360" s="4" t="str">
        <f ca="1">IFERROR(__xludf.DUMMYFUNCTION("""COMPUTED_VALUE"""),"| 3 P CPT % | 5 L JAVA @ | 6 L NS @ ")</f>
        <v xml:space="preserve">| 3 P CPT % | 5 L JAVA @ | 6 L NS @ </v>
      </c>
      <c r="AM360" s="4" t="str">
        <f ca="1">IFERROR(__xludf.DUMMYFUNCTION("""COMPUTED_VALUE"""),"| 1 P Python % | 3 P JAVA % | 5 L NS % | 6 L CPT @ ")</f>
        <v xml:space="preserve">| 1 P Python % | 3 P JAVA % | 5 L NS % | 6 L CPT @ </v>
      </c>
      <c r="AN360" s="4" t="str">
        <f ca="1">IFERROR(__xludf.DUMMYFUNCTION("""COMPUTED_VALUE"""),"| 1 P NS @ | 4 L PHP-CGM @ | 5 P PHP-CGM @ ")</f>
        <v xml:space="preserve">| 1 P NS @ | 4 L PHP-CGM @ | 5 P PHP-CGM @ </v>
      </c>
      <c r="AO360" s="4" t="str">
        <f ca="1">IFERROR(__xludf.DUMMYFUNCTION("""COMPUTED_VALUE"""),"| 1 P Python % | 3 L PHP-CGM % | 4 L JAVA % | 5 P PRO @ ")</f>
        <v xml:space="preserve">| 1 P Python % | 3 L PHP-CGM % | 4 L JAVA % | 5 P PRO @ </v>
      </c>
      <c r="AP36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60" s="4" t="str">
        <f ca="1">IFERROR(__xludf.DUMMYFUNCTION("""COMPUTED_VALUE"""),"| 1 L INE @ | 3 P CPT % | 5 L JAVA @ | 6 L NS @ ")</f>
        <v xml:space="preserve">| 1 L INE @ | 3 P CPT % | 5 L JAVA @ | 6 L NS @ </v>
      </c>
      <c r="AR360" s="4" t="str">
        <f ca="1">IFERROR(__xludf.DUMMYFUNCTION("""COMPUTED_VALUE"""),"| 1 P Python @ | 3 L CPT @ | 3 P JAVA @ | 5 L NS @ | 6 L CPT @ ")</f>
        <v xml:space="preserve">| 1 P Python @ | 3 L CPT @ | 3 P JAVA @ | 5 L NS @ | 6 L CPT @ </v>
      </c>
      <c r="AS360" s="4" t="str">
        <f ca="1">IFERROR(__xludf.DUMMYFUNCTION("""COMPUTED_VALUE"""),"| 1 P Python % | 3 L PHP-CGM % | 4 L JAVA % | 5 P PRO % ")</f>
        <v xml:space="preserve">| 1 P Python % | 3 L PHP-CGM % | 4 L JAVA % | 5 P PRO % </v>
      </c>
      <c r="AT36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60" s="4" t="str">
        <f ca="1">IFERROR(__xludf.DUMMYFUNCTION("""COMPUTED_VALUE"""),"| 1 L INE @ | 3 P CPT @ | 5 L JAVA @ | 6 L NS @ ")</f>
        <v xml:space="preserve">| 1 L INE @ | 3 P CPT @ | 5 L JAVA @ | 6 L NS @ </v>
      </c>
      <c r="AV360" s="4" t="str">
        <f ca="1">IFERROR(__xludf.DUMMYFUNCTION("""COMPUTED_VALUE"""),"| 1 P Python % | 3 P JAVA % | 5 L NS @ | 6 L CPT % ")</f>
        <v xml:space="preserve">| 1 P Python % | 3 P JAVA % | 5 L NS @ | 6 L CPT % </v>
      </c>
      <c r="AW360" s="4" t="str">
        <f ca="1">IFERROR(__xludf.DUMMYFUNCTION("""COMPUTED_VALUE"""),"| 1 P NS % | 3 L CPT % | 4 L PHP-CGM % | 5 P PHP-CGM @ ")</f>
        <v xml:space="preserve">| 1 P NS % | 3 L CPT % | 4 L PHP-CGM % | 5 P PHP-CGM @ </v>
      </c>
      <c r="AX360" s="4" t="str">
        <f ca="1">IFERROR(__xludf.DUMMYFUNCTION("""COMPUTED_VALUE"""),"| 1 P Python % | 3 L JAVA % | 4 L PHP-CGM % | 5 P PRO % ")</f>
        <v xml:space="preserve">| 1 P Python % | 3 L JAVA % | 4 L PHP-CGM % | 5 P PRO % </v>
      </c>
      <c r="AY360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60" s="4" t="str">
        <f ca="1">IFERROR(__xludf.DUMMYFUNCTION("""COMPUTED_VALUE"""),"| 1 P Python % | 3 P JAVA % | 5 L NS % | 6 L CPT % ")</f>
        <v xml:space="preserve">| 1 P Python % | 3 P JAVA % | 5 L NS % | 6 L CPT % </v>
      </c>
      <c r="BA360" s="4" t="str">
        <f ca="1">IFERROR(__xludf.DUMMYFUNCTION("""COMPUTED_VALUE"""),"| 1 P NS % | 3 L CPT % | 4 L PHP-CGM % | 5 P PHP-CGM @ ")</f>
        <v xml:space="preserve">| 1 P NS % | 3 L CPT % | 4 L PHP-CGM % | 5 P PHP-CGM @ </v>
      </c>
      <c r="BB360" s="4" t="str">
        <f ca="1">IFERROR(__xludf.DUMMYFUNCTION("""COMPUTED_VALUE"""),"| 1 P Python % | 3 L PHP-CGM % | 4 L JAVA % | 5 L PRO % ")</f>
        <v xml:space="preserve">| 1 P Python % | 3 L PHP-CGM % | 4 L JAVA % | 5 L PRO % </v>
      </c>
      <c r="BC36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60" s="4" t="str">
        <f ca="1">IFERROR(__xludf.DUMMYFUNCTION("""COMPUTED_VALUE"""),"| 1 L INE @ | 3 P CPT % | 5 L JAVA % | 6 L NS % ")</f>
        <v xml:space="preserve">| 1 L INE @ | 3 P CPT % | 5 L JAVA % | 6 L NS % </v>
      </c>
      <c r="BE360" s="4" t="str">
        <f ca="1">IFERROR(__xludf.DUMMYFUNCTION("""COMPUTED_VALUE"""),"| 1 P Python @ | 3 P JAVA @ | 5 L NS @ | 6 L CPT @ ")</f>
        <v xml:space="preserve">| 1 P Python @ | 3 P JAVA @ | 5 L NS @ | 6 L CPT @ </v>
      </c>
      <c r="BF360" s="4" t="str">
        <f ca="1">IFERROR(__xludf.DUMMYFUNCTION("""COMPUTED_VALUE"""),"| 1 P NS @ | 3 L CPT @ | 4 L PHP-CGM @ ")</f>
        <v xml:space="preserve">| 1 P NS @ | 3 L CPT @ | 4 L PHP-CGM @ </v>
      </c>
      <c r="BG360" s="4" t="str">
        <f ca="1">IFERROR(__xludf.DUMMYFUNCTION("""COMPUTED_VALUE"""),"| 1 L JAVA % | 2 L PHP-CGM % | 3 P JAVA @ | 5 L CPT @ | 6 L NS % ")</f>
        <v xml:space="preserve">| 1 L JAVA % | 2 L PHP-CGM % | 3 P JAVA @ | 5 L CPT @ | 6 L NS % </v>
      </c>
      <c r="BH360" s="4" t="str">
        <f ca="1">IFERROR(__xludf.DUMMYFUNCTION("""COMPUTED_VALUE"""),"| 1 L INE % | 3 P CPT % | 5 L JAVA @ | 6 L NS % ")</f>
        <v xml:space="preserve">| 1 L INE % | 3 P CPT % | 5 L JAVA @ | 6 L NS % </v>
      </c>
      <c r="BI360" s="4" t="str">
        <f ca="1">IFERROR(__xludf.DUMMYFUNCTION("""COMPUTED_VALUE"""),"| 1 P Python % | 3 P JAVA @ | 5 L NS @ | 6 L CPT @ ")</f>
        <v xml:space="preserve">| 1 P Python % | 3 P JAVA @ | 5 L NS @ | 6 L CPT @ </v>
      </c>
      <c r="BJ360" s="4" t="str">
        <f ca="1">IFERROR(__xludf.DUMMYFUNCTION("""COMPUTED_VALUE"""),"| 1 P NS % | 3 L CPT @ | 4 L PHP-CGM @ | 5 P PHP-CGM @ ")</f>
        <v xml:space="preserve">| 1 P NS % | 3 L CPT @ | 4 L PHP-CGM @ | 5 P PHP-CGM @ </v>
      </c>
      <c r="BK360" s="4" t="str">
        <f ca="1">IFERROR(__xludf.DUMMYFUNCTION("""COMPUTED_VALUE"""),"| 1 P Python % | 3 L PHP-CGM @ | 4 L JAVA @ | 5 P PRO @ ")</f>
        <v xml:space="preserve">| 1 P Python % | 3 L PHP-CGM @ | 4 L JAVA @ | 5 P PRO @ </v>
      </c>
      <c r="BL360" s="4" t="str">
        <f ca="1">IFERROR(__xludf.DUMMYFUNCTION("""COMPUTED_VALUE"""),"| 1 L JAVA @ | 2 L PHP-CGM @ | 3 P JAVA % | 6 L NS @ | 5 L CPT @ ")</f>
        <v xml:space="preserve">| 1 L JAVA @ | 2 L PHP-CGM @ | 3 P JAVA % | 6 L NS @ | 5 L CPT @ </v>
      </c>
      <c r="BM360" s="4" t="str">
        <f ca="1">IFERROR(__xludf.DUMMYFUNCTION("""COMPUTED_VALUE"""),"| 1 L INE @ | 3 P CPT % | 5 L JAVA % | 6 L NS % ")</f>
        <v xml:space="preserve">| 1 L INE @ | 3 P CPT % | 5 L JAVA % | 6 L NS % </v>
      </c>
      <c r="BN360" s="4" t="str">
        <f ca="1">IFERROR(__xludf.DUMMYFUNCTION("""COMPUTED_VALUE"""),"| 1 P Python % | 3 P JAVA @ | 5 L NS % | 6 L CPT % ")</f>
        <v xml:space="preserve">| 1 P Python % | 3 P JAVA @ | 5 L NS % | 6 L CPT % </v>
      </c>
      <c r="BO360" s="4" t="str">
        <f ca="1">IFERROR(__xludf.DUMMYFUNCTION("""COMPUTED_VALUE"""),"| 1 P NS @ | 4 L PHP-CGM % | 3 L CPT % ")</f>
        <v xml:space="preserve">| 1 P NS @ | 4 L PHP-CGM % | 3 L CPT % </v>
      </c>
      <c r="BP360" s="4" t="str">
        <f ca="1">IFERROR(__xludf.DUMMYFUNCTION("""COMPUTED_VALUE"""),"| 3 L PHP-CGM @ | 4 L JAVA @ | 5 P PRO @ ")</f>
        <v xml:space="preserve">| 3 L PHP-CGM @ | 4 L JAVA @ | 5 P PRO @ </v>
      </c>
      <c r="BQ360" s="4" t="str">
        <f ca="1">IFERROR(__xludf.DUMMYFUNCTION("""COMPUTED_VALUE"""),"| 6 L NS % | 5 L JAVA % | 3 P CPT % ")</f>
        <v xml:space="preserve">| 6 L NS % | 5 L JAVA % | 3 P CPT % </v>
      </c>
      <c r="BR360" s="4"/>
      <c r="BS360" s="4" t="str">
        <f ca="1">IFERROR(__xludf.DUMMYFUNCTION("""COMPUTED_VALUE"""),"| 4 L PHP-CGM % ")</f>
        <v xml:space="preserve">| 4 L PHP-CGM % </v>
      </c>
      <c r="BT360" s="4" t="str">
        <f ca="1">IFERROR(__xludf.DUMMYFUNCTION("""COMPUTED_VALUE"""),"| 1 P Python % | 3 L PHP-CGM % ")</f>
        <v xml:space="preserve">| 1 P Python % | 3 L PHP-CGM % </v>
      </c>
      <c r="BU360" s="4" t="str">
        <f ca="1">IFERROR(__xludf.DUMMYFUNCTION("""COMPUTED_VALUE"""),"| 1 L JAVA @ | 2 L PHP-CGM % | 3 P JAVA % ")</f>
        <v xml:space="preserve">| 1 L JAVA @ | 2 L PHP-CGM % | 3 P JAVA % </v>
      </c>
      <c r="BV360" s="4" t="str">
        <f ca="1">IFERROR(__xludf.DUMMYFUNCTION("""COMPUTED_VALUE"""),"| 1 P Python @ | 3 L PHP-CGM @ | 4 L JAVA @ | 5 P PRO @ ")</f>
        <v xml:space="preserve">| 1 P Python @ | 3 L PHP-CGM @ | 4 L JAVA @ | 5 P PRO @ </v>
      </c>
      <c r="BW360" s="4" t="str">
        <f ca="1">IFERROR(__xludf.DUMMYFUNCTION("""COMPUTED_VALUE"""),"| 1 L JAVA @ | 2 L PHP-CGM @ | 3 P JAVA @ ")</f>
        <v xml:space="preserve">| 1 L JAVA @ | 2 L PHP-CGM @ | 3 P JAVA @ </v>
      </c>
      <c r="BX360" s="4" t="str">
        <f ca="1">IFERROR(__xludf.DUMMYFUNCTION("""COMPUTED_VALUE"""),"| 1 L INE @ | 3 P CPT @ | 5 L JAVA @ | 6 L NS @ ")</f>
        <v xml:space="preserve">| 1 L INE @ | 3 P CPT @ | 5 L JAVA @ | 6 L NS @ </v>
      </c>
      <c r="BY360" s="4" t="str">
        <f ca="1">IFERROR(__xludf.DUMMYFUNCTION("""COMPUTED_VALUE"""),"| 1 P Python @ | 3 P JAVA @ | 5 L NS @ | 6 L CPT @ ")</f>
        <v xml:space="preserve">| 1 P Python @ | 3 P JAVA @ | 5 L NS @ | 6 L CPT @ </v>
      </c>
      <c r="BZ360" s="4" t="str">
        <f ca="1">IFERROR(__xludf.DUMMYFUNCTION("""COMPUTED_VALUE"""),"| 1 P NS % | 3 L CPT % | 4 L PHP-CGM % | 5 P PHP-CGM % ")</f>
        <v xml:space="preserve">| 1 P NS % | 3 L CPT % | 4 L PHP-CGM % | 5 P PHP-CGM % </v>
      </c>
      <c r="CA360" s="4" t="str">
        <f ca="1">IFERROR(__xludf.DUMMYFUNCTION("""COMPUTED_VALUE"""),"| 1 P Python @ | 3 L PHP-CGM % | 3 L JAVA % | 5 P PRO @ ")</f>
        <v xml:space="preserve">| 1 P Python @ | 3 L PHP-CGM % | 3 L JAVA % | 5 P PRO @ </v>
      </c>
      <c r="CB360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60" s="4" t="str">
        <f ca="1">IFERROR(__xludf.DUMMYFUNCTION("""COMPUTED_VALUE"""),"| 1 L INE @ | 3 P CPT % | 5 L JAVA @ | 6 L NS @ ")</f>
        <v xml:space="preserve">| 1 L INE @ | 3 P CPT % | 5 L JAVA @ | 6 L NS @ </v>
      </c>
      <c r="CD360" s="4" t="str">
        <f ca="1">IFERROR(__xludf.DUMMYFUNCTION("""COMPUTED_VALUE"""),"| 1 P Python % | 3 P JAVA @ | 5 L NS @ | 6 L CPT @ ")</f>
        <v xml:space="preserve">| 1 P Python % | 3 P JAVA @ | 5 L NS @ | 6 L CPT @ </v>
      </c>
      <c r="CE360" s="4" t="str">
        <f ca="1">IFERROR(__xludf.DUMMYFUNCTION("""COMPUTED_VALUE"""),"| 1 P NS @ | 3 L CPT % | 4 L PHP-CGM % ")</f>
        <v xml:space="preserve">| 1 P NS @ | 3 L CPT % | 4 L PHP-CGM % </v>
      </c>
      <c r="CF360" s="4" t="str">
        <f ca="1">IFERROR(__xludf.DUMMYFUNCTION("""COMPUTED_VALUE"""),"| 1 P Python % | 4 L JAVA @ | 3 L PHP-CGM @ | 5 L PRO % ")</f>
        <v xml:space="preserve">| 1 P Python % | 4 L JAVA @ | 3 L PHP-CGM @ | 5 L PRO % </v>
      </c>
      <c r="CG360" s="4" t="str">
        <f ca="1">IFERROR(__xludf.DUMMYFUNCTION("""COMPUTED_VALUE"""),"| 1 L JAVA @ | 2 L PHP-CGM % | 6 L NS @ | 3 P JAVA % ")</f>
        <v xml:space="preserve">| 1 L JAVA @ | 2 L PHP-CGM % | 6 L NS @ | 3 P JAVA % </v>
      </c>
      <c r="CH360" s="4" t="str">
        <f ca="1">IFERROR(__xludf.DUMMYFUNCTION("""COMPUTED_VALUE"""),"| 1 L INE @ | 3 P CPT % | 5 L JAVA @ | 6 L NS @ ")</f>
        <v xml:space="preserve">| 1 L INE @ | 3 P CPT % | 5 L JAVA @ | 6 L NS @ </v>
      </c>
      <c r="CI360" s="4" t="str">
        <f ca="1">IFERROR(__xludf.DUMMYFUNCTION("""COMPUTED_VALUE"""),"| 5 L NS @ | 6 L CPT @ ")</f>
        <v xml:space="preserve">| 5 L NS @ | 6 L CPT @ </v>
      </c>
      <c r="CJ360" s="4" t="str">
        <f ca="1">IFERROR(__xludf.DUMMYFUNCTION("""COMPUTED_VALUE"""),"| 1 P NS % | 3 L CPT @ ")</f>
        <v xml:space="preserve">| 1 P NS % | 3 L CPT @ </v>
      </c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</row>
    <row r="361" spans="1:102" ht="12.5" x14ac:dyDescent="0.25">
      <c r="A361" s="3">
        <f ca="1">IFERROR(__xludf.DUMMYFUNCTION("""COMPUTED_VALUE"""),2)</f>
        <v>2</v>
      </c>
      <c r="B361" s="3" t="str">
        <f ca="1">IFERROR(__xludf.DUMMYFUNCTION("""COMPUTED_VALUE"""),"ITA")</f>
        <v>ITA</v>
      </c>
      <c r="C361" s="32" t="str">
        <f ca="1">IFERROR(__xludf.DUMMYFUNCTION("""COMPUTED_VALUE"""),"23291371045")</f>
        <v>23291371045</v>
      </c>
      <c r="D361" s="4" t="str">
        <f ca="1">IFERROR(__xludf.DUMMYFUNCTION("""COMPUTED_VALUE"""),"MODI LAKSHYA NILESHKUMAR")</f>
        <v>MODI LAKSHYA NILESHKUMAR</v>
      </c>
      <c r="E361" s="3" t="str">
        <f ca="1">IFERROR(__xludf.DUMMYFUNCTION("""COMPUTED_VALUE"""),"Sweety - Mor")</f>
        <v>Sweety - Mor</v>
      </c>
      <c r="F361" s="3">
        <f ca="1">IFERROR(__xludf.DUMMYFUNCTION("""COMPUTED_VALUE"""),9537720095)</f>
        <v>9537720095</v>
      </c>
      <c r="G361" s="3">
        <f ca="1">IFERROR(__xludf.DUMMYFUNCTION("""COMPUTED_VALUE"""),9924652544)</f>
        <v>9924652544</v>
      </c>
      <c r="H361" s="33">
        <f ca="1">IFERROR(__xludf.DUMMYFUNCTION("""COMPUTED_VALUE"""),0.934959349593495)</f>
        <v>0.93495934959349503</v>
      </c>
      <c r="I361" s="25">
        <f ca="1">IFERROR(__xludf.DUMMYFUNCTION("""COMPUTED_VALUE"""),0.942857142857142)</f>
        <v>0.94285714285714195</v>
      </c>
      <c r="J361" s="25">
        <f ca="1">IFERROR(__xludf.DUMMYFUNCTION("""COMPUTED_VALUE"""),0.916666666666666)</f>
        <v>0.91666666666666596</v>
      </c>
      <c r="K361" s="25">
        <f ca="1">IFERROR(__xludf.DUMMYFUNCTION("""COMPUTED_VALUE"""),0.944444444444444)</f>
        <v>0.94444444444444398</v>
      </c>
      <c r="L361" s="25">
        <f ca="1">IFERROR(__xludf.DUMMYFUNCTION("""COMPUTED_VALUE"""),0.916666666666666)</f>
        <v>0.91666666666666596</v>
      </c>
      <c r="M361" s="25">
        <f ca="1">IFERROR(__xludf.DUMMYFUNCTION("""COMPUTED_VALUE"""),0.973684210526315)</f>
        <v>0.97368421052631504</v>
      </c>
      <c r="N361" s="25">
        <f ca="1">IFERROR(__xludf.DUMMYFUNCTION("""COMPUTED_VALUE"""),1)</f>
        <v>1</v>
      </c>
      <c r="O361" s="25">
        <f ca="1">IFERROR(__xludf.DUMMYFUNCTION("""COMPUTED_VALUE"""),0.916666666666666)</f>
        <v>0.91666666666666596</v>
      </c>
      <c r="P361" s="25">
        <f ca="1">IFERROR(__xludf.DUMMYFUNCTION("""COMPUTED_VALUE"""),0.96)</f>
        <v>0.96</v>
      </c>
      <c r="Q361" s="25">
        <f ca="1">IFERROR(__xludf.DUMMYFUNCTION("""COMPUTED_VALUE"""),0)</f>
        <v>0</v>
      </c>
      <c r="R361" s="25">
        <f ca="1">IFERROR(__xludf.DUMMYFUNCTION("""COMPUTED_VALUE"""),0.875)</f>
        <v>0.875</v>
      </c>
      <c r="S361" s="25">
        <f ca="1">IFERROR(__xludf.DUMMYFUNCTION("""COMPUTED_VALUE"""),1)</f>
        <v>1</v>
      </c>
      <c r="T361" s="25">
        <f ca="1">IFERROR(__xludf.DUMMYFUNCTION("""COMPUTED_VALUE"""),0.777777777777777)</f>
        <v>0.77777777777777701</v>
      </c>
      <c r="U361" s="25">
        <f ca="1">IFERROR(__xludf.DUMMYFUNCTION("""COMPUTED_VALUE"""),1)</f>
        <v>1</v>
      </c>
      <c r="V361" s="25">
        <f ca="1">IFERROR(__xludf.DUMMYFUNCTION("""COMPUTED_VALUE"""),0)</f>
        <v>0</v>
      </c>
      <c r="W361" s="4"/>
      <c r="X361" s="4" t="str">
        <f ca="1">IFERROR(__xludf.DUMMYFUNCTION("""COMPUTED_VALUE"""),"| 1 P Python @ | 4 L JAVA % | 3 L PHP-CGM % | 1 L PRO % ")</f>
        <v xml:space="preserve">| 1 P Python @ | 4 L JAVA % | 3 L PHP-CGM % | 1 L PRO % </v>
      </c>
      <c r="Y36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61" s="4" t="str">
        <f ca="1">IFERROR(__xludf.DUMMYFUNCTION("""COMPUTED_VALUE"""),"| 3 P CPT % | 5 L JAVA % | 6 L NS % ")</f>
        <v xml:space="preserve">| 3 P CPT % | 5 L JAVA % | 6 L NS % </v>
      </c>
      <c r="AA361" s="4" t="str">
        <f ca="1">IFERROR(__xludf.DUMMYFUNCTION("""COMPUTED_VALUE"""),"| 1 P Python % | 5 P JAVA % | 5 L NS % | 6 L CPT % ")</f>
        <v xml:space="preserve">| 1 P Python % | 5 P JAVA % | 5 L NS % | 6 L CPT % </v>
      </c>
      <c r="AB361" s="4" t="str">
        <f ca="1">IFERROR(__xludf.DUMMYFUNCTION("""COMPUTED_VALUE"""),"| 1 P NS % | 3 L CPT % | 5 P PHP-CGM % | 4 L PHP-CGM % ")</f>
        <v xml:space="preserve">| 1 P NS % | 3 L CPT % | 5 P PHP-CGM % | 4 L PHP-CGM % </v>
      </c>
      <c r="AC361" s="4" t="str">
        <f ca="1">IFERROR(__xludf.DUMMYFUNCTION("""COMPUTED_VALUE"""),"| 1 P Python % | 3 L PHP-CGM % | 5 P PRO % ")</f>
        <v xml:space="preserve">| 1 P Python % | 3 L PHP-CGM % | 5 P PRO % </v>
      </c>
      <c r="AD361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61" s="4" t="str">
        <f ca="1">IFERROR(__xludf.DUMMYFUNCTION("""COMPUTED_VALUE"""),"| 3 P CPT % | 5 L JAVA % | 6 L NS % ")</f>
        <v xml:space="preserve">| 3 P CPT % | 5 L JAVA % | 6 L NS % </v>
      </c>
      <c r="AF361" s="4" t="str">
        <f ca="1">IFERROR(__xludf.DUMMYFUNCTION("""COMPUTED_VALUE"""),"| 1 P Python % | 3 P JAVA % | 5 L NS % | 6 L CPT % ")</f>
        <v xml:space="preserve">| 1 P Python % | 3 P JAVA % | 5 L NS % | 6 L CPT % </v>
      </c>
      <c r="AG361" s="4" t="str">
        <f ca="1">IFERROR(__xludf.DUMMYFUNCTION("""COMPUTED_VALUE"""),"| 1 P NS % | 3 L CPT % | 4 L PHP-CGM % | 5 P PHP-CGM % ")</f>
        <v xml:space="preserve">| 1 P NS % | 3 L CPT % | 4 L PHP-CGM % | 5 P PHP-CGM % </v>
      </c>
      <c r="AH361" s="4" t="str">
        <f ca="1">IFERROR(__xludf.DUMMYFUNCTION("""COMPUTED_VALUE"""),"| 1 P Python % | 3 P JAVA % | 5 L NS % | 6 L CPT % ")</f>
        <v xml:space="preserve">| 1 P Python % | 3 P JAVA % | 5 L NS % | 6 L CPT % </v>
      </c>
      <c r="AI361" s="4" t="str">
        <f ca="1">IFERROR(__xludf.DUMMYFUNCTION("""COMPUTED_VALUE"""),"| 1 P NS % | 3 L CPT % | 4 L PHP-CGM % | 5 P PHP-CGM % ")</f>
        <v xml:space="preserve">| 1 P NS % | 3 L CPT % | 4 L PHP-CGM % | 5 P PHP-CGM % </v>
      </c>
      <c r="AJ361" s="4" t="str">
        <f ca="1">IFERROR(__xludf.DUMMYFUNCTION("""COMPUTED_VALUE"""),"| 1 P Python % | 3 L PHP-CGM % | 4 L JAVA % | 5 P PRO % ")</f>
        <v xml:space="preserve">| 1 P Python % | 3 L PHP-CGM % | 4 L JAVA % | 5 P PRO % </v>
      </c>
      <c r="AK36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61" s="4" t="str">
        <f ca="1">IFERROR(__xludf.DUMMYFUNCTION("""COMPUTED_VALUE"""),"| 3 P CPT % | 5 L JAVA % | 6 L NS % ")</f>
        <v xml:space="preserve">| 3 P CPT % | 5 L JAVA % | 6 L NS % </v>
      </c>
      <c r="AM361" s="4" t="str">
        <f ca="1">IFERROR(__xludf.DUMMYFUNCTION("""COMPUTED_VALUE"""),"| 1 P Python % | 3 P JAVA % | 5 L NS % | 6 L CPT % ")</f>
        <v xml:space="preserve">| 1 P Python % | 3 P JAVA % | 5 L NS % | 6 L CPT % </v>
      </c>
      <c r="AN361" s="4" t="str">
        <f ca="1">IFERROR(__xludf.DUMMYFUNCTION("""COMPUTED_VALUE"""),"| 1 P NS % | 4 L PHP-CGM % | 5 P PHP-CGM % ")</f>
        <v xml:space="preserve">| 1 P NS % | 4 L PHP-CGM % | 5 P PHP-CGM % </v>
      </c>
      <c r="AO361" s="4" t="str">
        <f ca="1">IFERROR(__xludf.DUMMYFUNCTION("""COMPUTED_VALUE"""),"| 1 P Python % | 3 L PHP-CGM % | 4 L JAVA % | 5 P PRO % ")</f>
        <v xml:space="preserve">| 1 P Python % | 3 L PHP-CGM % | 4 L JAVA % | 5 P PRO % </v>
      </c>
      <c r="AP36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61" s="4" t="str">
        <f ca="1">IFERROR(__xludf.DUMMYFUNCTION("""COMPUTED_VALUE"""),"| 1 L INE % | 3 P CPT % | 5 L JAVA % | 6 L NS % ")</f>
        <v xml:space="preserve">| 1 L INE % | 3 P CPT % | 5 L JAVA % | 6 L NS % </v>
      </c>
      <c r="AR361" s="4" t="str">
        <f ca="1">IFERROR(__xludf.DUMMYFUNCTION("""COMPUTED_VALUE"""),"| 1 P Python % | 3 L CPT % | 3 P JAVA % | 5 L NS % | 6 L CPT % ")</f>
        <v xml:space="preserve">| 1 P Python % | 3 L CPT % | 3 P JAVA % | 5 L NS % | 6 L CPT % </v>
      </c>
      <c r="AS361" s="4" t="str">
        <f ca="1">IFERROR(__xludf.DUMMYFUNCTION("""COMPUTED_VALUE"""),"| 1 P Python % | 3 L PHP-CGM % | 4 L JAVA % | 5 P PRO % ")</f>
        <v xml:space="preserve">| 1 P Python % | 3 L PHP-CGM % | 4 L JAVA % | 5 P PRO % </v>
      </c>
      <c r="AT36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61" s="4" t="str">
        <f ca="1">IFERROR(__xludf.DUMMYFUNCTION("""COMPUTED_VALUE"""),"| 1 L INE % | 3 P CPT % | 5 L JAVA % | 6 L NS % ")</f>
        <v xml:space="preserve">| 1 L INE % | 3 P CPT % | 5 L JAVA % | 6 L NS % </v>
      </c>
      <c r="AV361" s="4" t="str">
        <f ca="1">IFERROR(__xludf.DUMMYFUNCTION("""COMPUTED_VALUE"""),"| 1 P Python % | 3 P JAVA % | 5 L NS % | 6 L CPT % ")</f>
        <v xml:space="preserve">| 1 P Python % | 3 P JAVA % | 5 L NS % | 6 L CPT % </v>
      </c>
      <c r="AW361" s="4" t="str">
        <f ca="1">IFERROR(__xludf.DUMMYFUNCTION("""COMPUTED_VALUE"""),"| 1 P NS % | 3 L CPT % | 4 L PHP-CGM % | 5 P PHP-CGM % ")</f>
        <v xml:space="preserve">| 1 P NS % | 3 L CPT % | 4 L PHP-CGM % | 5 P PHP-CGM % </v>
      </c>
      <c r="AX361" s="4" t="str">
        <f ca="1">IFERROR(__xludf.DUMMYFUNCTION("""COMPUTED_VALUE"""),"| 1 P Python % | 3 L JAVA % | 4 L PHP-CGM % | 5 P PRO % ")</f>
        <v xml:space="preserve">| 1 P Python % | 3 L JAVA % | 4 L PHP-CGM % | 5 P PRO % </v>
      </c>
      <c r="AY361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61" s="4" t="str">
        <f ca="1">IFERROR(__xludf.DUMMYFUNCTION("""COMPUTED_VALUE"""),"| 1 P Python % | 3 P JAVA % | 5 L NS % | 6 L CPT % ")</f>
        <v xml:space="preserve">| 1 P Python % | 3 P JAVA % | 5 L NS % | 6 L CPT % </v>
      </c>
      <c r="BA361" s="4" t="str">
        <f ca="1">IFERROR(__xludf.DUMMYFUNCTION("""COMPUTED_VALUE"""),"| 1 P NS % | 3 L CPT % | 4 L PHP-CGM % | 5 P PHP-CGM % ")</f>
        <v xml:space="preserve">| 1 P NS % | 3 L CPT % | 4 L PHP-CGM % | 5 P PHP-CGM % </v>
      </c>
      <c r="BB361" s="4" t="str">
        <f ca="1">IFERROR(__xludf.DUMMYFUNCTION("""COMPUTED_VALUE"""),"| 1 P Python % | 3 L PHP-CGM % | 4 L JAVA % | 5 L PRO % ")</f>
        <v xml:space="preserve">| 1 P Python % | 3 L PHP-CGM % | 4 L JAVA % | 5 L PRO % </v>
      </c>
      <c r="BC36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61" s="4" t="str">
        <f ca="1">IFERROR(__xludf.DUMMYFUNCTION("""COMPUTED_VALUE"""),"| 1 L INE % | 3 P CPT % | 5 L JAVA % | 6 L NS % ")</f>
        <v xml:space="preserve">| 1 L INE % | 3 P CPT % | 5 L JAVA % | 6 L NS % </v>
      </c>
      <c r="BE361" s="4" t="str">
        <f ca="1">IFERROR(__xludf.DUMMYFUNCTION("""COMPUTED_VALUE"""),"| 1 P Python % | 3 P JAVA % | 5 L NS % | 6 L CPT % ")</f>
        <v xml:space="preserve">| 1 P Python % | 3 P JAVA % | 5 L NS % | 6 L CPT % </v>
      </c>
      <c r="BF361" s="4" t="str">
        <f ca="1">IFERROR(__xludf.DUMMYFUNCTION("""COMPUTED_VALUE"""),"| 1 P NS % | 3 L CPT % | 4 L PHP-CGM % ")</f>
        <v xml:space="preserve">| 1 P NS % | 3 L CPT % | 4 L PHP-CGM % </v>
      </c>
      <c r="BG36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61" s="4" t="str">
        <f ca="1">IFERROR(__xludf.DUMMYFUNCTION("""COMPUTED_VALUE"""),"| 1 L INE % | 3 P CPT % | 5 L JAVA % | 6 L NS % ")</f>
        <v xml:space="preserve">| 1 L INE % | 3 P CPT % | 5 L JAVA % | 6 L NS % </v>
      </c>
      <c r="BI361" s="4" t="str">
        <f ca="1">IFERROR(__xludf.DUMMYFUNCTION("""COMPUTED_VALUE"""),"| 1 P Python % | 3 P JAVA % | 5 L NS % | 6 L CPT % ")</f>
        <v xml:space="preserve">| 1 P Python % | 3 P JAVA % | 5 L NS % | 6 L CPT % </v>
      </c>
      <c r="BJ361" s="4" t="str">
        <f ca="1">IFERROR(__xludf.DUMMYFUNCTION("""COMPUTED_VALUE"""),"| 1 P NS % | 3 L CPT % | 4 L PHP-CGM % | 5 P PHP-CGM % ")</f>
        <v xml:space="preserve">| 1 P NS % | 3 L CPT % | 4 L PHP-CGM % | 5 P PHP-CGM % </v>
      </c>
      <c r="BK361" s="4" t="str">
        <f ca="1">IFERROR(__xludf.DUMMYFUNCTION("""COMPUTED_VALUE"""),"| 1 P Python @ | 3 L PHP-CGM @ | 4 L JAVA @ | 5 P PRO @ ")</f>
        <v xml:space="preserve">| 1 P Python @ | 3 L PHP-CGM @ | 4 L JAVA @ | 5 P PRO @ </v>
      </c>
      <c r="BL361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61" s="4" t="str">
        <f ca="1">IFERROR(__xludf.DUMMYFUNCTION("""COMPUTED_VALUE"""),"| 1 L INE % | 3 P CPT % | 5 L JAVA % | 6 L NS % ")</f>
        <v xml:space="preserve">| 1 L INE % | 3 P CPT % | 5 L JAVA % | 6 L NS % </v>
      </c>
      <c r="BN361" s="4" t="str">
        <f ca="1">IFERROR(__xludf.DUMMYFUNCTION("""COMPUTED_VALUE"""),"| 1 P Python % | 3 P JAVA % | 5 L NS % | 6 L CPT % ")</f>
        <v xml:space="preserve">| 1 P Python % | 3 P JAVA % | 5 L NS % | 6 L CPT % </v>
      </c>
      <c r="BO361" s="4" t="str">
        <f ca="1">IFERROR(__xludf.DUMMYFUNCTION("""COMPUTED_VALUE"""),"| 1 P NS % | 4 L PHP-CGM % | 3 L CPT % ")</f>
        <v xml:space="preserve">| 1 P NS % | 4 L PHP-CGM % | 3 L CPT % </v>
      </c>
      <c r="BP361" s="4" t="str">
        <f ca="1">IFERROR(__xludf.DUMMYFUNCTION("""COMPUTED_VALUE"""),"| 3 L PHP-CGM % | 4 L JAVA % | 5 P PRO % ")</f>
        <v xml:space="preserve">| 3 L PHP-CGM % | 4 L JAVA % | 5 P PRO % </v>
      </c>
      <c r="BQ361" s="4" t="str">
        <f ca="1">IFERROR(__xludf.DUMMYFUNCTION("""COMPUTED_VALUE"""),"| 6 L NS % | 5 L JAVA @ | 3 P CPT % ")</f>
        <v xml:space="preserve">| 6 L NS % | 5 L JAVA @ | 3 P CPT % </v>
      </c>
      <c r="BR361" s="4"/>
      <c r="BS361" s="4" t="str">
        <f ca="1">IFERROR(__xludf.DUMMYFUNCTION("""COMPUTED_VALUE"""),"| 4 L PHP-CGM % ")</f>
        <v xml:space="preserve">| 4 L PHP-CGM % </v>
      </c>
      <c r="BT361" s="4" t="str">
        <f ca="1">IFERROR(__xludf.DUMMYFUNCTION("""COMPUTED_VALUE"""),"| 1 P Python % | 3 L PHP-CGM % ")</f>
        <v xml:space="preserve">| 1 P Python % | 3 L PHP-CGM % </v>
      </c>
      <c r="BU361" s="4" t="str">
        <f ca="1">IFERROR(__xludf.DUMMYFUNCTION("""COMPUTED_VALUE"""),"| 1 L JAVA % | 2 L PHP-CGM % | 3 P JAVA @ ")</f>
        <v xml:space="preserve">| 1 L JAVA % | 2 L PHP-CGM % | 3 P JAVA @ </v>
      </c>
      <c r="BV361" s="4" t="str">
        <f ca="1">IFERROR(__xludf.DUMMYFUNCTION("""COMPUTED_VALUE"""),"| 1 P Python % | 3 L PHP-CGM % | 4 L JAVA % | 5 P PRO % ")</f>
        <v xml:space="preserve">| 1 P Python % | 3 L PHP-CGM % | 4 L JAVA % | 5 P PRO % </v>
      </c>
      <c r="BW361" s="4" t="str">
        <f ca="1">IFERROR(__xludf.DUMMYFUNCTION("""COMPUTED_VALUE"""),"| 1 L JAVA % | 2 L PHP-CGM % | 3 P JAVA % ")</f>
        <v xml:space="preserve">| 1 L JAVA % | 2 L PHP-CGM % | 3 P JAVA % </v>
      </c>
      <c r="BX361" s="4" t="str">
        <f ca="1">IFERROR(__xludf.DUMMYFUNCTION("""COMPUTED_VALUE"""),"| 1 L INE % | 3 P CPT % | 5 L JAVA % | 6 L NS % ")</f>
        <v xml:space="preserve">| 1 L INE % | 3 P CPT % | 5 L JAVA % | 6 L NS % </v>
      </c>
      <c r="BY361" s="4" t="str">
        <f ca="1">IFERROR(__xludf.DUMMYFUNCTION("""COMPUTED_VALUE"""),"| 1 P Python % | 3 P JAVA % | 5 L NS % | 6 L CPT % ")</f>
        <v xml:space="preserve">| 1 P Python % | 3 P JAVA % | 5 L NS % | 6 L CPT % </v>
      </c>
      <c r="BZ361" s="4" t="str">
        <f ca="1">IFERROR(__xludf.DUMMYFUNCTION("""COMPUTED_VALUE"""),"| 1 P NS % | 3 L CPT % | 4 L PHP-CGM % | 5 P PHP-CGM % ")</f>
        <v xml:space="preserve">| 1 P NS % | 3 L CPT % | 4 L PHP-CGM % | 5 P PHP-CGM % </v>
      </c>
      <c r="CA361" s="4" t="str">
        <f ca="1">IFERROR(__xludf.DUMMYFUNCTION("""COMPUTED_VALUE"""),"| 1 P Python @ | 3 L PHP-CGM % | 3 L JAVA % | 5 P PRO @ ")</f>
        <v xml:space="preserve">| 1 P Python @ | 3 L PHP-CGM % | 3 L JAVA % | 5 P PRO @ </v>
      </c>
      <c r="CB361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CC361" s="4" t="str">
        <f ca="1">IFERROR(__xludf.DUMMYFUNCTION("""COMPUTED_VALUE"""),"| 1 L INE % | 3 P CPT @ | 5 L JAVA % | 6 L NS % ")</f>
        <v xml:space="preserve">| 1 L INE % | 3 P CPT @ | 5 L JAVA % | 6 L NS % </v>
      </c>
      <c r="CD361" s="4" t="str">
        <f ca="1">IFERROR(__xludf.DUMMYFUNCTION("""COMPUTED_VALUE"""),"| 1 P Python % | 3 P JAVA % | 5 L NS % | 6 L CPT % ")</f>
        <v xml:space="preserve">| 1 P Python % | 3 P JAVA % | 5 L NS % | 6 L CPT % </v>
      </c>
      <c r="CE361" s="4" t="str">
        <f ca="1">IFERROR(__xludf.DUMMYFUNCTION("""COMPUTED_VALUE"""),"| 1 P NS % | 3 L CPT % | 4 L PHP-CGM % ")</f>
        <v xml:space="preserve">| 1 P NS % | 3 L CPT % | 4 L PHP-CGM % </v>
      </c>
      <c r="CF361" s="4" t="str">
        <f ca="1">IFERROR(__xludf.DUMMYFUNCTION("""COMPUTED_VALUE"""),"| 1 P Python % | 4 L JAVA % | 3 L PHP-CGM % | 5 L PRO % ")</f>
        <v xml:space="preserve">| 1 P Python % | 4 L JAVA % | 3 L PHP-CGM % | 5 L PRO % </v>
      </c>
      <c r="CG361" s="4" t="str">
        <f ca="1">IFERROR(__xludf.DUMMYFUNCTION("""COMPUTED_VALUE"""),"| 1 L JAVA % | 2 L PHP-CGM % | 6 L NS % | 3 P JAVA % ")</f>
        <v xml:space="preserve">| 1 L JAVA % | 2 L PHP-CGM % | 6 L NS % | 3 P JAVA % </v>
      </c>
      <c r="CH361" s="4" t="str">
        <f ca="1">IFERROR(__xludf.DUMMYFUNCTION("""COMPUTED_VALUE"""),"| 1 L INE % | 3 P CPT % | 5 L JAVA @ | 6 L NS @ ")</f>
        <v xml:space="preserve">| 1 L INE % | 3 P CPT % | 5 L JAVA @ | 6 L NS @ </v>
      </c>
      <c r="CI361" s="4" t="str">
        <f ca="1">IFERROR(__xludf.DUMMYFUNCTION("""COMPUTED_VALUE"""),"| 5 L NS @ | 6 L CPT @ ")</f>
        <v xml:space="preserve">| 5 L NS @ | 6 L CPT @ </v>
      </c>
      <c r="CJ361" s="4" t="str">
        <f ca="1">IFERROR(__xludf.DUMMYFUNCTION("""COMPUTED_VALUE"""),"| 1 P NS @ | 3 L CPT @ ")</f>
        <v xml:space="preserve">| 1 P NS @ | 3 L CPT @ </v>
      </c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</row>
    <row r="362" spans="1:102" ht="12.5" x14ac:dyDescent="0.25">
      <c r="A362" s="3">
        <f ca="1">IFERROR(__xludf.DUMMYFUNCTION("""COMPUTED_VALUE"""),2)</f>
        <v>2</v>
      </c>
      <c r="B362" s="3" t="str">
        <f ca="1">IFERROR(__xludf.DUMMYFUNCTION("""COMPUTED_VALUE"""),"ITA")</f>
        <v>ITA</v>
      </c>
      <c r="C362" s="32" t="str">
        <f ca="1">IFERROR(__xludf.DUMMYFUNCTION("""COMPUTED_VALUE"""),"23291371046")</f>
        <v>23291371046</v>
      </c>
      <c r="D362" s="4" t="str">
        <f ca="1">IFERROR(__xludf.DUMMYFUNCTION("""COMPUTED_VALUE"""),"NAFISHA VOHRA")</f>
        <v>NAFISHA VOHRA</v>
      </c>
      <c r="E362" s="3" t="str">
        <f ca="1">IFERROR(__xludf.DUMMYFUNCTION("""COMPUTED_VALUE"""),"Sweety - Mor")</f>
        <v>Sweety - Mor</v>
      </c>
      <c r="F362" s="3">
        <f ca="1">IFERROR(__xludf.DUMMYFUNCTION("""COMPUTED_VALUE"""),7046520753)</f>
        <v>7046520753</v>
      </c>
      <c r="G362" s="3">
        <f ca="1">IFERROR(__xludf.DUMMYFUNCTION("""COMPUTED_VALUE"""),8469235148)</f>
        <v>8469235148</v>
      </c>
      <c r="H362" s="33">
        <f ca="1">IFERROR(__xludf.DUMMYFUNCTION("""COMPUTED_VALUE"""),0.699186991869918)</f>
        <v>0.69918699186991795</v>
      </c>
      <c r="I362" s="25">
        <f ca="1">IFERROR(__xludf.DUMMYFUNCTION("""COMPUTED_VALUE"""),0.6)</f>
        <v>0.6</v>
      </c>
      <c r="J362" s="25">
        <f ca="1">IFERROR(__xludf.DUMMYFUNCTION("""COMPUTED_VALUE"""),0.833333333333333)</f>
        <v>0.83333333333333304</v>
      </c>
      <c r="K362" s="25">
        <f ca="1">IFERROR(__xludf.DUMMYFUNCTION("""COMPUTED_VALUE"""),0.583333333333333)</f>
        <v>0.58333333333333304</v>
      </c>
      <c r="L362" s="25">
        <f ca="1">IFERROR(__xludf.DUMMYFUNCTION("""COMPUTED_VALUE"""),0.833333333333333)</f>
        <v>0.83333333333333304</v>
      </c>
      <c r="M362" s="25">
        <f ca="1">IFERROR(__xludf.DUMMYFUNCTION("""COMPUTED_VALUE"""),0.763157894736842)</f>
        <v>0.76315789473684204</v>
      </c>
      <c r="N362" s="25">
        <f ca="1">IFERROR(__xludf.DUMMYFUNCTION("""COMPUTED_VALUE"""),0.375)</f>
        <v>0.375</v>
      </c>
      <c r="O362" s="25">
        <f ca="1">IFERROR(__xludf.DUMMYFUNCTION("""COMPUTED_VALUE"""),0.75)</f>
        <v>0.75</v>
      </c>
      <c r="P362" s="25">
        <f ca="1">IFERROR(__xludf.DUMMYFUNCTION("""COMPUTED_VALUE"""),0.8)</f>
        <v>0.8</v>
      </c>
      <c r="Q362" s="25">
        <f ca="1">IFERROR(__xludf.DUMMYFUNCTION("""COMPUTED_VALUE"""),0)</f>
        <v>0</v>
      </c>
      <c r="R362" s="25">
        <f ca="1">IFERROR(__xludf.DUMMYFUNCTION("""COMPUTED_VALUE"""),0.75)</f>
        <v>0.75</v>
      </c>
      <c r="S362" s="25">
        <f ca="1">IFERROR(__xludf.DUMMYFUNCTION("""COMPUTED_VALUE"""),0.666666666666666)</f>
        <v>0.66666666666666596</v>
      </c>
      <c r="T362" s="25">
        <f ca="1">IFERROR(__xludf.DUMMYFUNCTION("""COMPUTED_VALUE"""),0.777777777777777)</f>
        <v>0.77777777777777701</v>
      </c>
      <c r="U362" s="25">
        <f ca="1">IFERROR(__xludf.DUMMYFUNCTION("""COMPUTED_VALUE"""),0.5)</f>
        <v>0.5</v>
      </c>
      <c r="V362" s="25">
        <f ca="1">IFERROR(__xludf.DUMMYFUNCTION("""COMPUTED_VALUE"""),0)</f>
        <v>0</v>
      </c>
      <c r="W362" s="4"/>
      <c r="X362" s="4" t="str">
        <f ca="1">IFERROR(__xludf.DUMMYFUNCTION("""COMPUTED_VALUE"""),"| 1 P Python @ | 4 L JAVA @ | 3 L PHP-CGM @ | 1 L PRO @ ")</f>
        <v xml:space="preserve">| 1 P Python @ | 4 L JAVA @ | 3 L PHP-CGM @ | 1 L PRO @ </v>
      </c>
      <c r="Y36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62" s="4" t="str">
        <f ca="1">IFERROR(__xludf.DUMMYFUNCTION("""COMPUTED_VALUE"""),"| 3 P CPT % | 5 L JAVA @ | 6 L NS @ ")</f>
        <v xml:space="preserve">| 3 P CPT % | 5 L JAVA @ | 6 L NS @ </v>
      </c>
      <c r="AA362" s="4" t="str">
        <f ca="1">IFERROR(__xludf.DUMMYFUNCTION("""COMPUTED_VALUE"""),"| 1 P Python @ | 5 P JAVA @ | 5 L NS @ | 6 L CPT @ ")</f>
        <v xml:space="preserve">| 1 P Python @ | 5 P JAVA @ | 5 L NS @ | 6 L CPT @ </v>
      </c>
      <c r="AB362" s="4" t="str">
        <f ca="1">IFERROR(__xludf.DUMMYFUNCTION("""COMPUTED_VALUE"""),"| 1 P NS % | 3 L CPT % | 5 P PHP-CGM % | 4 L PHP-CGM % ")</f>
        <v xml:space="preserve">| 1 P NS % | 3 L CPT % | 5 P PHP-CGM % | 4 L PHP-CGM % </v>
      </c>
      <c r="AC362" s="4" t="str">
        <f ca="1">IFERROR(__xludf.DUMMYFUNCTION("""COMPUTED_VALUE"""),"| 1 P Python % | 3 L PHP-CGM % | 5 P PRO % ")</f>
        <v xml:space="preserve">| 1 P Python % | 3 L PHP-CGM % | 5 P PRO % </v>
      </c>
      <c r="AD362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62" s="4" t="str">
        <f ca="1">IFERROR(__xludf.DUMMYFUNCTION("""COMPUTED_VALUE"""),"| 3 P CPT % | 5 L JAVA @ | 6 L NS @ ")</f>
        <v xml:space="preserve">| 3 P CPT % | 5 L JAVA @ | 6 L NS @ </v>
      </c>
      <c r="AF362" s="4" t="str">
        <f ca="1">IFERROR(__xludf.DUMMYFUNCTION("""COMPUTED_VALUE"""),"| 1 P Python @ | 3 P JAVA @ | 5 L NS @ | 6 L CPT @ ")</f>
        <v xml:space="preserve">| 1 P Python @ | 3 P JAVA @ | 5 L NS @ | 6 L CPT @ </v>
      </c>
      <c r="AG362" s="4" t="str">
        <f ca="1">IFERROR(__xludf.DUMMYFUNCTION("""COMPUTED_VALUE"""),"| 1 P NS % | 3 L CPT % | 4 L PHP-CGM % | 5 P PHP-CGM @ ")</f>
        <v xml:space="preserve">| 1 P NS % | 3 L CPT % | 4 L PHP-CGM % | 5 P PHP-CGM @ </v>
      </c>
      <c r="AH362" s="4" t="str">
        <f ca="1">IFERROR(__xludf.DUMMYFUNCTION("""COMPUTED_VALUE"""),"| 1 P Python % | 3 P JAVA % | 5 L NS % | 6 L CPT % ")</f>
        <v xml:space="preserve">| 1 P Python % | 3 P JAVA % | 5 L NS % | 6 L CPT % </v>
      </c>
      <c r="AI362" s="4" t="str">
        <f ca="1">IFERROR(__xludf.DUMMYFUNCTION("""COMPUTED_VALUE"""),"| 1 P NS % | 3 L CPT % | 4 L PHP-CGM % | 5 P PHP-CGM % ")</f>
        <v xml:space="preserve">| 1 P NS % | 3 L CPT % | 4 L PHP-CGM % | 5 P PHP-CGM % </v>
      </c>
      <c r="AJ362" s="4" t="str">
        <f ca="1">IFERROR(__xludf.DUMMYFUNCTION("""COMPUTED_VALUE"""),"| 1 P Python % | 3 L PHP-CGM % | 4 L JAVA % | 5 P PRO % ")</f>
        <v xml:space="preserve">| 1 P Python % | 3 L PHP-CGM % | 4 L JAVA % | 5 P PRO % </v>
      </c>
      <c r="AK362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L362" s="4" t="str">
        <f ca="1">IFERROR(__xludf.DUMMYFUNCTION("""COMPUTED_VALUE"""),"| 3 P CPT % | 5 L JAVA % | 6 L NS % ")</f>
        <v xml:space="preserve">| 3 P CPT % | 5 L JAVA % | 6 L NS % </v>
      </c>
      <c r="AM362" s="4" t="str">
        <f ca="1">IFERROR(__xludf.DUMMYFUNCTION("""COMPUTED_VALUE"""),"| 1 P Python % | 3 P JAVA % | 5 L NS % | 6 L CPT % ")</f>
        <v xml:space="preserve">| 1 P Python % | 3 P JAVA % | 5 L NS % | 6 L CPT % </v>
      </c>
      <c r="AN362" s="4" t="str">
        <f ca="1">IFERROR(__xludf.DUMMYFUNCTION("""COMPUTED_VALUE"""),"| 1 P NS % | 4 L PHP-CGM % | 5 P PHP-CGM @ ")</f>
        <v xml:space="preserve">| 1 P NS % | 4 L PHP-CGM % | 5 P PHP-CGM @ </v>
      </c>
      <c r="AO362" s="4" t="str">
        <f ca="1">IFERROR(__xludf.DUMMYFUNCTION("""COMPUTED_VALUE"""),"| 1 P Python % | 3 L PHP-CGM % | 4 L JAVA % | 5 P PRO % ")</f>
        <v xml:space="preserve">| 1 P Python % | 3 L PHP-CGM % | 4 L JAVA % | 5 P PRO % </v>
      </c>
      <c r="AP36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62" s="4" t="str">
        <f ca="1">IFERROR(__xludf.DUMMYFUNCTION("""COMPUTED_VALUE"""),"| 1 L INE @ | 3 P CPT % | 5 L JAVA @ | 6 L NS @ ")</f>
        <v xml:space="preserve">| 1 L INE @ | 3 P CPT % | 5 L JAVA @ | 6 L NS @ </v>
      </c>
      <c r="AR362" s="4" t="str">
        <f ca="1">IFERROR(__xludf.DUMMYFUNCTION("""COMPUTED_VALUE"""),"| 1 P Python @ | 3 L CPT % | 3 P JAVA @ | 5 L NS @ | 6 L CPT @ ")</f>
        <v xml:space="preserve">| 1 P Python @ | 3 L CPT % | 3 P JAVA @ | 5 L NS @ | 6 L CPT @ </v>
      </c>
      <c r="AS362" s="4" t="str">
        <f ca="1">IFERROR(__xludf.DUMMYFUNCTION("""COMPUTED_VALUE"""),"| 1 P Python % | 3 L PHP-CGM % | 4 L JAVA % | 5 P PRO % ")</f>
        <v xml:space="preserve">| 1 P Python % | 3 L PHP-CGM % | 4 L JAVA % | 5 P PRO % </v>
      </c>
      <c r="AT36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62" s="4" t="str">
        <f ca="1">IFERROR(__xludf.DUMMYFUNCTION("""COMPUTED_VALUE"""),"| 1 L INE @ | 3 P CPT @ | 5 L JAVA @ | 6 L NS @ ")</f>
        <v xml:space="preserve">| 1 L INE @ | 3 P CPT @ | 5 L JAVA @ | 6 L NS @ </v>
      </c>
      <c r="AV362" s="4" t="str">
        <f ca="1">IFERROR(__xludf.DUMMYFUNCTION("""COMPUTED_VALUE"""),"| 1 P Python % | 3 P JAVA % | 5 L NS % | 6 L CPT % ")</f>
        <v xml:space="preserve">| 1 P Python % | 3 P JAVA % | 5 L NS % | 6 L CPT % </v>
      </c>
      <c r="AW362" s="4" t="str">
        <f ca="1">IFERROR(__xludf.DUMMYFUNCTION("""COMPUTED_VALUE"""),"| 1 P NS % | 3 L CPT % | 4 L PHP-CGM % | 5 P PHP-CGM @ ")</f>
        <v xml:space="preserve">| 1 P NS % | 3 L CPT % | 4 L PHP-CGM % | 5 P PHP-CGM @ </v>
      </c>
      <c r="AX362" s="4" t="str">
        <f ca="1">IFERROR(__xludf.DUMMYFUNCTION("""COMPUTED_VALUE"""),"| 1 P Python % | 3 L JAVA % | 4 L PHP-CGM % | 5 P PRO % ")</f>
        <v xml:space="preserve">| 1 P Python % | 3 L JAVA % | 4 L PHP-CGM % | 5 P PRO % </v>
      </c>
      <c r="AY362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62" s="4" t="str">
        <f ca="1">IFERROR(__xludf.DUMMYFUNCTION("""COMPUTED_VALUE"""),"| 1 P Python % | 3 P JAVA % | 5 L NS % | 6 L CPT % ")</f>
        <v xml:space="preserve">| 1 P Python % | 3 P JAVA % | 5 L NS % | 6 L CPT % </v>
      </c>
      <c r="BA362" s="4" t="str">
        <f ca="1">IFERROR(__xludf.DUMMYFUNCTION("""COMPUTED_VALUE"""),"| 1 P NS % | 3 L CPT @ | 4 L PHP-CGM @ | 5 P PHP-CGM @ ")</f>
        <v xml:space="preserve">| 1 P NS % | 3 L CPT @ | 4 L PHP-CGM @ | 5 P PHP-CGM @ </v>
      </c>
      <c r="BB362" s="4" t="str">
        <f ca="1">IFERROR(__xludf.DUMMYFUNCTION("""COMPUTED_VALUE"""),"| 1 P Python % | 3 L PHP-CGM % | 4 L JAVA % | 5 L PRO % ")</f>
        <v xml:space="preserve">| 1 P Python % | 3 L PHP-CGM % | 4 L JAVA % | 5 L PRO % </v>
      </c>
      <c r="BC36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62" s="4" t="str">
        <f ca="1">IFERROR(__xludf.DUMMYFUNCTION("""COMPUTED_VALUE"""),"| 1 L INE % | 3 P CPT % | 5 L JAVA % | 6 L NS % ")</f>
        <v xml:space="preserve">| 1 L INE % | 3 P CPT % | 5 L JAVA % | 6 L NS % </v>
      </c>
      <c r="BE362" s="4" t="str">
        <f ca="1">IFERROR(__xludf.DUMMYFUNCTION("""COMPUTED_VALUE"""),"| 1 P Python % | 3 P JAVA % | 5 L NS @ | 6 L CPT @ ")</f>
        <v xml:space="preserve">| 1 P Python % | 3 P JAVA % | 5 L NS @ | 6 L CPT @ </v>
      </c>
      <c r="BF362" s="4" t="str">
        <f ca="1">IFERROR(__xludf.DUMMYFUNCTION("""COMPUTED_VALUE"""),"| 1 P NS @ | 3 L CPT @ | 4 L PHP-CGM @ ")</f>
        <v xml:space="preserve">| 1 P NS @ | 3 L CPT @ | 4 L PHP-CGM @ </v>
      </c>
      <c r="BG36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62" s="4" t="str">
        <f ca="1">IFERROR(__xludf.DUMMYFUNCTION("""COMPUTED_VALUE"""),"| 1 L INE % | 3 P CPT % | 5 L JAVA % | 6 L NS % ")</f>
        <v xml:space="preserve">| 1 L INE % | 3 P CPT % | 5 L JAVA % | 6 L NS % </v>
      </c>
      <c r="BI362" s="4" t="str">
        <f ca="1">IFERROR(__xludf.DUMMYFUNCTION("""COMPUTED_VALUE"""),"| 1 P Python % | 3 P JAVA % | 5 L NS % | 6 L CPT % ")</f>
        <v xml:space="preserve">| 1 P Python % | 3 P JAVA % | 5 L NS % | 6 L CPT % </v>
      </c>
      <c r="BJ362" s="4" t="str">
        <f ca="1">IFERROR(__xludf.DUMMYFUNCTION("""COMPUTED_VALUE"""),"| 1 P NS % | 3 L CPT @ | 4 L PHP-CGM @ | 5 P PHP-CGM @ ")</f>
        <v xml:space="preserve">| 1 P NS % | 3 L CPT @ | 4 L PHP-CGM @ | 5 P PHP-CGM @ </v>
      </c>
      <c r="BK362" s="4" t="str">
        <f ca="1">IFERROR(__xludf.DUMMYFUNCTION("""COMPUTED_VALUE"""),"| 1 P Python @ | 3 L PHP-CGM @ | 4 L JAVA @ | 5 P PRO @ ")</f>
        <v xml:space="preserve">| 1 P Python @ | 3 L PHP-CGM @ | 4 L JAVA @ | 5 P PRO @ </v>
      </c>
      <c r="BL362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BM362" s="4" t="str">
        <f ca="1">IFERROR(__xludf.DUMMYFUNCTION("""COMPUTED_VALUE"""),"| 1 L INE % | 3 P CPT % | 5 L JAVA % | 6 L NS % ")</f>
        <v xml:space="preserve">| 1 L INE % | 3 P CPT % | 5 L JAVA % | 6 L NS % </v>
      </c>
      <c r="BN362" s="4" t="str">
        <f ca="1">IFERROR(__xludf.DUMMYFUNCTION("""COMPUTED_VALUE"""),"| 1 P Python % | 3 P JAVA % | 5 L NS % | 6 L CPT % ")</f>
        <v xml:space="preserve">| 1 P Python % | 3 P JAVA % | 5 L NS % | 6 L CPT % </v>
      </c>
      <c r="BO362" s="4" t="str">
        <f ca="1">IFERROR(__xludf.DUMMYFUNCTION("""COMPUTED_VALUE"""),"| 1 P NS % | 4 L PHP-CGM @ | 3 L CPT @ ")</f>
        <v xml:space="preserve">| 1 P NS % | 4 L PHP-CGM @ | 3 L CPT @ </v>
      </c>
      <c r="BP362" s="4" t="str">
        <f ca="1">IFERROR(__xludf.DUMMYFUNCTION("""COMPUTED_VALUE"""),"| 3 L PHP-CGM % | 4 L JAVA % | 5 P PRO % ")</f>
        <v xml:space="preserve">| 3 L PHP-CGM % | 4 L JAVA % | 5 P PRO % </v>
      </c>
      <c r="BQ362" s="4" t="str">
        <f ca="1">IFERROR(__xludf.DUMMYFUNCTION("""COMPUTED_VALUE"""),"| 6 L NS % | 5 L JAVA % | 3 P CPT % ")</f>
        <v xml:space="preserve">| 6 L NS % | 5 L JAVA % | 3 P CPT % </v>
      </c>
      <c r="BR362" s="4"/>
      <c r="BS362" s="4" t="str">
        <f ca="1">IFERROR(__xludf.DUMMYFUNCTION("""COMPUTED_VALUE"""),"| 4 L PHP-CGM % ")</f>
        <v xml:space="preserve">| 4 L PHP-CGM % </v>
      </c>
      <c r="BT362" s="4" t="str">
        <f ca="1">IFERROR(__xludf.DUMMYFUNCTION("""COMPUTED_VALUE"""),"| 1 P Python @ | 3 L PHP-CGM @ ")</f>
        <v xml:space="preserve">| 1 P Python @ | 3 L PHP-CGM @ </v>
      </c>
      <c r="BU362" s="4" t="str">
        <f ca="1">IFERROR(__xludf.DUMMYFUNCTION("""COMPUTED_VALUE"""),"| 1 L JAVA % | 2 L PHP-CGM % | 3 P JAVA % ")</f>
        <v xml:space="preserve">| 1 L JAVA % | 2 L PHP-CGM % | 3 P JAVA % </v>
      </c>
      <c r="BV362" s="4" t="str">
        <f ca="1">IFERROR(__xludf.DUMMYFUNCTION("""COMPUTED_VALUE"""),"| 1 P Python % | 3 L PHP-CGM % | 4 L JAVA % | 5 P PRO % ")</f>
        <v xml:space="preserve">| 1 P Python % | 3 L PHP-CGM % | 4 L JAVA % | 5 P PRO % </v>
      </c>
      <c r="BW362" s="4" t="str">
        <f ca="1">IFERROR(__xludf.DUMMYFUNCTION("""COMPUTED_VALUE"""),"| 1 L JAVA % | 2 L PHP-CGM % | 3 P JAVA % ")</f>
        <v xml:space="preserve">| 1 L JAVA % | 2 L PHP-CGM % | 3 P JAVA % </v>
      </c>
      <c r="BX362" s="4" t="str">
        <f ca="1">IFERROR(__xludf.DUMMYFUNCTION("""COMPUTED_VALUE"""),"| 1 L INE @ | 3 P CPT % | 5 L JAVA % | 6 L NS % ")</f>
        <v xml:space="preserve">| 1 L INE @ | 3 P CPT % | 5 L JAVA % | 6 L NS % </v>
      </c>
      <c r="BY362" s="4" t="str">
        <f ca="1">IFERROR(__xludf.DUMMYFUNCTION("""COMPUTED_VALUE"""),"| 1 P Python % | 3 P JAVA % | 5 L NS @ | 6 L CPT @ ")</f>
        <v xml:space="preserve">| 1 P Python % | 3 P JAVA % | 5 L NS @ | 6 L CPT @ </v>
      </c>
      <c r="BZ362" s="4" t="str">
        <f ca="1">IFERROR(__xludf.DUMMYFUNCTION("""COMPUTED_VALUE"""),"| 1 P NS % | 3 L CPT % | 4 L PHP-CGM % | 5 P PHP-CGM % ")</f>
        <v xml:space="preserve">| 1 P NS % | 3 L CPT % | 4 L PHP-CGM % | 5 P PHP-CGM % </v>
      </c>
      <c r="CA362" s="4" t="str">
        <f ca="1">IFERROR(__xludf.DUMMYFUNCTION("""COMPUTED_VALUE"""),"| 1 P Python % | 3 L PHP-CGM % | 3 L JAVA % | 5 P PRO @ ")</f>
        <v xml:space="preserve">| 1 P Python % | 3 L PHP-CGM % | 3 L JAVA % | 5 P PRO @ </v>
      </c>
      <c r="CB362" s="4" t="str">
        <f ca="1">IFERROR(__xludf.DUMMYFUNCTION("""COMPUTED_VALUE"""),"| 1 L JAVA % | 2 L PHP-CGM % | 3 P JAVA @ | 6 L NS % | 5 L CPT % ")</f>
        <v xml:space="preserve">| 1 L JAVA % | 2 L PHP-CGM % | 3 P JAVA @ | 6 L NS % | 5 L CPT % </v>
      </c>
      <c r="CC362" s="4" t="str">
        <f ca="1">IFERROR(__xludf.DUMMYFUNCTION("""COMPUTED_VALUE"""),"| 1 L INE % | 3 P CPT @ | 5 L JAVA @ | 6 L NS @ ")</f>
        <v xml:space="preserve">| 1 L INE % | 3 P CPT @ | 5 L JAVA @ | 6 L NS @ </v>
      </c>
      <c r="CD362" s="4" t="str">
        <f ca="1">IFERROR(__xludf.DUMMYFUNCTION("""COMPUTED_VALUE"""),"| 1 P Python % | 3 P JAVA % | 5 L NS @ | 6 L CPT @ ")</f>
        <v xml:space="preserve">| 1 P Python % | 3 P JAVA % | 5 L NS @ | 6 L CPT @ </v>
      </c>
      <c r="CE362" s="4" t="str">
        <f ca="1">IFERROR(__xludf.DUMMYFUNCTION("""COMPUTED_VALUE"""),"| 1 P NS @ | 3 L CPT @ | 4 L PHP-CGM @ ")</f>
        <v xml:space="preserve">| 1 P NS @ | 3 L CPT @ | 4 L PHP-CGM @ </v>
      </c>
      <c r="CF362" s="4" t="str">
        <f ca="1">IFERROR(__xludf.DUMMYFUNCTION("""COMPUTED_VALUE"""),"| 1 P Python % | 4 L JAVA @ | 3 L PHP-CGM @ | 5 L PRO % ")</f>
        <v xml:space="preserve">| 1 P Python % | 4 L JAVA @ | 3 L PHP-CGM @ | 5 L PRO % </v>
      </c>
      <c r="CG362" s="4" t="str">
        <f ca="1">IFERROR(__xludf.DUMMYFUNCTION("""COMPUTED_VALUE"""),"| 1 L JAVA % | 2 L PHP-CGM % | 6 L NS @ | 3 P JAVA % ")</f>
        <v xml:space="preserve">| 1 L JAVA % | 2 L PHP-CGM % | 6 L NS @ | 3 P JAVA % </v>
      </c>
      <c r="CH362" s="4" t="str">
        <f ca="1">IFERROR(__xludf.DUMMYFUNCTION("""COMPUTED_VALUE"""),"| 1 L INE @ | 3 P CPT % | 5 L JAVA @ | 6 L NS @ ")</f>
        <v xml:space="preserve">| 1 L INE @ | 3 P CPT % | 5 L JAVA @ | 6 L NS @ </v>
      </c>
      <c r="CI362" s="4" t="str">
        <f ca="1">IFERROR(__xludf.DUMMYFUNCTION("""COMPUTED_VALUE"""),"| 5 L NS @ | 6 L CPT @ ")</f>
        <v xml:space="preserve">| 5 L NS @ | 6 L CPT @ </v>
      </c>
      <c r="CJ362" s="4" t="str">
        <f ca="1">IFERROR(__xludf.DUMMYFUNCTION("""COMPUTED_VALUE"""),"| 1 P NS % | 3 L CPT @ ")</f>
        <v xml:space="preserve">| 1 P NS % | 3 L CPT @ </v>
      </c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</row>
    <row r="363" spans="1:102" ht="12.5" x14ac:dyDescent="0.25">
      <c r="A363" s="3">
        <f ca="1">IFERROR(__xludf.DUMMYFUNCTION("""COMPUTED_VALUE"""),2)</f>
        <v>2</v>
      </c>
      <c r="B363" s="3" t="str">
        <f ca="1">IFERROR(__xludf.DUMMYFUNCTION("""COMPUTED_VALUE"""),"ITA")</f>
        <v>ITA</v>
      </c>
      <c r="C363" s="32" t="str">
        <f ca="1">IFERROR(__xludf.DUMMYFUNCTION("""COMPUTED_VALUE"""),"23291371047")</f>
        <v>23291371047</v>
      </c>
      <c r="D363" s="4" t="str">
        <f ca="1">IFERROR(__xludf.DUMMYFUNCTION("""COMPUTED_VALUE"""),"PANCHAL DEVANGIBEN VIJAYKUMAR")</f>
        <v>PANCHAL DEVANGIBEN VIJAYKUMAR</v>
      </c>
      <c r="E363" s="3" t="str">
        <f ca="1">IFERROR(__xludf.DUMMYFUNCTION("""COMPUTED_VALUE"""),"Sweety - Mor")</f>
        <v>Sweety - Mor</v>
      </c>
      <c r="F363" s="3">
        <f ca="1">IFERROR(__xludf.DUMMYFUNCTION("""COMPUTED_VALUE"""),9662326968)</f>
        <v>9662326968</v>
      </c>
      <c r="G363" s="3">
        <f ca="1">IFERROR(__xludf.DUMMYFUNCTION("""COMPUTED_VALUE"""),9978205060)</f>
        <v>9978205060</v>
      </c>
      <c r="H363" s="33">
        <f ca="1">IFERROR(__xludf.DUMMYFUNCTION("""COMPUTED_VALUE"""),0.711382113821138)</f>
        <v>0.71138211382113803</v>
      </c>
      <c r="I363" s="25">
        <f ca="1">IFERROR(__xludf.DUMMYFUNCTION("""COMPUTED_VALUE"""),0.457142857142857)</f>
        <v>0.45714285714285702</v>
      </c>
      <c r="J363" s="25">
        <f ca="1">IFERROR(__xludf.DUMMYFUNCTION("""COMPUTED_VALUE"""),0.666666666666666)</f>
        <v>0.66666666666666596</v>
      </c>
      <c r="K363" s="25">
        <f ca="1">IFERROR(__xludf.DUMMYFUNCTION("""COMPUTED_VALUE"""),0.527777777777777)</f>
        <v>0.52777777777777701</v>
      </c>
      <c r="L363" s="25">
        <f ca="1">IFERROR(__xludf.DUMMYFUNCTION("""COMPUTED_VALUE"""),1)</f>
        <v>1</v>
      </c>
      <c r="M363" s="25">
        <f ca="1">IFERROR(__xludf.DUMMYFUNCTION("""COMPUTED_VALUE"""),0.868421052631579)</f>
        <v>0.86842105263157898</v>
      </c>
      <c r="N363" s="25">
        <f ca="1">IFERROR(__xludf.DUMMYFUNCTION("""COMPUTED_VALUE"""),0.875)</f>
        <v>0.875</v>
      </c>
      <c r="O363" s="25">
        <f ca="1">IFERROR(__xludf.DUMMYFUNCTION("""COMPUTED_VALUE"""),0.805555555555555)</f>
        <v>0.80555555555555503</v>
      </c>
      <c r="P363" s="25">
        <f ca="1">IFERROR(__xludf.DUMMYFUNCTION("""COMPUTED_VALUE"""),0.76)</f>
        <v>0.76</v>
      </c>
      <c r="Q363" s="25">
        <f ca="1">IFERROR(__xludf.DUMMYFUNCTION("""COMPUTED_VALUE"""),0)</f>
        <v>0</v>
      </c>
      <c r="R363" s="25">
        <f ca="1">IFERROR(__xludf.DUMMYFUNCTION("""COMPUTED_VALUE"""),0.791666666666666)</f>
        <v>0.79166666666666596</v>
      </c>
      <c r="S363" s="25">
        <f ca="1">IFERROR(__xludf.DUMMYFUNCTION("""COMPUTED_VALUE"""),0.666666666666666)</f>
        <v>0.66666666666666596</v>
      </c>
      <c r="T363" s="25">
        <f ca="1">IFERROR(__xludf.DUMMYFUNCTION("""COMPUTED_VALUE"""),0.666666666666666)</f>
        <v>0.66666666666666596</v>
      </c>
      <c r="U363" s="25">
        <f ca="1">IFERROR(__xludf.DUMMYFUNCTION("""COMPUTED_VALUE"""),0.625)</f>
        <v>0.625</v>
      </c>
      <c r="V363" s="25">
        <f ca="1">IFERROR(__xludf.DUMMYFUNCTION("""COMPUTED_VALUE"""),0)</f>
        <v>0</v>
      </c>
      <c r="W363" s="4"/>
      <c r="X363" s="4" t="str">
        <f ca="1">IFERROR(__xludf.DUMMYFUNCTION("""COMPUTED_VALUE"""),"| 1 P Python % | 4 L JAVA % | 3 L PHP-CGM % | 1 L PRO @ ")</f>
        <v xml:space="preserve">| 1 P Python % | 4 L JAVA % | 3 L PHP-CGM % | 1 L PRO @ </v>
      </c>
      <c r="Y36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63" s="4" t="str">
        <f ca="1">IFERROR(__xludf.DUMMYFUNCTION("""COMPUTED_VALUE"""),"| 3 P CPT % | 5 L JAVA % | 6 L NS % ")</f>
        <v xml:space="preserve">| 3 P CPT % | 5 L JAVA % | 6 L NS % </v>
      </c>
      <c r="AA363" s="4" t="str">
        <f ca="1">IFERROR(__xludf.DUMMYFUNCTION("""COMPUTED_VALUE"""),"| 1 P Python % | 5 P JAVA % | 5 L NS @ | 6 L CPT @ ")</f>
        <v xml:space="preserve">| 1 P Python % | 5 P JAVA % | 5 L NS @ | 6 L CPT @ </v>
      </c>
      <c r="AB363" s="4" t="str">
        <f ca="1">IFERROR(__xludf.DUMMYFUNCTION("""COMPUTED_VALUE"""),"| 1 P NS % | 3 L CPT % | 5 P PHP-CGM % | 4 L PHP-CGM % ")</f>
        <v xml:space="preserve">| 1 P NS % | 3 L CPT % | 5 P PHP-CGM % | 4 L PHP-CGM % </v>
      </c>
      <c r="AC363" s="4" t="str">
        <f ca="1">IFERROR(__xludf.DUMMYFUNCTION("""COMPUTED_VALUE"""),"| 1 P Python % | 3 L PHP-CGM % | 5 P PRO % ")</f>
        <v xml:space="preserve">| 1 P Python % | 3 L PHP-CGM % | 5 P PRO % </v>
      </c>
      <c r="AD363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63" s="4" t="str">
        <f ca="1">IFERROR(__xludf.DUMMYFUNCTION("""COMPUTED_VALUE"""),"| 3 P CPT % | 5 L JAVA % | 6 L NS % ")</f>
        <v xml:space="preserve">| 3 P CPT % | 5 L JAVA % | 6 L NS % </v>
      </c>
      <c r="AF363" s="4" t="str">
        <f ca="1">IFERROR(__xludf.DUMMYFUNCTION("""COMPUTED_VALUE"""),"| 1 P Python % | 3 P JAVA % | 5 L NS % | 6 L CPT % ")</f>
        <v xml:space="preserve">| 1 P Python % | 3 P JAVA % | 5 L NS % | 6 L CPT % </v>
      </c>
      <c r="AG363" s="4" t="str">
        <f ca="1">IFERROR(__xludf.DUMMYFUNCTION("""COMPUTED_VALUE"""),"| 1 P NS % | 3 L CPT % | 4 L PHP-CGM % | 5 P PHP-CGM % ")</f>
        <v xml:space="preserve">| 1 P NS % | 3 L CPT % | 4 L PHP-CGM % | 5 P PHP-CGM % </v>
      </c>
      <c r="AH363" s="4" t="str">
        <f ca="1">IFERROR(__xludf.DUMMYFUNCTION("""COMPUTED_VALUE"""),"| 1 P Python % | 3 P JAVA % | 5 L NS % | 6 L CPT % ")</f>
        <v xml:space="preserve">| 1 P Python % | 3 P JAVA % | 5 L NS % | 6 L CPT % </v>
      </c>
      <c r="AI363" s="4" t="str">
        <f ca="1">IFERROR(__xludf.DUMMYFUNCTION("""COMPUTED_VALUE"""),"| 1 P NS % | 3 L CPT % | 4 L PHP-CGM % | 5 P PHP-CGM % ")</f>
        <v xml:space="preserve">| 1 P NS % | 3 L CPT % | 4 L PHP-CGM % | 5 P PHP-CGM % </v>
      </c>
      <c r="AJ363" s="4" t="str">
        <f ca="1">IFERROR(__xludf.DUMMYFUNCTION("""COMPUTED_VALUE"""),"| 1 P Python % | 3 L PHP-CGM % | 4 L JAVA % | 5 P PRO % ")</f>
        <v xml:space="preserve">| 1 P Python % | 3 L PHP-CGM % | 4 L JAVA % | 5 P PRO % </v>
      </c>
      <c r="AK36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63" s="4" t="str">
        <f ca="1">IFERROR(__xludf.DUMMYFUNCTION("""COMPUTED_VALUE"""),"| 3 P CPT % | 5 L JAVA % | 6 L NS % ")</f>
        <v xml:space="preserve">| 3 P CPT % | 5 L JAVA % | 6 L NS % </v>
      </c>
      <c r="AM363" s="4" t="str">
        <f ca="1">IFERROR(__xludf.DUMMYFUNCTION("""COMPUTED_VALUE"""),"| 1 P Python @ | 3 P JAVA @ | 5 L NS @ | 6 L CPT @ ")</f>
        <v xml:space="preserve">| 1 P Python @ | 3 P JAVA @ | 5 L NS @ | 6 L CPT @ </v>
      </c>
      <c r="AN363" s="4" t="str">
        <f ca="1">IFERROR(__xludf.DUMMYFUNCTION("""COMPUTED_VALUE"""),"| 1 P NS % | 4 L PHP-CGM % | 5 P PHP-CGM % ")</f>
        <v xml:space="preserve">| 1 P NS % | 4 L PHP-CGM % | 5 P PHP-CGM % </v>
      </c>
      <c r="AO363" s="4" t="str">
        <f ca="1">IFERROR(__xludf.DUMMYFUNCTION("""COMPUTED_VALUE"""),"| 1 P Python % | 3 L PHP-CGM % | 4 L JAVA % | 5 P PRO @ ")</f>
        <v xml:space="preserve">| 1 P Python % | 3 L PHP-CGM % | 4 L JAVA % | 5 P PRO @ </v>
      </c>
      <c r="AP36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63" s="4" t="str">
        <f ca="1">IFERROR(__xludf.DUMMYFUNCTION("""COMPUTED_VALUE"""),"| 1 L INE % | 3 P CPT % | 5 L JAVA % | 6 L NS % ")</f>
        <v xml:space="preserve">| 1 L INE % | 3 P CPT % | 5 L JAVA % | 6 L NS % </v>
      </c>
      <c r="AR363" s="4" t="str">
        <f ca="1">IFERROR(__xludf.DUMMYFUNCTION("""COMPUTED_VALUE"""),"| 1 P Python % | 3 L CPT % | 3 P JAVA % | 5 L NS % | 6 L CPT @ ")</f>
        <v xml:space="preserve">| 1 P Python % | 3 L CPT % | 3 P JAVA % | 5 L NS % | 6 L CPT @ </v>
      </c>
      <c r="AS363" s="4" t="str">
        <f ca="1">IFERROR(__xludf.DUMMYFUNCTION("""COMPUTED_VALUE"""),"| 1 P Python % | 3 L PHP-CGM % | 4 L JAVA % | 5 P PRO % ")</f>
        <v xml:space="preserve">| 1 P Python % | 3 L PHP-CGM % | 4 L JAVA % | 5 P PRO % </v>
      </c>
      <c r="AT363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U363" s="4" t="str">
        <f ca="1">IFERROR(__xludf.DUMMYFUNCTION("""COMPUTED_VALUE"""),"| 1 L INE % | 3 P CPT % | 5 L JAVA @ | 6 L NS % ")</f>
        <v xml:space="preserve">| 1 L INE % | 3 P CPT % | 5 L JAVA @ | 6 L NS % </v>
      </c>
      <c r="AV363" s="4" t="str">
        <f ca="1">IFERROR(__xludf.DUMMYFUNCTION("""COMPUTED_VALUE"""),"| 1 P Python % | 3 P JAVA % | 5 L NS % | 6 L CPT % ")</f>
        <v xml:space="preserve">| 1 P Python % | 3 P JAVA % | 5 L NS % | 6 L CPT % </v>
      </c>
      <c r="AW363" s="4" t="str">
        <f ca="1">IFERROR(__xludf.DUMMYFUNCTION("""COMPUTED_VALUE"""),"| 1 P NS % | 3 L CPT @ | 4 L PHP-CGM @ | 5 P PHP-CGM % ")</f>
        <v xml:space="preserve">| 1 P NS % | 3 L CPT @ | 4 L PHP-CGM @ | 5 P PHP-CGM % </v>
      </c>
      <c r="AX363" s="4" t="str">
        <f ca="1">IFERROR(__xludf.DUMMYFUNCTION("""COMPUTED_VALUE"""),"| 1 P Python % | 3 L JAVA % | 4 L PHP-CGM % | 5 P PRO % ")</f>
        <v xml:space="preserve">| 1 P Python % | 3 L JAVA % | 4 L PHP-CGM % | 5 P PRO % </v>
      </c>
      <c r="AY363" s="4" t="str">
        <f ca="1">IFERROR(__xludf.DUMMYFUNCTION("""COMPUTED_VALUE"""),"| 2 L PHP-CGM % | 3 P JAVA % | 5 L CPT @ | 6 L NS % | 1 L JAVA % ")</f>
        <v xml:space="preserve">| 2 L PHP-CGM % | 3 P JAVA % | 5 L CPT @ | 6 L NS % | 1 L JAVA % </v>
      </c>
      <c r="AZ363" s="4" t="str">
        <f ca="1">IFERROR(__xludf.DUMMYFUNCTION("""COMPUTED_VALUE"""),"| 1 P Python % | 3 P JAVA % | 5 L NS % | 6 L CPT % ")</f>
        <v xml:space="preserve">| 1 P Python % | 3 P JAVA % | 5 L NS % | 6 L CPT % </v>
      </c>
      <c r="BA363" s="4" t="str">
        <f ca="1">IFERROR(__xludf.DUMMYFUNCTION("""COMPUTED_VALUE"""),"| 1 P NS % | 3 L CPT % | 4 L PHP-CGM % | 5 P PHP-CGM % ")</f>
        <v xml:space="preserve">| 1 P NS % | 3 L CPT % | 4 L PHP-CGM % | 5 P PHP-CGM % </v>
      </c>
      <c r="BB363" s="4" t="str">
        <f ca="1">IFERROR(__xludf.DUMMYFUNCTION("""COMPUTED_VALUE"""),"| 1 P Python % | 3 L PHP-CGM % | 4 L JAVA % | 5 L PRO % ")</f>
        <v xml:space="preserve">| 1 P Python % | 3 L PHP-CGM % | 4 L JAVA % | 5 L PRO % </v>
      </c>
      <c r="BC363" s="4" t="str">
        <f ca="1">IFERROR(__xludf.DUMMYFUNCTION("""COMPUTED_VALUE"""),"| 1 L JAVA % | 2 L PHP-CGM % | 3 P JAVA @ | 5 L CPT @ | 6 L NS @ ")</f>
        <v xml:space="preserve">| 1 L JAVA % | 2 L PHP-CGM % | 3 P JAVA @ | 5 L CPT @ | 6 L NS @ </v>
      </c>
      <c r="BD363" s="4" t="str">
        <f ca="1">IFERROR(__xludf.DUMMYFUNCTION("""COMPUTED_VALUE"""),"| 1 L INE @ | 3 P CPT @ | 5 L JAVA @ | 6 L NS @ ")</f>
        <v xml:space="preserve">| 1 L INE @ | 3 P CPT @ | 5 L JAVA @ | 6 L NS @ </v>
      </c>
      <c r="BE363" s="4" t="str">
        <f ca="1">IFERROR(__xludf.DUMMYFUNCTION("""COMPUTED_VALUE"""),"| 1 P Python % | 3 P JAVA % | 5 L NS @ | 6 L CPT @ ")</f>
        <v xml:space="preserve">| 1 P Python % | 3 P JAVA % | 5 L NS @ | 6 L CPT @ </v>
      </c>
      <c r="BF363" s="4" t="str">
        <f ca="1">IFERROR(__xludf.DUMMYFUNCTION("""COMPUTED_VALUE"""),"| 1 P NS % | 3 L CPT % | 4 L PHP-CGM % ")</f>
        <v xml:space="preserve">| 1 P NS % | 3 L CPT % | 4 L PHP-CGM % </v>
      </c>
      <c r="BG363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BH363" s="4" t="str">
        <f ca="1">IFERROR(__xludf.DUMMYFUNCTION("""COMPUTED_VALUE"""),"| 1 L INE % | 3 P CPT % | 5 L JAVA % | 6 L NS % ")</f>
        <v xml:space="preserve">| 1 L INE % | 3 P CPT % | 5 L JAVA % | 6 L NS % </v>
      </c>
      <c r="BI363" s="4" t="str">
        <f ca="1">IFERROR(__xludf.DUMMYFUNCTION("""COMPUTED_VALUE"""),"| 1 P Python % | 3 P JAVA @ | 5 L NS % | 6 L CPT % ")</f>
        <v xml:space="preserve">| 1 P Python % | 3 P JAVA @ | 5 L NS % | 6 L CPT % </v>
      </c>
      <c r="BJ363" s="4" t="str">
        <f ca="1">IFERROR(__xludf.DUMMYFUNCTION("""COMPUTED_VALUE"""),"| 1 P NS % | 3 L CPT @ | 4 L PHP-CGM @ | 5 P PHP-CGM @ ")</f>
        <v xml:space="preserve">| 1 P NS % | 3 L CPT @ | 4 L PHP-CGM @ | 5 P PHP-CGM @ </v>
      </c>
      <c r="BK363" s="4" t="str">
        <f ca="1">IFERROR(__xludf.DUMMYFUNCTION("""COMPUTED_VALUE"""),"| 1 P Python % | 3 L PHP-CGM % | 4 L JAVA % | 5 P PRO @ ")</f>
        <v xml:space="preserve">| 1 P Python % | 3 L PHP-CGM % | 4 L JAVA % | 5 P PRO @ </v>
      </c>
      <c r="BL363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BM363" s="4" t="str">
        <f ca="1">IFERROR(__xludf.DUMMYFUNCTION("""COMPUTED_VALUE"""),"| 1 L INE @ | 3 P CPT @ | 5 L JAVA @ | 6 L NS @ ")</f>
        <v xml:space="preserve">| 1 L INE @ | 3 P CPT @ | 5 L JAVA @ | 6 L NS @ </v>
      </c>
      <c r="BN363" s="4" t="str">
        <f ca="1">IFERROR(__xludf.DUMMYFUNCTION("""COMPUTED_VALUE"""),"| 1 P Python @ | 3 P JAVA @ | 5 L NS @ | 6 L CPT @ ")</f>
        <v xml:space="preserve">| 1 P Python @ | 3 P JAVA @ | 5 L NS @ | 6 L CPT @ </v>
      </c>
      <c r="BO363" s="4" t="str">
        <f ca="1">IFERROR(__xludf.DUMMYFUNCTION("""COMPUTED_VALUE"""),"| 1 P NS % | 4 L PHP-CGM % | 3 L CPT % ")</f>
        <v xml:space="preserve">| 1 P NS % | 4 L PHP-CGM % | 3 L CPT % </v>
      </c>
      <c r="BP363" s="4" t="str">
        <f ca="1">IFERROR(__xludf.DUMMYFUNCTION("""COMPUTED_VALUE"""),"| 3 L PHP-CGM % | 4 L JAVA % | 5 P PRO @ ")</f>
        <v xml:space="preserve">| 3 L PHP-CGM % | 4 L JAVA % | 5 P PRO @ </v>
      </c>
      <c r="BQ363" s="4" t="str">
        <f ca="1">IFERROR(__xludf.DUMMYFUNCTION("""COMPUTED_VALUE"""),"| 6 L NS % | 5 L JAVA % | 3 P CPT % ")</f>
        <v xml:space="preserve">| 6 L NS % | 5 L JAVA % | 3 P CPT % </v>
      </c>
      <c r="BR363" s="4"/>
      <c r="BS363" s="4" t="str">
        <f ca="1">IFERROR(__xludf.DUMMYFUNCTION("""COMPUTED_VALUE"""),"| 4 L PHP-CGM % ")</f>
        <v xml:space="preserve">| 4 L PHP-CGM % </v>
      </c>
      <c r="BT363" s="4" t="str">
        <f ca="1">IFERROR(__xludf.DUMMYFUNCTION("""COMPUTED_VALUE"""),"| 1 P Python % | 3 L PHP-CGM % ")</f>
        <v xml:space="preserve">| 1 P Python % | 3 L PHP-CGM % </v>
      </c>
      <c r="BU363" s="4" t="str">
        <f ca="1">IFERROR(__xludf.DUMMYFUNCTION("""COMPUTED_VALUE"""),"| 1 L JAVA % | 2 L PHP-CGM % | 3 P JAVA % ")</f>
        <v xml:space="preserve">| 1 L JAVA % | 2 L PHP-CGM % | 3 P JAVA % </v>
      </c>
      <c r="BV363" s="4" t="str">
        <f ca="1">IFERROR(__xludf.DUMMYFUNCTION("""COMPUTED_VALUE"""),"| 1 P Python % | 3 L PHP-CGM % | 4 L JAVA % | 5 P PRO % ")</f>
        <v xml:space="preserve">| 1 P Python % | 3 L PHP-CGM % | 4 L JAVA % | 5 P PRO % </v>
      </c>
      <c r="BW363" s="4" t="str">
        <f ca="1">IFERROR(__xludf.DUMMYFUNCTION("""COMPUTED_VALUE"""),"| 1 L JAVA % | 2 L PHP-CGM % | 3 P JAVA % ")</f>
        <v xml:space="preserve">| 1 L JAVA % | 2 L PHP-CGM % | 3 P JAVA % </v>
      </c>
      <c r="BX363" s="4" t="str">
        <f ca="1">IFERROR(__xludf.DUMMYFUNCTION("""COMPUTED_VALUE"""),"| 1 L INE % | 3 P CPT @ | 5 L JAVA @ | 6 L NS @ ")</f>
        <v xml:space="preserve">| 1 L INE % | 3 P CPT @ | 5 L JAVA @ | 6 L NS @ </v>
      </c>
      <c r="BY363" s="4" t="str">
        <f ca="1">IFERROR(__xludf.DUMMYFUNCTION("""COMPUTED_VALUE"""),"| 1 P Python @ | 3 P JAVA @ | 5 L NS @ | 6 L CPT @ ")</f>
        <v xml:space="preserve">| 1 P Python @ | 3 P JAVA @ | 5 L NS @ | 6 L CPT @ </v>
      </c>
      <c r="BZ363" s="4" t="str">
        <f ca="1">IFERROR(__xludf.DUMMYFUNCTION("""COMPUTED_VALUE"""),"| 1 P NS % | 3 L CPT @ | 4 L PHP-CGM @ | 5 P PHP-CGM % ")</f>
        <v xml:space="preserve">| 1 P NS % | 3 L CPT @ | 4 L PHP-CGM @ | 5 P PHP-CGM % </v>
      </c>
      <c r="CA363" s="4" t="str">
        <f ca="1">IFERROR(__xludf.DUMMYFUNCTION("""COMPUTED_VALUE"""),"| 1 P Python @ | 3 L PHP-CGM % | 3 L JAVA % | 5 P PRO % ")</f>
        <v xml:space="preserve">| 1 P Python @ | 3 L PHP-CGM % | 3 L JAVA % | 5 P PRO % </v>
      </c>
      <c r="CB363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CC363" s="4" t="str">
        <f ca="1">IFERROR(__xludf.DUMMYFUNCTION("""COMPUTED_VALUE"""),"| 1 L INE % | 3 P CPT @ | 5 L JAVA @ | 6 L NS @ ")</f>
        <v xml:space="preserve">| 1 L INE % | 3 P CPT @ | 5 L JAVA @ | 6 L NS @ </v>
      </c>
      <c r="CD363" s="4" t="str">
        <f ca="1">IFERROR(__xludf.DUMMYFUNCTION("""COMPUTED_VALUE"""),"| 1 P Python @ | 3 P JAVA @ | 5 L NS @ | 6 L CPT @ ")</f>
        <v xml:space="preserve">| 1 P Python @ | 3 P JAVA @ | 5 L NS @ | 6 L CPT @ </v>
      </c>
      <c r="CE363" s="4" t="str">
        <f ca="1">IFERROR(__xludf.DUMMYFUNCTION("""COMPUTED_VALUE"""),"| 1 P NS % | 3 L CPT @ | 4 L PHP-CGM @ ")</f>
        <v xml:space="preserve">| 1 P NS % | 3 L CPT @ | 4 L PHP-CGM @ </v>
      </c>
      <c r="CF363" s="4" t="str">
        <f ca="1">IFERROR(__xludf.DUMMYFUNCTION("""COMPUTED_VALUE"""),"| 1 P Python % | 4 L JAVA @ | 3 L PHP-CGM @ | 5 L PRO % ")</f>
        <v xml:space="preserve">| 1 P Python % | 4 L JAVA @ | 3 L PHP-CGM @ | 5 L PRO % </v>
      </c>
      <c r="CG363" s="4" t="str">
        <f ca="1">IFERROR(__xludf.DUMMYFUNCTION("""COMPUTED_VALUE"""),"| 1 L JAVA @ | 2 L PHP-CGM % | 6 L NS % | 3 P JAVA % ")</f>
        <v xml:space="preserve">| 1 L JAVA @ | 2 L PHP-CGM % | 6 L NS % | 3 P JAVA % </v>
      </c>
      <c r="CH363" s="4" t="str">
        <f ca="1">IFERROR(__xludf.DUMMYFUNCTION("""COMPUTED_VALUE"""),"| 1 L INE @ | 3 P CPT % | 5 L JAVA % | 6 L NS @ ")</f>
        <v xml:space="preserve">| 1 L INE @ | 3 P CPT % | 5 L JAVA % | 6 L NS @ </v>
      </c>
      <c r="CI363" s="4" t="str">
        <f ca="1">IFERROR(__xludf.DUMMYFUNCTION("""COMPUTED_VALUE"""),"| 5 L NS @ | 6 L CPT @ ")</f>
        <v xml:space="preserve">| 5 L NS @ | 6 L CPT @ </v>
      </c>
      <c r="CJ363" s="4" t="str">
        <f ca="1">IFERROR(__xludf.DUMMYFUNCTION("""COMPUTED_VALUE"""),"| 1 P NS % | 3 L CPT @ ")</f>
        <v xml:space="preserve">| 1 P NS % | 3 L CPT @ </v>
      </c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</row>
    <row r="364" spans="1:102" ht="12.5" x14ac:dyDescent="0.25">
      <c r="A364" s="3">
        <f ca="1">IFERROR(__xludf.DUMMYFUNCTION("""COMPUTED_VALUE"""),2)</f>
        <v>2</v>
      </c>
      <c r="B364" s="3" t="str">
        <f ca="1">IFERROR(__xludf.DUMMYFUNCTION("""COMPUTED_VALUE"""),"ITA")</f>
        <v>ITA</v>
      </c>
      <c r="C364" s="32" t="str">
        <f ca="1">IFERROR(__xludf.DUMMYFUNCTION("""COMPUTED_VALUE"""),"23291371048")</f>
        <v>23291371048</v>
      </c>
      <c r="D364" s="4" t="str">
        <f ca="1">IFERROR(__xludf.DUMMYFUNCTION("""COMPUTED_VALUE"""),"PANCHAL MESHWA MAHESHBHAI")</f>
        <v>PANCHAL MESHWA MAHESHBHAI</v>
      </c>
      <c r="E364" s="3" t="str">
        <f ca="1">IFERROR(__xludf.DUMMYFUNCTION("""COMPUTED_VALUE"""),"Sweety - Mor")</f>
        <v>Sweety - Mor</v>
      </c>
      <c r="F364" s="3">
        <f ca="1">IFERROR(__xludf.DUMMYFUNCTION("""COMPUTED_VALUE"""),9974898173)</f>
        <v>9974898173</v>
      </c>
      <c r="G364" s="3">
        <f ca="1">IFERROR(__xludf.DUMMYFUNCTION("""COMPUTED_VALUE"""),9913429511)</f>
        <v>9913429511</v>
      </c>
      <c r="H364" s="33">
        <f ca="1">IFERROR(__xludf.DUMMYFUNCTION("""COMPUTED_VALUE"""),0.565040650406504)</f>
        <v>0.56504065040650397</v>
      </c>
      <c r="I364" s="25">
        <f ca="1">IFERROR(__xludf.DUMMYFUNCTION("""COMPUTED_VALUE"""),0.485714285714285)</f>
        <v>0.48571428571428499</v>
      </c>
      <c r="J364" s="25">
        <f ca="1">IFERROR(__xludf.DUMMYFUNCTION("""COMPUTED_VALUE"""),0.583333333333333)</f>
        <v>0.58333333333333304</v>
      </c>
      <c r="K364" s="25">
        <f ca="1">IFERROR(__xludf.DUMMYFUNCTION("""COMPUTED_VALUE"""),0.444444444444444)</f>
        <v>0.44444444444444398</v>
      </c>
      <c r="L364" s="25">
        <f ca="1">IFERROR(__xludf.DUMMYFUNCTION("""COMPUTED_VALUE"""),0.666666666666666)</f>
        <v>0.66666666666666596</v>
      </c>
      <c r="M364" s="25">
        <f ca="1">IFERROR(__xludf.DUMMYFUNCTION("""COMPUTED_VALUE"""),0.684210526315789)</f>
        <v>0.68421052631578905</v>
      </c>
      <c r="N364" s="25">
        <f ca="1">IFERROR(__xludf.DUMMYFUNCTION("""COMPUTED_VALUE"""),0.375)</f>
        <v>0.375</v>
      </c>
      <c r="O364" s="25">
        <f ca="1">IFERROR(__xludf.DUMMYFUNCTION("""COMPUTED_VALUE"""),0.583333333333333)</f>
        <v>0.58333333333333304</v>
      </c>
      <c r="P364" s="25">
        <f ca="1">IFERROR(__xludf.DUMMYFUNCTION("""COMPUTED_VALUE"""),0.68)</f>
        <v>0.68</v>
      </c>
      <c r="Q364" s="25">
        <f ca="1">IFERROR(__xludf.DUMMYFUNCTION("""COMPUTED_VALUE"""),0)</f>
        <v>0</v>
      </c>
      <c r="R364" s="25">
        <f ca="1">IFERROR(__xludf.DUMMYFUNCTION("""COMPUTED_VALUE"""),0.666666666666666)</f>
        <v>0.66666666666666596</v>
      </c>
      <c r="S364" s="25">
        <f ca="1">IFERROR(__xludf.DUMMYFUNCTION("""COMPUTED_VALUE"""),0.333333333333333)</f>
        <v>0.33333333333333298</v>
      </c>
      <c r="T364" s="25">
        <f ca="1">IFERROR(__xludf.DUMMYFUNCTION("""COMPUTED_VALUE"""),0.222222222222222)</f>
        <v>0.22222222222222199</v>
      </c>
      <c r="U364" s="25">
        <f ca="1">IFERROR(__xludf.DUMMYFUNCTION("""COMPUTED_VALUE"""),0.625)</f>
        <v>0.625</v>
      </c>
      <c r="V364" s="25">
        <f ca="1">IFERROR(__xludf.DUMMYFUNCTION("""COMPUTED_VALUE"""),0)</f>
        <v>0</v>
      </c>
      <c r="W364" s="4"/>
      <c r="X364" s="4" t="str">
        <f ca="1">IFERROR(__xludf.DUMMYFUNCTION("""COMPUTED_VALUE"""),"| 1 P Python % | 4 L JAVA % | 3 L PHP-CGM % | 1 L PRO @ ")</f>
        <v xml:space="preserve">| 1 P Python % | 4 L JAVA % | 3 L PHP-CGM % | 1 L PRO @ </v>
      </c>
      <c r="Y36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64" s="4" t="str">
        <f ca="1">IFERROR(__xludf.DUMMYFUNCTION("""COMPUTED_VALUE"""),"| 3 P CPT @ | 5 L JAVA @ | 6 L NS @ ")</f>
        <v xml:space="preserve">| 3 P CPT @ | 5 L JAVA @ | 6 L NS @ </v>
      </c>
      <c r="AA364" s="4" t="str">
        <f ca="1">IFERROR(__xludf.DUMMYFUNCTION("""COMPUTED_VALUE"""),"| 1 P Python % | 5 P JAVA % | 5 L NS % | 6 L CPT % ")</f>
        <v xml:space="preserve">| 1 P Python % | 5 P JAVA % | 5 L NS % | 6 L CPT % </v>
      </c>
      <c r="AB364" s="4" t="str">
        <f ca="1">IFERROR(__xludf.DUMMYFUNCTION("""COMPUTED_VALUE"""),"| 1 P NS % | 3 L CPT % | 5 P PHP-CGM % | 4 L PHP-CGM % ")</f>
        <v xml:space="preserve">| 1 P NS % | 3 L CPT % | 5 P PHP-CGM % | 4 L PHP-CGM % </v>
      </c>
      <c r="AC364" s="4" t="str">
        <f ca="1">IFERROR(__xludf.DUMMYFUNCTION("""COMPUTED_VALUE"""),"| 1 P Python % | 3 L PHP-CGM % | 5 P PRO @ ")</f>
        <v xml:space="preserve">| 1 P Python % | 3 L PHP-CGM % | 5 P PRO @ </v>
      </c>
      <c r="AD364" s="4" t="str">
        <f ca="1">IFERROR(__xludf.DUMMYFUNCTION("""COMPUTED_VALUE"""),"| 1 L JAVA % | 2 L PHP-CGM % | 3 P JAVA % | 6 L NS % | 5 L CPT @ ")</f>
        <v xml:space="preserve">| 1 L JAVA % | 2 L PHP-CGM % | 3 P JAVA % | 6 L NS % | 5 L CPT @ </v>
      </c>
      <c r="AE364" s="4" t="str">
        <f ca="1">IFERROR(__xludf.DUMMYFUNCTION("""COMPUTED_VALUE"""),"| 3 P CPT % | 5 L JAVA % | 6 L NS % ")</f>
        <v xml:space="preserve">| 3 P CPT % | 5 L JAVA % | 6 L NS % </v>
      </c>
      <c r="AF364" s="4" t="str">
        <f ca="1">IFERROR(__xludf.DUMMYFUNCTION("""COMPUTED_VALUE"""),"| 1 P Python % | 3 P JAVA % | 5 L NS % | 6 L CPT % ")</f>
        <v xml:space="preserve">| 1 P Python % | 3 P JAVA % | 5 L NS % | 6 L CPT % </v>
      </c>
      <c r="AG364" s="4" t="str">
        <f ca="1">IFERROR(__xludf.DUMMYFUNCTION("""COMPUTED_VALUE"""),"| 1 P NS % | 3 L CPT % | 4 L PHP-CGM % | 5 P PHP-CGM @ ")</f>
        <v xml:space="preserve">| 1 P NS % | 3 L CPT % | 4 L PHP-CGM % | 5 P PHP-CGM @ </v>
      </c>
      <c r="AH364" s="4" t="str">
        <f ca="1">IFERROR(__xludf.DUMMYFUNCTION("""COMPUTED_VALUE"""),"| 1 P Python % | 3 P JAVA % | 5 L NS % | 6 L CPT % ")</f>
        <v xml:space="preserve">| 1 P Python % | 3 P JAVA % | 5 L NS % | 6 L CPT % </v>
      </c>
      <c r="AI364" s="4" t="str">
        <f ca="1">IFERROR(__xludf.DUMMYFUNCTION("""COMPUTED_VALUE"""),"| 1 P NS % | 3 L CPT % | 4 L PHP-CGM % | 5 P PHP-CGM % ")</f>
        <v xml:space="preserve">| 1 P NS % | 3 L CPT % | 4 L PHP-CGM % | 5 P PHP-CGM % </v>
      </c>
      <c r="AJ364" s="4" t="str">
        <f ca="1">IFERROR(__xludf.DUMMYFUNCTION("""COMPUTED_VALUE"""),"| 1 P Python % | 3 L PHP-CGM % | 4 L JAVA % | 5 P PRO @ ")</f>
        <v xml:space="preserve">| 1 P Python % | 3 L PHP-CGM % | 4 L JAVA % | 5 P PRO @ </v>
      </c>
      <c r="AK364" s="4" t="str">
        <f ca="1">IFERROR(__xludf.DUMMYFUNCTION("""COMPUTED_VALUE"""),"| 1 L JAVA % | 2 L PHP-CGM % | 3 P JAVA @ | 5 L CPT @ | 6 L NS @ ")</f>
        <v xml:space="preserve">| 1 L JAVA % | 2 L PHP-CGM % | 3 P JAVA @ | 5 L CPT @ | 6 L NS @ </v>
      </c>
      <c r="AL364" s="4" t="str">
        <f ca="1">IFERROR(__xludf.DUMMYFUNCTION("""COMPUTED_VALUE"""),"| 3 P CPT @ | 5 L JAVA @ | 6 L NS @ ")</f>
        <v xml:space="preserve">| 3 P CPT @ | 5 L JAVA @ | 6 L NS @ </v>
      </c>
      <c r="AM364" s="4" t="str">
        <f ca="1">IFERROR(__xludf.DUMMYFUNCTION("""COMPUTED_VALUE"""),"| 1 P Python % | 3 P JAVA % | 5 L NS % | 6 L CPT % ")</f>
        <v xml:space="preserve">| 1 P Python % | 3 P JAVA % | 5 L NS % | 6 L CPT % </v>
      </c>
      <c r="AN364" s="4" t="str">
        <f ca="1">IFERROR(__xludf.DUMMYFUNCTION("""COMPUTED_VALUE"""),"| 1 P NS @ | 4 L PHP-CGM @ | 5 P PHP-CGM @ ")</f>
        <v xml:space="preserve">| 1 P NS @ | 4 L PHP-CGM @ | 5 P PHP-CGM @ </v>
      </c>
      <c r="AO364" s="4" t="str">
        <f ca="1">IFERROR(__xludf.DUMMYFUNCTION("""COMPUTED_VALUE"""),"| 1 P Python @ | 3 L PHP-CGM @ | 4 L JAVA @ | 5 P PRO @ ")</f>
        <v xml:space="preserve">| 1 P Python @ | 3 L PHP-CGM @ | 4 L JAVA @ | 5 P PRO @ </v>
      </c>
      <c r="AP364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Q364" s="4" t="str">
        <f ca="1">IFERROR(__xludf.DUMMYFUNCTION("""COMPUTED_VALUE"""),"| 1 L INE @ | 3 P CPT @ | 5 L JAVA @ | 6 L NS @ ")</f>
        <v xml:space="preserve">| 1 L INE @ | 3 P CPT @ | 5 L JAVA @ | 6 L NS @ </v>
      </c>
      <c r="AR364" s="4" t="str">
        <f ca="1">IFERROR(__xludf.DUMMYFUNCTION("""COMPUTED_VALUE"""),"| 1 P Python @ | 3 L CPT @ | 3 P JAVA @ | 5 L NS @ | 6 L CPT @ ")</f>
        <v xml:space="preserve">| 1 P Python @ | 3 L CPT @ | 3 P JAVA @ | 5 L NS @ | 6 L CPT @ </v>
      </c>
      <c r="AS364" s="4" t="str">
        <f ca="1">IFERROR(__xludf.DUMMYFUNCTION("""COMPUTED_VALUE"""),"| 1 P Python % | 3 L PHP-CGM % | 4 L JAVA % | 5 P PRO @ ")</f>
        <v xml:space="preserve">| 1 P Python % | 3 L PHP-CGM % | 4 L JAVA % | 5 P PRO @ </v>
      </c>
      <c r="AT364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AU364" s="4" t="str">
        <f ca="1">IFERROR(__xludf.DUMMYFUNCTION("""COMPUTED_VALUE"""),"| 1 L INE % | 3 P CPT % | 5 L JAVA % | 6 L NS % ")</f>
        <v xml:space="preserve">| 1 L INE % | 3 P CPT % | 5 L JAVA % | 6 L NS % </v>
      </c>
      <c r="AV364" s="4" t="str">
        <f ca="1">IFERROR(__xludf.DUMMYFUNCTION("""COMPUTED_VALUE"""),"| 1 P Python % | 3 P JAVA % | 5 L NS % | 6 L CPT % ")</f>
        <v xml:space="preserve">| 1 P Python % | 3 P JAVA % | 5 L NS % | 6 L CPT % </v>
      </c>
      <c r="AW364" s="4" t="str">
        <f ca="1">IFERROR(__xludf.DUMMYFUNCTION("""COMPUTED_VALUE"""),"| 1 P NS % | 3 L CPT % | 4 L PHP-CGM % | 5 P PHP-CGM @ ")</f>
        <v xml:space="preserve">| 1 P NS % | 3 L CPT % | 4 L PHP-CGM % | 5 P PHP-CGM @ </v>
      </c>
      <c r="AX364" s="4" t="str">
        <f ca="1">IFERROR(__xludf.DUMMYFUNCTION("""COMPUTED_VALUE"""),"| 1 P Python @ | 3 L JAVA @ | 4 L PHP-CGM @ | 5 P PRO @ ")</f>
        <v xml:space="preserve">| 1 P Python @ | 3 L JAVA @ | 4 L PHP-CGM @ | 5 P PRO @ </v>
      </c>
      <c r="AY364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64" s="4" t="str">
        <f ca="1">IFERROR(__xludf.DUMMYFUNCTION("""COMPUTED_VALUE"""),"| 1 P Python @ | 3 P JAVA @ | 5 L NS @ | 6 L CPT % ")</f>
        <v xml:space="preserve">| 1 P Python @ | 3 P JAVA @ | 5 L NS @ | 6 L CPT % </v>
      </c>
      <c r="BA364" s="4" t="str">
        <f ca="1">IFERROR(__xludf.DUMMYFUNCTION("""COMPUTED_VALUE"""),"| 1 P NS % | 3 L CPT @ | 4 L PHP-CGM @ | 5 P PHP-CGM @ ")</f>
        <v xml:space="preserve">| 1 P NS % | 3 L CPT @ | 4 L PHP-CGM @ | 5 P PHP-CGM @ </v>
      </c>
      <c r="BB364" s="4" t="str">
        <f ca="1">IFERROR(__xludf.DUMMYFUNCTION("""COMPUTED_VALUE"""),"| 1 P Python % | 3 L PHP-CGM % | 4 L JAVA % | 5 L PRO @ ")</f>
        <v xml:space="preserve">| 1 P Python % | 3 L PHP-CGM % | 4 L JAVA % | 5 L PRO @ </v>
      </c>
      <c r="BC36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64" s="4" t="str">
        <f ca="1">IFERROR(__xludf.DUMMYFUNCTION("""COMPUTED_VALUE"""),"| 1 L INE % | 3 P CPT % | 5 L JAVA % | 6 L NS % ")</f>
        <v xml:space="preserve">| 1 L INE % | 3 P CPT % | 5 L JAVA % | 6 L NS % </v>
      </c>
      <c r="BE364" s="4" t="str">
        <f ca="1">IFERROR(__xludf.DUMMYFUNCTION("""COMPUTED_VALUE"""),"| 1 P Python % | 3 P JAVA % | 5 L NS @ | 6 L CPT @ ")</f>
        <v xml:space="preserve">| 1 P Python % | 3 P JAVA % | 5 L NS @ | 6 L CPT @ </v>
      </c>
      <c r="BF364" s="4" t="str">
        <f ca="1">IFERROR(__xludf.DUMMYFUNCTION("""COMPUTED_VALUE"""),"| 1 P NS @ | 3 L CPT @ | 4 L PHP-CGM @ ")</f>
        <v xml:space="preserve">| 1 P NS @ | 3 L CPT @ | 4 L PHP-CGM @ </v>
      </c>
      <c r="BG36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64" s="4" t="str">
        <f ca="1">IFERROR(__xludf.DUMMYFUNCTION("""COMPUTED_VALUE"""),"| 1 L INE % | 3 P CPT % | 5 L JAVA @ | 6 L NS @ ")</f>
        <v xml:space="preserve">| 1 L INE % | 3 P CPT % | 5 L JAVA @ | 6 L NS @ </v>
      </c>
      <c r="BI364" s="4" t="str">
        <f ca="1">IFERROR(__xludf.DUMMYFUNCTION("""COMPUTED_VALUE"""),"| 1 P Python @ | 3 P JAVA @ | 5 L NS @ | 6 L CPT @ ")</f>
        <v xml:space="preserve">| 1 P Python @ | 3 P JAVA @ | 5 L NS @ | 6 L CPT @ </v>
      </c>
      <c r="BJ364" s="4" t="str">
        <f ca="1">IFERROR(__xludf.DUMMYFUNCTION("""COMPUTED_VALUE"""),"| 1 P NS % | 3 L CPT % | 4 L PHP-CGM % | 5 P PHP-CGM @ ")</f>
        <v xml:space="preserve">| 1 P NS % | 3 L CPT % | 4 L PHP-CGM % | 5 P PHP-CGM @ </v>
      </c>
      <c r="BK364" s="4" t="str">
        <f ca="1">IFERROR(__xludf.DUMMYFUNCTION("""COMPUTED_VALUE"""),"| 1 P Python @ | 3 L PHP-CGM @ | 4 L JAVA @ | 5 P PRO @ ")</f>
        <v xml:space="preserve">| 1 P Python @ | 3 L PHP-CGM @ | 4 L JAVA @ | 5 P PRO @ </v>
      </c>
      <c r="BL364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64" s="4" t="str">
        <f ca="1">IFERROR(__xludf.DUMMYFUNCTION("""COMPUTED_VALUE"""),"| 1 L INE @ | 3 P CPT @ | 5 L JAVA @ | 6 L NS % ")</f>
        <v xml:space="preserve">| 1 L INE @ | 3 P CPT @ | 5 L JAVA @ | 6 L NS % </v>
      </c>
      <c r="BN364" s="4" t="str">
        <f ca="1">IFERROR(__xludf.DUMMYFUNCTION("""COMPUTED_VALUE"""),"| 1 P Python @ | 3 P JAVA @ | 5 L NS @ | 6 L CPT @ ")</f>
        <v xml:space="preserve">| 1 P Python @ | 3 P JAVA @ | 5 L NS @ | 6 L CPT @ </v>
      </c>
      <c r="BO364" s="4" t="str">
        <f ca="1">IFERROR(__xludf.DUMMYFUNCTION("""COMPUTED_VALUE"""),"| 1 P NS @ | 4 L PHP-CGM @ | 3 L CPT @ ")</f>
        <v xml:space="preserve">| 1 P NS @ | 4 L PHP-CGM @ | 3 L CPT @ </v>
      </c>
      <c r="BP364" s="4" t="str">
        <f ca="1">IFERROR(__xludf.DUMMYFUNCTION("""COMPUTED_VALUE"""),"| 3 L PHP-CGM % | 4 L JAVA % | 5 P PRO @ ")</f>
        <v xml:space="preserve">| 3 L PHP-CGM % | 4 L JAVA % | 5 P PRO @ </v>
      </c>
      <c r="BQ364" s="4" t="str">
        <f ca="1">IFERROR(__xludf.DUMMYFUNCTION("""COMPUTED_VALUE"""),"| 6 L NS % | 5 L JAVA @ | 3 P CPT % ")</f>
        <v xml:space="preserve">| 6 L NS % | 5 L JAVA @ | 3 P CPT % </v>
      </c>
      <c r="BR364" s="4"/>
      <c r="BS364" s="4" t="str">
        <f ca="1">IFERROR(__xludf.DUMMYFUNCTION("""COMPUTED_VALUE"""),"| 4 L PHP-CGM % ")</f>
        <v xml:space="preserve">| 4 L PHP-CGM % </v>
      </c>
      <c r="BT364" s="4" t="str">
        <f ca="1">IFERROR(__xludf.DUMMYFUNCTION("""COMPUTED_VALUE"""),"| 1 P Python @ | 3 L PHP-CGM @ ")</f>
        <v xml:space="preserve">| 1 P Python @ | 3 L PHP-CGM @ </v>
      </c>
      <c r="BU364" s="4" t="str">
        <f ca="1">IFERROR(__xludf.DUMMYFUNCTION("""COMPUTED_VALUE"""),"| 1 L JAVA % | 2 L PHP-CGM @ | 3 P JAVA % ")</f>
        <v xml:space="preserve">| 1 L JAVA % | 2 L PHP-CGM @ | 3 P JAVA % </v>
      </c>
      <c r="BV364" s="4" t="str">
        <f ca="1">IFERROR(__xludf.DUMMYFUNCTION("""COMPUTED_VALUE"""),"| 1 P Python % | 3 L PHP-CGM % | 4 L JAVA % | 5 P PRO % ")</f>
        <v xml:space="preserve">| 1 P Python % | 3 L PHP-CGM % | 4 L JAVA % | 5 P PRO % </v>
      </c>
      <c r="BW364" s="4" t="str">
        <f ca="1">IFERROR(__xludf.DUMMYFUNCTION("""COMPUTED_VALUE"""),"| 1 L JAVA % | 2 L PHP-CGM % | 3 P JAVA % ")</f>
        <v xml:space="preserve">| 1 L JAVA % | 2 L PHP-CGM % | 3 P JAVA % </v>
      </c>
      <c r="BX364" s="4" t="str">
        <f ca="1">IFERROR(__xludf.DUMMYFUNCTION("""COMPUTED_VALUE"""),"| 1 L INE @ | 3 P CPT % | 5 L JAVA @ | 6 L NS @ ")</f>
        <v xml:space="preserve">| 1 L INE @ | 3 P CPT % | 5 L JAVA @ | 6 L NS @ </v>
      </c>
      <c r="BY364" s="4" t="str">
        <f ca="1">IFERROR(__xludf.DUMMYFUNCTION("""COMPUTED_VALUE"""),"| 1 P Python % | 3 P JAVA % | 5 L NS @ | 6 L CPT @ ")</f>
        <v xml:space="preserve">| 1 P Python % | 3 P JAVA % | 5 L NS @ | 6 L CPT @ </v>
      </c>
      <c r="BZ364" s="4" t="str">
        <f ca="1">IFERROR(__xludf.DUMMYFUNCTION("""COMPUTED_VALUE"""),"| 1 P NS % | 3 L CPT % | 4 L PHP-CGM % | 5 P PHP-CGM % ")</f>
        <v xml:space="preserve">| 1 P NS % | 3 L CPT % | 4 L PHP-CGM % | 5 P PHP-CGM % </v>
      </c>
      <c r="CA364" s="4" t="str">
        <f ca="1">IFERROR(__xludf.DUMMYFUNCTION("""COMPUTED_VALUE"""),"| 1 P Python % | 3 L PHP-CGM % | 3 L JAVA % | 5 P PRO % ")</f>
        <v xml:space="preserve">| 1 P Python % | 3 L PHP-CGM % | 3 L JAVA % | 5 P PRO % </v>
      </c>
      <c r="CB364" s="4" t="str">
        <f ca="1">IFERROR(__xludf.DUMMYFUNCTION("""COMPUTED_VALUE"""),"| 1 L JAVA % | 2 L PHP-CGM % | 3 P JAVA @ | 6 L NS % | 5 L CPT % ")</f>
        <v xml:space="preserve">| 1 L JAVA % | 2 L PHP-CGM % | 3 P JAVA @ | 6 L NS % | 5 L CPT % </v>
      </c>
      <c r="CC364" s="4" t="str">
        <f ca="1">IFERROR(__xludf.DUMMYFUNCTION("""COMPUTED_VALUE"""),"| 1 L INE % | 3 P CPT @ | 5 L JAVA @ | 6 L NS @ ")</f>
        <v xml:space="preserve">| 1 L INE % | 3 P CPT @ | 5 L JAVA @ | 6 L NS @ </v>
      </c>
      <c r="CD364" s="4" t="str">
        <f ca="1">IFERROR(__xludf.DUMMYFUNCTION("""COMPUTED_VALUE"""),"| 1 P Python % | 3 P JAVA % | 5 L NS @ | 6 L CPT @ ")</f>
        <v xml:space="preserve">| 1 P Python % | 3 P JAVA % | 5 L NS @ | 6 L CPT @ </v>
      </c>
      <c r="CE364" s="4" t="str">
        <f ca="1">IFERROR(__xludf.DUMMYFUNCTION("""COMPUTED_VALUE"""),"| 1 P NS @ | 3 L CPT @ | 4 L PHP-CGM @ ")</f>
        <v xml:space="preserve">| 1 P NS @ | 3 L CPT @ | 4 L PHP-CGM @ </v>
      </c>
      <c r="CF364" s="4" t="str">
        <f ca="1">IFERROR(__xludf.DUMMYFUNCTION("""COMPUTED_VALUE"""),"| 1 P Python % | 4 L JAVA % | 3 L PHP-CGM % | 5 L PRO % ")</f>
        <v xml:space="preserve">| 1 P Python % | 4 L JAVA % | 3 L PHP-CGM % | 5 L PRO % </v>
      </c>
      <c r="CG364" s="4" t="str">
        <f ca="1">IFERROR(__xludf.DUMMYFUNCTION("""COMPUTED_VALUE"""),"| 1 L JAVA @ | 2 L PHP-CGM % | 6 L NS @ | 3 P JAVA % ")</f>
        <v xml:space="preserve">| 1 L JAVA @ | 2 L PHP-CGM % | 6 L NS @ | 3 P JAVA % </v>
      </c>
      <c r="CH364" s="4" t="str">
        <f ca="1">IFERROR(__xludf.DUMMYFUNCTION("""COMPUTED_VALUE"""),"| 1 L INE % | 3 P CPT % | 5 L JAVA @ | 6 L NS @ ")</f>
        <v xml:space="preserve">| 1 L INE % | 3 P CPT % | 5 L JAVA @ | 6 L NS @ </v>
      </c>
      <c r="CI364" s="4" t="str">
        <f ca="1">IFERROR(__xludf.DUMMYFUNCTION("""COMPUTED_VALUE"""),"| 5 L NS @ | 6 L CPT @ ")</f>
        <v xml:space="preserve">| 5 L NS @ | 6 L CPT @ </v>
      </c>
      <c r="CJ364" s="4" t="str">
        <f ca="1">IFERROR(__xludf.DUMMYFUNCTION("""COMPUTED_VALUE"""),"| 1 P NS % | 3 L CPT @ ")</f>
        <v xml:space="preserve">| 1 P NS % | 3 L CPT @ </v>
      </c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</row>
    <row r="365" spans="1:102" ht="12.5" x14ac:dyDescent="0.25">
      <c r="A365" s="3">
        <f ca="1">IFERROR(__xludf.DUMMYFUNCTION("""COMPUTED_VALUE"""),2)</f>
        <v>2</v>
      </c>
      <c r="B365" s="3" t="str">
        <f ca="1">IFERROR(__xludf.DUMMYFUNCTION("""COMPUTED_VALUE"""),"ITA")</f>
        <v>ITA</v>
      </c>
      <c r="C365" s="32" t="str">
        <f ca="1">IFERROR(__xludf.DUMMYFUNCTION("""COMPUTED_VALUE"""),"23291371050")</f>
        <v>23291371050</v>
      </c>
      <c r="D365" s="4" t="str">
        <f ca="1">IFERROR(__xludf.DUMMYFUNCTION("""COMPUTED_VALUE"""),"PANCHAL TRUSHTIBEN ANITKUMAR")</f>
        <v>PANCHAL TRUSHTIBEN ANITKUMAR</v>
      </c>
      <c r="E365" s="3" t="str">
        <f ca="1">IFERROR(__xludf.DUMMYFUNCTION("""COMPUTED_VALUE"""),"Sweety - Mor")</f>
        <v>Sweety - Mor</v>
      </c>
      <c r="F365" s="3">
        <f ca="1">IFERROR(__xludf.DUMMYFUNCTION("""COMPUTED_VALUE"""),9313361912)</f>
        <v>9313361912</v>
      </c>
      <c r="G365" s="3">
        <f ca="1">IFERROR(__xludf.DUMMYFUNCTION("""COMPUTED_VALUE"""),9537140168)</f>
        <v>9537140168</v>
      </c>
      <c r="H365" s="33">
        <f ca="1">IFERROR(__xludf.DUMMYFUNCTION("""COMPUTED_VALUE"""),0.621951219512195)</f>
        <v>0.62195121951219501</v>
      </c>
      <c r="I365" s="25">
        <f ca="1">IFERROR(__xludf.DUMMYFUNCTION("""COMPUTED_VALUE"""),0.6)</f>
        <v>0.6</v>
      </c>
      <c r="J365" s="25">
        <f ca="1">IFERROR(__xludf.DUMMYFUNCTION("""COMPUTED_VALUE"""),0.833333333333333)</f>
        <v>0.83333333333333304</v>
      </c>
      <c r="K365" s="25">
        <f ca="1">IFERROR(__xludf.DUMMYFUNCTION("""COMPUTED_VALUE"""),0.638888888888888)</f>
        <v>0.63888888888888795</v>
      </c>
      <c r="L365" s="25">
        <f ca="1">IFERROR(__xludf.DUMMYFUNCTION("""COMPUTED_VALUE"""),0.583333333333333)</f>
        <v>0.58333333333333304</v>
      </c>
      <c r="M365" s="25">
        <f ca="1">IFERROR(__xludf.DUMMYFUNCTION("""COMPUTED_VALUE"""),0.605263157894736)</f>
        <v>0.60526315789473595</v>
      </c>
      <c r="N365" s="25">
        <f ca="1">IFERROR(__xludf.DUMMYFUNCTION("""COMPUTED_VALUE"""),0.625)</f>
        <v>0.625</v>
      </c>
      <c r="O365" s="25">
        <f ca="1">IFERROR(__xludf.DUMMYFUNCTION("""COMPUTED_VALUE"""),0.527777777777777)</f>
        <v>0.52777777777777701</v>
      </c>
      <c r="P365" s="25">
        <f ca="1">IFERROR(__xludf.DUMMYFUNCTION("""COMPUTED_VALUE"""),0.76)</f>
        <v>0.76</v>
      </c>
      <c r="Q365" s="25">
        <f ca="1">IFERROR(__xludf.DUMMYFUNCTION("""COMPUTED_VALUE"""),0)</f>
        <v>0</v>
      </c>
      <c r="R365" s="25">
        <f ca="1">IFERROR(__xludf.DUMMYFUNCTION("""COMPUTED_VALUE"""),0.625)</f>
        <v>0.625</v>
      </c>
      <c r="S365" s="25">
        <f ca="1">IFERROR(__xludf.DUMMYFUNCTION("""COMPUTED_VALUE"""),0.333333333333333)</f>
        <v>0.33333333333333298</v>
      </c>
      <c r="T365" s="25">
        <f ca="1">IFERROR(__xludf.DUMMYFUNCTION("""COMPUTED_VALUE"""),0.444444444444444)</f>
        <v>0.44444444444444398</v>
      </c>
      <c r="U365" s="25">
        <f ca="1">IFERROR(__xludf.DUMMYFUNCTION("""COMPUTED_VALUE"""),0.75)</f>
        <v>0.75</v>
      </c>
      <c r="V365" s="25">
        <f ca="1">IFERROR(__xludf.DUMMYFUNCTION("""COMPUTED_VALUE"""),0)</f>
        <v>0</v>
      </c>
      <c r="W365" s="4"/>
      <c r="X365" s="4" t="str">
        <f ca="1">IFERROR(__xludf.DUMMYFUNCTION("""COMPUTED_VALUE"""),"| 1 P Python @ | 4 L JAVA @ | 3 L PHP-CGM @ | 1 L PRO @ ")</f>
        <v xml:space="preserve">| 1 P Python @ | 4 L JAVA @ | 3 L PHP-CGM @ | 1 L PRO @ </v>
      </c>
      <c r="Y365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65" s="4" t="str">
        <f ca="1">IFERROR(__xludf.DUMMYFUNCTION("""COMPUTED_VALUE"""),"| 3 P CPT % | 5 L JAVA @ | 6 L NS % ")</f>
        <v xml:space="preserve">| 3 P CPT % | 5 L JAVA @ | 6 L NS % </v>
      </c>
      <c r="AA365" s="4" t="str">
        <f ca="1">IFERROR(__xludf.DUMMYFUNCTION("""COMPUTED_VALUE"""),"| 1 P Python % | 5 P JAVA % | 5 L NS % | 6 L CPT % ")</f>
        <v xml:space="preserve">| 1 P Python % | 5 P JAVA % | 5 L NS % | 6 L CPT % </v>
      </c>
      <c r="AB365" s="4" t="str">
        <f ca="1">IFERROR(__xludf.DUMMYFUNCTION("""COMPUTED_VALUE"""),"| 1 P NS @ | 3 L CPT @ | 5 P PHP-CGM @ | 4 L PHP-CGM @ ")</f>
        <v xml:space="preserve">| 1 P NS @ | 3 L CPT @ | 5 P PHP-CGM @ | 4 L PHP-CGM @ </v>
      </c>
      <c r="AC365" s="4" t="str">
        <f ca="1">IFERROR(__xludf.DUMMYFUNCTION("""COMPUTED_VALUE"""),"| 1 P Python % | 3 L PHP-CGM % | 5 P PRO % ")</f>
        <v xml:space="preserve">| 1 P Python % | 3 L PHP-CGM % | 5 P PRO % </v>
      </c>
      <c r="AD365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65" s="4" t="str">
        <f ca="1">IFERROR(__xludf.DUMMYFUNCTION("""COMPUTED_VALUE"""),"| 3 P CPT % | 5 L JAVA % | 6 L NS % ")</f>
        <v xml:space="preserve">| 3 P CPT % | 5 L JAVA % | 6 L NS % </v>
      </c>
      <c r="AF365" s="4" t="str">
        <f ca="1">IFERROR(__xludf.DUMMYFUNCTION("""COMPUTED_VALUE"""),"| 1 P Python % | 3 P JAVA % | 5 L NS % | 6 L CPT % ")</f>
        <v xml:space="preserve">| 1 P Python % | 3 P JAVA % | 5 L NS % | 6 L CPT % </v>
      </c>
      <c r="AG365" s="4" t="str">
        <f ca="1">IFERROR(__xludf.DUMMYFUNCTION("""COMPUTED_VALUE"""),"| 1 P NS % | 3 L CPT % | 4 L PHP-CGM % | 5 P PHP-CGM % ")</f>
        <v xml:space="preserve">| 1 P NS % | 3 L CPT % | 4 L PHP-CGM % | 5 P PHP-CGM % </v>
      </c>
      <c r="AH365" s="4" t="str">
        <f ca="1">IFERROR(__xludf.DUMMYFUNCTION("""COMPUTED_VALUE"""),"| 1 P Python % | 3 P JAVA % | 5 L NS % | 6 L CPT % ")</f>
        <v xml:space="preserve">| 1 P Python % | 3 P JAVA % | 5 L NS % | 6 L CPT % </v>
      </c>
      <c r="AI365" s="4" t="str">
        <f ca="1">IFERROR(__xludf.DUMMYFUNCTION("""COMPUTED_VALUE"""),"| 1 P NS % | 3 L CPT % | 4 L PHP-CGM % | 5 P PHP-CGM % ")</f>
        <v xml:space="preserve">| 1 P NS % | 3 L CPT % | 4 L PHP-CGM % | 5 P PHP-CGM % </v>
      </c>
      <c r="AJ365" s="4" t="str">
        <f ca="1">IFERROR(__xludf.DUMMYFUNCTION("""COMPUTED_VALUE"""),"| 1 P Python % | 3 L PHP-CGM % | 4 L JAVA % | 5 P PRO % ")</f>
        <v xml:space="preserve">| 1 P Python % | 3 L PHP-CGM % | 4 L JAVA % | 5 P PRO % </v>
      </c>
      <c r="AK36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65" s="4" t="str">
        <f ca="1">IFERROR(__xludf.DUMMYFUNCTION("""COMPUTED_VALUE"""),"| 3 P CPT % | 5 L JAVA % | 6 L NS % ")</f>
        <v xml:space="preserve">| 3 P CPT % | 5 L JAVA % | 6 L NS % </v>
      </c>
      <c r="AM365" s="4" t="str">
        <f ca="1">IFERROR(__xludf.DUMMYFUNCTION("""COMPUTED_VALUE"""),"| 1 P Python % | 3 P JAVA % | 5 L NS % | 6 L CPT % ")</f>
        <v xml:space="preserve">| 1 P Python % | 3 P JAVA % | 5 L NS % | 6 L CPT % </v>
      </c>
      <c r="AN365" s="4" t="str">
        <f ca="1">IFERROR(__xludf.DUMMYFUNCTION("""COMPUTED_VALUE"""),"| 1 P NS % | 4 L PHP-CGM % | 5 P PHP-CGM @ ")</f>
        <v xml:space="preserve">| 1 P NS % | 4 L PHP-CGM % | 5 P PHP-CGM @ </v>
      </c>
      <c r="AO365" s="4" t="str">
        <f ca="1">IFERROR(__xludf.DUMMYFUNCTION("""COMPUTED_VALUE"""),"| 1 P Python @ | 3 L PHP-CGM @ | 4 L JAVA @ | 5 P PRO @ ")</f>
        <v xml:space="preserve">| 1 P Python @ | 3 L PHP-CGM @ | 4 L JAVA @ | 5 P PRO @ </v>
      </c>
      <c r="AP365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AQ365" s="4" t="str">
        <f ca="1">IFERROR(__xludf.DUMMYFUNCTION("""COMPUTED_VALUE"""),"| 1 L INE @ | 3 P CPT @ | 5 L JAVA @ | 6 L NS @ ")</f>
        <v xml:space="preserve">| 1 L INE @ | 3 P CPT @ | 5 L JAVA @ | 6 L NS @ </v>
      </c>
      <c r="AR365" s="4" t="str">
        <f ca="1">IFERROR(__xludf.DUMMYFUNCTION("""COMPUTED_VALUE"""),"| 1 P Python @ | 3 L CPT % | 3 P JAVA @ | 5 L NS @ | 6 L CPT @ ")</f>
        <v xml:space="preserve">| 1 P Python @ | 3 L CPT % | 3 P JAVA @ | 5 L NS @ | 6 L CPT @ </v>
      </c>
      <c r="AS365" s="4" t="str">
        <f ca="1">IFERROR(__xludf.DUMMYFUNCTION("""COMPUTED_VALUE"""),"| 1 P Python % | 3 L PHP-CGM % | 4 L JAVA % | 5 P PRO % ")</f>
        <v xml:space="preserve">| 1 P Python % | 3 L PHP-CGM % | 4 L JAVA % | 5 P PRO % </v>
      </c>
      <c r="AT36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65" s="4" t="str">
        <f ca="1">IFERROR(__xludf.DUMMYFUNCTION("""COMPUTED_VALUE"""),"| 1 L INE % | 3 P CPT % | 5 L JAVA % | 6 L NS % ")</f>
        <v xml:space="preserve">| 1 L INE % | 3 P CPT % | 5 L JAVA % | 6 L NS % </v>
      </c>
      <c r="AV365" s="4" t="str">
        <f ca="1">IFERROR(__xludf.DUMMYFUNCTION("""COMPUTED_VALUE"""),"| 1 P Python @ | 3 P JAVA @ | 5 L NS @ | 6 L CPT @ ")</f>
        <v xml:space="preserve">| 1 P Python @ | 3 P JAVA @ | 5 L NS @ | 6 L CPT @ </v>
      </c>
      <c r="AW365" s="4" t="str">
        <f ca="1">IFERROR(__xludf.DUMMYFUNCTION("""COMPUTED_VALUE"""),"| 1 P NS % | 3 L CPT % | 4 L PHP-CGM % | 5 P PHP-CGM % ")</f>
        <v xml:space="preserve">| 1 P NS % | 3 L CPT % | 4 L PHP-CGM % | 5 P PHP-CGM % </v>
      </c>
      <c r="AX365" s="4" t="str">
        <f ca="1">IFERROR(__xludf.DUMMYFUNCTION("""COMPUTED_VALUE"""),"| 1 P Python % | 3 L JAVA % | 4 L PHP-CGM % | 5 P PRO % ")</f>
        <v xml:space="preserve">| 1 P Python % | 3 L JAVA % | 4 L PHP-CGM % | 5 P PRO % </v>
      </c>
      <c r="AY365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65" s="4" t="str">
        <f ca="1">IFERROR(__xludf.DUMMYFUNCTION("""COMPUTED_VALUE"""),"| 1 P Python % | 3 P JAVA % | 5 L NS % | 6 L CPT % ")</f>
        <v xml:space="preserve">| 1 P Python % | 3 P JAVA % | 5 L NS % | 6 L CPT % </v>
      </c>
      <c r="BA365" s="4" t="str">
        <f ca="1">IFERROR(__xludf.DUMMYFUNCTION("""COMPUTED_VALUE"""),"| 1 P NS @ | 3 L CPT @ | 4 L PHP-CGM @ | 5 P PHP-CGM @ ")</f>
        <v xml:space="preserve">| 1 P NS @ | 3 L CPT @ | 4 L PHP-CGM @ | 5 P PHP-CGM @ </v>
      </c>
      <c r="BB365" s="4" t="str">
        <f ca="1">IFERROR(__xludf.DUMMYFUNCTION("""COMPUTED_VALUE"""),"| 1 P Python @ | 3 L PHP-CGM @ | 4 L JAVA @ | 5 L PRO @ ")</f>
        <v xml:space="preserve">| 1 P Python @ | 3 L PHP-CGM @ | 4 L JAVA @ | 5 L PRO @ </v>
      </c>
      <c r="BC36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65" s="4" t="str">
        <f ca="1">IFERROR(__xludf.DUMMYFUNCTION("""COMPUTED_VALUE"""),"| 1 L INE @ | 3 P CPT @ | 5 L JAVA @ | 6 L NS @ ")</f>
        <v xml:space="preserve">| 1 L INE @ | 3 P CPT @ | 5 L JAVA @ | 6 L NS @ </v>
      </c>
      <c r="BE365" s="4" t="str">
        <f ca="1">IFERROR(__xludf.DUMMYFUNCTION("""COMPUTED_VALUE"""),"| 1 P Python % | 3 P JAVA % | 5 L NS @ | 6 L CPT @ ")</f>
        <v xml:space="preserve">| 1 P Python % | 3 P JAVA % | 5 L NS @ | 6 L CPT @ </v>
      </c>
      <c r="BF365" s="4" t="str">
        <f ca="1">IFERROR(__xludf.DUMMYFUNCTION("""COMPUTED_VALUE"""),"| 1 P NS @ | 3 L CPT @ | 4 L PHP-CGM @ ")</f>
        <v xml:space="preserve">| 1 P NS @ | 3 L CPT @ | 4 L PHP-CGM @ </v>
      </c>
      <c r="BG36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65" s="4" t="str">
        <f ca="1">IFERROR(__xludf.DUMMYFUNCTION("""COMPUTED_VALUE"""),"| 1 L INE % | 3 P CPT % | 5 L JAVA % | 6 L NS % ")</f>
        <v xml:space="preserve">| 1 L INE % | 3 P CPT % | 5 L JAVA % | 6 L NS % </v>
      </c>
      <c r="BI365" s="4" t="str">
        <f ca="1">IFERROR(__xludf.DUMMYFUNCTION("""COMPUTED_VALUE"""),"| 1 P Python % | 3 P JAVA % | 5 L NS % | 6 L CPT % ")</f>
        <v xml:space="preserve">| 1 P Python % | 3 P JAVA % | 5 L NS % | 6 L CPT % </v>
      </c>
      <c r="BJ365" s="4" t="str">
        <f ca="1">IFERROR(__xludf.DUMMYFUNCTION("""COMPUTED_VALUE"""),"| 1 P NS % | 3 L CPT % | 4 L PHP-CGM % | 5 P PHP-CGM % ")</f>
        <v xml:space="preserve">| 1 P NS % | 3 L CPT % | 4 L PHP-CGM % | 5 P PHP-CGM % </v>
      </c>
      <c r="BK365" s="4" t="str">
        <f ca="1">IFERROR(__xludf.DUMMYFUNCTION("""COMPUTED_VALUE"""),"| 1 P Python @ | 3 L PHP-CGM @ | 4 L JAVA @ | 5 P PRO @ ")</f>
        <v xml:space="preserve">| 1 P Python @ | 3 L PHP-CGM @ | 4 L JAVA @ | 5 P PRO @ </v>
      </c>
      <c r="BL365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BM365" s="4" t="str">
        <f ca="1">IFERROR(__xludf.DUMMYFUNCTION("""COMPUTED_VALUE"""),"| 1 L INE % | 3 P CPT % | 5 L JAVA % | 6 L NS % ")</f>
        <v xml:space="preserve">| 1 L INE % | 3 P CPT % | 5 L JAVA % | 6 L NS % </v>
      </c>
      <c r="BN365" s="4" t="str">
        <f ca="1">IFERROR(__xludf.DUMMYFUNCTION("""COMPUTED_VALUE"""),"| 1 P Python % | 3 P JAVA @ | 5 L NS % | 6 L CPT % ")</f>
        <v xml:space="preserve">| 1 P Python % | 3 P JAVA @ | 5 L NS % | 6 L CPT % </v>
      </c>
      <c r="BO365" s="4" t="str">
        <f ca="1">IFERROR(__xludf.DUMMYFUNCTION("""COMPUTED_VALUE"""),"| 1 P NS % | 4 L PHP-CGM % | 3 L CPT % ")</f>
        <v xml:space="preserve">| 1 P NS % | 4 L PHP-CGM % | 3 L CPT % </v>
      </c>
      <c r="BP365" s="4" t="str">
        <f ca="1">IFERROR(__xludf.DUMMYFUNCTION("""COMPUTED_VALUE"""),"| 3 L PHP-CGM @ | 4 L JAVA @ | 5 P PRO @ ")</f>
        <v xml:space="preserve">| 3 L PHP-CGM @ | 4 L JAVA @ | 5 P PRO @ </v>
      </c>
      <c r="BQ365" s="4" t="str">
        <f ca="1">IFERROR(__xludf.DUMMYFUNCTION("""COMPUTED_VALUE"""),"| 6 L NS % | 5 L JAVA @ | 3 P CPT % ")</f>
        <v xml:space="preserve">| 6 L NS % | 5 L JAVA @ | 3 P CPT % </v>
      </c>
      <c r="BR365" s="4"/>
      <c r="BS365" s="4" t="str">
        <f ca="1">IFERROR(__xludf.DUMMYFUNCTION("""COMPUTED_VALUE"""),"| 4 L PHP-CGM % ")</f>
        <v xml:space="preserve">| 4 L PHP-CGM % </v>
      </c>
      <c r="BT365" s="4" t="str">
        <f ca="1">IFERROR(__xludf.DUMMYFUNCTION("""COMPUTED_VALUE"""),"| 1 P Python @ | 3 L PHP-CGM @ ")</f>
        <v xml:space="preserve">| 1 P Python @ | 3 L PHP-CGM @ </v>
      </c>
      <c r="BU365" s="4" t="str">
        <f ca="1">IFERROR(__xludf.DUMMYFUNCTION("""COMPUTED_VALUE"""),"| 1 L JAVA @ | 2 L PHP-CGM @ | 3 P JAVA @ ")</f>
        <v xml:space="preserve">| 1 L JAVA @ | 2 L PHP-CGM @ | 3 P JAVA @ </v>
      </c>
      <c r="BV365" s="4" t="str">
        <f ca="1">IFERROR(__xludf.DUMMYFUNCTION("""COMPUTED_VALUE"""),"| 1 P Python @ | 3 L PHP-CGM @ | 4 L JAVA @ | 5 P PRO @ ")</f>
        <v xml:space="preserve">| 1 P Python @ | 3 L PHP-CGM @ | 4 L JAVA @ | 5 P PRO @ </v>
      </c>
      <c r="BW365" s="4" t="str">
        <f ca="1">IFERROR(__xludf.DUMMYFUNCTION("""COMPUTED_VALUE"""),"| 1 L JAVA % | 2 L PHP-CGM % | 3 P JAVA % ")</f>
        <v xml:space="preserve">| 1 L JAVA % | 2 L PHP-CGM % | 3 P JAVA % </v>
      </c>
      <c r="BX365" s="4" t="str">
        <f ca="1">IFERROR(__xludf.DUMMYFUNCTION("""COMPUTED_VALUE"""),"| 1 L INE % | 3 P CPT % | 5 L JAVA % | 6 L NS % ")</f>
        <v xml:space="preserve">| 1 L INE % | 3 P CPT % | 5 L JAVA % | 6 L NS % </v>
      </c>
      <c r="BY365" s="4" t="str">
        <f ca="1">IFERROR(__xludf.DUMMYFUNCTION("""COMPUTED_VALUE"""),"| 1 P Python % | 3 P JAVA % | 5 L NS @ | 6 L CPT @ ")</f>
        <v xml:space="preserve">| 1 P Python % | 3 P JAVA % | 5 L NS @ | 6 L CPT @ </v>
      </c>
      <c r="BZ365" s="4" t="str">
        <f ca="1">IFERROR(__xludf.DUMMYFUNCTION("""COMPUTED_VALUE"""),"| 1 P NS % | 3 L CPT % | 4 L PHP-CGM % | 5 P PHP-CGM % ")</f>
        <v xml:space="preserve">| 1 P NS % | 3 L CPT % | 4 L PHP-CGM % | 5 P PHP-CGM % </v>
      </c>
      <c r="CA365" s="4" t="str">
        <f ca="1">IFERROR(__xludf.DUMMYFUNCTION("""COMPUTED_VALUE"""),"| 1 P Python @ | 3 L PHP-CGM % | 3 L JAVA @ | 5 P PRO @ ")</f>
        <v xml:space="preserve">| 1 P Python @ | 3 L PHP-CGM % | 3 L JAVA @ | 5 P PRO @ </v>
      </c>
      <c r="CB365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CC365" s="4" t="str">
        <f ca="1">IFERROR(__xludf.DUMMYFUNCTION("""COMPUTED_VALUE"""),"| 1 L INE % | 3 P CPT % | 5 L JAVA % | 6 L NS % ")</f>
        <v xml:space="preserve">| 1 L INE % | 3 P CPT % | 5 L JAVA % | 6 L NS % </v>
      </c>
      <c r="CD365" s="4" t="str">
        <f ca="1">IFERROR(__xludf.DUMMYFUNCTION("""COMPUTED_VALUE"""),"| 1 P Python % | 3 P JAVA % | 5 L NS @ | 6 L CPT @ ")</f>
        <v xml:space="preserve">| 1 P Python % | 3 P JAVA % | 5 L NS @ | 6 L CPT @ </v>
      </c>
      <c r="CE365" s="4" t="str">
        <f ca="1">IFERROR(__xludf.DUMMYFUNCTION("""COMPUTED_VALUE"""),"| 1 P NS @ | 3 L CPT @ | 4 L PHP-CGM @ ")</f>
        <v xml:space="preserve">| 1 P NS @ | 3 L CPT @ | 4 L PHP-CGM @ </v>
      </c>
      <c r="CF365" s="4" t="str">
        <f ca="1">IFERROR(__xludf.DUMMYFUNCTION("""COMPUTED_VALUE"""),"| 1 P Python % | 4 L JAVA @ | 3 L PHP-CGM @ | 5 L PRO % ")</f>
        <v xml:space="preserve">| 1 P Python % | 4 L JAVA @ | 3 L PHP-CGM @ | 5 L PRO % </v>
      </c>
      <c r="CG365" s="4" t="str">
        <f ca="1">IFERROR(__xludf.DUMMYFUNCTION("""COMPUTED_VALUE"""),"| 1 L JAVA @ | 2 L PHP-CGM % | 6 L NS @ | 3 P JAVA % ")</f>
        <v xml:space="preserve">| 1 L JAVA @ | 2 L PHP-CGM % | 6 L NS @ | 3 P JAVA % </v>
      </c>
      <c r="CH365" s="4" t="str">
        <f ca="1">IFERROR(__xludf.DUMMYFUNCTION("""COMPUTED_VALUE"""),"| 1 L INE % | 3 P CPT % | 5 L JAVA @ | 6 L NS @ ")</f>
        <v xml:space="preserve">| 1 L INE % | 3 P CPT % | 5 L JAVA @ | 6 L NS @ </v>
      </c>
      <c r="CI365" s="4" t="str">
        <f ca="1">IFERROR(__xludf.DUMMYFUNCTION("""COMPUTED_VALUE"""),"| 5 L NS @ | 6 L CPT @ ")</f>
        <v xml:space="preserve">| 5 L NS @ | 6 L CPT @ </v>
      </c>
      <c r="CJ365" s="4" t="str">
        <f ca="1">IFERROR(__xludf.DUMMYFUNCTION("""COMPUTED_VALUE"""),"| 1 P NS @ | 3 L CPT @ ")</f>
        <v xml:space="preserve">| 1 P NS @ | 3 L CPT @ </v>
      </c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</row>
    <row r="366" spans="1:102" ht="12.5" x14ac:dyDescent="0.25">
      <c r="A366" s="3">
        <f ca="1">IFERROR(__xludf.DUMMYFUNCTION("""COMPUTED_VALUE"""),2)</f>
        <v>2</v>
      </c>
      <c r="B366" s="3" t="str">
        <f ca="1">IFERROR(__xludf.DUMMYFUNCTION("""COMPUTED_VALUE"""),"ITA")</f>
        <v>ITA</v>
      </c>
      <c r="C366" s="32" t="str">
        <f ca="1">IFERROR(__xludf.DUMMYFUNCTION("""COMPUTED_VALUE"""),"23291371051")</f>
        <v>23291371051</v>
      </c>
      <c r="D366" s="4" t="str">
        <f ca="1">IFERROR(__xludf.DUMMYFUNCTION("""COMPUTED_VALUE"""),"PANDYA NISHANT HARSHADBHAI")</f>
        <v>PANDYA NISHANT HARSHADBHAI</v>
      </c>
      <c r="E366" s="3" t="str">
        <f ca="1">IFERROR(__xludf.DUMMYFUNCTION("""COMPUTED_VALUE"""),"Sweety - Mor")</f>
        <v>Sweety - Mor</v>
      </c>
      <c r="F366" s="3">
        <f ca="1">IFERROR(__xludf.DUMMYFUNCTION("""COMPUTED_VALUE"""),8347381617)</f>
        <v>8347381617</v>
      </c>
      <c r="G366" s="3">
        <f ca="1">IFERROR(__xludf.DUMMYFUNCTION("""COMPUTED_VALUE"""),8347381617)</f>
        <v>8347381617</v>
      </c>
      <c r="H366" s="33">
        <f ca="1">IFERROR(__xludf.DUMMYFUNCTION("""COMPUTED_VALUE"""),0.121951219512195)</f>
        <v>0.12195121951219499</v>
      </c>
      <c r="I366" s="25">
        <f ca="1">IFERROR(__xludf.DUMMYFUNCTION("""COMPUTED_VALUE"""),0.114285714285714)</f>
        <v>0.114285714285714</v>
      </c>
      <c r="J366" s="25">
        <f ca="1">IFERROR(__xludf.DUMMYFUNCTION("""COMPUTED_VALUE"""),0.25)</f>
        <v>0.25</v>
      </c>
      <c r="K366" s="25">
        <f ca="1">IFERROR(__xludf.DUMMYFUNCTION("""COMPUTED_VALUE"""),0.166666666666666)</f>
        <v>0.16666666666666599</v>
      </c>
      <c r="L366" s="25">
        <f ca="1">IFERROR(__xludf.DUMMYFUNCTION("""COMPUTED_VALUE"""),0)</f>
        <v>0</v>
      </c>
      <c r="M366" s="25">
        <f ca="1">IFERROR(__xludf.DUMMYFUNCTION("""COMPUTED_VALUE"""),0.131578947368421)</f>
        <v>0.13157894736842099</v>
      </c>
      <c r="N366" s="25">
        <f ca="1">IFERROR(__xludf.DUMMYFUNCTION("""COMPUTED_VALUE"""),0.125)</f>
        <v>0.125</v>
      </c>
      <c r="O366" s="25">
        <f ca="1">IFERROR(__xludf.DUMMYFUNCTION("""COMPUTED_VALUE"""),0.111111111111111)</f>
        <v>0.11111111111111099</v>
      </c>
      <c r="P366" s="25">
        <f ca="1">IFERROR(__xludf.DUMMYFUNCTION("""COMPUTED_VALUE"""),0.2)</f>
        <v>0.2</v>
      </c>
      <c r="Q366" s="25">
        <f ca="1">IFERROR(__xludf.DUMMYFUNCTION("""COMPUTED_VALUE"""),0)</f>
        <v>0</v>
      </c>
      <c r="R366" s="25">
        <f ca="1">IFERROR(__xludf.DUMMYFUNCTION("""COMPUTED_VALUE"""),0)</f>
        <v>0</v>
      </c>
      <c r="S366" s="25">
        <f ca="1">IFERROR(__xludf.DUMMYFUNCTION("""COMPUTED_VALUE"""),0.333333333333333)</f>
        <v>0.33333333333333298</v>
      </c>
      <c r="T366" s="25">
        <f ca="1">IFERROR(__xludf.DUMMYFUNCTION("""COMPUTED_VALUE"""),0)</f>
        <v>0</v>
      </c>
      <c r="U366" s="25">
        <f ca="1">IFERROR(__xludf.DUMMYFUNCTION("""COMPUTED_VALUE"""),0.125)</f>
        <v>0.125</v>
      </c>
      <c r="V366" s="25">
        <f ca="1">IFERROR(__xludf.DUMMYFUNCTION("""COMPUTED_VALUE"""),0)</f>
        <v>0</v>
      </c>
      <c r="W366" s="4"/>
      <c r="X366" s="4" t="str">
        <f ca="1">IFERROR(__xludf.DUMMYFUNCTION("""COMPUTED_VALUE"""),"| 1 P Python @ | 4 L JAVA % | 3 L PHP-CGM @ | 1 L PRO @ ")</f>
        <v xml:space="preserve">| 1 P Python @ | 4 L JAVA % | 3 L PHP-CGM @ | 1 L PRO @ </v>
      </c>
      <c r="Y366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66" s="4" t="str">
        <f ca="1">IFERROR(__xludf.DUMMYFUNCTION("""COMPUTED_VALUE"""),"| 3 P CPT @ | 5 L JAVA @ | 6 L NS @ ")</f>
        <v xml:space="preserve">| 3 P CPT @ | 5 L JAVA @ | 6 L NS @ </v>
      </c>
      <c r="AA366" s="4" t="str">
        <f ca="1">IFERROR(__xludf.DUMMYFUNCTION("""COMPUTED_VALUE"""),"| 1 P Python @ | 5 P JAVA % | 5 L NS % | 6 L CPT % ")</f>
        <v xml:space="preserve">| 1 P Python @ | 5 P JAVA % | 5 L NS % | 6 L CPT % </v>
      </c>
      <c r="AB366" s="4" t="str">
        <f ca="1">IFERROR(__xludf.DUMMYFUNCTION("""COMPUTED_VALUE"""),"| 1 P NS @ | 3 L CPT @ | 5 P PHP-CGM @ | 4 L PHP-CGM @ ")</f>
        <v xml:space="preserve">| 1 P NS @ | 3 L CPT @ | 5 P PHP-CGM @ | 4 L PHP-CGM @ </v>
      </c>
      <c r="AC366" s="4" t="str">
        <f ca="1">IFERROR(__xludf.DUMMYFUNCTION("""COMPUTED_VALUE"""),"| 1 P Python @ | 3 L PHP-CGM @ | 5 P PRO @ ")</f>
        <v xml:space="preserve">| 1 P Python @ | 3 L PHP-CGM @ | 5 P PRO @ </v>
      </c>
      <c r="AD366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AE366" s="4" t="str">
        <f ca="1">IFERROR(__xludf.DUMMYFUNCTION("""COMPUTED_VALUE"""),"| 3 P CPT % | 5 L JAVA % | 6 L NS % ")</f>
        <v xml:space="preserve">| 3 P CPT % | 5 L JAVA % | 6 L NS % </v>
      </c>
      <c r="AF366" s="4" t="str">
        <f ca="1">IFERROR(__xludf.DUMMYFUNCTION("""COMPUTED_VALUE"""),"| 1 P Python @ | 3 P JAVA @ | 5 L NS @ | 6 L CPT @ ")</f>
        <v xml:space="preserve">| 1 P Python @ | 3 P JAVA @ | 5 L NS @ | 6 L CPT @ </v>
      </c>
      <c r="AG366" s="4" t="str">
        <f ca="1">IFERROR(__xludf.DUMMYFUNCTION("""COMPUTED_VALUE"""),"| 1 P NS @ | 3 L CPT @ | 4 L PHP-CGM @ | 5 P PHP-CGM @ ")</f>
        <v xml:space="preserve">| 1 P NS @ | 3 L CPT @ | 4 L PHP-CGM @ | 5 P PHP-CGM @ </v>
      </c>
      <c r="AH366" s="4" t="str">
        <f ca="1">IFERROR(__xludf.DUMMYFUNCTION("""COMPUTED_VALUE"""),"| 1 P Python @ | 3 P JAVA @ | 5 L NS @ | 6 L CPT @ ")</f>
        <v xml:space="preserve">| 1 P Python @ | 3 P JAVA @ | 5 L NS @ | 6 L CPT @ </v>
      </c>
      <c r="AI366" s="4" t="str">
        <f ca="1">IFERROR(__xludf.DUMMYFUNCTION("""COMPUTED_VALUE"""),"| 1 P NS @ | 3 L CPT @ | 4 L PHP-CGM @ | 5 P PHP-CGM @ ")</f>
        <v xml:space="preserve">| 1 P NS @ | 3 L CPT @ | 4 L PHP-CGM @ | 5 P PHP-CGM @ </v>
      </c>
      <c r="AJ366" s="4" t="str">
        <f ca="1">IFERROR(__xludf.DUMMYFUNCTION("""COMPUTED_VALUE"""),"| 1 P Python @ | 3 L PHP-CGM @ | 4 L JAVA @ | 5 P PRO @ ")</f>
        <v xml:space="preserve">| 1 P Python @ | 3 L PHP-CGM @ | 4 L JAVA @ | 5 P PRO @ </v>
      </c>
      <c r="AK366" s="4" t="str">
        <f ca="1">IFERROR(__xludf.DUMMYFUNCTION("""COMPUTED_VALUE"""),"| 1 L JAVA @ | 2 L PHP-CGM @ | 3 P JAVA % | 5 L CPT @ | 6 L NS @ ")</f>
        <v xml:space="preserve">| 1 L JAVA @ | 2 L PHP-CGM @ | 3 P JAVA % | 5 L CPT @ | 6 L NS @ </v>
      </c>
      <c r="AL366" s="4" t="str">
        <f ca="1">IFERROR(__xludf.DUMMYFUNCTION("""COMPUTED_VALUE"""),"| 3 P CPT @ | 5 L JAVA @ | 6 L NS @ ")</f>
        <v xml:space="preserve">| 3 P CPT @ | 5 L JAVA @ | 6 L NS @ </v>
      </c>
      <c r="AM366" s="4" t="str">
        <f ca="1">IFERROR(__xludf.DUMMYFUNCTION("""COMPUTED_VALUE"""),"| 1 P Python @ | 3 P JAVA @ | 5 L NS @ | 6 L CPT @ ")</f>
        <v xml:space="preserve">| 1 P Python @ | 3 P JAVA @ | 5 L NS @ | 6 L CPT @ </v>
      </c>
      <c r="AN366" s="4" t="str">
        <f ca="1">IFERROR(__xludf.DUMMYFUNCTION("""COMPUTED_VALUE"""),"| 1 P NS @ | 4 L PHP-CGM @ | 5 P PHP-CGM @ ")</f>
        <v xml:space="preserve">| 1 P NS @ | 4 L PHP-CGM @ | 5 P PHP-CGM @ </v>
      </c>
      <c r="AO366" s="4" t="str">
        <f ca="1">IFERROR(__xludf.DUMMYFUNCTION("""COMPUTED_VALUE"""),"| 1 P Python @ | 3 L PHP-CGM @ | 4 L JAVA @ | 5 P PRO @ ")</f>
        <v xml:space="preserve">| 1 P Python @ | 3 L PHP-CGM @ | 4 L JAVA @ | 5 P PRO @ </v>
      </c>
      <c r="AP366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AQ366" s="4" t="str">
        <f ca="1">IFERROR(__xludf.DUMMYFUNCTION("""COMPUTED_VALUE"""),"| 1 L INE @ | 3 P CPT @ | 5 L JAVA @ | 6 L NS @ ")</f>
        <v xml:space="preserve">| 1 L INE @ | 3 P CPT @ | 5 L JAVA @ | 6 L NS @ </v>
      </c>
      <c r="AR366" s="4" t="str">
        <f ca="1">IFERROR(__xludf.DUMMYFUNCTION("""COMPUTED_VALUE"""),"| 1 P Python @ | 3 L CPT @ | 3 P JAVA @ | 5 L NS @ | 6 L CPT @ ")</f>
        <v xml:space="preserve">| 1 P Python @ | 3 L CPT @ | 3 P JAVA @ | 5 L NS @ | 6 L CPT @ </v>
      </c>
      <c r="AS366" s="4" t="str">
        <f ca="1">IFERROR(__xludf.DUMMYFUNCTION("""COMPUTED_VALUE"""),"| 1 P Python @ | 3 L PHP-CGM @ | 4 L JAVA @ | 5 P PRO @ ")</f>
        <v xml:space="preserve">| 1 P Python @ | 3 L PHP-CGM @ | 4 L JAVA @ | 5 P PRO @ </v>
      </c>
      <c r="AT366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U366" s="4" t="str">
        <f ca="1">IFERROR(__xludf.DUMMYFUNCTION("""COMPUTED_VALUE"""),"| 1 L INE % | 3 P CPT % | 5 L JAVA % | 6 L NS % ")</f>
        <v xml:space="preserve">| 1 L INE % | 3 P CPT % | 5 L JAVA % | 6 L NS % </v>
      </c>
      <c r="AV366" s="4" t="str">
        <f ca="1">IFERROR(__xludf.DUMMYFUNCTION("""COMPUTED_VALUE"""),"| 1 P Python @ | 3 P JAVA % | 5 L NS % | 6 L CPT @ ")</f>
        <v xml:space="preserve">| 1 P Python @ | 3 P JAVA % | 5 L NS % | 6 L CPT @ </v>
      </c>
      <c r="AW366" s="4" t="str">
        <f ca="1">IFERROR(__xludf.DUMMYFUNCTION("""COMPUTED_VALUE"""),"| 1 P NS @ | 3 L CPT @ | 4 L PHP-CGM % | 5 P PHP-CGM @ ")</f>
        <v xml:space="preserve">| 1 P NS @ | 3 L CPT @ | 4 L PHP-CGM % | 5 P PHP-CGM @ </v>
      </c>
      <c r="AX366" s="4" t="str">
        <f ca="1">IFERROR(__xludf.DUMMYFUNCTION("""COMPUTED_VALUE"""),"| 1 P Python @ | 3 L JAVA @ | 4 L PHP-CGM @ | 5 P PRO @ ")</f>
        <v xml:space="preserve">| 1 P Python @ | 3 L JAVA @ | 4 L PHP-CGM @ | 5 P PRO @ </v>
      </c>
      <c r="AY366" s="4" t="str">
        <f ca="1">IFERROR(__xludf.DUMMYFUNCTION("""COMPUTED_VALUE"""),"| 2 L PHP-CGM @ | 3 P JAVA % | 5 L CPT % | 6 L NS % | 1 L JAVA @ ")</f>
        <v xml:space="preserve">| 2 L PHP-CGM @ | 3 P JAVA % | 5 L CPT % | 6 L NS % | 1 L JAVA @ </v>
      </c>
      <c r="AZ366" s="4" t="str">
        <f ca="1">IFERROR(__xludf.DUMMYFUNCTION("""COMPUTED_VALUE"""),"| 1 P Python @ | 3 P JAVA @ | 5 L NS @ | 6 L CPT @ ")</f>
        <v xml:space="preserve">| 1 P Python @ | 3 P JAVA @ | 5 L NS @ | 6 L CPT @ </v>
      </c>
      <c r="BA366" s="4" t="str">
        <f ca="1">IFERROR(__xludf.DUMMYFUNCTION("""COMPUTED_VALUE"""),"| 1 P NS @ | 3 L CPT @ | 4 L PHP-CGM @ | 5 P PHP-CGM @ ")</f>
        <v xml:space="preserve">| 1 P NS @ | 3 L CPT @ | 4 L PHP-CGM @ | 5 P PHP-CGM @ </v>
      </c>
      <c r="BB366" s="4" t="str">
        <f ca="1">IFERROR(__xludf.DUMMYFUNCTION("""COMPUTED_VALUE"""),"| 1 P Python @ | 3 L PHP-CGM @ | 4 L JAVA @ | 5 L PRO @ ")</f>
        <v xml:space="preserve">| 1 P Python @ | 3 L PHP-CGM @ | 4 L JAVA @ | 5 L PRO @ </v>
      </c>
      <c r="BC366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D366" s="4" t="str">
        <f ca="1">IFERROR(__xludf.DUMMYFUNCTION("""COMPUTED_VALUE"""),"| 1 L INE @ | 3 P CPT @ | 5 L JAVA @ | 6 L NS @ ")</f>
        <v xml:space="preserve">| 1 L INE @ | 3 P CPT @ | 5 L JAVA @ | 6 L NS @ </v>
      </c>
      <c r="BE366" s="4" t="str">
        <f ca="1">IFERROR(__xludf.DUMMYFUNCTION("""COMPUTED_VALUE"""),"| 1 P Python @ | 3 P JAVA @ | 5 L NS @ | 6 L CPT @ ")</f>
        <v xml:space="preserve">| 1 P Python @ | 3 P JAVA @ | 5 L NS @ | 6 L CPT @ </v>
      </c>
      <c r="BF366" s="4" t="str">
        <f ca="1">IFERROR(__xludf.DUMMYFUNCTION("""COMPUTED_VALUE"""),"| 1 P NS @ | 3 L CPT @ | 4 L PHP-CGM @ ")</f>
        <v xml:space="preserve">| 1 P NS @ | 3 L CPT @ | 4 L PHP-CGM @ </v>
      </c>
      <c r="BG366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H366" s="4" t="str">
        <f ca="1">IFERROR(__xludf.DUMMYFUNCTION("""COMPUTED_VALUE"""),"| 1 L INE @ | 3 P CPT @ | 5 L JAVA @ | 6 L NS @ ")</f>
        <v xml:space="preserve">| 1 L INE @ | 3 P CPT @ | 5 L JAVA @ | 6 L NS @ </v>
      </c>
      <c r="BI366" s="4" t="str">
        <f ca="1">IFERROR(__xludf.DUMMYFUNCTION("""COMPUTED_VALUE"""),"| 1 P Python @ | 3 P JAVA @ | 5 L NS @ | 6 L CPT @ ")</f>
        <v xml:space="preserve">| 1 P Python @ | 3 P JAVA @ | 5 L NS @ | 6 L CPT @ </v>
      </c>
      <c r="BJ366" s="4" t="str">
        <f ca="1">IFERROR(__xludf.DUMMYFUNCTION("""COMPUTED_VALUE"""),"| 1 P NS @ | 3 L CPT @ | 4 L PHP-CGM @ | 5 P PHP-CGM @ ")</f>
        <v xml:space="preserve">| 1 P NS @ | 3 L CPT @ | 4 L PHP-CGM @ | 5 P PHP-CGM @ </v>
      </c>
      <c r="BK366" s="4" t="str">
        <f ca="1">IFERROR(__xludf.DUMMYFUNCTION("""COMPUTED_VALUE"""),"| 1 P Python @ | 3 L PHP-CGM @ | 4 L JAVA @ | 5 P PRO @ ")</f>
        <v xml:space="preserve">| 1 P Python @ | 3 L PHP-CGM @ | 4 L JAVA @ | 5 P PRO @ </v>
      </c>
      <c r="BL366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66" s="4" t="str">
        <f ca="1">IFERROR(__xludf.DUMMYFUNCTION("""COMPUTED_VALUE"""),"| 1 L INE @ | 3 P CPT @ | 5 L JAVA @ | 6 L NS @ ")</f>
        <v xml:space="preserve">| 1 L INE @ | 3 P CPT @ | 5 L JAVA @ | 6 L NS @ </v>
      </c>
      <c r="BN366" s="4" t="str">
        <f ca="1">IFERROR(__xludf.DUMMYFUNCTION("""COMPUTED_VALUE"""),"| 1 P Python @ | 3 P JAVA @ | 5 L NS @ | 6 L CPT @ ")</f>
        <v xml:space="preserve">| 1 P Python @ | 3 P JAVA @ | 5 L NS @ | 6 L CPT @ </v>
      </c>
      <c r="BO366" s="4" t="str">
        <f ca="1">IFERROR(__xludf.DUMMYFUNCTION("""COMPUTED_VALUE"""),"| 1 P NS @ | 4 L PHP-CGM @ | 3 L CPT @ ")</f>
        <v xml:space="preserve">| 1 P NS @ | 4 L PHP-CGM @ | 3 L CPT @ </v>
      </c>
      <c r="BP366" s="4" t="str">
        <f ca="1">IFERROR(__xludf.DUMMYFUNCTION("""COMPUTED_VALUE"""),"| 3 L PHP-CGM @ | 4 L JAVA @ | 5 P PRO @ ")</f>
        <v xml:space="preserve">| 3 L PHP-CGM @ | 4 L JAVA @ | 5 P PRO @ </v>
      </c>
      <c r="BQ366" s="4" t="str">
        <f ca="1">IFERROR(__xludf.DUMMYFUNCTION("""COMPUTED_VALUE"""),"| 6 L NS @ | 5 L JAVA @ | 3 P CPT % ")</f>
        <v xml:space="preserve">| 6 L NS @ | 5 L JAVA @ | 3 P CPT % </v>
      </c>
      <c r="BR366" s="4"/>
      <c r="BS366" s="4" t="str">
        <f ca="1">IFERROR(__xludf.DUMMYFUNCTION("""COMPUTED_VALUE"""),"| 4 L PHP-CGM % ")</f>
        <v xml:space="preserve">| 4 L PHP-CGM % </v>
      </c>
      <c r="BT366" s="4" t="str">
        <f ca="1">IFERROR(__xludf.DUMMYFUNCTION("""COMPUTED_VALUE"""),"| 1 P Python @ | 3 L PHP-CGM @ ")</f>
        <v xml:space="preserve">| 1 P Python @ | 3 L PHP-CGM @ </v>
      </c>
      <c r="BU366" s="4" t="str">
        <f ca="1">IFERROR(__xludf.DUMMYFUNCTION("""COMPUTED_VALUE"""),"| 1 L JAVA @ | 2 L PHP-CGM @ | 3 P JAVA @ ")</f>
        <v xml:space="preserve">| 1 L JAVA @ | 2 L PHP-CGM @ | 3 P JAVA @ </v>
      </c>
      <c r="BV366" s="4" t="str">
        <f ca="1">IFERROR(__xludf.DUMMYFUNCTION("""COMPUTED_VALUE"""),"| 1 P Python @ | 3 L PHP-CGM @ | 4 L JAVA @ | 5 P PRO @ ")</f>
        <v xml:space="preserve">| 1 P Python @ | 3 L PHP-CGM @ | 4 L JAVA @ | 5 P PRO @ </v>
      </c>
      <c r="BW366" s="4" t="str">
        <f ca="1">IFERROR(__xludf.DUMMYFUNCTION("""COMPUTED_VALUE"""),"| 1 L JAVA @ | 2 L PHP-CGM @ | 3 P JAVA @ ")</f>
        <v xml:space="preserve">| 1 L JAVA @ | 2 L PHP-CGM @ | 3 P JAVA @ </v>
      </c>
      <c r="BX366" s="4" t="str">
        <f ca="1">IFERROR(__xludf.DUMMYFUNCTION("""COMPUTED_VALUE"""),"| 1 L INE @ | 3 P CPT @ | 5 L JAVA @ | 6 L NS @ ")</f>
        <v xml:space="preserve">| 1 L INE @ | 3 P CPT @ | 5 L JAVA @ | 6 L NS @ </v>
      </c>
      <c r="BY366" s="4" t="str">
        <f ca="1">IFERROR(__xludf.DUMMYFUNCTION("""COMPUTED_VALUE"""),"| 1 P Python @ | 3 P JAVA @ | 5 L NS @ | 6 L CPT @ ")</f>
        <v xml:space="preserve">| 1 P Python @ | 3 P JAVA @ | 5 L NS @ | 6 L CPT @ </v>
      </c>
      <c r="BZ366" s="4" t="str">
        <f ca="1">IFERROR(__xludf.DUMMYFUNCTION("""COMPUTED_VALUE"""),"| 1 P NS @ | 3 L CPT @ | 4 L PHP-CGM @ | 5 P PHP-CGM % ")</f>
        <v xml:space="preserve">| 1 P NS @ | 3 L CPT @ | 4 L PHP-CGM @ | 5 P PHP-CGM % </v>
      </c>
      <c r="CA366" s="4" t="str">
        <f ca="1">IFERROR(__xludf.DUMMYFUNCTION("""COMPUTED_VALUE"""),"| 1 P Python @ | 3 L PHP-CGM % | 3 L JAVA @ | 5 P PRO @ ")</f>
        <v xml:space="preserve">| 1 P Python @ | 3 L PHP-CGM % | 3 L JAVA @ | 5 P PRO @ </v>
      </c>
      <c r="CB366" s="4" t="str">
        <f ca="1">IFERROR(__xludf.DUMMYFUNCTION("""COMPUTED_VALUE"""),"| 1 L JAVA @ | 2 L PHP-CGM @ | 3 P JAVA @ | 6 L NS % | 5 L CPT % ")</f>
        <v xml:space="preserve">| 1 L JAVA @ | 2 L PHP-CGM @ | 3 P JAVA @ | 6 L NS % | 5 L CPT % </v>
      </c>
      <c r="CC366" s="4" t="str">
        <f ca="1">IFERROR(__xludf.DUMMYFUNCTION("""COMPUTED_VALUE"""),"| 1 L INE @ | 3 P CPT @ | 5 L JAVA @ | 6 L NS @ ")</f>
        <v xml:space="preserve">| 1 L INE @ | 3 P CPT @ | 5 L JAVA @ | 6 L NS @ </v>
      </c>
      <c r="CD366" s="4" t="str">
        <f ca="1">IFERROR(__xludf.DUMMYFUNCTION("""COMPUTED_VALUE"""),"| 1 P Python @ | 3 P JAVA @ | 5 L NS @ | 6 L CPT @ ")</f>
        <v xml:space="preserve">| 1 P Python @ | 3 P JAVA @ | 5 L NS @ | 6 L CPT @ </v>
      </c>
      <c r="CE366" s="4" t="str">
        <f ca="1">IFERROR(__xludf.DUMMYFUNCTION("""COMPUTED_VALUE"""),"| 1 P NS @ | 3 L CPT % | 4 L PHP-CGM % ")</f>
        <v xml:space="preserve">| 1 P NS @ | 3 L CPT % | 4 L PHP-CGM % </v>
      </c>
      <c r="CF366" s="4" t="str">
        <f ca="1">IFERROR(__xludf.DUMMYFUNCTION("""COMPUTED_VALUE"""),"| 1 P Python @ | 4 L JAVA @ | 3 L PHP-CGM @ | 5 L PRO % ")</f>
        <v xml:space="preserve">| 1 P Python @ | 4 L JAVA @ | 3 L PHP-CGM @ | 5 L PRO % </v>
      </c>
      <c r="CG366" s="4" t="str">
        <f ca="1">IFERROR(__xludf.DUMMYFUNCTION("""COMPUTED_VALUE"""),"| 1 L JAVA @ | 2 L PHP-CGM @ | 6 L NS @ | 3 P JAVA @ ")</f>
        <v xml:space="preserve">| 1 L JAVA @ | 2 L PHP-CGM @ | 6 L NS @ | 3 P JAVA @ </v>
      </c>
      <c r="CH366" s="4" t="str">
        <f ca="1">IFERROR(__xludf.DUMMYFUNCTION("""COMPUTED_VALUE"""),"| 1 L INE @ | 3 P CPT @ | 5 L JAVA @ | 6 L NS @ ")</f>
        <v xml:space="preserve">| 1 L INE @ | 3 P CPT @ | 5 L JAVA @ | 6 L NS @ </v>
      </c>
      <c r="CI366" s="4" t="str">
        <f ca="1">IFERROR(__xludf.DUMMYFUNCTION("""COMPUTED_VALUE"""),"| 5 L NS @ | 6 L CPT @ ")</f>
        <v xml:space="preserve">| 5 L NS @ | 6 L CPT @ </v>
      </c>
      <c r="CJ366" s="4" t="str">
        <f ca="1">IFERROR(__xludf.DUMMYFUNCTION("""COMPUTED_VALUE"""),"| 1 P NS @ | 3 L CPT @ ")</f>
        <v xml:space="preserve">| 1 P NS @ | 3 L CPT @ </v>
      </c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</row>
    <row r="367" spans="1:102" ht="12.5" x14ac:dyDescent="0.25">
      <c r="A367" s="3">
        <f ca="1">IFERROR(__xludf.DUMMYFUNCTION("""COMPUTED_VALUE"""),2)</f>
        <v>2</v>
      </c>
      <c r="B367" s="3" t="str">
        <f ca="1">IFERROR(__xludf.DUMMYFUNCTION("""COMPUTED_VALUE"""),"ITA")</f>
        <v>ITA</v>
      </c>
      <c r="C367" s="32" t="str">
        <f ca="1">IFERROR(__xludf.DUMMYFUNCTION("""COMPUTED_VALUE"""),"23291371054")</f>
        <v>23291371054</v>
      </c>
      <c r="D367" s="4" t="str">
        <f ca="1">IFERROR(__xludf.DUMMYFUNCTION("""COMPUTED_VALUE"""),"PARMAR KARANSINH BALVANTSINH")</f>
        <v>PARMAR KARANSINH BALVANTSINH</v>
      </c>
      <c r="E367" s="3" t="str">
        <f ca="1">IFERROR(__xludf.DUMMYFUNCTION("""COMPUTED_VALUE"""),"Sweety - Mor")</f>
        <v>Sweety - Mor</v>
      </c>
      <c r="F367" s="3">
        <f ca="1">IFERROR(__xludf.DUMMYFUNCTION("""COMPUTED_VALUE"""),9824862062)</f>
        <v>9824862062</v>
      </c>
      <c r="G367" s="3">
        <f ca="1">IFERROR(__xludf.DUMMYFUNCTION("""COMPUTED_VALUE"""),7043862062)</f>
        <v>7043862062</v>
      </c>
      <c r="H367" s="33">
        <f ca="1">IFERROR(__xludf.DUMMYFUNCTION("""COMPUTED_VALUE"""),0.39430894308943)</f>
        <v>0.39430894308942999</v>
      </c>
      <c r="I367" s="25">
        <f ca="1">IFERROR(__xludf.DUMMYFUNCTION("""COMPUTED_VALUE"""),0.342857142857142)</f>
        <v>0.34285714285714203</v>
      </c>
      <c r="J367" s="25">
        <f ca="1">IFERROR(__xludf.DUMMYFUNCTION("""COMPUTED_VALUE"""),0.333333333333333)</f>
        <v>0.33333333333333298</v>
      </c>
      <c r="K367" s="25">
        <f ca="1">IFERROR(__xludf.DUMMYFUNCTION("""COMPUTED_VALUE"""),0.527777777777777)</f>
        <v>0.52777777777777701</v>
      </c>
      <c r="L367" s="25">
        <f ca="1">IFERROR(__xludf.DUMMYFUNCTION("""COMPUTED_VALUE"""),0.416666666666666)</f>
        <v>0.41666666666666602</v>
      </c>
      <c r="M367" s="25">
        <f ca="1">IFERROR(__xludf.DUMMYFUNCTION("""COMPUTED_VALUE"""),0.552631578947368)</f>
        <v>0.55263157894736803</v>
      </c>
      <c r="N367" s="25">
        <f ca="1">IFERROR(__xludf.DUMMYFUNCTION("""COMPUTED_VALUE"""),0.125)</f>
        <v>0.125</v>
      </c>
      <c r="O367" s="25">
        <f ca="1">IFERROR(__xludf.DUMMYFUNCTION("""COMPUTED_VALUE"""),0.555555555555555)</f>
        <v>0.55555555555555503</v>
      </c>
      <c r="P367" s="25">
        <f ca="1">IFERROR(__xludf.DUMMYFUNCTION("""COMPUTED_VALUE"""),0.12)</f>
        <v>0.12</v>
      </c>
      <c r="Q367" s="25">
        <f ca="1">IFERROR(__xludf.DUMMYFUNCTION("""COMPUTED_VALUE"""),0)</f>
        <v>0</v>
      </c>
      <c r="R367" s="25">
        <f ca="1">IFERROR(__xludf.DUMMYFUNCTION("""COMPUTED_VALUE"""),0.291666666666666)</f>
        <v>0.29166666666666602</v>
      </c>
      <c r="S367" s="25">
        <f ca="1">IFERROR(__xludf.DUMMYFUNCTION("""COMPUTED_VALUE"""),0.333333333333333)</f>
        <v>0.33333333333333298</v>
      </c>
      <c r="T367" s="25">
        <f ca="1">IFERROR(__xludf.DUMMYFUNCTION("""COMPUTED_VALUE"""),0.111111111111111)</f>
        <v>0.11111111111111099</v>
      </c>
      <c r="U367" s="25">
        <f ca="1">IFERROR(__xludf.DUMMYFUNCTION("""COMPUTED_VALUE"""),0.375)</f>
        <v>0.375</v>
      </c>
      <c r="V367" s="25">
        <f ca="1">IFERROR(__xludf.DUMMYFUNCTION("""COMPUTED_VALUE"""),0)</f>
        <v>0</v>
      </c>
      <c r="W367" s="4"/>
      <c r="X367" s="4" t="str">
        <f ca="1">IFERROR(__xludf.DUMMYFUNCTION("""COMPUTED_VALUE"""),"| 1 P Python @ | 4 L JAVA @ | 3 L PHP-CGM @ | 1 L PRO @ ")</f>
        <v xml:space="preserve">| 1 P Python @ | 4 L JAVA @ | 3 L PHP-CGM @ | 1 L PRO @ </v>
      </c>
      <c r="Y367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67" s="4" t="str">
        <f ca="1">IFERROR(__xludf.DUMMYFUNCTION("""COMPUTED_VALUE"""),"| 3 P CPT @ | 5 L JAVA @ | 6 L NS @ ")</f>
        <v xml:space="preserve">| 3 P CPT @ | 5 L JAVA @ | 6 L NS @ </v>
      </c>
      <c r="AA367" s="4" t="str">
        <f ca="1">IFERROR(__xludf.DUMMYFUNCTION("""COMPUTED_VALUE"""),"| 1 P Python @ | 5 P JAVA @ | 5 L NS @ | 6 L CPT @ ")</f>
        <v xml:space="preserve">| 1 P Python @ | 5 P JAVA @ | 5 L NS @ | 6 L CPT @ </v>
      </c>
      <c r="AB367" s="4" t="str">
        <f ca="1">IFERROR(__xludf.DUMMYFUNCTION("""COMPUTED_VALUE"""),"| 1 P NS @ | 3 L CPT @ | 5 P PHP-CGM @ | 4 L PHP-CGM @ ")</f>
        <v xml:space="preserve">| 1 P NS @ | 3 L CPT @ | 5 P PHP-CGM @ | 4 L PHP-CGM @ </v>
      </c>
      <c r="AC367" s="4" t="str">
        <f ca="1">IFERROR(__xludf.DUMMYFUNCTION("""COMPUTED_VALUE"""),"| 1 P Python @ | 3 L PHP-CGM % | 5 P PRO % ")</f>
        <v xml:space="preserve">| 1 P Python @ | 3 L PHP-CGM % | 5 P PRO % </v>
      </c>
      <c r="AD367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AE367" s="4" t="str">
        <f ca="1">IFERROR(__xludf.DUMMYFUNCTION("""COMPUTED_VALUE"""),"| 3 P CPT @ | 5 L JAVA % | 6 L NS % ")</f>
        <v xml:space="preserve">| 3 P CPT @ | 5 L JAVA % | 6 L NS % </v>
      </c>
      <c r="AF367" s="4" t="str">
        <f ca="1">IFERROR(__xludf.DUMMYFUNCTION("""COMPUTED_VALUE"""),"| 1 P Python @ | 3 P JAVA @ | 5 L NS @ | 6 L CPT @ ")</f>
        <v xml:space="preserve">| 1 P Python @ | 3 P JAVA @ | 5 L NS @ | 6 L CPT @ </v>
      </c>
      <c r="AG367" s="4" t="str">
        <f ca="1">IFERROR(__xludf.DUMMYFUNCTION("""COMPUTED_VALUE"""),"| 1 P NS % | 3 L CPT % | 4 L PHP-CGM % | 5 P PHP-CGM @ ")</f>
        <v xml:space="preserve">| 1 P NS % | 3 L CPT % | 4 L PHP-CGM % | 5 P PHP-CGM @ </v>
      </c>
      <c r="AH367" s="4" t="str">
        <f ca="1">IFERROR(__xludf.DUMMYFUNCTION("""COMPUTED_VALUE"""),"| 1 P Python @ | 3 P JAVA @ | 5 L NS % | 6 L CPT % ")</f>
        <v xml:space="preserve">| 1 P Python @ | 3 P JAVA @ | 5 L NS % | 6 L CPT % </v>
      </c>
      <c r="AI367" s="4" t="str">
        <f ca="1">IFERROR(__xludf.DUMMYFUNCTION("""COMPUTED_VALUE"""),"| 1 P NS @ | 3 L CPT @ | 4 L PHP-CGM % | 5 P PHP-CGM @ ")</f>
        <v xml:space="preserve">| 1 P NS @ | 3 L CPT @ | 4 L PHP-CGM % | 5 P PHP-CGM @ </v>
      </c>
      <c r="AJ367" s="4" t="str">
        <f ca="1">IFERROR(__xludf.DUMMYFUNCTION("""COMPUTED_VALUE"""),"| 1 P Python @ | 3 L PHP-CGM % | 4 L JAVA % | 5 P PRO @ ")</f>
        <v xml:space="preserve">| 1 P Python @ | 3 L PHP-CGM % | 4 L JAVA % | 5 P PRO @ </v>
      </c>
      <c r="AK367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L367" s="4" t="str">
        <f ca="1">IFERROR(__xludf.DUMMYFUNCTION("""COMPUTED_VALUE"""),"| 3 P CPT @ | 5 L JAVA @ | 6 L NS @ ")</f>
        <v xml:space="preserve">| 3 P CPT @ | 5 L JAVA @ | 6 L NS @ </v>
      </c>
      <c r="AM367" s="4" t="str">
        <f ca="1">IFERROR(__xludf.DUMMYFUNCTION("""COMPUTED_VALUE"""),"| 1 P Python @ | 3 P JAVA @ | 5 L NS @ | 6 L CPT @ ")</f>
        <v xml:space="preserve">| 1 P Python @ | 3 P JAVA @ | 5 L NS @ | 6 L CPT @ </v>
      </c>
      <c r="AN367" s="4" t="str">
        <f ca="1">IFERROR(__xludf.DUMMYFUNCTION("""COMPUTED_VALUE"""),"| 1 P NS @ | 4 L PHP-CGM @ | 5 P PHP-CGM @ ")</f>
        <v xml:space="preserve">| 1 P NS @ | 4 L PHP-CGM @ | 5 P PHP-CGM @ </v>
      </c>
      <c r="AO367" s="4" t="str">
        <f ca="1">IFERROR(__xludf.DUMMYFUNCTION("""COMPUTED_VALUE"""),"| 1 P Python % | 3 L PHP-CGM % | 4 L JAVA % | 5 P PRO @ ")</f>
        <v xml:space="preserve">| 1 P Python % | 3 L PHP-CGM % | 4 L JAVA % | 5 P PRO @ </v>
      </c>
      <c r="AP367" s="4" t="str">
        <f ca="1">IFERROR(__xludf.DUMMYFUNCTION("""COMPUTED_VALUE"""),"| 1 L JAVA % | 2 L PHP-CGM % | 3 P JAVA @ | 5 L CPT @ | 6 L NS @ ")</f>
        <v xml:space="preserve">| 1 L JAVA % | 2 L PHP-CGM % | 3 P JAVA @ | 5 L CPT @ | 6 L NS @ </v>
      </c>
      <c r="AQ367" s="4" t="str">
        <f ca="1">IFERROR(__xludf.DUMMYFUNCTION("""COMPUTED_VALUE"""),"| 1 L INE @ | 3 P CPT @ | 5 L JAVA % | 6 L NS % ")</f>
        <v xml:space="preserve">| 1 L INE @ | 3 P CPT @ | 5 L JAVA % | 6 L NS % </v>
      </c>
      <c r="AR367" s="4" t="str">
        <f ca="1">IFERROR(__xludf.DUMMYFUNCTION("""COMPUTED_VALUE"""),"| 1 P Python @ | 3 L CPT @ | 3 P JAVA @ | 5 L NS % | 6 L CPT % ")</f>
        <v xml:space="preserve">| 1 P Python @ | 3 L CPT @ | 3 P JAVA @ | 5 L NS % | 6 L CPT % </v>
      </c>
      <c r="AS367" s="4" t="str">
        <f ca="1">IFERROR(__xludf.DUMMYFUNCTION("""COMPUTED_VALUE"""),"| 1 P Python % | 3 L PHP-CGM @ | 4 L JAVA @ | 5 P PRO @ ")</f>
        <v xml:space="preserve">| 1 P Python % | 3 L PHP-CGM @ | 4 L JAVA @ | 5 P PRO @ </v>
      </c>
      <c r="AT367" s="4" t="str">
        <f ca="1">IFERROR(__xludf.DUMMYFUNCTION("""COMPUTED_VALUE"""),"| 1 L JAVA % | 2 L PHP-CGM % | 3 P JAVA @ | 5 L CPT % | 6 L NS @ ")</f>
        <v xml:space="preserve">| 1 L JAVA % | 2 L PHP-CGM % | 3 P JAVA @ | 5 L CPT % | 6 L NS @ </v>
      </c>
      <c r="AU367" s="4" t="str">
        <f ca="1">IFERROR(__xludf.DUMMYFUNCTION("""COMPUTED_VALUE"""),"| 1 L INE % | 3 P CPT % | 5 L JAVA % | 6 L NS % ")</f>
        <v xml:space="preserve">| 1 L INE % | 3 P CPT % | 5 L JAVA % | 6 L NS % </v>
      </c>
      <c r="AV367" s="4" t="str">
        <f ca="1">IFERROR(__xludf.DUMMYFUNCTION("""COMPUTED_VALUE"""),"| 1 P Python @ | 3 P JAVA @ | 5 L NS % | 6 L CPT @ ")</f>
        <v xml:space="preserve">| 1 P Python @ | 3 P JAVA @ | 5 L NS % | 6 L CPT @ </v>
      </c>
      <c r="AW367" s="4" t="str">
        <f ca="1">IFERROR(__xludf.DUMMYFUNCTION("""COMPUTED_VALUE"""),"| 1 P NS % | 3 L CPT % | 4 L PHP-CGM % | 5 P PHP-CGM @ ")</f>
        <v xml:space="preserve">| 1 P NS % | 3 L CPT % | 4 L PHP-CGM % | 5 P PHP-CGM @ </v>
      </c>
      <c r="AX367" s="4" t="str">
        <f ca="1">IFERROR(__xludf.DUMMYFUNCTION("""COMPUTED_VALUE"""),"| 1 P Python @ | 3 L JAVA @ | 4 L PHP-CGM @ | 5 P PRO @ ")</f>
        <v xml:space="preserve">| 1 P Python @ | 3 L JAVA @ | 4 L PHP-CGM @ | 5 P PRO @ </v>
      </c>
      <c r="AY367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67" s="4" t="str">
        <f ca="1">IFERROR(__xludf.DUMMYFUNCTION("""COMPUTED_VALUE"""),"| 1 P Python % | 3 P JAVA @ | 5 L NS % | 6 L CPT @ ")</f>
        <v xml:space="preserve">| 1 P Python % | 3 P JAVA @ | 5 L NS % | 6 L CPT @ </v>
      </c>
      <c r="BA367" s="4" t="str">
        <f ca="1">IFERROR(__xludf.DUMMYFUNCTION("""COMPUTED_VALUE"""),"| 1 P NS % | 3 L CPT @ | 4 L PHP-CGM @ | 5 P PHP-CGM @ ")</f>
        <v xml:space="preserve">| 1 P NS % | 3 L CPT @ | 4 L PHP-CGM @ | 5 P PHP-CGM @ </v>
      </c>
      <c r="BB367" s="4" t="str">
        <f ca="1">IFERROR(__xludf.DUMMYFUNCTION("""COMPUTED_VALUE"""),"| 1 P Python @ | 3 L PHP-CGM % | 4 L JAVA % | 5 L PRO @ ")</f>
        <v xml:space="preserve">| 1 P Python @ | 3 L PHP-CGM % | 4 L JAVA % | 5 L PRO @ </v>
      </c>
      <c r="BC367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D367" s="4" t="str">
        <f ca="1">IFERROR(__xludf.DUMMYFUNCTION("""COMPUTED_VALUE"""),"| 1 L INE @ | 3 P CPT @ | 5 L JAVA @ | 6 L NS @ ")</f>
        <v xml:space="preserve">| 1 L INE @ | 3 P CPT @ | 5 L JAVA @ | 6 L NS @ </v>
      </c>
      <c r="BE367" s="4" t="str">
        <f ca="1">IFERROR(__xludf.DUMMYFUNCTION("""COMPUTED_VALUE"""),"| 1 P Python @ | 3 P JAVA @ | 5 L NS % | 6 L CPT @ ")</f>
        <v xml:space="preserve">| 1 P Python @ | 3 P JAVA @ | 5 L NS % | 6 L CPT @ </v>
      </c>
      <c r="BF367" s="4" t="str">
        <f ca="1">IFERROR(__xludf.DUMMYFUNCTION("""COMPUTED_VALUE"""),"| 1 P NS @ | 3 L CPT @ | 4 L PHP-CGM @ ")</f>
        <v xml:space="preserve">| 1 P NS @ | 3 L CPT @ | 4 L PHP-CGM @ </v>
      </c>
      <c r="BG367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BH367" s="4" t="str">
        <f ca="1">IFERROR(__xludf.DUMMYFUNCTION("""COMPUTED_VALUE"""),"| 1 L INE @ | 3 P CPT @ | 5 L JAVA @ | 6 L NS @ ")</f>
        <v xml:space="preserve">| 1 L INE @ | 3 P CPT @ | 5 L JAVA @ | 6 L NS @ </v>
      </c>
      <c r="BI367" s="4" t="str">
        <f ca="1">IFERROR(__xludf.DUMMYFUNCTION("""COMPUTED_VALUE"""),"| 1 P Python % | 3 P JAVA @ | 5 L NS % | 6 L CPT % ")</f>
        <v xml:space="preserve">| 1 P Python % | 3 P JAVA @ | 5 L NS % | 6 L CPT % </v>
      </c>
      <c r="BJ367" s="4" t="str">
        <f ca="1">IFERROR(__xludf.DUMMYFUNCTION("""COMPUTED_VALUE"""),"| 1 P NS @ | 3 L CPT @ | 4 L PHP-CGM @ | 5 P PHP-CGM @ ")</f>
        <v xml:space="preserve">| 1 P NS @ | 3 L CPT @ | 4 L PHP-CGM @ | 5 P PHP-CGM @ </v>
      </c>
      <c r="BK367" s="4" t="str">
        <f ca="1">IFERROR(__xludf.DUMMYFUNCTION("""COMPUTED_VALUE"""),"| 1 P Python @ | 3 L PHP-CGM @ | 4 L JAVA @ | 5 P PRO @ ")</f>
        <v xml:space="preserve">| 1 P Python @ | 3 L PHP-CGM @ | 4 L JAVA @ | 5 P PRO @ </v>
      </c>
      <c r="BL367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67" s="4" t="str">
        <f ca="1">IFERROR(__xludf.DUMMYFUNCTION("""COMPUTED_VALUE"""),"| 1 L INE @ | 3 P CPT @ | 5 L JAVA @ | 6 L NS @ ")</f>
        <v xml:space="preserve">| 1 L INE @ | 3 P CPT @ | 5 L JAVA @ | 6 L NS @ </v>
      </c>
      <c r="BN367" s="4" t="str">
        <f ca="1">IFERROR(__xludf.DUMMYFUNCTION("""COMPUTED_VALUE"""),"| 1 P Python @ | 3 P JAVA @ | 5 L NS @ | 6 L CPT @ ")</f>
        <v xml:space="preserve">| 1 P Python @ | 3 P JAVA @ | 5 L NS @ | 6 L CPT @ </v>
      </c>
      <c r="BO367" s="4" t="str">
        <f ca="1">IFERROR(__xludf.DUMMYFUNCTION("""COMPUTED_VALUE"""),"| 1 P NS @ | 4 L PHP-CGM @ | 3 L CPT @ ")</f>
        <v xml:space="preserve">| 1 P NS @ | 4 L PHP-CGM @ | 3 L CPT @ </v>
      </c>
      <c r="BP367" s="4" t="str">
        <f ca="1">IFERROR(__xludf.DUMMYFUNCTION("""COMPUTED_VALUE"""),"| 3 L PHP-CGM @ | 4 L JAVA @ | 5 P PRO @ ")</f>
        <v xml:space="preserve">| 3 L PHP-CGM @ | 4 L JAVA @ | 5 P PRO @ </v>
      </c>
      <c r="BQ367" s="4" t="str">
        <f ca="1">IFERROR(__xludf.DUMMYFUNCTION("""COMPUTED_VALUE"""),"| 6 L NS % | 5 L JAVA @ | 3 P CPT % ")</f>
        <v xml:space="preserve">| 6 L NS % | 5 L JAVA @ | 3 P CPT % </v>
      </c>
      <c r="BR367" s="4"/>
      <c r="BS367" s="4" t="str">
        <f ca="1">IFERROR(__xludf.DUMMYFUNCTION("""COMPUTED_VALUE"""),"| 4 L PHP-CGM % ")</f>
        <v xml:space="preserve">| 4 L PHP-CGM % </v>
      </c>
      <c r="BT367" s="4" t="str">
        <f ca="1">IFERROR(__xludf.DUMMYFUNCTION("""COMPUTED_VALUE"""),"| 1 P Python % | 3 L PHP-CGM % ")</f>
        <v xml:space="preserve">| 1 P Python % | 3 L PHP-CGM % </v>
      </c>
      <c r="BU367" s="4" t="str">
        <f ca="1">IFERROR(__xludf.DUMMYFUNCTION("""COMPUTED_VALUE"""),"| 1 L JAVA % | 2 L PHP-CGM % | 3 P JAVA @ ")</f>
        <v xml:space="preserve">| 1 L JAVA % | 2 L PHP-CGM % | 3 P JAVA @ </v>
      </c>
      <c r="BV367" s="4" t="str">
        <f ca="1">IFERROR(__xludf.DUMMYFUNCTION("""COMPUTED_VALUE"""),"| 1 P Python @ | 3 L PHP-CGM % | 4 L JAVA % | 5 P PRO @ ")</f>
        <v xml:space="preserve">| 1 P Python @ | 3 L PHP-CGM % | 4 L JAVA % | 5 P PRO @ </v>
      </c>
      <c r="BW367" s="4" t="str">
        <f ca="1">IFERROR(__xludf.DUMMYFUNCTION("""COMPUTED_VALUE"""),"| 1 L JAVA @ | 2 L PHP-CGM @ | 3 P JAVA @ ")</f>
        <v xml:space="preserve">| 1 L JAVA @ | 2 L PHP-CGM @ | 3 P JAVA @ </v>
      </c>
      <c r="BX367" s="4" t="str">
        <f ca="1">IFERROR(__xludf.DUMMYFUNCTION("""COMPUTED_VALUE"""),"| 1 L INE @ | 3 P CPT @ | 5 L JAVA % | 6 L NS % ")</f>
        <v xml:space="preserve">| 1 L INE @ | 3 P CPT @ | 5 L JAVA % | 6 L NS % </v>
      </c>
      <c r="BY367" s="4" t="str">
        <f ca="1">IFERROR(__xludf.DUMMYFUNCTION("""COMPUTED_VALUE"""),"| 1 P Python @ | 3 P JAVA @ | 5 L NS % | 6 L CPT @ ")</f>
        <v xml:space="preserve">| 1 P Python @ | 3 P JAVA @ | 5 L NS % | 6 L CPT @ </v>
      </c>
      <c r="BZ367" s="4" t="str">
        <f ca="1">IFERROR(__xludf.DUMMYFUNCTION("""COMPUTED_VALUE"""),"| 1 P NS % | 3 L CPT @ | 4 L PHP-CGM % | 5 P PHP-CGM % ")</f>
        <v xml:space="preserve">| 1 P NS % | 3 L CPT @ | 4 L PHP-CGM % | 5 P PHP-CGM % </v>
      </c>
      <c r="CA367" s="4" t="str">
        <f ca="1">IFERROR(__xludf.DUMMYFUNCTION("""COMPUTED_VALUE"""),"| 1 P Python @ | 3 L PHP-CGM % | 3 L JAVA % | 5 P PRO @ ")</f>
        <v xml:space="preserve">| 1 P Python @ | 3 L PHP-CGM % | 3 L JAVA % | 5 P PRO @ </v>
      </c>
      <c r="CB367" s="4" t="str">
        <f ca="1">IFERROR(__xludf.DUMMYFUNCTION("""COMPUTED_VALUE"""),"| 1 L JAVA % | 2 L PHP-CGM % | 3 P JAVA @ | 6 L NS % | 5 L CPT % ")</f>
        <v xml:space="preserve">| 1 L JAVA % | 2 L PHP-CGM % | 3 P JAVA @ | 6 L NS % | 5 L CPT % </v>
      </c>
      <c r="CC367" s="4" t="str">
        <f ca="1">IFERROR(__xludf.DUMMYFUNCTION("""COMPUTED_VALUE"""),"| 1 L INE % | 3 P CPT % | 5 L JAVA % | 6 L NS % ")</f>
        <v xml:space="preserve">| 1 L INE % | 3 P CPT % | 5 L JAVA % | 6 L NS % </v>
      </c>
      <c r="CD367" s="4" t="str">
        <f ca="1">IFERROR(__xludf.DUMMYFUNCTION("""COMPUTED_VALUE"""),"| 1 P Python % | 3 P JAVA % | 5 L NS % | 6 L CPT % ")</f>
        <v xml:space="preserve">| 1 P Python % | 3 P JAVA % | 5 L NS % | 6 L CPT % </v>
      </c>
      <c r="CE367" s="4" t="str">
        <f ca="1">IFERROR(__xludf.DUMMYFUNCTION("""COMPUTED_VALUE"""),"| 1 P NS % | 3 L CPT % | 4 L PHP-CGM % ")</f>
        <v xml:space="preserve">| 1 P NS % | 3 L CPT % | 4 L PHP-CGM % </v>
      </c>
      <c r="CF367" s="4" t="str">
        <f ca="1">IFERROR(__xludf.DUMMYFUNCTION("""COMPUTED_VALUE"""),"| 1 P Python % | 4 L JAVA % | 3 L PHP-CGM @ | 5 L PRO % ")</f>
        <v xml:space="preserve">| 1 P Python % | 4 L JAVA % | 3 L PHP-CGM @ | 5 L PRO % </v>
      </c>
      <c r="CG367" s="4" t="str">
        <f ca="1">IFERROR(__xludf.DUMMYFUNCTION("""COMPUTED_VALUE"""),"| 1 L JAVA % | 2 L PHP-CGM % | 6 L NS @ | 3 P JAVA % ")</f>
        <v xml:space="preserve">| 1 L JAVA % | 2 L PHP-CGM % | 6 L NS @ | 3 P JAVA % </v>
      </c>
      <c r="CH367" s="4" t="str">
        <f ca="1">IFERROR(__xludf.DUMMYFUNCTION("""COMPUTED_VALUE"""),"| 1 L INE % | 3 P CPT % | 5 L JAVA % | 6 L NS % ")</f>
        <v xml:space="preserve">| 1 L INE % | 3 P CPT % | 5 L JAVA % | 6 L NS % </v>
      </c>
      <c r="CI367" s="4" t="str">
        <f ca="1">IFERROR(__xludf.DUMMYFUNCTION("""COMPUTED_VALUE"""),"| 5 L NS @ | 6 L CPT @ ")</f>
        <v xml:space="preserve">| 5 L NS @ | 6 L CPT @ </v>
      </c>
      <c r="CJ367" s="4" t="str">
        <f ca="1">IFERROR(__xludf.DUMMYFUNCTION("""COMPUTED_VALUE"""),"| 1 P NS @ | 3 L CPT @ ")</f>
        <v xml:space="preserve">| 1 P NS @ | 3 L CPT @ </v>
      </c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</row>
    <row r="368" spans="1:102" ht="12.5" x14ac:dyDescent="0.25">
      <c r="A368" s="3">
        <f ca="1">IFERROR(__xludf.DUMMYFUNCTION("""COMPUTED_VALUE"""),2)</f>
        <v>2</v>
      </c>
      <c r="B368" s="3" t="str">
        <f ca="1">IFERROR(__xludf.DUMMYFUNCTION("""COMPUTED_VALUE"""),"ITA")</f>
        <v>ITA</v>
      </c>
      <c r="C368" s="32" t="str">
        <f ca="1">IFERROR(__xludf.DUMMYFUNCTION("""COMPUTED_VALUE"""),"23291371063")</f>
        <v>23291371063</v>
      </c>
      <c r="D368" s="4" t="str">
        <f ca="1">IFERROR(__xludf.DUMMYFUNCTION("""COMPUTED_VALUE"""),"PATEL AYUSHIBEN ALPESHKUMAR")</f>
        <v>PATEL AYUSHIBEN ALPESHKUMAR</v>
      </c>
      <c r="E368" s="3" t="str">
        <f ca="1">IFERROR(__xludf.DUMMYFUNCTION("""COMPUTED_VALUE"""),"Sweety - Mor")</f>
        <v>Sweety - Mor</v>
      </c>
      <c r="F368" s="3">
        <f ca="1">IFERROR(__xludf.DUMMYFUNCTION("""COMPUTED_VALUE"""),7990134951)</f>
        <v>7990134951</v>
      </c>
      <c r="G368" s="3">
        <f ca="1">IFERROR(__xludf.DUMMYFUNCTION("""COMPUTED_VALUE"""),9727757947)</f>
        <v>9727757947</v>
      </c>
      <c r="H368" s="33">
        <f ca="1">IFERROR(__xludf.DUMMYFUNCTION("""COMPUTED_VALUE"""),0.711382113821138)</f>
        <v>0.71138211382113803</v>
      </c>
      <c r="I368" s="25">
        <f ca="1">IFERROR(__xludf.DUMMYFUNCTION("""COMPUTED_VALUE"""),0.514285714285714)</f>
        <v>0.51428571428571401</v>
      </c>
      <c r="J368" s="25">
        <f ca="1">IFERROR(__xludf.DUMMYFUNCTION("""COMPUTED_VALUE"""),0.75)</f>
        <v>0.75</v>
      </c>
      <c r="K368" s="25">
        <f ca="1">IFERROR(__xludf.DUMMYFUNCTION("""COMPUTED_VALUE"""),0.555555555555555)</f>
        <v>0.55555555555555503</v>
      </c>
      <c r="L368" s="25">
        <f ca="1">IFERROR(__xludf.DUMMYFUNCTION("""COMPUTED_VALUE"""),0.916666666666666)</f>
        <v>0.91666666666666596</v>
      </c>
      <c r="M368" s="25">
        <f ca="1">IFERROR(__xludf.DUMMYFUNCTION("""COMPUTED_VALUE"""),0.81578947368421)</f>
        <v>0.81578947368420995</v>
      </c>
      <c r="N368" s="25">
        <f ca="1">IFERROR(__xludf.DUMMYFUNCTION("""COMPUTED_VALUE"""),0.875)</f>
        <v>0.875</v>
      </c>
      <c r="O368" s="25">
        <f ca="1">IFERROR(__xludf.DUMMYFUNCTION("""COMPUTED_VALUE"""),0.777777777777777)</f>
        <v>0.77777777777777701</v>
      </c>
      <c r="P368" s="25">
        <f ca="1">IFERROR(__xludf.DUMMYFUNCTION("""COMPUTED_VALUE"""),0.76)</f>
        <v>0.76</v>
      </c>
      <c r="Q368" s="25">
        <f ca="1">IFERROR(__xludf.DUMMYFUNCTION("""COMPUTED_VALUE"""),0)</f>
        <v>0</v>
      </c>
      <c r="R368" s="25">
        <f ca="1">IFERROR(__xludf.DUMMYFUNCTION("""COMPUTED_VALUE"""),0.75)</f>
        <v>0.75</v>
      </c>
      <c r="S368" s="25">
        <f ca="1">IFERROR(__xludf.DUMMYFUNCTION("""COMPUTED_VALUE"""),0.666666666666666)</f>
        <v>0.66666666666666596</v>
      </c>
      <c r="T368" s="25">
        <f ca="1">IFERROR(__xludf.DUMMYFUNCTION("""COMPUTED_VALUE"""),0.666666666666666)</f>
        <v>0.66666666666666596</v>
      </c>
      <c r="U368" s="25">
        <f ca="1">IFERROR(__xludf.DUMMYFUNCTION("""COMPUTED_VALUE"""),0.75)</f>
        <v>0.75</v>
      </c>
      <c r="V368" s="25">
        <f ca="1">IFERROR(__xludf.DUMMYFUNCTION("""COMPUTED_VALUE"""),0)</f>
        <v>0</v>
      </c>
      <c r="W368" s="4"/>
      <c r="X368" s="4" t="str">
        <f ca="1">IFERROR(__xludf.DUMMYFUNCTION("""COMPUTED_VALUE"""),"| 1 P Python % | 4 L JAVA % | 3 L PHP-CGM % | 1 L PRO @ ")</f>
        <v xml:space="preserve">| 1 P Python % | 4 L JAVA % | 3 L PHP-CGM % | 1 L PRO @ </v>
      </c>
      <c r="Y368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68" s="4" t="str">
        <f ca="1">IFERROR(__xludf.DUMMYFUNCTION("""COMPUTED_VALUE"""),"| 3 P CPT % | 5 L JAVA % | 6 L NS % ")</f>
        <v xml:space="preserve">| 3 P CPT % | 5 L JAVA % | 6 L NS % </v>
      </c>
      <c r="AA368" s="4" t="str">
        <f ca="1">IFERROR(__xludf.DUMMYFUNCTION("""COMPUTED_VALUE"""),"| 1 P Python % | 5 P JAVA % | 5 L NS @ | 6 L CPT % ")</f>
        <v xml:space="preserve">| 1 P Python % | 5 P JAVA % | 5 L NS @ | 6 L CPT % </v>
      </c>
      <c r="AB368" s="4" t="str">
        <f ca="1">IFERROR(__xludf.DUMMYFUNCTION("""COMPUTED_VALUE"""),"| 1 P NS % | 3 L CPT % | 5 P PHP-CGM % | 4 L PHP-CGM % ")</f>
        <v xml:space="preserve">| 1 P NS % | 3 L CPT % | 5 P PHP-CGM % | 4 L PHP-CGM % </v>
      </c>
      <c r="AC368" s="4" t="str">
        <f ca="1">IFERROR(__xludf.DUMMYFUNCTION("""COMPUTED_VALUE"""),"| 1 P Python % | 3 L PHP-CGM % | 5 P PRO % ")</f>
        <v xml:space="preserve">| 1 P Python % | 3 L PHP-CGM % | 5 P PRO % </v>
      </c>
      <c r="AD368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68" s="4" t="str">
        <f ca="1">IFERROR(__xludf.DUMMYFUNCTION("""COMPUTED_VALUE"""),"| 3 P CPT % | 5 L JAVA % | 6 L NS % ")</f>
        <v xml:space="preserve">| 3 P CPT % | 5 L JAVA % | 6 L NS % </v>
      </c>
      <c r="AF368" s="4" t="str">
        <f ca="1">IFERROR(__xludf.DUMMYFUNCTION("""COMPUTED_VALUE"""),"| 1 P Python % | 3 P JAVA % | 5 L NS % | 6 L CPT % ")</f>
        <v xml:space="preserve">| 1 P Python % | 3 P JAVA % | 5 L NS % | 6 L CPT % </v>
      </c>
      <c r="AG368" s="4" t="str">
        <f ca="1">IFERROR(__xludf.DUMMYFUNCTION("""COMPUTED_VALUE"""),"| 1 P NS % | 3 L CPT % | 4 L PHP-CGM % | 5 P PHP-CGM % ")</f>
        <v xml:space="preserve">| 1 P NS % | 3 L CPT % | 4 L PHP-CGM % | 5 P PHP-CGM % </v>
      </c>
      <c r="AH368" s="4" t="str">
        <f ca="1">IFERROR(__xludf.DUMMYFUNCTION("""COMPUTED_VALUE"""),"| 1 P Python % | 3 P JAVA % | 5 L NS % | 6 L CPT % ")</f>
        <v xml:space="preserve">| 1 P Python % | 3 P JAVA % | 5 L NS % | 6 L CPT % </v>
      </c>
      <c r="AI368" s="4" t="str">
        <f ca="1">IFERROR(__xludf.DUMMYFUNCTION("""COMPUTED_VALUE"""),"| 1 P NS % | 3 L CPT % | 4 L PHP-CGM % | 5 P PHP-CGM % ")</f>
        <v xml:space="preserve">| 1 P NS % | 3 L CPT % | 4 L PHP-CGM % | 5 P PHP-CGM % </v>
      </c>
      <c r="AJ368" s="4" t="str">
        <f ca="1">IFERROR(__xludf.DUMMYFUNCTION("""COMPUTED_VALUE"""),"| 1 P Python % | 3 L PHP-CGM % | 4 L JAVA % | 5 P PRO % ")</f>
        <v xml:space="preserve">| 1 P Python % | 3 L PHP-CGM % | 4 L JAVA % | 5 P PRO % </v>
      </c>
      <c r="AK368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68" s="4" t="str">
        <f ca="1">IFERROR(__xludf.DUMMYFUNCTION("""COMPUTED_VALUE"""),"| 3 P CPT % | 5 L JAVA % | 6 L NS % ")</f>
        <v xml:space="preserve">| 3 P CPT % | 5 L JAVA % | 6 L NS % </v>
      </c>
      <c r="AM368" s="4" t="str">
        <f ca="1">IFERROR(__xludf.DUMMYFUNCTION("""COMPUTED_VALUE"""),"| 1 P Python % | 3 P JAVA % | 5 L NS % | 6 L CPT % ")</f>
        <v xml:space="preserve">| 1 P Python % | 3 P JAVA % | 5 L NS % | 6 L CPT % </v>
      </c>
      <c r="AN368" s="4" t="str">
        <f ca="1">IFERROR(__xludf.DUMMYFUNCTION("""COMPUTED_VALUE"""),"| 1 P NS % | 4 L PHP-CGM % | 5 P PHP-CGM % ")</f>
        <v xml:space="preserve">| 1 P NS % | 4 L PHP-CGM % | 5 P PHP-CGM % </v>
      </c>
      <c r="AO368" s="4" t="str">
        <f ca="1">IFERROR(__xludf.DUMMYFUNCTION("""COMPUTED_VALUE"""),"| 1 P Python % | 3 L PHP-CGM % | 4 L JAVA % | 5 P PRO @ ")</f>
        <v xml:space="preserve">| 1 P Python % | 3 L PHP-CGM % | 4 L JAVA % | 5 P PRO @ </v>
      </c>
      <c r="AP368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68" s="4" t="str">
        <f ca="1">IFERROR(__xludf.DUMMYFUNCTION("""COMPUTED_VALUE"""),"| 1 L INE % | 3 P CPT % | 5 L JAVA % | 6 L NS % ")</f>
        <v xml:space="preserve">| 1 L INE % | 3 P CPT % | 5 L JAVA % | 6 L NS % </v>
      </c>
      <c r="AR368" s="4" t="str">
        <f ca="1">IFERROR(__xludf.DUMMYFUNCTION("""COMPUTED_VALUE"""),"| 1 P Python % | 3 L CPT % | 3 P JAVA % | 5 L NS % | 6 L CPT @ ")</f>
        <v xml:space="preserve">| 1 P Python % | 3 L CPT % | 3 P JAVA % | 5 L NS % | 6 L CPT @ </v>
      </c>
      <c r="AS368" s="4" t="str">
        <f ca="1">IFERROR(__xludf.DUMMYFUNCTION("""COMPUTED_VALUE"""),"| 1 P Python % | 3 L PHP-CGM % | 4 L JAVA % | 5 P PRO % ")</f>
        <v xml:space="preserve">| 1 P Python % | 3 L PHP-CGM % | 4 L JAVA % | 5 P PRO % </v>
      </c>
      <c r="AT368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U368" s="4" t="str">
        <f ca="1">IFERROR(__xludf.DUMMYFUNCTION("""COMPUTED_VALUE"""),"| 1 L INE % | 3 P CPT % | 5 L JAVA @ | 6 L NS % ")</f>
        <v xml:space="preserve">| 1 L INE % | 3 P CPT % | 5 L JAVA @ | 6 L NS % </v>
      </c>
      <c r="AV368" s="4" t="str">
        <f ca="1">IFERROR(__xludf.DUMMYFUNCTION("""COMPUTED_VALUE"""),"| 1 P Python % | 3 P JAVA % | 5 L NS % | 6 L CPT % ")</f>
        <v xml:space="preserve">| 1 P Python % | 3 P JAVA % | 5 L NS % | 6 L CPT % </v>
      </c>
      <c r="AW368" s="4" t="str">
        <f ca="1">IFERROR(__xludf.DUMMYFUNCTION("""COMPUTED_VALUE"""),"| 1 P NS % | 3 L CPT @ | 4 L PHP-CGM @ | 5 P PHP-CGM % ")</f>
        <v xml:space="preserve">| 1 P NS % | 3 L CPT @ | 4 L PHP-CGM @ | 5 P PHP-CGM % </v>
      </c>
      <c r="AX368" s="4" t="str">
        <f ca="1">IFERROR(__xludf.DUMMYFUNCTION("""COMPUTED_VALUE"""),"| 1 P Python % | 3 L JAVA % | 4 L PHP-CGM % | 5 P PRO % ")</f>
        <v xml:space="preserve">| 1 P Python % | 3 L JAVA % | 4 L PHP-CGM % | 5 P PRO % </v>
      </c>
      <c r="AY368" s="4" t="str">
        <f ca="1">IFERROR(__xludf.DUMMYFUNCTION("""COMPUTED_VALUE"""),"| 2 L PHP-CGM % | 3 P JAVA % | 5 L CPT @ | 6 L NS % | 1 L JAVA % ")</f>
        <v xml:space="preserve">| 2 L PHP-CGM % | 3 P JAVA % | 5 L CPT @ | 6 L NS % | 1 L JAVA % </v>
      </c>
      <c r="AZ368" s="4" t="str">
        <f ca="1">IFERROR(__xludf.DUMMYFUNCTION("""COMPUTED_VALUE"""),"| 1 P Python % | 3 P JAVA % | 5 L NS % | 6 L CPT % ")</f>
        <v xml:space="preserve">| 1 P Python % | 3 P JAVA % | 5 L NS % | 6 L CPT % </v>
      </c>
      <c r="BA368" s="4" t="str">
        <f ca="1">IFERROR(__xludf.DUMMYFUNCTION("""COMPUTED_VALUE"""),"| 1 P NS % | 3 L CPT % | 4 L PHP-CGM % | 5 P PHP-CGM % ")</f>
        <v xml:space="preserve">| 1 P NS % | 3 L CPT % | 4 L PHP-CGM % | 5 P PHP-CGM % </v>
      </c>
      <c r="BB368" s="4" t="str">
        <f ca="1">IFERROR(__xludf.DUMMYFUNCTION("""COMPUTED_VALUE"""),"| 1 P Python % | 3 L PHP-CGM % | 4 L JAVA % | 5 L PRO % ")</f>
        <v xml:space="preserve">| 1 P Python % | 3 L PHP-CGM % | 4 L JAVA % | 5 L PRO % </v>
      </c>
      <c r="BC368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BD368" s="4" t="str">
        <f ca="1">IFERROR(__xludf.DUMMYFUNCTION("""COMPUTED_VALUE"""),"| 1 L INE @ | 3 P CPT @ | 5 L JAVA @ | 6 L NS @ ")</f>
        <v xml:space="preserve">| 1 L INE @ | 3 P CPT @ | 5 L JAVA @ | 6 L NS @ </v>
      </c>
      <c r="BE368" s="4" t="str">
        <f ca="1">IFERROR(__xludf.DUMMYFUNCTION("""COMPUTED_VALUE"""),"| 1 P Python @ | 3 P JAVA @ | 5 L NS @ | 6 L CPT @ ")</f>
        <v xml:space="preserve">| 1 P Python @ | 3 P JAVA @ | 5 L NS @ | 6 L CPT @ </v>
      </c>
      <c r="BF368" s="4" t="str">
        <f ca="1">IFERROR(__xludf.DUMMYFUNCTION("""COMPUTED_VALUE"""),"| 1 P NS % | 3 L CPT % | 4 L PHP-CGM % ")</f>
        <v xml:space="preserve">| 1 P NS % | 3 L CPT % | 4 L PHP-CGM % </v>
      </c>
      <c r="BG368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BH368" s="4" t="str">
        <f ca="1">IFERROR(__xludf.DUMMYFUNCTION("""COMPUTED_VALUE"""),"| 1 L INE % | 3 P CPT % | 5 L JAVA % | 6 L NS % ")</f>
        <v xml:space="preserve">| 1 L INE % | 3 P CPT % | 5 L JAVA % | 6 L NS % </v>
      </c>
      <c r="BI368" s="4" t="str">
        <f ca="1">IFERROR(__xludf.DUMMYFUNCTION("""COMPUTED_VALUE"""),"| 1 P Python % | 3 P JAVA @ | 5 L NS % | 6 L CPT % ")</f>
        <v xml:space="preserve">| 1 P Python % | 3 P JAVA @ | 5 L NS % | 6 L CPT % </v>
      </c>
      <c r="BJ368" s="4" t="str">
        <f ca="1">IFERROR(__xludf.DUMMYFUNCTION("""COMPUTED_VALUE"""),"| 1 P NS % | 3 L CPT @ | 4 L PHP-CGM @ | 5 P PHP-CGM @ ")</f>
        <v xml:space="preserve">| 1 P NS % | 3 L CPT @ | 4 L PHP-CGM @ | 5 P PHP-CGM @ </v>
      </c>
      <c r="BK368" s="4" t="str">
        <f ca="1">IFERROR(__xludf.DUMMYFUNCTION("""COMPUTED_VALUE"""),"| 1 P Python @ | 3 L PHP-CGM @ | 4 L JAVA @ | 5 P PRO @ ")</f>
        <v xml:space="preserve">| 1 P Python @ | 3 L PHP-CGM @ | 4 L JAVA @ | 5 P PRO @ </v>
      </c>
      <c r="BL368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BM368" s="4" t="str">
        <f ca="1">IFERROR(__xludf.DUMMYFUNCTION("""COMPUTED_VALUE"""),"| 1 L INE % | 3 P CPT % | 5 L JAVA @ | 6 L NS @ ")</f>
        <v xml:space="preserve">| 1 L INE % | 3 P CPT % | 5 L JAVA @ | 6 L NS @ </v>
      </c>
      <c r="BN368" s="4" t="str">
        <f ca="1">IFERROR(__xludf.DUMMYFUNCTION("""COMPUTED_VALUE"""),"| 1 P Python @ | 3 P JAVA @ | 5 L NS @ | 6 L CPT @ ")</f>
        <v xml:space="preserve">| 1 P Python @ | 3 P JAVA @ | 5 L NS @ | 6 L CPT @ </v>
      </c>
      <c r="BO368" s="4" t="str">
        <f ca="1">IFERROR(__xludf.DUMMYFUNCTION("""COMPUTED_VALUE"""),"| 1 P NS % | 4 L PHP-CGM % | 3 L CPT % ")</f>
        <v xml:space="preserve">| 1 P NS % | 4 L PHP-CGM % | 3 L CPT % </v>
      </c>
      <c r="BP368" s="4" t="str">
        <f ca="1">IFERROR(__xludf.DUMMYFUNCTION("""COMPUTED_VALUE"""),"| 3 L PHP-CGM % | 4 L JAVA % | 5 P PRO @ ")</f>
        <v xml:space="preserve">| 3 L PHP-CGM % | 4 L JAVA % | 5 P PRO @ </v>
      </c>
      <c r="BQ368" s="4" t="str">
        <f ca="1">IFERROR(__xludf.DUMMYFUNCTION("""COMPUTED_VALUE"""),"| 6 L NS % | 5 L JAVA % | 3 P CPT % ")</f>
        <v xml:space="preserve">| 6 L NS % | 5 L JAVA % | 3 P CPT % </v>
      </c>
      <c r="BR368" s="4"/>
      <c r="BS368" s="4" t="str">
        <f ca="1">IFERROR(__xludf.DUMMYFUNCTION("""COMPUTED_VALUE"""),"| 4 L PHP-CGM % ")</f>
        <v xml:space="preserve">| 4 L PHP-CGM % </v>
      </c>
      <c r="BT368" s="4" t="str">
        <f ca="1">IFERROR(__xludf.DUMMYFUNCTION("""COMPUTED_VALUE"""),"| 1 P Python % | 3 L PHP-CGM % ")</f>
        <v xml:space="preserve">| 1 P Python % | 3 L PHP-CGM % </v>
      </c>
      <c r="BU368" s="4" t="str">
        <f ca="1">IFERROR(__xludf.DUMMYFUNCTION("""COMPUTED_VALUE"""),"| 1 L JAVA % | 2 L PHP-CGM % | 3 P JAVA % ")</f>
        <v xml:space="preserve">| 1 L JAVA % | 2 L PHP-CGM % | 3 P JAVA % </v>
      </c>
      <c r="BV368" s="4" t="str">
        <f ca="1">IFERROR(__xludf.DUMMYFUNCTION("""COMPUTED_VALUE"""),"| 1 P Python % | 3 L PHP-CGM % | 4 L JAVA % | 5 P PRO % ")</f>
        <v xml:space="preserve">| 1 P Python % | 3 L PHP-CGM % | 4 L JAVA % | 5 P PRO % </v>
      </c>
      <c r="BW368" s="4" t="str">
        <f ca="1">IFERROR(__xludf.DUMMYFUNCTION("""COMPUTED_VALUE"""),"| 1 L JAVA % | 2 L PHP-CGM % | 3 P JAVA % ")</f>
        <v xml:space="preserve">| 1 L JAVA % | 2 L PHP-CGM % | 3 P JAVA % </v>
      </c>
      <c r="BX368" s="4" t="str">
        <f ca="1">IFERROR(__xludf.DUMMYFUNCTION("""COMPUTED_VALUE"""),"| 1 L INE % | 3 P CPT @ | 5 L JAVA @ | 6 L NS @ ")</f>
        <v xml:space="preserve">| 1 L INE % | 3 P CPT @ | 5 L JAVA @ | 6 L NS @ </v>
      </c>
      <c r="BY368" s="4" t="str">
        <f ca="1">IFERROR(__xludf.DUMMYFUNCTION("""COMPUTED_VALUE"""),"| 1 P Python @ | 3 P JAVA @ | 5 L NS @ | 6 L CPT @ ")</f>
        <v xml:space="preserve">| 1 P Python @ | 3 P JAVA @ | 5 L NS @ | 6 L CPT @ </v>
      </c>
      <c r="BZ368" s="4" t="str">
        <f ca="1">IFERROR(__xludf.DUMMYFUNCTION("""COMPUTED_VALUE"""),"| 1 P NS % | 3 L CPT @ | 4 L PHP-CGM @ | 5 P PHP-CGM % ")</f>
        <v xml:space="preserve">| 1 P NS % | 3 L CPT @ | 4 L PHP-CGM @ | 5 P PHP-CGM % </v>
      </c>
      <c r="CA368" s="4" t="str">
        <f ca="1">IFERROR(__xludf.DUMMYFUNCTION("""COMPUTED_VALUE"""),"| 1 P Python @ | 3 L PHP-CGM % | 3 L JAVA % | 5 P PRO % ")</f>
        <v xml:space="preserve">| 1 P Python @ | 3 L PHP-CGM % | 3 L JAVA % | 5 P PRO % </v>
      </c>
      <c r="CB368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CC368" s="4" t="str">
        <f ca="1">IFERROR(__xludf.DUMMYFUNCTION("""COMPUTED_VALUE"""),"| 1 L INE % | 3 P CPT @ | 5 L JAVA @ | 6 L NS @ ")</f>
        <v xml:space="preserve">| 1 L INE % | 3 P CPT @ | 5 L JAVA @ | 6 L NS @ </v>
      </c>
      <c r="CD368" s="4" t="str">
        <f ca="1">IFERROR(__xludf.DUMMYFUNCTION("""COMPUTED_VALUE"""),"| 1 P Python @ | 3 P JAVA @ | 5 L NS @ | 6 L CPT @ ")</f>
        <v xml:space="preserve">| 1 P Python @ | 3 P JAVA @ | 5 L NS @ | 6 L CPT @ </v>
      </c>
      <c r="CE368" s="4" t="str">
        <f ca="1">IFERROR(__xludf.DUMMYFUNCTION("""COMPUTED_VALUE"""),"| 1 P NS @ | 3 L CPT @ | 4 L PHP-CGM @ ")</f>
        <v xml:space="preserve">| 1 P NS @ | 3 L CPT @ | 4 L PHP-CGM @ </v>
      </c>
      <c r="CF368" s="4" t="str">
        <f ca="1">IFERROR(__xludf.DUMMYFUNCTION("""COMPUTED_VALUE"""),"| 1 P Python % | 4 L JAVA @ | 3 L PHP-CGM @ | 5 L PRO % ")</f>
        <v xml:space="preserve">| 1 P Python % | 4 L JAVA @ | 3 L PHP-CGM @ | 5 L PRO % </v>
      </c>
      <c r="CG368" s="4" t="str">
        <f ca="1">IFERROR(__xludf.DUMMYFUNCTION("""COMPUTED_VALUE"""),"| 1 L JAVA % | 2 L PHP-CGM % | 6 L NS % | 3 P JAVA % ")</f>
        <v xml:space="preserve">| 1 L JAVA % | 2 L PHP-CGM % | 6 L NS % | 3 P JAVA % </v>
      </c>
      <c r="CH368" s="4" t="str">
        <f ca="1">IFERROR(__xludf.DUMMYFUNCTION("""COMPUTED_VALUE"""),"| 1 L INE @ | 3 P CPT % | 5 L JAVA % | 6 L NS @ ")</f>
        <v xml:space="preserve">| 1 L INE @ | 3 P CPT % | 5 L JAVA % | 6 L NS @ </v>
      </c>
      <c r="CI368" s="4" t="str">
        <f ca="1">IFERROR(__xludf.DUMMYFUNCTION("""COMPUTED_VALUE"""),"| 5 L NS @ | 6 L CPT @ ")</f>
        <v xml:space="preserve">| 5 L NS @ | 6 L CPT @ </v>
      </c>
      <c r="CJ368" s="4" t="str">
        <f ca="1">IFERROR(__xludf.DUMMYFUNCTION("""COMPUTED_VALUE"""),"| 1 P NS % | 3 L CPT @ ")</f>
        <v xml:space="preserve">| 1 P NS % | 3 L CPT @ </v>
      </c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</row>
    <row r="369" spans="1:102" ht="12.5" x14ac:dyDescent="0.25">
      <c r="A369" s="3">
        <f ca="1">IFERROR(__xludf.DUMMYFUNCTION("""COMPUTED_VALUE"""),2)</f>
        <v>2</v>
      </c>
      <c r="B369" s="3" t="str">
        <f ca="1">IFERROR(__xludf.DUMMYFUNCTION("""COMPUTED_VALUE"""),"ITA")</f>
        <v>ITA</v>
      </c>
      <c r="C369" s="32" t="str">
        <f ca="1">IFERROR(__xludf.DUMMYFUNCTION("""COMPUTED_VALUE"""),"23291371066")</f>
        <v>23291371066</v>
      </c>
      <c r="D369" s="4" t="str">
        <f ca="1">IFERROR(__xludf.DUMMYFUNCTION("""COMPUTED_VALUE"""),"PATEL DAKSH MAHESHBHAI")</f>
        <v>PATEL DAKSH MAHESHBHAI</v>
      </c>
      <c r="E369" s="3" t="str">
        <f ca="1">IFERROR(__xludf.DUMMYFUNCTION("""COMPUTED_VALUE"""),"Sweety - Mor")</f>
        <v>Sweety - Mor</v>
      </c>
      <c r="F369" s="3">
        <f ca="1">IFERROR(__xludf.DUMMYFUNCTION("""COMPUTED_VALUE"""),9316835789)</f>
        <v>9316835789</v>
      </c>
      <c r="G369" s="3">
        <f ca="1">IFERROR(__xludf.DUMMYFUNCTION("""COMPUTED_VALUE"""),9913485734)</f>
        <v>9913485734</v>
      </c>
      <c r="H369" s="38">
        <f ca="1">IFERROR(__xludf.DUMMYFUNCTION("""COMPUTED_VALUE"""),0.833333333333333)</f>
        <v>0.83333333333333304</v>
      </c>
      <c r="I369" s="25">
        <f ca="1">IFERROR(__xludf.DUMMYFUNCTION("""COMPUTED_VALUE"""),0.8)</f>
        <v>0.8</v>
      </c>
      <c r="J369" s="25">
        <f ca="1">IFERROR(__xludf.DUMMYFUNCTION("""COMPUTED_VALUE"""),0.916666666666666)</f>
        <v>0.91666666666666596</v>
      </c>
      <c r="K369" s="25">
        <f ca="1">IFERROR(__xludf.DUMMYFUNCTION("""COMPUTED_VALUE"""),0.777777777777777)</f>
        <v>0.77777777777777701</v>
      </c>
      <c r="L369" s="25">
        <f ca="1">IFERROR(__xludf.DUMMYFUNCTION("""COMPUTED_VALUE"""),0.833333333333333)</f>
        <v>0.83333333333333304</v>
      </c>
      <c r="M369" s="25">
        <f ca="1">IFERROR(__xludf.DUMMYFUNCTION("""COMPUTED_VALUE"""),0.894736842105263)</f>
        <v>0.89473684210526305</v>
      </c>
      <c r="N369" s="25">
        <f ca="1">IFERROR(__xludf.DUMMYFUNCTION("""COMPUTED_VALUE"""),0.875)</f>
        <v>0.875</v>
      </c>
      <c r="O369" s="25">
        <f ca="1">IFERROR(__xludf.DUMMYFUNCTION("""COMPUTED_VALUE"""),0.777777777777777)</f>
        <v>0.77777777777777701</v>
      </c>
      <c r="P369" s="25">
        <f ca="1">IFERROR(__xludf.DUMMYFUNCTION("""COMPUTED_VALUE"""),0.84)</f>
        <v>0.84</v>
      </c>
      <c r="Q369" s="25">
        <f ca="1">IFERROR(__xludf.DUMMYFUNCTION("""COMPUTED_VALUE"""),0)</f>
        <v>0</v>
      </c>
      <c r="R369" s="25">
        <f ca="1">IFERROR(__xludf.DUMMYFUNCTION("""COMPUTED_VALUE"""),0.875)</f>
        <v>0.875</v>
      </c>
      <c r="S369" s="25">
        <f ca="1">IFERROR(__xludf.DUMMYFUNCTION("""COMPUTED_VALUE"""),1)</f>
        <v>1</v>
      </c>
      <c r="T369" s="25">
        <f ca="1">IFERROR(__xludf.DUMMYFUNCTION("""COMPUTED_VALUE"""),0.777777777777777)</f>
        <v>0.77777777777777701</v>
      </c>
      <c r="U369" s="25">
        <f ca="1">IFERROR(__xludf.DUMMYFUNCTION("""COMPUTED_VALUE"""),0.875)</f>
        <v>0.875</v>
      </c>
      <c r="V369" s="25">
        <f ca="1">IFERROR(__xludf.DUMMYFUNCTION("""COMPUTED_VALUE"""),0)</f>
        <v>0</v>
      </c>
      <c r="W369" s="4"/>
      <c r="X369" s="4" t="str">
        <f ca="1">IFERROR(__xludf.DUMMYFUNCTION("""COMPUTED_VALUE"""),"| 1 P Python % | 4 L JAVA % | 3 L PHP-CGM % | 1 L PRO % ")</f>
        <v xml:space="preserve">| 1 P Python % | 4 L JAVA % | 3 L PHP-CGM % | 1 L PRO % </v>
      </c>
      <c r="Y36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69" s="4" t="str">
        <f ca="1">IFERROR(__xludf.DUMMYFUNCTION("""COMPUTED_VALUE"""),"| 3 P CPT % | 5 L JAVA % | 6 L NS % ")</f>
        <v xml:space="preserve">| 3 P CPT % | 5 L JAVA % | 6 L NS % </v>
      </c>
      <c r="AA369" s="4" t="str">
        <f ca="1">IFERROR(__xludf.DUMMYFUNCTION("""COMPUTED_VALUE"""),"| 1 P Python % | 5 P JAVA % | 5 L NS % | 6 L CPT % ")</f>
        <v xml:space="preserve">| 1 P Python % | 5 P JAVA % | 5 L NS % | 6 L CPT % </v>
      </c>
      <c r="AB369" s="4" t="str">
        <f ca="1">IFERROR(__xludf.DUMMYFUNCTION("""COMPUTED_VALUE"""),"| 1 P NS % | 3 L CPT % | 5 P PHP-CGM % | 4 L PHP-CGM % ")</f>
        <v xml:space="preserve">| 1 P NS % | 3 L CPT % | 5 P PHP-CGM % | 4 L PHP-CGM % </v>
      </c>
      <c r="AC369" s="4" t="str">
        <f ca="1">IFERROR(__xludf.DUMMYFUNCTION("""COMPUTED_VALUE"""),"| 1 P Python % | 3 L PHP-CGM % | 5 P PRO % ")</f>
        <v xml:space="preserve">| 1 P Python % | 3 L PHP-CGM % | 5 P PRO % </v>
      </c>
      <c r="AD369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69" s="4" t="str">
        <f ca="1">IFERROR(__xludf.DUMMYFUNCTION("""COMPUTED_VALUE"""),"| 3 P CPT % | 5 L JAVA % | 6 L NS % ")</f>
        <v xml:space="preserve">| 3 P CPT % | 5 L JAVA % | 6 L NS % </v>
      </c>
      <c r="AF369" s="4" t="str">
        <f ca="1">IFERROR(__xludf.DUMMYFUNCTION("""COMPUTED_VALUE"""),"| 1 P Python % | 3 P JAVA % | 5 L NS % | 6 L CPT % ")</f>
        <v xml:space="preserve">| 1 P Python % | 3 P JAVA % | 5 L NS % | 6 L CPT % </v>
      </c>
      <c r="AG369" s="4" t="str">
        <f ca="1">IFERROR(__xludf.DUMMYFUNCTION("""COMPUTED_VALUE"""),"| 1 P NS % | 3 L CPT % | 4 L PHP-CGM % | 5 P PHP-CGM % ")</f>
        <v xml:space="preserve">| 1 P NS % | 3 L CPT % | 4 L PHP-CGM % | 5 P PHP-CGM % </v>
      </c>
      <c r="AH369" s="4" t="str">
        <f ca="1">IFERROR(__xludf.DUMMYFUNCTION("""COMPUTED_VALUE"""),"| 1 P Python % | 3 P JAVA % | 5 L NS % | 6 L CPT % ")</f>
        <v xml:space="preserve">| 1 P Python % | 3 P JAVA % | 5 L NS % | 6 L CPT % </v>
      </c>
      <c r="AI369" s="4" t="str">
        <f ca="1">IFERROR(__xludf.DUMMYFUNCTION("""COMPUTED_VALUE"""),"| 1 P NS % | 3 L CPT % | 4 L PHP-CGM % | 5 P PHP-CGM % ")</f>
        <v xml:space="preserve">| 1 P NS % | 3 L CPT % | 4 L PHP-CGM % | 5 P PHP-CGM % </v>
      </c>
      <c r="AJ369" s="4" t="str">
        <f ca="1">IFERROR(__xludf.DUMMYFUNCTION("""COMPUTED_VALUE"""),"| 1 P Python % | 3 L PHP-CGM % | 4 L JAVA % | 5 P PRO % ")</f>
        <v xml:space="preserve">| 1 P Python % | 3 L PHP-CGM % | 4 L JAVA % | 5 P PRO % </v>
      </c>
      <c r="AK36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69" s="4" t="str">
        <f ca="1">IFERROR(__xludf.DUMMYFUNCTION("""COMPUTED_VALUE"""),"| 3 P CPT % | 5 L JAVA % | 6 L NS % ")</f>
        <v xml:space="preserve">| 3 P CPT % | 5 L JAVA % | 6 L NS % </v>
      </c>
      <c r="AM369" s="4" t="str">
        <f ca="1">IFERROR(__xludf.DUMMYFUNCTION("""COMPUTED_VALUE"""),"| 1 P Python % | 3 P JAVA % | 5 L NS % | 6 L CPT % ")</f>
        <v xml:space="preserve">| 1 P Python % | 3 P JAVA % | 5 L NS % | 6 L CPT % </v>
      </c>
      <c r="AN369" s="4" t="str">
        <f ca="1">IFERROR(__xludf.DUMMYFUNCTION("""COMPUTED_VALUE"""),"| 1 P NS % | 4 L PHP-CGM % | 5 P PHP-CGM % ")</f>
        <v xml:space="preserve">| 1 P NS % | 4 L PHP-CGM % | 5 P PHP-CGM % </v>
      </c>
      <c r="AO369" s="4" t="str">
        <f ca="1">IFERROR(__xludf.DUMMYFUNCTION("""COMPUTED_VALUE"""),"| 1 P Python % | 3 L PHP-CGM % | 4 L JAVA % | 5 P PRO % ")</f>
        <v xml:space="preserve">| 1 P Python % | 3 L PHP-CGM % | 4 L JAVA % | 5 P PRO % </v>
      </c>
      <c r="AP36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69" s="4" t="str">
        <f ca="1">IFERROR(__xludf.DUMMYFUNCTION("""COMPUTED_VALUE"""),"| 1 L INE % | 3 P CPT % | 5 L JAVA % | 6 L NS % ")</f>
        <v xml:space="preserve">| 1 L INE % | 3 P CPT % | 5 L JAVA % | 6 L NS % </v>
      </c>
      <c r="AR369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69" s="4" t="str">
        <f ca="1">IFERROR(__xludf.DUMMYFUNCTION("""COMPUTED_VALUE"""),"| 1 P Python % | 3 L PHP-CGM % | 4 L JAVA % | 5 P PRO % ")</f>
        <v xml:space="preserve">| 1 P Python % | 3 L PHP-CGM % | 4 L JAVA % | 5 P PRO % </v>
      </c>
      <c r="AT36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69" s="4" t="str">
        <f ca="1">IFERROR(__xludf.DUMMYFUNCTION("""COMPUTED_VALUE"""),"| 1 L INE % | 3 P CPT % | 5 L JAVA % | 6 L NS % ")</f>
        <v xml:space="preserve">| 1 L INE % | 3 P CPT % | 5 L JAVA % | 6 L NS % </v>
      </c>
      <c r="AV369" s="4" t="str">
        <f ca="1">IFERROR(__xludf.DUMMYFUNCTION("""COMPUTED_VALUE"""),"| 1 P Python % | 3 P JAVA % | 5 L NS % | 6 L CPT % ")</f>
        <v xml:space="preserve">| 1 P Python % | 3 P JAVA % | 5 L NS % | 6 L CPT % </v>
      </c>
      <c r="AW369" s="4" t="str">
        <f ca="1">IFERROR(__xludf.DUMMYFUNCTION("""COMPUTED_VALUE"""),"| 1 P NS % | 3 L CPT % | 4 L PHP-CGM % | 5 P PHP-CGM % ")</f>
        <v xml:space="preserve">| 1 P NS % | 3 L CPT % | 4 L PHP-CGM % | 5 P PHP-CGM % </v>
      </c>
      <c r="AX369" s="4" t="str">
        <f ca="1">IFERROR(__xludf.DUMMYFUNCTION("""COMPUTED_VALUE"""),"| 1 P Python % | 3 L JAVA % | 4 L PHP-CGM % | 5 P PRO % ")</f>
        <v xml:space="preserve">| 1 P Python % | 3 L JAVA % | 4 L PHP-CGM % | 5 P PRO % </v>
      </c>
      <c r="AY369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69" s="4" t="str">
        <f ca="1">IFERROR(__xludf.DUMMYFUNCTION("""COMPUTED_VALUE"""),"| 1 P Python % | 3 P JAVA % | 5 L NS % | 6 L CPT % ")</f>
        <v xml:space="preserve">| 1 P Python % | 3 P JAVA % | 5 L NS % | 6 L CPT % </v>
      </c>
      <c r="BA369" s="4" t="str">
        <f ca="1">IFERROR(__xludf.DUMMYFUNCTION("""COMPUTED_VALUE"""),"| 1 P NS % | 3 L CPT % | 4 L PHP-CGM % | 5 P PHP-CGM % ")</f>
        <v xml:space="preserve">| 1 P NS % | 3 L CPT % | 4 L PHP-CGM % | 5 P PHP-CGM % </v>
      </c>
      <c r="BB369" s="4" t="str">
        <f ca="1">IFERROR(__xludf.DUMMYFUNCTION("""COMPUTED_VALUE"""),"| 1 P Python % | 3 L PHP-CGM % | 4 L JAVA % | 5 L PRO % ")</f>
        <v xml:space="preserve">| 1 P Python % | 3 L PHP-CGM % | 4 L JAVA % | 5 L PRO % </v>
      </c>
      <c r="BC36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69" s="4" t="str">
        <f ca="1">IFERROR(__xludf.DUMMYFUNCTION("""COMPUTED_VALUE"""),"| 1 L INE @ | 3 P CPT @ | 5 L JAVA @ | 6 L NS @ ")</f>
        <v xml:space="preserve">| 1 L INE @ | 3 P CPT @ | 5 L JAVA @ | 6 L NS @ </v>
      </c>
      <c r="BE369" s="4" t="str">
        <f ca="1">IFERROR(__xludf.DUMMYFUNCTION("""COMPUTED_VALUE"""),"| 1 P Python @ | 3 P JAVA @ | 5 L NS % | 6 L CPT % ")</f>
        <v xml:space="preserve">| 1 P Python @ | 3 P JAVA @ | 5 L NS % | 6 L CPT % </v>
      </c>
      <c r="BF369" s="4" t="str">
        <f ca="1">IFERROR(__xludf.DUMMYFUNCTION("""COMPUTED_VALUE"""),"| 1 P NS % | 3 L CPT % | 4 L PHP-CGM % ")</f>
        <v xml:space="preserve">| 1 P NS % | 3 L CPT % | 4 L PHP-CGM % </v>
      </c>
      <c r="BG36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69" s="4" t="str">
        <f ca="1">IFERROR(__xludf.DUMMYFUNCTION("""COMPUTED_VALUE"""),"| 1 L INE % | 3 P CPT % | 5 L JAVA % | 6 L NS % ")</f>
        <v xml:space="preserve">| 1 L INE % | 3 P CPT % | 5 L JAVA % | 6 L NS % </v>
      </c>
      <c r="BI369" s="4" t="str">
        <f ca="1">IFERROR(__xludf.DUMMYFUNCTION("""COMPUTED_VALUE"""),"| 1 P Python % | 3 P JAVA % | 5 L NS % | 6 L CPT % ")</f>
        <v xml:space="preserve">| 1 P Python % | 3 P JAVA % | 5 L NS % | 6 L CPT % </v>
      </c>
      <c r="BJ369" s="4" t="str">
        <f ca="1">IFERROR(__xludf.DUMMYFUNCTION("""COMPUTED_VALUE"""),"| 1 P NS % | 3 L CPT % | 4 L PHP-CGM % | 5 P PHP-CGM @ ")</f>
        <v xml:space="preserve">| 1 P NS % | 3 L CPT % | 4 L PHP-CGM % | 5 P PHP-CGM @ </v>
      </c>
      <c r="BK369" s="4" t="str">
        <f ca="1">IFERROR(__xludf.DUMMYFUNCTION("""COMPUTED_VALUE"""),"| 1 P Python % | 3 L PHP-CGM % | 4 L JAVA % | 5 P PRO @ ")</f>
        <v xml:space="preserve">| 1 P Python % | 3 L PHP-CGM % | 4 L JAVA % | 5 P PRO @ </v>
      </c>
      <c r="BL369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69" s="4" t="str">
        <f ca="1">IFERROR(__xludf.DUMMYFUNCTION("""COMPUTED_VALUE"""),"| 1 L INE % | 3 P CPT % | 5 L JAVA % | 6 L NS % ")</f>
        <v xml:space="preserve">| 1 L INE % | 3 P CPT % | 5 L JAVA % | 6 L NS % </v>
      </c>
      <c r="BN369" s="4" t="str">
        <f ca="1">IFERROR(__xludf.DUMMYFUNCTION("""COMPUTED_VALUE"""),"| 1 P Python % | 3 P JAVA % | 5 L NS % | 6 L CPT % ")</f>
        <v xml:space="preserve">| 1 P Python % | 3 P JAVA % | 5 L NS % | 6 L CPT % </v>
      </c>
      <c r="BO369" s="4" t="str">
        <f ca="1">IFERROR(__xludf.DUMMYFUNCTION("""COMPUTED_VALUE"""),"| 1 P NS % | 4 L PHP-CGM % | 3 L CPT % ")</f>
        <v xml:space="preserve">| 1 P NS % | 4 L PHP-CGM % | 3 L CPT % </v>
      </c>
      <c r="BP369" s="4" t="str">
        <f ca="1">IFERROR(__xludf.DUMMYFUNCTION("""COMPUTED_VALUE"""),"| 3 L PHP-CGM % | 4 L JAVA % | 5 P PRO % ")</f>
        <v xml:space="preserve">| 3 L PHP-CGM % | 4 L JAVA % | 5 P PRO % </v>
      </c>
      <c r="BQ369" s="4" t="str">
        <f ca="1">IFERROR(__xludf.DUMMYFUNCTION("""COMPUTED_VALUE"""),"| 6 L NS % | 5 L JAVA @ | 3 P CPT % ")</f>
        <v xml:space="preserve">| 6 L NS % | 5 L JAVA @ | 3 P CPT % </v>
      </c>
      <c r="BR369" s="4"/>
      <c r="BS369" s="4" t="str">
        <f ca="1">IFERROR(__xludf.DUMMYFUNCTION("""COMPUTED_VALUE"""),"| 4 L PHP-CGM % ")</f>
        <v xml:space="preserve">| 4 L PHP-CGM % </v>
      </c>
      <c r="BT369" s="4" t="str">
        <f ca="1">IFERROR(__xludf.DUMMYFUNCTION("""COMPUTED_VALUE"""),"| 1 P Python % | 3 L PHP-CGM % ")</f>
        <v xml:space="preserve">| 1 P Python % | 3 L PHP-CGM % </v>
      </c>
      <c r="BU369" s="4" t="str">
        <f ca="1">IFERROR(__xludf.DUMMYFUNCTION("""COMPUTED_VALUE"""),"| 1 L JAVA % | 2 L PHP-CGM % | 3 P JAVA % ")</f>
        <v xml:space="preserve">| 1 L JAVA % | 2 L PHP-CGM % | 3 P JAVA % </v>
      </c>
      <c r="BV369" s="4" t="str">
        <f ca="1">IFERROR(__xludf.DUMMYFUNCTION("""COMPUTED_VALUE"""),"| 1 P Python @ | 3 L PHP-CGM @ | 4 L JAVA @ | 5 P PRO @ ")</f>
        <v xml:space="preserve">| 1 P Python @ | 3 L PHP-CGM @ | 4 L JAVA @ | 5 P PRO @ </v>
      </c>
      <c r="BW369" s="4" t="str">
        <f ca="1">IFERROR(__xludf.DUMMYFUNCTION("""COMPUTED_VALUE"""),"| 1 L JAVA @ | 2 L PHP-CGM @ | 3 P JAVA @ ")</f>
        <v xml:space="preserve">| 1 L JAVA @ | 2 L PHP-CGM @ | 3 P JAVA @ </v>
      </c>
      <c r="BX369" s="4" t="str">
        <f ca="1">IFERROR(__xludf.DUMMYFUNCTION("""COMPUTED_VALUE"""),"| 1 L INE % | 3 P CPT % | 5 L JAVA % | 6 L NS % ")</f>
        <v xml:space="preserve">| 1 L INE % | 3 P CPT % | 5 L JAVA % | 6 L NS % </v>
      </c>
      <c r="BY369" s="4" t="str">
        <f ca="1">IFERROR(__xludf.DUMMYFUNCTION("""COMPUTED_VALUE"""),"| 1 P Python % | 3 P JAVA % | 5 L NS @ | 6 L CPT @ ")</f>
        <v xml:space="preserve">| 1 P Python % | 3 P JAVA % | 5 L NS @ | 6 L CPT @ </v>
      </c>
      <c r="BZ369" s="4" t="str">
        <f ca="1">IFERROR(__xludf.DUMMYFUNCTION("""COMPUTED_VALUE"""),"| 1 P NS % | 3 L CPT % | 4 L PHP-CGM % | 5 P PHP-CGM % ")</f>
        <v xml:space="preserve">| 1 P NS % | 3 L CPT % | 4 L PHP-CGM % | 5 P PHP-CGM % </v>
      </c>
      <c r="CA369" s="4" t="str">
        <f ca="1">IFERROR(__xludf.DUMMYFUNCTION("""COMPUTED_VALUE"""),"| 1 P Python @ | 3 L PHP-CGM % | 3 L JAVA % | 5 P PRO % ")</f>
        <v xml:space="preserve">| 1 P Python @ | 3 L PHP-CGM % | 3 L JAVA % | 5 P PRO % </v>
      </c>
      <c r="CB369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69" s="4" t="str">
        <f ca="1">IFERROR(__xludf.DUMMYFUNCTION("""COMPUTED_VALUE"""),"| 1 L INE % | 3 P CPT % | 5 L JAVA @ | 6 L NS % ")</f>
        <v xml:space="preserve">| 1 L INE % | 3 P CPT % | 5 L JAVA @ | 6 L NS % </v>
      </c>
      <c r="CD369" s="4" t="str">
        <f ca="1">IFERROR(__xludf.DUMMYFUNCTION("""COMPUTED_VALUE"""),"| 1 P Python % | 3 P JAVA % | 5 L NS @ | 6 L CPT @ ")</f>
        <v xml:space="preserve">| 1 P Python % | 3 P JAVA % | 5 L NS @ | 6 L CPT @ </v>
      </c>
      <c r="CE369" s="4" t="str">
        <f ca="1">IFERROR(__xludf.DUMMYFUNCTION("""COMPUTED_VALUE"""),"| 1 P NS @ | 3 L CPT @ | 4 L PHP-CGM @ ")</f>
        <v xml:space="preserve">| 1 P NS @ | 3 L CPT @ | 4 L PHP-CGM @ </v>
      </c>
      <c r="CF369" s="4" t="str">
        <f ca="1">IFERROR(__xludf.DUMMYFUNCTION("""COMPUTED_VALUE"""),"| 1 P Python % | 4 L JAVA @ | 3 L PHP-CGM % | 5 L PRO % ")</f>
        <v xml:space="preserve">| 1 P Python % | 4 L JAVA @ | 3 L PHP-CGM % | 5 L PRO % </v>
      </c>
      <c r="CG369" s="4" t="str">
        <f ca="1">IFERROR(__xludf.DUMMYFUNCTION("""COMPUTED_VALUE"""),"| 1 L JAVA % | 2 L PHP-CGM % | 6 L NS @ | 3 P JAVA % ")</f>
        <v xml:space="preserve">| 1 L JAVA % | 2 L PHP-CGM % | 6 L NS @ | 3 P JAVA % </v>
      </c>
      <c r="CH369" s="4" t="str">
        <f ca="1">IFERROR(__xludf.DUMMYFUNCTION("""COMPUTED_VALUE"""),"| 1 L INE % | 3 P CPT % | 5 L JAVA @ | 6 L NS @ ")</f>
        <v xml:space="preserve">| 1 L INE % | 3 P CPT % | 5 L JAVA @ | 6 L NS @ </v>
      </c>
      <c r="CI369" s="4" t="str">
        <f ca="1">IFERROR(__xludf.DUMMYFUNCTION("""COMPUTED_VALUE"""),"| 5 L NS % | 6 L CPT % ")</f>
        <v xml:space="preserve">| 5 L NS % | 6 L CPT % </v>
      </c>
      <c r="CJ369" s="4" t="str">
        <f ca="1">IFERROR(__xludf.DUMMYFUNCTION("""COMPUTED_VALUE"""),"| 1 P NS @ | 3 L CPT @ ")</f>
        <v xml:space="preserve">| 1 P NS @ | 3 L CPT @ </v>
      </c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</row>
    <row r="370" spans="1:102" ht="12.5" x14ac:dyDescent="0.25">
      <c r="A370" s="3">
        <f ca="1">IFERROR(__xludf.DUMMYFUNCTION("""COMPUTED_VALUE"""),2)</f>
        <v>2</v>
      </c>
      <c r="B370" s="3" t="str">
        <f ca="1">IFERROR(__xludf.DUMMYFUNCTION("""COMPUTED_VALUE"""),"ITA")</f>
        <v>ITA</v>
      </c>
      <c r="C370" s="32" t="str">
        <f ca="1">IFERROR(__xludf.DUMMYFUNCTION("""COMPUTED_VALUE"""),"23291371069")</f>
        <v>23291371069</v>
      </c>
      <c r="D370" s="4" t="str">
        <f ca="1">IFERROR(__xludf.DUMMYFUNCTION("""COMPUTED_VALUE"""),"PATEL DEV LALITKUMAR")</f>
        <v>PATEL DEV LALITKUMAR</v>
      </c>
      <c r="E370" s="3" t="str">
        <f ca="1">IFERROR(__xludf.DUMMYFUNCTION("""COMPUTED_VALUE"""),"Sweety - Mor")</f>
        <v>Sweety - Mor</v>
      </c>
      <c r="F370" s="3">
        <f ca="1">IFERROR(__xludf.DUMMYFUNCTION("""COMPUTED_VALUE"""),7984005416)</f>
        <v>7984005416</v>
      </c>
      <c r="G370" s="3">
        <f ca="1">IFERROR(__xludf.DUMMYFUNCTION("""COMPUTED_VALUE"""),8511967001)</f>
        <v>8511967001</v>
      </c>
      <c r="H370" s="33">
        <f ca="1">IFERROR(__xludf.DUMMYFUNCTION("""COMPUTED_VALUE"""),0.56910569105691)</f>
        <v>0.56910569105691</v>
      </c>
      <c r="I370" s="25">
        <f ca="1">IFERROR(__xludf.DUMMYFUNCTION("""COMPUTED_VALUE"""),0.428571428571428)</f>
        <v>0.42857142857142799</v>
      </c>
      <c r="J370" s="25">
        <f ca="1">IFERROR(__xludf.DUMMYFUNCTION("""COMPUTED_VALUE"""),0.583333333333333)</f>
        <v>0.58333333333333304</v>
      </c>
      <c r="K370" s="25">
        <f ca="1">IFERROR(__xludf.DUMMYFUNCTION("""COMPUTED_VALUE"""),0.638888888888888)</f>
        <v>0.63888888888888795</v>
      </c>
      <c r="L370" s="25">
        <f ca="1">IFERROR(__xludf.DUMMYFUNCTION("""COMPUTED_VALUE"""),0.166666666666666)</f>
        <v>0.16666666666666599</v>
      </c>
      <c r="M370" s="25">
        <f ca="1">IFERROR(__xludf.DUMMYFUNCTION("""COMPUTED_VALUE"""),0.631578947368421)</f>
        <v>0.63157894736842102</v>
      </c>
      <c r="N370" s="25">
        <f ca="1">IFERROR(__xludf.DUMMYFUNCTION("""COMPUTED_VALUE"""),0.25)</f>
        <v>0.25</v>
      </c>
      <c r="O370" s="25">
        <f ca="1">IFERROR(__xludf.DUMMYFUNCTION("""COMPUTED_VALUE"""),0.75)</f>
        <v>0.75</v>
      </c>
      <c r="P370" s="25">
        <f ca="1">IFERROR(__xludf.DUMMYFUNCTION("""COMPUTED_VALUE"""),0.56)</f>
        <v>0.56000000000000005</v>
      </c>
      <c r="Q370" s="25">
        <f ca="1">IFERROR(__xludf.DUMMYFUNCTION("""COMPUTED_VALUE"""),0)</f>
        <v>0</v>
      </c>
      <c r="R370" s="25">
        <f ca="1">IFERROR(__xludf.DUMMYFUNCTION("""COMPUTED_VALUE"""),0.583333333333333)</f>
        <v>0.58333333333333304</v>
      </c>
      <c r="S370" s="25">
        <f ca="1">IFERROR(__xludf.DUMMYFUNCTION("""COMPUTED_VALUE"""),0.666666666666666)</f>
        <v>0.66666666666666596</v>
      </c>
      <c r="T370" s="25">
        <f ca="1">IFERROR(__xludf.DUMMYFUNCTION("""COMPUTED_VALUE"""),0.777777777777777)</f>
        <v>0.77777777777777701</v>
      </c>
      <c r="U370" s="25">
        <f ca="1">IFERROR(__xludf.DUMMYFUNCTION("""COMPUTED_VALUE"""),0.375)</f>
        <v>0.375</v>
      </c>
      <c r="V370" s="25">
        <f ca="1">IFERROR(__xludf.DUMMYFUNCTION("""COMPUTED_VALUE"""),0)</f>
        <v>0</v>
      </c>
      <c r="W370" s="4"/>
      <c r="X370" s="4" t="str">
        <f ca="1">IFERROR(__xludf.DUMMYFUNCTION("""COMPUTED_VALUE"""),"| 1 P Python @ | 4 L JAVA @ | 3 L PHP-CGM @ | 1 L PRO @ ")</f>
        <v xml:space="preserve">| 1 P Python @ | 4 L JAVA @ | 3 L PHP-CGM @ | 1 L PRO @ </v>
      </c>
      <c r="Y37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70" s="4" t="str">
        <f ca="1">IFERROR(__xludf.DUMMYFUNCTION("""COMPUTED_VALUE"""),"| 3 P CPT % | 5 L JAVA % | 6 L NS % ")</f>
        <v xml:space="preserve">| 3 P CPT % | 5 L JAVA % | 6 L NS % </v>
      </c>
      <c r="AA370" s="4" t="str">
        <f ca="1">IFERROR(__xludf.DUMMYFUNCTION("""COMPUTED_VALUE"""),"| 1 P Python @ | 5 P JAVA @ | 5 L NS @ | 6 L CPT @ ")</f>
        <v xml:space="preserve">| 1 P Python @ | 5 P JAVA @ | 5 L NS @ | 6 L CPT @ </v>
      </c>
      <c r="AB370" s="4" t="str">
        <f ca="1">IFERROR(__xludf.DUMMYFUNCTION("""COMPUTED_VALUE"""),"| 1 P NS @ | 3 L CPT @ | 5 P PHP-CGM @ | 4 L PHP-CGM @ ")</f>
        <v xml:space="preserve">| 1 P NS @ | 3 L CPT @ | 5 P PHP-CGM @ | 4 L PHP-CGM @ </v>
      </c>
      <c r="AC370" s="4" t="str">
        <f ca="1">IFERROR(__xludf.DUMMYFUNCTION("""COMPUTED_VALUE"""),"| 1 P Python % | 3 L PHP-CGM % | 5 P PRO % ")</f>
        <v xml:space="preserve">| 1 P Python % | 3 L PHP-CGM % | 5 P PRO % </v>
      </c>
      <c r="AD370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0" s="4" t="str">
        <f ca="1">IFERROR(__xludf.DUMMYFUNCTION("""COMPUTED_VALUE"""),"| 3 P CPT @ | 5 L JAVA % | 6 L NS % ")</f>
        <v xml:space="preserve">| 3 P CPT @ | 5 L JAVA % | 6 L NS % </v>
      </c>
      <c r="AF370" s="4" t="str">
        <f ca="1">IFERROR(__xludf.DUMMYFUNCTION("""COMPUTED_VALUE"""),"| 1 P Python % | 3 P JAVA % | 5 L NS % | 6 L CPT % ")</f>
        <v xml:space="preserve">| 1 P Python % | 3 P JAVA % | 5 L NS % | 6 L CPT % </v>
      </c>
      <c r="AG370" s="4" t="str">
        <f ca="1">IFERROR(__xludf.DUMMYFUNCTION("""COMPUTED_VALUE"""),"| 1 P NS @ | 3 L CPT @ | 4 L PHP-CGM @ | 5 P PHP-CGM @ ")</f>
        <v xml:space="preserve">| 1 P NS @ | 3 L CPT @ | 4 L PHP-CGM @ | 5 P PHP-CGM @ </v>
      </c>
      <c r="AH370" s="4" t="str">
        <f ca="1">IFERROR(__xludf.DUMMYFUNCTION("""COMPUTED_VALUE"""),"| 1 P Python % | 3 P JAVA % | 5 L NS % | 6 L CPT % ")</f>
        <v xml:space="preserve">| 1 P Python % | 3 P JAVA % | 5 L NS % | 6 L CPT % </v>
      </c>
      <c r="AI370" s="4" t="str">
        <f ca="1">IFERROR(__xludf.DUMMYFUNCTION("""COMPUTED_VALUE"""),"| 1 P NS % | 3 L CPT % | 4 L PHP-CGM % | 5 P PHP-CGM % ")</f>
        <v xml:space="preserve">| 1 P NS % | 3 L CPT % | 4 L PHP-CGM % | 5 P PHP-CGM % </v>
      </c>
      <c r="AJ370" s="4" t="str">
        <f ca="1">IFERROR(__xludf.DUMMYFUNCTION("""COMPUTED_VALUE"""),"| 1 P Python % | 3 L PHP-CGM % | 4 L JAVA % | 5 P PRO % ")</f>
        <v xml:space="preserve">| 1 P Python % | 3 L PHP-CGM % | 4 L JAVA % | 5 P PRO % </v>
      </c>
      <c r="AK37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0" s="4" t="str">
        <f ca="1">IFERROR(__xludf.DUMMYFUNCTION("""COMPUTED_VALUE"""),"| 3 P CPT % | 5 L JAVA @ | 6 L NS % ")</f>
        <v xml:space="preserve">| 3 P CPT % | 5 L JAVA @ | 6 L NS % </v>
      </c>
      <c r="AM370" s="4" t="str">
        <f ca="1">IFERROR(__xludf.DUMMYFUNCTION("""COMPUTED_VALUE"""),"| 1 P Python % | 3 P JAVA % | 5 L NS % | 6 L CPT % ")</f>
        <v xml:space="preserve">| 1 P Python % | 3 P JAVA % | 5 L NS % | 6 L CPT % </v>
      </c>
      <c r="AN370" s="4" t="str">
        <f ca="1">IFERROR(__xludf.DUMMYFUNCTION("""COMPUTED_VALUE"""),"| 1 P NS @ | 4 L PHP-CGM @ | 5 P PHP-CGM @ ")</f>
        <v xml:space="preserve">| 1 P NS @ | 4 L PHP-CGM @ | 5 P PHP-CGM @ </v>
      </c>
      <c r="AO370" s="4" t="str">
        <f ca="1">IFERROR(__xludf.DUMMYFUNCTION("""COMPUTED_VALUE"""),"| 1 P Python % | 3 L PHP-CGM @ | 4 L JAVA @ | 5 P PRO % ")</f>
        <v xml:space="preserve">| 1 P Python % | 3 L PHP-CGM @ | 4 L JAVA @ | 5 P PRO % </v>
      </c>
      <c r="AP37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0" s="4" t="str">
        <f ca="1">IFERROR(__xludf.DUMMYFUNCTION("""COMPUTED_VALUE"""),"| 1 L INE % | 3 P CPT % | 5 L JAVA % | 6 L NS % ")</f>
        <v xml:space="preserve">| 1 L INE % | 3 P CPT % | 5 L JAVA % | 6 L NS % </v>
      </c>
      <c r="AR370" s="4" t="str">
        <f ca="1">IFERROR(__xludf.DUMMYFUNCTION("""COMPUTED_VALUE"""),"| 1 P Python @ | 3 L CPT @ | 3 P JAVA @ | 5 L NS @ | 6 L CPT @ ")</f>
        <v xml:space="preserve">| 1 P Python @ | 3 L CPT @ | 3 P JAVA @ | 5 L NS @ | 6 L CPT @ </v>
      </c>
      <c r="AS370" s="4" t="str">
        <f ca="1">IFERROR(__xludf.DUMMYFUNCTION("""COMPUTED_VALUE"""),"| 1 P Python % | 3 L PHP-CGM % | 4 L JAVA % | 5 P PRO % ")</f>
        <v xml:space="preserve">| 1 P Python % | 3 L PHP-CGM % | 4 L JAVA % | 5 P PRO % </v>
      </c>
      <c r="AT370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U370" s="4" t="str">
        <f ca="1">IFERROR(__xludf.DUMMYFUNCTION("""COMPUTED_VALUE"""),"| 1 L INE % | 3 P CPT % | 5 L JAVA % | 6 L NS % ")</f>
        <v xml:space="preserve">| 1 L INE % | 3 P CPT % | 5 L JAVA % | 6 L NS % </v>
      </c>
      <c r="AV370" s="4" t="str">
        <f ca="1">IFERROR(__xludf.DUMMYFUNCTION("""COMPUTED_VALUE"""),"| 1 P Python % | 3 P JAVA % | 5 L NS % | 6 L CPT % ")</f>
        <v xml:space="preserve">| 1 P Python % | 3 P JAVA % | 5 L NS % | 6 L CPT % </v>
      </c>
      <c r="AW370" s="4" t="str">
        <f ca="1">IFERROR(__xludf.DUMMYFUNCTION("""COMPUTED_VALUE"""),"| 1 P NS @ | 3 L CPT @ | 4 L PHP-CGM @ | 5 P PHP-CGM @ ")</f>
        <v xml:space="preserve">| 1 P NS @ | 3 L CPT @ | 4 L PHP-CGM @ | 5 P PHP-CGM @ </v>
      </c>
      <c r="AX370" s="4" t="str">
        <f ca="1">IFERROR(__xludf.DUMMYFUNCTION("""COMPUTED_VALUE"""),"| 1 P Python % | 3 L JAVA % | 4 L PHP-CGM % | 5 P PRO % ")</f>
        <v xml:space="preserve">| 1 P Python % | 3 L JAVA % | 4 L PHP-CGM % | 5 P PRO % </v>
      </c>
      <c r="AY370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70" s="4" t="str">
        <f ca="1">IFERROR(__xludf.DUMMYFUNCTION("""COMPUTED_VALUE"""),"| 1 P Python % | 3 P JAVA % | 5 L NS % | 6 L CPT % ")</f>
        <v xml:space="preserve">| 1 P Python % | 3 P JAVA % | 5 L NS % | 6 L CPT % </v>
      </c>
      <c r="BA370" s="4" t="str">
        <f ca="1">IFERROR(__xludf.DUMMYFUNCTION("""COMPUTED_VALUE"""),"| 1 P NS @ | 3 L CPT @ | 4 L PHP-CGM @ | 5 P PHP-CGM @ ")</f>
        <v xml:space="preserve">| 1 P NS @ | 3 L CPT @ | 4 L PHP-CGM @ | 5 P PHP-CGM @ </v>
      </c>
      <c r="BB370" s="4" t="str">
        <f ca="1">IFERROR(__xludf.DUMMYFUNCTION("""COMPUTED_VALUE"""),"| 1 P Python @ | 3 L PHP-CGM % | 4 L JAVA % | 5 L PRO % ")</f>
        <v xml:space="preserve">| 1 P Python @ | 3 L PHP-CGM % | 4 L JAVA % | 5 L PRO % </v>
      </c>
      <c r="BC37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0" s="4" t="str">
        <f ca="1">IFERROR(__xludf.DUMMYFUNCTION("""COMPUTED_VALUE"""),"| 1 L INE @ | 3 P CPT % | 5 L JAVA % | 6 L NS % ")</f>
        <v xml:space="preserve">| 1 L INE @ | 3 P CPT % | 5 L JAVA % | 6 L NS % </v>
      </c>
      <c r="BE370" s="4" t="str">
        <f ca="1">IFERROR(__xludf.DUMMYFUNCTION("""COMPUTED_VALUE"""),"| 1 P Python @ | 3 P JAVA @ | 5 L NS @ | 6 L CPT @ ")</f>
        <v xml:space="preserve">| 1 P Python @ | 3 P JAVA @ | 5 L NS @ | 6 L CPT @ </v>
      </c>
      <c r="BF370" s="4" t="str">
        <f ca="1">IFERROR(__xludf.DUMMYFUNCTION("""COMPUTED_VALUE"""),"| 1 P NS @ | 3 L CPT @ | 4 L PHP-CGM @ ")</f>
        <v xml:space="preserve">| 1 P NS @ | 3 L CPT @ | 4 L PHP-CGM @ </v>
      </c>
      <c r="BG370" s="4" t="str">
        <f ca="1">IFERROR(__xludf.DUMMYFUNCTION("""COMPUTED_VALUE"""),"| 1 L JAVA % | 2 L PHP-CGM % | 3 P JAVA @ | 5 L CPT @ | 6 L NS @ ")</f>
        <v xml:space="preserve">| 1 L JAVA % | 2 L PHP-CGM % | 3 P JAVA @ | 5 L CPT @ | 6 L NS @ </v>
      </c>
      <c r="BH370" s="4" t="str">
        <f ca="1">IFERROR(__xludf.DUMMYFUNCTION("""COMPUTED_VALUE"""),"| 1 L INE @ | 3 P CPT % | 5 L JAVA % | 6 L NS % ")</f>
        <v xml:space="preserve">| 1 L INE @ | 3 P CPT % | 5 L JAVA % | 6 L NS % </v>
      </c>
      <c r="BI370" s="4" t="str">
        <f ca="1">IFERROR(__xludf.DUMMYFUNCTION("""COMPUTED_VALUE"""),"| 1 P Python % | 3 P JAVA @ | 5 L NS @ | 6 L CPT @ ")</f>
        <v xml:space="preserve">| 1 P Python % | 3 P JAVA @ | 5 L NS @ | 6 L CPT @ </v>
      </c>
      <c r="BJ370" s="4" t="str">
        <f ca="1">IFERROR(__xludf.DUMMYFUNCTION("""COMPUTED_VALUE"""),"| 1 P NS @ | 3 L CPT @ | 4 L PHP-CGM @ | 5 P PHP-CGM @ ")</f>
        <v xml:space="preserve">| 1 P NS @ | 3 L CPT @ | 4 L PHP-CGM @ | 5 P PHP-CGM @ </v>
      </c>
      <c r="BK370" s="4" t="str">
        <f ca="1">IFERROR(__xludf.DUMMYFUNCTION("""COMPUTED_VALUE"""),"| 1 P Python @ | 3 L PHP-CGM @ | 4 L JAVA @ | 5 P PRO @ ")</f>
        <v xml:space="preserve">| 1 P Python @ | 3 L PHP-CGM @ | 4 L JAVA @ | 5 P PRO @ </v>
      </c>
      <c r="BL370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70" s="4" t="str">
        <f ca="1">IFERROR(__xludf.DUMMYFUNCTION("""COMPUTED_VALUE"""),"| 1 L INE @ | 3 P CPT @ | 5 L JAVA @ | 6 L NS @ ")</f>
        <v xml:space="preserve">| 1 L INE @ | 3 P CPT @ | 5 L JAVA @ | 6 L NS @ </v>
      </c>
      <c r="BN370" s="4" t="str">
        <f ca="1">IFERROR(__xludf.DUMMYFUNCTION("""COMPUTED_VALUE"""),"| 1 P Python @ | 3 P JAVA @ | 5 L NS @ | 6 L CPT @ ")</f>
        <v xml:space="preserve">| 1 P Python @ | 3 P JAVA @ | 5 L NS @ | 6 L CPT @ </v>
      </c>
      <c r="BO370" s="4" t="str">
        <f ca="1">IFERROR(__xludf.DUMMYFUNCTION("""COMPUTED_VALUE"""),"| 1 P NS @ | 4 L PHP-CGM % | 3 L CPT % ")</f>
        <v xml:space="preserve">| 1 P NS @ | 4 L PHP-CGM % | 3 L CPT % </v>
      </c>
      <c r="BP370" s="4" t="str">
        <f ca="1">IFERROR(__xludf.DUMMYFUNCTION("""COMPUTED_VALUE"""),"| 3 L PHP-CGM % | 4 L JAVA % | 5 P PRO % ")</f>
        <v xml:space="preserve">| 3 L PHP-CGM % | 4 L JAVA % | 5 P PRO % </v>
      </c>
      <c r="BQ370" s="4" t="str">
        <f ca="1">IFERROR(__xludf.DUMMYFUNCTION("""COMPUTED_VALUE"""),"| 6 L NS % | 5 L JAVA @ | 3 P CPT % ")</f>
        <v xml:space="preserve">| 6 L NS % | 5 L JAVA @ | 3 P CPT % </v>
      </c>
      <c r="BR370" s="4"/>
      <c r="BS370" s="4" t="str">
        <f ca="1">IFERROR(__xludf.DUMMYFUNCTION("""COMPUTED_VALUE"""),"| 4 L PHP-CGM % ")</f>
        <v xml:space="preserve">| 4 L PHP-CGM % </v>
      </c>
      <c r="BT370" s="4" t="str">
        <f ca="1">IFERROR(__xludf.DUMMYFUNCTION("""COMPUTED_VALUE"""),"| 1 P Python % | 3 L PHP-CGM % ")</f>
        <v xml:space="preserve">| 1 P Python % | 3 L PHP-CGM % </v>
      </c>
      <c r="BU370" s="4" t="str">
        <f ca="1">IFERROR(__xludf.DUMMYFUNCTION("""COMPUTED_VALUE"""),"| 1 L JAVA % | 2 L PHP-CGM % | 3 P JAVA % ")</f>
        <v xml:space="preserve">| 1 L JAVA % | 2 L PHP-CGM % | 3 P JAVA % </v>
      </c>
      <c r="BV370" s="4" t="str">
        <f ca="1">IFERROR(__xludf.DUMMYFUNCTION("""COMPUTED_VALUE"""),"| 1 P Python % | 3 L PHP-CGM % | 4 L JAVA % | 5 P PRO % ")</f>
        <v xml:space="preserve">| 1 P Python % | 3 L PHP-CGM % | 4 L JAVA % | 5 P PRO % </v>
      </c>
      <c r="BW370" s="4" t="str">
        <f ca="1">IFERROR(__xludf.DUMMYFUNCTION("""COMPUTED_VALUE"""),"| 1 L JAVA % | 2 L PHP-CGM % | 3 P JAVA @ ")</f>
        <v xml:space="preserve">| 1 L JAVA % | 2 L PHP-CGM % | 3 P JAVA @ </v>
      </c>
      <c r="BX370" s="4" t="str">
        <f ca="1">IFERROR(__xludf.DUMMYFUNCTION("""COMPUTED_VALUE"""),"| 1 L INE @ | 3 P CPT @ | 5 L JAVA % | 6 L NS % ")</f>
        <v xml:space="preserve">| 1 L INE @ | 3 P CPT @ | 5 L JAVA % | 6 L NS % </v>
      </c>
      <c r="BY370" s="4" t="str">
        <f ca="1">IFERROR(__xludf.DUMMYFUNCTION("""COMPUTED_VALUE"""),"| 1 P Python @ | 3 P JAVA @ | 5 L NS @ | 6 L CPT @ ")</f>
        <v xml:space="preserve">| 1 P Python @ | 3 P JAVA @ | 5 L NS @ | 6 L CPT @ </v>
      </c>
      <c r="BZ370" s="4" t="str">
        <f ca="1">IFERROR(__xludf.DUMMYFUNCTION("""COMPUTED_VALUE"""),"| 1 P NS @ | 3 L CPT @ | 4 L PHP-CGM @ | 5 P PHP-CGM % ")</f>
        <v xml:space="preserve">| 1 P NS @ | 3 L CPT @ | 4 L PHP-CGM @ | 5 P PHP-CGM % </v>
      </c>
      <c r="CA370" s="4" t="str">
        <f ca="1">IFERROR(__xludf.DUMMYFUNCTION("""COMPUTED_VALUE"""),"| 1 P Python @ | 3 L PHP-CGM % | 3 L JAVA % | 5 P PRO @ ")</f>
        <v xml:space="preserve">| 1 P Python @ | 3 L PHP-CGM % | 3 L JAVA % | 5 P PRO @ </v>
      </c>
      <c r="CB370" s="4" t="str">
        <f ca="1">IFERROR(__xludf.DUMMYFUNCTION("""COMPUTED_VALUE"""),"| 1 L JAVA % | 2 L PHP-CGM % | 3 P JAVA @ | 6 L NS % | 5 L CPT % ")</f>
        <v xml:space="preserve">| 1 L JAVA % | 2 L PHP-CGM % | 3 P JAVA @ | 6 L NS % | 5 L CPT % </v>
      </c>
      <c r="CC370" s="4" t="str">
        <f ca="1">IFERROR(__xludf.DUMMYFUNCTION("""COMPUTED_VALUE"""),"| 1 L INE % | 3 P CPT @ | 5 L JAVA % | 6 L NS % ")</f>
        <v xml:space="preserve">| 1 L INE % | 3 P CPT @ | 5 L JAVA % | 6 L NS % </v>
      </c>
      <c r="CD370" s="4" t="str">
        <f ca="1">IFERROR(__xludf.DUMMYFUNCTION("""COMPUTED_VALUE"""),"| 1 P Python % | 3 P JAVA @ | 5 L NS % | 6 L CPT % ")</f>
        <v xml:space="preserve">| 1 P Python % | 3 P JAVA @ | 5 L NS % | 6 L CPT % </v>
      </c>
      <c r="CE370" s="4" t="str">
        <f ca="1">IFERROR(__xludf.DUMMYFUNCTION("""COMPUTED_VALUE"""),"| 1 P NS @ | 3 L CPT @ | 4 L PHP-CGM @ ")</f>
        <v xml:space="preserve">| 1 P NS @ | 3 L CPT @ | 4 L PHP-CGM @ </v>
      </c>
      <c r="CF370" s="4" t="str">
        <f ca="1">IFERROR(__xludf.DUMMYFUNCTION("""COMPUTED_VALUE"""),"| 1 P Python @ | 4 L JAVA @ | 3 L PHP-CGM @ | 5 L PRO % ")</f>
        <v xml:space="preserve">| 1 P Python @ | 4 L JAVA @ | 3 L PHP-CGM @ | 5 L PRO % </v>
      </c>
      <c r="CG370" s="4" t="str">
        <f ca="1">IFERROR(__xludf.DUMMYFUNCTION("""COMPUTED_VALUE"""),"| 1 L JAVA % | 2 L PHP-CGM % | 6 L NS @ | 3 P JAVA % ")</f>
        <v xml:space="preserve">| 1 L JAVA % | 2 L PHP-CGM % | 6 L NS @ | 3 P JAVA % </v>
      </c>
      <c r="CH370" s="4" t="str">
        <f ca="1">IFERROR(__xludf.DUMMYFUNCTION("""COMPUTED_VALUE"""),"| 1 L INE @ | 3 P CPT @ | 5 L JAVA @ | 6 L NS @ ")</f>
        <v xml:space="preserve">| 1 L INE @ | 3 P CPT @ | 5 L JAVA @ | 6 L NS @ </v>
      </c>
      <c r="CI370" s="4" t="str">
        <f ca="1">IFERROR(__xludf.DUMMYFUNCTION("""COMPUTED_VALUE"""),"| 5 L NS @ | 6 L CPT @ ")</f>
        <v xml:space="preserve">| 5 L NS @ | 6 L CPT @ </v>
      </c>
      <c r="CJ370" s="4" t="str">
        <f ca="1">IFERROR(__xludf.DUMMYFUNCTION("""COMPUTED_VALUE"""),"| 1 P NS % | 3 L CPT @ ")</f>
        <v xml:space="preserve">| 1 P NS % | 3 L CPT @ </v>
      </c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</row>
    <row r="371" spans="1:102" ht="12.5" x14ac:dyDescent="0.25">
      <c r="A371" s="3">
        <f ca="1">IFERROR(__xludf.DUMMYFUNCTION("""COMPUTED_VALUE"""),2)</f>
        <v>2</v>
      </c>
      <c r="B371" s="3" t="str">
        <f ca="1">IFERROR(__xludf.DUMMYFUNCTION("""COMPUTED_VALUE"""),"ITA")</f>
        <v>ITA</v>
      </c>
      <c r="C371" s="32" t="str">
        <f ca="1">IFERROR(__xludf.DUMMYFUNCTION("""COMPUTED_VALUE"""),"23291371072")</f>
        <v>23291371072</v>
      </c>
      <c r="D371" s="4" t="str">
        <f ca="1">IFERROR(__xludf.DUMMYFUNCTION("""COMPUTED_VALUE"""),"PATEL DHRUVKUMAR DWARKABHAI")</f>
        <v>PATEL DHRUVKUMAR DWARKABHAI</v>
      </c>
      <c r="E371" s="3" t="str">
        <f ca="1">IFERROR(__xludf.DUMMYFUNCTION("""COMPUTED_VALUE"""),"Sweety - Mor")</f>
        <v>Sweety - Mor</v>
      </c>
      <c r="F371" s="3">
        <f ca="1">IFERROR(__xludf.DUMMYFUNCTION("""COMPUTED_VALUE"""),9624077315)</f>
        <v>9624077315</v>
      </c>
      <c r="G371" s="3">
        <f ca="1">IFERROR(__xludf.DUMMYFUNCTION("""COMPUTED_VALUE"""),9624186485)</f>
        <v>9624186485</v>
      </c>
      <c r="H371" s="33">
        <f ca="1">IFERROR(__xludf.DUMMYFUNCTION("""COMPUTED_VALUE"""),0.504065040650406)</f>
        <v>0.50406504065040603</v>
      </c>
      <c r="I371" s="25">
        <f ca="1">IFERROR(__xludf.DUMMYFUNCTION("""COMPUTED_VALUE"""),0.457142857142857)</f>
        <v>0.45714285714285702</v>
      </c>
      <c r="J371" s="25">
        <f ca="1">IFERROR(__xludf.DUMMYFUNCTION("""COMPUTED_VALUE"""),0.5)</f>
        <v>0.5</v>
      </c>
      <c r="K371" s="25">
        <f ca="1">IFERROR(__xludf.DUMMYFUNCTION("""COMPUTED_VALUE"""),0.638888888888888)</f>
        <v>0.63888888888888795</v>
      </c>
      <c r="L371" s="25">
        <f ca="1">IFERROR(__xludf.DUMMYFUNCTION("""COMPUTED_VALUE"""),0.5)</f>
        <v>0.5</v>
      </c>
      <c r="M371" s="25">
        <f ca="1">IFERROR(__xludf.DUMMYFUNCTION("""COMPUTED_VALUE"""),0.684210526315789)</f>
        <v>0.68421052631578905</v>
      </c>
      <c r="N371" s="25">
        <f ca="1">IFERROR(__xludf.DUMMYFUNCTION("""COMPUTED_VALUE"""),0.125)</f>
        <v>0.125</v>
      </c>
      <c r="O371" s="25">
        <f ca="1">IFERROR(__xludf.DUMMYFUNCTION("""COMPUTED_VALUE"""),0.75)</f>
        <v>0.75</v>
      </c>
      <c r="P371" s="25">
        <f ca="1">IFERROR(__xludf.DUMMYFUNCTION("""COMPUTED_VALUE"""),0.12)</f>
        <v>0.12</v>
      </c>
      <c r="Q371" s="25">
        <f ca="1">IFERROR(__xludf.DUMMYFUNCTION("""COMPUTED_VALUE"""),0)</f>
        <v>0</v>
      </c>
      <c r="R371" s="25">
        <f ca="1">IFERROR(__xludf.DUMMYFUNCTION("""COMPUTED_VALUE"""),0.416666666666666)</f>
        <v>0.41666666666666602</v>
      </c>
      <c r="S371" s="25">
        <f ca="1">IFERROR(__xludf.DUMMYFUNCTION("""COMPUTED_VALUE"""),0.333333333333333)</f>
        <v>0.33333333333333298</v>
      </c>
      <c r="T371" s="25">
        <f ca="1">IFERROR(__xludf.DUMMYFUNCTION("""COMPUTED_VALUE"""),0.222222222222222)</f>
        <v>0.22222222222222199</v>
      </c>
      <c r="U371" s="25">
        <f ca="1">IFERROR(__xludf.DUMMYFUNCTION("""COMPUTED_VALUE"""),0.375)</f>
        <v>0.375</v>
      </c>
      <c r="V371" s="25">
        <f ca="1">IFERROR(__xludf.DUMMYFUNCTION("""COMPUTED_VALUE"""),0)</f>
        <v>0</v>
      </c>
      <c r="W371" s="4"/>
      <c r="X371" s="4" t="str">
        <f ca="1">IFERROR(__xludf.DUMMYFUNCTION("""COMPUTED_VALUE"""),"| 1 P Python @ | 4 L JAVA @ | 3 L PHP-CGM @ | 1 L PRO @ ")</f>
        <v xml:space="preserve">| 1 P Python @ | 4 L JAVA @ | 3 L PHP-CGM @ | 1 L PRO @ </v>
      </c>
      <c r="Y371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71" s="4" t="str">
        <f ca="1">IFERROR(__xludf.DUMMYFUNCTION("""COMPUTED_VALUE"""),"| 3 P CPT % | 5 L JAVA % | 6 L NS % ")</f>
        <v xml:space="preserve">| 3 P CPT % | 5 L JAVA % | 6 L NS % </v>
      </c>
      <c r="AA371" s="4" t="str">
        <f ca="1">IFERROR(__xludf.DUMMYFUNCTION("""COMPUTED_VALUE"""),"| 1 P Python % | 5 P JAVA % | 5 L NS % | 6 L CPT % ")</f>
        <v xml:space="preserve">| 1 P Python % | 5 P JAVA % | 5 L NS % | 6 L CPT % </v>
      </c>
      <c r="AB371" s="4" t="str">
        <f ca="1">IFERROR(__xludf.DUMMYFUNCTION("""COMPUTED_VALUE"""),"| 1 P NS @ | 3 L CPT @ | 5 P PHP-CGM @ | 4 L PHP-CGM @ ")</f>
        <v xml:space="preserve">| 1 P NS @ | 3 L CPT @ | 5 P PHP-CGM @ | 4 L PHP-CGM @ </v>
      </c>
      <c r="AC371" s="4" t="str">
        <f ca="1">IFERROR(__xludf.DUMMYFUNCTION("""COMPUTED_VALUE"""),"| 1 P Python % | 3 L PHP-CGM % | 5 P PRO % ")</f>
        <v xml:space="preserve">| 1 P Python % | 3 L PHP-CGM % | 5 P PRO % </v>
      </c>
      <c r="AD371" s="4" t="str">
        <f ca="1">IFERROR(__xludf.DUMMYFUNCTION("""COMPUTED_VALUE"""),"| 1 L JAVA % | 2 L PHP-CGM % | 3 P JAVA @ | 6 L NS % | 5 L CPT % ")</f>
        <v xml:space="preserve">| 1 L JAVA % | 2 L PHP-CGM % | 3 P JAVA @ | 6 L NS % | 5 L CPT % </v>
      </c>
      <c r="AE371" s="4" t="str">
        <f ca="1">IFERROR(__xludf.DUMMYFUNCTION("""COMPUTED_VALUE"""),"| 3 P CPT @ | 5 L JAVA % | 6 L NS % ")</f>
        <v xml:space="preserve">| 3 P CPT @ | 5 L JAVA % | 6 L NS % </v>
      </c>
      <c r="AF371" s="4" t="str">
        <f ca="1">IFERROR(__xludf.DUMMYFUNCTION("""COMPUTED_VALUE"""),"| 1 P Python @ | 3 P JAVA @ | 5 L NS @ | 6 L CPT @ ")</f>
        <v xml:space="preserve">| 1 P Python @ | 3 P JAVA @ | 5 L NS @ | 6 L CPT @ </v>
      </c>
      <c r="AG371" s="4" t="str">
        <f ca="1">IFERROR(__xludf.DUMMYFUNCTION("""COMPUTED_VALUE"""),"| 1 P NS % | 3 L CPT % | 4 L PHP-CGM % | 5 P PHP-CGM @ ")</f>
        <v xml:space="preserve">| 1 P NS % | 3 L CPT % | 4 L PHP-CGM % | 5 P PHP-CGM @ </v>
      </c>
      <c r="AH371" s="4" t="str">
        <f ca="1">IFERROR(__xludf.DUMMYFUNCTION("""COMPUTED_VALUE"""),"| 1 P Python @ | 3 P JAVA @ | 5 L NS % | 6 L CPT % ")</f>
        <v xml:space="preserve">| 1 P Python @ | 3 P JAVA @ | 5 L NS % | 6 L CPT % </v>
      </c>
      <c r="AI371" s="4" t="str">
        <f ca="1">IFERROR(__xludf.DUMMYFUNCTION("""COMPUTED_VALUE"""),"| 1 P NS @ | 3 L CPT @ | 4 L PHP-CGM % | 5 P PHP-CGM @ ")</f>
        <v xml:space="preserve">| 1 P NS @ | 3 L CPT @ | 4 L PHP-CGM % | 5 P PHP-CGM @ </v>
      </c>
      <c r="AJ371" s="4" t="str">
        <f ca="1">IFERROR(__xludf.DUMMYFUNCTION("""COMPUTED_VALUE"""),"| 1 P Python @ | 3 L PHP-CGM % | 4 L JAVA % | 5 P PRO @ ")</f>
        <v xml:space="preserve">| 1 P Python @ | 3 L PHP-CGM % | 4 L JAVA % | 5 P PRO @ </v>
      </c>
      <c r="AK371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L371" s="4" t="str">
        <f ca="1">IFERROR(__xludf.DUMMYFUNCTION("""COMPUTED_VALUE"""),"| 3 P CPT % | 5 L JAVA % | 6 L NS % ")</f>
        <v xml:space="preserve">| 3 P CPT % | 5 L JAVA % | 6 L NS % </v>
      </c>
      <c r="AM371" s="4" t="str">
        <f ca="1">IFERROR(__xludf.DUMMYFUNCTION("""COMPUTED_VALUE"""),"| 1 P Python @ | 3 P JAVA @ | 5 L NS % | 6 L CPT % ")</f>
        <v xml:space="preserve">| 1 P Python @ | 3 P JAVA @ | 5 L NS % | 6 L CPT % </v>
      </c>
      <c r="AN371" s="4" t="str">
        <f ca="1">IFERROR(__xludf.DUMMYFUNCTION("""COMPUTED_VALUE"""),"| 1 P NS @ | 4 L PHP-CGM @ | 5 P PHP-CGM @ ")</f>
        <v xml:space="preserve">| 1 P NS @ | 4 L PHP-CGM @ | 5 P PHP-CGM @ </v>
      </c>
      <c r="AO371" s="4" t="str">
        <f ca="1">IFERROR(__xludf.DUMMYFUNCTION("""COMPUTED_VALUE"""),"| 1 P Python % | 3 L PHP-CGM % | 4 L JAVA % | 5 P PRO @ ")</f>
        <v xml:space="preserve">| 1 P Python % | 3 L PHP-CGM % | 4 L JAVA % | 5 P PRO @ </v>
      </c>
      <c r="AP371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Q371" s="4" t="str">
        <f ca="1">IFERROR(__xludf.DUMMYFUNCTION("""COMPUTED_VALUE"""),"| 1 L INE @ | 3 P CPT @ | 5 L JAVA % | 6 L NS % ")</f>
        <v xml:space="preserve">| 1 L INE @ | 3 P CPT @ | 5 L JAVA % | 6 L NS % </v>
      </c>
      <c r="AR371" s="4" t="str">
        <f ca="1">IFERROR(__xludf.DUMMYFUNCTION("""COMPUTED_VALUE"""),"| 1 P Python @ | 3 L CPT @ | 3 P JAVA @ | 5 L NS @ | 6 L CPT @ ")</f>
        <v xml:space="preserve">| 1 P Python @ | 3 L CPT @ | 3 P JAVA @ | 5 L NS @ | 6 L CPT @ </v>
      </c>
      <c r="AS371" s="4" t="str">
        <f ca="1">IFERROR(__xludf.DUMMYFUNCTION("""COMPUTED_VALUE"""),"| 1 P Python % | 3 L PHP-CGM % | 4 L JAVA % | 5 P PRO % ")</f>
        <v xml:space="preserve">| 1 P Python % | 3 L PHP-CGM % | 4 L JAVA % | 5 P PRO % </v>
      </c>
      <c r="AT371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U371" s="4" t="str">
        <f ca="1">IFERROR(__xludf.DUMMYFUNCTION("""COMPUTED_VALUE"""),"| 1 L INE % | 3 P CPT % | 5 L JAVA % | 6 L NS % ")</f>
        <v xml:space="preserve">| 1 L INE % | 3 P CPT % | 5 L JAVA % | 6 L NS % </v>
      </c>
      <c r="AV371" s="4" t="str">
        <f ca="1">IFERROR(__xludf.DUMMYFUNCTION("""COMPUTED_VALUE"""),"| 1 P Python % | 3 P JAVA @ | 5 L NS % | 6 L CPT % ")</f>
        <v xml:space="preserve">| 1 P Python % | 3 P JAVA @ | 5 L NS % | 6 L CPT % </v>
      </c>
      <c r="AW371" s="4" t="str">
        <f ca="1">IFERROR(__xludf.DUMMYFUNCTION("""COMPUTED_VALUE"""),"| 1 P NS % | 3 L CPT % | 4 L PHP-CGM % | 5 P PHP-CGM @ ")</f>
        <v xml:space="preserve">| 1 P NS % | 3 L CPT % | 4 L PHP-CGM % | 5 P PHP-CGM @ </v>
      </c>
      <c r="AX371" s="4" t="str">
        <f ca="1">IFERROR(__xludf.DUMMYFUNCTION("""COMPUTED_VALUE"""),"| 1 P Python @ | 3 L JAVA @ | 4 L PHP-CGM @ | 5 P PRO @ ")</f>
        <v xml:space="preserve">| 1 P Python @ | 3 L JAVA @ | 4 L PHP-CGM @ | 5 P PRO @ </v>
      </c>
      <c r="AY371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71" s="4" t="str">
        <f ca="1">IFERROR(__xludf.DUMMYFUNCTION("""COMPUTED_VALUE"""),"| 1 P Python % | 3 P JAVA @ | 5 L NS % | 6 L CPT % ")</f>
        <v xml:space="preserve">| 1 P Python % | 3 P JAVA @ | 5 L NS % | 6 L CPT % </v>
      </c>
      <c r="BA371" s="4" t="str">
        <f ca="1">IFERROR(__xludf.DUMMYFUNCTION("""COMPUTED_VALUE"""),"| 1 P NS % | 3 L CPT @ | 4 L PHP-CGM @ | 5 P PHP-CGM @ ")</f>
        <v xml:space="preserve">| 1 P NS % | 3 L CPT @ | 4 L PHP-CGM @ | 5 P PHP-CGM @ </v>
      </c>
      <c r="BB371" s="4" t="str">
        <f ca="1">IFERROR(__xludf.DUMMYFUNCTION("""COMPUTED_VALUE"""),"| 1 P Python % | 3 L PHP-CGM % | 4 L JAVA % | 5 L PRO @ ")</f>
        <v xml:space="preserve">| 1 P Python % | 3 L PHP-CGM % | 4 L JAVA % | 5 L PRO @ </v>
      </c>
      <c r="BC371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D371" s="4" t="str">
        <f ca="1">IFERROR(__xludf.DUMMYFUNCTION("""COMPUTED_VALUE"""),"| 1 L INE @ | 3 P CPT @ | 5 L JAVA @ | 6 L NS @ ")</f>
        <v xml:space="preserve">| 1 L INE @ | 3 P CPT @ | 5 L JAVA @ | 6 L NS @ </v>
      </c>
      <c r="BE371" s="4" t="str">
        <f ca="1">IFERROR(__xludf.DUMMYFUNCTION("""COMPUTED_VALUE"""),"| 1 P Python @ | 3 P JAVA @ | 5 L NS @ | 6 L CPT @ ")</f>
        <v xml:space="preserve">| 1 P Python @ | 3 P JAVA @ | 5 L NS @ | 6 L CPT @ </v>
      </c>
      <c r="BF371" s="4" t="str">
        <f ca="1">IFERROR(__xludf.DUMMYFUNCTION("""COMPUTED_VALUE"""),"| 1 P NS @ | 3 L CPT @ | 4 L PHP-CGM @ ")</f>
        <v xml:space="preserve">| 1 P NS @ | 3 L CPT @ | 4 L PHP-CGM @ </v>
      </c>
      <c r="BG371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BH371" s="4" t="str">
        <f ca="1">IFERROR(__xludf.DUMMYFUNCTION("""COMPUTED_VALUE"""),"| 1 L INE @ | 3 P CPT @ | 5 L JAVA % | 6 L NS % ")</f>
        <v xml:space="preserve">| 1 L INE @ | 3 P CPT @ | 5 L JAVA % | 6 L NS % </v>
      </c>
      <c r="BI371" s="4" t="str">
        <f ca="1">IFERROR(__xludf.DUMMYFUNCTION("""COMPUTED_VALUE"""),"| 1 P Python % | 3 P JAVA @ | 5 L NS % | 6 L CPT % ")</f>
        <v xml:space="preserve">| 1 P Python % | 3 P JAVA @ | 5 L NS % | 6 L CPT % </v>
      </c>
      <c r="BJ371" s="4" t="str">
        <f ca="1">IFERROR(__xludf.DUMMYFUNCTION("""COMPUTED_VALUE"""),"| 1 P NS % | 3 L CPT % | 4 L PHP-CGM % | 5 P PHP-CGM @ ")</f>
        <v xml:space="preserve">| 1 P NS % | 3 L CPT % | 4 L PHP-CGM % | 5 P PHP-CGM @ </v>
      </c>
      <c r="BK371" s="4" t="str">
        <f ca="1">IFERROR(__xludf.DUMMYFUNCTION("""COMPUTED_VALUE"""),"| 1 P Python @ | 3 L PHP-CGM @ | 4 L JAVA @ | 5 P PRO @ ")</f>
        <v xml:space="preserve">| 1 P Python @ | 3 L PHP-CGM @ | 4 L JAVA @ | 5 P PRO @ </v>
      </c>
      <c r="BL371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71" s="4" t="str">
        <f ca="1">IFERROR(__xludf.DUMMYFUNCTION("""COMPUTED_VALUE"""),"| 1 L INE @ | 3 P CPT @ | 5 L JAVA @ | 6 L NS @ ")</f>
        <v xml:space="preserve">| 1 L INE @ | 3 P CPT @ | 5 L JAVA @ | 6 L NS @ </v>
      </c>
      <c r="BN371" s="4" t="str">
        <f ca="1">IFERROR(__xludf.DUMMYFUNCTION("""COMPUTED_VALUE"""),"| 1 P Python @ | 3 P JAVA @ | 5 L NS @ | 6 L CPT @ ")</f>
        <v xml:space="preserve">| 1 P Python @ | 3 P JAVA @ | 5 L NS @ | 6 L CPT @ </v>
      </c>
      <c r="BO371" s="4" t="str">
        <f ca="1">IFERROR(__xludf.DUMMYFUNCTION("""COMPUTED_VALUE"""),"| 1 P NS @ | 4 L PHP-CGM @ | 3 L CPT @ ")</f>
        <v xml:space="preserve">| 1 P NS @ | 4 L PHP-CGM @ | 3 L CPT @ </v>
      </c>
      <c r="BP371" s="4" t="str">
        <f ca="1">IFERROR(__xludf.DUMMYFUNCTION("""COMPUTED_VALUE"""),"| 3 L PHP-CGM % | 4 L JAVA % | 5 P PRO @ ")</f>
        <v xml:space="preserve">| 3 L PHP-CGM % | 4 L JAVA % | 5 P PRO @ </v>
      </c>
      <c r="BQ371" s="4" t="str">
        <f ca="1">IFERROR(__xludf.DUMMYFUNCTION("""COMPUTED_VALUE"""),"| 6 L NS % | 5 L JAVA % | 3 P CPT % ")</f>
        <v xml:space="preserve">| 6 L NS % | 5 L JAVA % | 3 P CPT % </v>
      </c>
      <c r="BR371" s="4"/>
      <c r="BS371" s="4" t="str">
        <f ca="1">IFERROR(__xludf.DUMMYFUNCTION("""COMPUTED_VALUE"""),"| 4 L PHP-CGM % ")</f>
        <v xml:space="preserve">| 4 L PHP-CGM % </v>
      </c>
      <c r="BT371" s="4" t="str">
        <f ca="1">IFERROR(__xludf.DUMMYFUNCTION("""COMPUTED_VALUE"""),"| 1 P Python % | 3 L PHP-CGM % ")</f>
        <v xml:space="preserve">| 1 P Python % | 3 L PHP-CGM % </v>
      </c>
      <c r="BU371" s="4" t="str">
        <f ca="1">IFERROR(__xludf.DUMMYFUNCTION("""COMPUTED_VALUE"""),"| 1 L JAVA % | 2 L PHP-CGM % | 3 P JAVA @ ")</f>
        <v xml:space="preserve">| 1 L JAVA % | 2 L PHP-CGM % | 3 P JAVA @ </v>
      </c>
      <c r="BV371" s="4" t="str">
        <f ca="1">IFERROR(__xludf.DUMMYFUNCTION("""COMPUTED_VALUE"""),"| 1 P Python @ | 3 L PHP-CGM % | 4 L JAVA % | 5 P PRO @ ")</f>
        <v xml:space="preserve">| 1 P Python @ | 3 L PHP-CGM % | 4 L JAVA % | 5 P PRO @ </v>
      </c>
      <c r="BW371" s="4" t="str">
        <f ca="1">IFERROR(__xludf.DUMMYFUNCTION("""COMPUTED_VALUE"""),"| 1 L JAVA % | 2 L PHP-CGM % | 3 P JAVA @ ")</f>
        <v xml:space="preserve">| 1 L JAVA % | 2 L PHP-CGM % | 3 P JAVA @ </v>
      </c>
      <c r="BX371" s="4" t="str">
        <f ca="1">IFERROR(__xludf.DUMMYFUNCTION("""COMPUTED_VALUE"""),"| 1 L INE @ | 3 P CPT @ | 5 L JAVA @ | 6 L NS @ ")</f>
        <v xml:space="preserve">| 1 L INE @ | 3 P CPT @ | 5 L JAVA @ | 6 L NS @ </v>
      </c>
      <c r="BY371" s="4" t="str">
        <f ca="1">IFERROR(__xludf.DUMMYFUNCTION("""COMPUTED_VALUE"""),"| 1 P Python @ | 3 P JAVA @ | 5 L NS % | 6 L CPT @ ")</f>
        <v xml:space="preserve">| 1 P Python @ | 3 P JAVA @ | 5 L NS % | 6 L CPT @ </v>
      </c>
      <c r="BZ371" s="4" t="str">
        <f ca="1">IFERROR(__xludf.DUMMYFUNCTION("""COMPUTED_VALUE"""),"| 1 P NS % | 3 L CPT @ | 4 L PHP-CGM % | 5 P PHP-CGM % ")</f>
        <v xml:space="preserve">| 1 P NS % | 3 L CPT @ | 4 L PHP-CGM % | 5 P PHP-CGM % </v>
      </c>
      <c r="CA371" s="4" t="str">
        <f ca="1">IFERROR(__xludf.DUMMYFUNCTION("""COMPUTED_VALUE"""),"| 1 P Python @ | 3 L PHP-CGM % | 3 L JAVA % | 5 P PRO @ ")</f>
        <v xml:space="preserve">| 1 P Python @ | 3 L PHP-CGM % | 3 L JAVA % | 5 P PRO @ </v>
      </c>
      <c r="CB371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71" s="4" t="str">
        <f ca="1">IFERROR(__xludf.DUMMYFUNCTION("""COMPUTED_VALUE"""),"| 1 L INE % | 3 P CPT % | 5 L JAVA % | 6 L NS % ")</f>
        <v xml:space="preserve">| 1 L INE % | 3 P CPT % | 5 L JAVA % | 6 L NS % </v>
      </c>
      <c r="CD371" s="4" t="str">
        <f ca="1">IFERROR(__xludf.DUMMYFUNCTION("""COMPUTED_VALUE"""),"| 1 P Python @ | 3 P JAVA @ | 5 L NS @ | 6 L CPT @ ")</f>
        <v xml:space="preserve">| 1 P Python @ | 3 P JAVA @ | 5 L NS @ | 6 L CPT @ </v>
      </c>
      <c r="CE371" s="4" t="str">
        <f ca="1">IFERROR(__xludf.DUMMYFUNCTION("""COMPUTED_VALUE"""),"| 1 P NS % | 3 L CPT % | 4 L PHP-CGM % ")</f>
        <v xml:space="preserve">| 1 P NS % | 3 L CPT % | 4 L PHP-CGM % </v>
      </c>
      <c r="CF371" s="4" t="str">
        <f ca="1">IFERROR(__xludf.DUMMYFUNCTION("""COMPUTED_VALUE"""),"| 1 P Python % | 4 L JAVA % | 3 L PHP-CGM @ | 5 L PRO % ")</f>
        <v xml:space="preserve">| 1 P Python % | 4 L JAVA % | 3 L PHP-CGM @ | 5 L PRO % </v>
      </c>
      <c r="CG371" s="4" t="str">
        <f ca="1">IFERROR(__xludf.DUMMYFUNCTION("""COMPUTED_VALUE"""),"| 1 L JAVA % | 2 L PHP-CGM % | 6 L NS % | 3 P JAVA % ")</f>
        <v xml:space="preserve">| 1 L JAVA % | 2 L PHP-CGM % | 6 L NS % | 3 P JAVA % </v>
      </c>
      <c r="CH371" s="4" t="str">
        <f ca="1">IFERROR(__xludf.DUMMYFUNCTION("""COMPUTED_VALUE"""),"| 1 L INE % | 3 P CPT % | 5 L JAVA % | 6 L NS % ")</f>
        <v xml:space="preserve">| 1 L INE % | 3 P CPT % | 5 L JAVA % | 6 L NS % </v>
      </c>
      <c r="CI371" s="4" t="str">
        <f ca="1">IFERROR(__xludf.DUMMYFUNCTION("""COMPUTED_VALUE"""),"| 5 L NS @ | 6 L CPT @ ")</f>
        <v xml:space="preserve">| 5 L NS @ | 6 L CPT @ </v>
      </c>
      <c r="CJ371" s="4" t="str">
        <f ca="1">IFERROR(__xludf.DUMMYFUNCTION("""COMPUTED_VALUE"""),"| 1 P NS @ | 3 L CPT @ ")</f>
        <v xml:space="preserve">| 1 P NS @ | 3 L CPT @ </v>
      </c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</row>
    <row r="372" spans="1:102" ht="12.5" x14ac:dyDescent="0.25">
      <c r="A372" s="3">
        <f ca="1">IFERROR(__xludf.DUMMYFUNCTION("""COMPUTED_VALUE"""),2)</f>
        <v>2</v>
      </c>
      <c r="B372" s="3" t="str">
        <f ca="1">IFERROR(__xludf.DUMMYFUNCTION("""COMPUTED_VALUE"""),"ITA")</f>
        <v>ITA</v>
      </c>
      <c r="C372" s="32" t="str">
        <f ca="1">IFERROR(__xludf.DUMMYFUNCTION("""COMPUTED_VALUE"""),"23291371073")</f>
        <v>23291371073</v>
      </c>
      <c r="D372" s="4" t="str">
        <f ca="1">IFERROR(__xludf.DUMMYFUNCTION("""COMPUTED_VALUE"""),"PATEL DHRUVKUMAR HASMUKHBHAI")</f>
        <v>PATEL DHRUVKUMAR HASMUKHBHAI</v>
      </c>
      <c r="E372" s="3" t="str">
        <f ca="1">IFERROR(__xludf.DUMMYFUNCTION("""COMPUTED_VALUE"""),"Sweety - Mor")</f>
        <v>Sweety - Mor</v>
      </c>
      <c r="F372" s="3">
        <f ca="1">IFERROR(__xludf.DUMMYFUNCTION("""COMPUTED_VALUE"""),9898370673)</f>
        <v>9898370673</v>
      </c>
      <c r="G372" s="3">
        <f ca="1">IFERROR(__xludf.DUMMYFUNCTION("""COMPUTED_VALUE"""),9898370673)</f>
        <v>9898370673</v>
      </c>
      <c r="H372" s="33">
        <f ca="1">IFERROR(__xludf.DUMMYFUNCTION("""COMPUTED_VALUE"""),0.752032520325203)</f>
        <v>0.75203252032520296</v>
      </c>
      <c r="I372" s="25">
        <f ca="1">IFERROR(__xludf.DUMMYFUNCTION("""COMPUTED_VALUE"""),0.685714285714285)</f>
        <v>0.68571428571428505</v>
      </c>
      <c r="J372" s="25">
        <f ca="1">IFERROR(__xludf.DUMMYFUNCTION("""COMPUTED_VALUE"""),0.833333333333333)</f>
        <v>0.83333333333333304</v>
      </c>
      <c r="K372" s="25">
        <f ca="1">IFERROR(__xludf.DUMMYFUNCTION("""COMPUTED_VALUE"""),0.666666666666666)</f>
        <v>0.66666666666666596</v>
      </c>
      <c r="L372" s="25">
        <f ca="1">IFERROR(__xludf.DUMMYFUNCTION("""COMPUTED_VALUE"""),0.666666666666666)</f>
        <v>0.66666666666666596</v>
      </c>
      <c r="M372" s="25">
        <f ca="1">IFERROR(__xludf.DUMMYFUNCTION("""COMPUTED_VALUE"""),0.868421052631579)</f>
        <v>0.86842105263157898</v>
      </c>
      <c r="N372" s="25">
        <f ca="1">IFERROR(__xludf.DUMMYFUNCTION("""COMPUTED_VALUE"""),0.625)</f>
        <v>0.625</v>
      </c>
      <c r="O372" s="25">
        <f ca="1">IFERROR(__xludf.DUMMYFUNCTION("""COMPUTED_VALUE"""),0.805555555555555)</f>
        <v>0.80555555555555503</v>
      </c>
      <c r="P372" s="25">
        <f ca="1">IFERROR(__xludf.DUMMYFUNCTION("""COMPUTED_VALUE"""),0.8)</f>
        <v>0.8</v>
      </c>
      <c r="Q372" s="25">
        <f ca="1">IFERROR(__xludf.DUMMYFUNCTION("""COMPUTED_VALUE"""),0)</f>
        <v>0</v>
      </c>
      <c r="R372" s="25">
        <f ca="1">IFERROR(__xludf.DUMMYFUNCTION("""COMPUTED_VALUE"""),0.875)</f>
        <v>0.875</v>
      </c>
      <c r="S372" s="25">
        <f ca="1">IFERROR(__xludf.DUMMYFUNCTION("""COMPUTED_VALUE"""),0.666666666666666)</f>
        <v>0.66666666666666596</v>
      </c>
      <c r="T372" s="25">
        <f ca="1">IFERROR(__xludf.DUMMYFUNCTION("""COMPUTED_VALUE"""),0.444444444444444)</f>
        <v>0.44444444444444398</v>
      </c>
      <c r="U372" s="25">
        <f ca="1">IFERROR(__xludf.DUMMYFUNCTION("""COMPUTED_VALUE"""),0.625)</f>
        <v>0.625</v>
      </c>
      <c r="V372" s="25">
        <f ca="1">IFERROR(__xludf.DUMMYFUNCTION("""COMPUTED_VALUE"""),0)</f>
        <v>0</v>
      </c>
      <c r="W372" s="4"/>
      <c r="X372" s="4" t="str">
        <f ca="1">IFERROR(__xludf.DUMMYFUNCTION("""COMPUTED_VALUE"""),"| 1 P Python % | 4 L JAVA % | 3 L PHP-CGM % | 1 L PRO % ")</f>
        <v xml:space="preserve">| 1 P Python % | 4 L JAVA % | 3 L PHP-CGM % | 1 L PRO % </v>
      </c>
      <c r="Y37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72" s="4" t="str">
        <f ca="1">IFERROR(__xludf.DUMMYFUNCTION("""COMPUTED_VALUE"""),"| 3 P CPT @ | 5 L JAVA @ | 6 L NS @ ")</f>
        <v xml:space="preserve">| 3 P CPT @ | 5 L JAVA @ | 6 L NS @ </v>
      </c>
      <c r="AA372" s="4" t="str">
        <f ca="1">IFERROR(__xludf.DUMMYFUNCTION("""COMPUTED_VALUE"""),"| 1 P Python % | 5 P JAVA % | 5 L NS % | 6 L CPT % ")</f>
        <v xml:space="preserve">| 1 P Python % | 5 P JAVA % | 5 L NS % | 6 L CPT % </v>
      </c>
      <c r="AB372" s="4" t="str">
        <f ca="1">IFERROR(__xludf.DUMMYFUNCTION("""COMPUTED_VALUE"""),"| 1 P NS % | 3 L CPT % | 5 P PHP-CGM % | 4 L PHP-CGM % ")</f>
        <v xml:space="preserve">| 1 P NS % | 3 L CPT % | 5 P PHP-CGM % | 4 L PHP-CGM % </v>
      </c>
      <c r="AC372" s="4" t="str">
        <f ca="1">IFERROR(__xludf.DUMMYFUNCTION("""COMPUTED_VALUE"""),"| 1 P Python % | 3 L PHP-CGM % | 5 P PRO % ")</f>
        <v xml:space="preserve">| 1 P Python % | 3 L PHP-CGM % | 5 P PRO % </v>
      </c>
      <c r="AD372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2" s="4" t="str">
        <f ca="1">IFERROR(__xludf.DUMMYFUNCTION("""COMPUTED_VALUE"""),"| 3 P CPT % | 5 L JAVA % | 6 L NS % ")</f>
        <v xml:space="preserve">| 3 P CPT % | 5 L JAVA % | 6 L NS % </v>
      </c>
      <c r="AF372" s="4" t="str">
        <f ca="1">IFERROR(__xludf.DUMMYFUNCTION("""COMPUTED_VALUE"""),"| 1 P Python % | 3 P JAVA % | 5 L NS % | 6 L CPT % ")</f>
        <v xml:space="preserve">| 1 P Python % | 3 P JAVA % | 5 L NS % | 6 L CPT % </v>
      </c>
      <c r="AG372" s="4" t="str">
        <f ca="1">IFERROR(__xludf.DUMMYFUNCTION("""COMPUTED_VALUE"""),"| 1 P NS % | 3 L CPT % | 4 L PHP-CGM % | 5 P PHP-CGM % ")</f>
        <v xml:space="preserve">| 1 P NS % | 3 L CPT % | 4 L PHP-CGM % | 5 P PHP-CGM % </v>
      </c>
      <c r="AH372" s="4" t="str">
        <f ca="1">IFERROR(__xludf.DUMMYFUNCTION("""COMPUTED_VALUE"""),"| 1 P Python % | 3 P JAVA % | 5 L NS % | 6 L CPT % ")</f>
        <v xml:space="preserve">| 1 P Python % | 3 P JAVA % | 5 L NS % | 6 L CPT % </v>
      </c>
      <c r="AI372" s="4" t="str">
        <f ca="1">IFERROR(__xludf.DUMMYFUNCTION("""COMPUTED_VALUE"""),"| 1 P NS % | 3 L CPT % | 4 L PHP-CGM % | 5 P PHP-CGM % ")</f>
        <v xml:space="preserve">| 1 P NS % | 3 L CPT % | 4 L PHP-CGM % | 5 P PHP-CGM % </v>
      </c>
      <c r="AJ372" s="4" t="str">
        <f ca="1">IFERROR(__xludf.DUMMYFUNCTION("""COMPUTED_VALUE"""),"| 1 P Python % | 3 L PHP-CGM % | 4 L JAVA % | 5 P PRO @ ")</f>
        <v xml:space="preserve">| 1 P Python % | 3 L PHP-CGM % | 4 L JAVA % | 5 P PRO @ </v>
      </c>
      <c r="AK37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2" s="4" t="str">
        <f ca="1">IFERROR(__xludf.DUMMYFUNCTION("""COMPUTED_VALUE"""),"| 3 P CPT % | 5 L JAVA % | 6 L NS % ")</f>
        <v xml:space="preserve">| 3 P CPT % | 5 L JAVA % | 6 L NS % </v>
      </c>
      <c r="AM372" s="4" t="str">
        <f ca="1">IFERROR(__xludf.DUMMYFUNCTION("""COMPUTED_VALUE"""),"| 1 P Python % | 3 P JAVA % | 5 L NS % | 6 L CPT % ")</f>
        <v xml:space="preserve">| 1 P Python % | 3 P JAVA % | 5 L NS % | 6 L CPT % </v>
      </c>
      <c r="AN372" s="4" t="str">
        <f ca="1">IFERROR(__xludf.DUMMYFUNCTION("""COMPUTED_VALUE"""),"| 1 P NS % | 4 L PHP-CGM % | 5 P PHP-CGM % ")</f>
        <v xml:space="preserve">| 1 P NS % | 4 L PHP-CGM % | 5 P PHP-CGM % </v>
      </c>
      <c r="AO372" s="4" t="str">
        <f ca="1">IFERROR(__xludf.DUMMYFUNCTION("""COMPUTED_VALUE"""),"| 1 P Python % | 3 L PHP-CGM % | 4 L JAVA % | 5 P PRO @ ")</f>
        <v xml:space="preserve">| 1 P Python % | 3 L PHP-CGM % | 4 L JAVA % | 5 P PRO @ </v>
      </c>
      <c r="AP37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2" s="4" t="str">
        <f ca="1">IFERROR(__xludf.DUMMYFUNCTION("""COMPUTED_VALUE"""),"| 1 L INE % | 3 P CPT % | 5 L JAVA % | 6 L NS % ")</f>
        <v xml:space="preserve">| 1 L INE % | 3 P CPT % | 5 L JAVA % | 6 L NS % </v>
      </c>
      <c r="AR372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72" s="4" t="str">
        <f ca="1">IFERROR(__xludf.DUMMYFUNCTION("""COMPUTED_VALUE"""),"| 1 P Python % | 3 L PHP-CGM % | 4 L JAVA % | 5 P PRO @ ")</f>
        <v xml:space="preserve">| 1 P Python % | 3 L PHP-CGM % | 4 L JAVA % | 5 P PRO @ </v>
      </c>
      <c r="AT37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72" s="4" t="str">
        <f ca="1">IFERROR(__xludf.DUMMYFUNCTION("""COMPUTED_VALUE"""),"| 1 L INE % | 3 P CPT % | 5 L JAVA % | 6 L NS % ")</f>
        <v xml:space="preserve">| 1 L INE % | 3 P CPT % | 5 L JAVA % | 6 L NS % </v>
      </c>
      <c r="AV372" s="4" t="str">
        <f ca="1">IFERROR(__xludf.DUMMYFUNCTION("""COMPUTED_VALUE"""),"| 1 P Python % | 3 P JAVA % | 5 L NS % | 6 L CPT % ")</f>
        <v xml:space="preserve">| 1 P Python % | 3 P JAVA % | 5 L NS % | 6 L CPT % </v>
      </c>
      <c r="AW372" s="4" t="str">
        <f ca="1">IFERROR(__xludf.DUMMYFUNCTION("""COMPUTED_VALUE"""),"| 1 P NS % | 3 L CPT % | 4 L PHP-CGM % | 5 P PHP-CGM @ ")</f>
        <v xml:space="preserve">| 1 P NS % | 3 L CPT % | 4 L PHP-CGM % | 5 P PHP-CGM @ </v>
      </c>
      <c r="AX372" s="4" t="str">
        <f ca="1">IFERROR(__xludf.DUMMYFUNCTION("""COMPUTED_VALUE"""),"| 1 P Python % | 3 L JAVA % | 4 L PHP-CGM % | 5 P PRO % ")</f>
        <v xml:space="preserve">| 1 P Python % | 3 L JAVA % | 4 L PHP-CGM % | 5 P PRO % </v>
      </c>
      <c r="AY372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72" s="4" t="str">
        <f ca="1">IFERROR(__xludf.DUMMYFUNCTION("""COMPUTED_VALUE"""),"| 1 P Python % | 3 P JAVA % | 5 L NS % | 6 L CPT % ")</f>
        <v xml:space="preserve">| 1 P Python % | 3 P JAVA % | 5 L NS % | 6 L CPT % </v>
      </c>
      <c r="BA372" s="4" t="str">
        <f ca="1">IFERROR(__xludf.DUMMYFUNCTION("""COMPUTED_VALUE"""),"| 1 P NS % | 3 L CPT % | 4 L PHP-CGM % | 5 P PHP-CGM @ ")</f>
        <v xml:space="preserve">| 1 P NS % | 3 L CPT % | 4 L PHP-CGM % | 5 P PHP-CGM @ </v>
      </c>
      <c r="BB372" s="4" t="str">
        <f ca="1">IFERROR(__xludf.DUMMYFUNCTION("""COMPUTED_VALUE"""),"| 1 P Python @ | 3 L PHP-CGM % | 4 L JAVA % | 5 L PRO @ ")</f>
        <v xml:space="preserve">| 1 P Python @ | 3 L PHP-CGM % | 4 L JAVA % | 5 L PRO @ </v>
      </c>
      <c r="BC37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2" s="4" t="str">
        <f ca="1">IFERROR(__xludf.DUMMYFUNCTION("""COMPUTED_VALUE"""),"| 1 L INE @ | 3 P CPT @ | 5 L JAVA @ | 6 L NS @ ")</f>
        <v xml:space="preserve">| 1 L INE @ | 3 P CPT @ | 5 L JAVA @ | 6 L NS @ </v>
      </c>
      <c r="BE372" s="4" t="str">
        <f ca="1">IFERROR(__xludf.DUMMYFUNCTION("""COMPUTED_VALUE"""),"| 1 P Python % | 3 P JAVA % | 5 L NS % | 6 L CPT % ")</f>
        <v xml:space="preserve">| 1 P Python % | 3 P JAVA % | 5 L NS % | 6 L CPT % </v>
      </c>
      <c r="BF372" s="4" t="str">
        <f ca="1">IFERROR(__xludf.DUMMYFUNCTION("""COMPUTED_VALUE"""),"| 1 P NS @ | 3 L CPT @ | 4 L PHP-CGM @ ")</f>
        <v xml:space="preserve">| 1 P NS @ | 3 L CPT @ | 4 L PHP-CGM @ </v>
      </c>
      <c r="BG372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BH372" s="4" t="str">
        <f ca="1">IFERROR(__xludf.DUMMYFUNCTION("""COMPUTED_VALUE"""),"| 1 L INE % | 3 P CPT % | 5 L JAVA % | 6 L NS % ")</f>
        <v xml:space="preserve">| 1 L INE % | 3 P CPT % | 5 L JAVA % | 6 L NS % </v>
      </c>
      <c r="BI372" s="4" t="str">
        <f ca="1">IFERROR(__xludf.DUMMYFUNCTION("""COMPUTED_VALUE"""),"| 1 P Python @ | 3 P JAVA @ | 5 L NS @ | 6 L CPT @ ")</f>
        <v xml:space="preserve">| 1 P Python @ | 3 P JAVA @ | 5 L NS @ | 6 L CPT @ </v>
      </c>
      <c r="BJ372" s="4" t="str">
        <f ca="1">IFERROR(__xludf.DUMMYFUNCTION("""COMPUTED_VALUE"""),"| 1 P NS @ | 3 L CPT @ | 4 L PHP-CGM @ | 5 P PHP-CGM @ ")</f>
        <v xml:space="preserve">| 1 P NS @ | 3 L CPT @ | 4 L PHP-CGM @ | 5 P PHP-CGM @ </v>
      </c>
      <c r="BK372" s="4" t="str">
        <f ca="1">IFERROR(__xludf.DUMMYFUNCTION("""COMPUTED_VALUE"""),"| 1 P Python % | 3 L PHP-CGM % | 4 L JAVA % | 5 P PRO @ ")</f>
        <v xml:space="preserve">| 1 P Python % | 3 L PHP-CGM % | 4 L JAVA % | 5 P PRO @ </v>
      </c>
      <c r="BL372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72" s="4" t="str">
        <f ca="1">IFERROR(__xludf.DUMMYFUNCTION("""COMPUTED_VALUE"""),"| 1 L INE @ | 3 P CPT % | 5 L JAVA % | 6 L NS % ")</f>
        <v xml:space="preserve">| 1 L INE @ | 3 P CPT % | 5 L JAVA % | 6 L NS % </v>
      </c>
      <c r="BN372" s="4" t="str">
        <f ca="1">IFERROR(__xludf.DUMMYFUNCTION("""COMPUTED_VALUE"""),"| 1 P Python % | 3 P JAVA % | 5 L NS % | 6 L CPT % ")</f>
        <v xml:space="preserve">| 1 P Python % | 3 P JAVA % | 5 L NS % | 6 L CPT % </v>
      </c>
      <c r="BO372" s="4" t="str">
        <f ca="1">IFERROR(__xludf.DUMMYFUNCTION("""COMPUTED_VALUE"""),"| 1 P NS % | 4 L PHP-CGM % | 3 L CPT % ")</f>
        <v xml:space="preserve">| 1 P NS % | 4 L PHP-CGM % | 3 L CPT % </v>
      </c>
      <c r="BP372" s="4" t="str">
        <f ca="1">IFERROR(__xludf.DUMMYFUNCTION("""COMPUTED_VALUE"""),"| 3 L PHP-CGM % | 4 L JAVA % | 5 P PRO % ")</f>
        <v xml:space="preserve">| 3 L PHP-CGM % | 4 L JAVA % | 5 P PRO % </v>
      </c>
      <c r="BQ372" s="4" t="str">
        <f ca="1">IFERROR(__xludf.DUMMYFUNCTION("""COMPUTED_VALUE"""),"| 6 L NS % | 5 L JAVA % | 3 P CPT % ")</f>
        <v xml:space="preserve">| 6 L NS % | 5 L JAVA % | 3 P CPT % </v>
      </c>
      <c r="BR372" s="4"/>
      <c r="BS372" s="4" t="str">
        <f ca="1">IFERROR(__xludf.DUMMYFUNCTION("""COMPUTED_VALUE"""),"| 4 L PHP-CGM % ")</f>
        <v xml:space="preserve">| 4 L PHP-CGM % </v>
      </c>
      <c r="BT372" s="4" t="str">
        <f ca="1">IFERROR(__xludf.DUMMYFUNCTION("""COMPUTED_VALUE"""),"| 1 P Python % | 3 L PHP-CGM % ")</f>
        <v xml:space="preserve">| 1 P Python % | 3 L PHP-CGM % </v>
      </c>
      <c r="BU372" s="4" t="str">
        <f ca="1">IFERROR(__xludf.DUMMYFUNCTION("""COMPUTED_VALUE"""),"| 1 L JAVA % | 2 L PHP-CGM % | 3 P JAVA % ")</f>
        <v xml:space="preserve">| 1 L JAVA % | 2 L PHP-CGM % | 3 P JAVA % </v>
      </c>
      <c r="BV372" s="4" t="str">
        <f ca="1">IFERROR(__xludf.DUMMYFUNCTION("""COMPUTED_VALUE"""),"| 1 P Python % | 3 L PHP-CGM % | 4 L JAVA @ | 5 P PRO @ ")</f>
        <v xml:space="preserve">| 1 P Python % | 3 L PHP-CGM % | 4 L JAVA @ | 5 P PRO @ </v>
      </c>
      <c r="BW372" s="4" t="str">
        <f ca="1">IFERROR(__xludf.DUMMYFUNCTION("""COMPUTED_VALUE"""),"| 1 L JAVA % | 2 L PHP-CGM % | 3 P JAVA @ ")</f>
        <v xml:space="preserve">| 1 L JAVA % | 2 L PHP-CGM % | 3 P JAVA @ </v>
      </c>
      <c r="BX372" s="4" t="str">
        <f ca="1">IFERROR(__xludf.DUMMYFUNCTION("""COMPUTED_VALUE"""),"| 1 L INE @ | 3 P CPT % | 5 L JAVA @ | 6 L NS @ ")</f>
        <v xml:space="preserve">| 1 L INE @ | 3 P CPT % | 5 L JAVA @ | 6 L NS @ </v>
      </c>
      <c r="BY372" s="4" t="str">
        <f ca="1">IFERROR(__xludf.DUMMYFUNCTION("""COMPUTED_VALUE"""),"| 1 P Python % | 3 P JAVA @ | 5 L NS @ | 6 L CPT @ ")</f>
        <v xml:space="preserve">| 1 P Python % | 3 P JAVA @ | 5 L NS @ | 6 L CPT @ </v>
      </c>
      <c r="BZ372" s="4" t="str">
        <f ca="1">IFERROR(__xludf.DUMMYFUNCTION("""COMPUTED_VALUE"""),"| 1 P NS @ | 3 L CPT @ | 4 L PHP-CGM @ | 5 P PHP-CGM % ")</f>
        <v xml:space="preserve">| 1 P NS @ | 3 L CPT @ | 4 L PHP-CGM @ | 5 P PHP-CGM % </v>
      </c>
      <c r="CA372" s="4" t="str">
        <f ca="1">IFERROR(__xludf.DUMMYFUNCTION("""COMPUTED_VALUE"""),"| 1 P Python @ | 3 L PHP-CGM % | 3 L JAVA % | 5 P PRO % ")</f>
        <v xml:space="preserve">| 1 P Python @ | 3 L PHP-CGM % | 3 L JAVA % | 5 P PRO % </v>
      </c>
      <c r="CB372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72" s="4" t="str">
        <f ca="1">IFERROR(__xludf.DUMMYFUNCTION("""COMPUTED_VALUE"""),"| 1 L INE % | 3 P CPT % | 5 L JAVA @ | 6 L NS @ ")</f>
        <v xml:space="preserve">| 1 L INE % | 3 P CPT % | 5 L JAVA @ | 6 L NS @ </v>
      </c>
      <c r="CD372" s="4" t="str">
        <f ca="1">IFERROR(__xludf.DUMMYFUNCTION("""COMPUTED_VALUE"""),"| 1 P Python % | 3 P JAVA @ | 5 L NS @ | 6 L CPT @ ")</f>
        <v xml:space="preserve">| 1 P Python % | 3 P JAVA @ | 5 L NS @ | 6 L CPT @ </v>
      </c>
      <c r="CE372" s="4" t="str">
        <f ca="1">IFERROR(__xludf.DUMMYFUNCTION("""COMPUTED_VALUE"""),"| 1 P NS % | 3 L CPT @ | 4 L PHP-CGM @ ")</f>
        <v xml:space="preserve">| 1 P NS % | 3 L CPT @ | 4 L PHP-CGM @ </v>
      </c>
      <c r="CF372" s="4" t="str">
        <f ca="1">IFERROR(__xludf.DUMMYFUNCTION("""COMPUTED_VALUE"""),"| 1 P Python % | 4 L JAVA @ | 3 L PHP-CGM @ | 5 L PRO % ")</f>
        <v xml:space="preserve">| 1 P Python % | 4 L JAVA @ | 3 L PHP-CGM @ | 5 L PRO % </v>
      </c>
      <c r="CG372" s="4" t="str">
        <f ca="1">IFERROR(__xludf.DUMMYFUNCTION("""COMPUTED_VALUE"""),"| 1 L JAVA % | 2 L PHP-CGM % | 6 L NS @ | 3 P JAVA % ")</f>
        <v xml:space="preserve">| 1 L JAVA % | 2 L PHP-CGM % | 6 L NS @ | 3 P JAVA % </v>
      </c>
      <c r="CH372" s="4" t="str">
        <f ca="1">IFERROR(__xludf.DUMMYFUNCTION("""COMPUTED_VALUE"""),"| 1 L INE % | 3 P CPT % | 5 L JAVA @ | 6 L NS @ ")</f>
        <v xml:space="preserve">| 1 L INE % | 3 P CPT % | 5 L JAVA @ | 6 L NS @ </v>
      </c>
      <c r="CI372" s="4" t="str">
        <f ca="1">IFERROR(__xludf.DUMMYFUNCTION("""COMPUTED_VALUE"""),"| 5 L NS % | 6 L CPT % ")</f>
        <v xml:space="preserve">| 5 L NS % | 6 L CPT % </v>
      </c>
      <c r="CJ372" s="4" t="str">
        <f ca="1">IFERROR(__xludf.DUMMYFUNCTION("""COMPUTED_VALUE"""),"| 1 P NS @ | 3 L CPT @ ")</f>
        <v xml:space="preserve">| 1 P NS @ | 3 L CPT @ </v>
      </c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</row>
    <row r="373" spans="1:102" ht="12.5" x14ac:dyDescent="0.25">
      <c r="A373" s="3">
        <f ca="1">IFERROR(__xludf.DUMMYFUNCTION("""COMPUTED_VALUE"""),2)</f>
        <v>2</v>
      </c>
      <c r="B373" s="3" t="str">
        <f ca="1">IFERROR(__xludf.DUMMYFUNCTION("""COMPUTED_VALUE"""),"ITA")</f>
        <v>ITA</v>
      </c>
      <c r="C373" s="32" t="str">
        <f ca="1">IFERROR(__xludf.DUMMYFUNCTION("""COMPUTED_VALUE"""),"23291371074")</f>
        <v>23291371074</v>
      </c>
      <c r="D373" s="4" t="str">
        <f ca="1">IFERROR(__xludf.DUMMYFUNCTION("""COMPUTED_VALUE"""),"PATEL DHYAN ROHITKUMAR")</f>
        <v>PATEL DHYAN ROHITKUMAR</v>
      </c>
      <c r="E373" s="3" t="str">
        <f ca="1">IFERROR(__xludf.DUMMYFUNCTION("""COMPUTED_VALUE"""),"Sweety - Mor")</f>
        <v>Sweety - Mor</v>
      </c>
      <c r="F373" s="3">
        <f ca="1">IFERROR(__xludf.DUMMYFUNCTION("""COMPUTED_VALUE"""),7622036275)</f>
        <v>7622036275</v>
      </c>
      <c r="G373" s="3">
        <f ca="1">IFERROR(__xludf.DUMMYFUNCTION("""COMPUTED_VALUE"""),9429736275)</f>
        <v>9429736275</v>
      </c>
      <c r="H373" s="33">
        <f ca="1">IFERROR(__xludf.DUMMYFUNCTION("""COMPUTED_VALUE"""),0.642276422764227)</f>
        <v>0.64227642276422703</v>
      </c>
      <c r="I373" s="25">
        <f ca="1">IFERROR(__xludf.DUMMYFUNCTION("""COMPUTED_VALUE"""),0.485714285714285)</f>
        <v>0.48571428571428499</v>
      </c>
      <c r="J373" s="25">
        <f ca="1">IFERROR(__xludf.DUMMYFUNCTION("""COMPUTED_VALUE"""),0.75)</f>
        <v>0.75</v>
      </c>
      <c r="K373" s="25">
        <f ca="1">IFERROR(__xludf.DUMMYFUNCTION("""COMPUTED_VALUE"""),0.361111111111111)</f>
        <v>0.36111111111111099</v>
      </c>
      <c r="L373" s="25">
        <f ca="1">IFERROR(__xludf.DUMMYFUNCTION("""COMPUTED_VALUE"""),0.75)</f>
        <v>0.75</v>
      </c>
      <c r="M373" s="25">
        <f ca="1">IFERROR(__xludf.DUMMYFUNCTION("""COMPUTED_VALUE"""),0.842105263157894)</f>
        <v>0.84210526315789402</v>
      </c>
      <c r="N373" s="25">
        <f ca="1">IFERROR(__xludf.DUMMYFUNCTION("""COMPUTED_VALUE"""),0.375)</f>
        <v>0.375</v>
      </c>
      <c r="O373" s="25">
        <f ca="1">IFERROR(__xludf.DUMMYFUNCTION("""COMPUTED_VALUE"""),0.694444444444444)</f>
        <v>0.69444444444444398</v>
      </c>
      <c r="P373" s="25">
        <f ca="1">IFERROR(__xludf.DUMMYFUNCTION("""COMPUTED_VALUE"""),0.72)</f>
        <v>0.72</v>
      </c>
      <c r="Q373" s="25">
        <f ca="1">IFERROR(__xludf.DUMMYFUNCTION("""COMPUTED_VALUE"""),0)</f>
        <v>0</v>
      </c>
      <c r="R373" s="25">
        <f ca="1">IFERROR(__xludf.DUMMYFUNCTION("""COMPUTED_VALUE"""),0.791666666666666)</f>
        <v>0.79166666666666596</v>
      </c>
      <c r="S373" s="25">
        <f ca="1">IFERROR(__xludf.DUMMYFUNCTION("""COMPUTED_VALUE"""),1)</f>
        <v>1</v>
      </c>
      <c r="T373" s="25">
        <f ca="1">IFERROR(__xludf.DUMMYFUNCTION("""COMPUTED_VALUE"""),0.555555555555555)</f>
        <v>0.55555555555555503</v>
      </c>
      <c r="U373" s="25">
        <f ca="1">IFERROR(__xludf.DUMMYFUNCTION("""COMPUTED_VALUE"""),0.625)</f>
        <v>0.625</v>
      </c>
      <c r="V373" s="25">
        <f ca="1">IFERROR(__xludf.DUMMYFUNCTION("""COMPUTED_VALUE"""),0)</f>
        <v>0</v>
      </c>
      <c r="W373" s="4"/>
      <c r="X373" s="4" t="str">
        <f ca="1">IFERROR(__xludf.DUMMYFUNCTION("""COMPUTED_VALUE"""),"| 1 P Python % | 4 L JAVA % | 3 L PHP-CGM % | 1 L PRO % ")</f>
        <v xml:space="preserve">| 1 P Python % | 4 L JAVA % | 3 L PHP-CGM % | 1 L PRO % </v>
      </c>
      <c r="Y373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Z373" s="4" t="str">
        <f ca="1">IFERROR(__xludf.DUMMYFUNCTION("""COMPUTED_VALUE"""),"| 3 P CPT % | 5 L JAVA % | 6 L NS @ ")</f>
        <v xml:space="preserve">| 3 P CPT % | 5 L JAVA % | 6 L NS @ </v>
      </c>
      <c r="AA373" s="4" t="str">
        <f ca="1">IFERROR(__xludf.DUMMYFUNCTION("""COMPUTED_VALUE"""),"| 1 P Python % | 5 P JAVA % | 5 L NS % | 6 L CPT % ")</f>
        <v xml:space="preserve">| 1 P Python % | 5 P JAVA % | 5 L NS % | 6 L CPT % </v>
      </c>
      <c r="AB373" s="4" t="str">
        <f ca="1">IFERROR(__xludf.DUMMYFUNCTION("""COMPUTED_VALUE"""),"| 1 P NS % | 3 L CPT % | 5 P PHP-CGM @ | 4 L PHP-CGM % ")</f>
        <v xml:space="preserve">| 1 P NS % | 3 L CPT % | 5 P PHP-CGM @ | 4 L PHP-CGM % </v>
      </c>
      <c r="AC373" s="4" t="str">
        <f ca="1">IFERROR(__xludf.DUMMYFUNCTION("""COMPUTED_VALUE"""),"| 1 P Python % | 3 L PHP-CGM % | 5 P PRO % ")</f>
        <v xml:space="preserve">| 1 P Python % | 3 L PHP-CGM % | 5 P PRO % </v>
      </c>
      <c r="AD373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3" s="4" t="str">
        <f ca="1">IFERROR(__xludf.DUMMYFUNCTION("""COMPUTED_VALUE"""),"| 3 P CPT % | 5 L JAVA % | 6 L NS % ")</f>
        <v xml:space="preserve">| 3 P CPT % | 5 L JAVA % | 6 L NS % </v>
      </c>
      <c r="AF373" s="4" t="str">
        <f ca="1">IFERROR(__xludf.DUMMYFUNCTION("""COMPUTED_VALUE"""),"| 1 P Python % | 3 P JAVA % | 5 L NS % | 6 L CPT % ")</f>
        <v xml:space="preserve">| 1 P Python % | 3 P JAVA % | 5 L NS % | 6 L CPT % </v>
      </c>
      <c r="AG373" s="4" t="str">
        <f ca="1">IFERROR(__xludf.DUMMYFUNCTION("""COMPUTED_VALUE"""),"| 1 P NS % | 3 L CPT % | 4 L PHP-CGM % | 5 P PHP-CGM % ")</f>
        <v xml:space="preserve">| 1 P NS % | 3 L CPT % | 4 L PHP-CGM % | 5 P PHP-CGM % </v>
      </c>
      <c r="AH373" s="4" t="str">
        <f ca="1">IFERROR(__xludf.DUMMYFUNCTION("""COMPUTED_VALUE"""),"| 1 P Python @ | 3 P JAVA @ | 5 L NS @ | 6 L CPT @ ")</f>
        <v xml:space="preserve">| 1 P Python @ | 3 P JAVA @ | 5 L NS @ | 6 L CPT @ </v>
      </c>
      <c r="AI373" s="4" t="str">
        <f ca="1">IFERROR(__xludf.DUMMYFUNCTION("""COMPUTED_VALUE"""),"| 1 P NS % | 3 L CPT % | 4 L PHP-CGM % | 5 P PHP-CGM % ")</f>
        <v xml:space="preserve">| 1 P NS % | 3 L CPT % | 4 L PHP-CGM % | 5 P PHP-CGM % </v>
      </c>
      <c r="AJ373" s="4" t="str">
        <f ca="1">IFERROR(__xludf.DUMMYFUNCTION("""COMPUTED_VALUE"""),"| 1 P Python % | 3 L PHP-CGM % | 4 L JAVA % | 5 P PRO % ")</f>
        <v xml:space="preserve">| 1 P Python % | 3 L PHP-CGM % | 4 L JAVA % | 5 P PRO % </v>
      </c>
      <c r="AK37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3" s="4" t="str">
        <f ca="1">IFERROR(__xludf.DUMMYFUNCTION("""COMPUTED_VALUE"""),"| 3 P CPT @ | 5 L JAVA @ | 6 L NS @ ")</f>
        <v xml:space="preserve">| 3 P CPT @ | 5 L JAVA @ | 6 L NS @ </v>
      </c>
      <c r="AM373" s="4" t="str">
        <f ca="1">IFERROR(__xludf.DUMMYFUNCTION("""COMPUTED_VALUE"""),"| 1 P Python % | 3 P JAVA % | 5 L NS @ | 6 L CPT @ ")</f>
        <v xml:space="preserve">| 1 P Python % | 3 P JAVA % | 5 L NS @ | 6 L CPT @ </v>
      </c>
      <c r="AN373" s="4" t="str">
        <f ca="1">IFERROR(__xludf.DUMMYFUNCTION("""COMPUTED_VALUE"""),"| 1 P NS % | 4 L PHP-CGM % | 5 P PHP-CGM @ ")</f>
        <v xml:space="preserve">| 1 P NS % | 4 L PHP-CGM % | 5 P PHP-CGM @ </v>
      </c>
      <c r="AO373" s="4" t="str">
        <f ca="1">IFERROR(__xludf.DUMMYFUNCTION("""COMPUTED_VALUE"""),"| 1 P Python % | 3 L PHP-CGM % | 4 L JAVA % | 5 P PRO % ")</f>
        <v xml:space="preserve">| 1 P Python % | 3 L PHP-CGM % | 4 L JAVA % | 5 P PRO % </v>
      </c>
      <c r="AP373" s="4" t="str">
        <f ca="1">IFERROR(__xludf.DUMMYFUNCTION("""COMPUTED_VALUE"""),"| 1 L JAVA % | 2 L PHP-CGM % | 3 P JAVA % | 5 L CPT % | 6 L NS @ ")</f>
        <v xml:space="preserve">| 1 L JAVA % | 2 L PHP-CGM % | 3 P JAVA % | 5 L CPT % | 6 L NS @ </v>
      </c>
      <c r="AQ373" s="4" t="str">
        <f ca="1">IFERROR(__xludf.DUMMYFUNCTION("""COMPUTED_VALUE"""),"| 1 L INE % | 3 P CPT % | 5 L JAVA @ | 6 L NS @ ")</f>
        <v xml:space="preserve">| 1 L INE % | 3 P CPT % | 5 L JAVA @ | 6 L NS @ </v>
      </c>
      <c r="AR373" s="4" t="str">
        <f ca="1">IFERROR(__xludf.DUMMYFUNCTION("""COMPUTED_VALUE"""),"| 1 P Python @ | 3 L CPT % | 3 P JAVA @ | 5 L NS @ | 6 L CPT @ ")</f>
        <v xml:space="preserve">| 1 P Python @ | 3 L CPT % | 3 P JAVA @ | 5 L NS @ | 6 L CPT @ </v>
      </c>
      <c r="AS373" s="4" t="str">
        <f ca="1">IFERROR(__xludf.DUMMYFUNCTION("""COMPUTED_VALUE"""),"| 1 P Python % | 3 L PHP-CGM % | 4 L JAVA % | 5 P PRO @ ")</f>
        <v xml:space="preserve">| 1 P Python % | 3 L PHP-CGM % | 4 L JAVA % | 5 P PRO @ </v>
      </c>
      <c r="AT373" s="4" t="str">
        <f ca="1">IFERROR(__xludf.DUMMYFUNCTION("""COMPUTED_VALUE"""),"| 1 L JAVA % | 2 L PHP-CGM % | 3 P JAVA % | 5 L CPT % | 6 L NS @ ")</f>
        <v xml:space="preserve">| 1 L JAVA % | 2 L PHP-CGM % | 3 P JAVA % | 5 L CPT % | 6 L NS @ </v>
      </c>
      <c r="AU373" s="4" t="str">
        <f ca="1">IFERROR(__xludf.DUMMYFUNCTION("""COMPUTED_VALUE"""),"| 1 L INE % | 3 P CPT % | 5 L JAVA % | 6 L NS % ")</f>
        <v xml:space="preserve">| 1 L INE % | 3 P CPT % | 5 L JAVA % | 6 L NS % </v>
      </c>
      <c r="AV373" s="4" t="str">
        <f ca="1">IFERROR(__xludf.DUMMYFUNCTION("""COMPUTED_VALUE"""),"| 1 P Python % | 3 P JAVA % | 5 L NS @ | 6 L CPT @ ")</f>
        <v xml:space="preserve">| 1 P Python % | 3 P JAVA % | 5 L NS @ | 6 L CPT @ </v>
      </c>
      <c r="AW373" s="4" t="str">
        <f ca="1">IFERROR(__xludf.DUMMYFUNCTION("""COMPUTED_VALUE"""),"| 1 P NS @ | 3 L CPT @ | 4 L PHP-CGM @ | 5 P PHP-CGM @ ")</f>
        <v xml:space="preserve">| 1 P NS @ | 3 L CPT @ | 4 L PHP-CGM @ | 5 P PHP-CGM @ </v>
      </c>
      <c r="AX373" s="4" t="str">
        <f ca="1">IFERROR(__xludf.DUMMYFUNCTION("""COMPUTED_VALUE"""),"| 1 P Python % | 3 L JAVA % | 4 L PHP-CGM % | 5 P PRO % ")</f>
        <v xml:space="preserve">| 1 P Python % | 3 L JAVA % | 4 L PHP-CGM % | 5 P PRO % </v>
      </c>
      <c r="AY373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73" s="4" t="str">
        <f ca="1">IFERROR(__xludf.DUMMYFUNCTION("""COMPUTED_VALUE"""),"| 1 P Python % | 3 P JAVA % | 5 L NS % | 6 L CPT @ ")</f>
        <v xml:space="preserve">| 1 P Python % | 3 P JAVA % | 5 L NS % | 6 L CPT @ </v>
      </c>
      <c r="BA373" s="4" t="str">
        <f ca="1">IFERROR(__xludf.DUMMYFUNCTION("""COMPUTED_VALUE"""),"| 1 P NS % | 3 L CPT % | 4 L PHP-CGM % | 5 P PHP-CGM @ ")</f>
        <v xml:space="preserve">| 1 P NS % | 3 L CPT % | 4 L PHP-CGM % | 5 P PHP-CGM @ </v>
      </c>
      <c r="BB373" s="4" t="str">
        <f ca="1">IFERROR(__xludf.DUMMYFUNCTION("""COMPUTED_VALUE"""),"| 1 P Python % | 3 L PHP-CGM % | 4 L JAVA % | 5 L PRO % ")</f>
        <v xml:space="preserve">| 1 P Python % | 3 L PHP-CGM % | 4 L JAVA % | 5 L PRO % </v>
      </c>
      <c r="BC37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3" s="4" t="str">
        <f ca="1">IFERROR(__xludf.DUMMYFUNCTION("""COMPUTED_VALUE"""),"| 1 L INE @ | 3 P CPT @ | 5 L JAVA @ | 6 L NS @ ")</f>
        <v xml:space="preserve">| 1 L INE @ | 3 P CPT @ | 5 L JAVA @ | 6 L NS @ </v>
      </c>
      <c r="BE373" s="4" t="str">
        <f ca="1">IFERROR(__xludf.DUMMYFUNCTION("""COMPUTED_VALUE"""),"| 1 P Python % | 3 P JAVA % | 5 L NS @ | 6 L CPT @ ")</f>
        <v xml:space="preserve">| 1 P Python % | 3 P JAVA % | 5 L NS @ | 6 L CPT @ </v>
      </c>
      <c r="BF373" s="4" t="str">
        <f ca="1">IFERROR(__xludf.DUMMYFUNCTION("""COMPUTED_VALUE"""),"| 1 P NS % | 3 L CPT % | 4 L PHP-CGM % ")</f>
        <v xml:space="preserve">| 1 P NS % | 3 L CPT % | 4 L PHP-CGM % </v>
      </c>
      <c r="BG37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73" s="4" t="str">
        <f ca="1">IFERROR(__xludf.DUMMYFUNCTION("""COMPUTED_VALUE"""),"| 1 L INE % | 3 P CPT % | 5 L JAVA % | 6 L NS % ")</f>
        <v xml:space="preserve">| 1 L INE % | 3 P CPT % | 5 L JAVA % | 6 L NS % </v>
      </c>
      <c r="BI373" s="4" t="str">
        <f ca="1">IFERROR(__xludf.DUMMYFUNCTION("""COMPUTED_VALUE"""),"| 1 P Python % | 3 P JAVA % | 5 L NS % | 6 L CPT @ ")</f>
        <v xml:space="preserve">| 1 P Python % | 3 P JAVA % | 5 L NS % | 6 L CPT @ </v>
      </c>
      <c r="BJ373" s="4" t="str">
        <f ca="1">IFERROR(__xludf.DUMMYFUNCTION("""COMPUTED_VALUE"""),"| 1 P NS % | 3 L CPT % | 4 L PHP-CGM % | 5 P PHP-CGM @ ")</f>
        <v xml:space="preserve">| 1 P NS % | 3 L CPT % | 4 L PHP-CGM % | 5 P PHP-CGM @ </v>
      </c>
      <c r="BK373" s="4" t="str">
        <f ca="1">IFERROR(__xludf.DUMMYFUNCTION("""COMPUTED_VALUE"""),"| 1 P Python @ | 3 L PHP-CGM @ | 4 L JAVA @ | 5 P PRO @ ")</f>
        <v xml:space="preserve">| 1 P Python @ | 3 L PHP-CGM @ | 4 L JAVA @ | 5 P PRO @ </v>
      </c>
      <c r="BL373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73" s="4" t="str">
        <f ca="1">IFERROR(__xludf.DUMMYFUNCTION("""COMPUTED_VALUE"""),"| 1 L INE @ | 3 P CPT @ | 5 L JAVA @ | 6 L NS @ ")</f>
        <v xml:space="preserve">| 1 L INE @ | 3 P CPT @ | 5 L JAVA @ | 6 L NS @ </v>
      </c>
      <c r="BN373" s="4" t="str">
        <f ca="1">IFERROR(__xludf.DUMMYFUNCTION("""COMPUTED_VALUE"""),"| 1 P Python @ | 3 P JAVA @ | 5 L NS @ | 6 L CPT @ ")</f>
        <v xml:space="preserve">| 1 P Python @ | 3 P JAVA @ | 5 L NS @ | 6 L CPT @ </v>
      </c>
      <c r="BO373" s="4" t="str">
        <f ca="1">IFERROR(__xludf.DUMMYFUNCTION("""COMPUTED_VALUE"""),"| 1 P NS @ | 4 L PHP-CGM @ | 3 L CPT @ ")</f>
        <v xml:space="preserve">| 1 P NS @ | 4 L PHP-CGM @ | 3 L CPT @ </v>
      </c>
      <c r="BP373" s="4" t="str">
        <f ca="1">IFERROR(__xludf.DUMMYFUNCTION("""COMPUTED_VALUE"""),"| 3 L PHP-CGM % | 4 L JAVA % | 5 P PRO @ ")</f>
        <v xml:space="preserve">| 3 L PHP-CGM % | 4 L JAVA % | 5 P PRO @ </v>
      </c>
      <c r="BQ373" s="4" t="str">
        <f ca="1">IFERROR(__xludf.DUMMYFUNCTION("""COMPUTED_VALUE"""),"| 6 L NS % | 5 L JAVA @ | 3 P CPT % ")</f>
        <v xml:space="preserve">| 6 L NS % | 5 L JAVA @ | 3 P CPT % </v>
      </c>
      <c r="BR373" s="4"/>
      <c r="BS373" s="4" t="str">
        <f ca="1">IFERROR(__xludf.DUMMYFUNCTION("""COMPUTED_VALUE"""),"| 4 L PHP-CGM % ")</f>
        <v xml:space="preserve">| 4 L PHP-CGM % </v>
      </c>
      <c r="BT373" s="4" t="str">
        <f ca="1">IFERROR(__xludf.DUMMYFUNCTION("""COMPUTED_VALUE"""),"| 1 P Python % | 3 L PHP-CGM % ")</f>
        <v xml:space="preserve">| 1 P Python % | 3 L PHP-CGM % </v>
      </c>
      <c r="BU373" s="4" t="str">
        <f ca="1">IFERROR(__xludf.DUMMYFUNCTION("""COMPUTED_VALUE"""),"| 1 L JAVA % | 2 L PHP-CGM % | 3 P JAVA % ")</f>
        <v xml:space="preserve">| 1 L JAVA % | 2 L PHP-CGM % | 3 P JAVA % </v>
      </c>
      <c r="BV373" s="4" t="str">
        <f ca="1">IFERROR(__xludf.DUMMYFUNCTION("""COMPUTED_VALUE"""),"| 1 P Python % | 3 L PHP-CGM % | 4 L JAVA % | 5 P PRO @ ")</f>
        <v xml:space="preserve">| 1 P Python % | 3 L PHP-CGM % | 4 L JAVA % | 5 P PRO @ </v>
      </c>
      <c r="BW373" s="4" t="str">
        <f ca="1">IFERROR(__xludf.DUMMYFUNCTION("""COMPUTED_VALUE"""),"| 1 L JAVA @ | 2 L PHP-CGM @ | 3 P JAVA @ ")</f>
        <v xml:space="preserve">| 1 L JAVA @ | 2 L PHP-CGM @ | 3 P JAVA @ </v>
      </c>
      <c r="BX373" s="4" t="str">
        <f ca="1">IFERROR(__xludf.DUMMYFUNCTION("""COMPUTED_VALUE"""),"| 1 L INE % | 3 P CPT % | 5 L JAVA @ | 6 L NS @ ")</f>
        <v xml:space="preserve">| 1 L INE % | 3 P CPT % | 5 L JAVA @ | 6 L NS @ </v>
      </c>
      <c r="BY373" s="4" t="str">
        <f ca="1">IFERROR(__xludf.DUMMYFUNCTION("""COMPUTED_VALUE"""),"| 1 P Python % | 3 P JAVA % | 5 L NS @ | 6 L CPT @ ")</f>
        <v xml:space="preserve">| 1 P Python % | 3 P JAVA % | 5 L NS @ | 6 L CPT @ </v>
      </c>
      <c r="BZ373" s="4" t="str">
        <f ca="1">IFERROR(__xludf.DUMMYFUNCTION("""COMPUTED_VALUE"""),"| 1 P NS % | 3 L CPT @ | 4 L PHP-CGM @ | 5 P PHP-CGM % ")</f>
        <v xml:space="preserve">| 1 P NS % | 3 L CPT @ | 4 L PHP-CGM @ | 5 P PHP-CGM % </v>
      </c>
      <c r="CA373" s="4" t="str">
        <f ca="1">IFERROR(__xludf.DUMMYFUNCTION("""COMPUTED_VALUE"""),"| 1 P Python @ | 3 L PHP-CGM % | 3 L JAVA % | 5 P PRO % ")</f>
        <v xml:space="preserve">| 1 P Python @ | 3 L PHP-CGM % | 3 L JAVA % | 5 P PRO % </v>
      </c>
      <c r="CB373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73" s="4" t="str">
        <f ca="1">IFERROR(__xludf.DUMMYFUNCTION("""COMPUTED_VALUE"""),"| 1 L INE % | 3 P CPT % | 5 L JAVA @ | 6 L NS @ ")</f>
        <v xml:space="preserve">| 1 L INE % | 3 P CPT % | 5 L JAVA @ | 6 L NS @ </v>
      </c>
      <c r="CD373" s="4" t="str">
        <f ca="1">IFERROR(__xludf.DUMMYFUNCTION("""COMPUTED_VALUE"""),"| 1 P Python % | 3 P JAVA @ | 5 L NS @ | 6 L CPT @ ")</f>
        <v xml:space="preserve">| 1 P Python % | 3 P JAVA @ | 5 L NS @ | 6 L CPT @ </v>
      </c>
      <c r="CE373" s="4" t="str">
        <f ca="1">IFERROR(__xludf.DUMMYFUNCTION("""COMPUTED_VALUE"""),"| 1 P NS % | 3 L CPT % | 4 L PHP-CGM % ")</f>
        <v xml:space="preserve">| 1 P NS % | 3 L CPT % | 4 L PHP-CGM % </v>
      </c>
      <c r="CF373" s="4" t="str">
        <f ca="1">IFERROR(__xludf.DUMMYFUNCTION("""COMPUTED_VALUE"""),"| 1 P Python % | 4 L JAVA % | 3 L PHP-CGM % | 5 L PRO % ")</f>
        <v xml:space="preserve">| 1 P Python % | 4 L JAVA % | 3 L PHP-CGM % | 5 L PRO % </v>
      </c>
      <c r="CG373" s="4" t="str">
        <f ca="1">IFERROR(__xludf.DUMMYFUNCTION("""COMPUTED_VALUE"""),"| 1 L JAVA % | 2 L PHP-CGM % | 6 L NS @ | 3 P JAVA % ")</f>
        <v xml:space="preserve">| 1 L JAVA % | 2 L PHP-CGM % | 6 L NS @ | 3 P JAVA % </v>
      </c>
      <c r="CH373" s="4" t="str">
        <f ca="1">IFERROR(__xludf.DUMMYFUNCTION("""COMPUTED_VALUE"""),"| 1 L INE @ | 3 P CPT % | 5 L JAVA @ | 6 L NS @ ")</f>
        <v xml:space="preserve">| 1 L INE @ | 3 P CPT % | 5 L JAVA @ | 6 L NS @ </v>
      </c>
      <c r="CI373" s="4" t="str">
        <f ca="1">IFERROR(__xludf.DUMMYFUNCTION("""COMPUTED_VALUE"""),"| 5 L NS @ | 6 L CPT @ ")</f>
        <v xml:space="preserve">| 5 L NS @ | 6 L CPT @ </v>
      </c>
      <c r="CJ373" s="4" t="str">
        <f ca="1">IFERROR(__xludf.DUMMYFUNCTION("""COMPUTED_VALUE"""),"| 1 P NS @ | 3 L CPT @ ")</f>
        <v xml:space="preserve">| 1 P NS @ | 3 L CPT @ </v>
      </c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</row>
    <row r="374" spans="1:102" ht="12.5" x14ac:dyDescent="0.25">
      <c r="A374" s="3">
        <f ca="1">IFERROR(__xludf.DUMMYFUNCTION("""COMPUTED_VALUE"""),2)</f>
        <v>2</v>
      </c>
      <c r="B374" s="3" t="str">
        <f ca="1">IFERROR(__xludf.DUMMYFUNCTION("""COMPUTED_VALUE"""),"ITA")</f>
        <v>ITA</v>
      </c>
      <c r="C374" s="32" t="str">
        <f ca="1">IFERROR(__xludf.DUMMYFUNCTION("""COMPUTED_VALUE"""),"23291371077")</f>
        <v>23291371077</v>
      </c>
      <c r="D374" s="4" t="str">
        <f ca="1">IFERROR(__xludf.DUMMYFUNCTION("""COMPUTED_VALUE"""),"PATEL HEMIL DIPAKKUMAR")</f>
        <v>PATEL HEMIL DIPAKKUMAR</v>
      </c>
      <c r="E374" s="3" t="str">
        <f ca="1">IFERROR(__xludf.DUMMYFUNCTION("""COMPUTED_VALUE"""),"Sweety - Mor")</f>
        <v>Sweety - Mor</v>
      </c>
      <c r="F374" s="3">
        <f ca="1">IFERROR(__xludf.DUMMYFUNCTION("""COMPUTED_VALUE"""),9429018339)</f>
        <v>9429018339</v>
      </c>
      <c r="G374" s="3">
        <f ca="1">IFERROR(__xludf.DUMMYFUNCTION("""COMPUTED_VALUE"""),9978753777)</f>
        <v>9978753777</v>
      </c>
      <c r="H374" s="33">
        <f ca="1">IFERROR(__xludf.DUMMYFUNCTION("""COMPUTED_VALUE"""),0.642276422764227)</f>
        <v>0.64227642276422703</v>
      </c>
      <c r="I374" s="25">
        <f ca="1">IFERROR(__xludf.DUMMYFUNCTION("""COMPUTED_VALUE"""),0.514285714285714)</f>
        <v>0.51428571428571401</v>
      </c>
      <c r="J374" s="25">
        <f ca="1">IFERROR(__xludf.DUMMYFUNCTION("""COMPUTED_VALUE"""),0.833333333333333)</f>
        <v>0.83333333333333304</v>
      </c>
      <c r="K374" s="25">
        <f ca="1">IFERROR(__xludf.DUMMYFUNCTION("""COMPUTED_VALUE"""),0.472222222222222)</f>
        <v>0.47222222222222199</v>
      </c>
      <c r="L374" s="25">
        <f ca="1">IFERROR(__xludf.DUMMYFUNCTION("""COMPUTED_VALUE"""),0.583333333333333)</f>
        <v>0.58333333333333304</v>
      </c>
      <c r="M374" s="25">
        <f ca="1">IFERROR(__xludf.DUMMYFUNCTION("""COMPUTED_VALUE"""),0.736842105263157)</f>
        <v>0.73684210526315697</v>
      </c>
      <c r="N374" s="25">
        <f ca="1">IFERROR(__xludf.DUMMYFUNCTION("""COMPUTED_VALUE"""),0.625)</f>
        <v>0.625</v>
      </c>
      <c r="O374" s="25">
        <f ca="1">IFERROR(__xludf.DUMMYFUNCTION("""COMPUTED_VALUE"""),0.638888888888888)</f>
        <v>0.63888888888888795</v>
      </c>
      <c r="P374" s="25">
        <f ca="1">IFERROR(__xludf.DUMMYFUNCTION("""COMPUTED_VALUE"""),0.64)</f>
        <v>0.64</v>
      </c>
      <c r="Q374" s="25">
        <f ca="1">IFERROR(__xludf.DUMMYFUNCTION("""COMPUTED_VALUE"""),0)</f>
        <v>0</v>
      </c>
      <c r="R374" s="25">
        <f ca="1">IFERROR(__xludf.DUMMYFUNCTION("""COMPUTED_VALUE"""),0.791666666666666)</f>
        <v>0.79166666666666596</v>
      </c>
      <c r="S374" s="25">
        <f ca="1">IFERROR(__xludf.DUMMYFUNCTION("""COMPUTED_VALUE"""),1)</f>
        <v>1</v>
      </c>
      <c r="T374" s="25">
        <f ca="1">IFERROR(__xludf.DUMMYFUNCTION("""COMPUTED_VALUE"""),0.888888888888888)</f>
        <v>0.88888888888888795</v>
      </c>
      <c r="U374" s="25">
        <f ca="1">IFERROR(__xludf.DUMMYFUNCTION("""COMPUTED_VALUE"""),0.5)</f>
        <v>0.5</v>
      </c>
      <c r="V374" s="25">
        <f ca="1">IFERROR(__xludf.DUMMYFUNCTION("""COMPUTED_VALUE"""),0)</f>
        <v>0</v>
      </c>
      <c r="W374" s="4"/>
      <c r="X374" s="4" t="str">
        <f ca="1">IFERROR(__xludf.DUMMYFUNCTION("""COMPUTED_VALUE"""),"| 1 P Python % | 4 L JAVA % | 3 L PHP-CGM % | 1 L PRO % ")</f>
        <v xml:space="preserve">| 1 P Python % | 4 L JAVA % | 3 L PHP-CGM % | 1 L PRO % </v>
      </c>
      <c r="Y37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74" s="4" t="str">
        <f ca="1">IFERROR(__xludf.DUMMYFUNCTION("""COMPUTED_VALUE"""),"| 3 P CPT % | 5 L JAVA @ | 6 L NS @ ")</f>
        <v xml:space="preserve">| 3 P CPT % | 5 L JAVA @ | 6 L NS @ </v>
      </c>
      <c r="AA374" s="4" t="str">
        <f ca="1">IFERROR(__xludf.DUMMYFUNCTION("""COMPUTED_VALUE"""),"| 1 P Python % | 5 P JAVA % | 5 L NS % | 6 L CPT % ")</f>
        <v xml:space="preserve">| 1 P Python % | 5 P JAVA % | 5 L NS % | 6 L CPT % </v>
      </c>
      <c r="AB374" s="4" t="str">
        <f ca="1">IFERROR(__xludf.DUMMYFUNCTION("""COMPUTED_VALUE"""),"| 1 P NS % | 3 L CPT % | 5 P PHP-CGM % | 4 L PHP-CGM % ")</f>
        <v xml:space="preserve">| 1 P NS % | 3 L CPT % | 5 P PHP-CGM % | 4 L PHP-CGM % </v>
      </c>
      <c r="AC374" s="4" t="str">
        <f ca="1">IFERROR(__xludf.DUMMYFUNCTION("""COMPUTED_VALUE"""),"| 1 P Python % | 3 L PHP-CGM % | 5 P PRO % ")</f>
        <v xml:space="preserve">| 1 P Python % | 3 L PHP-CGM % | 5 P PRO % </v>
      </c>
      <c r="AD374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AE374" s="4" t="str">
        <f ca="1">IFERROR(__xludf.DUMMYFUNCTION("""COMPUTED_VALUE"""),"| 3 P CPT % | 5 L JAVA % | 6 L NS % ")</f>
        <v xml:space="preserve">| 3 P CPT % | 5 L JAVA % | 6 L NS % </v>
      </c>
      <c r="AF374" s="4" t="str">
        <f ca="1">IFERROR(__xludf.DUMMYFUNCTION("""COMPUTED_VALUE"""),"| 1 P Python % | 3 P JAVA % | 5 L NS % | 6 L CPT % ")</f>
        <v xml:space="preserve">| 1 P Python % | 3 P JAVA % | 5 L NS % | 6 L CPT % </v>
      </c>
      <c r="AG374" s="4" t="str">
        <f ca="1">IFERROR(__xludf.DUMMYFUNCTION("""COMPUTED_VALUE"""),"| 1 P NS % | 3 L CPT % | 4 L PHP-CGM % | 5 P PHP-CGM % ")</f>
        <v xml:space="preserve">| 1 P NS % | 3 L CPT % | 4 L PHP-CGM % | 5 P PHP-CGM % </v>
      </c>
      <c r="AH374" s="4" t="str">
        <f ca="1">IFERROR(__xludf.DUMMYFUNCTION("""COMPUTED_VALUE"""),"| 1 P Python @ | 3 P JAVA @ | 5 L NS @ | 6 L CPT @ ")</f>
        <v xml:space="preserve">| 1 P Python @ | 3 P JAVA @ | 5 L NS @ | 6 L CPT @ </v>
      </c>
      <c r="AI374" s="4" t="str">
        <f ca="1">IFERROR(__xludf.DUMMYFUNCTION("""COMPUTED_VALUE"""),"| 1 P NS @ | 3 L CPT @ | 4 L PHP-CGM @ | 5 P PHP-CGM @ ")</f>
        <v xml:space="preserve">| 1 P NS @ | 3 L CPT @ | 4 L PHP-CGM @ | 5 P PHP-CGM @ </v>
      </c>
      <c r="AJ374" s="4" t="str">
        <f ca="1">IFERROR(__xludf.DUMMYFUNCTION("""COMPUTED_VALUE"""),"| 1 P Python % | 3 L PHP-CGM % | 4 L JAVA % | 5 P PRO % ")</f>
        <v xml:space="preserve">| 1 P Python % | 3 L PHP-CGM % | 4 L JAVA % | 5 P PRO % </v>
      </c>
      <c r="AK37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4" s="4" t="str">
        <f ca="1">IFERROR(__xludf.DUMMYFUNCTION("""COMPUTED_VALUE"""),"| 3 P CPT % | 5 L JAVA % | 6 L NS % ")</f>
        <v xml:space="preserve">| 3 P CPT % | 5 L JAVA % | 6 L NS % </v>
      </c>
      <c r="AM374" s="4" t="str">
        <f ca="1">IFERROR(__xludf.DUMMYFUNCTION("""COMPUTED_VALUE"""),"| 1 P Python % | 3 P JAVA @ | 5 L NS @ | 6 L CPT @ ")</f>
        <v xml:space="preserve">| 1 P Python % | 3 P JAVA @ | 5 L NS @ | 6 L CPT @ </v>
      </c>
      <c r="AN374" s="4" t="str">
        <f ca="1">IFERROR(__xludf.DUMMYFUNCTION("""COMPUTED_VALUE"""),"| 1 P NS % | 4 L PHP-CGM % | 5 P PHP-CGM @ ")</f>
        <v xml:space="preserve">| 1 P NS % | 4 L PHP-CGM % | 5 P PHP-CGM @ </v>
      </c>
      <c r="AO374" s="4" t="str">
        <f ca="1">IFERROR(__xludf.DUMMYFUNCTION("""COMPUTED_VALUE"""),"| 1 P Python % | 3 L PHP-CGM % | 4 L JAVA % | 5 P PRO % ")</f>
        <v xml:space="preserve">| 1 P Python % | 3 L PHP-CGM % | 4 L JAVA % | 5 P PRO % </v>
      </c>
      <c r="AP37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4" s="4" t="str">
        <f ca="1">IFERROR(__xludf.DUMMYFUNCTION("""COMPUTED_VALUE"""),"| 1 L INE @ | 3 P CPT @ | 5 L JAVA @ | 6 L NS @ ")</f>
        <v xml:space="preserve">| 1 L INE @ | 3 P CPT @ | 5 L JAVA @ | 6 L NS @ </v>
      </c>
      <c r="AR374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74" s="4" t="str">
        <f ca="1">IFERROR(__xludf.DUMMYFUNCTION("""COMPUTED_VALUE"""),"| 1 P Python % | 3 L PHP-CGM % | 4 L JAVA % | 5 P PRO % ")</f>
        <v xml:space="preserve">| 1 P Python % | 3 L PHP-CGM % | 4 L JAVA % | 5 P PRO % </v>
      </c>
      <c r="AT374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AU374" s="4" t="str">
        <f ca="1">IFERROR(__xludf.DUMMYFUNCTION("""COMPUTED_VALUE"""),"| 1 L INE % | 3 P CPT % | 5 L JAVA % | 6 L NS % ")</f>
        <v xml:space="preserve">| 1 L INE % | 3 P CPT % | 5 L JAVA % | 6 L NS % </v>
      </c>
      <c r="AV374" s="4" t="str">
        <f ca="1">IFERROR(__xludf.DUMMYFUNCTION("""COMPUTED_VALUE"""),"| 1 P Python % | 3 P JAVA % | 5 L NS @ | 6 L CPT % ")</f>
        <v xml:space="preserve">| 1 P Python % | 3 P JAVA % | 5 L NS @ | 6 L CPT % </v>
      </c>
      <c r="AW374" s="4" t="str">
        <f ca="1">IFERROR(__xludf.DUMMYFUNCTION("""COMPUTED_VALUE"""),"| 1 P NS % | 3 L CPT % | 4 L PHP-CGM % | 5 P PHP-CGM % ")</f>
        <v xml:space="preserve">| 1 P NS % | 3 L CPT % | 4 L PHP-CGM % | 5 P PHP-CGM % </v>
      </c>
      <c r="AX374" s="4" t="str">
        <f ca="1">IFERROR(__xludf.DUMMYFUNCTION("""COMPUTED_VALUE"""),"| 1 P Python % | 3 L JAVA % | 4 L PHP-CGM % | 5 P PRO % ")</f>
        <v xml:space="preserve">| 1 P Python % | 3 L JAVA % | 4 L PHP-CGM % | 5 P PRO % </v>
      </c>
      <c r="AY374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74" s="4" t="str">
        <f ca="1">IFERROR(__xludf.DUMMYFUNCTION("""COMPUTED_VALUE"""),"| 1 P Python % | 3 P JAVA % | 5 L NS % | 6 L CPT % ")</f>
        <v xml:space="preserve">| 1 P Python % | 3 P JAVA % | 5 L NS % | 6 L CPT % </v>
      </c>
      <c r="BA374" s="4" t="str">
        <f ca="1">IFERROR(__xludf.DUMMYFUNCTION("""COMPUTED_VALUE"""),"| 1 P NS @ | 3 L CPT @ | 4 L PHP-CGM @ | 5 P PHP-CGM @ ")</f>
        <v xml:space="preserve">| 1 P NS @ | 3 L CPT @ | 4 L PHP-CGM @ | 5 P PHP-CGM @ </v>
      </c>
      <c r="BB374" s="4" t="str">
        <f ca="1">IFERROR(__xludf.DUMMYFUNCTION("""COMPUTED_VALUE"""),"| 1 P Python % | 3 L PHP-CGM % | 4 L JAVA % | 5 L PRO % ")</f>
        <v xml:space="preserve">| 1 P Python % | 3 L PHP-CGM % | 4 L JAVA % | 5 L PRO % </v>
      </c>
      <c r="BC37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4" s="4" t="str">
        <f ca="1">IFERROR(__xludf.DUMMYFUNCTION("""COMPUTED_VALUE"""),"| 1 L INE % | 3 P CPT % | 5 L JAVA % | 6 L NS % ")</f>
        <v xml:space="preserve">| 1 L INE % | 3 P CPT % | 5 L JAVA % | 6 L NS % </v>
      </c>
      <c r="BE374" s="4" t="str">
        <f ca="1">IFERROR(__xludf.DUMMYFUNCTION("""COMPUTED_VALUE"""),"| 1 P Python % | 3 P JAVA % | 5 L NS @ | 6 L CPT @ ")</f>
        <v xml:space="preserve">| 1 P Python % | 3 P JAVA % | 5 L NS @ | 6 L CPT @ </v>
      </c>
      <c r="BF374" s="4" t="str">
        <f ca="1">IFERROR(__xludf.DUMMYFUNCTION("""COMPUTED_VALUE"""),"| 1 P NS % | 3 L CPT % | 4 L PHP-CGM % ")</f>
        <v xml:space="preserve">| 1 P NS % | 3 L CPT % | 4 L PHP-CGM % </v>
      </c>
      <c r="BG37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74" s="4" t="str">
        <f ca="1">IFERROR(__xludf.DUMMYFUNCTION("""COMPUTED_VALUE"""),"| 1 L INE @ | 3 P CPT % | 5 L JAVA @ | 6 L NS @ ")</f>
        <v xml:space="preserve">| 1 L INE @ | 3 P CPT % | 5 L JAVA @ | 6 L NS @ </v>
      </c>
      <c r="BI374" s="4" t="str">
        <f ca="1">IFERROR(__xludf.DUMMYFUNCTION("""COMPUTED_VALUE"""),"| 1 P Python @ | 3 P JAVA @ | 5 L NS @ | 6 L CPT @ ")</f>
        <v xml:space="preserve">| 1 P Python @ | 3 P JAVA @ | 5 L NS @ | 6 L CPT @ </v>
      </c>
      <c r="BJ374" s="4" t="str">
        <f ca="1">IFERROR(__xludf.DUMMYFUNCTION("""COMPUTED_VALUE"""),"| 1 P NS % | 3 L CPT % | 4 L PHP-CGM % | 5 P PHP-CGM % ")</f>
        <v xml:space="preserve">| 1 P NS % | 3 L CPT % | 4 L PHP-CGM % | 5 P PHP-CGM % </v>
      </c>
      <c r="BK374" s="4" t="str">
        <f ca="1">IFERROR(__xludf.DUMMYFUNCTION("""COMPUTED_VALUE"""),"| 1 P Python @ | 3 L PHP-CGM @ | 4 L JAVA @ | 5 P PRO @ ")</f>
        <v xml:space="preserve">| 1 P Python @ | 3 L PHP-CGM @ | 4 L JAVA @ | 5 P PRO @ </v>
      </c>
      <c r="BL374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74" s="4" t="str">
        <f ca="1">IFERROR(__xludf.DUMMYFUNCTION("""COMPUTED_VALUE"""),"| 1 L INE % | 3 P CPT % | 5 L JAVA % | 6 L NS % ")</f>
        <v xml:space="preserve">| 1 L INE % | 3 P CPT % | 5 L JAVA % | 6 L NS % </v>
      </c>
      <c r="BN374" s="4" t="str">
        <f ca="1">IFERROR(__xludf.DUMMYFUNCTION("""COMPUTED_VALUE"""),"| 1 P Python @ | 3 P JAVA @ | 5 L NS @ | 6 L CPT @ ")</f>
        <v xml:space="preserve">| 1 P Python @ | 3 P JAVA @ | 5 L NS @ | 6 L CPT @ </v>
      </c>
      <c r="BO374" s="4" t="str">
        <f ca="1">IFERROR(__xludf.DUMMYFUNCTION("""COMPUTED_VALUE"""),"| 1 P NS @ | 4 L PHP-CGM @ | 3 L CPT @ ")</f>
        <v xml:space="preserve">| 1 P NS @ | 4 L PHP-CGM @ | 3 L CPT @ </v>
      </c>
      <c r="BP374" s="4" t="str">
        <f ca="1">IFERROR(__xludf.DUMMYFUNCTION("""COMPUTED_VALUE"""),"| 3 L PHP-CGM % | 4 L JAVA % | 5 P PRO % ")</f>
        <v xml:space="preserve">| 3 L PHP-CGM % | 4 L JAVA % | 5 P PRO % </v>
      </c>
      <c r="BQ374" s="4" t="str">
        <f ca="1">IFERROR(__xludf.DUMMYFUNCTION("""COMPUTED_VALUE"""),"| 6 L NS % | 5 L JAVA % | 3 P CPT % ")</f>
        <v xml:space="preserve">| 6 L NS % | 5 L JAVA % | 3 P CPT % </v>
      </c>
      <c r="BR374" s="4"/>
      <c r="BS374" s="4" t="str">
        <f ca="1">IFERROR(__xludf.DUMMYFUNCTION("""COMPUTED_VALUE"""),"| 4 L PHP-CGM % ")</f>
        <v xml:space="preserve">| 4 L PHP-CGM % </v>
      </c>
      <c r="BT374" s="4" t="str">
        <f ca="1">IFERROR(__xludf.DUMMYFUNCTION("""COMPUTED_VALUE"""),"| 1 P Python % | 3 L PHP-CGM % ")</f>
        <v xml:space="preserve">| 1 P Python % | 3 L PHP-CGM % </v>
      </c>
      <c r="BU374" s="4" t="str">
        <f ca="1">IFERROR(__xludf.DUMMYFUNCTION("""COMPUTED_VALUE"""),"| 1 L JAVA @ | 2 L PHP-CGM @ | 3 P JAVA @ ")</f>
        <v xml:space="preserve">| 1 L JAVA @ | 2 L PHP-CGM @ | 3 P JAVA @ </v>
      </c>
      <c r="BV374" s="4" t="str">
        <f ca="1">IFERROR(__xludf.DUMMYFUNCTION("""COMPUTED_VALUE"""),"| 1 P Python % | 3 L PHP-CGM % | 4 L JAVA % | 5 P PRO % ")</f>
        <v xml:space="preserve">| 1 P Python % | 3 L PHP-CGM % | 4 L JAVA % | 5 P PRO % </v>
      </c>
      <c r="BW374" s="4" t="str">
        <f ca="1">IFERROR(__xludf.DUMMYFUNCTION("""COMPUTED_VALUE"""),"| 1 L JAVA % | 2 L PHP-CGM % | 3 P JAVA % ")</f>
        <v xml:space="preserve">| 1 L JAVA % | 2 L PHP-CGM % | 3 P JAVA % </v>
      </c>
      <c r="BX374" s="4" t="str">
        <f ca="1">IFERROR(__xludf.DUMMYFUNCTION("""COMPUTED_VALUE"""),"| 1 L INE @ | 3 P CPT @ | 5 L JAVA @ | 6 L NS @ ")</f>
        <v xml:space="preserve">| 1 L INE @ | 3 P CPT @ | 5 L JAVA @ | 6 L NS @ </v>
      </c>
      <c r="BY374" s="4" t="str">
        <f ca="1">IFERROR(__xludf.DUMMYFUNCTION("""COMPUTED_VALUE"""),"| 1 P Python % | 3 P JAVA % | 5 L NS % | 6 L CPT % ")</f>
        <v xml:space="preserve">| 1 P Python % | 3 P JAVA % | 5 L NS % | 6 L CPT % </v>
      </c>
      <c r="BZ374" s="4" t="str">
        <f ca="1">IFERROR(__xludf.DUMMYFUNCTION("""COMPUTED_VALUE"""),"| 1 P NS % | 3 L CPT @ | 4 L PHP-CGM % | 5 P PHP-CGM % ")</f>
        <v xml:space="preserve">| 1 P NS % | 3 L CPT @ | 4 L PHP-CGM % | 5 P PHP-CGM % </v>
      </c>
      <c r="CA374" s="4" t="str">
        <f ca="1">IFERROR(__xludf.DUMMYFUNCTION("""COMPUTED_VALUE"""),"| 1 P Python @ | 3 L PHP-CGM % | 3 L JAVA % | 5 P PRO % ")</f>
        <v xml:space="preserve">| 1 P Python @ | 3 L PHP-CGM % | 3 L JAVA % | 5 P PRO % </v>
      </c>
      <c r="CB374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CC374" s="4" t="str">
        <f ca="1">IFERROR(__xludf.DUMMYFUNCTION("""COMPUTED_VALUE"""),"| 1 L INE % | 3 P CPT % | 5 L JAVA @ | 6 L NS @ ")</f>
        <v xml:space="preserve">| 1 L INE % | 3 P CPT % | 5 L JAVA @ | 6 L NS @ </v>
      </c>
      <c r="CD374" s="4" t="str">
        <f ca="1">IFERROR(__xludf.DUMMYFUNCTION("""COMPUTED_VALUE"""),"| 1 P Python % | 3 P JAVA @ | 5 L NS @ | 6 L CPT @ ")</f>
        <v xml:space="preserve">| 1 P Python % | 3 P JAVA @ | 5 L NS @ | 6 L CPT @ </v>
      </c>
      <c r="CE374" s="4" t="str">
        <f ca="1">IFERROR(__xludf.DUMMYFUNCTION("""COMPUTED_VALUE"""),"| 1 P NS @ | 3 L CPT @ | 4 L PHP-CGM @ ")</f>
        <v xml:space="preserve">| 1 P NS @ | 3 L CPT @ | 4 L PHP-CGM @ </v>
      </c>
      <c r="CF374" s="4" t="str">
        <f ca="1">IFERROR(__xludf.DUMMYFUNCTION("""COMPUTED_VALUE"""),"| 1 P Python % | 4 L JAVA @ | 3 L PHP-CGM @ | 5 L PRO % ")</f>
        <v xml:space="preserve">| 1 P Python % | 4 L JAVA @ | 3 L PHP-CGM @ | 5 L PRO % </v>
      </c>
      <c r="CG374" s="4" t="str">
        <f ca="1">IFERROR(__xludf.DUMMYFUNCTION("""COMPUTED_VALUE"""),"| 1 L JAVA @ | 2 L PHP-CGM % | 6 L NS @ | 3 P JAVA % ")</f>
        <v xml:space="preserve">| 1 L JAVA @ | 2 L PHP-CGM % | 6 L NS @ | 3 P JAVA % </v>
      </c>
      <c r="CH374" s="4" t="str">
        <f ca="1">IFERROR(__xludf.DUMMYFUNCTION("""COMPUTED_VALUE"""),"| 1 L INE @ | 3 P CPT % | 5 L JAVA @ | 6 L NS @ ")</f>
        <v xml:space="preserve">| 1 L INE @ | 3 P CPT % | 5 L JAVA @ | 6 L NS @ </v>
      </c>
      <c r="CI374" s="4" t="str">
        <f ca="1">IFERROR(__xludf.DUMMYFUNCTION("""COMPUTED_VALUE"""),"| 5 L NS @ | 6 L CPT @ ")</f>
        <v xml:space="preserve">| 5 L NS @ | 6 L CPT @ </v>
      </c>
      <c r="CJ374" s="4" t="str">
        <f ca="1">IFERROR(__xludf.DUMMYFUNCTION("""COMPUTED_VALUE"""),"| 1 P NS @ | 3 L CPT @ ")</f>
        <v xml:space="preserve">| 1 P NS @ | 3 L CPT @ </v>
      </c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</row>
    <row r="375" spans="1:102" ht="12.5" x14ac:dyDescent="0.25">
      <c r="A375" s="3">
        <f ca="1">IFERROR(__xludf.DUMMYFUNCTION("""COMPUTED_VALUE"""),2)</f>
        <v>2</v>
      </c>
      <c r="B375" s="3" t="str">
        <f ca="1">IFERROR(__xludf.DUMMYFUNCTION("""COMPUTED_VALUE"""),"ITA")</f>
        <v>ITA</v>
      </c>
      <c r="C375" s="32" t="str">
        <f ca="1">IFERROR(__xludf.DUMMYFUNCTION("""COMPUTED_VALUE"""),"23291371078")</f>
        <v>23291371078</v>
      </c>
      <c r="D375" s="4" t="str">
        <f ca="1">IFERROR(__xludf.DUMMYFUNCTION("""COMPUTED_VALUE"""),"PATEL HETKUMAR VIPULBHAI")</f>
        <v>PATEL HETKUMAR VIPULBHAI</v>
      </c>
      <c r="E375" s="3" t="str">
        <f ca="1">IFERROR(__xludf.DUMMYFUNCTION("""COMPUTED_VALUE"""),"Sweety - Mor")</f>
        <v>Sweety - Mor</v>
      </c>
      <c r="F375" s="3">
        <f ca="1">IFERROR(__xludf.DUMMYFUNCTION("""COMPUTED_VALUE"""),8780100761)</f>
        <v>8780100761</v>
      </c>
      <c r="G375" s="3">
        <f ca="1">IFERROR(__xludf.DUMMYFUNCTION("""COMPUTED_VALUE"""),9537949694)</f>
        <v>9537949694</v>
      </c>
      <c r="H375" s="33">
        <f ca="1">IFERROR(__xludf.DUMMYFUNCTION("""COMPUTED_VALUE"""),0.577235772357723)</f>
        <v>0.57723577235772305</v>
      </c>
      <c r="I375" s="25">
        <f ca="1">IFERROR(__xludf.DUMMYFUNCTION("""COMPUTED_VALUE"""),0.457142857142857)</f>
        <v>0.45714285714285702</v>
      </c>
      <c r="J375" s="25">
        <f ca="1">IFERROR(__xludf.DUMMYFUNCTION("""COMPUTED_VALUE"""),0.833333333333333)</f>
        <v>0.83333333333333304</v>
      </c>
      <c r="K375" s="25">
        <f ca="1">IFERROR(__xludf.DUMMYFUNCTION("""COMPUTED_VALUE"""),0.472222222222222)</f>
        <v>0.47222222222222199</v>
      </c>
      <c r="L375" s="25">
        <f ca="1">IFERROR(__xludf.DUMMYFUNCTION("""COMPUTED_VALUE"""),0.583333333333333)</f>
        <v>0.58333333333333304</v>
      </c>
      <c r="M375" s="25">
        <f ca="1">IFERROR(__xludf.DUMMYFUNCTION("""COMPUTED_VALUE"""),0.684210526315789)</f>
        <v>0.68421052631578905</v>
      </c>
      <c r="N375" s="25">
        <f ca="1">IFERROR(__xludf.DUMMYFUNCTION("""COMPUTED_VALUE"""),0.625)</f>
        <v>0.625</v>
      </c>
      <c r="O375" s="25">
        <f ca="1">IFERROR(__xludf.DUMMYFUNCTION("""COMPUTED_VALUE"""),0.638888888888888)</f>
        <v>0.63888888888888795</v>
      </c>
      <c r="P375" s="25">
        <f ca="1">IFERROR(__xludf.DUMMYFUNCTION("""COMPUTED_VALUE"""),0.56)</f>
        <v>0.56000000000000005</v>
      </c>
      <c r="Q375" s="25">
        <f ca="1">IFERROR(__xludf.DUMMYFUNCTION("""COMPUTED_VALUE"""),0)</f>
        <v>0</v>
      </c>
      <c r="R375" s="25">
        <f ca="1">IFERROR(__xludf.DUMMYFUNCTION("""COMPUTED_VALUE"""),0.5)</f>
        <v>0.5</v>
      </c>
      <c r="S375" s="25">
        <f ca="1">IFERROR(__xludf.DUMMYFUNCTION("""COMPUTED_VALUE"""),0.333333333333333)</f>
        <v>0.33333333333333298</v>
      </c>
      <c r="T375" s="25">
        <f ca="1">IFERROR(__xludf.DUMMYFUNCTION("""COMPUTED_VALUE"""),0.666666666666666)</f>
        <v>0.66666666666666596</v>
      </c>
      <c r="U375" s="25">
        <f ca="1">IFERROR(__xludf.DUMMYFUNCTION("""COMPUTED_VALUE"""),0.625)</f>
        <v>0.625</v>
      </c>
      <c r="V375" s="25">
        <f ca="1">IFERROR(__xludf.DUMMYFUNCTION("""COMPUTED_VALUE"""),0)</f>
        <v>0</v>
      </c>
      <c r="W375" s="4"/>
      <c r="X375" s="4" t="str">
        <f ca="1">IFERROR(__xludf.DUMMYFUNCTION("""COMPUTED_VALUE"""),"| 1 P Python % | 4 L JAVA % | 3 L PHP-CGM % | 1 L PRO @ ")</f>
        <v xml:space="preserve">| 1 P Python % | 4 L JAVA % | 3 L PHP-CGM % | 1 L PRO @ </v>
      </c>
      <c r="Y37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75" s="4" t="str">
        <f ca="1">IFERROR(__xludf.DUMMYFUNCTION("""COMPUTED_VALUE"""),"| 3 P CPT @ | 5 L JAVA @ | 6 L NS @ ")</f>
        <v xml:space="preserve">| 3 P CPT @ | 5 L JAVA @ | 6 L NS @ </v>
      </c>
      <c r="AA375" s="4" t="str">
        <f ca="1">IFERROR(__xludf.DUMMYFUNCTION("""COMPUTED_VALUE"""),"| 1 P Python % | 5 P JAVA % | 5 L NS % | 6 L CPT % ")</f>
        <v xml:space="preserve">| 1 P Python % | 5 P JAVA % | 5 L NS % | 6 L CPT % </v>
      </c>
      <c r="AB375" s="4" t="str">
        <f ca="1">IFERROR(__xludf.DUMMYFUNCTION("""COMPUTED_VALUE"""),"| 1 P NS % | 3 L CPT @ | 5 P PHP-CGM @ | 4 L PHP-CGM @ ")</f>
        <v xml:space="preserve">| 1 P NS % | 3 L CPT @ | 5 P PHP-CGM @ | 4 L PHP-CGM @ </v>
      </c>
      <c r="AC375" s="4" t="str">
        <f ca="1">IFERROR(__xludf.DUMMYFUNCTION("""COMPUTED_VALUE"""),"| 1 P Python % | 3 L PHP-CGM % | 5 P PRO % ")</f>
        <v xml:space="preserve">| 1 P Python % | 3 L PHP-CGM % | 5 P PRO % </v>
      </c>
      <c r="AD375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5" s="4" t="str">
        <f ca="1">IFERROR(__xludf.DUMMYFUNCTION("""COMPUTED_VALUE"""),"| 3 P CPT % | 5 L JAVA @ | 6 L NS @ ")</f>
        <v xml:space="preserve">| 3 P CPT % | 5 L JAVA @ | 6 L NS @ </v>
      </c>
      <c r="AF375" s="4" t="str">
        <f ca="1">IFERROR(__xludf.DUMMYFUNCTION("""COMPUTED_VALUE"""),"| 1 P Python % | 3 P JAVA % | 5 L NS % | 6 L CPT % ")</f>
        <v xml:space="preserve">| 1 P Python % | 3 P JAVA % | 5 L NS % | 6 L CPT % </v>
      </c>
      <c r="AG375" s="4" t="str">
        <f ca="1">IFERROR(__xludf.DUMMYFUNCTION("""COMPUTED_VALUE"""),"| 1 P NS % | 3 L CPT % | 4 L PHP-CGM % | 5 P PHP-CGM % ")</f>
        <v xml:space="preserve">| 1 P NS % | 3 L CPT % | 4 L PHP-CGM % | 5 P PHP-CGM % </v>
      </c>
      <c r="AH375" s="4" t="str">
        <f ca="1">IFERROR(__xludf.DUMMYFUNCTION("""COMPUTED_VALUE"""),"| 1 P Python % | 3 P JAVA % | 5 L NS % | 6 L CPT % ")</f>
        <v xml:space="preserve">| 1 P Python % | 3 P JAVA % | 5 L NS % | 6 L CPT % </v>
      </c>
      <c r="AI375" s="4" t="str">
        <f ca="1">IFERROR(__xludf.DUMMYFUNCTION("""COMPUTED_VALUE"""),"| 1 P NS % | 3 L CPT @ | 4 L PHP-CGM % | 5 P PHP-CGM % ")</f>
        <v xml:space="preserve">| 1 P NS % | 3 L CPT @ | 4 L PHP-CGM % | 5 P PHP-CGM % </v>
      </c>
      <c r="AJ375" s="4" t="str">
        <f ca="1">IFERROR(__xludf.DUMMYFUNCTION("""COMPUTED_VALUE"""),"| 1 P Python @ | 3 L PHP-CGM @ | 4 L JAVA @ | 5 P PRO @ ")</f>
        <v xml:space="preserve">| 1 P Python @ | 3 L PHP-CGM @ | 4 L JAVA @ | 5 P PRO @ </v>
      </c>
      <c r="AK37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5" s="4" t="str">
        <f ca="1">IFERROR(__xludf.DUMMYFUNCTION("""COMPUTED_VALUE"""),"| 3 P CPT % | 5 L JAVA % | 6 L NS % ")</f>
        <v xml:space="preserve">| 3 P CPT % | 5 L JAVA % | 6 L NS % </v>
      </c>
      <c r="AM375" s="4" t="str">
        <f ca="1">IFERROR(__xludf.DUMMYFUNCTION("""COMPUTED_VALUE"""),"| 1 P Python @ | 3 P JAVA @ | 5 L NS @ | 6 L CPT @ ")</f>
        <v xml:space="preserve">| 1 P Python @ | 3 P JAVA @ | 5 L NS @ | 6 L CPT @ </v>
      </c>
      <c r="AN375" s="4" t="str">
        <f ca="1">IFERROR(__xludf.DUMMYFUNCTION("""COMPUTED_VALUE"""),"| 1 P NS % | 4 L PHP-CGM % | 5 P PHP-CGM % ")</f>
        <v xml:space="preserve">| 1 P NS % | 4 L PHP-CGM % | 5 P PHP-CGM % </v>
      </c>
      <c r="AO375" s="4" t="str">
        <f ca="1">IFERROR(__xludf.DUMMYFUNCTION("""COMPUTED_VALUE"""),"| 1 P Python @ | 3 L PHP-CGM % | 4 L JAVA % | 5 P PRO % ")</f>
        <v xml:space="preserve">| 1 P Python @ | 3 L PHP-CGM % | 4 L JAVA % | 5 P PRO % </v>
      </c>
      <c r="AP37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5" s="4" t="str">
        <f ca="1">IFERROR(__xludf.DUMMYFUNCTION("""COMPUTED_VALUE"""),"| 1 L INE % | 3 P CPT % | 5 L JAVA % | 6 L NS % ")</f>
        <v xml:space="preserve">| 1 L INE % | 3 P CPT % | 5 L JAVA % | 6 L NS % </v>
      </c>
      <c r="AR375" s="4" t="str">
        <f ca="1">IFERROR(__xludf.DUMMYFUNCTION("""COMPUTED_VALUE"""),"| 1 P Python @ | 3 L CPT % | 3 P JAVA @ | 5 L NS @ | 6 L CPT @ ")</f>
        <v xml:space="preserve">| 1 P Python @ | 3 L CPT % | 3 P JAVA @ | 5 L NS @ | 6 L CPT @ </v>
      </c>
      <c r="AS375" s="4" t="str">
        <f ca="1">IFERROR(__xludf.DUMMYFUNCTION("""COMPUTED_VALUE"""),"| 1 P Python @ | 3 L PHP-CGM % | 4 L JAVA % | 5 P PRO % ")</f>
        <v xml:space="preserve">| 1 P Python @ | 3 L PHP-CGM % | 4 L JAVA % | 5 P PRO % </v>
      </c>
      <c r="AT37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75" s="4" t="str">
        <f ca="1">IFERROR(__xludf.DUMMYFUNCTION("""COMPUTED_VALUE"""),"| 1 L INE @ | 3 P CPT % | 5 L JAVA % | 6 L NS % ")</f>
        <v xml:space="preserve">| 1 L INE @ | 3 P CPT % | 5 L JAVA % | 6 L NS % </v>
      </c>
      <c r="AV375" s="4" t="str">
        <f ca="1">IFERROR(__xludf.DUMMYFUNCTION("""COMPUTED_VALUE"""),"| 1 P Python % | 3 P JAVA % | 5 L NS % | 6 L CPT % ")</f>
        <v xml:space="preserve">| 1 P Python % | 3 P JAVA % | 5 L NS % | 6 L CPT % </v>
      </c>
      <c r="AW375" s="4" t="str">
        <f ca="1">IFERROR(__xludf.DUMMYFUNCTION("""COMPUTED_VALUE"""),"| 1 P NS % | 3 L CPT % | 4 L PHP-CGM % | 5 P PHP-CGM % ")</f>
        <v xml:space="preserve">| 1 P NS % | 3 L CPT % | 4 L PHP-CGM % | 5 P PHP-CGM % </v>
      </c>
      <c r="AX375" s="4" t="str">
        <f ca="1">IFERROR(__xludf.DUMMYFUNCTION("""COMPUTED_VALUE"""),"| 1 P Python @ | 3 L JAVA @ | 4 L PHP-CGM @ | 5 P PRO % ")</f>
        <v xml:space="preserve">| 1 P Python @ | 3 L JAVA @ | 4 L PHP-CGM @ | 5 P PRO % </v>
      </c>
      <c r="AY375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75" s="4" t="str">
        <f ca="1">IFERROR(__xludf.DUMMYFUNCTION("""COMPUTED_VALUE"""),"| 1 P Python % | 3 P JAVA % | 5 L NS % | 6 L CPT % ")</f>
        <v xml:space="preserve">| 1 P Python % | 3 P JAVA % | 5 L NS % | 6 L CPT % </v>
      </c>
      <c r="BA375" s="4" t="str">
        <f ca="1">IFERROR(__xludf.DUMMYFUNCTION("""COMPUTED_VALUE"""),"| 1 P NS @ | 3 L CPT @ | 4 L PHP-CGM @ | 5 P PHP-CGM @ ")</f>
        <v xml:space="preserve">| 1 P NS @ | 3 L CPT @ | 4 L PHP-CGM @ | 5 P PHP-CGM @ </v>
      </c>
      <c r="BB375" s="4" t="str">
        <f ca="1">IFERROR(__xludf.DUMMYFUNCTION("""COMPUTED_VALUE"""),"| 1 P Python @ | 3 L PHP-CGM % | 4 L JAVA % | 5 L PRO @ ")</f>
        <v xml:space="preserve">| 1 P Python @ | 3 L PHP-CGM % | 4 L JAVA % | 5 L PRO @ </v>
      </c>
      <c r="BC375" s="4" t="str">
        <f ca="1">IFERROR(__xludf.DUMMYFUNCTION("""COMPUTED_VALUE"""),"| 1 L JAVA % | 2 L PHP-CGM % | 3 P JAVA @ | 5 L CPT @ | 6 L NS @ ")</f>
        <v xml:space="preserve">| 1 L JAVA % | 2 L PHP-CGM % | 3 P JAVA @ | 5 L CPT @ | 6 L NS @ </v>
      </c>
      <c r="BD375" s="4" t="str">
        <f ca="1">IFERROR(__xludf.DUMMYFUNCTION("""COMPUTED_VALUE"""),"| 1 L INE % | 3 P CPT % | 5 L JAVA % | 6 L NS % ")</f>
        <v xml:space="preserve">| 1 L INE % | 3 P CPT % | 5 L JAVA % | 6 L NS % </v>
      </c>
      <c r="BE375" s="4" t="str">
        <f ca="1">IFERROR(__xludf.DUMMYFUNCTION("""COMPUTED_VALUE"""),"| 1 P Python % | 3 P JAVA @ | 5 L NS @ | 6 L CPT @ ")</f>
        <v xml:space="preserve">| 1 P Python % | 3 P JAVA @ | 5 L NS @ | 6 L CPT @ </v>
      </c>
      <c r="BF375" s="4" t="str">
        <f ca="1">IFERROR(__xludf.DUMMYFUNCTION("""COMPUTED_VALUE"""),"| 1 P NS @ | 3 L CPT @ | 4 L PHP-CGM @ ")</f>
        <v xml:space="preserve">| 1 P NS @ | 3 L CPT @ | 4 L PHP-CGM @ </v>
      </c>
      <c r="BG375" s="4" t="str">
        <f ca="1">IFERROR(__xludf.DUMMYFUNCTION("""COMPUTED_VALUE"""),"| 1 L JAVA % | 2 L PHP-CGM % | 3 P JAVA @ | 5 L CPT @ | 6 L NS @ ")</f>
        <v xml:space="preserve">| 1 L JAVA % | 2 L PHP-CGM % | 3 P JAVA @ | 5 L CPT @ | 6 L NS @ </v>
      </c>
      <c r="BH375" s="4" t="str">
        <f ca="1">IFERROR(__xludf.DUMMYFUNCTION("""COMPUTED_VALUE"""),"| 1 L INE % | 3 P CPT % | 5 L JAVA % | 6 L NS % ")</f>
        <v xml:space="preserve">| 1 L INE % | 3 P CPT % | 5 L JAVA % | 6 L NS % </v>
      </c>
      <c r="BI375" s="4" t="str">
        <f ca="1">IFERROR(__xludf.DUMMYFUNCTION("""COMPUTED_VALUE"""),"| 1 P Python % | 3 P JAVA % | 5 L NS @ | 6 L CPT @ ")</f>
        <v xml:space="preserve">| 1 P Python % | 3 P JAVA % | 5 L NS @ | 6 L CPT @ </v>
      </c>
      <c r="BJ375" s="4" t="str">
        <f ca="1">IFERROR(__xludf.DUMMYFUNCTION("""COMPUTED_VALUE"""),"| 1 P NS @ | 3 L CPT @ | 4 L PHP-CGM @ | 5 P PHP-CGM @ ")</f>
        <v xml:space="preserve">| 1 P NS @ | 3 L CPT @ | 4 L PHP-CGM @ | 5 P PHP-CGM @ </v>
      </c>
      <c r="BK375" s="4" t="str">
        <f ca="1">IFERROR(__xludf.DUMMYFUNCTION("""COMPUTED_VALUE"""),"| 1 P Python % | 3 L PHP-CGM @ | 4 L JAVA @ | 5 P PRO @ ")</f>
        <v xml:space="preserve">| 1 P Python % | 3 L PHP-CGM @ | 4 L JAVA @ | 5 P PRO @ </v>
      </c>
      <c r="BL375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75" s="4" t="str">
        <f ca="1">IFERROR(__xludf.DUMMYFUNCTION("""COMPUTED_VALUE"""),"| 1 L INE % | 3 P CPT % | 5 L JAVA @ | 6 L NS @ ")</f>
        <v xml:space="preserve">| 1 L INE % | 3 P CPT % | 5 L JAVA @ | 6 L NS @ </v>
      </c>
      <c r="BN375" s="4" t="str">
        <f ca="1">IFERROR(__xludf.DUMMYFUNCTION("""COMPUTED_VALUE"""),"| 1 P Python @ | 3 P JAVA @ | 5 L NS @ | 6 L CPT @ ")</f>
        <v xml:space="preserve">| 1 P Python @ | 3 P JAVA @ | 5 L NS @ | 6 L CPT @ </v>
      </c>
      <c r="BO375" s="4" t="str">
        <f ca="1">IFERROR(__xludf.DUMMYFUNCTION("""COMPUTED_VALUE"""),"| 1 P NS % | 4 L PHP-CGM % | 3 L CPT % ")</f>
        <v xml:space="preserve">| 1 P NS % | 4 L PHP-CGM % | 3 L CPT % </v>
      </c>
      <c r="BP375" s="4" t="str">
        <f ca="1">IFERROR(__xludf.DUMMYFUNCTION("""COMPUTED_VALUE"""),"| 3 L PHP-CGM % | 4 L JAVA % | 5 P PRO % ")</f>
        <v xml:space="preserve">| 3 L PHP-CGM % | 4 L JAVA % | 5 P PRO % </v>
      </c>
      <c r="BQ375" s="4" t="str">
        <f ca="1">IFERROR(__xludf.DUMMYFUNCTION("""COMPUTED_VALUE"""),"| 6 L NS % | 5 L JAVA @ | 3 P CPT % ")</f>
        <v xml:space="preserve">| 6 L NS % | 5 L JAVA @ | 3 P CPT % </v>
      </c>
      <c r="BR375" s="4"/>
      <c r="BS375" s="4" t="str">
        <f ca="1">IFERROR(__xludf.DUMMYFUNCTION("""COMPUTED_VALUE"""),"| 4 L PHP-CGM % ")</f>
        <v xml:space="preserve">| 4 L PHP-CGM % </v>
      </c>
      <c r="BT375" s="4" t="str">
        <f ca="1">IFERROR(__xludf.DUMMYFUNCTION("""COMPUTED_VALUE"""),"| 1 P Python @ | 3 L PHP-CGM @ ")</f>
        <v xml:space="preserve">| 1 P Python @ | 3 L PHP-CGM @ </v>
      </c>
      <c r="BU375" s="4" t="str">
        <f ca="1">IFERROR(__xludf.DUMMYFUNCTION("""COMPUTED_VALUE"""),"| 1 L JAVA % | 2 L PHP-CGM % | 3 P JAVA % ")</f>
        <v xml:space="preserve">| 1 L JAVA % | 2 L PHP-CGM % | 3 P JAVA % </v>
      </c>
      <c r="BV375" s="4" t="str">
        <f ca="1">IFERROR(__xludf.DUMMYFUNCTION("""COMPUTED_VALUE"""),"| 1 P Python @ | 3 L PHP-CGM @ | 4 L JAVA @ | 5 P PRO @ ")</f>
        <v xml:space="preserve">| 1 P Python @ | 3 L PHP-CGM @ | 4 L JAVA @ | 5 P PRO @ </v>
      </c>
      <c r="BW375" s="4" t="str">
        <f ca="1">IFERROR(__xludf.DUMMYFUNCTION("""COMPUTED_VALUE"""),"| 1 L JAVA @ | 2 L PHP-CGM @ | 3 P JAVA @ ")</f>
        <v xml:space="preserve">| 1 L JAVA @ | 2 L PHP-CGM @ | 3 P JAVA @ </v>
      </c>
      <c r="BX375" s="4" t="str">
        <f ca="1">IFERROR(__xludf.DUMMYFUNCTION("""COMPUTED_VALUE"""),"| 1 L INE @ | 3 P CPT @ | 5 L JAVA @ | 6 L NS @ ")</f>
        <v xml:space="preserve">| 1 L INE @ | 3 P CPT @ | 5 L JAVA @ | 6 L NS @ </v>
      </c>
      <c r="BY375" s="4" t="str">
        <f ca="1">IFERROR(__xludf.DUMMYFUNCTION("""COMPUTED_VALUE"""),"| 1 P Python @ | 3 P JAVA @ | 5 L NS @ | 6 L CPT @ ")</f>
        <v xml:space="preserve">| 1 P Python @ | 3 P JAVA @ | 5 L NS @ | 6 L CPT @ </v>
      </c>
      <c r="BZ375" s="4" t="str">
        <f ca="1">IFERROR(__xludf.DUMMYFUNCTION("""COMPUTED_VALUE"""),"| 1 P NS @ | 3 L CPT @ | 4 L PHP-CGM @ | 5 P PHP-CGM % ")</f>
        <v xml:space="preserve">| 1 P NS @ | 3 L CPT @ | 4 L PHP-CGM @ | 5 P PHP-CGM % </v>
      </c>
      <c r="CA375" s="4" t="str">
        <f ca="1">IFERROR(__xludf.DUMMYFUNCTION("""COMPUTED_VALUE"""),"| 1 P Python @ | 3 L PHP-CGM % | 3 L JAVA % | 5 P PRO % ")</f>
        <v xml:space="preserve">| 1 P Python @ | 3 L PHP-CGM % | 3 L JAVA % | 5 P PRO % </v>
      </c>
      <c r="CB375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75" s="4" t="str">
        <f ca="1">IFERROR(__xludf.DUMMYFUNCTION("""COMPUTED_VALUE"""),"| 1 L INE % | 3 P CPT % | 5 L JAVA @ | 6 L NS @ ")</f>
        <v xml:space="preserve">| 1 L INE % | 3 P CPT % | 5 L JAVA @ | 6 L NS @ </v>
      </c>
      <c r="CD375" s="4" t="str">
        <f ca="1">IFERROR(__xludf.DUMMYFUNCTION("""COMPUTED_VALUE"""),"| 1 P Python % | 3 P JAVA @ | 5 L NS @ | 6 L CPT @ ")</f>
        <v xml:space="preserve">| 1 P Python % | 3 P JAVA @ | 5 L NS @ | 6 L CPT @ </v>
      </c>
      <c r="CE375" s="4" t="str">
        <f ca="1">IFERROR(__xludf.DUMMYFUNCTION("""COMPUTED_VALUE"""),"| 1 P NS % | 3 L CPT % | 4 L PHP-CGM % ")</f>
        <v xml:space="preserve">| 1 P NS % | 3 L CPT % | 4 L PHP-CGM % </v>
      </c>
      <c r="CF375" s="4" t="str">
        <f ca="1">IFERROR(__xludf.DUMMYFUNCTION("""COMPUTED_VALUE"""),"| 1 P Python % | 4 L JAVA % | 3 L PHP-CGM % | 5 L PRO % ")</f>
        <v xml:space="preserve">| 1 P Python % | 4 L JAVA % | 3 L PHP-CGM % | 5 L PRO % </v>
      </c>
      <c r="CG375" s="4" t="str">
        <f ca="1">IFERROR(__xludf.DUMMYFUNCTION("""COMPUTED_VALUE"""),"| 1 L JAVA % | 2 L PHP-CGM % | 6 L NS @ | 3 P JAVA % ")</f>
        <v xml:space="preserve">| 1 L JAVA % | 2 L PHP-CGM % | 6 L NS @ | 3 P JAVA % </v>
      </c>
      <c r="CH375" s="4" t="str">
        <f ca="1">IFERROR(__xludf.DUMMYFUNCTION("""COMPUTED_VALUE"""),"| 1 L INE @ | 3 P CPT % | 5 L JAVA @ | 6 L NS @ ")</f>
        <v xml:space="preserve">| 1 L INE @ | 3 P CPT % | 5 L JAVA @ | 6 L NS @ </v>
      </c>
      <c r="CI375" s="4" t="str">
        <f ca="1">IFERROR(__xludf.DUMMYFUNCTION("""COMPUTED_VALUE"""),"| 5 L NS @ | 6 L CPT @ ")</f>
        <v xml:space="preserve">| 5 L NS @ | 6 L CPT @ </v>
      </c>
      <c r="CJ375" s="4" t="str">
        <f ca="1">IFERROR(__xludf.DUMMYFUNCTION("""COMPUTED_VALUE"""),"| 1 P NS @ | 3 L CPT @ ")</f>
        <v xml:space="preserve">| 1 P NS @ | 3 L CPT @ </v>
      </c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</row>
    <row r="376" spans="1:102" ht="12.5" x14ac:dyDescent="0.25">
      <c r="A376" s="3">
        <f ca="1">IFERROR(__xludf.DUMMYFUNCTION("""COMPUTED_VALUE"""),2)</f>
        <v>2</v>
      </c>
      <c r="B376" s="3" t="str">
        <f ca="1">IFERROR(__xludf.DUMMYFUNCTION("""COMPUTED_VALUE"""),"ITA")</f>
        <v>ITA</v>
      </c>
      <c r="C376" s="32" t="str">
        <f ca="1">IFERROR(__xludf.DUMMYFUNCTION("""COMPUTED_VALUE"""),"23291371079")</f>
        <v>23291371079</v>
      </c>
      <c r="D376" s="4" t="str">
        <f ca="1">IFERROR(__xludf.DUMMYFUNCTION("""COMPUTED_VALUE"""),"PATEL JELAMBEN JAYPRAKASH")</f>
        <v>PATEL JELAMBEN JAYPRAKASH</v>
      </c>
      <c r="E376" s="3" t="str">
        <f ca="1">IFERROR(__xludf.DUMMYFUNCTION("""COMPUTED_VALUE"""),"Sweety - Mor")</f>
        <v>Sweety - Mor</v>
      </c>
      <c r="F376" s="3">
        <f ca="1">IFERROR(__xludf.DUMMYFUNCTION("""COMPUTED_VALUE"""),9974854507)</f>
        <v>9974854507</v>
      </c>
      <c r="G376" s="3">
        <f ca="1">IFERROR(__xludf.DUMMYFUNCTION("""COMPUTED_VALUE"""),9974654507)</f>
        <v>9974654507</v>
      </c>
      <c r="H376" s="33">
        <f ca="1">IFERROR(__xludf.DUMMYFUNCTION("""COMPUTED_VALUE"""),0.817073170731707)</f>
        <v>0.81707317073170704</v>
      </c>
      <c r="I376" s="25">
        <f ca="1">IFERROR(__xludf.DUMMYFUNCTION("""COMPUTED_VALUE"""),0.628571428571428)</f>
        <v>0.628571428571428</v>
      </c>
      <c r="J376" s="25">
        <f ca="1">IFERROR(__xludf.DUMMYFUNCTION("""COMPUTED_VALUE"""),1)</f>
        <v>1</v>
      </c>
      <c r="K376" s="25">
        <f ca="1">IFERROR(__xludf.DUMMYFUNCTION("""COMPUTED_VALUE"""),0.722222222222222)</f>
        <v>0.72222222222222199</v>
      </c>
      <c r="L376" s="25">
        <f ca="1">IFERROR(__xludf.DUMMYFUNCTION("""COMPUTED_VALUE"""),0.666666666666666)</f>
        <v>0.66666666666666596</v>
      </c>
      <c r="M376" s="25">
        <f ca="1">IFERROR(__xludf.DUMMYFUNCTION("""COMPUTED_VALUE"""),0.868421052631579)</f>
        <v>0.86842105263157898</v>
      </c>
      <c r="N376" s="25">
        <f ca="1">IFERROR(__xludf.DUMMYFUNCTION("""COMPUTED_VALUE"""),1)</f>
        <v>1</v>
      </c>
      <c r="O376" s="25">
        <f ca="1">IFERROR(__xludf.DUMMYFUNCTION("""COMPUTED_VALUE"""),0.888888888888888)</f>
        <v>0.88888888888888795</v>
      </c>
      <c r="P376" s="25">
        <f ca="1">IFERROR(__xludf.DUMMYFUNCTION("""COMPUTED_VALUE"""),0.92)</f>
        <v>0.92</v>
      </c>
      <c r="Q376" s="25">
        <f ca="1">IFERROR(__xludf.DUMMYFUNCTION("""COMPUTED_VALUE"""),0)</f>
        <v>0</v>
      </c>
      <c r="R376" s="25">
        <f ca="1">IFERROR(__xludf.DUMMYFUNCTION("""COMPUTED_VALUE"""),0.875)</f>
        <v>0.875</v>
      </c>
      <c r="S376" s="25">
        <f ca="1">IFERROR(__xludf.DUMMYFUNCTION("""COMPUTED_VALUE"""),0.666666666666666)</f>
        <v>0.66666666666666596</v>
      </c>
      <c r="T376" s="25">
        <f ca="1">IFERROR(__xludf.DUMMYFUNCTION("""COMPUTED_VALUE"""),0.777777777777777)</f>
        <v>0.77777777777777701</v>
      </c>
      <c r="U376" s="25">
        <f ca="1">IFERROR(__xludf.DUMMYFUNCTION("""COMPUTED_VALUE"""),0.875)</f>
        <v>0.875</v>
      </c>
      <c r="V376" s="25">
        <f ca="1">IFERROR(__xludf.DUMMYFUNCTION("""COMPUTED_VALUE"""),0)</f>
        <v>0</v>
      </c>
      <c r="W376" s="4"/>
      <c r="X376" s="4" t="str">
        <f ca="1">IFERROR(__xludf.DUMMYFUNCTION("""COMPUTED_VALUE"""),"| 1 P Python % | 4 L JAVA % | 3 L PHP-CGM % | 1 L PRO @ ")</f>
        <v xml:space="preserve">| 1 P Python % | 4 L JAVA % | 3 L PHP-CGM % | 1 L PRO @ </v>
      </c>
      <c r="Y376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76" s="4" t="str">
        <f ca="1">IFERROR(__xludf.DUMMYFUNCTION("""COMPUTED_VALUE"""),"| 3 P CPT % | 5 L JAVA % | 6 L NS % ")</f>
        <v xml:space="preserve">| 3 P CPT % | 5 L JAVA % | 6 L NS % </v>
      </c>
      <c r="AA376" s="4" t="str">
        <f ca="1">IFERROR(__xludf.DUMMYFUNCTION("""COMPUTED_VALUE"""),"| 1 P Python % | 5 P JAVA % | 5 L NS % | 6 L CPT % ")</f>
        <v xml:space="preserve">| 1 P Python % | 5 P JAVA % | 5 L NS % | 6 L CPT % </v>
      </c>
      <c r="AB376" s="4" t="str">
        <f ca="1">IFERROR(__xludf.DUMMYFUNCTION("""COMPUTED_VALUE"""),"| 1 P NS % | 3 L CPT % | 5 P PHP-CGM % | 4 L PHP-CGM % ")</f>
        <v xml:space="preserve">| 1 P NS % | 3 L CPT % | 5 P PHP-CGM % | 4 L PHP-CGM % </v>
      </c>
      <c r="AC376" s="4" t="str">
        <f ca="1">IFERROR(__xludf.DUMMYFUNCTION("""COMPUTED_VALUE"""),"| 1 P Python % | 3 L PHP-CGM % | 5 P PRO % ")</f>
        <v xml:space="preserve">| 1 P Python % | 3 L PHP-CGM % | 5 P PRO % </v>
      </c>
      <c r="AD376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6" s="4" t="str">
        <f ca="1">IFERROR(__xludf.DUMMYFUNCTION("""COMPUTED_VALUE"""),"| 3 P CPT % | 5 L JAVA % | 6 L NS % ")</f>
        <v xml:space="preserve">| 3 P CPT % | 5 L JAVA % | 6 L NS % </v>
      </c>
      <c r="AF376" s="4" t="str">
        <f ca="1">IFERROR(__xludf.DUMMYFUNCTION("""COMPUTED_VALUE"""),"| 1 P Python % | 3 P JAVA % | 5 L NS % | 6 L CPT % ")</f>
        <v xml:space="preserve">| 1 P Python % | 3 P JAVA % | 5 L NS % | 6 L CPT % </v>
      </c>
      <c r="AG376" s="4" t="str">
        <f ca="1">IFERROR(__xludf.DUMMYFUNCTION("""COMPUTED_VALUE"""),"| 1 P NS % | 3 L CPT % | 4 L PHP-CGM % | 5 P PHP-CGM % ")</f>
        <v xml:space="preserve">| 1 P NS % | 3 L CPT % | 4 L PHP-CGM % | 5 P PHP-CGM % </v>
      </c>
      <c r="AH376" s="4" t="str">
        <f ca="1">IFERROR(__xludf.DUMMYFUNCTION("""COMPUTED_VALUE"""),"| 1 P Python % | 3 P JAVA % | 5 L NS % | 6 L CPT % ")</f>
        <v xml:space="preserve">| 1 P Python % | 3 P JAVA % | 5 L NS % | 6 L CPT % </v>
      </c>
      <c r="AI376" s="4" t="str">
        <f ca="1">IFERROR(__xludf.DUMMYFUNCTION("""COMPUTED_VALUE"""),"| 1 P NS % | 3 L CPT % | 4 L PHP-CGM % | 5 P PHP-CGM % ")</f>
        <v xml:space="preserve">| 1 P NS % | 3 L CPT % | 4 L PHP-CGM % | 5 P PHP-CGM % </v>
      </c>
      <c r="AJ376" s="4" t="str">
        <f ca="1">IFERROR(__xludf.DUMMYFUNCTION("""COMPUTED_VALUE"""),"| 1 P Python % | 3 L PHP-CGM % | 4 L JAVA % | 5 P PRO % ")</f>
        <v xml:space="preserve">| 1 P Python % | 3 L PHP-CGM % | 4 L JAVA % | 5 P PRO % </v>
      </c>
      <c r="AK376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6" s="4" t="str">
        <f ca="1">IFERROR(__xludf.DUMMYFUNCTION("""COMPUTED_VALUE"""),"| 3 P CPT % | 5 L JAVA % | 6 L NS % ")</f>
        <v xml:space="preserve">| 3 P CPT % | 5 L JAVA % | 6 L NS % </v>
      </c>
      <c r="AM376" s="4" t="str">
        <f ca="1">IFERROR(__xludf.DUMMYFUNCTION("""COMPUTED_VALUE"""),"| 1 P Python % | 3 P JAVA % | 5 L NS % | 6 L CPT % ")</f>
        <v xml:space="preserve">| 1 P Python % | 3 P JAVA % | 5 L NS % | 6 L CPT % </v>
      </c>
      <c r="AN376" s="4" t="str">
        <f ca="1">IFERROR(__xludf.DUMMYFUNCTION("""COMPUTED_VALUE"""),"| 1 P NS % | 4 L PHP-CGM % | 5 P PHP-CGM % ")</f>
        <v xml:space="preserve">| 1 P NS % | 4 L PHP-CGM % | 5 P PHP-CGM % </v>
      </c>
      <c r="AO376" s="4" t="str">
        <f ca="1">IFERROR(__xludf.DUMMYFUNCTION("""COMPUTED_VALUE"""),"| 1 P Python % | 3 L PHP-CGM % | 4 L JAVA % | 5 P PRO @ ")</f>
        <v xml:space="preserve">| 1 P Python % | 3 L PHP-CGM % | 4 L JAVA % | 5 P PRO @ </v>
      </c>
      <c r="AP376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6" s="4" t="str">
        <f ca="1">IFERROR(__xludf.DUMMYFUNCTION("""COMPUTED_VALUE"""),"| 1 L INE % | 3 P CPT % | 5 L JAVA % | 6 L NS % ")</f>
        <v xml:space="preserve">| 1 L INE % | 3 P CPT % | 5 L JAVA % | 6 L NS % </v>
      </c>
      <c r="AR376" s="4" t="str">
        <f ca="1">IFERROR(__xludf.DUMMYFUNCTION("""COMPUTED_VALUE"""),"| 1 P Python % | 3 L CPT % | 3 P JAVA % | 5 L NS % | 6 L CPT @ ")</f>
        <v xml:space="preserve">| 1 P Python % | 3 L CPT % | 3 P JAVA % | 5 L NS % | 6 L CPT @ </v>
      </c>
      <c r="AS376" s="4" t="str">
        <f ca="1">IFERROR(__xludf.DUMMYFUNCTION("""COMPUTED_VALUE"""),"| 1 P Python % | 3 L PHP-CGM % | 4 L JAVA % | 5 P PRO % ")</f>
        <v xml:space="preserve">| 1 P Python % | 3 L PHP-CGM % | 4 L JAVA % | 5 P PRO % </v>
      </c>
      <c r="AT376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U376" s="4" t="str">
        <f ca="1">IFERROR(__xludf.DUMMYFUNCTION("""COMPUTED_VALUE"""),"| 1 L INE % | 3 P CPT % | 5 L JAVA % | 6 L NS % ")</f>
        <v xml:space="preserve">| 1 L INE % | 3 P CPT % | 5 L JAVA % | 6 L NS % </v>
      </c>
      <c r="AV376" s="4" t="str">
        <f ca="1">IFERROR(__xludf.DUMMYFUNCTION("""COMPUTED_VALUE"""),"| 1 P Python % | 3 P JAVA % | 5 L NS % | 6 L CPT % ")</f>
        <v xml:space="preserve">| 1 P Python % | 3 P JAVA % | 5 L NS % | 6 L CPT % </v>
      </c>
      <c r="AW376" s="4" t="str">
        <f ca="1">IFERROR(__xludf.DUMMYFUNCTION("""COMPUTED_VALUE"""),"| 1 P NS % | 3 L CPT @ | 4 L PHP-CGM @ | 5 P PHP-CGM % ")</f>
        <v xml:space="preserve">| 1 P NS % | 3 L CPT @ | 4 L PHP-CGM @ | 5 P PHP-CGM % </v>
      </c>
      <c r="AX376" s="4" t="str">
        <f ca="1">IFERROR(__xludf.DUMMYFUNCTION("""COMPUTED_VALUE"""),"| 1 P Python % | 3 L JAVA % | 4 L PHP-CGM % | 5 P PRO % ")</f>
        <v xml:space="preserve">| 1 P Python % | 3 L JAVA % | 4 L PHP-CGM % | 5 P PRO % </v>
      </c>
      <c r="AY376" s="4" t="str">
        <f ca="1">IFERROR(__xludf.DUMMYFUNCTION("""COMPUTED_VALUE"""),"| 2 L PHP-CGM % | 3 P JAVA % | 5 L CPT @ | 6 L NS % | 1 L JAVA % ")</f>
        <v xml:space="preserve">| 2 L PHP-CGM % | 3 P JAVA % | 5 L CPT @ | 6 L NS % | 1 L JAVA % </v>
      </c>
      <c r="AZ376" s="4" t="str">
        <f ca="1">IFERROR(__xludf.DUMMYFUNCTION("""COMPUTED_VALUE"""),"| 1 P Python % | 3 P JAVA % | 5 L NS % | 6 L CPT % ")</f>
        <v xml:space="preserve">| 1 P Python % | 3 P JAVA % | 5 L NS % | 6 L CPT % </v>
      </c>
      <c r="BA376" s="4" t="str">
        <f ca="1">IFERROR(__xludf.DUMMYFUNCTION("""COMPUTED_VALUE"""),"| 1 P NS % | 3 L CPT % | 4 L PHP-CGM % | 5 P PHP-CGM % ")</f>
        <v xml:space="preserve">| 1 P NS % | 3 L CPT % | 4 L PHP-CGM % | 5 P PHP-CGM % </v>
      </c>
      <c r="BB376" s="4" t="str">
        <f ca="1">IFERROR(__xludf.DUMMYFUNCTION("""COMPUTED_VALUE"""),"| 1 P Python % | 3 L PHP-CGM % | 4 L JAVA % | 5 L PRO % ")</f>
        <v xml:space="preserve">| 1 P Python % | 3 L PHP-CGM % | 4 L JAVA % | 5 L PRO % </v>
      </c>
      <c r="BC376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6" s="4" t="str">
        <f ca="1">IFERROR(__xludf.DUMMYFUNCTION("""COMPUTED_VALUE"""),"| 1 L INE @ | 3 P CPT % | 5 L JAVA % | 6 L NS % ")</f>
        <v xml:space="preserve">| 1 L INE @ | 3 P CPT % | 5 L JAVA % | 6 L NS % </v>
      </c>
      <c r="BE376" s="4" t="str">
        <f ca="1">IFERROR(__xludf.DUMMYFUNCTION("""COMPUTED_VALUE"""),"| 1 P Python % | 3 P JAVA % | 5 L NS @ | 6 L CPT @ ")</f>
        <v xml:space="preserve">| 1 P Python % | 3 P JAVA % | 5 L NS @ | 6 L CPT @ </v>
      </c>
      <c r="BF376" s="4" t="str">
        <f ca="1">IFERROR(__xludf.DUMMYFUNCTION("""COMPUTED_VALUE"""),"| 1 P NS @ | 3 L CPT @ | 4 L PHP-CGM @ ")</f>
        <v xml:space="preserve">| 1 P NS @ | 3 L CPT @ | 4 L PHP-CGM @ </v>
      </c>
      <c r="BG376" s="4" t="str">
        <f ca="1">IFERROR(__xludf.DUMMYFUNCTION("""COMPUTED_VALUE"""),"| 1 L JAVA % | 2 L PHP-CGM % | 3 P JAVA % | 5 L CPT % | 6 L NS @ ")</f>
        <v xml:space="preserve">| 1 L JAVA % | 2 L PHP-CGM % | 3 P JAVA % | 5 L CPT % | 6 L NS @ </v>
      </c>
      <c r="BH376" s="4" t="str">
        <f ca="1">IFERROR(__xludf.DUMMYFUNCTION("""COMPUTED_VALUE"""),"| 1 L INE % | 3 P CPT % | 5 L JAVA % | 6 L NS % ")</f>
        <v xml:space="preserve">| 1 L INE % | 3 P CPT % | 5 L JAVA % | 6 L NS % </v>
      </c>
      <c r="BI376" s="4" t="str">
        <f ca="1">IFERROR(__xludf.DUMMYFUNCTION("""COMPUTED_VALUE"""),"| 1 P Python % | 3 P JAVA % | 5 L NS % | 6 L CPT % ")</f>
        <v xml:space="preserve">| 1 P Python % | 3 P JAVA % | 5 L NS % | 6 L CPT % </v>
      </c>
      <c r="BJ376" s="4" t="str">
        <f ca="1">IFERROR(__xludf.DUMMYFUNCTION("""COMPUTED_VALUE"""),"| 1 P NS % | 3 L CPT % | 4 L PHP-CGM % | 5 P PHP-CGM % ")</f>
        <v xml:space="preserve">| 1 P NS % | 3 L CPT % | 4 L PHP-CGM % | 5 P PHP-CGM % </v>
      </c>
      <c r="BK376" s="4" t="str">
        <f ca="1">IFERROR(__xludf.DUMMYFUNCTION("""COMPUTED_VALUE"""),"| 1 P Python % | 3 L PHP-CGM % | 4 L JAVA % | 5 P PRO % ")</f>
        <v xml:space="preserve">| 1 P Python % | 3 L PHP-CGM % | 4 L JAVA % | 5 P PRO % </v>
      </c>
      <c r="BL376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76" s="4" t="str">
        <f ca="1">IFERROR(__xludf.DUMMYFUNCTION("""COMPUTED_VALUE"""),"| 1 L INE % | 3 P CPT % | 5 L JAVA @ | 6 L NS @ ")</f>
        <v xml:space="preserve">| 1 L INE % | 3 P CPT % | 5 L JAVA @ | 6 L NS @ </v>
      </c>
      <c r="BN376" s="4" t="str">
        <f ca="1">IFERROR(__xludf.DUMMYFUNCTION("""COMPUTED_VALUE"""),"| 1 P Python @ | 3 P JAVA @ | 5 L NS @ | 6 L CPT @ ")</f>
        <v xml:space="preserve">| 1 P Python @ | 3 P JAVA @ | 5 L NS @ | 6 L CPT @ </v>
      </c>
      <c r="BO376" s="4" t="str">
        <f ca="1">IFERROR(__xludf.DUMMYFUNCTION("""COMPUTED_VALUE"""),"| 1 P NS % | 4 L PHP-CGM % | 3 L CPT % ")</f>
        <v xml:space="preserve">| 1 P NS % | 4 L PHP-CGM % | 3 L CPT % </v>
      </c>
      <c r="BP376" s="4" t="str">
        <f ca="1">IFERROR(__xludf.DUMMYFUNCTION("""COMPUTED_VALUE"""),"| 3 L PHP-CGM % | 4 L JAVA % | 5 P PRO @ ")</f>
        <v xml:space="preserve">| 3 L PHP-CGM % | 4 L JAVA % | 5 P PRO @ </v>
      </c>
      <c r="BQ376" s="4" t="str">
        <f ca="1">IFERROR(__xludf.DUMMYFUNCTION("""COMPUTED_VALUE"""),"| 6 L NS % | 5 L JAVA @ | 3 P CPT % ")</f>
        <v xml:space="preserve">| 6 L NS % | 5 L JAVA @ | 3 P CPT % </v>
      </c>
      <c r="BR376" s="4"/>
      <c r="BS376" s="4" t="str">
        <f ca="1">IFERROR(__xludf.DUMMYFUNCTION("""COMPUTED_VALUE"""),"| 4 L PHP-CGM % ")</f>
        <v xml:space="preserve">| 4 L PHP-CGM % </v>
      </c>
      <c r="BT376" s="4" t="str">
        <f ca="1">IFERROR(__xludf.DUMMYFUNCTION("""COMPUTED_VALUE"""),"| 1 P Python % | 3 L PHP-CGM % ")</f>
        <v xml:space="preserve">| 1 P Python % | 3 L PHP-CGM % </v>
      </c>
      <c r="BU376" s="4" t="str">
        <f ca="1">IFERROR(__xludf.DUMMYFUNCTION("""COMPUTED_VALUE"""),"| 1 L JAVA % | 2 L PHP-CGM % | 3 P JAVA % ")</f>
        <v xml:space="preserve">| 1 L JAVA % | 2 L PHP-CGM % | 3 P JAVA % </v>
      </c>
      <c r="BV376" s="4" t="str">
        <f ca="1">IFERROR(__xludf.DUMMYFUNCTION("""COMPUTED_VALUE"""),"| 1 P Python % | 3 L PHP-CGM % | 4 L JAVA % | 5 P PRO % ")</f>
        <v xml:space="preserve">| 1 P Python % | 3 L PHP-CGM % | 4 L JAVA % | 5 P PRO % </v>
      </c>
      <c r="BW376" s="4" t="str">
        <f ca="1">IFERROR(__xludf.DUMMYFUNCTION("""COMPUTED_VALUE"""),"| 1 L JAVA % | 2 L PHP-CGM % | 3 P JAVA % ")</f>
        <v xml:space="preserve">| 1 L JAVA % | 2 L PHP-CGM % | 3 P JAVA % </v>
      </c>
      <c r="BX376" s="4" t="str">
        <f ca="1">IFERROR(__xludf.DUMMYFUNCTION("""COMPUTED_VALUE"""),"| 1 L INE % | 3 P CPT % | 5 L JAVA % | 6 L NS % ")</f>
        <v xml:space="preserve">| 1 L INE % | 3 P CPT % | 5 L JAVA % | 6 L NS % </v>
      </c>
      <c r="BY376" s="4" t="str">
        <f ca="1">IFERROR(__xludf.DUMMYFUNCTION("""COMPUTED_VALUE"""),"| 1 P Python @ | 3 P JAVA @ | 5 L NS @ | 6 L CPT @ ")</f>
        <v xml:space="preserve">| 1 P Python @ | 3 P JAVA @ | 5 L NS @ | 6 L CPT @ </v>
      </c>
      <c r="BZ376" s="4" t="str">
        <f ca="1">IFERROR(__xludf.DUMMYFUNCTION("""COMPUTED_VALUE"""),"| 1 P NS @ | 3 L CPT @ | 4 L PHP-CGM @ | 5 P PHP-CGM % ")</f>
        <v xml:space="preserve">| 1 P NS @ | 3 L CPT @ | 4 L PHP-CGM @ | 5 P PHP-CGM % </v>
      </c>
      <c r="CA376" s="4" t="str">
        <f ca="1">IFERROR(__xludf.DUMMYFUNCTION("""COMPUTED_VALUE"""),"| 1 P Python @ | 3 L PHP-CGM % | 3 L JAVA % | 5 P PRO % ")</f>
        <v xml:space="preserve">| 1 P Python @ | 3 L PHP-CGM % | 3 L JAVA % | 5 P PRO % </v>
      </c>
      <c r="CB376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CC376" s="4" t="str">
        <f ca="1">IFERROR(__xludf.DUMMYFUNCTION("""COMPUTED_VALUE"""),"| 1 L INE % | 3 P CPT % | 5 L JAVA % | 6 L NS % ")</f>
        <v xml:space="preserve">| 1 L INE % | 3 P CPT % | 5 L JAVA % | 6 L NS % </v>
      </c>
      <c r="CD376" s="4" t="str">
        <f ca="1">IFERROR(__xludf.DUMMYFUNCTION("""COMPUTED_VALUE"""),"| 1 P Python % | 3 P JAVA % | 5 L NS @ | 6 L CPT @ ")</f>
        <v xml:space="preserve">| 1 P Python % | 3 P JAVA % | 5 L NS @ | 6 L CPT @ </v>
      </c>
      <c r="CE376" s="4" t="str">
        <f ca="1">IFERROR(__xludf.DUMMYFUNCTION("""COMPUTED_VALUE"""),"| 1 P NS @ | 3 L CPT @ | 4 L PHP-CGM @ ")</f>
        <v xml:space="preserve">| 1 P NS @ | 3 L CPT @ | 4 L PHP-CGM @ </v>
      </c>
      <c r="CF376" s="4" t="str">
        <f ca="1">IFERROR(__xludf.DUMMYFUNCTION("""COMPUTED_VALUE"""),"| 1 P Python % | 4 L JAVA % | 3 L PHP-CGM % | 5 L PRO % ")</f>
        <v xml:space="preserve">| 1 P Python % | 4 L JAVA % | 3 L PHP-CGM % | 5 L PRO % </v>
      </c>
      <c r="CG376" s="4" t="str">
        <f ca="1">IFERROR(__xludf.DUMMYFUNCTION("""COMPUTED_VALUE"""),"| 1 L JAVA @ | 2 L PHP-CGM @ | 6 L NS @ | 3 P JAVA % ")</f>
        <v xml:space="preserve">| 1 L JAVA @ | 2 L PHP-CGM @ | 6 L NS @ | 3 P JAVA % </v>
      </c>
      <c r="CH376" s="4" t="str">
        <f ca="1">IFERROR(__xludf.DUMMYFUNCTION("""COMPUTED_VALUE"""),"| 1 L INE % | 3 P CPT % | 5 L JAVA @ | 6 L NS @ ")</f>
        <v xml:space="preserve">| 1 L INE % | 3 P CPT % | 5 L JAVA @ | 6 L NS @ </v>
      </c>
      <c r="CI376" s="4" t="str">
        <f ca="1">IFERROR(__xludf.DUMMYFUNCTION("""COMPUTED_VALUE"""),"| 5 L NS @ | 6 L CPT @ ")</f>
        <v xml:space="preserve">| 5 L NS @ | 6 L CPT @ </v>
      </c>
      <c r="CJ376" s="4" t="str">
        <f ca="1">IFERROR(__xludf.DUMMYFUNCTION("""COMPUTED_VALUE"""),"| 1 P NS @ | 3 L CPT @ ")</f>
        <v xml:space="preserve">| 1 P NS @ | 3 L CPT @ </v>
      </c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</row>
    <row r="377" spans="1:102" ht="12.5" x14ac:dyDescent="0.25">
      <c r="A377" s="3">
        <f ca="1">IFERROR(__xludf.DUMMYFUNCTION("""COMPUTED_VALUE"""),2)</f>
        <v>2</v>
      </c>
      <c r="B377" s="3" t="str">
        <f ca="1">IFERROR(__xludf.DUMMYFUNCTION("""COMPUTED_VALUE"""),"ITA")</f>
        <v>ITA</v>
      </c>
      <c r="C377" s="32" t="str">
        <f ca="1">IFERROR(__xludf.DUMMYFUNCTION("""COMPUTED_VALUE"""),"23291371081")</f>
        <v>23291371081</v>
      </c>
      <c r="D377" s="4" t="str">
        <f ca="1">IFERROR(__xludf.DUMMYFUNCTION("""COMPUTED_VALUE"""),"PATEL KAVYA JAYANTIBHAI")</f>
        <v>PATEL KAVYA JAYANTIBHAI</v>
      </c>
      <c r="E377" s="3" t="str">
        <f ca="1">IFERROR(__xludf.DUMMYFUNCTION("""COMPUTED_VALUE"""),"Sweety - Mor")</f>
        <v>Sweety - Mor</v>
      </c>
      <c r="F377" s="3">
        <f ca="1">IFERROR(__xludf.DUMMYFUNCTION("""COMPUTED_VALUE"""),9974982875)</f>
        <v>9974982875</v>
      </c>
      <c r="G377" s="3">
        <f ca="1">IFERROR(__xludf.DUMMYFUNCTION("""COMPUTED_VALUE"""),9016081283)</f>
        <v>9016081283</v>
      </c>
      <c r="H377" s="33">
        <f ca="1">IFERROR(__xludf.DUMMYFUNCTION("""COMPUTED_VALUE"""),0.804878048780487)</f>
        <v>0.80487804878048697</v>
      </c>
      <c r="I377" s="25">
        <f ca="1">IFERROR(__xludf.DUMMYFUNCTION("""COMPUTED_VALUE"""),0.742857142857142)</f>
        <v>0.74285714285714199</v>
      </c>
      <c r="J377" s="25">
        <f ca="1">IFERROR(__xludf.DUMMYFUNCTION("""COMPUTED_VALUE"""),0.916666666666666)</f>
        <v>0.91666666666666596</v>
      </c>
      <c r="K377" s="25">
        <f ca="1">IFERROR(__xludf.DUMMYFUNCTION("""COMPUTED_VALUE"""),0.75)</f>
        <v>0.75</v>
      </c>
      <c r="L377" s="25">
        <f ca="1">IFERROR(__xludf.DUMMYFUNCTION("""COMPUTED_VALUE"""),0.916666666666666)</f>
        <v>0.91666666666666596</v>
      </c>
      <c r="M377" s="25">
        <f ca="1">IFERROR(__xludf.DUMMYFUNCTION("""COMPUTED_VALUE"""),0.81578947368421)</f>
        <v>0.81578947368420995</v>
      </c>
      <c r="N377" s="25">
        <f ca="1">IFERROR(__xludf.DUMMYFUNCTION("""COMPUTED_VALUE"""),1)</f>
        <v>1</v>
      </c>
      <c r="O377" s="25">
        <f ca="1">IFERROR(__xludf.DUMMYFUNCTION("""COMPUTED_VALUE"""),0.777777777777777)</f>
        <v>0.77777777777777701</v>
      </c>
      <c r="P377" s="25">
        <f ca="1">IFERROR(__xludf.DUMMYFUNCTION("""COMPUTED_VALUE"""),0.84)</f>
        <v>0.84</v>
      </c>
      <c r="Q377" s="25">
        <f ca="1">IFERROR(__xludf.DUMMYFUNCTION("""COMPUTED_VALUE"""),0)</f>
        <v>0</v>
      </c>
      <c r="R377" s="25">
        <f ca="1">IFERROR(__xludf.DUMMYFUNCTION("""COMPUTED_VALUE"""),0.833333333333333)</f>
        <v>0.83333333333333304</v>
      </c>
      <c r="S377" s="25">
        <f ca="1">IFERROR(__xludf.DUMMYFUNCTION("""COMPUTED_VALUE"""),0.666666666666666)</f>
        <v>0.66666666666666596</v>
      </c>
      <c r="T377" s="25">
        <f ca="1">IFERROR(__xludf.DUMMYFUNCTION("""COMPUTED_VALUE"""),0.666666666666666)</f>
        <v>0.66666666666666596</v>
      </c>
      <c r="U377" s="25">
        <f ca="1">IFERROR(__xludf.DUMMYFUNCTION("""COMPUTED_VALUE"""),0.875)</f>
        <v>0.875</v>
      </c>
      <c r="V377" s="25">
        <f ca="1">IFERROR(__xludf.DUMMYFUNCTION("""COMPUTED_VALUE"""),0)</f>
        <v>0</v>
      </c>
      <c r="W377" s="4"/>
      <c r="X377" s="4" t="str">
        <f ca="1">IFERROR(__xludf.DUMMYFUNCTION("""COMPUTED_VALUE"""),"| 1 P Python @ | 4 L JAVA @ | 3 L PHP-CGM @ | 1 L PRO @ ")</f>
        <v xml:space="preserve">| 1 P Python @ | 4 L JAVA @ | 3 L PHP-CGM @ | 1 L PRO @ </v>
      </c>
      <c r="Y377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77" s="4" t="str">
        <f ca="1">IFERROR(__xludf.DUMMYFUNCTION("""COMPUTED_VALUE"""),"| 3 P CPT % | 5 L JAVA @ | 6 L NS % ")</f>
        <v xml:space="preserve">| 3 P CPT % | 5 L JAVA @ | 6 L NS % </v>
      </c>
      <c r="AA377" s="4" t="str">
        <f ca="1">IFERROR(__xludf.DUMMYFUNCTION("""COMPUTED_VALUE"""),"| 1 P Python % | 5 P JAVA % | 5 L NS % | 6 L CPT % ")</f>
        <v xml:space="preserve">| 1 P Python % | 5 P JAVA % | 5 L NS % | 6 L CPT % </v>
      </c>
      <c r="AB377" s="4" t="str">
        <f ca="1">IFERROR(__xludf.DUMMYFUNCTION("""COMPUTED_VALUE"""),"| 1 P NS % | 3 L CPT % | 5 P PHP-CGM % | 4 L PHP-CGM % ")</f>
        <v xml:space="preserve">| 1 P NS % | 3 L CPT % | 5 P PHP-CGM % | 4 L PHP-CGM % </v>
      </c>
      <c r="AC377" s="4" t="str">
        <f ca="1">IFERROR(__xludf.DUMMYFUNCTION("""COMPUTED_VALUE"""),"| 1 P Python % | 3 L PHP-CGM % | 5 P PRO % ")</f>
        <v xml:space="preserve">| 1 P Python % | 3 L PHP-CGM % | 5 P PRO % </v>
      </c>
      <c r="AD377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7" s="4" t="str">
        <f ca="1">IFERROR(__xludf.DUMMYFUNCTION("""COMPUTED_VALUE"""),"| 3 P CPT % | 5 L JAVA % | 6 L NS % ")</f>
        <v xml:space="preserve">| 3 P CPT % | 5 L JAVA % | 6 L NS % </v>
      </c>
      <c r="AF377" s="4" t="str">
        <f ca="1">IFERROR(__xludf.DUMMYFUNCTION("""COMPUTED_VALUE"""),"| 1 P Python % | 3 P JAVA % | 5 L NS % | 6 L CPT % ")</f>
        <v xml:space="preserve">| 1 P Python % | 3 P JAVA % | 5 L NS % | 6 L CPT % </v>
      </c>
      <c r="AG377" s="4" t="str">
        <f ca="1">IFERROR(__xludf.DUMMYFUNCTION("""COMPUTED_VALUE"""),"| 1 P NS % | 3 L CPT % | 4 L PHP-CGM % | 5 P PHP-CGM % ")</f>
        <v xml:space="preserve">| 1 P NS % | 3 L CPT % | 4 L PHP-CGM % | 5 P PHP-CGM % </v>
      </c>
      <c r="AH377" s="4" t="str">
        <f ca="1">IFERROR(__xludf.DUMMYFUNCTION("""COMPUTED_VALUE"""),"| 1 P Python % | 3 P JAVA % | 5 L NS % | 6 L CPT % ")</f>
        <v xml:space="preserve">| 1 P Python % | 3 P JAVA % | 5 L NS % | 6 L CPT % </v>
      </c>
      <c r="AI377" s="4" t="str">
        <f ca="1">IFERROR(__xludf.DUMMYFUNCTION("""COMPUTED_VALUE"""),"| 1 P NS % | 3 L CPT % | 4 L PHP-CGM % | 5 P PHP-CGM % ")</f>
        <v xml:space="preserve">| 1 P NS % | 3 L CPT % | 4 L PHP-CGM % | 5 P PHP-CGM % </v>
      </c>
      <c r="AJ377" s="4" t="str">
        <f ca="1">IFERROR(__xludf.DUMMYFUNCTION("""COMPUTED_VALUE"""),"| 1 P Python % | 3 L PHP-CGM % | 4 L JAVA % | 5 P PRO % ")</f>
        <v xml:space="preserve">| 1 P Python % | 3 L PHP-CGM % | 4 L JAVA % | 5 P PRO % </v>
      </c>
      <c r="AK377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7" s="4" t="str">
        <f ca="1">IFERROR(__xludf.DUMMYFUNCTION("""COMPUTED_VALUE"""),"| 3 P CPT % | 5 L JAVA % | 6 L NS % ")</f>
        <v xml:space="preserve">| 3 P CPT % | 5 L JAVA % | 6 L NS % </v>
      </c>
      <c r="AM377" s="4" t="str">
        <f ca="1">IFERROR(__xludf.DUMMYFUNCTION("""COMPUTED_VALUE"""),"| 1 P Python % | 3 P JAVA % | 5 L NS % | 6 L CPT % ")</f>
        <v xml:space="preserve">| 1 P Python % | 3 P JAVA % | 5 L NS % | 6 L CPT % </v>
      </c>
      <c r="AN377" s="4" t="str">
        <f ca="1">IFERROR(__xludf.DUMMYFUNCTION("""COMPUTED_VALUE"""),"| 1 P NS % | 4 L PHP-CGM % | 5 P PHP-CGM % ")</f>
        <v xml:space="preserve">| 1 P NS % | 4 L PHP-CGM % | 5 P PHP-CGM % </v>
      </c>
      <c r="AO377" s="4" t="str">
        <f ca="1">IFERROR(__xludf.DUMMYFUNCTION("""COMPUTED_VALUE"""),"| 1 P Python % | 3 L PHP-CGM % | 4 L JAVA % | 5 P PRO @ ")</f>
        <v xml:space="preserve">| 1 P Python % | 3 L PHP-CGM % | 4 L JAVA % | 5 P PRO @ </v>
      </c>
      <c r="AP377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7" s="4" t="str">
        <f ca="1">IFERROR(__xludf.DUMMYFUNCTION("""COMPUTED_VALUE"""),"| 1 L INE % | 3 P CPT % | 5 L JAVA % | 6 L NS % ")</f>
        <v xml:space="preserve">| 1 L INE % | 3 P CPT % | 5 L JAVA % | 6 L NS % </v>
      </c>
      <c r="AR377" s="4" t="str">
        <f ca="1">IFERROR(__xludf.DUMMYFUNCTION("""COMPUTED_VALUE"""),"| 1 P Python % | 3 L CPT % | 3 P JAVA % | 5 L NS % | 6 L CPT % ")</f>
        <v xml:space="preserve">| 1 P Python % | 3 L CPT % | 3 P JAVA % | 5 L NS % | 6 L CPT % </v>
      </c>
      <c r="AS377" s="4" t="str">
        <f ca="1">IFERROR(__xludf.DUMMYFUNCTION("""COMPUTED_VALUE"""),"| 1 P Python % | 3 L PHP-CGM % | 4 L JAVA % | 5 P PRO % ")</f>
        <v xml:space="preserve">| 1 P Python % | 3 L PHP-CGM % | 4 L JAVA % | 5 P PRO % </v>
      </c>
      <c r="AT377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77" s="4" t="str">
        <f ca="1">IFERROR(__xludf.DUMMYFUNCTION("""COMPUTED_VALUE"""),"| 1 L INE % | 3 P CPT % | 5 L JAVA % | 6 L NS % ")</f>
        <v xml:space="preserve">| 1 L INE % | 3 P CPT % | 5 L JAVA % | 6 L NS % </v>
      </c>
      <c r="AV377" s="4" t="str">
        <f ca="1">IFERROR(__xludf.DUMMYFUNCTION("""COMPUTED_VALUE"""),"| 1 P Python % | 3 P JAVA % | 5 L NS % | 6 L CPT % ")</f>
        <v xml:space="preserve">| 1 P Python % | 3 P JAVA % | 5 L NS % | 6 L CPT % </v>
      </c>
      <c r="AW377" s="4" t="str">
        <f ca="1">IFERROR(__xludf.DUMMYFUNCTION("""COMPUTED_VALUE"""),"| 1 P NS % | 3 L CPT % | 4 L PHP-CGM % | 5 P PHP-CGM % ")</f>
        <v xml:space="preserve">| 1 P NS % | 3 L CPT % | 4 L PHP-CGM % | 5 P PHP-CGM % </v>
      </c>
      <c r="AX377" s="4" t="str">
        <f ca="1">IFERROR(__xludf.DUMMYFUNCTION("""COMPUTED_VALUE"""),"| 1 P Python @ | 3 L JAVA @ | 4 L PHP-CGM @ | 5 P PRO @ ")</f>
        <v xml:space="preserve">| 1 P Python @ | 3 L JAVA @ | 4 L PHP-CGM @ | 5 P PRO @ </v>
      </c>
      <c r="AY377" s="4" t="str">
        <f ca="1">IFERROR(__xludf.DUMMYFUNCTION("""COMPUTED_VALUE"""),"| 2 L PHP-CGM @ | 3 P JAVA @ | 5 L CPT @ | 6 L NS @ | 1 L JAVA @ ")</f>
        <v xml:space="preserve">| 2 L PHP-CGM @ | 3 P JAVA @ | 5 L CPT @ | 6 L NS @ | 1 L JAVA @ </v>
      </c>
      <c r="AZ377" s="4" t="str">
        <f ca="1">IFERROR(__xludf.DUMMYFUNCTION("""COMPUTED_VALUE"""),"| 1 P Python % | 3 P JAVA % | 5 L NS % | 6 L CPT % ")</f>
        <v xml:space="preserve">| 1 P Python % | 3 P JAVA % | 5 L NS % | 6 L CPT % </v>
      </c>
      <c r="BA377" s="4" t="str">
        <f ca="1">IFERROR(__xludf.DUMMYFUNCTION("""COMPUTED_VALUE"""),"| 1 P NS % | 3 L CPT % | 4 L PHP-CGM % | 5 P PHP-CGM % ")</f>
        <v xml:space="preserve">| 1 P NS % | 3 L CPT % | 4 L PHP-CGM % | 5 P PHP-CGM % </v>
      </c>
      <c r="BB377" s="4" t="str">
        <f ca="1">IFERROR(__xludf.DUMMYFUNCTION("""COMPUTED_VALUE"""),"| 1 P Python % | 3 L PHP-CGM % | 4 L JAVA % | 5 L PRO % ")</f>
        <v xml:space="preserve">| 1 P Python % | 3 L PHP-CGM % | 4 L JAVA % | 5 L PRO % </v>
      </c>
      <c r="BC377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7" s="4" t="str">
        <f ca="1">IFERROR(__xludf.DUMMYFUNCTION("""COMPUTED_VALUE"""),"| 1 L INE @ | 3 P CPT @ | 5 L JAVA @ | 6 L NS @ ")</f>
        <v xml:space="preserve">| 1 L INE @ | 3 P CPT @ | 5 L JAVA @ | 6 L NS @ </v>
      </c>
      <c r="BE377" s="4" t="str">
        <f ca="1">IFERROR(__xludf.DUMMYFUNCTION("""COMPUTED_VALUE"""),"| 1 P Python % | 3 P JAVA % | 5 L NS @ | 6 L CPT @ ")</f>
        <v xml:space="preserve">| 1 P Python % | 3 P JAVA % | 5 L NS @ | 6 L CPT @ </v>
      </c>
      <c r="BF377" s="4" t="str">
        <f ca="1">IFERROR(__xludf.DUMMYFUNCTION("""COMPUTED_VALUE"""),"| 1 P NS % | 3 L CPT % | 4 L PHP-CGM % ")</f>
        <v xml:space="preserve">| 1 P NS % | 3 L CPT % | 4 L PHP-CGM % </v>
      </c>
      <c r="BG377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77" s="4" t="str">
        <f ca="1">IFERROR(__xludf.DUMMYFUNCTION("""COMPUTED_VALUE"""),"| 1 L INE % | 3 P CPT % | 5 L JAVA % | 6 L NS % ")</f>
        <v xml:space="preserve">| 1 L INE % | 3 P CPT % | 5 L JAVA % | 6 L NS % </v>
      </c>
      <c r="BI377" s="4" t="str">
        <f ca="1">IFERROR(__xludf.DUMMYFUNCTION("""COMPUTED_VALUE"""),"| 1 P Python % | 3 P JAVA % | 5 L NS % | 6 L CPT % ")</f>
        <v xml:space="preserve">| 1 P Python % | 3 P JAVA % | 5 L NS % | 6 L CPT % </v>
      </c>
      <c r="BJ377" s="4" t="str">
        <f ca="1">IFERROR(__xludf.DUMMYFUNCTION("""COMPUTED_VALUE"""),"| 1 P NS % | 3 L CPT % | 4 L PHP-CGM % | 5 P PHP-CGM % ")</f>
        <v xml:space="preserve">| 1 P NS % | 3 L CPT % | 4 L PHP-CGM % | 5 P PHP-CGM % </v>
      </c>
      <c r="BK377" s="4" t="str">
        <f ca="1">IFERROR(__xludf.DUMMYFUNCTION("""COMPUTED_VALUE"""),"| 1 P Python % | 3 L PHP-CGM % | 4 L JAVA % | 5 P PRO % ")</f>
        <v xml:space="preserve">| 1 P Python % | 3 L PHP-CGM % | 4 L JAVA % | 5 P PRO % </v>
      </c>
      <c r="BL377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BM377" s="4" t="str">
        <f ca="1">IFERROR(__xludf.DUMMYFUNCTION("""COMPUTED_VALUE"""),"| 1 L INE % | 3 P CPT % | 5 L JAVA % | 6 L NS % ")</f>
        <v xml:space="preserve">| 1 L INE % | 3 P CPT % | 5 L JAVA % | 6 L NS % </v>
      </c>
      <c r="BN377" s="4" t="str">
        <f ca="1">IFERROR(__xludf.DUMMYFUNCTION("""COMPUTED_VALUE"""),"| 1 P Python % | 3 P JAVA @ | 5 L NS % | 6 L CPT % ")</f>
        <v xml:space="preserve">| 1 P Python % | 3 P JAVA @ | 5 L NS % | 6 L CPT % </v>
      </c>
      <c r="BO377" s="4" t="str">
        <f ca="1">IFERROR(__xludf.DUMMYFUNCTION("""COMPUTED_VALUE"""),"| 1 P NS % | 4 L PHP-CGM % | 3 L CPT % ")</f>
        <v xml:space="preserve">| 1 P NS % | 4 L PHP-CGM % | 3 L CPT % </v>
      </c>
      <c r="BP377" s="4" t="str">
        <f ca="1">IFERROR(__xludf.DUMMYFUNCTION("""COMPUTED_VALUE"""),"| 3 L PHP-CGM % | 4 L JAVA % | 5 P PRO % ")</f>
        <v xml:space="preserve">| 3 L PHP-CGM % | 4 L JAVA % | 5 P PRO % </v>
      </c>
      <c r="BQ377" s="4" t="str">
        <f ca="1">IFERROR(__xludf.DUMMYFUNCTION("""COMPUTED_VALUE"""),"| 6 L NS % | 5 L JAVA % | 3 P CPT % ")</f>
        <v xml:space="preserve">| 6 L NS % | 5 L JAVA % | 3 P CPT % </v>
      </c>
      <c r="BR377" s="4"/>
      <c r="BS377" s="4" t="str">
        <f ca="1">IFERROR(__xludf.DUMMYFUNCTION("""COMPUTED_VALUE"""),"| 4 L PHP-CGM % ")</f>
        <v xml:space="preserve">| 4 L PHP-CGM % </v>
      </c>
      <c r="BT377" s="4" t="str">
        <f ca="1">IFERROR(__xludf.DUMMYFUNCTION("""COMPUTED_VALUE"""),"| 1 P Python % | 3 L PHP-CGM % ")</f>
        <v xml:space="preserve">| 1 P Python % | 3 L PHP-CGM % </v>
      </c>
      <c r="BU377" s="4" t="str">
        <f ca="1">IFERROR(__xludf.DUMMYFUNCTION("""COMPUTED_VALUE"""),"| 1 L JAVA % | 2 L PHP-CGM % | 3 P JAVA @ ")</f>
        <v xml:space="preserve">| 1 L JAVA % | 2 L PHP-CGM % | 3 P JAVA @ </v>
      </c>
      <c r="BV377" s="4" t="str">
        <f ca="1">IFERROR(__xludf.DUMMYFUNCTION("""COMPUTED_VALUE"""),"| 1 P Python @ | 3 L PHP-CGM @ | 4 L JAVA @ | 5 P PRO @ ")</f>
        <v xml:space="preserve">| 1 P Python @ | 3 L PHP-CGM @ | 4 L JAVA @ | 5 P PRO @ </v>
      </c>
      <c r="BW377" s="4" t="str">
        <f ca="1">IFERROR(__xludf.DUMMYFUNCTION("""COMPUTED_VALUE"""),"| 1 L JAVA % | 2 L PHP-CGM % | 3 P JAVA % ")</f>
        <v xml:space="preserve">| 1 L JAVA % | 2 L PHP-CGM % | 3 P JAVA % </v>
      </c>
      <c r="BX377" s="4" t="str">
        <f ca="1">IFERROR(__xludf.DUMMYFUNCTION("""COMPUTED_VALUE"""),"| 1 L INE % | 3 P CPT % | 5 L JAVA % | 6 L NS % ")</f>
        <v xml:space="preserve">| 1 L INE % | 3 P CPT % | 5 L JAVA % | 6 L NS % </v>
      </c>
      <c r="BY377" s="4" t="str">
        <f ca="1">IFERROR(__xludf.DUMMYFUNCTION("""COMPUTED_VALUE"""),"| 1 P Python % | 3 P JAVA % | 5 L NS @ | 6 L CPT @ ")</f>
        <v xml:space="preserve">| 1 P Python % | 3 P JAVA % | 5 L NS @ | 6 L CPT @ </v>
      </c>
      <c r="BZ377" s="4" t="str">
        <f ca="1">IFERROR(__xludf.DUMMYFUNCTION("""COMPUTED_VALUE"""),"| 1 P NS % | 3 L CPT @ | 4 L PHP-CGM @ | 5 P PHP-CGM % ")</f>
        <v xml:space="preserve">| 1 P NS % | 3 L CPT @ | 4 L PHP-CGM @ | 5 P PHP-CGM % </v>
      </c>
      <c r="CA377" s="4" t="str">
        <f ca="1">IFERROR(__xludf.DUMMYFUNCTION("""COMPUTED_VALUE"""),"| 1 P Python @ | 3 L PHP-CGM % | 3 L JAVA % | 5 P PRO % ")</f>
        <v xml:space="preserve">| 1 P Python @ | 3 L PHP-CGM % | 3 L JAVA % | 5 P PRO % </v>
      </c>
      <c r="CB377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CC377" s="4" t="str">
        <f ca="1">IFERROR(__xludf.DUMMYFUNCTION("""COMPUTED_VALUE"""),"| 1 L INE % | 3 P CPT % | 5 L JAVA % | 6 L NS % ")</f>
        <v xml:space="preserve">| 1 L INE % | 3 P CPT % | 5 L JAVA % | 6 L NS % </v>
      </c>
      <c r="CD377" s="4" t="str">
        <f ca="1">IFERROR(__xludf.DUMMYFUNCTION("""COMPUTED_VALUE"""),"| 1 P Python % | 3 P JAVA % | 5 L NS % | 6 L CPT % ")</f>
        <v xml:space="preserve">| 1 P Python % | 3 P JAVA % | 5 L NS % | 6 L CPT % </v>
      </c>
      <c r="CE377" s="4" t="str">
        <f ca="1">IFERROR(__xludf.DUMMYFUNCTION("""COMPUTED_VALUE"""),"| 1 P NS % | 3 L CPT @ | 4 L PHP-CGM @ ")</f>
        <v xml:space="preserve">| 1 P NS % | 3 L CPT @ | 4 L PHP-CGM @ </v>
      </c>
      <c r="CF377" s="4" t="str">
        <f ca="1">IFERROR(__xludf.DUMMYFUNCTION("""COMPUTED_VALUE"""),"| 1 P Python % | 4 L JAVA % | 3 L PHP-CGM % | 5 L PRO % ")</f>
        <v xml:space="preserve">| 1 P Python % | 4 L JAVA % | 3 L PHP-CGM % | 5 L PRO % </v>
      </c>
      <c r="CG377" s="4" t="str">
        <f ca="1">IFERROR(__xludf.DUMMYFUNCTION("""COMPUTED_VALUE"""),"| 1 L JAVA % | 2 L PHP-CGM % | 6 L NS @ | 3 P JAVA % ")</f>
        <v xml:space="preserve">| 1 L JAVA % | 2 L PHP-CGM % | 6 L NS @ | 3 P JAVA % </v>
      </c>
      <c r="CH377" s="4" t="str">
        <f ca="1">IFERROR(__xludf.DUMMYFUNCTION("""COMPUTED_VALUE"""),"| 1 L INE % | 3 P CPT % | 5 L JAVA @ | 6 L NS @ ")</f>
        <v xml:space="preserve">| 1 L INE % | 3 P CPT % | 5 L JAVA @ | 6 L NS @ </v>
      </c>
      <c r="CI377" s="4" t="str">
        <f ca="1">IFERROR(__xludf.DUMMYFUNCTION("""COMPUTED_VALUE"""),"| 5 L NS @ | 6 L CPT @ ")</f>
        <v xml:space="preserve">| 5 L NS @ | 6 L CPT @ </v>
      </c>
      <c r="CJ377" s="4" t="str">
        <f ca="1">IFERROR(__xludf.DUMMYFUNCTION("""COMPUTED_VALUE"""),"| 1 P NS @ | 3 L CPT @ ")</f>
        <v xml:space="preserve">| 1 P NS @ | 3 L CPT @ </v>
      </c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</row>
    <row r="378" spans="1:102" ht="12.5" x14ac:dyDescent="0.25">
      <c r="A378" s="3">
        <f ca="1">IFERROR(__xludf.DUMMYFUNCTION("""COMPUTED_VALUE"""),2)</f>
        <v>2</v>
      </c>
      <c r="B378" s="3" t="str">
        <f ca="1">IFERROR(__xludf.DUMMYFUNCTION("""COMPUTED_VALUE"""),"ITA")</f>
        <v>ITA</v>
      </c>
      <c r="C378" s="32" t="str">
        <f ca="1">IFERROR(__xludf.DUMMYFUNCTION("""COMPUTED_VALUE"""),"23291371082")</f>
        <v>23291371082</v>
      </c>
      <c r="D378" s="4" t="str">
        <f ca="1">IFERROR(__xludf.DUMMYFUNCTION("""COMPUTED_VALUE"""),"PATEL KRISH MAHESHBHAI")</f>
        <v>PATEL KRISH MAHESHBHAI</v>
      </c>
      <c r="E378" s="3" t="str">
        <f ca="1">IFERROR(__xludf.DUMMYFUNCTION("""COMPUTED_VALUE"""),"Sweety - Mor")</f>
        <v>Sweety - Mor</v>
      </c>
      <c r="F378" s="3">
        <f ca="1">IFERROR(__xludf.DUMMYFUNCTION("""COMPUTED_VALUE"""),9265016418)</f>
        <v>9265016418</v>
      </c>
      <c r="G378" s="3">
        <f ca="1">IFERROR(__xludf.DUMMYFUNCTION("""COMPUTED_VALUE"""),9724148036)</f>
        <v>9724148036</v>
      </c>
      <c r="H378" s="33">
        <f ca="1">IFERROR(__xludf.DUMMYFUNCTION("""COMPUTED_VALUE"""),0.776422764227642)</f>
        <v>0.776422764227642</v>
      </c>
      <c r="I378" s="25">
        <f ca="1">IFERROR(__xludf.DUMMYFUNCTION("""COMPUTED_VALUE"""),0.742857142857142)</f>
        <v>0.74285714285714199</v>
      </c>
      <c r="J378" s="25">
        <f ca="1">IFERROR(__xludf.DUMMYFUNCTION("""COMPUTED_VALUE"""),1)</f>
        <v>1</v>
      </c>
      <c r="K378" s="25">
        <f ca="1">IFERROR(__xludf.DUMMYFUNCTION("""COMPUTED_VALUE"""),0.722222222222222)</f>
        <v>0.72222222222222199</v>
      </c>
      <c r="L378" s="25">
        <f ca="1">IFERROR(__xludf.DUMMYFUNCTION("""COMPUTED_VALUE"""),0.833333333333333)</f>
        <v>0.83333333333333304</v>
      </c>
      <c r="M378" s="25">
        <f ca="1">IFERROR(__xludf.DUMMYFUNCTION("""COMPUTED_VALUE"""),0.789473684210526)</f>
        <v>0.78947368421052599</v>
      </c>
      <c r="N378" s="25">
        <f ca="1">IFERROR(__xludf.DUMMYFUNCTION("""COMPUTED_VALUE"""),0.75)</f>
        <v>0.75</v>
      </c>
      <c r="O378" s="25">
        <f ca="1">IFERROR(__xludf.DUMMYFUNCTION("""COMPUTED_VALUE"""),0.777777777777777)</f>
        <v>0.77777777777777701</v>
      </c>
      <c r="P378" s="25">
        <f ca="1">IFERROR(__xludf.DUMMYFUNCTION("""COMPUTED_VALUE"""),0.8)</f>
        <v>0.8</v>
      </c>
      <c r="Q378" s="25">
        <f ca="1">IFERROR(__xludf.DUMMYFUNCTION("""COMPUTED_VALUE"""),0)</f>
        <v>0</v>
      </c>
      <c r="R378" s="25">
        <f ca="1">IFERROR(__xludf.DUMMYFUNCTION("""COMPUTED_VALUE"""),0.875)</f>
        <v>0.875</v>
      </c>
      <c r="S378" s="25">
        <f ca="1">IFERROR(__xludf.DUMMYFUNCTION("""COMPUTED_VALUE"""),0.333333333333333)</f>
        <v>0.33333333333333298</v>
      </c>
      <c r="T378" s="25">
        <f ca="1">IFERROR(__xludf.DUMMYFUNCTION("""COMPUTED_VALUE"""),0.666666666666666)</f>
        <v>0.66666666666666596</v>
      </c>
      <c r="U378" s="25">
        <f ca="1">IFERROR(__xludf.DUMMYFUNCTION("""COMPUTED_VALUE"""),0.625)</f>
        <v>0.625</v>
      </c>
      <c r="V378" s="25">
        <f ca="1">IFERROR(__xludf.DUMMYFUNCTION("""COMPUTED_VALUE"""),0)</f>
        <v>0</v>
      </c>
      <c r="W378" s="4"/>
      <c r="X378" s="4" t="str">
        <f ca="1">IFERROR(__xludf.DUMMYFUNCTION("""COMPUTED_VALUE"""),"| 1 P Python % | 4 L JAVA % | 3 L PHP-CGM % | 1 L PRO @ ")</f>
        <v xml:space="preserve">| 1 P Python % | 4 L JAVA % | 3 L PHP-CGM % | 1 L PRO @ </v>
      </c>
      <c r="Y378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Z378" s="4" t="str">
        <f ca="1">IFERROR(__xludf.DUMMYFUNCTION("""COMPUTED_VALUE"""),"| 3 P CPT % | 5 L JAVA % | 6 L NS % ")</f>
        <v xml:space="preserve">| 3 P CPT % | 5 L JAVA % | 6 L NS % </v>
      </c>
      <c r="AA378" s="4" t="str">
        <f ca="1">IFERROR(__xludf.DUMMYFUNCTION("""COMPUTED_VALUE"""),"| 1 P Python % | 5 P JAVA % | 5 L NS % | 6 L CPT % ")</f>
        <v xml:space="preserve">| 1 P Python % | 5 P JAVA % | 5 L NS % | 6 L CPT % </v>
      </c>
      <c r="AB378" s="4" t="str">
        <f ca="1">IFERROR(__xludf.DUMMYFUNCTION("""COMPUTED_VALUE"""),"| 1 P NS % | 3 L CPT % | 5 P PHP-CGM % | 4 L PHP-CGM % ")</f>
        <v xml:space="preserve">| 1 P NS % | 3 L CPT % | 5 P PHP-CGM % | 4 L PHP-CGM % </v>
      </c>
      <c r="AC378" s="4" t="str">
        <f ca="1">IFERROR(__xludf.DUMMYFUNCTION("""COMPUTED_VALUE"""),"| 1 P Python % | 3 L PHP-CGM % | 5 P PRO % ")</f>
        <v xml:space="preserve">| 1 P Python % | 3 L PHP-CGM % | 5 P PRO % </v>
      </c>
      <c r="AD378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8" s="4" t="str">
        <f ca="1">IFERROR(__xludf.DUMMYFUNCTION("""COMPUTED_VALUE"""),"| 3 P CPT % | 5 L JAVA % | 6 L NS % ")</f>
        <v xml:space="preserve">| 3 P CPT % | 5 L JAVA % | 6 L NS % </v>
      </c>
      <c r="AF378" s="4" t="str">
        <f ca="1">IFERROR(__xludf.DUMMYFUNCTION("""COMPUTED_VALUE"""),"| 1 P Python % | 3 P JAVA % | 5 L NS % | 6 L CPT % ")</f>
        <v xml:space="preserve">| 1 P Python % | 3 P JAVA % | 5 L NS % | 6 L CPT % </v>
      </c>
      <c r="AG378" s="4" t="str">
        <f ca="1">IFERROR(__xludf.DUMMYFUNCTION("""COMPUTED_VALUE"""),"| 1 P NS % | 3 L CPT % | 4 L PHP-CGM % | 5 P PHP-CGM @ ")</f>
        <v xml:space="preserve">| 1 P NS % | 3 L CPT % | 4 L PHP-CGM % | 5 P PHP-CGM @ </v>
      </c>
      <c r="AH378" s="4" t="str">
        <f ca="1">IFERROR(__xludf.DUMMYFUNCTION("""COMPUTED_VALUE"""),"| 1 P Python % | 3 P JAVA % | 5 L NS % | 6 L CPT % ")</f>
        <v xml:space="preserve">| 1 P Python % | 3 P JAVA % | 5 L NS % | 6 L CPT % </v>
      </c>
      <c r="AI378" s="4" t="str">
        <f ca="1">IFERROR(__xludf.DUMMYFUNCTION("""COMPUTED_VALUE"""),"| 1 P NS % | 3 L CPT % | 4 L PHP-CGM % | 5 P PHP-CGM % ")</f>
        <v xml:space="preserve">| 1 P NS % | 3 L CPT % | 4 L PHP-CGM % | 5 P PHP-CGM % </v>
      </c>
      <c r="AJ378" s="4" t="str">
        <f ca="1">IFERROR(__xludf.DUMMYFUNCTION("""COMPUTED_VALUE"""),"| 1 P Python % | 3 L PHP-CGM % | 4 L JAVA % | 5 P PRO @ ")</f>
        <v xml:space="preserve">| 1 P Python % | 3 L PHP-CGM % | 4 L JAVA % | 5 P PRO @ </v>
      </c>
      <c r="AK378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8" s="4" t="str">
        <f ca="1">IFERROR(__xludf.DUMMYFUNCTION("""COMPUTED_VALUE"""),"| 3 P CPT % | 5 L JAVA % | 6 L NS % ")</f>
        <v xml:space="preserve">| 3 P CPT % | 5 L JAVA % | 6 L NS % </v>
      </c>
      <c r="AM378" s="4" t="str">
        <f ca="1">IFERROR(__xludf.DUMMYFUNCTION("""COMPUTED_VALUE"""),"| 1 P Python % | 3 P JAVA % | 5 L NS % | 6 L CPT % ")</f>
        <v xml:space="preserve">| 1 P Python % | 3 P JAVA % | 5 L NS % | 6 L CPT % </v>
      </c>
      <c r="AN378" s="4" t="str">
        <f ca="1">IFERROR(__xludf.DUMMYFUNCTION("""COMPUTED_VALUE"""),"| 1 P NS % | 4 L PHP-CGM % | 5 P PHP-CGM % ")</f>
        <v xml:space="preserve">| 1 P NS % | 4 L PHP-CGM % | 5 P PHP-CGM % </v>
      </c>
      <c r="AO378" s="4" t="str">
        <f ca="1">IFERROR(__xludf.DUMMYFUNCTION("""COMPUTED_VALUE"""),"| 1 P Python % | 3 L PHP-CGM @ | 4 L JAVA % | 5 P PRO % ")</f>
        <v xml:space="preserve">| 1 P Python % | 3 L PHP-CGM @ | 4 L JAVA % | 5 P PRO % </v>
      </c>
      <c r="AP378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8" s="4" t="str">
        <f ca="1">IFERROR(__xludf.DUMMYFUNCTION("""COMPUTED_VALUE"""),"| 1 L INE % | 3 P CPT % | 5 L JAVA % | 6 L NS % ")</f>
        <v xml:space="preserve">| 1 L INE % | 3 P CPT % | 5 L JAVA % | 6 L NS % </v>
      </c>
      <c r="AR378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78" s="4" t="str">
        <f ca="1">IFERROR(__xludf.DUMMYFUNCTION("""COMPUTED_VALUE"""),"| 1 P Python % | 3 L PHP-CGM % | 4 L JAVA % | 5 P PRO % ")</f>
        <v xml:space="preserve">| 1 P Python % | 3 L PHP-CGM % | 4 L JAVA % | 5 P PRO % </v>
      </c>
      <c r="AT378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U378" s="4" t="str">
        <f ca="1">IFERROR(__xludf.DUMMYFUNCTION("""COMPUTED_VALUE"""),"| 1 L INE @ | 3 P CPT % | 5 L JAVA % | 6 L NS % ")</f>
        <v xml:space="preserve">| 1 L INE @ | 3 P CPT % | 5 L JAVA % | 6 L NS % </v>
      </c>
      <c r="AV378" s="4" t="str">
        <f ca="1">IFERROR(__xludf.DUMMYFUNCTION("""COMPUTED_VALUE"""),"| 1 P Python % | 3 P JAVA % | 5 L NS % | 6 L CPT % ")</f>
        <v xml:space="preserve">| 1 P Python % | 3 P JAVA % | 5 L NS % | 6 L CPT % </v>
      </c>
      <c r="AW378" s="4" t="str">
        <f ca="1">IFERROR(__xludf.DUMMYFUNCTION("""COMPUTED_VALUE"""),"| 1 P NS % | 3 L CPT % | 4 L PHP-CGM % | 5 P PHP-CGM % ")</f>
        <v xml:space="preserve">| 1 P NS % | 3 L CPT % | 4 L PHP-CGM % | 5 P PHP-CGM % </v>
      </c>
      <c r="AX378" s="4" t="str">
        <f ca="1">IFERROR(__xludf.DUMMYFUNCTION("""COMPUTED_VALUE"""),"| 1 P Python % | 3 L JAVA % | 4 L PHP-CGM % | 5 P PRO % ")</f>
        <v xml:space="preserve">| 1 P Python % | 3 L JAVA % | 4 L PHP-CGM % | 5 P PRO % </v>
      </c>
      <c r="AY378" s="4" t="str">
        <f ca="1">IFERROR(__xludf.DUMMYFUNCTION("""COMPUTED_VALUE"""),"| 2 L PHP-CGM @ | 3 P JAVA @ | 5 L CPT % | 6 L NS @ | 1 L JAVA @ ")</f>
        <v xml:space="preserve">| 2 L PHP-CGM @ | 3 P JAVA @ | 5 L CPT % | 6 L NS @ | 1 L JAVA @ </v>
      </c>
      <c r="AZ378" s="4" t="str">
        <f ca="1">IFERROR(__xludf.DUMMYFUNCTION("""COMPUTED_VALUE"""),"| 1 P Python % | 3 P JAVA % | 5 L NS % | 6 L CPT % ")</f>
        <v xml:space="preserve">| 1 P Python % | 3 P JAVA % | 5 L NS % | 6 L CPT % </v>
      </c>
      <c r="BA378" s="4" t="str">
        <f ca="1">IFERROR(__xludf.DUMMYFUNCTION("""COMPUTED_VALUE"""),"| 1 P NS % | 3 L CPT % | 4 L PHP-CGM % | 5 P PHP-CGM % ")</f>
        <v xml:space="preserve">| 1 P NS % | 3 L CPT % | 4 L PHP-CGM % | 5 P PHP-CGM % </v>
      </c>
      <c r="BB378" s="4" t="str">
        <f ca="1">IFERROR(__xludf.DUMMYFUNCTION("""COMPUTED_VALUE"""),"| 1 P Python % | 3 L PHP-CGM @ | 4 L JAVA @ | 5 L PRO @ ")</f>
        <v xml:space="preserve">| 1 P Python % | 3 L PHP-CGM @ | 4 L JAVA @ | 5 L PRO @ </v>
      </c>
      <c r="BC378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8" s="4" t="str">
        <f ca="1">IFERROR(__xludf.DUMMYFUNCTION("""COMPUTED_VALUE"""),"| 1 L INE % | 3 P CPT % | 5 L JAVA % | 6 L NS % ")</f>
        <v xml:space="preserve">| 1 L INE % | 3 P CPT % | 5 L JAVA % | 6 L NS % </v>
      </c>
      <c r="BE378" s="4" t="str">
        <f ca="1">IFERROR(__xludf.DUMMYFUNCTION("""COMPUTED_VALUE"""),"| 1 P Python % | 3 P JAVA @ | 5 L NS @ | 6 L CPT @ ")</f>
        <v xml:space="preserve">| 1 P Python % | 3 P JAVA @ | 5 L NS @ | 6 L CPT @ </v>
      </c>
      <c r="BF378" s="4" t="str">
        <f ca="1">IFERROR(__xludf.DUMMYFUNCTION("""COMPUTED_VALUE"""),"| 1 P NS @ | 3 L CPT @ | 4 L PHP-CGM @ ")</f>
        <v xml:space="preserve">| 1 P NS @ | 3 L CPT @ | 4 L PHP-CGM @ </v>
      </c>
      <c r="BG378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78" s="4" t="str">
        <f ca="1">IFERROR(__xludf.DUMMYFUNCTION("""COMPUTED_VALUE"""),"| 1 L INE % | 3 P CPT % | 5 L JAVA % | 6 L NS % ")</f>
        <v xml:space="preserve">| 1 L INE % | 3 P CPT % | 5 L JAVA % | 6 L NS % </v>
      </c>
      <c r="BI378" s="4" t="str">
        <f ca="1">IFERROR(__xludf.DUMMYFUNCTION("""COMPUTED_VALUE"""),"| 1 P Python % | 3 P JAVA % | 5 L NS % | 6 L CPT % ")</f>
        <v xml:space="preserve">| 1 P Python % | 3 P JAVA % | 5 L NS % | 6 L CPT % </v>
      </c>
      <c r="BJ378" s="4" t="str">
        <f ca="1">IFERROR(__xludf.DUMMYFUNCTION("""COMPUTED_VALUE"""),"| 1 P NS @ | 3 L CPT @ | 4 L PHP-CGM @ | 5 P PHP-CGM @ ")</f>
        <v xml:space="preserve">| 1 P NS @ | 3 L CPT @ | 4 L PHP-CGM @ | 5 P PHP-CGM @ </v>
      </c>
      <c r="BK378" s="4" t="str">
        <f ca="1">IFERROR(__xludf.DUMMYFUNCTION("""COMPUTED_VALUE"""),"| 1 P Python % | 3 L PHP-CGM @ | 4 L JAVA @ | 5 P PRO @ ")</f>
        <v xml:space="preserve">| 1 P Python % | 3 L PHP-CGM @ | 4 L JAVA @ | 5 P PRO @ </v>
      </c>
      <c r="BL378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78" s="4" t="str">
        <f ca="1">IFERROR(__xludf.DUMMYFUNCTION("""COMPUTED_VALUE"""),"| 1 L INE % | 3 P CPT % | 5 L JAVA % | 6 L NS % ")</f>
        <v xml:space="preserve">| 1 L INE % | 3 P CPT % | 5 L JAVA % | 6 L NS % </v>
      </c>
      <c r="BN378" s="4" t="str">
        <f ca="1">IFERROR(__xludf.DUMMYFUNCTION("""COMPUTED_VALUE"""),"| 1 P Python @ | 3 P JAVA % | 5 L NS % | 6 L CPT % ")</f>
        <v xml:space="preserve">| 1 P Python @ | 3 P JAVA % | 5 L NS % | 6 L CPT % </v>
      </c>
      <c r="BO378" s="4" t="str">
        <f ca="1">IFERROR(__xludf.DUMMYFUNCTION("""COMPUTED_VALUE"""),"| 1 P NS % | 4 L PHP-CGM % | 3 L CPT % ")</f>
        <v xml:space="preserve">| 1 P NS % | 4 L PHP-CGM % | 3 L CPT % </v>
      </c>
      <c r="BP378" s="4" t="str">
        <f ca="1">IFERROR(__xludf.DUMMYFUNCTION("""COMPUTED_VALUE"""),"| 3 L PHP-CGM % | 4 L JAVA % | 5 P PRO % ")</f>
        <v xml:space="preserve">| 3 L PHP-CGM % | 4 L JAVA % | 5 P PRO % </v>
      </c>
      <c r="BQ378" s="4" t="str">
        <f ca="1">IFERROR(__xludf.DUMMYFUNCTION("""COMPUTED_VALUE"""),"| 6 L NS % | 5 L JAVA @ | 3 P CPT % ")</f>
        <v xml:space="preserve">| 6 L NS % | 5 L JAVA @ | 3 P CPT % </v>
      </c>
      <c r="BR378" s="4"/>
      <c r="BS378" s="4" t="str">
        <f ca="1">IFERROR(__xludf.DUMMYFUNCTION("""COMPUTED_VALUE"""),"| 4 L PHP-CGM % ")</f>
        <v xml:space="preserve">| 4 L PHP-CGM % </v>
      </c>
      <c r="BT378" s="4" t="str">
        <f ca="1">IFERROR(__xludf.DUMMYFUNCTION("""COMPUTED_VALUE"""),"| 1 P Python % | 3 L PHP-CGM % ")</f>
        <v xml:space="preserve">| 1 P Python % | 3 L PHP-CGM % </v>
      </c>
      <c r="BU378" s="4" t="str">
        <f ca="1">IFERROR(__xludf.DUMMYFUNCTION("""COMPUTED_VALUE"""),"| 1 L JAVA % | 2 L PHP-CGM % | 3 P JAVA % ")</f>
        <v xml:space="preserve">| 1 L JAVA % | 2 L PHP-CGM % | 3 P JAVA % </v>
      </c>
      <c r="BV378" s="4" t="str">
        <f ca="1">IFERROR(__xludf.DUMMYFUNCTION("""COMPUTED_VALUE"""),"| 1 P Python @ | 3 L PHP-CGM @ | 4 L JAVA @ | 5 P PRO @ ")</f>
        <v xml:space="preserve">| 1 P Python @ | 3 L PHP-CGM @ | 4 L JAVA @ | 5 P PRO @ </v>
      </c>
      <c r="BW378" s="4" t="str">
        <f ca="1">IFERROR(__xludf.DUMMYFUNCTION("""COMPUTED_VALUE"""),"| 1 L JAVA % | 2 L PHP-CGM % | 3 P JAVA % ")</f>
        <v xml:space="preserve">| 1 L JAVA % | 2 L PHP-CGM % | 3 P JAVA % </v>
      </c>
      <c r="BX378" s="4" t="str">
        <f ca="1">IFERROR(__xludf.DUMMYFUNCTION("""COMPUTED_VALUE"""),"| 1 L INE @ | 3 P CPT % | 5 L JAVA @ | 6 L NS @ ")</f>
        <v xml:space="preserve">| 1 L INE @ | 3 P CPT % | 5 L JAVA @ | 6 L NS @ </v>
      </c>
      <c r="BY378" s="4" t="str">
        <f ca="1">IFERROR(__xludf.DUMMYFUNCTION("""COMPUTED_VALUE"""),"| 1 P Python % | 3 P JAVA % | 5 L NS @ | 6 L CPT @ ")</f>
        <v xml:space="preserve">| 1 P Python % | 3 P JAVA % | 5 L NS @ | 6 L CPT @ </v>
      </c>
      <c r="BZ378" s="4" t="str">
        <f ca="1">IFERROR(__xludf.DUMMYFUNCTION("""COMPUTED_VALUE"""),"| 1 P NS % | 3 L CPT @ | 4 L PHP-CGM @ | 5 P PHP-CGM % ")</f>
        <v xml:space="preserve">| 1 P NS % | 3 L CPT @ | 4 L PHP-CGM @ | 5 P PHP-CGM % </v>
      </c>
      <c r="CA378" s="4" t="str">
        <f ca="1">IFERROR(__xludf.DUMMYFUNCTION("""COMPUTED_VALUE"""),"| 1 P Python @ | 3 L PHP-CGM % | 3 L JAVA % | 5 P PRO % ")</f>
        <v xml:space="preserve">| 1 P Python @ | 3 L PHP-CGM % | 3 L JAVA % | 5 P PRO % </v>
      </c>
      <c r="CB378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78" s="4" t="str">
        <f ca="1">IFERROR(__xludf.DUMMYFUNCTION("""COMPUTED_VALUE"""),"| 1 L INE % | 3 P CPT % | 5 L JAVA @ | 6 L NS @ ")</f>
        <v xml:space="preserve">| 1 L INE % | 3 P CPT % | 5 L JAVA @ | 6 L NS @ </v>
      </c>
      <c r="CD378" s="4" t="str">
        <f ca="1">IFERROR(__xludf.DUMMYFUNCTION("""COMPUTED_VALUE"""),"| 1 P Python % | 3 P JAVA @ | 5 L NS % | 6 L CPT % ")</f>
        <v xml:space="preserve">| 1 P Python % | 3 P JAVA @ | 5 L NS % | 6 L CPT % </v>
      </c>
      <c r="CE378" s="4" t="str">
        <f ca="1">IFERROR(__xludf.DUMMYFUNCTION("""COMPUTED_VALUE"""),"| 1 P NS % | 3 L CPT % | 4 L PHP-CGM % ")</f>
        <v xml:space="preserve">| 1 P NS % | 3 L CPT % | 4 L PHP-CGM % </v>
      </c>
      <c r="CF378" s="4" t="str">
        <f ca="1">IFERROR(__xludf.DUMMYFUNCTION("""COMPUTED_VALUE"""),"| 1 P Python % | 4 L JAVA % | 3 L PHP-CGM % | 5 L PRO % ")</f>
        <v xml:space="preserve">| 1 P Python % | 4 L JAVA % | 3 L PHP-CGM % | 5 L PRO % </v>
      </c>
      <c r="CG378" s="4" t="str">
        <f ca="1">IFERROR(__xludf.DUMMYFUNCTION("""COMPUTED_VALUE"""),"| 1 L JAVA % | 2 L PHP-CGM % | 6 L NS @ | 3 P JAVA % ")</f>
        <v xml:space="preserve">| 1 L JAVA % | 2 L PHP-CGM % | 6 L NS @ | 3 P JAVA % </v>
      </c>
      <c r="CH378" s="4" t="str">
        <f ca="1">IFERROR(__xludf.DUMMYFUNCTION("""COMPUTED_VALUE"""),"| 1 L INE @ | 3 P CPT % | 5 L JAVA @ | 6 L NS @ ")</f>
        <v xml:space="preserve">| 1 L INE @ | 3 P CPT % | 5 L JAVA @ | 6 L NS @ </v>
      </c>
      <c r="CI378" s="4" t="str">
        <f ca="1">IFERROR(__xludf.DUMMYFUNCTION("""COMPUTED_VALUE"""),"| 5 L NS % | 6 L CPT % ")</f>
        <v xml:space="preserve">| 5 L NS % | 6 L CPT % </v>
      </c>
      <c r="CJ378" s="4" t="str">
        <f ca="1">IFERROR(__xludf.DUMMYFUNCTION("""COMPUTED_VALUE"""),"| 1 P NS % | 3 L CPT @ ")</f>
        <v xml:space="preserve">| 1 P NS % | 3 L CPT @ </v>
      </c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</row>
    <row r="379" spans="1:102" ht="12.5" x14ac:dyDescent="0.25">
      <c r="A379" s="3">
        <f ca="1">IFERROR(__xludf.DUMMYFUNCTION("""COMPUTED_VALUE"""),2)</f>
        <v>2</v>
      </c>
      <c r="B379" s="3" t="str">
        <f ca="1">IFERROR(__xludf.DUMMYFUNCTION("""COMPUTED_VALUE"""),"ITA")</f>
        <v>ITA</v>
      </c>
      <c r="C379" s="32" t="str">
        <f ca="1">IFERROR(__xludf.DUMMYFUNCTION("""COMPUTED_VALUE"""),"23291371086")</f>
        <v>23291371086</v>
      </c>
      <c r="D379" s="4" t="str">
        <f ca="1">IFERROR(__xludf.DUMMYFUNCTION("""COMPUTED_VALUE"""),"PATEL MAN BHARATKUMAR")</f>
        <v>PATEL MAN BHARATKUMAR</v>
      </c>
      <c r="E379" s="3" t="str">
        <f ca="1">IFERROR(__xludf.DUMMYFUNCTION("""COMPUTED_VALUE"""),"Sweety - Mor")</f>
        <v>Sweety - Mor</v>
      </c>
      <c r="F379" s="3">
        <f ca="1">IFERROR(__xludf.DUMMYFUNCTION("""COMPUTED_VALUE"""),8780929301)</f>
        <v>8780929301</v>
      </c>
      <c r="G379" s="3">
        <f ca="1">IFERROR(__xludf.DUMMYFUNCTION("""COMPUTED_VALUE"""),9586517134)</f>
        <v>9586517134</v>
      </c>
      <c r="H379" s="33">
        <f ca="1">IFERROR(__xludf.DUMMYFUNCTION("""COMPUTED_VALUE"""),0.715447154471544)</f>
        <v>0.71544715447154394</v>
      </c>
      <c r="I379" s="25">
        <f ca="1">IFERROR(__xludf.DUMMYFUNCTION("""COMPUTED_VALUE"""),0.657142857142857)</f>
        <v>0.65714285714285703</v>
      </c>
      <c r="J379" s="25">
        <f ca="1">IFERROR(__xludf.DUMMYFUNCTION("""COMPUTED_VALUE"""),0.916666666666666)</f>
        <v>0.91666666666666596</v>
      </c>
      <c r="K379" s="25">
        <f ca="1">IFERROR(__xludf.DUMMYFUNCTION("""COMPUTED_VALUE"""),0.666666666666666)</f>
        <v>0.66666666666666596</v>
      </c>
      <c r="L379" s="25">
        <f ca="1">IFERROR(__xludf.DUMMYFUNCTION("""COMPUTED_VALUE"""),0.666666666666666)</f>
        <v>0.66666666666666596</v>
      </c>
      <c r="M379" s="25">
        <f ca="1">IFERROR(__xludf.DUMMYFUNCTION("""COMPUTED_VALUE"""),0.789473684210526)</f>
        <v>0.78947368421052599</v>
      </c>
      <c r="N379" s="25">
        <f ca="1">IFERROR(__xludf.DUMMYFUNCTION("""COMPUTED_VALUE"""),0.5)</f>
        <v>0.5</v>
      </c>
      <c r="O379" s="25">
        <f ca="1">IFERROR(__xludf.DUMMYFUNCTION("""COMPUTED_VALUE"""),0.777777777777777)</f>
        <v>0.77777777777777701</v>
      </c>
      <c r="P379" s="25">
        <f ca="1">IFERROR(__xludf.DUMMYFUNCTION("""COMPUTED_VALUE"""),0.76)</f>
        <v>0.76</v>
      </c>
      <c r="Q379" s="25">
        <f ca="1">IFERROR(__xludf.DUMMYFUNCTION("""COMPUTED_VALUE"""),0)</f>
        <v>0</v>
      </c>
      <c r="R379" s="25">
        <f ca="1">IFERROR(__xludf.DUMMYFUNCTION("""COMPUTED_VALUE"""),0.833333333333333)</f>
        <v>0.83333333333333304</v>
      </c>
      <c r="S379" s="25">
        <f ca="1">IFERROR(__xludf.DUMMYFUNCTION("""COMPUTED_VALUE"""),0.333333333333333)</f>
        <v>0.33333333333333298</v>
      </c>
      <c r="T379" s="25">
        <f ca="1">IFERROR(__xludf.DUMMYFUNCTION("""COMPUTED_VALUE"""),0.333333333333333)</f>
        <v>0.33333333333333298</v>
      </c>
      <c r="U379" s="25">
        <f ca="1">IFERROR(__xludf.DUMMYFUNCTION("""COMPUTED_VALUE"""),0.625)</f>
        <v>0.625</v>
      </c>
      <c r="V379" s="25">
        <f ca="1">IFERROR(__xludf.DUMMYFUNCTION("""COMPUTED_VALUE"""),0)</f>
        <v>0</v>
      </c>
      <c r="W379" s="4"/>
      <c r="X379" s="4" t="str">
        <f ca="1">IFERROR(__xludf.DUMMYFUNCTION("""COMPUTED_VALUE"""),"| 1 P Python @ | 4 L JAVA @ | 3 L PHP-CGM @ | 1 L PRO @ ")</f>
        <v xml:space="preserve">| 1 P Python @ | 4 L JAVA @ | 3 L PHP-CGM @ | 1 L PRO @ </v>
      </c>
      <c r="Y379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79" s="4" t="str">
        <f ca="1">IFERROR(__xludf.DUMMYFUNCTION("""COMPUTED_VALUE"""),"| 3 P CPT @ | 5 L JAVA @ | 6 L NS @ ")</f>
        <v xml:space="preserve">| 3 P CPT @ | 5 L JAVA @ | 6 L NS @ </v>
      </c>
      <c r="AA379" s="4" t="str">
        <f ca="1">IFERROR(__xludf.DUMMYFUNCTION("""COMPUTED_VALUE"""),"| 1 P Python @ | 5 P JAVA @ | 5 L NS @ | 6 L CPT @ ")</f>
        <v xml:space="preserve">| 1 P Python @ | 5 P JAVA @ | 5 L NS @ | 6 L CPT @ </v>
      </c>
      <c r="AB379" s="4" t="str">
        <f ca="1">IFERROR(__xludf.DUMMYFUNCTION("""COMPUTED_VALUE"""),"| 1 P NS @ | 3 L CPT @ | 5 P PHP-CGM @ | 4 L PHP-CGM @ ")</f>
        <v xml:space="preserve">| 1 P NS @ | 3 L CPT @ | 5 P PHP-CGM @ | 4 L PHP-CGM @ </v>
      </c>
      <c r="AC379" s="4" t="str">
        <f ca="1">IFERROR(__xludf.DUMMYFUNCTION("""COMPUTED_VALUE"""),"| 1 P Python % | 3 L PHP-CGM % | 5 P PRO % ")</f>
        <v xml:space="preserve">| 1 P Python % | 3 L PHP-CGM % | 5 P PRO % </v>
      </c>
      <c r="AD379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79" s="4" t="str">
        <f ca="1">IFERROR(__xludf.DUMMYFUNCTION("""COMPUTED_VALUE"""),"| 3 P CPT % | 5 L JAVA % | 6 L NS % ")</f>
        <v xml:space="preserve">| 3 P CPT % | 5 L JAVA % | 6 L NS % </v>
      </c>
      <c r="AF379" s="4" t="str">
        <f ca="1">IFERROR(__xludf.DUMMYFUNCTION("""COMPUTED_VALUE"""),"| 1 P Python % | 3 P JAVA % | 5 L NS % | 6 L CPT % ")</f>
        <v xml:space="preserve">| 1 P Python % | 3 P JAVA % | 5 L NS % | 6 L CPT % </v>
      </c>
      <c r="AG379" s="4" t="str">
        <f ca="1">IFERROR(__xludf.DUMMYFUNCTION("""COMPUTED_VALUE"""),"| 1 P NS % | 3 L CPT % | 4 L PHP-CGM % | 5 P PHP-CGM % ")</f>
        <v xml:space="preserve">| 1 P NS % | 3 L CPT % | 4 L PHP-CGM % | 5 P PHP-CGM % </v>
      </c>
      <c r="AH379" s="4" t="str">
        <f ca="1">IFERROR(__xludf.DUMMYFUNCTION("""COMPUTED_VALUE"""),"| 1 P Python % | 3 P JAVA % | 5 L NS % | 6 L CPT % ")</f>
        <v xml:space="preserve">| 1 P Python % | 3 P JAVA % | 5 L NS % | 6 L CPT % </v>
      </c>
      <c r="AI379" s="4" t="str">
        <f ca="1">IFERROR(__xludf.DUMMYFUNCTION("""COMPUTED_VALUE"""),"| 1 P NS % | 3 L CPT % | 4 L PHP-CGM % | 5 P PHP-CGM % ")</f>
        <v xml:space="preserve">| 1 P NS % | 3 L CPT % | 4 L PHP-CGM % | 5 P PHP-CGM % </v>
      </c>
      <c r="AJ379" s="4" t="str">
        <f ca="1">IFERROR(__xludf.DUMMYFUNCTION("""COMPUTED_VALUE"""),"| 1 P Python % | 3 L PHP-CGM % | 4 L JAVA % | 5 P PRO @ ")</f>
        <v xml:space="preserve">| 1 P Python % | 3 L PHP-CGM % | 4 L JAVA % | 5 P PRO @ </v>
      </c>
      <c r="AK37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79" s="4" t="str">
        <f ca="1">IFERROR(__xludf.DUMMYFUNCTION("""COMPUTED_VALUE"""),"| 3 P CPT % | 5 L JAVA % | 6 L NS % ")</f>
        <v xml:space="preserve">| 3 P CPT % | 5 L JAVA % | 6 L NS % </v>
      </c>
      <c r="AM379" s="4" t="str">
        <f ca="1">IFERROR(__xludf.DUMMYFUNCTION("""COMPUTED_VALUE"""),"| 1 P Python % | 3 P JAVA % | 5 L NS % | 6 L CPT % ")</f>
        <v xml:space="preserve">| 1 P Python % | 3 P JAVA % | 5 L NS % | 6 L CPT % </v>
      </c>
      <c r="AN379" s="4" t="str">
        <f ca="1">IFERROR(__xludf.DUMMYFUNCTION("""COMPUTED_VALUE"""),"| 1 P NS % | 4 L PHP-CGM % | 5 P PHP-CGM % ")</f>
        <v xml:space="preserve">| 1 P NS % | 4 L PHP-CGM % | 5 P PHP-CGM % </v>
      </c>
      <c r="AO379" s="4" t="str">
        <f ca="1">IFERROR(__xludf.DUMMYFUNCTION("""COMPUTED_VALUE"""),"| 1 P Python % | 3 L PHP-CGM % | 4 L JAVA % | 5 P PRO @ ")</f>
        <v xml:space="preserve">| 1 P Python % | 3 L PHP-CGM % | 4 L JAVA % | 5 P PRO @ </v>
      </c>
      <c r="AP37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79" s="4" t="str">
        <f ca="1">IFERROR(__xludf.DUMMYFUNCTION("""COMPUTED_VALUE"""),"| 1 L INE % | 3 P CPT % | 5 L JAVA % | 6 L NS % ")</f>
        <v xml:space="preserve">| 1 L INE % | 3 P CPT % | 5 L JAVA % | 6 L NS % </v>
      </c>
      <c r="AR379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79" s="4" t="str">
        <f ca="1">IFERROR(__xludf.DUMMYFUNCTION("""COMPUTED_VALUE"""),"| 1 P Python % | 3 L PHP-CGM % | 4 L JAVA % | 5 P PRO @ ")</f>
        <v xml:space="preserve">| 1 P Python % | 3 L PHP-CGM % | 4 L JAVA % | 5 P PRO @ </v>
      </c>
      <c r="AT37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79" s="4" t="str">
        <f ca="1">IFERROR(__xludf.DUMMYFUNCTION("""COMPUTED_VALUE"""),"| 1 L INE % | 3 P CPT % | 5 L JAVA % | 6 L NS % ")</f>
        <v xml:space="preserve">| 1 L INE % | 3 P CPT % | 5 L JAVA % | 6 L NS % </v>
      </c>
      <c r="AV379" s="4" t="str">
        <f ca="1">IFERROR(__xludf.DUMMYFUNCTION("""COMPUTED_VALUE"""),"| 1 P Python % | 3 P JAVA % | 5 L NS % | 6 L CPT % ")</f>
        <v xml:space="preserve">| 1 P Python % | 3 P JAVA % | 5 L NS % | 6 L CPT % </v>
      </c>
      <c r="AW379" s="4" t="str">
        <f ca="1">IFERROR(__xludf.DUMMYFUNCTION("""COMPUTED_VALUE"""),"| 1 P NS % | 3 L CPT % | 4 L PHP-CGM % | 5 P PHP-CGM @ ")</f>
        <v xml:space="preserve">| 1 P NS % | 3 L CPT % | 4 L PHP-CGM % | 5 P PHP-CGM @ </v>
      </c>
      <c r="AX379" s="4" t="str">
        <f ca="1">IFERROR(__xludf.DUMMYFUNCTION("""COMPUTED_VALUE"""),"| 1 P Python % | 3 L JAVA % | 4 L PHP-CGM % | 5 P PRO % ")</f>
        <v xml:space="preserve">| 1 P Python % | 3 L JAVA % | 4 L PHP-CGM % | 5 P PRO % </v>
      </c>
      <c r="AY379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79" s="4" t="str">
        <f ca="1">IFERROR(__xludf.DUMMYFUNCTION("""COMPUTED_VALUE"""),"| 1 P Python % | 3 P JAVA % | 5 L NS % | 6 L CPT % ")</f>
        <v xml:space="preserve">| 1 P Python % | 3 P JAVA % | 5 L NS % | 6 L CPT % </v>
      </c>
      <c r="BA379" s="4" t="str">
        <f ca="1">IFERROR(__xludf.DUMMYFUNCTION("""COMPUTED_VALUE"""),"| 1 P NS % | 3 L CPT % | 4 L PHP-CGM % | 5 P PHP-CGM @ ")</f>
        <v xml:space="preserve">| 1 P NS % | 3 L CPT % | 4 L PHP-CGM % | 5 P PHP-CGM @ </v>
      </c>
      <c r="BB379" s="4" t="str">
        <f ca="1">IFERROR(__xludf.DUMMYFUNCTION("""COMPUTED_VALUE"""),"| 1 P Python % | 3 L PHP-CGM % | 4 L JAVA % | 5 L PRO @ ")</f>
        <v xml:space="preserve">| 1 P Python % | 3 L PHP-CGM % | 4 L JAVA % | 5 L PRO @ </v>
      </c>
      <c r="BC379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79" s="4" t="str">
        <f ca="1">IFERROR(__xludf.DUMMYFUNCTION("""COMPUTED_VALUE"""),"| 1 L INE @ | 3 P CPT % | 5 L JAVA % | 6 L NS % ")</f>
        <v xml:space="preserve">| 1 L INE @ | 3 P CPT % | 5 L JAVA % | 6 L NS % </v>
      </c>
      <c r="BE379" s="4" t="str">
        <f ca="1">IFERROR(__xludf.DUMMYFUNCTION("""COMPUTED_VALUE"""),"| 1 P Python % | 3 P JAVA % | 5 L NS % | 6 L CPT % ")</f>
        <v xml:space="preserve">| 1 P Python % | 3 P JAVA % | 5 L NS % | 6 L CPT % </v>
      </c>
      <c r="BF379" s="4" t="str">
        <f ca="1">IFERROR(__xludf.DUMMYFUNCTION("""COMPUTED_VALUE"""),"| 1 P NS @ | 3 L CPT @ | 4 L PHP-CGM @ ")</f>
        <v xml:space="preserve">| 1 P NS @ | 3 L CPT @ | 4 L PHP-CGM @ </v>
      </c>
      <c r="BG379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BH379" s="4" t="str">
        <f ca="1">IFERROR(__xludf.DUMMYFUNCTION("""COMPUTED_VALUE"""),"| 1 L INE % | 3 P CPT % | 5 L JAVA % | 6 L NS % ")</f>
        <v xml:space="preserve">| 1 L INE % | 3 P CPT % | 5 L JAVA % | 6 L NS % </v>
      </c>
      <c r="BI379" s="4" t="str">
        <f ca="1">IFERROR(__xludf.DUMMYFUNCTION("""COMPUTED_VALUE"""),"| 1 P Python % | 3 P JAVA % | 5 L NS % | 6 L CPT % ")</f>
        <v xml:space="preserve">| 1 P Python % | 3 P JAVA % | 5 L NS % | 6 L CPT % </v>
      </c>
      <c r="BJ379" s="4" t="str">
        <f ca="1">IFERROR(__xludf.DUMMYFUNCTION("""COMPUTED_VALUE"""),"| 1 P NS % | 3 L CPT % | 4 L PHP-CGM % | 5 P PHP-CGM @ ")</f>
        <v xml:space="preserve">| 1 P NS % | 3 L CPT % | 4 L PHP-CGM % | 5 P PHP-CGM @ </v>
      </c>
      <c r="BK379" s="4" t="str">
        <f ca="1">IFERROR(__xludf.DUMMYFUNCTION("""COMPUTED_VALUE"""),"| 1 P Python % | 3 L PHP-CGM % | 4 L JAVA % | 5 P PRO @ ")</f>
        <v xml:space="preserve">| 1 P Python % | 3 L PHP-CGM % | 4 L JAVA % | 5 P PRO @ </v>
      </c>
      <c r="BL379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79" s="4" t="str">
        <f ca="1">IFERROR(__xludf.DUMMYFUNCTION("""COMPUTED_VALUE"""),"| 1 L INE @ | 3 P CPT % | 5 L JAVA % | 6 L NS % ")</f>
        <v xml:space="preserve">| 1 L INE @ | 3 P CPT % | 5 L JAVA % | 6 L NS % </v>
      </c>
      <c r="BN379" s="4" t="str">
        <f ca="1">IFERROR(__xludf.DUMMYFUNCTION("""COMPUTED_VALUE"""),"| 1 P Python % | 3 P JAVA % | 5 L NS % | 6 L CPT % ")</f>
        <v xml:space="preserve">| 1 P Python % | 3 P JAVA % | 5 L NS % | 6 L CPT % </v>
      </c>
      <c r="BO379" s="4" t="str">
        <f ca="1">IFERROR(__xludf.DUMMYFUNCTION("""COMPUTED_VALUE"""),"| 1 P NS % | 4 L PHP-CGM % | 3 L CPT % ")</f>
        <v xml:space="preserve">| 1 P NS % | 4 L PHP-CGM % | 3 L CPT % </v>
      </c>
      <c r="BP379" s="4" t="str">
        <f ca="1">IFERROR(__xludf.DUMMYFUNCTION("""COMPUTED_VALUE"""),"| 3 L PHP-CGM % | 4 L JAVA % | 5 P PRO @ ")</f>
        <v xml:space="preserve">| 3 L PHP-CGM % | 4 L JAVA % | 5 P PRO @ </v>
      </c>
      <c r="BQ379" s="4" t="str">
        <f ca="1">IFERROR(__xludf.DUMMYFUNCTION("""COMPUTED_VALUE"""),"| 6 L NS % | 5 L JAVA % | 3 P CPT % ")</f>
        <v xml:space="preserve">| 6 L NS % | 5 L JAVA % | 3 P CPT % </v>
      </c>
      <c r="BR379" s="4"/>
      <c r="BS379" s="4" t="str">
        <f ca="1">IFERROR(__xludf.DUMMYFUNCTION("""COMPUTED_VALUE"""),"| 4 L PHP-CGM % ")</f>
        <v xml:space="preserve">| 4 L PHP-CGM % </v>
      </c>
      <c r="BT379" s="4" t="str">
        <f ca="1">IFERROR(__xludf.DUMMYFUNCTION("""COMPUTED_VALUE"""),"| 1 P Python % | 3 L PHP-CGM % ")</f>
        <v xml:space="preserve">| 1 P Python % | 3 L PHP-CGM % </v>
      </c>
      <c r="BU379" s="4" t="str">
        <f ca="1">IFERROR(__xludf.DUMMYFUNCTION("""COMPUTED_VALUE"""),"| 1 L JAVA % | 2 L PHP-CGM % | 3 P JAVA % ")</f>
        <v xml:space="preserve">| 1 L JAVA % | 2 L PHP-CGM % | 3 P JAVA % </v>
      </c>
      <c r="BV379" s="4" t="str">
        <f ca="1">IFERROR(__xludf.DUMMYFUNCTION("""COMPUTED_VALUE"""),"| 1 P Python @ | 3 L PHP-CGM @ | 4 L JAVA @ | 5 P PRO @ ")</f>
        <v xml:space="preserve">| 1 P Python @ | 3 L PHP-CGM @ | 4 L JAVA @ | 5 P PRO @ </v>
      </c>
      <c r="BW379" s="4" t="str">
        <f ca="1">IFERROR(__xludf.DUMMYFUNCTION("""COMPUTED_VALUE"""),"| 1 L JAVA % | 2 L PHP-CGM % | 3 P JAVA @ ")</f>
        <v xml:space="preserve">| 1 L JAVA % | 2 L PHP-CGM % | 3 P JAVA @ </v>
      </c>
      <c r="BX379" s="4" t="str">
        <f ca="1">IFERROR(__xludf.DUMMYFUNCTION("""COMPUTED_VALUE"""),"| 1 L INE @ | 3 P CPT % | 5 L JAVA @ | 6 L NS @ ")</f>
        <v xml:space="preserve">| 1 L INE @ | 3 P CPT % | 5 L JAVA @ | 6 L NS @ </v>
      </c>
      <c r="BY379" s="4" t="str">
        <f ca="1">IFERROR(__xludf.DUMMYFUNCTION("""COMPUTED_VALUE"""),"| 1 P Python % | 3 P JAVA @ | 5 L NS @ | 6 L CPT @ ")</f>
        <v xml:space="preserve">| 1 P Python % | 3 P JAVA @ | 5 L NS @ | 6 L CPT @ </v>
      </c>
      <c r="BZ379" s="4" t="str">
        <f ca="1">IFERROR(__xludf.DUMMYFUNCTION("""COMPUTED_VALUE"""),"| 1 P NS @ | 3 L CPT @ | 4 L PHP-CGM @ | 5 P PHP-CGM % ")</f>
        <v xml:space="preserve">| 1 P NS @ | 3 L CPT @ | 4 L PHP-CGM @ | 5 P PHP-CGM % </v>
      </c>
      <c r="CA379" s="4" t="str">
        <f ca="1">IFERROR(__xludf.DUMMYFUNCTION("""COMPUTED_VALUE"""),"| 1 P Python @ | 3 L PHP-CGM % | 3 L JAVA % | 5 P PRO % ")</f>
        <v xml:space="preserve">| 1 P Python @ | 3 L PHP-CGM % | 3 L JAVA % | 5 P PRO % </v>
      </c>
      <c r="CB379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79" s="4" t="str">
        <f ca="1">IFERROR(__xludf.DUMMYFUNCTION("""COMPUTED_VALUE"""),"| 1 L INE % | 3 P CPT % | 5 L JAVA @ | 6 L NS @ ")</f>
        <v xml:space="preserve">| 1 L INE % | 3 P CPT % | 5 L JAVA @ | 6 L NS @ </v>
      </c>
      <c r="CD379" s="4" t="str">
        <f ca="1">IFERROR(__xludf.DUMMYFUNCTION("""COMPUTED_VALUE"""),"| 1 P Python % | 3 P JAVA @ | 5 L NS @ | 6 L CPT @ ")</f>
        <v xml:space="preserve">| 1 P Python % | 3 P JAVA @ | 5 L NS @ | 6 L CPT @ </v>
      </c>
      <c r="CE379" s="4" t="str">
        <f ca="1">IFERROR(__xludf.DUMMYFUNCTION("""COMPUTED_VALUE"""),"| 1 P NS % | 3 L CPT @ | 4 L PHP-CGM @ ")</f>
        <v xml:space="preserve">| 1 P NS % | 3 L CPT @ | 4 L PHP-CGM @ </v>
      </c>
      <c r="CF379" s="4" t="str">
        <f ca="1">IFERROR(__xludf.DUMMYFUNCTION("""COMPUTED_VALUE"""),"| 1 P Python % | 4 L JAVA @ | 3 L PHP-CGM @ | 5 L PRO % ")</f>
        <v xml:space="preserve">| 1 P Python % | 4 L JAVA @ | 3 L PHP-CGM @ | 5 L PRO % </v>
      </c>
      <c r="CG379" s="4" t="str">
        <f ca="1">IFERROR(__xludf.DUMMYFUNCTION("""COMPUTED_VALUE"""),"| 1 L JAVA % | 2 L PHP-CGM % | 6 L NS @ | 3 P JAVA % ")</f>
        <v xml:space="preserve">| 1 L JAVA % | 2 L PHP-CGM % | 6 L NS @ | 3 P JAVA % </v>
      </c>
      <c r="CH379" s="4" t="str">
        <f ca="1">IFERROR(__xludf.DUMMYFUNCTION("""COMPUTED_VALUE"""),"| 1 L INE % | 3 P CPT % | 5 L JAVA @ | 6 L NS @ ")</f>
        <v xml:space="preserve">| 1 L INE % | 3 P CPT % | 5 L JAVA @ | 6 L NS @ </v>
      </c>
      <c r="CI379" s="4" t="str">
        <f ca="1">IFERROR(__xludf.DUMMYFUNCTION("""COMPUTED_VALUE"""),"| 5 L NS % | 6 L CPT % ")</f>
        <v xml:space="preserve">| 5 L NS % | 6 L CPT % </v>
      </c>
      <c r="CJ379" s="4" t="str">
        <f ca="1">IFERROR(__xludf.DUMMYFUNCTION("""COMPUTED_VALUE"""),"| 1 P NS @ | 3 L CPT @ ")</f>
        <v xml:space="preserve">| 1 P NS @ | 3 L CPT @ </v>
      </c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</row>
    <row r="380" spans="1:102" ht="12.5" x14ac:dyDescent="0.25">
      <c r="A380" s="3">
        <f ca="1">IFERROR(__xludf.DUMMYFUNCTION("""COMPUTED_VALUE"""),2)</f>
        <v>2</v>
      </c>
      <c r="B380" s="3" t="str">
        <f ca="1">IFERROR(__xludf.DUMMYFUNCTION("""COMPUTED_VALUE"""),"ITA")</f>
        <v>ITA</v>
      </c>
      <c r="C380" s="32" t="str">
        <f ca="1">IFERROR(__xludf.DUMMYFUNCTION("""COMPUTED_VALUE"""),"23291371088")</f>
        <v>23291371088</v>
      </c>
      <c r="D380" s="4" t="str">
        <f ca="1">IFERROR(__xludf.DUMMYFUNCTION("""COMPUTED_VALUE"""),"PATEL MESHVA KETANBHAI")</f>
        <v>PATEL MESHVA KETANBHAI</v>
      </c>
      <c r="E380" s="3" t="str">
        <f ca="1">IFERROR(__xludf.DUMMYFUNCTION("""COMPUTED_VALUE"""),"Sweety - Mor")</f>
        <v>Sweety - Mor</v>
      </c>
      <c r="F380" s="3">
        <f ca="1">IFERROR(__xludf.DUMMYFUNCTION("""COMPUTED_VALUE"""),9913933284)</f>
        <v>9913933284</v>
      </c>
      <c r="G380" s="3">
        <f ca="1">IFERROR(__xludf.DUMMYFUNCTION("""COMPUTED_VALUE"""),9979519003)</f>
        <v>9979519003</v>
      </c>
      <c r="H380" s="33">
        <f ca="1">IFERROR(__xludf.DUMMYFUNCTION("""COMPUTED_VALUE"""),0.780487804878048)</f>
        <v>0.78048780487804803</v>
      </c>
      <c r="I380" s="25">
        <f ca="1">IFERROR(__xludf.DUMMYFUNCTION("""COMPUTED_VALUE"""),0.771428571428571)</f>
        <v>0.77142857142857102</v>
      </c>
      <c r="J380" s="25">
        <f ca="1">IFERROR(__xludf.DUMMYFUNCTION("""COMPUTED_VALUE"""),0.916666666666666)</f>
        <v>0.91666666666666596</v>
      </c>
      <c r="K380" s="25">
        <f ca="1">IFERROR(__xludf.DUMMYFUNCTION("""COMPUTED_VALUE"""),0.694444444444444)</f>
        <v>0.69444444444444398</v>
      </c>
      <c r="L380" s="25">
        <f ca="1">IFERROR(__xludf.DUMMYFUNCTION("""COMPUTED_VALUE"""),0.916666666666666)</f>
        <v>0.91666666666666596</v>
      </c>
      <c r="M380" s="25">
        <f ca="1">IFERROR(__xludf.DUMMYFUNCTION("""COMPUTED_VALUE"""),0.763157894736842)</f>
        <v>0.76315789473684204</v>
      </c>
      <c r="N380" s="25">
        <f ca="1">IFERROR(__xludf.DUMMYFUNCTION("""COMPUTED_VALUE"""),1)</f>
        <v>1</v>
      </c>
      <c r="O380" s="25">
        <f ca="1">IFERROR(__xludf.DUMMYFUNCTION("""COMPUTED_VALUE"""),0.694444444444444)</f>
        <v>0.69444444444444398</v>
      </c>
      <c r="P380" s="25">
        <f ca="1">IFERROR(__xludf.DUMMYFUNCTION("""COMPUTED_VALUE"""),0.88)</f>
        <v>0.88</v>
      </c>
      <c r="Q380" s="25">
        <f ca="1">IFERROR(__xludf.DUMMYFUNCTION("""COMPUTED_VALUE"""),0)</f>
        <v>0</v>
      </c>
      <c r="R380" s="25">
        <f ca="1">IFERROR(__xludf.DUMMYFUNCTION("""COMPUTED_VALUE"""),0.833333333333333)</f>
        <v>0.83333333333333304</v>
      </c>
      <c r="S380" s="25">
        <f ca="1">IFERROR(__xludf.DUMMYFUNCTION("""COMPUTED_VALUE"""),0.666666666666666)</f>
        <v>0.66666666666666596</v>
      </c>
      <c r="T380" s="25">
        <f ca="1">IFERROR(__xludf.DUMMYFUNCTION("""COMPUTED_VALUE"""),0.555555555555555)</f>
        <v>0.55555555555555503</v>
      </c>
      <c r="U380" s="25">
        <f ca="1">IFERROR(__xludf.DUMMYFUNCTION("""COMPUTED_VALUE"""),0.875)</f>
        <v>0.875</v>
      </c>
      <c r="V380" s="25">
        <f ca="1">IFERROR(__xludf.DUMMYFUNCTION("""COMPUTED_VALUE"""),0)</f>
        <v>0</v>
      </c>
      <c r="W380" s="4"/>
      <c r="X380" s="4" t="str">
        <f ca="1">IFERROR(__xludf.DUMMYFUNCTION("""COMPUTED_VALUE"""),"| 1 P Python @ | 4 L JAVA @ | 3 L PHP-CGM @ | 1 L PRO @ ")</f>
        <v xml:space="preserve">| 1 P Python @ | 4 L JAVA @ | 3 L PHP-CGM @ | 1 L PRO @ </v>
      </c>
      <c r="Y380" s="4" t="str">
        <f ca="1">IFERROR(__xludf.DUMMYFUNCTION("""COMPUTED_VALUE"""),"| 1 L JAVA % | 2 L PHP-CGM @ | 3 P JAVA % | 5 L CPT @ | 6 L NS @ ")</f>
        <v xml:space="preserve">| 1 L JAVA % | 2 L PHP-CGM @ | 3 P JAVA % | 5 L CPT @ | 6 L NS @ </v>
      </c>
      <c r="Z380" s="4" t="str">
        <f ca="1">IFERROR(__xludf.DUMMYFUNCTION("""COMPUTED_VALUE"""),"| 3 P CPT % | 5 L JAVA @ | 6 L NS % ")</f>
        <v xml:space="preserve">| 3 P CPT % | 5 L JAVA @ | 6 L NS % </v>
      </c>
      <c r="AA380" s="4" t="str">
        <f ca="1">IFERROR(__xludf.DUMMYFUNCTION("""COMPUTED_VALUE"""),"| 1 P Python % | 5 P JAVA % | 5 L NS % | 6 L CPT % ")</f>
        <v xml:space="preserve">| 1 P Python % | 5 P JAVA % | 5 L NS % | 6 L CPT % </v>
      </c>
      <c r="AB380" s="4" t="str">
        <f ca="1">IFERROR(__xludf.DUMMYFUNCTION("""COMPUTED_VALUE"""),"| 1 P NS % | 3 L CPT % | 5 P PHP-CGM % | 4 L PHP-CGM % ")</f>
        <v xml:space="preserve">| 1 P NS % | 3 L CPT % | 5 P PHP-CGM % | 4 L PHP-CGM % </v>
      </c>
      <c r="AC380" s="4" t="str">
        <f ca="1">IFERROR(__xludf.DUMMYFUNCTION("""COMPUTED_VALUE"""),"| 1 P Python % | 3 L PHP-CGM % | 5 P PRO % ")</f>
        <v xml:space="preserve">| 1 P Python % | 3 L PHP-CGM % | 5 P PRO % </v>
      </c>
      <c r="AD380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80" s="4" t="str">
        <f ca="1">IFERROR(__xludf.DUMMYFUNCTION("""COMPUTED_VALUE"""),"| 3 P CPT % | 5 L JAVA % | 6 L NS % ")</f>
        <v xml:space="preserve">| 3 P CPT % | 5 L JAVA % | 6 L NS % </v>
      </c>
      <c r="AF380" s="4" t="str">
        <f ca="1">IFERROR(__xludf.DUMMYFUNCTION("""COMPUTED_VALUE"""),"| 1 P Python % | 3 P JAVA % | 5 L NS % | 6 L CPT % ")</f>
        <v xml:space="preserve">| 1 P Python % | 3 P JAVA % | 5 L NS % | 6 L CPT % </v>
      </c>
      <c r="AG380" s="4" t="str">
        <f ca="1">IFERROR(__xludf.DUMMYFUNCTION("""COMPUTED_VALUE"""),"| 1 P NS % | 3 L CPT % | 4 L PHP-CGM % | 5 P PHP-CGM % ")</f>
        <v xml:space="preserve">| 1 P NS % | 3 L CPT % | 4 L PHP-CGM % | 5 P PHP-CGM % </v>
      </c>
      <c r="AH380" s="4" t="str">
        <f ca="1">IFERROR(__xludf.DUMMYFUNCTION("""COMPUTED_VALUE"""),"| 1 P Python % | 3 P JAVA % | 5 L NS @ | 6 L CPT @ ")</f>
        <v xml:space="preserve">| 1 P Python % | 3 P JAVA % | 5 L NS @ | 6 L CPT @ </v>
      </c>
      <c r="AI380" s="4" t="str">
        <f ca="1">IFERROR(__xludf.DUMMYFUNCTION("""COMPUTED_VALUE"""),"| 1 P NS % | 3 L CPT % | 4 L PHP-CGM % | 5 P PHP-CGM % ")</f>
        <v xml:space="preserve">| 1 P NS % | 3 L CPT % | 4 L PHP-CGM % | 5 P PHP-CGM % </v>
      </c>
      <c r="AJ380" s="4" t="str">
        <f ca="1">IFERROR(__xludf.DUMMYFUNCTION("""COMPUTED_VALUE"""),"| 1 P Python % | 3 L PHP-CGM @ | 4 L JAVA @ | 5 P PRO % ")</f>
        <v xml:space="preserve">| 1 P Python % | 3 L PHP-CGM @ | 4 L JAVA @ | 5 P PRO % </v>
      </c>
      <c r="AK38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80" s="4" t="str">
        <f ca="1">IFERROR(__xludf.DUMMYFUNCTION("""COMPUTED_VALUE"""),"| 3 P CPT % | 5 L JAVA % | 6 L NS % ")</f>
        <v xml:space="preserve">| 3 P CPT % | 5 L JAVA % | 6 L NS % </v>
      </c>
      <c r="AM380" s="4" t="str">
        <f ca="1">IFERROR(__xludf.DUMMYFUNCTION("""COMPUTED_VALUE"""),"| 1 P Python % | 3 P JAVA % | 5 L NS % | 6 L CPT % ")</f>
        <v xml:space="preserve">| 1 P Python % | 3 P JAVA % | 5 L NS % | 6 L CPT % </v>
      </c>
      <c r="AN380" s="4" t="str">
        <f ca="1">IFERROR(__xludf.DUMMYFUNCTION("""COMPUTED_VALUE"""),"| 1 P NS % | 4 L PHP-CGM % | 5 P PHP-CGM % ")</f>
        <v xml:space="preserve">| 1 P NS % | 4 L PHP-CGM % | 5 P PHP-CGM % </v>
      </c>
      <c r="AO380" s="4" t="str">
        <f ca="1">IFERROR(__xludf.DUMMYFUNCTION("""COMPUTED_VALUE"""),"| 1 P Python % | 3 L PHP-CGM @ | 4 L JAVA @ | 5 P PRO @ ")</f>
        <v xml:space="preserve">| 1 P Python % | 3 L PHP-CGM @ | 4 L JAVA @ | 5 P PRO @ </v>
      </c>
      <c r="AP38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80" s="4" t="str">
        <f ca="1">IFERROR(__xludf.DUMMYFUNCTION("""COMPUTED_VALUE"""),"| 1 L INE % | 3 P CPT % | 5 L JAVA % | 6 L NS % ")</f>
        <v xml:space="preserve">| 1 L INE % | 3 P CPT % | 5 L JAVA % | 6 L NS % </v>
      </c>
      <c r="AR380" s="4" t="str">
        <f ca="1">IFERROR(__xludf.DUMMYFUNCTION("""COMPUTED_VALUE"""),"| 1 P Python % | 3 L CPT % | 3 P JAVA % | 5 L NS % | 6 L CPT % ")</f>
        <v xml:space="preserve">| 1 P Python % | 3 L CPT % | 3 P JAVA % | 5 L NS % | 6 L CPT % </v>
      </c>
      <c r="AS380" s="4" t="str">
        <f ca="1">IFERROR(__xludf.DUMMYFUNCTION("""COMPUTED_VALUE"""),"| 1 P Python % | 3 L PHP-CGM @ | 4 L JAVA @ | 5 P PRO @ ")</f>
        <v xml:space="preserve">| 1 P Python % | 3 L PHP-CGM @ | 4 L JAVA @ | 5 P PRO @ </v>
      </c>
      <c r="AT38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80" s="4" t="str">
        <f ca="1">IFERROR(__xludf.DUMMYFUNCTION("""COMPUTED_VALUE"""),"| 1 L INE % | 3 P CPT % | 5 L JAVA % | 6 L NS % ")</f>
        <v xml:space="preserve">| 1 L INE % | 3 P CPT % | 5 L JAVA % | 6 L NS % </v>
      </c>
      <c r="AV380" s="4" t="str">
        <f ca="1">IFERROR(__xludf.DUMMYFUNCTION("""COMPUTED_VALUE"""),"| 1 P Python % | 3 P JAVA % | 5 L NS % | 6 L CPT % ")</f>
        <v xml:space="preserve">| 1 P Python % | 3 P JAVA % | 5 L NS % | 6 L CPT % </v>
      </c>
      <c r="AW380" s="4" t="str">
        <f ca="1">IFERROR(__xludf.DUMMYFUNCTION("""COMPUTED_VALUE"""),"| 1 P NS % | 3 L CPT % | 4 L PHP-CGM % | 5 P PHP-CGM % ")</f>
        <v xml:space="preserve">| 1 P NS % | 3 L CPT % | 4 L PHP-CGM % | 5 P PHP-CGM % </v>
      </c>
      <c r="AX380" s="4" t="str">
        <f ca="1">IFERROR(__xludf.DUMMYFUNCTION("""COMPUTED_VALUE"""),"| 1 P Python % | 3 L JAVA % | 4 L PHP-CGM % | 5 P PRO % ")</f>
        <v xml:space="preserve">| 1 P Python % | 3 L JAVA % | 4 L PHP-CGM % | 5 P PRO % </v>
      </c>
      <c r="AY380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80" s="4" t="str">
        <f ca="1">IFERROR(__xludf.DUMMYFUNCTION("""COMPUTED_VALUE"""),"| 1 P Python % | 3 P JAVA % | 5 L NS % | 6 L CPT % ")</f>
        <v xml:space="preserve">| 1 P Python % | 3 P JAVA % | 5 L NS % | 6 L CPT % </v>
      </c>
      <c r="BA380" s="4" t="str">
        <f ca="1">IFERROR(__xludf.DUMMYFUNCTION("""COMPUTED_VALUE"""),"| 1 P NS % | 3 L CPT % | 4 L PHP-CGM % | 5 P PHP-CGM % ")</f>
        <v xml:space="preserve">| 1 P NS % | 3 L CPT % | 4 L PHP-CGM % | 5 P PHP-CGM % </v>
      </c>
      <c r="BB380" s="4" t="str">
        <f ca="1">IFERROR(__xludf.DUMMYFUNCTION("""COMPUTED_VALUE"""),"| 1 P Python % | 3 L PHP-CGM % | 4 L JAVA % | 5 L PRO % ")</f>
        <v xml:space="preserve">| 1 P Python % | 3 L PHP-CGM % | 4 L JAVA % | 5 L PRO % </v>
      </c>
      <c r="BC38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80" s="4" t="str">
        <f ca="1">IFERROR(__xludf.DUMMYFUNCTION("""COMPUTED_VALUE"""),"| 1 L INE @ | 3 P CPT @ | 5 L JAVA @ | 6 L NS @ ")</f>
        <v xml:space="preserve">| 1 L INE @ | 3 P CPT @ | 5 L JAVA @ | 6 L NS @ </v>
      </c>
      <c r="BE380" s="4" t="str">
        <f ca="1">IFERROR(__xludf.DUMMYFUNCTION("""COMPUTED_VALUE"""),"| 1 P Python @ | 3 P JAVA @ | 5 L NS @ | 6 L CPT @ ")</f>
        <v xml:space="preserve">| 1 P Python @ | 3 P JAVA @ | 5 L NS @ | 6 L CPT @ </v>
      </c>
      <c r="BF380" s="4" t="str">
        <f ca="1">IFERROR(__xludf.DUMMYFUNCTION("""COMPUTED_VALUE"""),"| 1 P NS % | 3 L CPT % | 4 L PHP-CGM % ")</f>
        <v xml:space="preserve">| 1 P NS % | 3 L CPT % | 4 L PHP-CGM % </v>
      </c>
      <c r="BG380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80" s="4" t="str">
        <f ca="1">IFERROR(__xludf.DUMMYFUNCTION("""COMPUTED_VALUE"""),"| 1 L INE % | 3 P CPT % | 5 L JAVA % | 6 L NS % ")</f>
        <v xml:space="preserve">| 1 L INE % | 3 P CPT % | 5 L JAVA % | 6 L NS % </v>
      </c>
      <c r="BI380" s="4" t="str">
        <f ca="1">IFERROR(__xludf.DUMMYFUNCTION("""COMPUTED_VALUE"""),"| 1 P Python % | 3 P JAVA % | 5 L NS % | 6 L CPT % ")</f>
        <v xml:space="preserve">| 1 P Python % | 3 P JAVA % | 5 L NS % | 6 L CPT % </v>
      </c>
      <c r="BJ380" s="4" t="str">
        <f ca="1">IFERROR(__xludf.DUMMYFUNCTION("""COMPUTED_VALUE"""),"| 1 P NS % | 3 L CPT % | 4 L PHP-CGM % | 5 P PHP-CGM % ")</f>
        <v xml:space="preserve">| 1 P NS % | 3 L CPT % | 4 L PHP-CGM % | 5 P PHP-CGM % </v>
      </c>
      <c r="BK380" s="4" t="str">
        <f ca="1">IFERROR(__xludf.DUMMYFUNCTION("""COMPUTED_VALUE"""),"| 1 P Python % | 3 L PHP-CGM @ | 4 L JAVA @ | 5 P PRO @ ")</f>
        <v xml:space="preserve">| 1 P Python % | 3 L PHP-CGM @ | 4 L JAVA @ | 5 P PRO @ </v>
      </c>
      <c r="BL380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BM380" s="4" t="str">
        <f ca="1">IFERROR(__xludf.DUMMYFUNCTION("""COMPUTED_VALUE"""),"| 1 L INE % | 3 P CPT % | 5 L JAVA % | 6 L NS @ ")</f>
        <v xml:space="preserve">| 1 L INE % | 3 P CPT % | 5 L JAVA % | 6 L NS @ </v>
      </c>
      <c r="BN380" s="4" t="str">
        <f ca="1">IFERROR(__xludf.DUMMYFUNCTION("""COMPUTED_VALUE"""),"| 1 P Python % | 3 P JAVA @ | 5 L NS @ | 6 L CPT % ")</f>
        <v xml:space="preserve">| 1 P Python % | 3 P JAVA @ | 5 L NS @ | 6 L CPT % </v>
      </c>
      <c r="BO380" s="4" t="str">
        <f ca="1">IFERROR(__xludf.DUMMYFUNCTION("""COMPUTED_VALUE"""),"| 1 P NS % | 4 L PHP-CGM % | 3 L CPT % ")</f>
        <v xml:space="preserve">| 1 P NS % | 4 L PHP-CGM % | 3 L CPT % </v>
      </c>
      <c r="BP380" s="4" t="str">
        <f ca="1">IFERROR(__xludf.DUMMYFUNCTION("""COMPUTED_VALUE"""),"| 3 L PHP-CGM % | 4 L JAVA % | 5 P PRO % ")</f>
        <v xml:space="preserve">| 3 L PHP-CGM % | 4 L JAVA % | 5 P PRO % </v>
      </c>
      <c r="BQ380" s="4" t="str">
        <f ca="1">IFERROR(__xludf.DUMMYFUNCTION("""COMPUTED_VALUE"""),"| 6 L NS % | 5 L JAVA @ | 3 P CPT % ")</f>
        <v xml:space="preserve">| 6 L NS % | 5 L JAVA @ | 3 P CPT % </v>
      </c>
      <c r="BR380" s="4"/>
      <c r="BS380" s="4" t="str">
        <f ca="1">IFERROR(__xludf.DUMMYFUNCTION("""COMPUTED_VALUE"""),"| 4 L PHP-CGM % ")</f>
        <v xml:space="preserve">| 4 L PHP-CGM % </v>
      </c>
      <c r="BT380" s="4" t="str">
        <f ca="1">IFERROR(__xludf.DUMMYFUNCTION("""COMPUTED_VALUE"""),"| 1 P Python % | 3 L PHP-CGM % ")</f>
        <v xml:space="preserve">| 1 P Python % | 3 L PHP-CGM % </v>
      </c>
      <c r="BU380" s="4" t="str">
        <f ca="1">IFERROR(__xludf.DUMMYFUNCTION("""COMPUTED_VALUE"""),"| 1 L JAVA @ | 2 L PHP-CGM @ | 3 P JAVA @ ")</f>
        <v xml:space="preserve">| 1 L JAVA @ | 2 L PHP-CGM @ | 3 P JAVA @ </v>
      </c>
      <c r="BV380" s="4" t="str">
        <f ca="1">IFERROR(__xludf.DUMMYFUNCTION("""COMPUTED_VALUE"""),"| 1 P Python @ | 3 L PHP-CGM @ | 4 L JAVA @ | 5 P PRO @ ")</f>
        <v xml:space="preserve">| 1 P Python @ | 3 L PHP-CGM @ | 4 L JAVA @ | 5 P PRO @ </v>
      </c>
      <c r="BW380" s="4" t="str">
        <f ca="1">IFERROR(__xludf.DUMMYFUNCTION("""COMPUTED_VALUE"""),"| 1 L JAVA % | 2 L PHP-CGM % | 3 P JAVA % ")</f>
        <v xml:space="preserve">| 1 L JAVA % | 2 L PHP-CGM % | 3 P JAVA % </v>
      </c>
      <c r="BX380" s="4" t="str">
        <f ca="1">IFERROR(__xludf.DUMMYFUNCTION("""COMPUTED_VALUE"""),"| 1 L INE % | 3 P CPT % | 5 L JAVA % | 6 L NS % ")</f>
        <v xml:space="preserve">| 1 L INE % | 3 P CPT % | 5 L JAVA % | 6 L NS % </v>
      </c>
      <c r="BY380" s="4" t="str">
        <f ca="1">IFERROR(__xludf.DUMMYFUNCTION("""COMPUTED_VALUE"""),"| 1 P Python % | 3 P JAVA % | 5 L NS @ | 6 L CPT @ ")</f>
        <v xml:space="preserve">| 1 P Python % | 3 P JAVA % | 5 L NS @ | 6 L CPT @ </v>
      </c>
      <c r="BZ380" s="4" t="str">
        <f ca="1">IFERROR(__xludf.DUMMYFUNCTION("""COMPUTED_VALUE"""),"| 1 P NS % | 3 L CPT % | 4 L PHP-CGM % | 5 P PHP-CGM % ")</f>
        <v xml:space="preserve">| 1 P NS % | 3 L CPT % | 4 L PHP-CGM % | 5 P PHP-CGM % </v>
      </c>
      <c r="CA380" s="4" t="str">
        <f ca="1">IFERROR(__xludf.DUMMYFUNCTION("""COMPUTED_VALUE"""),"| 1 P Python @ | 3 L PHP-CGM % | 3 L JAVA % | 5 P PRO % ")</f>
        <v xml:space="preserve">| 1 P Python @ | 3 L PHP-CGM % | 3 L JAVA % | 5 P PRO % </v>
      </c>
      <c r="CB380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CC380" s="4" t="str">
        <f ca="1">IFERROR(__xludf.DUMMYFUNCTION("""COMPUTED_VALUE"""),"| 1 L INE % | 3 P CPT % | 5 L JAVA % | 6 L NS % ")</f>
        <v xml:space="preserve">| 1 L INE % | 3 P CPT % | 5 L JAVA % | 6 L NS % </v>
      </c>
      <c r="CD380" s="4" t="str">
        <f ca="1">IFERROR(__xludf.DUMMYFUNCTION("""COMPUTED_VALUE"""),"| 1 P Python % | 3 P JAVA % | 5 L NS % | 6 L CPT % ")</f>
        <v xml:space="preserve">| 1 P Python % | 3 P JAVA % | 5 L NS % | 6 L CPT % </v>
      </c>
      <c r="CE380" s="4" t="str">
        <f ca="1">IFERROR(__xludf.DUMMYFUNCTION("""COMPUTED_VALUE"""),"| 1 P NS % | 3 L CPT @ | 4 L PHP-CGM @ ")</f>
        <v xml:space="preserve">| 1 P NS % | 3 L CPT @ | 4 L PHP-CGM @ </v>
      </c>
      <c r="CF380" s="4" t="str">
        <f ca="1">IFERROR(__xludf.DUMMYFUNCTION("""COMPUTED_VALUE"""),"| 1 P Python % | 4 L JAVA % | 3 L PHP-CGM % | 5 L PRO % ")</f>
        <v xml:space="preserve">| 1 P Python % | 4 L JAVA % | 3 L PHP-CGM % | 5 L PRO % </v>
      </c>
      <c r="CG380" s="4" t="str">
        <f ca="1">IFERROR(__xludf.DUMMYFUNCTION("""COMPUTED_VALUE"""),"| 1 L JAVA % | 2 L PHP-CGM % | 6 L NS @ | 3 P JAVA % ")</f>
        <v xml:space="preserve">| 1 L JAVA % | 2 L PHP-CGM % | 6 L NS @ | 3 P JAVA % </v>
      </c>
      <c r="CH380" s="4" t="str">
        <f ca="1">IFERROR(__xludf.DUMMYFUNCTION("""COMPUTED_VALUE"""),"| 1 L INE % | 3 P CPT % | 5 L JAVA @ | 6 L NS @ ")</f>
        <v xml:space="preserve">| 1 L INE % | 3 P CPT % | 5 L JAVA @ | 6 L NS @ </v>
      </c>
      <c r="CI380" s="4" t="str">
        <f ca="1">IFERROR(__xludf.DUMMYFUNCTION("""COMPUTED_VALUE"""),"| 5 L NS @ | 6 L CPT @ ")</f>
        <v xml:space="preserve">| 5 L NS @ | 6 L CPT @ </v>
      </c>
      <c r="CJ380" s="4" t="str">
        <f ca="1">IFERROR(__xludf.DUMMYFUNCTION("""COMPUTED_VALUE"""),"| 1 P NS @ | 3 L CPT @ ")</f>
        <v xml:space="preserve">| 1 P NS @ | 3 L CPT @ </v>
      </c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</row>
    <row r="381" spans="1:102" ht="12.5" x14ac:dyDescent="0.25">
      <c r="A381" s="3">
        <f ca="1">IFERROR(__xludf.DUMMYFUNCTION("""COMPUTED_VALUE"""),2)</f>
        <v>2</v>
      </c>
      <c r="B381" s="3" t="str">
        <f ca="1">IFERROR(__xludf.DUMMYFUNCTION("""COMPUTED_VALUE"""),"ITA")</f>
        <v>ITA</v>
      </c>
      <c r="C381" s="32" t="str">
        <f ca="1">IFERROR(__xludf.DUMMYFUNCTION("""COMPUTED_VALUE"""),"23291371089")</f>
        <v>23291371089</v>
      </c>
      <c r="D381" s="4" t="str">
        <f ca="1">IFERROR(__xludf.DUMMYFUNCTION("""COMPUTED_VALUE"""),"PATEL NETRA AMITKUMAR")</f>
        <v>PATEL NETRA AMITKUMAR</v>
      </c>
      <c r="E381" s="3" t="str">
        <f ca="1">IFERROR(__xludf.DUMMYFUNCTION("""COMPUTED_VALUE"""),"Sweety - Mor")</f>
        <v>Sweety - Mor</v>
      </c>
      <c r="F381" s="3">
        <f ca="1">IFERROR(__xludf.DUMMYFUNCTION("""COMPUTED_VALUE"""),8401659218)</f>
        <v>8401659218</v>
      </c>
      <c r="G381" s="3">
        <f ca="1">IFERROR(__xludf.DUMMYFUNCTION("""COMPUTED_VALUE"""),9723419373)</f>
        <v>9723419373</v>
      </c>
      <c r="H381" s="33">
        <f ca="1">IFERROR(__xludf.DUMMYFUNCTION("""COMPUTED_VALUE"""),0.613821138211382)</f>
        <v>0.61382113821138196</v>
      </c>
      <c r="I381" s="25">
        <f ca="1">IFERROR(__xludf.DUMMYFUNCTION("""COMPUTED_VALUE"""),0.6)</f>
        <v>0.6</v>
      </c>
      <c r="J381" s="25">
        <f ca="1">IFERROR(__xludf.DUMMYFUNCTION("""COMPUTED_VALUE"""),0.916666666666666)</f>
        <v>0.91666666666666596</v>
      </c>
      <c r="K381" s="25">
        <f ca="1">IFERROR(__xludf.DUMMYFUNCTION("""COMPUTED_VALUE"""),0.611111111111111)</f>
        <v>0.61111111111111105</v>
      </c>
      <c r="L381" s="25">
        <f ca="1">IFERROR(__xludf.DUMMYFUNCTION("""COMPUTED_VALUE"""),0.75)</f>
        <v>0.75</v>
      </c>
      <c r="M381" s="25">
        <f ca="1">IFERROR(__xludf.DUMMYFUNCTION("""COMPUTED_VALUE"""),0.578947368421052)</f>
        <v>0.57894736842105199</v>
      </c>
      <c r="N381" s="25">
        <f ca="1">IFERROR(__xludf.DUMMYFUNCTION("""COMPUTED_VALUE"""),0.625)</f>
        <v>0.625</v>
      </c>
      <c r="O381" s="25">
        <f ca="1">IFERROR(__xludf.DUMMYFUNCTION("""COMPUTED_VALUE"""),0.555555555555555)</f>
        <v>0.55555555555555503</v>
      </c>
      <c r="P381" s="25">
        <f ca="1">IFERROR(__xludf.DUMMYFUNCTION("""COMPUTED_VALUE"""),0.6)</f>
        <v>0.6</v>
      </c>
      <c r="Q381" s="25">
        <f ca="1">IFERROR(__xludf.DUMMYFUNCTION("""COMPUTED_VALUE"""),0)</f>
        <v>0</v>
      </c>
      <c r="R381" s="25">
        <f ca="1">IFERROR(__xludf.DUMMYFUNCTION("""COMPUTED_VALUE"""),0.625)</f>
        <v>0.625</v>
      </c>
      <c r="S381" s="25">
        <f ca="1">IFERROR(__xludf.DUMMYFUNCTION("""COMPUTED_VALUE"""),0.666666666666666)</f>
        <v>0.66666666666666596</v>
      </c>
      <c r="T381" s="25">
        <f ca="1">IFERROR(__xludf.DUMMYFUNCTION("""COMPUTED_VALUE"""),0.444444444444444)</f>
        <v>0.44444444444444398</v>
      </c>
      <c r="U381" s="25">
        <f ca="1">IFERROR(__xludf.DUMMYFUNCTION("""COMPUTED_VALUE"""),0.625)</f>
        <v>0.625</v>
      </c>
      <c r="V381" s="25">
        <f ca="1">IFERROR(__xludf.DUMMYFUNCTION("""COMPUTED_VALUE"""),0)</f>
        <v>0</v>
      </c>
      <c r="W381" s="4"/>
      <c r="X381" s="4" t="str">
        <f ca="1">IFERROR(__xludf.DUMMYFUNCTION("""COMPUTED_VALUE"""),"| 1 P Python @ | 4 L JAVA @ | 3 L PHP-CGM @ | 1 L PRO @ ")</f>
        <v xml:space="preserve">| 1 P Python @ | 4 L JAVA @ | 3 L PHP-CGM @ | 1 L PRO @ </v>
      </c>
      <c r="Y381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81" s="4" t="str">
        <f ca="1">IFERROR(__xludf.DUMMYFUNCTION("""COMPUTED_VALUE"""),"| 3 P CPT % | 5 L JAVA % | 6 L NS % ")</f>
        <v xml:space="preserve">| 3 P CPT % | 5 L JAVA % | 6 L NS % </v>
      </c>
      <c r="AA381" s="4" t="str">
        <f ca="1">IFERROR(__xludf.DUMMYFUNCTION("""COMPUTED_VALUE"""),"| 1 P Python % | 5 P JAVA % | 5 L NS % | 6 L CPT % ")</f>
        <v xml:space="preserve">| 1 P Python % | 5 P JAVA % | 5 L NS % | 6 L CPT % </v>
      </c>
      <c r="AB381" s="4" t="str">
        <f ca="1">IFERROR(__xludf.DUMMYFUNCTION("""COMPUTED_VALUE"""),"| 1 P NS % | 3 L CPT % | 5 P PHP-CGM % | 4 L PHP-CGM % ")</f>
        <v xml:space="preserve">| 1 P NS % | 3 L CPT % | 5 P PHP-CGM % | 4 L PHP-CGM % </v>
      </c>
      <c r="AC381" s="4" t="str">
        <f ca="1">IFERROR(__xludf.DUMMYFUNCTION("""COMPUTED_VALUE"""),"| 1 P Python % | 3 L PHP-CGM % | 5 P PRO % ")</f>
        <v xml:space="preserve">| 1 P Python % | 3 L PHP-CGM % | 5 P PRO % </v>
      </c>
      <c r="AD381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81" s="4" t="str">
        <f ca="1">IFERROR(__xludf.DUMMYFUNCTION("""COMPUTED_VALUE"""),"| 3 P CPT % | 5 L JAVA % | 6 L NS % ")</f>
        <v xml:space="preserve">| 3 P CPT % | 5 L JAVA % | 6 L NS % </v>
      </c>
      <c r="AF381" s="4" t="str">
        <f ca="1">IFERROR(__xludf.DUMMYFUNCTION("""COMPUTED_VALUE"""),"| 1 P Python % | 3 P JAVA % | 5 L NS % | 6 L CPT % ")</f>
        <v xml:space="preserve">| 1 P Python % | 3 P JAVA % | 5 L NS % | 6 L CPT % </v>
      </c>
      <c r="AG381" s="4" t="str">
        <f ca="1">IFERROR(__xludf.DUMMYFUNCTION("""COMPUTED_VALUE"""),"| 1 P NS % | 3 L CPT % | 4 L PHP-CGM % | 5 P PHP-CGM % ")</f>
        <v xml:space="preserve">| 1 P NS % | 3 L CPT % | 4 L PHP-CGM % | 5 P PHP-CGM % </v>
      </c>
      <c r="AH381" s="4" t="str">
        <f ca="1">IFERROR(__xludf.DUMMYFUNCTION("""COMPUTED_VALUE"""),"| 1 P Python @ | 3 P JAVA @ | 5 L NS @ | 6 L CPT @ ")</f>
        <v xml:space="preserve">| 1 P Python @ | 3 P JAVA @ | 5 L NS @ | 6 L CPT @ </v>
      </c>
      <c r="AI381" s="4" t="str">
        <f ca="1">IFERROR(__xludf.DUMMYFUNCTION("""COMPUTED_VALUE"""),"| 1 P NS % | 3 L CPT % | 4 L PHP-CGM % | 5 P PHP-CGM % ")</f>
        <v xml:space="preserve">| 1 P NS % | 3 L CPT % | 4 L PHP-CGM % | 5 P PHP-CGM % </v>
      </c>
      <c r="AJ381" s="4" t="str">
        <f ca="1">IFERROR(__xludf.DUMMYFUNCTION("""COMPUTED_VALUE"""),"| 1 P Python % | 3 L PHP-CGM % | 4 L JAVA % | 5 P PRO % ")</f>
        <v xml:space="preserve">| 1 P Python % | 3 L PHP-CGM % | 4 L JAVA % | 5 P PRO % </v>
      </c>
      <c r="AK381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AL381" s="4" t="str">
        <f ca="1">IFERROR(__xludf.DUMMYFUNCTION("""COMPUTED_VALUE"""),"| 3 P CPT % | 5 L JAVA % | 6 L NS % ")</f>
        <v xml:space="preserve">| 3 P CPT % | 5 L JAVA % | 6 L NS % </v>
      </c>
      <c r="AM381" s="4" t="str">
        <f ca="1">IFERROR(__xludf.DUMMYFUNCTION("""COMPUTED_VALUE"""),"| 1 P Python % | 3 P JAVA % | 5 L NS % | 6 L CPT % ")</f>
        <v xml:space="preserve">| 1 P Python % | 3 P JAVA % | 5 L NS % | 6 L CPT % </v>
      </c>
      <c r="AN381" s="4" t="str">
        <f ca="1">IFERROR(__xludf.DUMMYFUNCTION("""COMPUTED_VALUE"""),"| 1 P NS % | 4 L PHP-CGM % | 5 P PHP-CGM % ")</f>
        <v xml:space="preserve">| 1 P NS % | 4 L PHP-CGM % | 5 P PHP-CGM % </v>
      </c>
      <c r="AO381" s="4" t="str">
        <f ca="1">IFERROR(__xludf.DUMMYFUNCTION("""COMPUTED_VALUE"""),"| 1 P Python @ | 3 L PHP-CGM @ | 4 L JAVA @ | 5 P PRO @ ")</f>
        <v xml:space="preserve">| 1 P Python @ | 3 L PHP-CGM @ | 4 L JAVA @ | 5 P PRO @ </v>
      </c>
      <c r="AP38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81" s="4" t="str">
        <f ca="1">IFERROR(__xludf.DUMMYFUNCTION("""COMPUTED_VALUE"""),"| 1 L INE % | 3 P CPT % | 5 L JAVA % | 6 L NS % ")</f>
        <v xml:space="preserve">| 1 L INE % | 3 P CPT % | 5 L JAVA % | 6 L NS % </v>
      </c>
      <c r="AR381" s="4" t="str">
        <f ca="1">IFERROR(__xludf.DUMMYFUNCTION("""COMPUTED_VALUE"""),"| 1 P Python % | 3 L CPT % | 3 P JAVA % | 5 L NS % | 6 L CPT @ ")</f>
        <v xml:space="preserve">| 1 P Python % | 3 L CPT % | 3 P JAVA % | 5 L NS % | 6 L CPT @ </v>
      </c>
      <c r="AS381" s="4" t="str">
        <f ca="1">IFERROR(__xludf.DUMMYFUNCTION("""COMPUTED_VALUE"""),"| 1 P Python @ | 3 L PHP-CGM @ | 4 L JAVA @ | 5 P PRO @ ")</f>
        <v xml:space="preserve">| 1 P Python @ | 3 L PHP-CGM @ | 4 L JAVA @ | 5 P PRO @ </v>
      </c>
      <c r="AT38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81" s="4" t="str">
        <f ca="1">IFERROR(__xludf.DUMMYFUNCTION("""COMPUTED_VALUE"""),"| 1 L INE % | 3 P CPT % | 5 L JAVA % | 6 L NS % ")</f>
        <v xml:space="preserve">| 1 L INE % | 3 P CPT % | 5 L JAVA % | 6 L NS % </v>
      </c>
      <c r="AV381" s="4" t="str">
        <f ca="1">IFERROR(__xludf.DUMMYFUNCTION("""COMPUTED_VALUE"""),"| 1 P Python % | 3 P JAVA % | 5 L NS % | 6 L CPT % ")</f>
        <v xml:space="preserve">| 1 P Python % | 3 P JAVA % | 5 L NS % | 6 L CPT % </v>
      </c>
      <c r="AW381" s="4" t="str">
        <f ca="1">IFERROR(__xludf.DUMMYFUNCTION("""COMPUTED_VALUE"""),"| 1 P NS % | 3 L CPT % | 4 L PHP-CGM % | 5 P PHP-CGM @ ")</f>
        <v xml:space="preserve">| 1 P NS % | 3 L CPT % | 4 L PHP-CGM % | 5 P PHP-CGM @ </v>
      </c>
      <c r="AX381" s="4" t="str">
        <f ca="1">IFERROR(__xludf.DUMMYFUNCTION("""COMPUTED_VALUE"""),"| 1 P Python % | 3 L JAVA % | 4 L PHP-CGM % | 5 P PRO % ")</f>
        <v xml:space="preserve">| 1 P Python % | 3 L JAVA % | 4 L PHP-CGM % | 5 P PRO % </v>
      </c>
      <c r="AY381" s="4" t="str">
        <f ca="1">IFERROR(__xludf.DUMMYFUNCTION("""COMPUTED_VALUE"""),"| 2 L PHP-CGM @ | 3 P JAVA @ | 5 L CPT @ | 6 L NS @ | 1 L JAVA @ ")</f>
        <v xml:space="preserve">| 2 L PHP-CGM @ | 3 P JAVA @ | 5 L CPT @ | 6 L NS @ | 1 L JAVA @ </v>
      </c>
      <c r="AZ381" s="4" t="str">
        <f ca="1">IFERROR(__xludf.DUMMYFUNCTION("""COMPUTED_VALUE"""),"| 1 P Python % | 3 P JAVA % | 5 L NS % | 6 L CPT % ")</f>
        <v xml:space="preserve">| 1 P Python % | 3 P JAVA % | 5 L NS % | 6 L CPT % </v>
      </c>
      <c r="BA381" s="4" t="str">
        <f ca="1">IFERROR(__xludf.DUMMYFUNCTION("""COMPUTED_VALUE"""),"| 1 P NS % | 3 L CPT % | 4 L PHP-CGM % | 5 P PHP-CGM @ ")</f>
        <v xml:space="preserve">| 1 P NS % | 3 L CPT % | 4 L PHP-CGM % | 5 P PHP-CGM @ </v>
      </c>
      <c r="BB381" s="4" t="str">
        <f ca="1">IFERROR(__xludf.DUMMYFUNCTION("""COMPUTED_VALUE"""),"| 1 P Python % | 3 L PHP-CGM % | 4 L JAVA % | 5 L PRO % ")</f>
        <v xml:space="preserve">| 1 P Python % | 3 L PHP-CGM % | 4 L JAVA % | 5 L PRO % </v>
      </c>
      <c r="BC381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D381" s="4" t="str">
        <f ca="1">IFERROR(__xludf.DUMMYFUNCTION("""COMPUTED_VALUE"""),"| 1 L INE @ | 3 P CPT % | 5 L JAVA % | 6 L NS % ")</f>
        <v xml:space="preserve">| 1 L INE @ | 3 P CPT % | 5 L JAVA % | 6 L NS % </v>
      </c>
      <c r="BE381" s="4" t="str">
        <f ca="1">IFERROR(__xludf.DUMMYFUNCTION("""COMPUTED_VALUE"""),"| 1 P Python % | 3 P JAVA % | 5 L NS % | 6 L CPT % ")</f>
        <v xml:space="preserve">| 1 P Python % | 3 P JAVA % | 5 L NS % | 6 L CPT % </v>
      </c>
      <c r="BF381" s="4" t="str">
        <f ca="1">IFERROR(__xludf.DUMMYFUNCTION("""COMPUTED_VALUE"""),"| 1 P NS % | 3 L CPT % | 4 L PHP-CGM % ")</f>
        <v xml:space="preserve">| 1 P NS % | 3 L CPT % | 4 L PHP-CGM % </v>
      </c>
      <c r="BG381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81" s="4" t="str">
        <f ca="1">IFERROR(__xludf.DUMMYFUNCTION("""COMPUTED_VALUE"""),"| 1 L INE % | 3 P CPT % | 5 L JAVA % | 6 L NS % ")</f>
        <v xml:space="preserve">| 1 L INE % | 3 P CPT % | 5 L JAVA % | 6 L NS % </v>
      </c>
      <c r="BI381" s="4" t="str">
        <f ca="1">IFERROR(__xludf.DUMMYFUNCTION("""COMPUTED_VALUE"""),"| 1 P Python % | 3 P JAVA % | 5 L NS % | 6 L CPT % ")</f>
        <v xml:space="preserve">| 1 P Python % | 3 P JAVA % | 5 L NS % | 6 L CPT % </v>
      </c>
      <c r="BJ381" s="4" t="str">
        <f ca="1">IFERROR(__xludf.DUMMYFUNCTION("""COMPUTED_VALUE"""),"| 1 P NS % | 3 L CPT @ | 4 L PHP-CGM @ | 5 P PHP-CGM @ ")</f>
        <v xml:space="preserve">| 1 P NS % | 3 L CPT @ | 4 L PHP-CGM @ | 5 P PHP-CGM @ </v>
      </c>
      <c r="BK381" s="4" t="str">
        <f ca="1">IFERROR(__xludf.DUMMYFUNCTION("""COMPUTED_VALUE"""),"| 1 P Python @ | 3 L PHP-CGM @ | 4 L JAVA @ | 5 P PRO @ ")</f>
        <v xml:space="preserve">| 1 P Python @ | 3 L PHP-CGM @ | 4 L JAVA @ | 5 P PRO @ </v>
      </c>
      <c r="BL381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81" s="4" t="str">
        <f ca="1">IFERROR(__xludf.DUMMYFUNCTION("""COMPUTED_VALUE"""),"| 1 L INE @ | 3 P CPT @ | 5 L JAVA @ | 6 L NS @ ")</f>
        <v xml:space="preserve">| 1 L INE @ | 3 P CPT @ | 5 L JAVA @ | 6 L NS @ </v>
      </c>
      <c r="BN381" s="4" t="str">
        <f ca="1">IFERROR(__xludf.DUMMYFUNCTION("""COMPUTED_VALUE"""),"| 1 P Python @ | 3 P JAVA @ | 5 L NS @ | 6 L CPT @ ")</f>
        <v xml:space="preserve">| 1 P Python @ | 3 P JAVA @ | 5 L NS @ | 6 L CPT @ </v>
      </c>
      <c r="BO381" s="4" t="str">
        <f ca="1">IFERROR(__xludf.DUMMYFUNCTION("""COMPUTED_VALUE"""),"| 1 P NS @ | 4 L PHP-CGM @ | 3 L CPT % ")</f>
        <v xml:space="preserve">| 1 P NS @ | 4 L PHP-CGM @ | 3 L CPT % </v>
      </c>
      <c r="BP381" s="4" t="str">
        <f ca="1">IFERROR(__xludf.DUMMYFUNCTION("""COMPUTED_VALUE"""),"| 3 L PHP-CGM % | 4 L JAVA % | 5 P PRO @ ")</f>
        <v xml:space="preserve">| 3 L PHP-CGM % | 4 L JAVA % | 5 P PRO @ </v>
      </c>
      <c r="BQ381" s="4" t="str">
        <f ca="1">IFERROR(__xludf.DUMMYFUNCTION("""COMPUTED_VALUE"""),"| 6 L NS % | 5 L JAVA @ | 3 P CPT % ")</f>
        <v xml:space="preserve">| 6 L NS % | 5 L JAVA @ | 3 P CPT % </v>
      </c>
      <c r="BR381" s="4"/>
      <c r="BS381" s="4" t="str">
        <f ca="1">IFERROR(__xludf.DUMMYFUNCTION("""COMPUTED_VALUE"""),"| 4 L PHP-CGM % ")</f>
        <v xml:space="preserve">| 4 L PHP-CGM % </v>
      </c>
      <c r="BT381" s="4" t="str">
        <f ca="1">IFERROR(__xludf.DUMMYFUNCTION("""COMPUTED_VALUE"""),"| 1 P Python @ | 3 L PHP-CGM @ ")</f>
        <v xml:space="preserve">| 1 P Python @ | 3 L PHP-CGM @ </v>
      </c>
      <c r="BU381" s="4" t="str">
        <f ca="1">IFERROR(__xludf.DUMMYFUNCTION("""COMPUTED_VALUE"""),"| 1 L JAVA @ | 2 L PHP-CGM @ | 3 P JAVA @ ")</f>
        <v xml:space="preserve">| 1 L JAVA @ | 2 L PHP-CGM @ | 3 P JAVA @ </v>
      </c>
      <c r="BV381" s="4" t="str">
        <f ca="1">IFERROR(__xludf.DUMMYFUNCTION("""COMPUTED_VALUE"""),"| 1 P Python @ | 3 L PHP-CGM @ | 4 L JAVA @ | 5 P PRO @ ")</f>
        <v xml:space="preserve">| 1 P Python @ | 3 L PHP-CGM @ | 4 L JAVA @ | 5 P PRO @ </v>
      </c>
      <c r="BW381" s="4" t="str">
        <f ca="1">IFERROR(__xludf.DUMMYFUNCTION("""COMPUTED_VALUE"""),"| 1 L JAVA % | 2 L PHP-CGM % | 3 P JAVA @ ")</f>
        <v xml:space="preserve">| 1 L JAVA % | 2 L PHP-CGM % | 3 P JAVA @ </v>
      </c>
      <c r="BX381" s="4" t="str">
        <f ca="1">IFERROR(__xludf.DUMMYFUNCTION("""COMPUTED_VALUE"""),"| 1 L INE @ | 3 P CPT % | 5 L JAVA @ | 6 L NS @ ")</f>
        <v xml:space="preserve">| 1 L INE @ | 3 P CPT % | 5 L JAVA @ | 6 L NS @ </v>
      </c>
      <c r="BY381" s="4" t="str">
        <f ca="1">IFERROR(__xludf.DUMMYFUNCTION("""COMPUTED_VALUE"""),"| 1 P Python % | 3 P JAVA % | 5 L NS @ | 6 L CPT @ ")</f>
        <v xml:space="preserve">| 1 P Python % | 3 P JAVA % | 5 L NS @ | 6 L CPT @ </v>
      </c>
      <c r="BZ381" s="4" t="str">
        <f ca="1">IFERROR(__xludf.DUMMYFUNCTION("""COMPUTED_VALUE"""),"| 1 P NS % | 3 L CPT @ | 4 L PHP-CGM @ | 5 P PHP-CGM % ")</f>
        <v xml:space="preserve">| 1 P NS % | 3 L CPT @ | 4 L PHP-CGM @ | 5 P PHP-CGM % </v>
      </c>
      <c r="CA381" s="4" t="str">
        <f ca="1">IFERROR(__xludf.DUMMYFUNCTION("""COMPUTED_VALUE"""),"| 1 P Python @ | 3 L PHP-CGM % | 3 L JAVA % | 5 P PRO % ")</f>
        <v xml:space="preserve">| 1 P Python @ | 3 L PHP-CGM % | 3 L JAVA % | 5 P PRO % </v>
      </c>
      <c r="CB381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81" s="4" t="str">
        <f ca="1">IFERROR(__xludf.DUMMYFUNCTION("""COMPUTED_VALUE"""),"| 1 L INE % | 3 P CPT % | 5 L JAVA @ | 6 L NS @ ")</f>
        <v xml:space="preserve">| 1 L INE % | 3 P CPT % | 5 L JAVA @ | 6 L NS @ </v>
      </c>
      <c r="CD381" s="4" t="str">
        <f ca="1">IFERROR(__xludf.DUMMYFUNCTION("""COMPUTED_VALUE"""),"| 1 P Python % | 3 P JAVA @ | 5 L NS @ | 6 L CPT @ ")</f>
        <v xml:space="preserve">| 1 P Python % | 3 P JAVA @ | 5 L NS @ | 6 L CPT @ </v>
      </c>
      <c r="CE381" s="4" t="str">
        <f ca="1">IFERROR(__xludf.DUMMYFUNCTION("""COMPUTED_VALUE"""),"| 1 P NS @ | 3 L CPT @ | 4 L PHP-CGM @ ")</f>
        <v xml:space="preserve">| 1 P NS @ | 3 L CPT @ | 4 L PHP-CGM @ </v>
      </c>
      <c r="CF381" s="4" t="str">
        <f ca="1">IFERROR(__xludf.DUMMYFUNCTION("""COMPUTED_VALUE"""),"| 1 P Python % | 4 L JAVA @ | 3 L PHP-CGM @ | 5 L PRO % ")</f>
        <v xml:space="preserve">| 1 P Python % | 4 L JAVA @ | 3 L PHP-CGM @ | 5 L PRO % </v>
      </c>
      <c r="CG381" s="4" t="str">
        <f ca="1">IFERROR(__xludf.DUMMYFUNCTION("""COMPUTED_VALUE"""),"| 1 L JAVA % | 2 L PHP-CGM % | 6 L NS @ | 3 P JAVA % ")</f>
        <v xml:space="preserve">| 1 L JAVA % | 2 L PHP-CGM % | 6 L NS @ | 3 P JAVA % </v>
      </c>
      <c r="CH381" s="4" t="str">
        <f ca="1">IFERROR(__xludf.DUMMYFUNCTION("""COMPUTED_VALUE"""),"| 1 L INE % | 3 P CPT % | 5 L JAVA @ | 6 L NS @ ")</f>
        <v xml:space="preserve">| 1 L INE % | 3 P CPT % | 5 L JAVA @ | 6 L NS @ </v>
      </c>
      <c r="CI381" s="4" t="str">
        <f ca="1">IFERROR(__xludf.DUMMYFUNCTION("""COMPUTED_VALUE"""),"| 5 L NS % | 6 L CPT % ")</f>
        <v xml:space="preserve">| 5 L NS % | 6 L CPT % </v>
      </c>
      <c r="CJ381" s="4" t="str">
        <f ca="1">IFERROR(__xludf.DUMMYFUNCTION("""COMPUTED_VALUE"""),"| 1 P NS @ | 3 L CPT @ ")</f>
        <v xml:space="preserve">| 1 P NS @ | 3 L CPT @ </v>
      </c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</row>
    <row r="382" spans="1:102" ht="12.5" x14ac:dyDescent="0.25">
      <c r="A382" s="3">
        <f ca="1">IFERROR(__xludf.DUMMYFUNCTION("""COMPUTED_VALUE"""),2)</f>
        <v>2</v>
      </c>
      <c r="B382" s="3" t="str">
        <f ca="1">IFERROR(__xludf.DUMMYFUNCTION("""COMPUTED_VALUE"""),"ITA")</f>
        <v>ITA</v>
      </c>
      <c r="C382" s="32" t="str">
        <f ca="1">IFERROR(__xludf.DUMMYFUNCTION("""COMPUTED_VALUE"""),"23291371090")</f>
        <v>23291371090</v>
      </c>
      <c r="D382" s="4" t="str">
        <f ca="1">IFERROR(__xludf.DUMMYFUNCTION("""COMPUTED_VALUE"""),"PATEL NIMESHKUMAR VISHNUBHAI")</f>
        <v>PATEL NIMESHKUMAR VISHNUBHAI</v>
      </c>
      <c r="E382" s="3" t="str">
        <f ca="1">IFERROR(__xludf.DUMMYFUNCTION("""COMPUTED_VALUE"""),"Sweety - Mor")</f>
        <v>Sweety - Mor</v>
      </c>
      <c r="F382" s="3">
        <f ca="1">IFERROR(__xludf.DUMMYFUNCTION("""COMPUTED_VALUE"""),9714802096)</f>
        <v>9714802096</v>
      </c>
      <c r="G382" s="3">
        <f ca="1">IFERROR(__xludf.DUMMYFUNCTION("""COMPUTED_VALUE"""),7567889231)</f>
        <v>7567889231</v>
      </c>
      <c r="H382" s="33">
        <f ca="1">IFERROR(__xludf.DUMMYFUNCTION("""COMPUTED_VALUE"""),0.711382113821138)</f>
        <v>0.71138211382113803</v>
      </c>
      <c r="I382" s="25">
        <f ca="1">IFERROR(__xludf.DUMMYFUNCTION("""COMPUTED_VALUE"""),0.571428571428571)</f>
        <v>0.57142857142857095</v>
      </c>
      <c r="J382" s="25">
        <f ca="1">IFERROR(__xludf.DUMMYFUNCTION("""COMPUTED_VALUE"""),1)</f>
        <v>1</v>
      </c>
      <c r="K382" s="25">
        <f ca="1">IFERROR(__xludf.DUMMYFUNCTION("""COMPUTED_VALUE"""),0.527777777777777)</f>
        <v>0.52777777777777701</v>
      </c>
      <c r="L382" s="25">
        <f ca="1">IFERROR(__xludf.DUMMYFUNCTION("""COMPUTED_VALUE"""),0.75)</f>
        <v>0.75</v>
      </c>
      <c r="M382" s="25">
        <f ca="1">IFERROR(__xludf.DUMMYFUNCTION("""COMPUTED_VALUE"""),0.842105263157894)</f>
        <v>0.84210526315789402</v>
      </c>
      <c r="N382" s="25">
        <f ca="1">IFERROR(__xludf.DUMMYFUNCTION("""COMPUTED_VALUE"""),0.875)</f>
        <v>0.875</v>
      </c>
      <c r="O382" s="25">
        <f ca="1">IFERROR(__xludf.DUMMYFUNCTION("""COMPUTED_VALUE"""),0.694444444444444)</f>
        <v>0.69444444444444398</v>
      </c>
      <c r="P382" s="25">
        <f ca="1">IFERROR(__xludf.DUMMYFUNCTION("""COMPUTED_VALUE"""),0.68)</f>
        <v>0.68</v>
      </c>
      <c r="Q382" s="25">
        <f ca="1">IFERROR(__xludf.DUMMYFUNCTION("""COMPUTED_VALUE"""),0)</f>
        <v>0</v>
      </c>
      <c r="R382" s="25">
        <f ca="1">IFERROR(__xludf.DUMMYFUNCTION("""COMPUTED_VALUE"""),0.791666666666666)</f>
        <v>0.79166666666666596</v>
      </c>
      <c r="S382" s="25">
        <f ca="1">IFERROR(__xludf.DUMMYFUNCTION("""COMPUTED_VALUE"""),0.666666666666666)</f>
        <v>0.66666666666666596</v>
      </c>
      <c r="T382" s="25">
        <f ca="1">IFERROR(__xludf.DUMMYFUNCTION("""COMPUTED_VALUE"""),0.777777777777777)</f>
        <v>0.77777777777777701</v>
      </c>
      <c r="U382" s="25">
        <f ca="1">IFERROR(__xludf.DUMMYFUNCTION("""COMPUTED_VALUE"""),0.75)</f>
        <v>0.75</v>
      </c>
      <c r="V382" s="25">
        <f ca="1">IFERROR(__xludf.DUMMYFUNCTION("""COMPUTED_VALUE"""),0)</f>
        <v>0</v>
      </c>
      <c r="W382" s="4"/>
      <c r="X382" s="4" t="str">
        <f ca="1">IFERROR(__xludf.DUMMYFUNCTION("""COMPUTED_VALUE"""),"| 1 P Python @ | 4 L JAVA @ | 3 L PHP-CGM @ | 1 L PRO @ ")</f>
        <v xml:space="preserve">| 1 P Python @ | 4 L JAVA @ | 3 L PHP-CGM @ | 1 L PRO @ </v>
      </c>
      <c r="Y382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82" s="4" t="str">
        <f ca="1">IFERROR(__xludf.DUMMYFUNCTION("""COMPUTED_VALUE"""),"| 3 P CPT % | 5 L JAVA @ | 6 L NS @ ")</f>
        <v xml:space="preserve">| 3 P CPT % | 5 L JAVA @ | 6 L NS @ </v>
      </c>
      <c r="AA382" s="4" t="str">
        <f ca="1">IFERROR(__xludf.DUMMYFUNCTION("""COMPUTED_VALUE"""),"| 1 P Python @ | 5 P JAVA @ | 5 L NS @ | 6 L CPT @ ")</f>
        <v xml:space="preserve">| 1 P Python @ | 5 P JAVA @ | 5 L NS @ | 6 L CPT @ </v>
      </c>
      <c r="AB382" s="4" t="str">
        <f ca="1">IFERROR(__xludf.DUMMYFUNCTION("""COMPUTED_VALUE"""),"| 1 P NS % | 3 L CPT % | 5 P PHP-CGM % | 4 L PHP-CGM % ")</f>
        <v xml:space="preserve">| 1 P NS % | 3 L CPT % | 5 P PHP-CGM % | 4 L PHP-CGM % </v>
      </c>
      <c r="AC382" s="4" t="str">
        <f ca="1">IFERROR(__xludf.DUMMYFUNCTION("""COMPUTED_VALUE"""),"| 1 P Python % | 3 L PHP-CGM % | 5 P PRO % ")</f>
        <v xml:space="preserve">| 1 P Python % | 3 L PHP-CGM % | 5 P PRO % </v>
      </c>
      <c r="AD382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AE382" s="4" t="str">
        <f ca="1">IFERROR(__xludf.DUMMYFUNCTION("""COMPUTED_VALUE"""),"| 3 P CPT % | 5 L JAVA % | 6 L NS % ")</f>
        <v xml:space="preserve">| 3 P CPT % | 5 L JAVA % | 6 L NS % </v>
      </c>
      <c r="AF382" s="4" t="str">
        <f ca="1">IFERROR(__xludf.DUMMYFUNCTION("""COMPUTED_VALUE"""),"| 1 P Python @ | 3 P JAVA @ | 5 L NS @ | 6 L CPT @ ")</f>
        <v xml:space="preserve">| 1 P Python @ | 3 P JAVA @ | 5 L NS @ | 6 L CPT @ </v>
      </c>
      <c r="AG382" s="4" t="str">
        <f ca="1">IFERROR(__xludf.DUMMYFUNCTION("""COMPUTED_VALUE"""),"| 1 P NS @ | 3 L CPT @ | 4 L PHP-CGM @ | 5 P PHP-CGM @ ")</f>
        <v xml:space="preserve">| 1 P NS @ | 3 L CPT @ | 4 L PHP-CGM @ | 5 P PHP-CGM @ </v>
      </c>
      <c r="AH382" s="4" t="str">
        <f ca="1">IFERROR(__xludf.DUMMYFUNCTION("""COMPUTED_VALUE"""),"| 1 P Python % | 3 P JAVA % | 5 L NS % | 6 L CPT % ")</f>
        <v xml:space="preserve">| 1 P Python % | 3 P JAVA % | 5 L NS % | 6 L CPT % </v>
      </c>
      <c r="AI382" s="4" t="str">
        <f ca="1">IFERROR(__xludf.DUMMYFUNCTION("""COMPUTED_VALUE"""),"| 1 P NS % | 3 L CPT % | 4 L PHP-CGM % | 5 P PHP-CGM % ")</f>
        <v xml:space="preserve">| 1 P NS % | 3 L CPT % | 4 L PHP-CGM % | 5 P PHP-CGM % </v>
      </c>
      <c r="AJ382" s="4" t="str">
        <f ca="1">IFERROR(__xludf.DUMMYFUNCTION("""COMPUTED_VALUE"""),"| 1 P Python % | 3 L PHP-CGM % | 4 L JAVA % | 5 P PRO % ")</f>
        <v xml:space="preserve">| 1 P Python % | 3 L PHP-CGM % | 4 L JAVA % | 5 P PRO % </v>
      </c>
      <c r="AK38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82" s="4" t="str">
        <f ca="1">IFERROR(__xludf.DUMMYFUNCTION("""COMPUTED_VALUE"""),"| 3 P CPT % | 5 L JAVA % | 6 L NS % ")</f>
        <v xml:space="preserve">| 3 P CPT % | 5 L JAVA % | 6 L NS % </v>
      </c>
      <c r="AM382" s="4" t="str">
        <f ca="1">IFERROR(__xludf.DUMMYFUNCTION("""COMPUTED_VALUE"""),"| 1 P Python % | 3 P JAVA @ | 5 L NS @ | 6 L CPT @ ")</f>
        <v xml:space="preserve">| 1 P Python % | 3 P JAVA @ | 5 L NS @ | 6 L CPT @ </v>
      </c>
      <c r="AN382" s="4" t="str">
        <f ca="1">IFERROR(__xludf.DUMMYFUNCTION("""COMPUTED_VALUE"""),"| 1 P NS % | 4 L PHP-CGM % | 5 P PHP-CGM % ")</f>
        <v xml:space="preserve">| 1 P NS % | 4 L PHP-CGM % | 5 P PHP-CGM % </v>
      </c>
      <c r="AO382" s="4" t="str">
        <f ca="1">IFERROR(__xludf.DUMMYFUNCTION("""COMPUTED_VALUE"""),"| 1 P Python % | 3 L PHP-CGM % | 4 L JAVA % | 5 P PRO % ")</f>
        <v xml:space="preserve">| 1 P Python % | 3 L PHP-CGM % | 4 L JAVA % | 5 P PRO % </v>
      </c>
      <c r="AP38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82" s="4" t="str">
        <f ca="1">IFERROR(__xludf.DUMMYFUNCTION("""COMPUTED_VALUE"""),"| 1 L INE % | 3 P CPT % | 5 L JAVA @ | 6 L NS @ ")</f>
        <v xml:space="preserve">| 1 L INE % | 3 P CPT % | 5 L JAVA @ | 6 L NS @ </v>
      </c>
      <c r="AR382" s="4" t="str">
        <f ca="1">IFERROR(__xludf.DUMMYFUNCTION("""COMPUTED_VALUE"""),"| 1 P Python @ | 3 L CPT % | 3 P JAVA @ | 5 L NS @ | 6 L CPT @ ")</f>
        <v xml:space="preserve">| 1 P Python @ | 3 L CPT % | 3 P JAVA @ | 5 L NS @ | 6 L CPT @ </v>
      </c>
      <c r="AS382" s="4" t="str">
        <f ca="1">IFERROR(__xludf.DUMMYFUNCTION("""COMPUTED_VALUE"""),"| 1 P Python % | 3 L PHP-CGM % | 4 L JAVA % | 5 P PRO % ")</f>
        <v xml:space="preserve">| 1 P Python % | 3 L PHP-CGM % | 4 L JAVA % | 5 P PRO % </v>
      </c>
      <c r="AT38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82" s="4" t="str">
        <f ca="1">IFERROR(__xludf.DUMMYFUNCTION("""COMPUTED_VALUE"""),"| 1 L INE % | 3 P CPT % | 5 L JAVA % | 6 L NS % ")</f>
        <v xml:space="preserve">| 1 L INE % | 3 P CPT % | 5 L JAVA % | 6 L NS % </v>
      </c>
      <c r="AV382" s="4" t="str">
        <f ca="1">IFERROR(__xludf.DUMMYFUNCTION("""COMPUTED_VALUE"""),"| 1 P Python % | 3 P JAVA % | 5 L NS % | 6 L CPT % ")</f>
        <v xml:space="preserve">| 1 P Python % | 3 P JAVA % | 5 L NS % | 6 L CPT % </v>
      </c>
      <c r="AW382" s="4" t="str">
        <f ca="1">IFERROR(__xludf.DUMMYFUNCTION("""COMPUTED_VALUE"""),"| 1 P NS % | 3 L CPT % | 4 L PHP-CGM % | 5 P PHP-CGM % ")</f>
        <v xml:space="preserve">| 1 P NS % | 3 L CPT % | 4 L PHP-CGM % | 5 P PHP-CGM % </v>
      </c>
      <c r="AX382" s="4" t="str">
        <f ca="1">IFERROR(__xludf.DUMMYFUNCTION("""COMPUTED_VALUE"""),"| 1 P Python % | 3 L JAVA % | 4 L PHP-CGM % | 5 P PRO % ")</f>
        <v xml:space="preserve">| 1 P Python % | 3 L JAVA % | 4 L PHP-CGM % | 5 P PRO % </v>
      </c>
      <c r="AY382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82" s="4" t="str">
        <f ca="1">IFERROR(__xludf.DUMMYFUNCTION("""COMPUTED_VALUE"""),"| 1 P Python % | 3 P JAVA % | 5 L NS % | 6 L CPT % ")</f>
        <v xml:space="preserve">| 1 P Python % | 3 P JAVA % | 5 L NS % | 6 L CPT % </v>
      </c>
      <c r="BA382" s="4" t="str">
        <f ca="1">IFERROR(__xludf.DUMMYFUNCTION("""COMPUTED_VALUE"""),"| 1 P NS % | 3 L CPT % | 4 L PHP-CGM % | 5 P PHP-CGM % ")</f>
        <v xml:space="preserve">| 1 P NS % | 3 L CPT % | 4 L PHP-CGM % | 5 P PHP-CGM % </v>
      </c>
      <c r="BB382" s="4" t="str">
        <f ca="1">IFERROR(__xludf.DUMMYFUNCTION("""COMPUTED_VALUE"""),"| 1 P Python % | 3 L PHP-CGM % | 4 L JAVA % | 5 L PRO % ")</f>
        <v xml:space="preserve">| 1 P Python % | 3 L PHP-CGM % | 4 L JAVA % | 5 L PRO % </v>
      </c>
      <c r="BC38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82" s="4" t="str">
        <f ca="1">IFERROR(__xludf.DUMMYFUNCTION("""COMPUTED_VALUE"""),"| 1 L INE % | 3 P CPT % | 5 L JAVA @ | 6 L NS @ ")</f>
        <v xml:space="preserve">| 1 L INE % | 3 P CPT % | 5 L JAVA @ | 6 L NS @ </v>
      </c>
      <c r="BE382" s="4" t="str">
        <f ca="1">IFERROR(__xludf.DUMMYFUNCTION("""COMPUTED_VALUE"""),"| 1 P Python % | 3 P JAVA % | 5 L NS @ | 6 L CPT @ ")</f>
        <v xml:space="preserve">| 1 P Python % | 3 P JAVA % | 5 L NS @ | 6 L CPT @ </v>
      </c>
      <c r="BF382" s="4" t="str">
        <f ca="1">IFERROR(__xludf.DUMMYFUNCTION("""COMPUTED_VALUE"""),"| 1 P NS @ | 3 L CPT @ | 4 L PHP-CGM @ ")</f>
        <v xml:space="preserve">| 1 P NS @ | 3 L CPT @ | 4 L PHP-CGM @ </v>
      </c>
      <c r="BG382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82" s="4" t="str">
        <f ca="1">IFERROR(__xludf.DUMMYFUNCTION("""COMPUTED_VALUE"""),"| 1 L INE @ | 3 P CPT % | 5 L JAVA @ | 6 L NS @ ")</f>
        <v xml:space="preserve">| 1 L INE @ | 3 P CPT % | 5 L JAVA @ | 6 L NS @ </v>
      </c>
      <c r="BI382" s="4" t="str">
        <f ca="1">IFERROR(__xludf.DUMMYFUNCTION("""COMPUTED_VALUE"""),"| 1 P Python % | 3 P JAVA % | 5 L NS % | 6 L CPT % ")</f>
        <v xml:space="preserve">| 1 P Python % | 3 P JAVA % | 5 L NS % | 6 L CPT % </v>
      </c>
      <c r="BJ382" s="4" t="str">
        <f ca="1">IFERROR(__xludf.DUMMYFUNCTION("""COMPUTED_VALUE"""),"| 1 P NS % | 3 L CPT % | 4 L PHP-CGM % | 5 P PHP-CGM % ")</f>
        <v xml:space="preserve">| 1 P NS % | 3 L CPT % | 4 L PHP-CGM % | 5 P PHP-CGM % </v>
      </c>
      <c r="BK382" s="4" t="str">
        <f ca="1">IFERROR(__xludf.DUMMYFUNCTION("""COMPUTED_VALUE"""),"| 1 P Python % | 3 L PHP-CGM % | 4 L JAVA % | 5 P PRO @ ")</f>
        <v xml:space="preserve">| 1 P Python % | 3 L PHP-CGM % | 4 L JAVA % | 5 P PRO @ </v>
      </c>
      <c r="BL382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BM382" s="4" t="str">
        <f ca="1">IFERROR(__xludf.DUMMYFUNCTION("""COMPUTED_VALUE"""),"| 1 L INE % | 3 P CPT % | 5 L JAVA % | 6 L NS % ")</f>
        <v xml:space="preserve">| 1 L INE % | 3 P CPT % | 5 L JAVA % | 6 L NS % </v>
      </c>
      <c r="BN382" s="4" t="str">
        <f ca="1">IFERROR(__xludf.DUMMYFUNCTION("""COMPUTED_VALUE"""),"| 1 P Python % | 3 P JAVA % | 5 L NS % | 6 L CPT @ ")</f>
        <v xml:space="preserve">| 1 P Python % | 3 P JAVA % | 5 L NS % | 6 L CPT @ </v>
      </c>
      <c r="BO382" s="4" t="str">
        <f ca="1">IFERROR(__xludf.DUMMYFUNCTION("""COMPUTED_VALUE"""),"| 1 P NS % | 4 L PHP-CGM % | 3 L CPT % ")</f>
        <v xml:space="preserve">| 1 P NS % | 4 L PHP-CGM % | 3 L CPT % </v>
      </c>
      <c r="BP382" s="4" t="str">
        <f ca="1">IFERROR(__xludf.DUMMYFUNCTION("""COMPUTED_VALUE"""),"| 3 L PHP-CGM % | 4 L JAVA % | 5 P PRO % ")</f>
        <v xml:space="preserve">| 3 L PHP-CGM % | 4 L JAVA % | 5 P PRO % </v>
      </c>
      <c r="BQ382" s="4" t="str">
        <f ca="1">IFERROR(__xludf.DUMMYFUNCTION("""COMPUTED_VALUE"""),"| 6 L NS % | 5 L JAVA @ | 3 P CPT % ")</f>
        <v xml:space="preserve">| 6 L NS % | 5 L JAVA @ | 3 P CPT % </v>
      </c>
      <c r="BR382" s="4"/>
      <c r="BS382" s="4" t="str">
        <f ca="1">IFERROR(__xludf.DUMMYFUNCTION("""COMPUTED_VALUE"""),"| 4 L PHP-CGM % ")</f>
        <v xml:space="preserve">| 4 L PHP-CGM % </v>
      </c>
      <c r="BT382" s="4" t="str">
        <f ca="1">IFERROR(__xludf.DUMMYFUNCTION("""COMPUTED_VALUE"""),"| 1 P Python % | 3 L PHP-CGM % ")</f>
        <v xml:space="preserve">| 1 P Python % | 3 L PHP-CGM % </v>
      </c>
      <c r="BU382" s="4" t="str">
        <f ca="1">IFERROR(__xludf.DUMMYFUNCTION("""COMPUTED_VALUE"""),"| 1 L JAVA % | 2 L PHP-CGM % | 3 P JAVA % ")</f>
        <v xml:space="preserve">| 1 L JAVA % | 2 L PHP-CGM % | 3 P JAVA % </v>
      </c>
      <c r="BV382" s="4" t="str">
        <f ca="1">IFERROR(__xludf.DUMMYFUNCTION("""COMPUTED_VALUE"""),"| 1 P Python % | 3 L PHP-CGM % | 4 L JAVA % | 5 P PRO % ")</f>
        <v xml:space="preserve">| 1 P Python % | 3 L PHP-CGM % | 4 L JAVA % | 5 P PRO % </v>
      </c>
      <c r="BW382" s="4" t="str">
        <f ca="1">IFERROR(__xludf.DUMMYFUNCTION("""COMPUTED_VALUE"""),"| 1 L JAVA % | 2 L PHP-CGM % | 3 P JAVA % ")</f>
        <v xml:space="preserve">| 1 L JAVA % | 2 L PHP-CGM % | 3 P JAVA % </v>
      </c>
      <c r="BX382" s="4" t="str">
        <f ca="1">IFERROR(__xludf.DUMMYFUNCTION("""COMPUTED_VALUE"""),"| 1 L INE % | 3 P CPT % | 5 L JAVA @ | 6 L NS @ ")</f>
        <v xml:space="preserve">| 1 L INE % | 3 P CPT % | 5 L JAVA @ | 6 L NS @ </v>
      </c>
      <c r="BY382" s="4" t="str">
        <f ca="1">IFERROR(__xludf.DUMMYFUNCTION("""COMPUTED_VALUE"""),"| 1 P Python % | 3 P JAVA % | 5 L NS % | 6 L CPT % ")</f>
        <v xml:space="preserve">| 1 P Python % | 3 P JAVA % | 5 L NS % | 6 L CPT % </v>
      </c>
      <c r="BZ382" s="4" t="str">
        <f ca="1">IFERROR(__xludf.DUMMYFUNCTION("""COMPUTED_VALUE"""),"| 1 P NS % | 3 L CPT @ | 4 L PHP-CGM % | 5 P PHP-CGM % ")</f>
        <v xml:space="preserve">| 1 P NS % | 3 L CPT @ | 4 L PHP-CGM % | 5 P PHP-CGM % </v>
      </c>
      <c r="CA382" s="4" t="str">
        <f ca="1">IFERROR(__xludf.DUMMYFUNCTION("""COMPUTED_VALUE"""),"| 1 P Python @ | 3 L PHP-CGM % | 3 L JAVA % | 5 P PRO @ ")</f>
        <v xml:space="preserve">| 1 P Python @ | 3 L PHP-CGM % | 3 L JAVA % | 5 P PRO @ </v>
      </c>
      <c r="CB382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82" s="4" t="str">
        <f ca="1">IFERROR(__xludf.DUMMYFUNCTION("""COMPUTED_VALUE"""),"| 1 L INE % | 3 P CPT % | 5 L JAVA @ | 6 L NS @ ")</f>
        <v xml:space="preserve">| 1 L INE % | 3 P CPT % | 5 L JAVA @ | 6 L NS @ </v>
      </c>
      <c r="CD382" s="4" t="str">
        <f ca="1">IFERROR(__xludf.DUMMYFUNCTION("""COMPUTED_VALUE"""),"| 1 P Python % | 3 P JAVA @ | 5 L NS @ | 6 L CPT @ ")</f>
        <v xml:space="preserve">| 1 P Python % | 3 P JAVA @ | 5 L NS @ | 6 L CPT @ </v>
      </c>
      <c r="CE382" s="4" t="str">
        <f ca="1">IFERROR(__xludf.DUMMYFUNCTION("""COMPUTED_VALUE"""),"| 1 P NS % | 3 L CPT @ | 4 L PHP-CGM @ ")</f>
        <v xml:space="preserve">| 1 P NS % | 3 L CPT @ | 4 L PHP-CGM @ </v>
      </c>
      <c r="CF382" s="4" t="str">
        <f ca="1">IFERROR(__xludf.DUMMYFUNCTION("""COMPUTED_VALUE"""),"| 1 P Python % | 4 L JAVA @ | 3 L PHP-CGM @ | 5 L PRO % ")</f>
        <v xml:space="preserve">| 1 P Python % | 4 L JAVA @ | 3 L PHP-CGM @ | 5 L PRO % </v>
      </c>
      <c r="CG382" s="4" t="str">
        <f ca="1">IFERROR(__xludf.DUMMYFUNCTION("""COMPUTED_VALUE"""),"| 1 L JAVA % | 2 L PHP-CGM % | 6 L NS @ | 3 P JAVA % ")</f>
        <v xml:space="preserve">| 1 L JAVA % | 2 L PHP-CGM % | 6 L NS @ | 3 P JAVA % </v>
      </c>
      <c r="CH382" s="4" t="str">
        <f ca="1">IFERROR(__xludf.DUMMYFUNCTION("""COMPUTED_VALUE"""),"| 1 L INE @ | 3 P CPT % | 5 L JAVA @ | 6 L NS @ ")</f>
        <v xml:space="preserve">| 1 L INE @ | 3 P CPT % | 5 L JAVA @ | 6 L NS @ </v>
      </c>
      <c r="CI382" s="4" t="str">
        <f ca="1">IFERROR(__xludf.DUMMYFUNCTION("""COMPUTED_VALUE"""),"| 5 L NS % | 6 L CPT % ")</f>
        <v xml:space="preserve">| 5 L NS % | 6 L CPT % </v>
      </c>
      <c r="CJ382" s="4" t="str">
        <f ca="1">IFERROR(__xludf.DUMMYFUNCTION("""COMPUTED_VALUE"""),"| 1 P NS @ | 3 L CPT @ ")</f>
        <v xml:space="preserve">| 1 P NS @ | 3 L CPT @ </v>
      </c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</row>
    <row r="383" spans="1:102" ht="12.5" x14ac:dyDescent="0.25">
      <c r="A383" s="3">
        <f ca="1">IFERROR(__xludf.DUMMYFUNCTION("""COMPUTED_VALUE"""),2)</f>
        <v>2</v>
      </c>
      <c r="B383" s="3" t="str">
        <f ca="1">IFERROR(__xludf.DUMMYFUNCTION("""COMPUTED_VALUE"""),"ITA")</f>
        <v>ITA</v>
      </c>
      <c r="C383" s="32" t="str">
        <f ca="1">IFERROR(__xludf.DUMMYFUNCTION("""COMPUTED_VALUE"""),"23291371094")</f>
        <v>23291371094</v>
      </c>
      <c r="D383" s="4" t="str">
        <f ca="1">IFERROR(__xludf.DUMMYFUNCTION("""COMPUTED_VALUE"""),"PATEL PRIT ANILKUMAR")</f>
        <v>PATEL PRIT ANILKUMAR</v>
      </c>
      <c r="E383" s="3" t="str">
        <f ca="1">IFERROR(__xludf.DUMMYFUNCTION("""COMPUTED_VALUE"""),"Sweety - Mor")</f>
        <v>Sweety - Mor</v>
      </c>
      <c r="F383" s="3">
        <f ca="1">IFERROR(__xludf.DUMMYFUNCTION("""COMPUTED_VALUE"""),7874312625)</f>
        <v>7874312625</v>
      </c>
      <c r="G383" s="3">
        <f ca="1">IFERROR(__xludf.DUMMYFUNCTION("""COMPUTED_VALUE"""),9913080375)</f>
        <v>9913080375</v>
      </c>
      <c r="H383" s="33">
        <f ca="1">IFERROR(__xludf.DUMMYFUNCTION("""COMPUTED_VALUE"""),0.776422764227642)</f>
        <v>0.776422764227642</v>
      </c>
      <c r="I383" s="25">
        <f ca="1">IFERROR(__xludf.DUMMYFUNCTION("""COMPUTED_VALUE"""),0.628571428571428)</f>
        <v>0.628571428571428</v>
      </c>
      <c r="J383" s="25">
        <f ca="1">IFERROR(__xludf.DUMMYFUNCTION("""COMPUTED_VALUE"""),0.916666666666666)</f>
        <v>0.91666666666666596</v>
      </c>
      <c r="K383" s="25">
        <f ca="1">IFERROR(__xludf.DUMMYFUNCTION("""COMPUTED_VALUE"""),0.583333333333333)</f>
        <v>0.58333333333333304</v>
      </c>
      <c r="L383" s="25">
        <f ca="1">IFERROR(__xludf.DUMMYFUNCTION("""COMPUTED_VALUE"""),0.75)</f>
        <v>0.75</v>
      </c>
      <c r="M383" s="25">
        <f ca="1">IFERROR(__xludf.DUMMYFUNCTION("""COMPUTED_VALUE"""),0.894736842105263)</f>
        <v>0.89473684210526305</v>
      </c>
      <c r="N383" s="25">
        <f ca="1">IFERROR(__xludf.DUMMYFUNCTION("""COMPUTED_VALUE"""),0.625)</f>
        <v>0.625</v>
      </c>
      <c r="O383" s="25">
        <f ca="1">IFERROR(__xludf.DUMMYFUNCTION("""COMPUTED_VALUE"""),0.833333333333333)</f>
        <v>0.83333333333333304</v>
      </c>
      <c r="P383" s="25">
        <f ca="1">IFERROR(__xludf.DUMMYFUNCTION("""COMPUTED_VALUE"""),0.84)</f>
        <v>0.84</v>
      </c>
      <c r="Q383" s="25">
        <f ca="1">IFERROR(__xludf.DUMMYFUNCTION("""COMPUTED_VALUE"""),0)</f>
        <v>0</v>
      </c>
      <c r="R383" s="25">
        <f ca="1">IFERROR(__xludf.DUMMYFUNCTION("""COMPUTED_VALUE"""),0.916666666666666)</f>
        <v>0.91666666666666596</v>
      </c>
      <c r="S383" s="25">
        <f ca="1">IFERROR(__xludf.DUMMYFUNCTION("""COMPUTED_VALUE"""),0.666666666666666)</f>
        <v>0.66666666666666596</v>
      </c>
      <c r="T383" s="25">
        <f ca="1">IFERROR(__xludf.DUMMYFUNCTION("""COMPUTED_VALUE"""),0.777777777777777)</f>
        <v>0.77777777777777701</v>
      </c>
      <c r="U383" s="25">
        <f ca="1">IFERROR(__xludf.DUMMYFUNCTION("""COMPUTED_VALUE"""),0.875)</f>
        <v>0.875</v>
      </c>
      <c r="V383" s="25">
        <f ca="1">IFERROR(__xludf.DUMMYFUNCTION("""COMPUTED_VALUE"""),0)</f>
        <v>0</v>
      </c>
      <c r="W383" s="4"/>
      <c r="X383" s="4" t="str">
        <f ca="1">IFERROR(__xludf.DUMMYFUNCTION("""COMPUTED_VALUE"""),"| 1 P Python % | 4 L JAVA % | 3 L PHP-CGM % | 1 L PRO % ")</f>
        <v xml:space="preserve">| 1 P Python % | 4 L JAVA % | 3 L PHP-CGM % | 1 L PRO % </v>
      </c>
      <c r="Y383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Z383" s="4" t="str">
        <f ca="1">IFERROR(__xludf.DUMMYFUNCTION("""COMPUTED_VALUE"""),"| 3 P CPT % | 5 L JAVA % | 6 L NS % ")</f>
        <v xml:space="preserve">| 3 P CPT % | 5 L JAVA % | 6 L NS % </v>
      </c>
      <c r="AA383" s="4" t="str">
        <f ca="1">IFERROR(__xludf.DUMMYFUNCTION("""COMPUTED_VALUE"""),"| 1 P Python % | 5 P JAVA % | 5 L NS % | 6 L CPT % ")</f>
        <v xml:space="preserve">| 1 P Python % | 5 P JAVA % | 5 L NS % | 6 L CPT % </v>
      </c>
      <c r="AB383" s="4" t="str">
        <f ca="1">IFERROR(__xludf.DUMMYFUNCTION("""COMPUTED_VALUE"""),"| 1 P NS % | 3 L CPT % | 5 P PHP-CGM % | 4 L PHP-CGM % ")</f>
        <v xml:space="preserve">| 1 P NS % | 3 L CPT % | 5 P PHP-CGM % | 4 L PHP-CGM % </v>
      </c>
      <c r="AC383" s="4" t="str">
        <f ca="1">IFERROR(__xludf.DUMMYFUNCTION("""COMPUTED_VALUE"""),"| 1 P Python % | 3 L PHP-CGM % | 5 P PRO % ")</f>
        <v xml:space="preserve">| 1 P Python % | 3 L PHP-CGM % | 5 P PRO % </v>
      </c>
      <c r="AD383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83" s="4" t="str">
        <f ca="1">IFERROR(__xludf.DUMMYFUNCTION("""COMPUTED_VALUE"""),"| 3 P CPT % | 5 L JAVA % | 6 L NS % ")</f>
        <v xml:space="preserve">| 3 P CPT % | 5 L JAVA % | 6 L NS % </v>
      </c>
      <c r="AF383" s="4" t="str">
        <f ca="1">IFERROR(__xludf.DUMMYFUNCTION("""COMPUTED_VALUE"""),"| 1 P Python % | 3 P JAVA % | 5 L NS @ | 6 L CPT @ ")</f>
        <v xml:space="preserve">| 1 P Python % | 3 P JAVA % | 5 L NS @ | 6 L CPT @ </v>
      </c>
      <c r="AG383" s="4" t="str">
        <f ca="1">IFERROR(__xludf.DUMMYFUNCTION("""COMPUTED_VALUE"""),"| 1 P NS % | 3 L CPT % | 4 L PHP-CGM % | 5 P PHP-CGM % ")</f>
        <v xml:space="preserve">| 1 P NS % | 3 L CPT % | 4 L PHP-CGM % | 5 P PHP-CGM % </v>
      </c>
      <c r="AH383" s="4" t="str">
        <f ca="1">IFERROR(__xludf.DUMMYFUNCTION("""COMPUTED_VALUE"""),"| 1 P Python % | 3 P JAVA % | 5 L NS % | 6 L CPT % ")</f>
        <v xml:space="preserve">| 1 P Python % | 3 P JAVA % | 5 L NS % | 6 L CPT % </v>
      </c>
      <c r="AI383" s="4" t="str">
        <f ca="1">IFERROR(__xludf.DUMMYFUNCTION("""COMPUTED_VALUE"""),"| 1 P NS % | 3 L CPT % | 4 L PHP-CGM % | 5 P PHP-CGM % ")</f>
        <v xml:space="preserve">| 1 P NS % | 3 L CPT % | 4 L PHP-CGM % | 5 P PHP-CGM % </v>
      </c>
      <c r="AJ383" s="4" t="str">
        <f ca="1">IFERROR(__xludf.DUMMYFUNCTION("""COMPUTED_VALUE"""),"| 1 P Python % | 3 L PHP-CGM % | 4 L JAVA % | 5 P PRO % ")</f>
        <v xml:space="preserve">| 1 P Python % | 3 L PHP-CGM % | 4 L JAVA % | 5 P PRO % </v>
      </c>
      <c r="AK38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83" s="4" t="str">
        <f ca="1">IFERROR(__xludf.DUMMYFUNCTION("""COMPUTED_VALUE"""),"| 3 P CPT % | 5 L JAVA % | 6 L NS % ")</f>
        <v xml:space="preserve">| 3 P CPT % | 5 L JAVA % | 6 L NS % </v>
      </c>
      <c r="AM383" s="4" t="str">
        <f ca="1">IFERROR(__xludf.DUMMYFUNCTION("""COMPUTED_VALUE"""),"| 1 P Python % | 3 P JAVA % | 5 L NS % | 6 L CPT % ")</f>
        <v xml:space="preserve">| 1 P Python % | 3 P JAVA % | 5 L NS % | 6 L CPT % </v>
      </c>
      <c r="AN383" s="4" t="str">
        <f ca="1">IFERROR(__xludf.DUMMYFUNCTION("""COMPUTED_VALUE"""),"| 1 P NS % | 4 L PHP-CGM % | 5 P PHP-CGM @ ")</f>
        <v xml:space="preserve">| 1 P NS % | 4 L PHP-CGM % | 5 P PHP-CGM @ </v>
      </c>
      <c r="AO383" s="4" t="str">
        <f ca="1">IFERROR(__xludf.DUMMYFUNCTION("""COMPUTED_VALUE"""),"| 1 P Python % | 3 L PHP-CGM % | 4 L JAVA % | 5 P PRO % ")</f>
        <v xml:space="preserve">| 1 P Python % | 3 L PHP-CGM % | 4 L JAVA % | 5 P PRO % </v>
      </c>
      <c r="AP38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83" s="4" t="str">
        <f ca="1">IFERROR(__xludf.DUMMYFUNCTION("""COMPUTED_VALUE"""),"| 1 L INE % | 3 P CPT % | 5 L JAVA @ | 6 L NS @ ")</f>
        <v xml:space="preserve">| 1 L INE % | 3 P CPT % | 5 L JAVA @ | 6 L NS @ </v>
      </c>
      <c r="AR383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83" s="4" t="str">
        <f ca="1">IFERROR(__xludf.DUMMYFUNCTION("""COMPUTED_VALUE"""),"| 1 P Python % | 3 L PHP-CGM % | 4 L JAVA % | 5 P PRO % ")</f>
        <v xml:space="preserve">| 1 P Python % | 3 L PHP-CGM % | 4 L JAVA % | 5 P PRO % </v>
      </c>
      <c r="AT38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83" s="4" t="str">
        <f ca="1">IFERROR(__xludf.DUMMYFUNCTION("""COMPUTED_VALUE"""),"| 1 L INE % | 3 P CPT % | 5 L JAVA % | 6 L NS % ")</f>
        <v xml:space="preserve">| 1 L INE % | 3 P CPT % | 5 L JAVA % | 6 L NS % </v>
      </c>
      <c r="AV383" s="4" t="str">
        <f ca="1">IFERROR(__xludf.DUMMYFUNCTION("""COMPUTED_VALUE"""),"| 1 P Python % | 3 P JAVA % | 5 L NS % | 6 L CPT % ")</f>
        <v xml:space="preserve">| 1 P Python % | 3 P JAVA % | 5 L NS % | 6 L CPT % </v>
      </c>
      <c r="AW383" s="4" t="str">
        <f ca="1">IFERROR(__xludf.DUMMYFUNCTION("""COMPUTED_VALUE"""),"| 1 P NS % | 3 L CPT % | 4 L PHP-CGM % | 5 P PHP-CGM % ")</f>
        <v xml:space="preserve">| 1 P NS % | 3 L CPT % | 4 L PHP-CGM % | 5 P PHP-CGM % </v>
      </c>
      <c r="AX383" s="4" t="str">
        <f ca="1">IFERROR(__xludf.DUMMYFUNCTION("""COMPUTED_VALUE"""),"| 1 P Python % | 3 L JAVA % | 4 L PHP-CGM % | 5 P PRO % ")</f>
        <v xml:space="preserve">| 1 P Python % | 3 L JAVA % | 4 L PHP-CGM % | 5 P PRO % </v>
      </c>
      <c r="AY383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83" s="4" t="str">
        <f ca="1">IFERROR(__xludf.DUMMYFUNCTION("""COMPUTED_VALUE"""),"| 1 P Python % | 3 P JAVA % | 5 L NS % | 6 L CPT % ")</f>
        <v xml:space="preserve">| 1 P Python % | 3 P JAVA % | 5 L NS % | 6 L CPT % </v>
      </c>
      <c r="BA383" s="4" t="str">
        <f ca="1">IFERROR(__xludf.DUMMYFUNCTION("""COMPUTED_VALUE"""),"| 1 P NS @ | 3 L CPT @ | 4 L PHP-CGM @ | 5 P PHP-CGM @ ")</f>
        <v xml:space="preserve">| 1 P NS @ | 3 L CPT @ | 4 L PHP-CGM @ | 5 P PHP-CGM @ </v>
      </c>
      <c r="BB383" s="4" t="str">
        <f ca="1">IFERROR(__xludf.DUMMYFUNCTION("""COMPUTED_VALUE"""),"| 1 P Python % | 3 L PHP-CGM % | 4 L JAVA % | 5 L PRO @ ")</f>
        <v xml:space="preserve">| 1 P Python % | 3 L PHP-CGM % | 4 L JAVA % | 5 L PRO @ </v>
      </c>
      <c r="BC383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D383" s="4" t="str">
        <f ca="1">IFERROR(__xludf.DUMMYFUNCTION("""COMPUTED_VALUE"""),"| 1 L INE @ | 3 P CPT @ | 5 L JAVA @ | 6 L NS @ ")</f>
        <v xml:space="preserve">| 1 L INE @ | 3 P CPT @ | 5 L JAVA @ | 6 L NS @ </v>
      </c>
      <c r="BE383" s="4" t="str">
        <f ca="1">IFERROR(__xludf.DUMMYFUNCTION("""COMPUTED_VALUE"""),"| 1 P Python @ | 3 P JAVA @ | 5 L NS @ | 6 L CPT @ ")</f>
        <v xml:space="preserve">| 1 P Python @ | 3 P JAVA @ | 5 L NS @ | 6 L CPT @ </v>
      </c>
      <c r="BF383" s="4" t="str">
        <f ca="1">IFERROR(__xludf.DUMMYFUNCTION("""COMPUTED_VALUE"""),"| 1 P NS @ | 3 L CPT @ | 4 L PHP-CGM @ ")</f>
        <v xml:space="preserve">| 1 P NS @ | 3 L CPT @ | 4 L PHP-CGM @ </v>
      </c>
      <c r="BG383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83" s="4" t="str">
        <f ca="1">IFERROR(__xludf.DUMMYFUNCTION("""COMPUTED_VALUE"""),"| 1 L INE % | 3 P CPT % | 5 L JAVA % | 6 L NS % ")</f>
        <v xml:space="preserve">| 1 L INE % | 3 P CPT % | 5 L JAVA % | 6 L NS % </v>
      </c>
      <c r="BI383" s="4" t="str">
        <f ca="1">IFERROR(__xludf.DUMMYFUNCTION("""COMPUTED_VALUE"""),"| 1 P Python % | 3 P JAVA % | 5 L NS % | 6 L CPT % ")</f>
        <v xml:space="preserve">| 1 P Python % | 3 P JAVA % | 5 L NS % | 6 L CPT % </v>
      </c>
      <c r="BJ383" s="4" t="str">
        <f ca="1">IFERROR(__xludf.DUMMYFUNCTION("""COMPUTED_VALUE"""),"| 1 P NS % | 3 L CPT % | 4 L PHP-CGM % | 5 P PHP-CGM @ ")</f>
        <v xml:space="preserve">| 1 P NS % | 3 L CPT % | 4 L PHP-CGM % | 5 P PHP-CGM @ </v>
      </c>
      <c r="BK383" s="4" t="str">
        <f ca="1">IFERROR(__xludf.DUMMYFUNCTION("""COMPUTED_VALUE"""),"| 1 P Python % | 3 L PHP-CGM % | 4 L JAVA % | 5 P PRO @ ")</f>
        <v xml:space="preserve">| 1 P Python % | 3 L PHP-CGM % | 4 L JAVA % | 5 P PRO @ </v>
      </c>
      <c r="BL383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83" s="4" t="str">
        <f ca="1">IFERROR(__xludf.DUMMYFUNCTION("""COMPUTED_VALUE"""),"| 1 L INE % | 3 P CPT % | 5 L JAVA % | 6 L NS % ")</f>
        <v xml:space="preserve">| 1 L INE % | 3 P CPT % | 5 L JAVA % | 6 L NS % </v>
      </c>
      <c r="BN383" s="4" t="str">
        <f ca="1">IFERROR(__xludf.DUMMYFUNCTION("""COMPUTED_VALUE"""),"| 1 P Python % | 3 P JAVA % | 5 L NS % | 6 L CPT % ")</f>
        <v xml:space="preserve">| 1 P Python % | 3 P JAVA % | 5 L NS % | 6 L CPT % </v>
      </c>
      <c r="BO383" s="4" t="str">
        <f ca="1">IFERROR(__xludf.DUMMYFUNCTION("""COMPUTED_VALUE"""),"| 1 P NS % | 4 L PHP-CGM % | 3 L CPT % ")</f>
        <v xml:space="preserve">| 1 P NS % | 4 L PHP-CGM % | 3 L CPT % </v>
      </c>
      <c r="BP383" s="4" t="str">
        <f ca="1">IFERROR(__xludf.DUMMYFUNCTION("""COMPUTED_VALUE"""),"| 3 L PHP-CGM % | 4 L JAVA % | 5 P PRO % ")</f>
        <v xml:space="preserve">| 3 L PHP-CGM % | 4 L JAVA % | 5 P PRO % </v>
      </c>
      <c r="BQ383" s="4" t="str">
        <f ca="1">IFERROR(__xludf.DUMMYFUNCTION("""COMPUTED_VALUE"""),"| 6 L NS % | 5 L JAVA % | 3 P CPT % ")</f>
        <v xml:space="preserve">| 6 L NS % | 5 L JAVA % | 3 P CPT % </v>
      </c>
      <c r="BR383" s="4"/>
      <c r="BS383" s="4" t="str">
        <f ca="1">IFERROR(__xludf.DUMMYFUNCTION("""COMPUTED_VALUE"""),"| 4 L PHP-CGM % ")</f>
        <v xml:space="preserve">| 4 L PHP-CGM % </v>
      </c>
      <c r="BT383" s="4" t="str">
        <f ca="1">IFERROR(__xludf.DUMMYFUNCTION("""COMPUTED_VALUE"""),"| 1 P Python % | 3 L PHP-CGM % ")</f>
        <v xml:space="preserve">| 1 P Python % | 3 L PHP-CGM % </v>
      </c>
      <c r="BU383" s="4" t="str">
        <f ca="1">IFERROR(__xludf.DUMMYFUNCTION("""COMPUTED_VALUE"""),"| 1 L JAVA % | 2 L PHP-CGM % | 3 P JAVA % ")</f>
        <v xml:space="preserve">| 1 L JAVA % | 2 L PHP-CGM % | 3 P JAVA % </v>
      </c>
      <c r="BV383" s="4" t="str">
        <f ca="1">IFERROR(__xludf.DUMMYFUNCTION("""COMPUTED_VALUE"""),"| 1 P Python % | 3 L PHP-CGM % | 4 L JAVA % | 5 P PRO @ ")</f>
        <v xml:space="preserve">| 1 P Python % | 3 L PHP-CGM % | 4 L JAVA % | 5 P PRO @ </v>
      </c>
      <c r="BW383" s="4" t="str">
        <f ca="1">IFERROR(__xludf.DUMMYFUNCTION("""COMPUTED_VALUE"""),"| 1 L JAVA @ | 2 L PHP-CGM % | 3 P JAVA % ")</f>
        <v xml:space="preserve">| 1 L JAVA @ | 2 L PHP-CGM % | 3 P JAVA % </v>
      </c>
      <c r="BX383" s="4" t="str">
        <f ca="1">IFERROR(__xludf.DUMMYFUNCTION("""COMPUTED_VALUE"""),"| 1 L INE % | 3 P CPT % | 5 L JAVA % | 6 L NS @ ")</f>
        <v xml:space="preserve">| 1 L INE % | 3 P CPT % | 5 L JAVA % | 6 L NS @ </v>
      </c>
      <c r="BY383" s="4" t="str">
        <f ca="1">IFERROR(__xludf.DUMMYFUNCTION("""COMPUTED_VALUE"""),"| 1 P Python % | 3 P JAVA % | 5 L NS @ | 6 L CPT @ ")</f>
        <v xml:space="preserve">| 1 P Python % | 3 P JAVA % | 5 L NS @ | 6 L CPT @ </v>
      </c>
      <c r="BZ383" s="4" t="str">
        <f ca="1">IFERROR(__xludf.DUMMYFUNCTION("""COMPUTED_VALUE"""),"| 1 P NS % | 3 L CPT % | 4 L PHP-CGM % | 5 P PHP-CGM % ")</f>
        <v xml:space="preserve">| 1 P NS % | 3 L CPT % | 4 L PHP-CGM % | 5 P PHP-CGM % </v>
      </c>
      <c r="CA383" s="4" t="str">
        <f ca="1">IFERROR(__xludf.DUMMYFUNCTION("""COMPUTED_VALUE"""),"| 1 P Python @ | 3 L PHP-CGM % | 3 L JAVA % | 5 P PRO % ")</f>
        <v xml:space="preserve">| 1 P Python @ | 3 L PHP-CGM % | 3 L JAVA % | 5 P PRO % </v>
      </c>
      <c r="CB383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83" s="4" t="str">
        <f ca="1">IFERROR(__xludf.DUMMYFUNCTION("""COMPUTED_VALUE"""),"| 1 L INE % | 3 P CPT % | 5 L JAVA % | 6 L NS % ")</f>
        <v xml:space="preserve">| 1 L INE % | 3 P CPT % | 5 L JAVA % | 6 L NS % </v>
      </c>
      <c r="CD383" s="4" t="str">
        <f ca="1">IFERROR(__xludf.DUMMYFUNCTION("""COMPUTED_VALUE"""),"| 1 P Python % | 3 P JAVA % | 5 L NS @ | 6 L CPT @ ")</f>
        <v xml:space="preserve">| 1 P Python % | 3 P JAVA % | 5 L NS @ | 6 L CPT @ </v>
      </c>
      <c r="CE383" s="4" t="str">
        <f ca="1">IFERROR(__xludf.DUMMYFUNCTION("""COMPUTED_VALUE"""),"| 1 P NS % | 3 L CPT % | 4 L PHP-CGM % ")</f>
        <v xml:space="preserve">| 1 P NS % | 3 L CPT % | 4 L PHP-CGM % </v>
      </c>
      <c r="CF383" s="4" t="str">
        <f ca="1">IFERROR(__xludf.DUMMYFUNCTION("""COMPUTED_VALUE"""),"| 1 P Python % | 4 L JAVA % | 3 L PHP-CGM % | 5 L PRO % ")</f>
        <v xml:space="preserve">| 1 P Python % | 4 L JAVA % | 3 L PHP-CGM % | 5 L PRO % </v>
      </c>
      <c r="CG383" s="4" t="str">
        <f ca="1">IFERROR(__xludf.DUMMYFUNCTION("""COMPUTED_VALUE"""),"| 1 L JAVA % | 2 L PHP-CGM % | 6 L NS @ | 3 P JAVA % ")</f>
        <v xml:space="preserve">| 1 L JAVA % | 2 L PHP-CGM % | 6 L NS @ | 3 P JAVA % </v>
      </c>
      <c r="CH383" s="4" t="str">
        <f ca="1">IFERROR(__xludf.DUMMYFUNCTION("""COMPUTED_VALUE"""),"| 1 L INE % | 3 P CPT % | 5 L JAVA @ | 6 L NS @ ")</f>
        <v xml:space="preserve">| 1 L INE % | 3 P CPT % | 5 L JAVA @ | 6 L NS @ </v>
      </c>
      <c r="CI383" s="4" t="str">
        <f ca="1">IFERROR(__xludf.DUMMYFUNCTION("""COMPUTED_VALUE"""),"| 5 L NS @ | 6 L CPT @ ")</f>
        <v xml:space="preserve">| 5 L NS @ | 6 L CPT @ </v>
      </c>
      <c r="CJ383" s="4" t="str">
        <f ca="1">IFERROR(__xludf.DUMMYFUNCTION("""COMPUTED_VALUE"""),"| 1 P NS @ | 3 L CPT @ ")</f>
        <v xml:space="preserve">| 1 P NS @ | 3 L CPT @ </v>
      </c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</row>
    <row r="384" spans="1:102" ht="12.5" x14ac:dyDescent="0.25">
      <c r="A384" s="3">
        <f ca="1">IFERROR(__xludf.DUMMYFUNCTION("""COMPUTED_VALUE"""),2)</f>
        <v>2</v>
      </c>
      <c r="B384" s="3" t="str">
        <f ca="1">IFERROR(__xludf.DUMMYFUNCTION("""COMPUTED_VALUE"""),"ITA")</f>
        <v>ITA</v>
      </c>
      <c r="C384" s="32" t="str">
        <f ca="1">IFERROR(__xludf.DUMMYFUNCTION("""COMPUTED_VALUE"""),"23291371095")</f>
        <v>23291371095</v>
      </c>
      <c r="D384" s="4" t="str">
        <f ca="1">IFERROR(__xludf.DUMMYFUNCTION("""COMPUTED_VALUE"""),"PATEL RAJ SANDIPKUMAR")</f>
        <v>PATEL RAJ SANDIPKUMAR</v>
      </c>
      <c r="E384" s="3" t="str">
        <f ca="1">IFERROR(__xludf.DUMMYFUNCTION("""COMPUTED_VALUE"""),"Sweety - Mor")</f>
        <v>Sweety - Mor</v>
      </c>
      <c r="F384" s="3">
        <f ca="1">IFERROR(__xludf.DUMMYFUNCTION("""COMPUTED_VALUE"""),9265161166)</f>
        <v>9265161166</v>
      </c>
      <c r="G384" s="3">
        <f ca="1">IFERROR(__xludf.DUMMYFUNCTION("""COMPUTED_VALUE"""),8140280830)</f>
        <v>8140280830</v>
      </c>
      <c r="H384" s="33">
        <f ca="1">IFERROR(__xludf.DUMMYFUNCTION("""COMPUTED_VALUE"""),0.719512195121951)</f>
        <v>0.71951219512195097</v>
      </c>
      <c r="I384" s="25">
        <f ca="1">IFERROR(__xludf.DUMMYFUNCTION("""COMPUTED_VALUE"""),0.657142857142857)</f>
        <v>0.65714285714285703</v>
      </c>
      <c r="J384" s="25">
        <f ca="1">IFERROR(__xludf.DUMMYFUNCTION("""COMPUTED_VALUE"""),0.916666666666666)</f>
        <v>0.91666666666666596</v>
      </c>
      <c r="K384" s="25">
        <f ca="1">IFERROR(__xludf.DUMMYFUNCTION("""COMPUTED_VALUE"""),0.694444444444444)</f>
        <v>0.69444444444444398</v>
      </c>
      <c r="L384" s="25">
        <f ca="1">IFERROR(__xludf.DUMMYFUNCTION("""COMPUTED_VALUE"""),0.666666666666666)</f>
        <v>0.66666666666666596</v>
      </c>
      <c r="M384" s="25">
        <f ca="1">IFERROR(__xludf.DUMMYFUNCTION("""COMPUTED_VALUE"""),0.710526315789473)</f>
        <v>0.71052631578947301</v>
      </c>
      <c r="N384" s="25">
        <f ca="1">IFERROR(__xludf.DUMMYFUNCTION("""COMPUTED_VALUE"""),0.625)</f>
        <v>0.625</v>
      </c>
      <c r="O384" s="25">
        <f ca="1">IFERROR(__xludf.DUMMYFUNCTION("""COMPUTED_VALUE"""),0.75)</f>
        <v>0.75</v>
      </c>
      <c r="P384" s="25">
        <f ca="1">IFERROR(__xludf.DUMMYFUNCTION("""COMPUTED_VALUE"""),0.76)</f>
        <v>0.76</v>
      </c>
      <c r="Q384" s="25">
        <f ca="1">IFERROR(__xludf.DUMMYFUNCTION("""COMPUTED_VALUE"""),0)</f>
        <v>0</v>
      </c>
      <c r="R384" s="25">
        <f ca="1">IFERROR(__xludf.DUMMYFUNCTION("""COMPUTED_VALUE"""),0.833333333333333)</f>
        <v>0.83333333333333304</v>
      </c>
      <c r="S384" s="25">
        <f ca="1">IFERROR(__xludf.DUMMYFUNCTION("""COMPUTED_VALUE"""),1)</f>
        <v>1</v>
      </c>
      <c r="T384" s="25">
        <f ca="1">IFERROR(__xludf.DUMMYFUNCTION("""COMPUTED_VALUE"""),0.333333333333333)</f>
        <v>0.33333333333333298</v>
      </c>
      <c r="U384" s="25">
        <f ca="1">IFERROR(__xludf.DUMMYFUNCTION("""COMPUTED_VALUE"""),0.75)</f>
        <v>0.75</v>
      </c>
      <c r="V384" s="25">
        <f ca="1">IFERROR(__xludf.DUMMYFUNCTION("""COMPUTED_VALUE"""),0)</f>
        <v>0</v>
      </c>
      <c r="W384" s="4"/>
      <c r="X384" s="4" t="str">
        <f ca="1">IFERROR(__xludf.DUMMYFUNCTION("""COMPUTED_VALUE"""),"| 1 P Python % | 4 L JAVA % | 3 L PHP-CGM % | 1 L PRO % ")</f>
        <v xml:space="preserve">| 1 P Python % | 4 L JAVA % | 3 L PHP-CGM % | 1 L PRO % </v>
      </c>
      <c r="Y38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84" s="4" t="str">
        <f ca="1">IFERROR(__xludf.DUMMYFUNCTION("""COMPUTED_VALUE"""),"| 3 P CPT % | 5 L JAVA % | 6 L NS % ")</f>
        <v xml:space="preserve">| 3 P CPT % | 5 L JAVA % | 6 L NS % </v>
      </c>
      <c r="AA384" s="4" t="str">
        <f ca="1">IFERROR(__xludf.DUMMYFUNCTION("""COMPUTED_VALUE"""),"| 1 P Python % | 5 P JAVA % | 5 L NS % | 6 L CPT % ")</f>
        <v xml:space="preserve">| 1 P Python % | 5 P JAVA % | 5 L NS % | 6 L CPT % </v>
      </c>
      <c r="AB384" s="4" t="str">
        <f ca="1">IFERROR(__xludf.DUMMYFUNCTION("""COMPUTED_VALUE"""),"| 1 P NS % | 3 L CPT % | 5 P PHP-CGM @ | 4 L PHP-CGM % ")</f>
        <v xml:space="preserve">| 1 P NS % | 3 L CPT % | 5 P PHP-CGM @ | 4 L PHP-CGM % </v>
      </c>
      <c r="AC384" s="4" t="str">
        <f ca="1">IFERROR(__xludf.DUMMYFUNCTION("""COMPUTED_VALUE"""),"| 1 P Python % | 3 L PHP-CGM % | 5 P PRO @ ")</f>
        <v xml:space="preserve">| 1 P Python % | 3 L PHP-CGM % | 5 P PRO @ </v>
      </c>
      <c r="AD384" s="4" t="str">
        <f ca="1">IFERROR(__xludf.DUMMYFUNCTION("""COMPUTED_VALUE"""),"| 1 L JAVA % | 2 L PHP-CGM % | 3 P JAVA % | 6 L NS % | 5 L CPT % ")</f>
        <v xml:space="preserve">| 1 L JAVA % | 2 L PHP-CGM % | 3 P JAVA % | 6 L NS % | 5 L CPT % </v>
      </c>
      <c r="AE384" s="4" t="str">
        <f ca="1">IFERROR(__xludf.DUMMYFUNCTION("""COMPUTED_VALUE"""),"| 3 P CPT % | 5 L JAVA % | 6 L NS % ")</f>
        <v xml:space="preserve">| 3 P CPT % | 5 L JAVA % | 6 L NS % </v>
      </c>
      <c r="AF384" s="4" t="str">
        <f ca="1">IFERROR(__xludf.DUMMYFUNCTION("""COMPUTED_VALUE"""),"| 1 P Python % | 3 P JAVA % | 5 L NS % | 6 L CPT % ")</f>
        <v xml:space="preserve">| 1 P Python % | 3 P JAVA % | 5 L NS % | 6 L CPT % </v>
      </c>
      <c r="AG384" s="4" t="str">
        <f ca="1">IFERROR(__xludf.DUMMYFUNCTION("""COMPUTED_VALUE"""),"| 1 P NS @ | 3 L CPT @ | 4 L PHP-CGM % | 5 P PHP-CGM @ ")</f>
        <v xml:space="preserve">| 1 P NS @ | 3 L CPT @ | 4 L PHP-CGM % | 5 P PHP-CGM @ </v>
      </c>
      <c r="AH384" s="4" t="str">
        <f ca="1">IFERROR(__xludf.DUMMYFUNCTION("""COMPUTED_VALUE"""),"| 1 P Python % | 3 P JAVA % | 5 L NS % | 6 L CPT % ")</f>
        <v xml:space="preserve">| 1 P Python % | 3 P JAVA % | 5 L NS % | 6 L CPT % </v>
      </c>
      <c r="AI384" s="4" t="str">
        <f ca="1">IFERROR(__xludf.DUMMYFUNCTION("""COMPUTED_VALUE"""),"| 1 P NS % | 3 L CPT % | 4 L PHP-CGM % | 5 P PHP-CGM % ")</f>
        <v xml:space="preserve">| 1 P NS % | 3 L CPT % | 4 L PHP-CGM % | 5 P PHP-CGM % </v>
      </c>
      <c r="AJ384" s="4" t="str">
        <f ca="1">IFERROR(__xludf.DUMMYFUNCTION("""COMPUTED_VALUE"""),"| 1 P Python % | 3 L PHP-CGM % | 4 L JAVA % | 5 P PRO % ")</f>
        <v xml:space="preserve">| 1 P Python % | 3 L PHP-CGM % | 4 L JAVA % | 5 P PRO % </v>
      </c>
      <c r="AK38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84" s="4" t="str">
        <f ca="1">IFERROR(__xludf.DUMMYFUNCTION("""COMPUTED_VALUE"""),"| 3 P CPT % | 5 L JAVA % | 6 L NS % ")</f>
        <v xml:space="preserve">| 3 P CPT % | 5 L JAVA % | 6 L NS % </v>
      </c>
      <c r="AM384" s="4" t="str">
        <f ca="1">IFERROR(__xludf.DUMMYFUNCTION("""COMPUTED_VALUE"""),"| 1 P Python % | 3 P JAVA % | 5 L NS % | 6 L CPT % ")</f>
        <v xml:space="preserve">| 1 P Python % | 3 P JAVA % | 5 L NS % | 6 L CPT % </v>
      </c>
      <c r="AN384" s="4" t="str">
        <f ca="1">IFERROR(__xludf.DUMMYFUNCTION("""COMPUTED_VALUE"""),"| 1 P NS % | 4 L PHP-CGM % | 5 P PHP-CGM % ")</f>
        <v xml:space="preserve">| 1 P NS % | 4 L PHP-CGM % | 5 P PHP-CGM % </v>
      </c>
      <c r="AO384" s="4" t="str">
        <f ca="1">IFERROR(__xludf.DUMMYFUNCTION("""COMPUTED_VALUE"""),"| 1 P Python % | 3 L PHP-CGM @ | 4 L JAVA % | 5 P PRO @ ")</f>
        <v xml:space="preserve">| 1 P Python % | 3 L PHP-CGM @ | 4 L JAVA % | 5 P PRO @ </v>
      </c>
      <c r="AP38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84" s="4" t="str">
        <f ca="1">IFERROR(__xludf.DUMMYFUNCTION("""COMPUTED_VALUE"""),"| 1 L INE % | 3 P CPT % | 5 L JAVA % | 6 L NS % ")</f>
        <v xml:space="preserve">| 1 L INE % | 3 P CPT % | 5 L JAVA % | 6 L NS % </v>
      </c>
      <c r="AR384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84" s="4" t="str">
        <f ca="1">IFERROR(__xludf.DUMMYFUNCTION("""COMPUTED_VALUE"""),"| 1 P Python % | 3 L PHP-CGM % | 4 L JAVA % | 5 P PRO @ ")</f>
        <v xml:space="preserve">| 1 P Python % | 3 L PHP-CGM % | 4 L JAVA % | 5 P PRO @ </v>
      </c>
      <c r="AT38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U384" s="4" t="str">
        <f ca="1">IFERROR(__xludf.DUMMYFUNCTION("""COMPUTED_VALUE"""),"| 1 L INE % | 3 P CPT % | 5 L JAVA % | 6 L NS % ")</f>
        <v xml:space="preserve">| 1 L INE % | 3 P CPT % | 5 L JAVA % | 6 L NS % </v>
      </c>
      <c r="AV384" s="4" t="str">
        <f ca="1">IFERROR(__xludf.DUMMYFUNCTION("""COMPUTED_VALUE"""),"| 1 P Python % | 3 P JAVA % | 5 L NS % | 6 L CPT % ")</f>
        <v xml:space="preserve">| 1 P Python % | 3 P JAVA % | 5 L NS % | 6 L CPT % </v>
      </c>
      <c r="AW384" s="4" t="str">
        <f ca="1">IFERROR(__xludf.DUMMYFUNCTION("""COMPUTED_VALUE"""),"| 1 P NS % | 3 L CPT % | 4 L PHP-CGM % | 5 P PHP-CGM % ")</f>
        <v xml:space="preserve">| 1 P NS % | 3 L CPT % | 4 L PHP-CGM % | 5 P PHP-CGM % </v>
      </c>
      <c r="AX384" s="4" t="str">
        <f ca="1">IFERROR(__xludf.DUMMYFUNCTION("""COMPUTED_VALUE"""),"| 1 P Python % | 3 L JAVA % | 4 L PHP-CGM % | 5 P PRO % ")</f>
        <v xml:space="preserve">| 1 P Python % | 3 L JAVA % | 4 L PHP-CGM % | 5 P PRO % </v>
      </c>
      <c r="AY384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84" s="4" t="str">
        <f ca="1">IFERROR(__xludf.DUMMYFUNCTION("""COMPUTED_VALUE"""),"| 1 P Python % | 3 P JAVA % | 5 L NS % | 6 L CPT % ")</f>
        <v xml:space="preserve">| 1 P Python % | 3 P JAVA % | 5 L NS % | 6 L CPT % </v>
      </c>
      <c r="BA384" s="4" t="str">
        <f ca="1">IFERROR(__xludf.DUMMYFUNCTION("""COMPUTED_VALUE"""),"| 1 P NS % | 3 L CPT % | 4 L PHP-CGM % | 5 P PHP-CGM % ")</f>
        <v xml:space="preserve">| 1 P NS % | 3 L CPT % | 4 L PHP-CGM % | 5 P PHP-CGM % </v>
      </c>
      <c r="BB384" s="4" t="str">
        <f ca="1">IFERROR(__xludf.DUMMYFUNCTION("""COMPUTED_VALUE"""),"| 1 P Python % | 3 L PHP-CGM % | 4 L JAVA % | 5 L PRO % ")</f>
        <v xml:space="preserve">| 1 P Python % | 3 L PHP-CGM % | 4 L JAVA % | 5 L PRO % </v>
      </c>
      <c r="BC384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D384" s="4" t="str">
        <f ca="1">IFERROR(__xludf.DUMMYFUNCTION("""COMPUTED_VALUE"""),"| 1 L INE @ | 3 P CPT @ | 5 L JAVA @ | 6 L NS @ ")</f>
        <v xml:space="preserve">| 1 L INE @ | 3 P CPT @ | 5 L JAVA @ | 6 L NS @ </v>
      </c>
      <c r="BE384" s="4" t="str">
        <f ca="1">IFERROR(__xludf.DUMMYFUNCTION("""COMPUTED_VALUE"""),"| 1 P Python @ | 3 P JAVA @ | 5 L NS @ | 6 L CPT @ ")</f>
        <v xml:space="preserve">| 1 P Python @ | 3 P JAVA @ | 5 L NS @ | 6 L CPT @ </v>
      </c>
      <c r="BF384" s="4" t="str">
        <f ca="1">IFERROR(__xludf.DUMMYFUNCTION("""COMPUTED_VALUE"""),"| 1 P NS @ | 3 L CPT @ | 4 L PHP-CGM @ ")</f>
        <v xml:space="preserve">| 1 P NS @ | 3 L CPT @ | 4 L PHP-CGM @ </v>
      </c>
      <c r="BG384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84" s="4" t="str">
        <f ca="1">IFERROR(__xludf.DUMMYFUNCTION("""COMPUTED_VALUE"""),"| 1 L INE % | 3 P CPT % | 5 L JAVA % | 6 L NS % ")</f>
        <v xml:space="preserve">| 1 L INE % | 3 P CPT % | 5 L JAVA % | 6 L NS % </v>
      </c>
      <c r="BI384" s="4" t="str">
        <f ca="1">IFERROR(__xludf.DUMMYFUNCTION("""COMPUTED_VALUE"""),"| 1 P Python % | 3 P JAVA % | 5 L NS % | 6 L CPT % ")</f>
        <v xml:space="preserve">| 1 P Python % | 3 P JAVA % | 5 L NS % | 6 L CPT % </v>
      </c>
      <c r="BJ384" s="4" t="str">
        <f ca="1">IFERROR(__xludf.DUMMYFUNCTION("""COMPUTED_VALUE"""),"| 1 P NS % | 3 L CPT % | 4 L PHP-CGM % | 5 P PHP-CGM @ ")</f>
        <v xml:space="preserve">| 1 P NS % | 3 L CPT % | 4 L PHP-CGM % | 5 P PHP-CGM @ </v>
      </c>
      <c r="BK384" s="4" t="str">
        <f ca="1">IFERROR(__xludf.DUMMYFUNCTION("""COMPUTED_VALUE"""),"| 1 P Python % | 3 L PHP-CGM % | 4 L JAVA % | 5 P PRO @ ")</f>
        <v xml:space="preserve">| 1 P Python % | 3 L PHP-CGM % | 4 L JAVA % | 5 P PRO @ </v>
      </c>
      <c r="BL384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84" s="4" t="str">
        <f ca="1">IFERROR(__xludf.DUMMYFUNCTION("""COMPUTED_VALUE"""),"| 1 L INE % | 3 P CPT % | 5 L JAVA % | 6 L NS % ")</f>
        <v xml:space="preserve">| 1 L INE % | 3 P CPT % | 5 L JAVA % | 6 L NS % </v>
      </c>
      <c r="BN384" s="4" t="str">
        <f ca="1">IFERROR(__xludf.DUMMYFUNCTION("""COMPUTED_VALUE"""),"| 1 P Python % | 3 P JAVA % | 5 L NS % | 6 L CPT % ")</f>
        <v xml:space="preserve">| 1 P Python % | 3 P JAVA % | 5 L NS % | 6 L CPT % </v>
      </c>
      <c r="BO384" s="4" t="str">
        <f ca="1">IFERROR(__xludf.DUMMYFUNCTION("""COMPUTED_VALUE"""),"| 1 P NS % | 4 L PHP-CGM % | 3 L CPT % ")</f>
        <v xml:space="preserve">| 1 P NS % | 4 L PHP-CGM % | 3 L CPT % </v>
      </c>
      <c r="BP384" s="4" t="str">
        <f ca="1">IFERROR(__xludf.DUMMYFUNCTION("""COMPUTED_VALUE"""),"| 3 L PHP-CGM @ | 4 L JAVA % | 5 P PRO @ ")</f>
        <v xml:space="preserve">| 3 L PHP-CGM @ | 4 L JAVA % | 5 P PRO @ </v>
      </c>
      <c r="BQ384" s="4" t="str">
        <f ca="1">IFERROR(__xludf.DUMMYFUNCTION("""COMPUTED_VALUE"""),"| 6 L NS % | 5 L JAVA @ | 3 P CPT % ")</f>
        <v xml:space="preserve">| 6 L NS % | 5 L JAVA @ | 3 P CPT % </v>
      </c>
      <c r="BR384" s="4"/>
      <c r="BS384" s="4" t="str">
        <f ca="1">IFERROR(__xludf.DUMMYFUNCTION("""COMPUTED_VALUE"""),"| 4 L PHP-CGM % ")</f>
        <v xml:space="preserve">| 4 L PHP-CGM % </v>
      </c>
      <c r="BT384" s="4" t="str">
        <f ca="1">IFERROR(__xludf.DUMMYFUNCTION("""COMPUTED_VALUE"""),"| 1 P Python @ | 3 L PHP-CGM @ ")</f>
        <v xml:space="preserve">| 1 P Python @ | 3 L PHP-CGM @ </v>
      </c>
      <c r="BU384" s="4" t="str">
        <f ca="1">IFERROR(__xludf.DUMMYFUNCTION("""COMPUTED_VALUE"""),"| 1 L JAVA @ | 2 L PHP-CGM @ | 3 P JAVA @ ")</f>
        <v xml:space="preserve">| 1 L JAVA @ | 2 L PHP-CGM @ | 3 P JAVA @ </v>
      </c>
      <c r="BV384" s="4" t="str">
        <f ca="1">IFERROR(__xludf.DUMMYFUNCTION("""COMPUTED_VALUE"""),"| 1 P Python @ | 3 L PHP-CGM @ | 4 L JAVA @ | 5 P PRO @ ")</f>
        <v xml:space="preserve">| 1 P Python @ | 3 L PHP-CGM @ | 4 L JAVA @ | 5 P PRO @ </v>
      </c>
      <c r="BW384" s="4" t="str">
        <f ca="1">IFERROR(__xludf.DUMMYFUNCTION("""COMPUTED_VALUE"""),"| 1 L JAVA % | 2 L PHP-CGM % | 3 P JAVA % ")</f>
        <v xml:space="preserve">| 1 L JAVA % | 2 L PHP-CGM % | 3 P JAVA % </v>
      </c>
      <c r="BX384" s="4" t="str">
        <f ca="1">IFERROR(__xludf.DUMMYFUNCTION("""COMPUTED_VALUE"""),"| 1 L INE % | 3 P CPT % | 5 L JAVA % | 6 L NS % ")</f>
        <v xml:space="preserve">| 1 L INE % | 3 P CPT % | 5 L JAVA % | 6 L NS % </v>
      </c>
      <c r="BY384" s="4" t="str">
        <f ca="1">IFERROR(__xludf.DUMMYFUNCTION("""COMPUTED_VALUE"""),"| 1 P Python % | 3 P JAVA % | 5 L NS @ | 6 L CPT @ ")</f>
        <v xml:space="preserve">| 1 P Python % | 3 P JAVA % | 5 L NS @ | 6 L CPT @ </v>
      </c>
      <c r="BZ384" s="4" t="str">
        <f ca="1">IFERROR(__xludf.DUMMYFUNCTION("""COMPUTED_VALUE"""),"| 1 P NS % | 3 L CPT @ | 4 L PHP-CGM @ | 5 P PHP-CGM % ")</f>
        <v xml:space="preserve">| 1 P NS % | 3 L CPT @ | 4 L PHP-CGM @ | 5 P PHP-CGM % </v>
      </c>
      <c r="CA384" s="4" t="str">
        <f ca="1">IFERROR(__xludf.DUMMYFUNCTION("""COMPUTED_VALUE"""),"| 1 P Python @ | 3 L PHP-CGM % | 3 L JAVA % | 5 P PRO % ")</f>
        <v xml:space="preserve">| 1 P Python @ | 3 L PHP-CGM % | 3 L JAVA % | 5 P PRO % </v>
      </c>
      <c r="CB384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CC384" s="4" t="str">
        <f ca="1">IFERROR(__xludf.DUMMYFUNCTION("""COMPUTED_VALUE"""),"| 1 L INE % | 3 P CPT % | 5 L JAVA @ | 6 L NS @ ")</f>
        <v xml:space="preserve">| 1 L INE % | 3 P CPT % | 5 L JAVA @ | 6 L NS @ </v>
      </c>
      <c r="CD384" s="4" t="str">
        <f ca="1">IFERROR(__xludf.DUMMYFUNCTION("""COMPUTED_VALUE"""),"| 1 P Python % | 3 P JAVA @ | 5 L NS @ | 6 L CPT @ ")</f>
        <v xml:space="preserve">| 1 P Python % | 3 P JAVA @ | 5 L NS @ | 6 L CPT @ </v>
      </c>
      <c r="CE384" s="4" t="str">
        <f ca="1">IFERROR(__xludf.DUMMYFUNCTION("""COMPUTED_VALUE"""),"| 1 P NS @ | 3 L CPT @ | 4 L PHP-CGM @ ")</f>
        <v xml:space="preserve">| 1 P NS @ | 3 L CPT @ | 4 L PHP-CGM @ </v>
      </c>
      <c r="CF384" s="4" t="str">
        <f ca="1">IFERROR(__xludf.DUMMYFUNCTION("""COMPUTED_VALUE"""),"| 1 P Python % | 4 L JAVA % | 3 L PHP-CGM % | 5 L PRO % ")</f>
        <v xml:space="preserve">| 1 P Python % | 4 L JAVA % | 3 L PHP-CGM % | 5 L PRO % </v>
      </c>
      <c r="CG384" s="4" t="str">
        <f ca="1">IFERROR(__xludf.DUMMYFUNCTION("""COMPUTED_VALUE"""),"| 1 L JAVA % | 2 L PHP-CGM % | 6 L NS @ | 3 P JAVA % ")</f>
        <v xml:space="preserve">| 1 L JAVA % | 2 L PHP-CGM % | 6 L NS @ | 3 P JAVA % </v>
      </c>
      <c r="CH384" s="4" t="str">
        <f ca="1">IFERROR(__xludf.DUMMYFUNCTION("""COMPUTED_VALUE"""),"| 1 L INE @ | 3 P CPT % | 5 L JAVA @ | 6 L NS @ ")</f>
        <v xml:space="preserve">| 1 L INE @ | 3 P CPT % | 5 L JAVA @ | 6 L NS @ </v>
      </c>
      <c r="CI384" s="4" t="str">
        <f ca="1">IFERROR(__xludf.DUMMYFUNCTION("""COMPUTED_VALUE"""),"| 5 L NS % | 6 L CPT % ")</f>
        <v xml:space="preserve">| 5 L NS % | 6 L CPT % </v>
      </c>
      <c r="CJ384" s="4" t="str">
        <f ca="1">IFERROR(__xludf.DUMMYFUNCTION("""COMPUTED_VALUE"""),"| 1 P NS @ | 3 L CPT @ ")</f>
        <v xml:space="preserve">| 1 P NS @ | 3 L CPT @ </v>
      </c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</row>
    <row r="385" spans="1:102" ht="12.5" x14ac:dyDescent="0.25">
      <c r="A385" s="3">
        <f ca="1">IFERROR(__xludf.DUMMYFUNCTION("""COMPUTED_VALUE"""),2)</f>
        <v>2</v>
      </c>
      <c r="B385" s="3" t="str">
        <f ca="1">IFERROR(__xludf.DUMMYFUNCTION("""COMPUTED_VALUE"""),"ITA")</f>
        <v>ITA</v>
      </c>
      <c r="C385" s="32" t="str">
        <f ca="1">IFERROR(__xludf.DUMMYFUNCTION("""COMPUTED_VALUE"""),"23291371098")</f>
        <v>23291371098</v>
      </c>
      <c r="D385" s="4" t="str">
        <f ca="1">IFERROR(__xludf.DUMMYFUNCTION("""COMPUTED_VALUE"""),"PATEL SAKSHAM RAKESHKUMAR")</f>
        <v>PATEL SAKSHAM RAKESHKUMAR</v>
      </c>
      <c r="E385" s="3" t="str">
        <f ca="1">IFERROR(__xludf.DUMMYFUNCTION("""COMPUTED_VALUE"""),"Sweety - Mor")</f>
        <v>Sweety - Mor</v>
      </c>
      <c r="F385" s="3">
        <f ca="1">IFERROR(__xludf.DUMMYFUNCTION("""COMPUTED_VALUE"""),6354499656)</f>
        <v>6354499656</v>
      </c>
      <c r="G385" s="3">
        <f ca="1">IFERROR(__xludf.DUMMYFUNCTION("""COMPUTED_VALUE"""),9925938517)</f>
        <v>9925938517</v>
      </c>
      <c r="H385" s="33">
        <f ca="1">IFERROR(__xludf.DUMMYFUNCTION("""COMPUTED_VALUE"""),0.601626016260162)</f>
        <v>0.60162601626016199</v>
      </c>
      <c r="I385" s="25">
        <f ca="1">IFERROR(__xludf.DUMMYFUNCTION("""COMPUTED_VALUE"""),0.485714285714285)</f>
        <v>0.48571428571428499</v>
      </c>
      <c r="J385" s="25">
        <f ca="1">IFERROR(__xludf.DUMMYFUNCTION("""COMPUTED_VALUE"""),0.833333333333333)</f>
        <v>0.83333333333333304</v>
      </c>
      <c r="K385" s="25">
        <f ca="1">IFERROR(__xludf.DUMMYFUNCTION("""COMPUTED_VALUE"""),0.416666666666666)</f>
        <v>0.41666666666666602</v>
      </c>
      <c r="L385" s="25">
        <f ca="1">IFERROR(__xludf.DUMMYFUNCTION("""COMPUTED_VALUE"""),0.75)</f>
        <v>0.75</v>
      </c>
      <c r="M385" s="25">
        <f ca="1">IFERROR(__xludf.DUMMYFUNCTION("""COMPUTED_VALUE"""),0.657894736842105)</f>
        <v>0.65789473684210498</v>
      </c>
      <c r="N385" s="25">
        <f ca="1">IFERROR(__xludf.DUMMYFUNCTION("""COMPUTED_VALUE"""),0.625)</f>
        <v>0.625</v>
      </c>
      <c r="O385" s="25">
        <f ca="1">IFERROR(__xludf.DUMMYFUNCTION("""COMPUTED_VALUE"""),0.527777777777777)</f>
        <v>0.52777777777777701</v>
      </c>
      <c r="P385" s="25">
        <f ca="1">IFERROR(__xludf.DUMMYFUNCTION("""COMPUTED_VALUE"""),0.52)</f>
        <v>0.52</v>
      </c>
      <c r="Q385" s="25">
        <f ca="1">IFERROR(__xludf.DUMMYFUNCTION("""COMPUTED_VALUE"""),0)</f>
        <v>0</v>
      </c>
      <c r="R385" s="25">
        <f ca="1">IFERROR(__xludf.DUMMYFUNCTION("""COMPUTED_VALUE"""),0.833333333333333)</f>
        <v>0.83333333333333304</v>
      </c>
      <c r="S385" s="25">
        <f ca="1">IFERROR(__xludf.DUMMYFUNCTION("""COMPUTED_VALUE"""),1)</f>
        <v>1</v>
      </c>
      <c r="T385" s="25">
        <f ca="1">IFERROR(__xludf.DUMMYFUNCTION("""COMPUTED_VALUE"""),0.777777777777777)</f>
        <v>0.77777777777777701</v>
      </c>
      <c r="U385" s="25">
        <f ca="1">IFERROR(__xludf.DUMMYFUNCTION("""COMPUTED_VALUE"""),0.625)</f>
        <v>0.625</v>
      </c>
      <c r="V385" s="25">
        <f ca="1">IFERROR(__xludf.DUMMYFUNCTION("""COMPUTED_VALUE"""),0)</f>
        <v>0</v>
      </c>
      <c r="W385" s="4"/>
      <c r="X385" s="4" t="str">
        <f ca="1">IFERROR(__xludf.DUMMYFUNCTION("""COMPUTED_VALUE"""),"| 1 P Python % | 4 L JAVA % | 3 L PHP-CGM % | 1 L PRO % ")</f>
        <v xml:space="preserve">| 1 P Python % | 4 L JAVA % | 3 L PHP-CGM % | 1 L PRO % </v>
      </c>
      <c r="Y38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Z385" s="4" t="str">
        <f ca="1">IFERROR(__xludf.DUMMYFUNCTION("""COMPUTED_VALUE"""),"| 3 P CPT % | 5 L JAVA @ | 6 L NS @ ")</f>
        <v xml:space="preserve">| 3 P CPT % | 5 L JAVA @ | 6 L NS @ </v>
      </c>
      <c r="AA385" s="4" t="str">
        <f ca="1">IFERROR(__xludf.DUMMYFUNCTION("""COMPUTED_VALUE"""),"| 1 P Python % | 5 P JAVA % | 5 L NS % | 6 L CPT % ")</f>
        <v xml:space="preserve">| 1 P Python % | 5 P JAVA % | 5 L NS % | 6 L CPT % </v>
      </c>
      <c r="AB385" s="4" t="str">
        <f ca="1">IFERROR(__xludf.DUMMYFUNCTION("""COMPUTED_VALUE"""),"| 1 P NS % | 3 L CPT % | 5 P PHP-CGM % | 4 L PHP-CGM % ")</f>
        <v xml:space="preserve">| 1 P NS % | 3 L CPT % | 5 P PHP-CGM % | 4 L PHP-CGM % </v>
      </c>
      <c r="AC385" s="4" t="str">
        <f ca="1">IFERROR(__xludf.DUMMYFUNCTION("""COMPUTED_VALUE"""),"| 1 P Python % | 3 L PHP-CGM % | 5 P PRO % ")</f>
        <v xml:space="preserve">| 1 P Python % | 3 L PHP-CGM % | 5 P PRO % </v>
      </c>
      <c r="AD385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AE385" s="4" t="str">
        <f ca="1">IFERROR(__xludf.DUMMYFUNCTION("""COMPUTED_VALUE"""),"| 3 P CPT % | 5 L JAVA % | 6 L NS % ")</f>
        <v xml:space="preserve">| 3 P CPT % | 5 L JAVA % | 6 L NS % </v>
      </c>
      <c r="AF385" s="4" t="str">
        <f ca="1">IFERROR(__xludf.DUMMYFUNCTION("""COMPUTED_VALUE"""),"| 1 P Python % | 3 P JAVA % | 5 L NS % | 6 L CPT % ")</f>
        <v xml:space="preserve">| 1 P Python % | 3 P JAVA % | 5 L NS % | 6 L CPT % </v>
      </c>
      <c r="AG385" s="4" t="str">
        <f ca="1">IFERROR(__xludf.DUMMYFUNCTION("""COMPUTED_VALUE"""),"| 1 P NS % | 3 L CPT % | 4 L PHP-CGM % | 5 P PHP-CGM % ")</f>
        <v xml:space="preserve">| 1 P NS % | 3 L CPT % | 4 L PHP-CGM % | 5 P PHP-CGM % </v>
      </c>
      <c r="AH385" s="4" t="str">
        <f ca="1">IFERROR(__xludf.DUMMYFUNCTION("""COMPUTED_VALUE"""),"| 1 P Python % | 3 P JAVA % | 5 L NS @ | 6 L CPT @ ")</f>
        <v xml:space="preserve">| 1 P Python % | 3 P JAVA % | 5 L NS @ | 6 L CPT @ </v>
      </c>
      <c r="AI385" s="4" t="str">
        <f ca="1">IFERROR(__xludf.DUMMYFUNCTION("""COMPUTED_VALUE"""),"| 1 P NS % | 3 L CPT % | 4 L PHP-CGM % | 5 P PHP-CGM @ ")</f>
        <v xml:space="preserve">| 1 P NS % | 3 L CPT % | 4 L PHP-CGM % | 5 P PHP-CGM @ </v>
      </c>
      <c r="AJ385" s="4" t="str">
        <f ca="1">IFERROR(__xludf.DUMMYFUNCTION("""COMPUTED_VALUE"""),"| 1 P Python % | 3 L PHP-CGM % | 4 L JAVA % | 5 P PRO % ")</f>
        <v xml:space="preserve">| 1 P Python % | 3 L PHP-CGM % | 4 L JAVA % | 5 P PRO % </v>
      </c>
      <c r="AK38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L385" s="4" t="str">
        <f ca="1">IFERROR(__xludf.DUMMYFUNCTION("""COMPUTED_VALUE"""),"| 3 P CPT % | 5 L JAVA @ | 6 L NS @ ")</f>
        <v xml:space="preserve">| 3 P CPT % | 5 L JAVA @ | 6 L NS @ </v>
      </c>
      <c r="AM385" s="4" t="str">
        <f ca="1">IFERROR(__xludf.DUMMYFUNCTION("""COMPUTED_VALUE"""),"| 1 P Python % | 3 P JAVA @ | 5 L NS @ | 6 L CPT @ ")</f>
        <v xml:space="preserve">| 1 P Python % | 3 P JAVA @ | 5 L NS @ | 6 L CPT @ </v>
      </c>
      <c r="AN385" s="4" t="str">
        <f ca="1">IFERROR(__xludf.DUMMYFUNCTION("""COMPUTED_VALUE"""),"| 1 P NS % | 4 L PHP-CGM % | 5 P PHP-CGM @ ")</f>
        <v xml:space="preserve">| 1 P NS % | 4 L PHP-CGM % | 5 P PHP-CGM @ </v>
      </c>
      <c r="AO385" s="4" t="str">
        <f ca="1">IFERROR(__xludf.DUMMYFUNCTION("""COMPUTED_VALUE"""),"| 1 P Python @ | 3 L PHP-CGM @ | 4 L JAVA % | 5 P PRO @ ")</f>
        <v xml:space="preserve">| 1 P Python @ | 3 L PHP-CGM @ | 4 L JAVA % | 5 P PRO @ </v>
      </c>
      <c r="AP38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AQ385" s="4" t="str">
        <f ca="1">IFERROR(__xludf.DUMMYFUNCTION("""COMPUTED_VALUE"""),"| 1 L INE @ | 3 P CPT @ | 5 L JAVA @ | 6 L NS @ ")</f>
        <v xml:space="preserve">| 1 L INE @ | 3 P CPT @ | 5 L JAVA @ | 6 L NS @ </v>
      </c>
      <c r="AR385" s="4" t="str">
        <f ca="1">IFERROR(__xludf.DUMMYFUNCTION("""COMPUTED_VALUE"""),"| 1 P Python % | 3 L CPT % | 3 P JAVA % | 5 L NS @ | 6 L CPT @ ")</f>
        <v xml:space="preserve">| 1 P Python % | 3 L CPT % | 3 P JAVA % | 5 L NS @ | 6 L CPT @ </v>
      </c>
      <c r="AS385" s="4" t="str">
        <f ca="1">IFERROR(__xludf.DUMMYFUNCTION("""COMPUTED_VALUE"""),"| 1 P Python % | 3 L PHP-CGM % | 4 L JAVA % | 5 P PRO % ")</f>
        <v xml:space="preserve">| 1 P Python % | 3 L PHP-CGM % | 4 L JAVA % | 5 P PRO % </v>
      </c>
      <c r="AT385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AU385" s="4" t="str">
        <f ca="1">IFERROR(__xludf.DUMMYFUNCTION("""COMPUTED_VALUE"""),"| 1 L INE % | 3 P CPT % | 5 L JAVA % | 6 L NS % ")</f>
        <v xml:space="preserve">| 1 L INE % | 3 P CPT % | 5 L JAVA % | 6 L NS % </v>
      </c>
      <c r="AV385" s="4" t="str">
        <f ca="1">IFERROR(__xludf.DUMMYFUNCTION("""COMPUTED_VALUE"""),"| 1 P Python % | 3 P JAVA % | 5 L NS % | 6 L CPT % ")</f>
        <v xml:space="preserve">| 1 P Python % | 3 P JAVA % | 5 L NS % | 6 L CPT % </v>
      </c>
      <c r="AW385" s="4" t="str">
        <f ca="1">IFERROR(__xludf.DUMMYFUNCTION("""COMPUTED_VALUE"""),"| 1 P NS % | 3 L CPT % | 4 L PHP-CGM % | 5 P PHP-CGM % ")</f>
        <v xml:space="preserve">| 1 P NS % | 3 L CPT % | 4 L PHP-CGM % | 5 P PHP-CGM % </v>
      </c>
      <c r="AX385" s="4" t="str">
        <f ca="1">IFERROR(__xludf.DUMMYFUNCTION("""COMPUTED_VALUE"""),"| 1 P Python % | 3 L JAVA % | 4 L PHP-CGM % | 5 P PRO % ")</f>
        <v xml:space="preserve">| 1 P Python % | 3 L JAVA % | 4 L PHP-CGM % | 5 P PRO % </v>
      </c>
      <c r="AY385" s="4" t="str">
        <f ca="1">IFERROR(__xludf.DUMMYFUNCTION("""COMPUTED_VALUE"""),"| 2 L PHP-CGM @ | 3 P JAVA @ | 5 L CPT @ | 6 L NS @ | 1 L JAVA @ ")</f>
        <v xml:space="preserve">| 2 L PHP-CGM @ | 3 P JAVA @ | 5 L CPT @ | 6 L NS @ | 1 L JAVA @ </v>
      </c>
      <c r="AZ385" s="4" t="str">
        <f ca="1">IFERROR(__xludf.DUMMYFUNCTION("""COMPUTED_VALUE"""),"| 1 P Python % | 3 P JAVA @ | 5 L NS @ | 6 L CPT @ ")</f>
        <v xml:space="preserve">| 1 P Python % | 3 P JAVA @ | 5 L NS @ | 6 L CPT @ </v>
      </c>
      <c r="BA385" s="4" t="str">
        <f ca="1">IFERROR(__xludf.DUMMYFUNCTION("""COMPUTED_VALUE"""),"| 1 P NS @ | 3 L CPT @ | 4 L PHP-CGM @ | 5 P PHP-CGM @ ")</f>
        <v xml:space="preserve">| 1 P NS @ | 3 L CPT @ | 4 L PHP-CGM @ | 5 P PHP-CGM @ </v>
      </c>
      <c r="BB385" s="4" t="str">
        <f ca="1">IFERROR(__xludf.DUMMYFUNCTION("""COMPUTED_VALUE"""),"| 1 P Python % | 3 L PHP-CGM @ | 4 L JAVA @ | 5 L PRO % ")</f>
        <v xml:space="preserve">| 1 P Python % | 3 L PHP-CGM @ | 4 L JAVA @ | 5 L PRO % </v>
      </c>
      <c r="BC385" s="4" t="str">
        <f ca="1">IFERROR(__xludf.DUMMYFUNCTION("""COMPUTED_VALUE"""),"| 1 L JAVA % | 2 L PHP-CGM % | 3 P JAVA @ | 5 L CPT @ | 6 L NS @ ")</f>
        <v xml:space="preserve">| 1 L JAVA % | 2 L PHP-CGM % | 3 P JAVA @ | 5 L CPT @ | 6 L NS @ </v>
      </c>
      <c r="BD385" s="4" t="str">
        <f ca="1">IFERROR(__xludf.DUMMYFUNCTION("""COMPUTED_VALUE"""),"| 1 L INE % | 3 P CPT % | 5 L JAVA % | 6 L NS % ")</f>
        <v xml:space="preserve">| 1 L INE % | 3 P CPT % | 5 L JAVA % | 6 L NS % </v>
      </c>
      <c r="BE385" s="4" t="str">
        <f ca="1">IFERROR(__xludf.DUMMYFUNCTION("""COMPUTED_VALUE"""),"| 1 P Python % | 3 P JAVA % | 5 L NS @ | 6 L CPT @ ")</f>
        <v xml:space="preserve">| 1 P Python % | 3 P JAVA % | 5 L NS @ | 6 L CPT @ </v>
      </c>
      <c r="BF385" s="4" t="str">
        <f ca="1">IFERROR(__xludf.DUMMYFUNCTION("""COMPUTED_VALUE"""),"| 1 P NS % | 3 L CPT % | 4 L PHP-CGM % ")</f>
        <v xml:space="preserve">| 1 P NS % | 3 L CPT % | 4 L PHP-CGM % </v>
      </c>
      <c r="BG385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85" s="4" t="str">
        <f ca="1">IFERROR(__xludf.DUMMYFUNCTION("""COMPUTED_VALUE"""),"| 1 L INE @ | 3 P CPT % | 5 L JAVA @ | 6 L NS @ ")</f>
        <v xml:space="preserve">| 1 L INE @ | 3 P CPT % | 5 L JAVA @ | 6 L NS @ </v>
      </c>
      <c r="BI385" s="4" t="str">
        <f ca="1">IFERROR(__xludf.DUMMYFUNCTION("""COMPUTED_VALUE"""),"| 1 P Python % | 3 P JAVA @ | 5 L NS % | 6 L CPT % ")</f>
        <v xml:space="preserve">| 1 P Python % | 3 P JAVA @ | 5 L NS % | 6 L CPT % </v>
      </c>
      <c r="BJ385" s="4" t="str">
        <f ca="1">IFERROR(__xludf.DUMMYFUNCTION("""COMPUTED_VALUE"""),"| 1 P NS % | 3 L CPT % | 4 L PHP-CGM % | 5 P PHP-CGM % ")</f>
        <v xml:space="preserve">| 1 P NS % | 3 L CPT % | 4 L PHP-CGM % | 5 P PHP-CGM % </v>
      </c>
      <c r="BK385" s="4" t="str">
        <f ca="1">IFERROR(__xludf.DUMMYFUNCTION("""COMPUTED_VALUE"""),"| 1 P Python @ | 3 L PHP-CGM @ | 4 L JAVA @ | 5 P PRO @ ")</f>
        <v xml:space="preserve">| 1 P Python @ | 3 L PHP-CGM @ | 4 L JAVA @ | 5 P PRO @ </v>
      </c>
      <c r="BL385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85" s="4" t="str">
        <f ca="1">IFERROR(__xludf.DUMMYFUNCTION("""COMPUTED_VALUE"""),"| 1 L INE % | 3 P CPT @ | 5 L JAVA % | 6 L NS % ")</f>
        <v xml:space="preserve">| 1 L INE % | 3 P CPT @ | 5 L JAVA % | 6 L NS % </v>
      </c>
      <c r="BN385" s="4" t="str">
        <f ca="1">IFERROR(__xludf.DUMMYFUNCTION("""COMPUTED_VALUE"""),"| 1 P Python @ | 3 P JAVA @ | 5 L NS @ | 6 L CPT @ ")</f>
        <v xml:space="preserve">| 1 P Python @ | 3 P JAVA @ | 5 L NS @ | 6 L CPT @ </v>
      </c>
      <c r="BO385" s="4" t="str">
        <f ca="1">IFERROR(__xludf.DUMMYFUNCTION("""COMPUTED_VALUE"""),"| 1 P NS @ | 4 L PHP-CGM @ | 3 L CPT @ ")</f>
        <v xml:space="preserve">| 1 P NS @ | 4 L PHP-CGM @ | 3 L CPT @ </v>
      </c>
      <c r="BP385" s="4" t="str">
        <f ca="1">IFERROR(__xludf.DUMMYFUNCTION("""COMPUTED_VALUE"""),"| 3 L PHP-CGM % | 4 L JAVA % | 5 P PRO % ")</f>
        <v xml:space="preserve">| 3 L PHP-CGM % | 4 L JAVA % | 5 P PRO % </v>
      </c>
      <c r="BQ385" s="4" t="str">
        <f ca="1">IFERROR(__xludf.DUMMYFUNCTION("""COMPUTED_VALUE"""),"| 6 L NS % | 5 L JAVA % | 3 P CPT % ")</f>
        <v xml:space="preserve">| 6 L NS % | 5 L JAVA % | 3 P CPT % </v>
      </c>
      <c r="BR385" s="4"/>
      <c r="BS385" s="4" t="str">
        <f ca="1">IFERROR(__xludf.DUMMYFUNCTION("""COMPUTED_VALUE"""),"| 4 L PHP-CGM % ")</f>
        <v xml:space="preserve">| 4 L PHP-CGM % </v>
      </c>
      <c r="BT385" s="4" t="str">
        <f ca="1">IFERROR(__xludf.DUMMYFUNCTION("""COMPUTED_VALUE"""),"| 1 P Python % | 3 L PHP-CGM % ")</f>
        <v xml:space="preserve">| 1 P Python % | 3 L PHP-CGM % </v>
      </c>
      <c r="BU385" s="4" t="str">
        <f ca="1">IFERROR(__xludf.DUMMYFUNCTION("""COMPUTED_VALUE"""),"| 1 L JAVA @ | 2 L PHP-CGM @ | 3 P JAVA @ ")</f>
        <v xml:space="preserve">| 1 L JAVA @ | 2 L PHP-CGM @ | 3 P JAVA @ </v>
      </c>
      <c r="BV385" s="4" t="str">
        <f ca="1">IFERROR(__xludf.DUMMYFUNCTION("""COMPUTED_VALUE"""),"| 1 P Python % | 3 L PHP-CGM % | 4 L JAVA @ | 5 P PRO % ")</f>
        <v xml:space="preserve">| 1 P Python % | 3 L PHP-CGM % | 4 L JAVA @ | 5 P PRO % </v>
      </c>
      <c r="BW385" s="4" t="str">
        <f ca="1">IFERROR(__xludf.DUMMYFUNCTION("""COMPUTED_VALUE"""),"| 1 L JAVA % | 2 L PHP-CGM % | 3 P JAVA % ")</f>
        <v xml:space="preserve">| 1 L JAVA % | 2 L PHP-CGM % | 3 P JAVA % </v>
      </c>
      <c r="BX385" s="4" t="str">
        <f ca="1">IFERROR(__xludf.DUMMYFUNCTION("""COMPUTED_VALUE"""),"| 1 L INE % | 3 P CPT % | 5 L JAVA @ | 6 L NS @ ")</f>
        <v xml:space="preserve">| 1 L INE % | 3 P CPT % | 5 L JAVA @ | 6 L NS @ </v>
      </c>
      <c r="BY385" s="4" t="str">
        <f ca="1">IFERROR(__xludf.DUMMYFUNCTION("""COMPUTED_VALUE"""),"| 1 P Python % | 3 P JAVA % | 5 L NS % | 6 L CPT % ")</f>
        <v xml:space="preserve">| 1 P Python % | 3 P JAVA % | 5 L NS % | 6 L CPT % </v>
      </c>
      <c r="BZ385" s="4" t="str">
        <f ca="1">IFERROR(__xludf.DUMMYFUNCTION("""COMPUTED_VALUE"""),"| 1 P NS % | 3 L CPT @ | 4 L PHP-CGM % | 5 P PHP-CGM % ")</f>
        <v xml:space="preserve">| 1 P NS % | 3 L CPT @ | 4 L PHP-CGM % | 5 P PHP-CGM % </v>
      </c>
      <c r="CA385" s="4" t="str">
        <f ca="1">IFERROR(__xludf.DUMMYFUNCTION("""COMPUTED_VALUE"""),"| 1 P Python @ | 3 L PHP-CGM % | 3 L JAVA % | 5 P PRO % ")</f>
        <v xml:space="preserve">| 1 P Python @ | 3 L PHP-CGM % | 3 L JAVA % | 5 P PRO % </v>
      </c>
      <c r="CB385" s="4" t="str">
        <f ca="1">IFERROR(__xludf.DUMMYFUNCTION("""COMPUTED_VALUE"""),"| 1 L JAVA % | 2 L PHP-CGM % | 3 P JAVA @ | 6 L NS @ | 5 L CPT @ ")</f>
        <v xml:space="preserve">| 1 L JAVA % | 2 L PHP-CGM % | 3 P JAVA @ | 6 L NS @ | 5 L CPT @ </v>
      </c>
      <c r="CC385" s="4" t="str">
        <f ca="1">IFERROR(__xludf.DUMMYFUNCTION("""COMPUTED_VALUE"""),"| 1 L INE % | 3 P CPT % | 5 L JAVA @ | 6 L NS @ ")</f>
        <v xml:space="preserve">| 1 L INE % | 3 P CPT % | 5 L JAVA @ | 6 L NS @ </v>
      </c>
      <c r="CD385" s="4" t="str">
        <f ca="1">IFERROR(__xludf.DUMMYFUNCTION("""COMPUTED_VALUE"""),"| 1 P Python % | 3 P JAVA @ | 5 L NS @ | 6 L CPT @ ")</f>
        <v xml:space="preserve">| 1 P Python % | 3 P JAVA @ | 5 L NS @ | 6 L CPT @ </v>
      </c>
      <c r="CE385" s="4" t="str">
        <f ca="1">IFERROR(__xludf.DUMMYFUNCTION("""COMPUTED_VALUE"""),"| 1 P NS % | 3 L CPT @ | 4 L PHP-CGM @ ")</f>
        <v xml:space="preserve">| 1 P NS % | 3 L CPT @ | 4 L PHP-CGM @ </v>
      </c>
      <c r="CF385" s="4" t="str">
        <f ca="1">IFERROR(__xludf.DUMMYFUNCTION("""COMPUTED_VALUE"""),"| 1 P Python % | 4 L JAVA @ | 3 L PHP-CGM @ | 5 L PRO % ")</f>
        <v xml:space="preserve">| 1 P Python % | 4 L JAVA @ | 3 L PHP-CGM @ | 5 L PRO % </v>
      </c>
      <c r="CG385" s="4" t="str">
        <f ca="1">IFERROR(__xludf.DUMMYFUNCTION("""COMPUTED_VALUE"""),"| 1 L JAVA @ | 2 L PHP-CGM @ | 6 L NS @ | 3 P JAVA % ")</f>
        <v xml:space="preserve">| 1 L JAVA @ | 2 L PHP-CGM @ | 6 L NS @ | 3 P JAVA % </v>
      </c>
      <c r="CH385" s="4" t="str">
        <f ca="1">IFERROR(__xludf.DUMMYFUNCTION("""COMPUTED_VALUE"""),"| 1 L INE @ | 3 P CPT % | 5 L JAVA @ | 6 L NS @ ")</f>
        <v xml:space="preserve">| 1 L INE @ | 3 P CPT % | 5 L JAVA @ | 6 L NS @ </v>
      </c>
      <c r="CI385" s="4" t="str">
        <f ca="1">IFERROR(__xludf.DUMMYFUNCTION("""COMPUTED_VALUE"""),"| 5 L NS % | 6 L CPT % ")</f>
        <v xml:space="preserve">| 5 L NS % | 6 L CPT % </v>
      </c>
      <c r="CJ385" s="4" t="str">
        <f ca="1">IFERROR(__xludf.DUMMYFUNCTION("""COMPUTED_VALUE"""),"| 1 P NS @ | 3 L CPT @ ")</f>
        <v xml:space="preserve">| 1 P NS @ | 3 L CPT @ </v>
      </c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</row>
    <row r="386" spans="1:102" ht="12.5" x14ac:dyDescent="0.25">
      <c r="A386" s="3">
        <f ca="1">IFERROR(__xludf.DUMMYFUNCTION("""COMPUTED_VALUE"""),2)</f>
        <v>2</v>
      </c>
      <c r="B386" s="3" t="str">
        <f ca="1">IFERROR(__xludf.DUMMYFUNCTION("""COMPUTED_VALUE"""),"ITA")</f>
        <v>ITA</v>
      </c>
      <c r="C386" s="32" t="str">
        <f ca="1">IFERROR(__xludf.DUMMYFUNCTION("""COMPUTED_VALUE"""),"23291371100")</f>
        <v>23291371100</v>
      </c>
      <c r="D386" s="4" t="str">
        <f ca="1">IFERROR(__xludf.DUMMYFUNCTION("""COMPUTED_VALUE"""),"PATEL SMIT SHAILESHKUMAR")</f>
        <v>PATEL SMIT SHAILESHKUMAR</v>
      </c>
      <c r="E386" s="3" t="str">
        <f ca="1">IFERROR(__xludf.DUMMYFUNCTION("""COMPUTED_VALUE"""),"Sweety - Mor")</f>
        <v>Sweety - Mor</v>
      </c>
      <c r="F386" s="3">
        <f ca="1">IFERROR(__xludf.DUMMYFUNCTION("""COMPUTED_VALUE"""),6353080446)</f>
        <v>6353080446</v>
      </c>
      <c r="G386" s="3">
        <f ca="1">IFERROR(__xludf.DUMMYFUNCTION("""COMPUTED_VALUE"""),7698581082)</f>
        <v>7698581082</v>
      </c>
      <c r="H386" s="33">
        <f ca="1">IFERROR(__xludf.DUMMYFUNCTION("""COMPUTED_VALUE"""),0.552845528455284)</f>
        <v>0.55284552845528401</v>
      </c>
      <c r="I386" s="25">
        <f ca="1">IFERROR(__xludf.DUMMYFUNCTION("""COMPUTED_VALUE"""),0.485714285714285)</f>
        <v>0.48571428571428499</v>
      </c>
      <c r="J386" s="25">
        <f ca="1">IFERROR(__xludf.DUMMYFUNCTION("""COMPUTED_VALUE"""),0.583333333333333)</f>
        <v>0.58333333333333304</v>
      </c>
      <c r="K386" s="25">
        <f ca="1">IFERROR(__xludf.DUMMYFUNCTION("""COMPUTED_VALUE"""),0.416666666666666)</f>
        <v>0.41666666666666602</v>
      </c>
      <c r="L386" s="25">
        <f ca="1">IFERROR(__xludf.DUMMYFUNCTION("""COMPUTED_VALUE"""),0.416666666666666)</f>
        <v>0.41666666666666602</v>
      </c>
      <c r="M386" s="25">
        <f ca="1">IFERROR(__xludf.DUMMYFUNCTION("""COMPUTED_VALUE"""),0.684210526315789)</f>
        <v>0.68421052631578905</v>
      </c>
      <c r="N386" s="25">
        <f ca="1">IFERROR(__xludf.DUMMYFUNCTION("""COMPUTED_VALUE"""),0.625)</f>
        <v>0.625</v>
      </c>
      <c r="O386" s="25">
        <f ca="1">IFERROR(__xludf.DUMMYFUNCTION("""COMPUTED_VALUE"""),0.527777777777777)</f>
        <v>0.52777777777777701</v>
      </c>
      <c r="P386" s="25">
        <f ca="1">IFERROR(__xludf.DUMMYFUNCTION("""COMPUTED_VALUE"""),0.72)</f>
        <v>0.72</v>
      </c>
      <c r="Q386" s="25">
        <f ca="1">IFERROR(__xludf.DUMMYFUNCTION("""COMPUTED_VALUE"""),0)</f>
        <v>0</v>
      </c>
      <c r="R386" s="25">
        <f ca="1">IFERROR(__xludf.DUMMYFUNCTION("""COMPUTED_VALUE"""),0.625)</f>
        <v>0.625</v>
      </c>
      <c r="S386" s="25">
        <f ca="1">IFERROR(__xludf.DUMMYFUNCTION("""COMPUTED_VALUE"""),0.666666666666666)</f>
        <v>0.66666666666666596</v>
      </c>
      <c r="T386" s="25">
        <f ca="1">IFERROR(__xludf.DUMMYFUNCTION("""COMPUTED_VALUE"""),0.333333333333333)</f>
        <v>0.33333333333333298</v>
      </c>
      <c r="U386" s="25">
        <f ca="1">IFERROR(__xludf.DUMMYFUNCTION("""COMPUTED_VALUE"""),0.5)</f>
        <v>0.5</v>
      </c>
      <c r="V386" s="25">
        <f ca="1">IFERROR(__xludf.DUMMYFUNCTION("""COMPUTED_VALUE"""),0)</f>
        <v>0</v>
      </c>
      <c r="W386" s="4"/>
      <c r="X386" s="4" t="str">
        <f ca="1">IFERROR(__xludf.DUMMYFUNCTION("""COMPUTED_VALUE"""),"| 1 P Python @ | 4 L JAVA @ | 3 L PHP-CGM @ | 1 L PRO @ ")</f>
        <v xml:space="preserve">| 1 P Python @ | 4 L JAVA @ | 3 L PHP-CGM @ | 1 L PRO @ </v>
      </c>
      <c r="Y386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86" s="4" t="str">
        <f ca="1">IFERROR(__xludf.DUMMYFUNCTION("""COMPUTED_VALUE"""),"| 3 P CPT % | 5 L JAVA % | 6 L NS % ")</f>
        <v xml:space="preserve">| 3 P CPT % | 5 L JAVA % | 6 L NS % </v>
      </c>
      <c r="AA386" s="4" t="str">
        <f ca="1">IFERROR(__xludf.DUMMYFUNCTION("""COMPUTED_VALUE"""),"| 1 P Python % | 5 P JAVA % | 5 L NS @ | 6 L CPT @ ")</f>
        <v xml:space="preserve">| 1 P Python % | 5 P JAVA % | 5 L NS @ | 6 L CPT @ </v>
      </c>
      <c r="AB386" s="4" t="str">
        <f ca="1">IFERROR(__xludf.DUMMYFUNCTION("""COMPUTED_VALUE"""),"| 1 P NS % | 3 L CPT % | 5 P PHP-CGM % | 4 L PHP-CGM % ")</f>
        <v xml:space="preserve">| 1 P NS % | 3 L CPT % | 5 P PHP-CGM % | 4 L PHP-CGM % </v>
      </c>
      <c r="AC386" s="4" t="str">
        <f ca="1">IFERROR(__xludf.DUMMYFUNCTION("""COMPUTED_VALUE"""),"| 1 P Python @ | 3 L PHP-CGM % | 5 P PRO % ")</f>
        <v xml:space="preserve">| 1 P Python @ | 3 L PHP-CGM % | 5 P PRO % </v>
      </c>
      <c r="AD386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AE386" s="4" t="str">
        <f ca="1">IFERROR(__xludf.DUMMYFUNCTION("""COMPUTED_VALUE"""),"| 3 P CPT % | 5 L JAVA % | 6 L NS % ")</f>
        <v xml:space="preserve">| 3 P CPT % | 5 L JAVA % | 6 L NS % </v>
      </c>
      <c r="AF386" s="4" t="str">
        <f ca="1">IFERROR(__xludf.DUMMYFUNCTION("""COMPUTED_VALUE"""),"| 1 P Python % | 3 P JAVA @ | 5 L NS @ | 6 L CPT @ ")</f>
        <v xml:space="preserve">| 1 P Python % | 3 P JAVA @ | 5 L NS @ | 6 L CPT @ </v>
      </c>
      <c r="AG386" s="4" t="str">
        <f ca="1">IFERROR(__xludf.DUMMYFUNCTION("""COMPUTED_VALUE"""),"| 1 P NS @ | 3 L CPT % | 4 L PHP-CGM @ | 5 P PHP-CGM @ ")</f>
        <v xml:space="preserve">| 1 P NS @ | 3 L CPT % | 4 L PHP-CGM @ | 5 P PHP-CGM @ </v>
      </c>
      <c r="AH386" s="4" t="str">
        <f ca="1">IFERROR(__xludf.DUMMYFUNCTION("""COMPUTED_VALUE"""),"| 1 P Python % | 3 P JAVA % | 5 L NS % | 6 L CPT % ")</f>
        <v xml:space="preserve">| 1 P Python % | 3 P JAVA % | 5 L NS % | 6 L CPT % </v>
      </c>
      <c r="AI386" s="4" t="str">
        <f ca="1">IFERROR(__xludf.DUMMYFUNCTION("""COMPUTED_VALUE"""),"| 1 P NS % | 3 L CPT % | 4 L PHP-CGM % | 5 P PHP-CGM % ")</f>
        <v xml:space="preserve">| 1 P NS % | 3 L CPT % | 4 L PHP-CGM % | 5 P PHP-CGM % </v>
      </c>
      <c r="AJ386" s="4" t="str">
        <f ca="1">IFERROR(__xludf.DUMMYFUNCTION("""COMPUTED_VALUE"""),"| 1 P Python % | 3 L PHP-CGM % | 4 L JAVA % | 5 P PRO @ ")</f>
        <v xml:space="preserve">| 1 P Python % | 3 L PHP-CGM % | 4 L JAVA % | 5 P PRO @ </v>
      </c>
      <c r="AK386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L386" s="4" t="str">
        <f ca="1">IFERROR(__xludf.DUMMYFUNCTION("""COMPUTED_VALUE"""),"| 3 P CPT @ | 5 L JAVA @ | 6 L NS @ ")</f>
        <v xml:space="preserve">| 3 P CPT @ | 5 L JAVA @ | 6 L NS @ </v>
      </c>
      <c r="AM386" s="4" t="str">
        <f ca="1">IFERROR(__xludf.DUMMYFUNCTION("""COMPUTED_VALUE"""),"| 1 P Python % | 3 P JAVA % | 5 L NS @ | 6 L CPT % ")</f>
        <v xml:space="preserve">| 1 P Python % | 3 P JAVA % | 5 L NS @ | 6 L CPT % </v>
      </c>
      <c r="AN386" s="4" t="str">
        <f ca="1">IFERROR(__xludf.DUMMYFUNCTION("""COMPUTED_VALUE"""),"| 1 P NS % | 4 L PHP-CGM % | 5 P PHP-CGM % ")</f>
        <v xml:space="preserve">| 1 P NS % | 4 L PHP-CGM % | 5 P PHP-CGM % </v>
      </c>
      <c r="AO386" s="4" t="str">
        <f ca="1">IFERROR(__xludf.DUMMYFUNCTION("""COMPUTED_VALUE"""),"| 1 P Python @ | 3 L PHP-CGM % | 4 L JAVA % | 5 P PRO @ ")</f>
        <v xml:space="preserve">| 1 P Python @ | 3 L PHP-CGM % | 4 L JAVA % | 5 P PRO @ </v>
      </c>
      <c r="AP386" s="4" t="str">
        <f ca="1">IFERROR(__xludf.DUMMYFUNCTION("""COMPUTED_VALUE"""),"| 1 L JAVA % | 2 L PHP-CGM % | 3 P JAVA % | 5 L CPT @ | 6 L NS % ")</f>
        <v xml:space="preserve">| 1 L JAVA % | 2 L PHP-CGM % | 3 P JAVA % | 5 L CPT @ | 6 L NS % </v>
      </c>
      <c r="AQ386" s="4" t="str">
        <f ca="1">IFERROR(__xludf.DUMMYFUNCTION("""COMPUTED_VALUE"""),"| 1 L INE @ | 3 P CPT @ | 5 L JAVA @ | 6 L NS @ ")</f>
        <v xml:space="preserve">| 1 L INE @ | 3 P CPT @ | 5 L JAVA @ | 6 L NS @ </v>
      </c>
      <c r="AR386" s="4" t="str">
        <f ca="1">IFERROR(__xludf.DUMMYFUNCTION("""COMPUTED_VALUE"""),"| 1 P Python % | 3 L CPT % | 3 P JAVA % | 5 L NS % | 6 L CPT % ")</f>
        <v xml:space="preserve">| 1 P Python % | 3 L CPT % | 3 P JAVA % | 5 L NS % | 6 L CPT % </v>
      </c>
      <c r="AS386" s="4" t="str">
        <f ca="1">IFERROR(__xludf.DUMMYFUNCTION("""COMPUTED_VALUE"""),"| 1 P Python % | 3 L PHP-CGM % | 4 L JAVA % | 5 P PRO % ")</f>
        <v xml:space="preserve">| 1 P Python % | 3 L PHP-CGM % | 4 L JAVA % | 5 P PRO % </v>
      </c>
      <c r="AT386" s="4" t="str">
        <f ca="1">IFERROR(__xludf.DUMMYFUNCTION("""COMPUTED_VALUE"""),"| 1 L JAVA % | 2 L PHP-CGM % | 3 P JAVA % | 5 L CPT @ | 6 L NS @ ")</f>
        <v xml:space="preserve">| 1 L JAVA % | 2 L PHP-CGM % | 3 P JAVA % | 5 L CPT @ | 6 L NS @ </v>
      </c>
      <c r="AU386" s="4" t="str">
        <f ca="1">IFERROR(__xludf.DUMMYFUNCTION("""COMPUTED_VALUE"""),"| 1 L INE @ | 3 P CPT @ | 5 L JAVA @ | 6 L NS @ ")</f>
        <v xml:space="preserve">| 1 L INE @ | 3 P CPT @ | 5 L JAVA @ | 6 L NS @ </v>
      </c>
      <c r="AV386" s="4" t="str">
        <f ca="1">IFERROR(__xludf.DUMMYFUNCTION("""COMPUTED_VALUE"""),"| 1 P Python @ | 3 P JAVA @ | 5 L NS @ | 6 L CPT @ ")</f>
        <v xml:space="preserve">| 1 P Python @ | 3 P JAVA @ | 5 L NS @ | 6 L CPT @ </v>
      </c>
      <c r="AW386" s="4" t="str">
        <f ca="1">IFERROR(__xludf.DUMMYFUNCTION("""COMPUTED_VALUE"""),"| 1 P NS @ | 3 L CPT % | 4 L PHP-CGM % | 5 P PHP-CGM @ ")</f>
        <v xml:space="preserve">| 1 P NS @ | 3 L CPT % | 4 L PHP-CGM % | 5 P PHP-CGM @ </v>
      </c>
      <c r="AX386" s="4" t="str">
        <f ca="1">IFERROR(__xludf.DUMMYFUNCTION("""COMPUTED_VALUE"""),"| 1 P Python % | 3 L JAVA % | 4 L PHP-CGM % | 5 P PRO % ")</f>
        <v xml:space="preserve">| 1 P Python % | 3 L JAVA % | 4 L PHP-CGM % | 5 P PRO % </v>
      </c>
      <c r="AY386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86" s="4" t="str">
        <f ca="1">IFERROR(__xludf.DUMMYFUNCTION("""COMPUTED_VALUE"""),"| 1 P Python % | 3 P JAVA % | 5 L NS % | 6 L CPT % ")</f>
        <v xml:space="preserve">| 1 P Python % | 3 P JAVA % | 5 L NS % | 6 L CPT % </v>
      </c>
      <c r="BA386" s="4" t="str">
        <f ca="1">IFERROR(__xludf.DUMMYFUNCTION("""COMPUTED_VALUE"""),"| 1 P NS @ | 3 L CPT @ | 4 L PHP-CGM @ | 5 P PHP-CGM @ ")</f>
        <v xml:space="preserve">| 1 P NS @ | 3 L CPT @ | 4 L PHP-CGM @ | 5 P PHP-CGM @ </v>
      </c>
      <c r="BB386" s="4" t="str">
        <f ca="1">IFERROR(__xludf.DUMMYFUNCTION("""COMPUTED_VALUE"""),"| 1 P Python % | 3 L PHP-CGM % | 4 L JAVA % | 5 L PRO % ")</f>
        <v xml:space="preserve">| 1 P Python % | 3 L PHP-CGM % | 4 L JAVA % | 5 L PRO % </v>
      </c>
      <c r="BC386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D386" s="4" t="str">
        <f ca="1">IFERROR(__xludf.DUMMYFUNCTION("""COMPUTED_VALUE"""),"| 1 L INE % | 3 P CPT % | 5 L JAVA @ | 6 L NS @ ")</f>
        <v xml:space="preserve">| 1 L INE % | 3 P CPT % | 5 L JAVA @ | 6 L NS @ </v>
      </c>
      <c r="BE386" s="4" t="str">
        <f ca="1">IFERROR(__xludf.DUMMYFUNCTION("""COMPUTED_VALUE"""),"| 1 P Python @ | 3 P JAVA % | 5 L NS % | 6 L CPT % ")</f>
        <v xml:space="preserve">| 1 P Python @ | 3 P JAVA % | 5 L NS % | 6 L CPT % </v>
      </c>
      <c r="BF386" s="4" t="str">
        <f ca="1">IFERROR(__xludf.DUMMYFUNCTION("""COMPUTED_VALUE"""),"| 1 P NS % | 3 L CPT % | 4 L PHP-CGM % ")</f>
        <v xml:space="preserve">| 1 P NS % | 3 L CPT % | 4 L PHP-CGM % </v>
      </c>
      <c r="BG386" s="4" t="str">
        <f ca="1">IFERROR(__xludf.DUMMYFUNCTION("""COMPUTED_VALUE"""),"| 1 L JAVA % | 2 L PHP-CGM % | 3 P JAVA % | 5 L CPT % | 6 L NS % ")</f>
        <v xml:space="preserve">| 1 L JAVA % | 2 L PHP-CGM % | 3 P JAVA % | 5 L CPT % | 6 L NS % </v>
      </c>
      <c r="BH386" s="4" t="str">
        <f ca="1">IFERROR(__xludf.DUMMYFUNCTION("""COMPUTED_VALUE"""),"| 1 L INE % | 3 P CPT % | 5 L JAVA @ | 6 L NS % ")</f>
        <v xml:space="preserve">| 1 L INE % | 3 P CPT % | 5 L JAVA @ | 6 L NS % </v>
      </c>
      <c r="BI386" s="4" t="str">
        <f ca="1">IFERROR(__xludf.DUMMYFUNCTION("""COMPUTED_VALUE"""),"| 1 P Python % | 3 P JAVA % | 5 L NS % | 6 L CPT % ")</f>
        <v xml:space="preserve">| 1 P Python % | 3 P JAVA % | 5 L NS % | 6 L CPT % </v>
      </c>
      <c r="BJ386" s="4" t="str">
        <f ca="1">IFERROR(__xludf.DUMMYFUNCTION("""COMPUTED_VALUE"""),"| 1 P NS % | 3 L CPT @ | 4 L PHP-CGM % | 5 P PHP-CGM % ")</f>
        <v xml:space="preserve">| 1 P NS % | 3 L CPT @ | 4 L PHP-CGM % | 5 P PHP-CGM % </v>
      </c>
      <c r="BK386" s="4" t="str">
        <f ca="1">IFERROR(__xludf.DUMMYFUNCTION("""COMPUTED_VALUE"""),"| 1 P Python @ | 3 L PHP-CGM % | 4 L JAVA % | 5 P PRO @ ")</f>
        <v xml:space="preserve">| 1 P Python @ | 3 L PHP-CGM % | 4 L JAVA % | 5 P PRO @ </v>
      </c>
      <c r="BL386" s="4" t="str">
        <f ca="1">IFERROR(__xludf.DUMMYFUNCTION("""COMPUTED_VALUE"""),"| 1 L JAVA % | 2 L PHP-CGM % | 3 P JAVA % | 6 L NS @ | 5 L CPT @ ")</f>
        <v xml:space="preserve">| 1 L JAVA % | 2 L PHP-CGM % | 3 P JAVA % | 6 L NS @ | 5 L CPT @ </v>
      </c>
      <c r="BM386" s="4" t="str">
        <f ca="1">IFERROR(__xludf.DUMMYFUNCTION("""COMPUTED_VALUE"""),"| 1 L INE % | 3 P CPT % | 5 L JAVA @ | 6 L NS @ ")</f>
        <v xml:space="preserve">| 1 L INE % | 3 P CPT % | 5 L JAVA @ | 6 L NS @ </v>
      </c>
      <c r="BN386" s="4" t="str">
        <f ca="1">IFERROR(__xludf.DUMMYFUNCTION("""COMPUTED_VALUE"""),"| 1 P Python % | 3 P JAVA % | 5 L NS @ | 6 L CPT @ ")</f>
        <v xml:space="preserve">| 1 P Python % | 3 P JAVA % | 5 L NS @ | 6 L CPT @ </v>
      </c>
      <c r="BO386" s="4" t="str">
        <f ca="1">IFERROR(__xludf.DUMMYFUNCTION("""COMPUTED_VALUE"""),"| 1 P NS @ | 4 L PHP-CGM @ | 3 L CPT @ ")</f>
        <v xml:space="preserve">| 1 P NS @ | 4 L PHP-CGM @ | 3 L CPT @ </v>
      </c>
      <c r="BP386" s="4" t="str">
        <f ca="1">IFERROR(__xludf.DUMMYFUNCTION("""COMPUTED_VALUE"""),"| 3 L PHP-CGM % | 4 L JAVA % | 5 P PRO @ ")</f>
        <v xml:space="preserve">| 3 L PHP-CGM % | 4 L JAVA % | 5 P PRO @ </v>
      </c>
      <c r="BQ386" s="4" t="str">
        <f ca="1">IFERROR(__xludf.DUMMYFUNCTION("""COMPUTED_VALUE"""),"| 6 L NS % | 5 L JAVA @ | 3 P CPT % ")</f>
        <v xml:space="preserve">| 6 L NS % | 5 L JAVA @ | 3 P CPT % </v>
      </c>
      <c r="BR386" s="4"/>
      <c r="BS386" s="4" t="str">
        <f ca="1">IFERROR(__xludf.DUMMYFUNCTION("""COMPUTED_VALUE"""),"| 4 L PHP-CGM % ")</f>
        <v xml:space="preserve">| 4 L PHP-CGM % </v>
      </c>
      <c r="BT386" s="4" t="str">
        <f ca="1">IFERROR(__xludf.DUMMYFUNCTION("""COMPUTED_VALUE"""),"| 1 P Python % | 3 L PHP-CGM % ")</f>
        <v xml:space="preserve">| 1 P Python % | 3 L PHP-CGM % </v>
      </c>
      <c r="BU386" s="4" t="str">
        <f ca="1">IFERROR(__xludf.DUMMYFUNCTION("""COMPUTED_VALUE"""),"| 1 L JAVA @ | 2 L PHP-CGM @ | 3 P JAVA @ ")</f>
        <v xml:space="preserve">| 1 L JAVA @ | 2 L PHP-CGM @ | 3 P JAVA @ </v>
      </c>
      <c r="BV386" s="4" t="str">
        <f ca="1">IFERROR(__xludf.DUMMYFUNCTION("""COMPUTED_VALUE"""),"| 1 P Python @ | 3 L PHP-CGM @ | 4 L JAVA @ | 5 P PRO @ ")</f>
        <v xml:space="preserve">| 1 P Python @ | 3 L PHP-CGM @ | 4 L JAVA @ | 5 P PRO @ </v>
      </c>
      <c r="BW386" s="4" t="str">
        <f ca="1">IFERROR(__xludf.DUMMYFUNCTION("""COMPUTED_VALUE"""),"| 1 L JAVA % | 2 L PHP-CGM % | 3 P JAVA % ")</f>
        <v xml:space="preserve">| 1 L JAVA % | 2 L PHP-CGM % | 3 P JAVA % </v>
      </c>
      <c r="BX386" s="4" t="str">
        <f ca="1">IFERROR(__xludf.DUMMYFUNCTION("""COMPUTED_VALUE"""),"| 1 L INE @ | 3 P CPT @ | 5 L JAVA @ | 6 L NS @ ")</f>
        <v xml:space="preserve">| 1 L INE @ | 3 P CPT @ | 5 L JAVA @ | 6 L NS @ </v>
      </c>
      <c r="BY386" s="4" t="str">
        <f ca="1">IFERROR(__xludf.DUMMYFUNCTION("""COMPUTED_VALUE"""),"| 1 P Python % | 3 P JAVA % | 5 L NS % | 6 L CPT % ")</f>
        <v xml:space="preserve">| 1 P Python % | 3 P JAVA % | 5 L NS % | 6 L CPT % </v>
      </c>
      <c r="BZ386" s="4" t="str">
        <f ca="1">IFERROR(__xludf.DUMMYFUNCTION("""COMPUTED_VALUE"""),"| 1 P NS @ | 3 L CPT @ | 4 L PHP-CGM @ | 5 P PHP-CGM % ")</f>
        <v xml:space="preserve">| 1 P NS @ | 3 L CPT @ | 4 L PHP-CGM @ | 5 P PHP-CGM % </v>
      </c>
      <c r="CA386" s="4" t="str">
        <f ca="1">IFERROR(__xludf.DUMMYFUNCTION("""COMPUTED_VALUE"""),"| 1 P Python @ | 3 L PHP-CGM @ | 3 L JAVA @ | 5 P PRO @ ")</f>
        <v xml:space="preserve">| 1 P Python @ | 3 L PHP-CGM @ | 3 L JAVA @ | 5 P PRO @ </v>
      </c>
      <c r="CB386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CC386" s="4" t="str">
        <f ca="1">IFERROR(__xludf.DUMMYFUNCTION("""COMPUTED_VALUE"""),"| 1 L INE @ | 3 P CPT @ | 5 L JAVA @ | 6 L NS @ ")</f>
        <v xml:space="preserve">| 1 L INE @ | 3 P CPT @ | 5 L JAVA @ | 6 L NS @ </v>
      </c>
      <c r="CD386" s="4" t="str">
        <f ca="1">IFERROR(__xludf.DUMMYFUNCTION("""COMPUTED_VALUE"""),"| 1 P Python @ | 3 P JAVA @ | 5 L NS @ | 6 L CPT @ ")</f>
        <v xml:space="preserve">| 1 P Python @ | 3 P JAVA @ | 5 L NS @ | 6 L CPT @ </v>
      </c>
      <c r="CE386" s="4" t="str">
        <f ca="1">IFERROR(__xludf.DUMMYFUNCTION("""COMPUTED_VALUE"""),"| 1 P NS @ | 3 L CPT @ | 4 L PHP-CGM @ ")</f>
        <v xml:space="preserve">| 1 P NS @ | 3 L CPT @ | 4 L PHP-CGM @ </v>
      </c>
      <c r="CF386" s="4" t="str">
        <f ca="1">IFERROR(__xludf.DUMMYFUNCTION("""COMPUTED_VALUE"""),"| 1 P Python % | 4 L JAVA % | 3 L PHP-CGM % | 5 L PRO % ")</f>
        <v xml:space="preserve">| 1 P Python % | 4 L JAVA % | 3 L PHP-CGM % | 5 L PRO % </v>
      </c>
      <c r="CG386" s="4" t="str">
        <f ca="1">IFERROR(__xludf.DUMMYFUNCTION("""COMPUTED_VALUE"""),"| 1 L JAVA % | 2 L PHP-CGM % | 6 L NS % | 3 P JAVA % ")</f>
        <v xml:space="preserve">| 1 L JAVA % | 2 L PHP-CGM % | 6 L NS % | 3 P JAVA % </v>
      </c>
      <c r="CH386" s="4" t="str">
        <f ca="1">IFERROR(__xludf.DUMMYFUNCTION("""COMPUTED_VALUE"""),"| 1 L INE % | 3 P CPT % | 5 L JAVA @ | 6 L NS @ ")</f>
        <v xml:space="preserve">| 1 L INE % | 3 P CPT % | 5 L JAVA @ | 6 L NS @ </v>
      </c>
      <c r="CI386" s="4" t="str">
        <f ca="1">IFERROR(__xludf.DUMMYFUNCTION("""COMPUTED_VALUE"""),"| 5 L NS @ | 6 L CPT % ")</f>
        <v xml:space="preserve">| 5 L NS @ | 6 L CPT % </v>
      </c>
      <c r="CJ386" s="4" t="str">
        <f ca="1">IFERROR(__xludf.DUMMYFUNCTION("""COMPUTED_VALUE"""),"| 1 P NS @ | 3 L CPT @ ")</f>
        <v xml:space="preserve">| 1 P NS @ | 3 L CPT @ </v>
      </c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</row>
    <row r="387" spans="1:102" ht="12.5" x14ac:dyDescent="0.25">
      <c r="A387" s="3">
        <f ca="1">IFERROR(__xludf.DUMMYFUNCTION("""COMPUTED_VALUE"""),2)</f>
        <v>2</v>
      </c>
      <c r="B387" s="3" t="str">
        <f ca="1">IFERROR(__xludf.DUMMYFUNCTION("""COMPUTED_VALUE"""),"ITA")</f>
        <v>ITA</v>
      </c>
      <c r="C387" s="32" t="str">
        <f ca="1">IFERROR(__xludf.DUMMYFUNCTION("""COMPUTED_VALUE"""),"23291371104")</f>
        <v>23291371104</v>
      </c>
      <c r="D387" s="4" t="str">
        <f ca="1">IFERROR(__xludf.DUMMYFUNCTION("""COMPUTED_VALUE"""),"PATEL TAKSH ASHVINKUMAR")</f>
        <v>PATEL TAKSH ASHVINKUMAR</v>
      </c>
      <c r="E387" s="3" t="str">
        <f ca="1">IFERROR(__xludf.DUMMYFUNCTION("""COMPUTED_VALUE"""),"Sweety - Mor")</f>
        <v>Sweety - Mor</v>
      </c>
      <c r="F387" s="3">
        <f ca="1">IFERROR(__xludf.DUMMYFUNCTION("""COMPUTED_VALUE"""),8154971547)</f>
        <v>8154971547</v>
      </c>
      <c r="G387" s="3">
        <f ca="1">IFERROR(__xludf.DUMMYFUNCTION("""COMPUTED_VALUE"""),9898017460)</f>
        <v>9898017460</v>
      </c>
      <c r="H387" s="33">
        <f ca="1">IFERROR(__xludf.DUMMYFUNCTION("""COMPUTED_VALUE"""),0.40650406504065)</f>
        <v>0.40650406504065001</v>
      </c>
      <c r="I387" s="25">
        <f ca="1">IFERROR(__xludf.DUMMYFUNCTION("""COMPUTED_VALUE"""),0.428571428571428)</f>
        <v>0.42857142857142799</v>
      </c>
      <c r="J387" s="25">
        <f ca="1">IFERROR(__xludf.DUMMYFUNCTION("""COMPUTED_VALUE"""),0.5)</f>
        <v>0.5</v>
      </c>
      <c r="K387" s="25">
        <f ca="1">IFERROR(__xludf.DUMMYFUNCTION("""COMPUTED_VALUE"""),0.388888888888888)</f>
        <v>0.38888888888888801</v>
      </c>
      <c r="L387" s="25">
        <f ca="1">IFERROR(__xludf.DUMMYFUNCTION("""COMPUTED_VALUE"""),0.666666666666666)</f>
        <v>0.66666666666666596</v>
      </c>
      <c r="M387" s="25">
        <f ca="1">IFERROR(__xludf.DUMMYFUNCTION("""COMPUTED_VALUE"""),0.5)</f>
        <v>0.5</v>
      </c>
      <c r="N387" s="25">
        <f ca="1">IFERROR(__xludf.DUMMYFUNCTION("""COMPUTED_VALUE"""),0.25)</f>
        <v>0.25</v>
      </c>
      <c r="O387" s="25">
        <f ca="1">IFERROR(__xludf.DUMMYFUNCTION("""COMPUTED_VALUE"""),0.472222222222222)</f>
        <v>0.47222222222222199</v>
      </c>
      <c r="P387" s="25">
        <f ca="1">IFERROR(__xludf.DUMMYFUNCTION("""COMPUTED_VALUE"""),0.12)</f>
        <v>0.12</v>
      </c>
      <c r="Q387" s="25">
        <f ca="1">IFERROR(__xludf.DUMMYFUNCTION("""COMPUTED_VALUE"""),0)</f>
        <v>0</v>
      </c>
      <c r="R387" s="25">
        <f ca="1">IFERROR(__xludf.DUMMYFUNCTION("""COMPUTED_VALUE"""),0.458333333333333)</f>
        <v>0.45833333333333298</v>
      </c>
      <c r="S387" s="25">
        <f ca="1">IFERROR(__xludf.DUMMYFUNCTION("""COMPUTED_VALUE"""),0.333333333333333)</f>
        <v>0.33333333333333298</v>
      </c>
      <c r="T387" s="25">
        <f ca="1">IFERROR(__xludf.DUMMYFUNCTION("""COMPUTED_VALUE"""),0.111111111111111)</f>
        <v>0.11111111111111099</v>
      </c>
      <c r="U387" s="25">
        <f ca="1">IFERROR(__xludf.DUMMYFUNCTION("""COMPUTED_VALUE"""),0.375)</f>
        <v>0.375</v>
      </c>
      <c r="V387" s="25">
        <f ca="1">IFERROR(__xludf.DUMMYFUNCTION("""COMPUTED_VALUE"""),0)</f>
        <v>0</v>
      </c>
      <c r="W387" s="4"/>
      <c r="X387" s="4" t="str">
        <f ca="1">IFERROR(__xludf.DUMMYFUNCTION("""COMPUTED_VALUE"""),"| 1 P Python @ | 4 L JAVA @ | 3 L PHP-CGM @ | 1 L PRO @ ")</f>
        <v xml:space="preserve">| 1 P Python @ | 4 L JAVA @ | 3 L PHP-CGM @ | 1 L PRO @ </v>
      </c>
      <c r="Y387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Z387" s="4" t="str">
        <f ca="1">IFERROR(__xludf.DUMMYFUNCTION("""COMPUTED_VALUE"""),"| 3 P CPT % | 5 L JAVA @ | 6 L NS @ ")</f>
        <v xml:space="preserve">| 3 P CPT % | 5 L JAVA @ | 6 L NS @ </v>
      </c>
      <c r="AA387" s="4" t="str">
        <f ca="1">IFERROR(__xludf.DUMMYFUNCTION("""COMPUTED_VALUE"""),"| 1 P Python @ | 5 P JAVA @ | 5 L NS @ | 6 L CPT @ ")</f>
        <v xml:space="preserve">| 1 P Python @ | 5 P JAVA @ | 5 L NS @ | 6 L CPT @ </v>
      </c>
      <c r="AB387" s="4" t="str">
        <f ca="1">IFERROR(__xludf.DUMMYFUNCTION("""COMPUTED_VALUE"""),"| 1 P NS @ | 3 L CPT @ | 5 P PHP-CGM @ | 4 L PHP-CGM @ ")</f>
        <v xml:space="preserve">| 1 P NS @ | 3 L CPT @ | 5 P PHP-CGM @ | 4 L PHP-CGM @ </v>
      </c>
      <c r="AC387" s="4" t="str">
        <f ca="1">IFERROR(__xludf.DUMMYFUNCTION("""COMPUTED_VALUE"""),"| 1 P Python % | 3 L PHP-CGM @ | 5 P PRO @ ")</f>
        <v xml:space="preserve">| 1 P Python % | 3 L PHP-CGM @ | 5 P PRO @ </v>
      </c>
      <c r="AD387" s="4" t="str">
        <f ca="1">IFERROR(__xludf.DUMMYFUNCTION("""COMPUTED_VALUE"""),"| 1 L JAVA % | 2 L PHP-CGM % | 3 P JAVA @ | 6 L NS % | 5 L CPT % ")</f>
        <v xml:space="preserve">| 1 L JAVA % | 2 L PHP-CGM % | 3 P JAVA @ | 6 L NS % | 5 L CPT % </v>
      </c>
      <c r="AE387" s="4" t="str">
        <f ca="1">IFERROR(__xludf.DUMMYFUNCTION("""COMPUTED_VALUE"""),"| 3 P CPT @ | 5 L JAVA @ | 6 L NS @ ")</f>
        <v xml:space="preserve">| 3 P CPT @ | 5 L JAVA @ | 6 L NS @ </v>
      </c>
      <c r="AF387" s="4" t="str">
        <f ca="1">IFERROR(__xludf.DUMMYFUNCTION("""COMPUTED_VALUE"""),"| 1 P Python @ | 3 P JAVA @ | 5 L NS @ | 6 L CPT @ ")</f>
        <v xml:space="preserve">| 1 P Python @ | 3 P JAVA @ | 5 L NS @ | 6 L CPT @ </v>
      </c>
      <c r="AG387" s="4" t="str">
        <f ca="1">IFERROR(__xludf.DUMMYFUNCTION("""COMPUTED_VALUE"""),"| 1 P NS % | 3 L CPT @ | 4 L PHP-CGM @ | 5 P PHP-CGM @ ")</f>
        <v xml:space="preserve">| 1 P NS % | 3 L CPT @ | 4 L PHP-CGM @ | 5 P PHP-CGM @ </v>
      </c>
      <c r="AH387" s="4" t="str">
        <f ca="1">IFERROR(__xludf.DUMMYFUNCTION("""COMPUTED_VALUE"""),"| 1 P Python % | 3 P JAVA @ | 5 L NS % | 6 L CPT % ")</f>
        <v xml:space="preserve">| 1 P Python % | 3 P JAVA @ | 5 L NS % | 6 L CPT % </v>
      </c>
      <c r="AI387" s="4" t="str">
        <f ca="1">IFERROR(__xludf.DUMMYFUNCTION("""COMPUTED_VALUE"""),"| 1 P NS % | 3 L CPT % | 4 L PHP-CGM % | 5 P PHP-CGM @ ")</f>
        <v xml:space="preserve">| 1 P NS % | 3 L CPT % | 4 L PHP-CGM % | 5 P PHP-CGM @ </v>
      </c>
      <c r="AJ387" s="4" t="str">
        <f ca="1">IFERROR(__xludf.DUMMYFUNCTION("""COMPUTED_VALUE"""),"| 1 P Python @ | 3 L PHP-CGM @ | 4 L JAVA @ | 5 P PRO @ ")</f>
        <v xml:space="preserve">| 1 P Python @ | 3 L PHP-CGM @ | 4 L JAVA @ | 5 P PRO @ </v>
      </c>
      <c r="AK387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L387" s="4" t="str">
        <f ca="1">IFERROR(__xludf.DUMMYFUNCTION("""COMPUTED_VALUE"""),"| 3 P CPT @ | 5 L JAVA @ | 6 L NS @ ")</f>
        <v xml:space="preserve">| 3 P CPT @ | 5 L JAVA @ | 6 L NS @ </v>
      </c>
      <c r="AM387" s="4" t="str">
        <f ca="1">IFERROR(__xludf.DUMMYFUNCTION("""COMPUTED_VALUE"""),"| 1 P Python @ | 3 P JAVA @ | 5 L NS @ | 6 L CPT @ ")</f>
        <v xml:space="preserve">| 1 P Python @ | 3 P JAVA @ | 5 L NS @ | 6 L CPT @ </v>
      </c>
      <c r="AN387" s="4" t="str">
        <f ca="1">IFERROR(__xludf.DUMMYFUNCTION("""COMPUTED_VALUE"""),"| 1 P NS % | 4 L PHP-CGM % | 5 P PHP-CGM @ ")</f>
        <v xml:space="preserve">| 1 P NS % | 4 L PHP-CGM % | 5 P PHP-CGM @ </v>
      </c>
      <c r="AO387" s="4" t="str">
        <f ca="1">IFERROR(__xludf.DUMMYFUNCTION("""COMPUTED_VALUE"""),"| 1 P Python @ | 3 L PHP-CGM @ | 4 L JAVA @ | 5 P PRO @ ")</f>
        <v xml:space="preserve">| 1 P Python @ | 3 L PHP-CGM @ | 4 L JAVA @ | 5 P PRO @ </v>
      </c>
      <c r="AP387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AQ387" s="4" t="str">
        <f ca="1">IFERROR(__xludf.DUMMYFUNCTION("""COMPUTED_VALUE"""),"| 1 L INE @ | 3 P CPT % | 5 L JAVA @ | 6 L NS @ ")</f>
        <v xml:space="preserve">| 1 L INE @ | 3 P CPT % | 5 L JAVA @ | 6 L NS @ </v>
      </c>
      <c r="AR387" s="4" t="str">
        <f ca="1">IFERROR(__xludf.DUMMYFUNCTION("""COMPUTED_VALUE"""),"| 1 P Python @ | 3 L CPT % | 3 P JAVA @ | 5 L NS @ | 6 L CPT @ ")</f>
        <v xml:space="preserve">| 1 P Python @ | 3 L CPT % | 3 P JAVA @ | 5 L NS @ | 6 L CPT @ </v>
      </c>
      <c r="AS387" s="4" t="str">
        <f ca="1">IFERROR(__xludf.DUMMYFUNCTION("""COMPUTED_VALUE"""),"| 1 P Python % | 3 L PHP-CGM % | 4 L JAVA % | 5 P PRO % ")</f>
        <v xml:space="preserve">| 1 P Python % | 3 L PHP-CGM % | 4 L JAVA % | 5 P PRO % </v>
      </c>
      <c r="AT387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AU387" s="4" t="str">
        <f ca="1">IFERROR(__xludf.DUMMYFUNCTION("""COMPUTED_VALUE"""),"| 1 L INE @ | 3 P CPT % | 5 L JAVA % | 6 L NS % ")</f>
        <v xml:space="preserve">| 1 L INE @ | 3 P CPT % | 5 L JAVA % | 6 L NS % </v>
      </c>
      <c r="AV387" s="4" t="str">
        <f ca="1">IFERROR(__xludf.DUMMYFUNCTION("""COMPUTED_VALUE"""),"| 1 P Python @ | 3 P JAVA @ | 5 L NS @ | 6 L CPT @ ")</f>
        <v xml:space="preserve">| 1 P Python @ | 3 P JAVA @ | 5 L NS @ | 6 L CPT @ </v>
      </c>
      <c r="AW387" s="4" t="str">
        <f ca="1">IFERROR(__xludf.DUMMYFUNCTION("""COMPUTED_VALUE"""),"| 1 P NS % | 3 L CPT % | 4 L PHP-CGM % | 5 P PHP-CGM % ")</f>
        <v xml:space="preserve">| 1 P NS % | 3 L CPT % | 4 L PHP-CGM % | 5 P PHP-CGM % </v>
      </c>
      <c r="AX387" s="4" t="str">
        <f ca="1">IFERROR(__xludf.DUMMYFUNCTION("""COMPUTED_VALUE"""),"| 1 P Python @ | 3 L JAVA @ | 4 L PHP-CGM @ | 5 P PRO @ ")</f>
        <v xml:space="preserve">| 1 P Python @ | 3 L JAVA @ | 4 L PHP-CGM @ | 5 P PRO @ </v>
      </c>
      <c r="AY387" s="4" t="str">
        <f ca="1">IFERROR(__xludf.DUMMYFUNCTION("""COMPUTED_VALUE"""),"| 2 L PHP-CGM % | 3 P JAVA % | 5 L CPT % | 6 L NS % | 1 L JAVA % ")</f>
        <v xml:space="preserve">| 2 L PHP-CGM % | 3 P JAVA % | 5 L CPT % | 6 L NS % | 1 L JAVA % </v>
      </c>
      <c r="AZ387" s="4" t="str">
        <f ca="1">IFERROR(__xludf.DUMMYFUNCTION("""COMPUTED_VALUE"""),"| 1 P Python @ | 3 P JAVA @ | 5 L NS @ | 6 L CPT @ ")</f>
        <v xml:space="preserve">| 1 P Python @ | 3 P JAVA @ | 5 L NS @ | 6 L CPT @ </v>
      </c>
      <c r="BA387" s="4" t="str">
        <f ca="1">IFERROR(__xludf.DUMMYFUNCTION("""COMPUTED_VALUE"""),"| 1 P NS % | 3 L CPT % | 4 L PHP-CGM @ | 5 P PHP-CGM @ ")</f>
        <v xml:space="preserve">| 1 P NS % | 3 L CPT % | 4 L PHP-CGM @ | 5 P PHP-CGM @ </v>
      </c>
      <c r="BB387" s="4" t="str">
        <f ca="1">IFERROR(__xludf.DUMMYFUNCTION("""COMPUTED_VALUE"""),"| 1 P Python % | 3 L PHP-CGM % | 4 L JAVA % | 5 L PRO @ ")</f>
        <v xml:space="preserve">| 1 P Python % | 3 L PHP-CGM % | 4 L JAVA % | 5 L PRO @ </v>
      </c>
      <c r="BC387" s="4" t="str">
        <f ca="1">IFERROR(__xludf.DUMMYFUNCTION("""COMPUTED_VALUE"""),"| 1 L JAVA @ | 2 L PHP-CGM @ | 3 P JAVA @ | 5 L CPT @ | 6 L NS @ ")</f>
        <v xml:space="preserve">| 1 L JAVA @ | 2 L PHP-CGM @ | 3 P JAVA @ | 5 L CPT @ | 6 L NS @ </v>
      </c>
      <c r="BD387" s="4" t="str">
        <f ca="1">IFERROR(__xludf.DUMMYFUNCTION("""COMPUTED_VALUE"""),"| 1 L INE @ | 3 P CPT @ | 5 L JAVA @ | 6 L NS @ ")</f>
        <v xml:space="preserve">| 1 L INE @ | 3 P CPT @ | 5 L JAVA @ | 6 L NS @ </v>
      </c>
      <c r="BE387" s="4" t="str">
        <f ca="1">IFERROR(__xludf.DUMMYFUNCTION("""COMPUTED_VALUE"""),"| 1 P Python @ | 3 P JAVA @ | 5 L NS @ | 6 L CPT @ ")</f>
        <v xml:space="preserve">| 1 P Python @ | 3 P JAVA @ | 5 L NS @ | 6 L CPT @ </v>
      </c>
      <c r="BF387" s="4" t="str">
        <f ca="1">IFERROR(__xludf.DUMMYFUNCTION("""COMPUTED_VALUE"""),"| 1 P NS @ | 3 L CPT @ | 4 L PHP-CGM @ ")</f>
        <v xml:space="preserve">| 1 P NS @ | 3 L CPT @ | 4 L PHP-CGM @ </v>
      </c>
      <c r="BG387" s="4" t="str">
        <f ca="1">IFERROR(__xludf.DUMMYFUNCTION("""COMPUTED_VALUE"""),"| 1 L JAVA % | 2 L PHP-CGM % | 3 P JAVA @ | 5 L CPT % | 6 L NS % ")</f>
        <v xml:space="preserve">| 1 L JAVA % | 2 L PHP-CGM % | 3 P JAVA @ | 5 L CPT % | 6 L NS % </v>
      </c>
      <c r="BH387" s="4" t="str">
        <f ca="1">IFERROR(__xludf.DUMMYFUNCTION("""COMPUTED_VALUE"""),"| 1 L INE % | 3 P CPT % | 5 L JAVA % | 6 L NS % ")</f>
        <v xml:space="preserve">| 1 L INE % | 3 P CPT % | 5 L JAVA % | 6 L NS % </v>
      </c>
      <c r="BI387" s="4" t="str">
        <f ca="1">IFERROR(__xludf.DUMMYFUNCTION("""COMPUTED_VALUE"""),"| 1 P Python % | 3 P JAVA @ | 5 L NS @ | 6 L CPT @ ")</f>
        <v xml:space="preserve">| 1 P Python % | 3 P JAVA @ | 5 L NS @ | 6 L CPT @ </v>
      </c>
      <c r="BJ387" s="4" t="str">
        <f ca="1">IFERROR(__xludf.DUMMYFUNCTION("""COMPUTED_VALUE"""),"| 1 P NS % | 3 L CPT % | 4 L PHP-CGM % | 5 P PHP-CGM @ ")</f>
        <v xml:space="preserve">| 1 P NS % | 3 L CPT % | 4 L PHP-CGM % | 5 P PHP-CGM @ </v>
      </c>
      <c r="BK387" s="4" t="str">
        <f ca="1">IFERROR(__xludf.DUMMYFUNCTION("""COMPUTED_VALUE"""),"| 1 P Python % | 3 L PHP-CGM % | 4 L JAVA % | 5 P PRO @ ")</f>
        <v xml:space="preserve">| 1 P Python % | 3 L PHP-CGM % | 4 L JAVA % | 5 P PRO @ </v>
      </c>
      <c r="BL387" s="4" t="str">
        <f ca="1">IFERROR(__xludf.DUMMYFUNCTION("""COMPUTED_VALUE"""),"| 1 L JAVA @ | 2 L PHP-CGM @ | 3 P JAVA @ | 6 L NS @ | 5 L CPT @ ")</f>
        <v xml:space="preserve">| 1 L JAVA @ | 2 L PHP-CGM @ | 3 P JAVA @ | 6 L NS @ | 5 L CPT @ </v>
      </c>
      <c r="BM387" s="4" t="str">
        <f ca="1">IFERROR(__xludf.DUMMYFUNCTION("""COMPUTED_VALUE"""),"| 1 L INE @ | 3 P CPT @ | 5 L JAVA @ | 6 L NS @ ")</f>
        <v xml:space="preserve">| 1 L INE @ | 3 P CPT @ | 5 L JAVA @ | 6 L NS @ </v>
      </c>
      <c r="BN387" s="4" t="str">
        <f ca="1">IFERROR(__xludf.DUMMYFUNCTION("""COMPUTED_VALUE"""),"| 1 P Python @ | 3 P JAVA @ | 5 L NS @ | 6 L CPT @ ")</f>
        <v xml:space="preserve">| 1 P Python @ | 3 P JAVA @ | 5 L NS @ | 6 L CPT @ </v>
      </c>
      <c r="BO387" s="4" t="str">
        <f ca="1">IFERROR(__xludf.DUMMYFUNCTION("""COMPUTED_VALUE"""),"| 1 P NS @ | 4 L PHP-CGM @ | 3 L CPT @ ")</f>
        <v xml:space="preserve">| 1 P NS @ | 4 L PHP-CGM @ | 3 L CPT @ </v>
      </c>
      <c r="BP387" s="4" t="str">
        <f ca="1">IFERROR(__xludf.DUMMYFUNCTION("""COMPUTED_VALUE"""),"| 3 L PHP-CGM % | 4 L JAVA % | 5 P PRO @ ")</f>
        <v xml:space="preserve">| 3 L PHP-CGM % | 4 L JAVA % | 5 P PRO @ </v>
      </c>
      <c r="BQ387" s="4" t="str">
        <f ca="1">IFERROR(__xludf.DUMMYFUNCTION("""COMPUTED_VALUE"""),"| 6 L NS % | 5 L JAVA @ | 3 P CPT % ")</f>
        <v xml:space="preserve">| 6 L NS % | 5 L JAVA @ | 3 P CPT % </v>
      </c>
      <c r="BR387" s="4"/>
      <c r="BS387" s="4" t="str">
        <f ca="1">IFERROR(__xludf.DUMMYFUNCTION("""COMPUTED_VALUE"""),"| 4 L PHP-CGM % ")</f>
        <v xml:space="preserve">| 4 L PHP-CGM % </v>
      </c>
      <c r="BT387" s="4" t="str">
        <f ca="1">IFERROR(__xludf.DUMMYFUNCTION("""COMPUTED_VALUE"""),"| 1 P Python % | 3 L PHP-CGM % ")</f>
        <v xml:space="preserve">| 1 P Python % | 3 L PHP-CGM % </v>
      </c>
      <c r="BU387" s="4" t="str">
        <f ca="1">IFERROR(__xludf.DUMMYFUNCTION("""COMPUTED_VALUE"""),"| 1 L JAVA % | 2 L PHP-CGM % | 3 P JAVA % ")</f>
        <v xml:space="preserve">| 1 L JAVA % | 2 L PHP-CGM % | 3 P JAVA % </v>
      </c>
      <c r="BV387" s="4" t="str">
        <f ca="1">IFERROR(__xludf.DUMMYFUNCTION("""COMPUTED_VALUE"""),"| 1 P Python @ | 3 L PHP-CGM @ | 4 L JAVA @ | 5 P PRO @ ")</f>
        <v xml:space="preserve">| 1 P Python @ | 3 L PHP-CGM @ | 4 L JAVA @ | 5 P PRO @ </v>
      </c>
      <c r="BW387" s="4" t="str">
        <f ca="1">IFERROR(__xludf.DUMMYFUNCTION("""COMPUTED_VALUE"""),"| 1 L JAVA % | 2 L PHP-CGM @ | 3 P JAVA @ ")</f>
        <v xml:space="preserve">| 1 L JAVA % | 2 L PHP-CGM @ | 3 P JAVA @ </v>
      </c>
      <c r="BX387" s="4" t="str">
        <f ca="1">IFERROR(__xludf.DUMMYFUNCTION("""COMPUTED_VALUE"""),"| 1 L INE @ | 3 P CPT @ | 5 L JAVA @ | 6 L NS @ ")</f>
        <v xml:space="preserve">| 1 L INE @ | 3 P CPT @ | 5 L JAVA @ | 6 L NS @ </v>
      </c>
      <c r="BY387" s="4" t="str">
        <f ca="1">IFERROR(__xludf.DUMMYFUNCTION("""COMPUTED_VALUE"""),"| 1 P Python % | 3 P JAVA @ | 5 L NS % | 6 L CPT % ")</f>
        <v xml:space="preserve">| 1 P Python % | 3 P JAVA @ | 5 L NS % | 6 L CPT % </v>
      </c>
      <c r="BZ387" s="4" t="str">
        <f ca="1">IFERROR(__xludf.DUMMYFUNCTION("""COMPUTED_VALUE"""),"| 1 P NS @ | 3 L CPT @ | 4 L PHP-CGM @ | 5 P PHP-CGM % ")</f>
        <v xml:space="preserve">| 1 P NS @ | 3 L CPT @ | 4 L PHP-CGM @ | 5 P PHP-CGM % </v>
      </c>
      <c r="CA387" s="4" t="str">
        <f ca="1">IFERROR(__xludf.DUMMYFUNCTION("""COMPUTED_VALUE"""),"| 1 P Python % | 3 L PHP-CGM @ | 3 L JAVA @ | 5 P PRO @ ")</f>
        <v xml:space="preserve">| 1 P Python % | 3 L PHP-CGM @ | 3 L JAVA @ | 5 P PRO @ </v>
      </c>
      <c r="CB387" s="4" t="str">
        <f ca="1">IFERROR(__xludf.DUMMYFUNCTION("""COMPUTED_VALUE"""),"| 1 L JAVA % | 2 L PHP-CGM % | 3 P JAVA @ | 6 L NS % | 5 L CPT % ")</f>
        <v xml:space="preserve">| 1 L JAVA % | 2 L PHP-CGM % | 3 P JAVA @ | 6 L NS % | 5 L CPT % </v>
      </c>
      <c r="CC387" s="4" t="str">
        <f ca="1">IFERROR(__xludf.DUMMYFUNCTION("""COMPUTED_VALUE"""),"| 1 L INE % | 3 P CPT @ | 5 L JAVA % | 6 L NS % ")</f>
        <v xml:space="preserve">| 1 L INE % | 3 P CPT @ | 5 L JAVA % | 6 L NS % </v>
      </c>
      <c r="CD387" s="4" t="str">
        <f ca="1">IFERROR(__xludf.DUMMYFUNCTION("""COMPUTED_VALUE"""),"| 1 P Python % | 3 P JAVA @ | 5 L NS % | 6 L CPT % ")</f>
        <v xml:space="preserve">| 1 P Python % | 3 P JAVA @ | 5 L NS % | 6 L CPT % </v>
      </c>
      <c r="CE387" s="4" t="str">
        <f ca="1">IFERROR(__xludf.DUMMYFUNCTION("""COMPUTED_VALUE"""),"| 1 P NS % | 3 L CPT % | 4 L PHP-CGM % ")</f>
        <v xml:space="preserve">| 1 P NS % | 3 L CPT % | 4 L PHP-CGM % </v>
      </c>
      <c r="CF387" s="4" t="str">
        <f ca="1">IFERROR(__xludf.DUMMYFUNCTION("""COMPUTED_VALUE"""),"| 1 P Python % | 4 L JAVA @ | 3 L PHP-CGM @ | 5 L PRO % ")</f>
        <v xml:space="preserve">| 1 P Python % | 4 L JAVA @ | 3 L PHP-CGM @ | 5 L PRO % </v>
      </c>
      <c r="CG387" s="4" t="str">
        <f ca="1">IFERROR(__xludf.DUMMYFUNCTION("""COMPUTED_VALUE"""),"| 1 L JAVA % | 2 L PHP-CGM % | 6 L NS @ | 3 P JAVA % ")</f>
        <v xml:space="preserve">| 1 L JAVA % | 2 L PHP-CGM % | 6 L NS @ | 3 P JAVA % </v>
      </c>
      <c r="CH387" s="4" t="str">
        <f ca="1">IFERROR(__xludf.DUMMYFUNCTION("""COMPUTED_VALUE"""),"| 1 L INE % | 3 P CPT % | 5 L JAVA % | 6 L NS % ")</f>
        <v xml:space="preserve">| 1 L INE % | 3 P CPT % | 5 L JAVA % | 6 L NS % </v>
      </c>
      <c r="CI387" s="4" t="str">
        <f ca="1">IFERROR(__xludf.DUMMYFUNCTION("""COMPUTED_VALUE"""),"| 5 L NS @ | 6 L CPT @ ")</f>
        <v xml:space="preserve">| 5 L NS @ | 6 L CPT @ </v>
      </c>
      <c r="CJ387" s="4" t="str">
        <f ca="1">IFERROR(__xludf.DUMMYFUNCTION("""COMPUTED_VALUE"""),"| 1 P NS % | 3 L CPT @ ")</f>
        <v xml:space="preserve">| 1 P NS % | 3 L CPT @ </v>
      </c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</row>
    <row r="388" spans="1:102" ht="12.5" x14ac:dyDescent="0.25">
      <c r="A388" s="3">
        <f ca="1">IFERROR(__xludf.DUMMYFUNCTION("""COMPUTED_VALUE"""),3)</f>
        <v>3</v>
      </c>
      <c r="B388" s="3" t="str">
        <f ca="1">IFERROR(__xludf.DUMMYFUNCTION("""COMPUTED_VALUE"""),"ITA")</f>
        <v>ITA</v>
      </c>
      <c r="C388" s="32" t="str">
        <f ca="1">IFERROR(__xludf.DUMMYFUNCTION("""COMPUTED_VALUE"""),"23291371108")</f>
        <v>23291371108</v>
      </c>
      <c r="D388" s="4" t="str">
        <f ca="1">IFERROR(__xludf.DUMMYFUNCTION("""COMPUTED_VALUE"""),"PATEL TULSI DHARMENDRABHAI")</f>
        <v>PATEL TULSI DHARMENDRABHAI</v>
      </c>
      <c r="E388" s="3" t="str">
        <f ca="1">IFERROR(__xludf.DUMMYFUNCTION("""COMPUTED_VALUE"""),"Sweety - Mor")</f>
        <v>Sweety - Mor</v>
      </c>
      <c r="F388" s="3">
        <f ca="1">IFERROR(__xludf.DUMMYFUNCTION("""COMPUTED_VALUE"""),8320798178)</f>
        <v>8320798178</v>
      </c>
      <c r="G388" s="3">
        <f ca="1">IFERROR(__xludf.DUMMYFUNCTION("""COMPUTED_VALUE"""),8320798178)</f>
        <v>8320798178</v>
      </c>
      <c r="H388" s="33">
        <f ca="1">IFERROR(__xludf.DUMMYFUNCTION("""COMPUTED_VALUE"""),0.417670682730923)</f>
        <v>0.417670682730923</v>
      </c>
      <c r="I388" s="25">
        <f ca="1">IFERROR(__xludf.DUMMYFUNCTION("""COMPUTED_VALUE"""),0.342857142857142)</f>
        <v>0.34285714285714203</v>
      </c>
      <c r="J388" s="25">
        <f ca="1">IFERROR(__xludf.DUMMYFUNCTION("""COMPUTED_VALUE"""),0.25)</f>
        <v>0.25</v>
      </c>
      <c r="K388" s="25">
        <f ca="1">IFERROR(__xludf.DUMMYFUNCTION("""COMPUTED_VALUE"""),0.416666666666666)</f>
        <v>0.41666666666666602</v>
      </c>
      <c r="L388" s="25">
        <f ca="1">IFERROR(__xludf.DUMMYFUNCTION("""COMPUTED_VALUE"""),0.538461538461538)</f>
        <v>0.53846153846153799</v>
      </c>
      <c r="M388" s="25">
        <f ca="1">IFERROR(__xludf.DUMMYFUNCTION("""COMPUTED_VALUE"""),0.473684210526315)</f>
        <v>0.47368421052631499</v>
      </c>
      <c r="N388" s="25">
        <f ca="1">IFERROR(__xludf.DUMMYFUNCTION("""COMPUTED_VALUE"""),0.615384615384615)</f>
        <v>0.61538461538461497</v>
      </c>
      <c r="O388" s="25">
        <f ca="1">IFERROR(__xludf.DUMMYFUNCTION("""COMPUTED_VALUE"""),0.5)</f>
        <v>0.5</v>
      </c>
      <c r="P388" s="25">
        <f ca="1">IFERROR(__xludf.DUMMYFUNCTION("""COMPUTED_VALUE"""),0.434782608695652)</f>
        <v>0.434782608695652</v>
      </c>
      <c r="Q388" s="25">
        <f ca="1">IFERROR(__xludf.DUMMYFUNCTION("""COMPUTED_VALUE"""),0)</f>
        <v>0</v>
      </c>
      <c r="R388" s="25">
        <f ca="1">IFERROR(__xludf.DUMMYFUNCTION("""COMPUTED_VALUE"""),0.304347826086956)</f>
        <v>0.30434782608695599</v>
      </c>
      <c r="S388" s="25">
        <f ca="1">IFERROR(__xludf.DUMMYFUNCTION("""COMPUTED_VALUE"""),0.333333333333333)</f>
        <v>0.33333333333333298</v>
      </c>
      <c r="T388" s="25">
        <f ca="1">IFERROR(__xludf.DUMMYFUNCTION("""COMPUTED_VALUE"""),0.111111111111111)</f>
        <v>0.11111111111111099</v>
      </c>
      <c r="U388" s="25">
        <f ca="1">IFERROR(__xludf.DUMMYFUNCTION("""COMPUTED_VALUE"""),0.5)</f>
        <v>0.5</v>
      </c>
      <c r="V388" s="25">
        <f ca="1">IFERROR(__xludf.DUMMYFUNCTION("""COMPUTED_VALUE"""),0)</f>
        <v>0</v>
      </c>
      <c r="W388" s="4"/>
      <c r="X388" s="4" t="str">
        <f ca="1">IFERROR(__xludf.DUMMYFUNCTION("""COMPUTED_VALUE"""),"| 4 L JAVA @ | 1 P PHP-CGM @ | 3 L PHP-CGM @ | 1 L PRO @ ")</f>
        <v xml:space="preserve">| 4 L JAVA @ | 1 P PHP-CGM @ | 3 L PHP-CGM @ | 1 L PRO @ </v>
      </c>
      <c r="Y388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388" s="4" t="str">
        <f ca="1">IFERROR(__xludf.DUMMYFUNCTION("""COMPUTED_VALUE"""),"| 3 P JAVA % | 5 L JAVA % | 6 L NS % ")</f>
        <v xml:space="preserve">| 3 P JAVA % | 5 L JAVA % | 6 L NS % </v>
      </c>
      <c r="AA388" s="4" t="str">
        <f ca="1">IFERROR(__xludf.DUMMYFUNCTION("""COMPUTED_VALUE"""),"| 1 P JAVA % | 3 P Python % | 5 L NS % | 6 L CPT % ")</f>
        <v xml:space="preserve">| 1 P JAVA % | 3 P Python % | 5 L NS % | 6 L CPT % </v>
      </c>
      <c r="AB388" s="4" t="str">
        <f ca="1">IFERROR(__xludf.DUMMYFUNCTION("""COMPUTED_VALUE"""),"| 1 P Python % | 3 L CPT % | 4 L PHP-CGM % | 5 P CPT @ ")</f>
        <v xml:space="preserve">| 1 P Python % | 3 L CPT % | 4 L PHP-CGM % | 5 P CPT @ </v>
      </c>
      <c r="AC388" s="4" t="str">
        <f ca="1">IFERROR(__xludf.DUMMYFUNCTION("""COMPUTED_VALUE"""),"| 1 P PHP-CGM % | 3 L PHP-CGM @ | 5 P PRO @ ")</f>
        <v xml:space="preserve">| 1 P PHP-CGM % | 3 L PHP-CGM @ | 5 P PRO @ </v>
      </c>
      <c r="AD388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88" s="4" t="str">
        <f ca="1">IFERROR(__xludf.DUMMYFUNCTION("""COMPUTED_VALUE"""),"| 3 P JAVA % | 5 L JAVA % | 6 L NS % ")</f>
        <v xml:space="preserve">| 3 P JAVA % | 5 L JAVA % | 6 L NS % </v>
      </c>
      <c r="AF388" s="4" t="str">
        <f ca="1">IFERROR(__xludf.DUMMYFUNCTION("""COMPUTED_VALUE"""),"| 1 P JAVA @ | 3 P Python @ | 5 L NS @ | 6 L CPT @ ")</f>
        <v xml:space="preserve">| 1 P JAVA @ | 3 P Python @ | 5 L NS @ | 6 L CPT @ </v>
      </c>
      <c r="AG388" s="4" t="str">
        <f ca="1">IFERROR(__xludf.DUMMYFUNCTION("""COMPUTED_VALUE"""),"| 1 P Python @ | 3 L CPT @ | 4 L PHP-CGM @ | 5 P CPT @ ")</f>
        <v xml:space="preserve">| 1 P Python @ | 3 L CPT @ | 4 L PHP-CGM @ | 5 P CPT @ </v>
      </c>
      <c r="AH388" s="4" t="str">
        <f ca="1">IFERROR(__xludf.DUMMYFUNCTION("""COMPUTED_VALUE"""),"| 1 P JAVA @ | 3 P Python @ | 5 L NS @ | 6 L CPT @ ")</f>
        <v xml:space="preserve">| 1 P JAVA @ | 3 P Python @ | 5 L NS @ | 6 L CPT @ </v>
      </c>
      <c r="AI388" s="4" t="str">
        <f ca="1">IFERROR(__xludf.DUMMYFUNCTION("""COMPUTED_VALUE"""),"| 1 P Python % | 3 L CPT @ | 4 L PHP-CGM % | 5 P CPT @ ")</f>
        <v xml:space="preserve">| 1 P Python % | 3 L CPT @ | 4 L PHP-CGM % | 5 P CPT @ </v>
      </c>
      <c r="AJ388" s="4" t="str">
        <f ca="1">IFERROR(__xludf.DUMMYFUNCTION("""COMPUTED_VALUE"""),"| 1 P PHP-CGM @ | 3 L PHP-CGM @ | 4 L JAVA @ | 5 P PRO @ ")</f>
        <v xml:space="preserve">| 1 P PHP-CGM @ | 3 L PHP-CGM @ | 4 L JAVA @ | 5 P PRO @ </v>
      </c>
      <c r="AK388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L388" s="4" t="str">
        <f ca="1">IFERROR(__xludf.DUMMYFUNCTION("""COMPUTED_VALUE"""),"| 3 P JAVA @ | 5 L JAVA @ | 6 L NS @ ")</f>
        <v xml:space="preserve">| 3 P JAVA @ | 5 L JAVA @ | 6 L NS @ </v>
      </c>
      <c r="AM388" s="4" t="str">
        <f ca="1">IFERROR(__xludf.DUMMYFUNCTION("""COMPUTED_VALUE"""),"| 1 P JAVA @ | 3 P Python @ | 5 L NS @ | 6 L CPT @ ")</f>
        <v xml:space="preserve">| 1 P JAVA @ | 3 P Python @ | 5 L NS @ | 6 L CPT @ </v>
      </c>
      <c r="AN388" s="4" t="str">
        <f ca="1">IFERROR(__xludf.DUMMYFUNCTION("""COMPUTED_VALUE"""),"| 1 P Python @ | 4 L PHP-CGM @ | 5 P CPT @ ")</f>
        <v xml:space="preserve">| 1 P Python @ | 4 L PHP-CGM @ | 5 P CPT @ </v>
      </c>
      <c r="AO388" s="4" t="str">
        <f ca="1">IFERROR(__xludf.DUMMYFUNCTION("""COMPUTED_VALUE"""),"| 1 P PHP-CGM % | 3 L PHP-CGM % | 4 L JAVA % | 5 P PRO @ ")</f>
        <v xml:space="preserve">| 1 P PHP-CGM % | 3 L PHP-CGM % | 4 L JAVA % | 5 P PRO @ </v>
      </c>
      <c r="AP388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Q388" s="4" t="str">
        <f ca="1">IFERROR(__xludf.DUMMYFUNCTION("""COMPUTED_VALUE"""),"| 1 L INE @ | 3 P JAVA % | 5 L JAVA @ | 6 L NS @ ")</f>
        <v xml:space="preserve">| 1 L INE @ | 3 P JAVA % | 5 L JAVA @ | 6 L NS @ </v>
      </c>
      <c r="AR388" s="4" t="str">
        <f ca="1">IFERROR(__xludf.DUMMYFUNCTION("""COMPUTED_VALUE"""),"| 1 P JAVA % | 3 L CPT @ | 3 P Python % | 5 L NS % | 6 L CPT % ")</f>
        <v xml:space="preserve">| 1 P JAVA % | 3 L CPT @ | 3 P Python % | 5 L NS % | 6 L CPT % </v>
      </c>
      <c r="AS388" s="4" t="str">
        <f ca="1">IFERROR(__xludf.DUMMYFUNCTION("""COMPUTED_VALUE"""),"| 1 P PHP-CGM % | 3 L PHP-CGM % | 4 L JAVA % | 5 P PRO @ ")</f>
        <v xml:space="preserve">| 1 P PHP-CGM % | 3 L PHP-CGM % | 4 L JAVA % | 5 P PRO @ </v>
      </c>
      <c r="AT38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88" s="4" t="str">
        <f ca="1">IFERROR(__xludf.DUMMYFUNCTION("""COMPUTED_VALUE"""),"| 1 L INE % | 3 P JAVA % | 5 L JAVA % | 6 L NS % ")</f>
        <v xml:space="preserve">| 1 L INE % | 3 P JAVA % | 5 L JAVA % | 6 L NS % </v>
      </c>
      <c r="AV388" s="4" t="str">
        <f ca="1">IFERROR(__xludf.DUMMYFUNCTION("""COMPUTED_VALUE"""),"| 1 P JAVA @ | 3 P Python @ | 5 L NS @ | 6 L CPT @ ")</f>
        <v xml:space="preserve">| 1 P JAVA @ | 3 P Python @ | 5 L NS @ | 6 L CPT @ </v>
      </c>
      <c r="AW388" s="4" t="str">
        <f ca="1">IFERROR(__xludf.DUMMYFUNCTION("""COMPUTED_VALUE"""),"| 1 P Python @ | 3 L CPT % | 4 L PHP-CGM % | 5 P CPT % ")</f>
        <v xml:space="preserve">| 1 P Python @ | 3 L CPT % | 4 L PHP-CGM % | 5 P CPT % </v>
      </c>
      <c r="AX388" s="4" t="str">
        <f ca="1">IFERROR(__xludf.DUMMYFUNCTION("""COMPUTED_VALUE"""),"| 1 P PHP-CGM % | 3 L JAVA % | 4 L PHP-CGM % | 5 P PRO % ")</f>
        <v xml:space="preserve">| 1 P PHP-CGM % | 3 L JAVA % | 4 L PHP-CGM % | 5 P PRO % </v>
      </c>
      <c r="AY388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388" s="4" t="str">
        <f ca="1">IFERROR(__xludf.DUMMYFUNCTION("""COMPUTED_VALUE"""),"| 1 P JAVA @ | 3 P Python @ | 5 L NS @ | 6 L CPT @ ")</f>
        <v xml:space="preserve">| 1 P JAVA @ | 3 P Python @ | 5 L NS @ | 6 L CPT @ </v>
      </c>
      <c r="BA388" s="4" t="str">
        <f ca="1">IFERROR(__xludf.DUMMYFUNCTION("""COMPUTED_VALUE"""),"| 1 P Python @ | 3 L CPT @ | 4 L PHP-CGM @ | 5 P CPT @ ")</f>
        <v xml:space="preserve">| 1 P Python @ | 3 L CPT @ | 4 L PHP-CGM @ | 5 P CPT @ </v>
      </c>
      <c r="BB388" s="4" t="str">
        <f ca="1">IFERROR(__xludf.DUMMYFUNCTION("""COMPUTED_VALUE"""),"| 1 P PHP-CGM @ | 3 L PHP-CGM @ | 4 L JAVA @ | 5 L PRO @ ")</f>
        <v xml:space="preserve">| 1 P PHP-CGM @ | 3 L PHP-CGM @ | 4 L JAVA @ | 5 L PRO @ </v>
      </c>
      <c r="BC388" s="4" t="str">
        <f ca="1">IFERROR(__xludf.DUMMYFUNCTION("""COMPUTED_VALUE"""),"| 1 L JAVA @ | 3 P NS @ | 2 L PHP-CGM @ | 5 L CPT @ | 6 L NS @ ")</f>
        <v xml:space="preserve">| 1 L JAVA @ | 3 P NS @ | 2 L PHP-CGM @ | 5 L CPT @ | 6 L NS @ </v>
      </c>
      <c r="BD388" s="4" t="str">
        <f ca="1">IFERROR(__xludf.DUMMYFUNCTION("""COMPUTED_VALUE"""),"| 1 L INE @ | 3 P JAVA @ | 5 L JAVA @ | 6 L NS @ ")</f>
        <v xml:space="preserve">| 1 L INE @ | 3 P JAVA @ | 5 L JAVA @ | 6 L NS @ </v>
      </c>
      <c r="BE388" s="4" t="str">
        <f ca="1">IFERROR(__xludf.DUMMYFUNCTION("""COMPUTED_VALUE"""),"| 1 P JAVA @ | 3 P Python @ | 5 L NS @ | 6 L CPT @ ")</f>
        <v xml:space="preserve">| 1 P JAVA @ | 3 P Python @ | 5 L NS @ | 6 L CPT @ </v>
      </c>
      <c r="BF388" s="4" t="str">
        <f ca="1">IFERROR(__xludf.DUMMYFUNCTION("""COMPUTED_VALUE"""),"| 1 P Python @ | 3 L CPT @ | 4 L PHP-CGM @ | 5 P CPT @ ")</f>
        <v xml:space="preserve">| 1 P Python @ | 3 L CPT @ | 4 L PHP-CGM @ | 5 P CPT @ </v>
      </c>
      <c r="BG38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88" s="4" t="str">
        <f ca="1">IFERROR(__xludf.DUMMYFUNCTION("""COMPUTED_VALUE"""),"| 1 L INE % | 3 P JAVA % | 5 L JAVA % | 6 L NS % ")</f>
        <v xml:space="preserve">| 1 L INE % | 3 P JAVA % | 5 L JAVA % | 6 L NS % </v>
      </c>
      <c r="BI388" s="4" t="str">
        <f ca="1">IFERROR(__xludf.DUMMYFUNCTION("""COMPUTED_VALUE"""),"| 1 P JAVA @ | 3 P Python @ | 5 L NS @ | 6 L CPT @ ")</f>
        <v xml:space="preserve">| 1 P JAVA @ | 3 P Python @ | 5 L NS @ | 6 L CPT @ </v>
      </c>
      <c r="BJ388" s="4" t="str">
        <f ca="1">IFERROR(__xludf.DUMMYFUNCTION("""COMPUTED_VALUE"""),"| 1 P Python @ | 3 L CPT @ | 4 L PHP-CGM @ | 5 P CPT @ ")</f>
        <v xml:space="preserve">| 1 P Python @ | 3 L CPT @ | 4 L PHP-CGM @ | 5 P CPT @ </v>
      </c>
      <c r="BK388" s="4" t="str">
        <f ca="1">IFERROR(__xludf.DUMMYFUNCTION("""COMPUTED_VALUE"""),"| 1 P PHP-CGM @ | 3 L PHP-CGM @ | 4 L JAVA @ | 5 P PRO @ ")</f>
        <v xml:space="preserve">| 1 P PHP-CGM @ | 3 L PHP-CGM @ | 4 L JAVA @ | 5 P PRO @ </v>
      </c>
      <c r="BL38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388" s="4" t="str">
        <f ca="1">IFERROR(__xludf.DUMMYFUNCTION("""COMPUTED_VALUE"""),"| 1 L INE @ | 3 P JAVA @ | 5 L JAVA @ | 6 L NS @ ")</f>
        <v xml:space="preserve">| 1 L INE @ | 3 P JAVA @ | 5 L JAVA @ | 6 L NS @ </v>
      </c>
      <c r="BN388" s="4" t="str">
        <f ca="1">IFERROR(__xludf.DUMMYFUNCTION("""COMPUTED_VALUE"""),"| 1 P JAVA @ | 3 P Python @ | 5 L NS @ | 6 L CPT @ ")</f>
        <v xml:space="preserve">| 1 P JAVA @ | 3 P Python @ | 5 L NS @ | 6 L CPT @ </v>
      </c>
      <c r="BO388" s="4" t="str">
        <f ca="1">IFERROR(__xludf.DUMMYFUNCTION("""COMPUTED_VALUE"""),"| 1 P Python @ | 4 L PHP-CGM @ | 3 L CPT @ | 5 P CPT @ ")</f>
        <v xml:space="preserve">| 1 P Python @ | 4 L PHP-CGM @ | 3 L CPT @ | 5 P CPT @ </v>
      </c>
      <c r="BP388" s="4" t="str">
        <f ca="1">IFERROR(__xludf.DUMMYFUNCTION("""COMPUTED_VALUE"""),"| 1 P PHP-CGM % | 3 L PHP-CGM % | 4 L JAVA % | 6 P PRO @ ")</f>
        <v xml:space="preserve">| 1 P PHP-CGM % | 3 L PHP-CGM % | 4 L JAVA % | 6 P PRO @ </v>
      </c>
      <c r="BQ388" s="4" t="str">
        <f ca="1">IFERROR(__xludf.DUMMYFUNCTION("""COMPUTED_VALUE"""),"| 6 L NS % | 5 L JAVA @ ")</f>
        <v xml:space="preserve">| 6 L NS % | 5 L JAVA @ </v>
      </c>
      <c r="BR388" s="4"/>
      <c r="BS388" s="4" t="str">
        <f ca="1">IFERROR(__xludf.DUMMYFUNCTION("""COMPUTED_VALUE"""),"| 4 L PHP-CGM % ")</f>
        <v xml:space="preserve">| 4 L PHP-CGM % </v>
      </c>
      <c r="BT388" s="4" t="str">
        <f ca="1">IFERROR(__xludf.DUMMYFUNCTION("""COMPUTED_VALUE"""),"| 1 P PHP-CGM % | 3 L PHP-CGM % ")</f>
        <v xml:space="preserve">| 1 P PHP-CGM % | 3 L PHP-CGM % </v>
      </c>
      <c r="BU388" s="4" t="str">
        <f ca="1">IFERROR(__xludf.DUMMYFUNCTION("""COMPUTED_VALUE"""),"| 1 L JAVA % | 2 L PHP-CGM % | 3 P NS % ")</f>
        <v xml:space="preserve">| 1 L JAVA % | 2 L PHP-CGM % | 3 P NS % </v>
      </c>
      <c r="BV388" s="4" t="str">
        <f ca="1">IFERROR(__xludf.DUMMYFUNCTION("""COMPUTED_VALUE"""),"| 1 P PHP-CGM @ | 3 L PHP-CGM @ | 4 L JAVA @ | 5 P PRO @ ")</f>
        <v xml:space="preserve">| 1 P PHP-CGM @ | 3 L PHP-CGM @ | 4 L JAVA @ | 5 P PRO @ </v>
      </c>
      <c r="BW388" s="4" t="str">
        <f ca="1">IFERROR(__xludf.DUMMYFUNCTION("""COMPUTED_VALUE"""),"| 1 L JAVA @ | 2 L PHP-CGM @ | 3 P NS @ ")</f>
        <v xml:space="preserve">| 1 L JAVA @ | 2 L PHP-CGM @ | 3 P NS @ </v>
      </c>
      <c r="BX388" s="4" t="str">
        <f ca="1">IFERROR(__xludf.DUMMYFUNCTION("""COMPUTED_VALUE"""),"| 1 L INE @ | 3 P JAVA @ | 5 L JAVA @ | 6 L NS @ ")</f>
        <v xml:space="preserve">| 1 L INE @ | 3 P JAVA @ | 5 L JAVA @ | 6 L NS @ </v>
      </c>
      <c r="BY388" s="4" t="str">
        <f ca="1">IFERROR(__xludf.DUMMYFUNCTION("""COMPUTED_VALUE"""),"| 1 P JAVA @ | 3 P Python % | 5 L NS % | 6 L CPT % ")</f>
        <v xml:space="preserve">| 1 P JAVA @ | 3 P Python % | 5 L NS % | 6 L CPT % </v>
      </c>
      <c r="BZ388" s="4" t="str">
        <f ca="1">IFERROR(__xludf.DUMMYFUNCTION("""COMPUTED_VALUE"""),"| 1 P Python @ | 3 L CPT @ | 4 L PHP-CGM @ | 5 P CPT @ ")</f>
        <v xml:space="preserve">| 1 P Python @ | 3 L CPT @ | 4 L PHP-CGM @ | 5 P CPT @ </v>
      </c>
      <c r="CA388" s="4" t="str">
        <f ca="1">IFERROR(__xludf.DUMMYFUNCTION("""COMPUTED_VALUE"""),"| 1 P PHP-CGM % | 3 L PHP-CGM % | 3 L JAVA % | 5 P PRO @ ")</f>
        <v xml:space="preserve">| 1 P PHP-CGM % | 3 L PHP-CGM % | 3 L JAVA % | 5 P PRO @ </v>
      </c>
      <c r="CB38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CC388" s="4" t="str">
        <f ca="1">IFERROR(__xludf.DUMMYFUNCTION("""COMPUTED_VALUE"""),"| 1 L INE % | 3 P JAVA % | 5 L JAVA % | 6 L NS % ")</f>
        <v xml:space="preserve">| 1 L INE % | 3 P JAVA % | 5 L JAVA % | 6 L NS % </v>
      </c>
      <c r="CD388" s="4" t="str">
        <f ca="1">IFERROR(__xludf.DUMMYFUNCTION("""COMPUTED_VALUE"""),"| 1 P JAVA % | 3 P Python % | 5 L NS % | 6 L CPT % ")</f>
        <v xml:space="preserve">| 1 P JAVA % | 3 P Python % | 5 L NS % | 6 L CPT % </v>
      </c>
      <c r="CE388" s="4" t="str">
        <f ca="1">IFERROR(__xludf.DUMMYFUNCTION("""COMPUTED_VALUE"""),"| 1 P Python % | 3 L CPT % | 4 L PHP-CGM % | 5 P CPT % ")</f>
        <v xml:space="preserve">| 1 P Python % | 3 L CPT % | 4 L PHP-CGM % | 5 P CPT % </v>
      </c>
      <c r="CF388" s="4" t="str">
        <f ca="1">IFERROR(__xludf.DUMMYFUNCTION("""COMPUTED_VALUE"""),"| 1 P PHP-CGM % | 4 L JAVA @ | 3 L PHP-CGM @ | 5 L PRO % ")</f>
        <v xml:space="preserve">| 1 P PHP-CGM % | 4 L JAVA @ | 3 L PHP-CGM @ | 5 L PRO % </v>
      </c>
      <c r="CG388" s="4" t="str">
        <f ca="1">IFERROR(__xludf.DUMMYFUNCTION("""COMPUTED_VALUE"""),"| 1 L JAVA % | 2 L PHP-CGM % | 3 P NS % | 6 L NS @ ")</f>
        <v xml:space="preserve">| 1 L JAVA % | 2 L PHP-CGM % | 3 P NS % | 6 L NS @ </v>
      </c>
      <c r="CH388" s="4" t="str">
        <f ca="1">IFERROR(__xludf.DUMMYFUNCTION("""COMPUTED_VALUE"""),"| 1 L INE % | 3 P JAVA % | 5 L JAVA % | 6 L NS % ")</f>
        <v xml:space="preserve">| 1 L INE % | 3 P JAVA % | 5 L JAVA % | 6 L NS % </v>
      </c>
      <c r="CI388" s="4" t="str">
        <f ca="1">IFERROR(__xludf.DUMMYFUNCTION("""COMPUTED_VALUE"""),"| 5 L NS @ | 6 L CPT @ ")</f>
        <v xml:space="preserve">| 5 L NS @ | 6 L CPT @ </v>
      </c>
      <c r="CJ388" s="4" t="str">
        <f ca="1">IFERROR(__xludf.DUMMYFUNCTION("""COMPUTED_VALUE"""),"| 3 L CPT % | 5 P CPT % ")</f>
        <v xml:space="preserve">| 3 L CPT % | 5 P CPT % </v>
      </c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</row>
    <row r="389" spans="1:102" ht="12.5" x14ac:dyDescent="0.25">
      <c r="A389" s="3">
        <f ca="1">IFERROR(__xludf.DUMMYFUNCTION("""COMPUTED_VALUE"""),3)</f>
        <v>3</v>
      </c>
      <c r="B389" s="3" t="str">
        <f ca="1">IFERROR(__xludf.DUMMYFUNCTION("""COMPUTED_VALUE"""),"ITA")</f>
        <v>ITA</v>
      </c>
      <c r="C389" s="32" t="str">
        <f ca="1">IFERROR(__xludf.DUMMYFUNCTION("""COMPUTED_VALUE"""),"23291371111")</f>
        <v>23291371111</v>
      </c>
      <c r="D389" s="4" t="str">
        <f ca="1">IFERROR(__xludf.DUMMYFUNCTION("""COMPUTED_VALUE"""),"PATEL YUG PRAVINBHAI")</f>
        <v>PATEL YUG PRAVINBHAI</v>
      </c>
      <c r="E389" s="3" t="str">
        <f ca="1">IFERROR(__xludf.DUMMYFUNCTION("""COMPUTED_VALUE"""),"Sweety - Mor")</f>
        <v>Sweety - Mor</v>
      </c>
      <c r="F389" s="3">
        <f ca="1">IFERROR(__xludf.DUMMYFUNCTION("""COMPUTED_VALUE"""),8980203118)</f>
        <v>8980203118</v>
      </c>
      <c r="G389" s="3">
        <f ca="1">IFERROR(__xludf.DUMMYFUNCTION("""COMPUTED_VALUE"""),8980203118)</f>
        <v>8980203118</v>
      </c>
      <c r="H389" s="33">
        <f ca="1">IFERROR(__xludf.DUMMYFUNCTION("""COMPUTED_VALUE"""),0.730923694779116)</f>
        <v>0.73092369477911601</v>
      </c>
      <c r="I389" s="25">
        <f ca="1">IFERROR(__xludf.DUMMYFUNCTION("""COMPUTED_VALUE"""),0.657142857142857)</f>
        <v>0.65714285714285703</v>
      </c>
      <c r="J389" s="25">
        <f ca="1">IFERROR(__xludf.DUMMYFUNCTION("""COMPUTED_VALUE"""),0.416666666666666)</f>
        <v>0.41666666666666602</v>
      </c>
      <c r="K389" s="25">
        <f ca="1">IFERROR(__xludf.DUMMYFUNCTION("""COMPUTED_VALUE"""),0.75)</f>
        <v>0.75</v>
      </c>
      <c r="L389" s="25">
        <f ca="1">IFERROR(__xludf.DUMMYFUNCTION("""COMPUTED_VALUE"""),0.923076923076923)</f>
        <v>0.92307692307692302</v>
      </c>
      <c r="M389" s="25">
        <f ca="1">IFERROR(__xludf.DUMMYFUNCTION("""COMPUTED_VALUE"""),0.736842105263157)</f>
        <v>0.73684210526315697</v>
      </c>
      <c r="N389" s="25">
        <f ca="1">IFERROR(__xludf.DUMMYFUNCTION("""COMPUTED_VALUE"""),0.615384615384615)</f>
        <v>0.61538461538461497</v>
      </c>
      <c r="O389" s="25">
        <f ca="1">IFERROR(__xludf.DUMMYFUNCTION("""COMPUTED_VALUE"""),0.777777777777777)</f>
        <v>0.77777777777777701</v>
      </c>
      <c r="P389" s="25">
        <f ca="1">IFERROR(__xludf.DUMMYFUNCTION("""COMPUTED_VALUE"""),0.913043478260869)</f>
        <v>0.91304347826086896</v>
      </c>
      <c r="Q389" s="25">
        <f ca="1">IFERROR(__xludf.DUMMYFUNCTION("""COMPUTED_VALUE"""),0)</f>
        <v>0</v>
      </c>
      <c r="R389" s="25">
        <f ca="1">IFERROR(__xludf.DUMMYFUNCTION("""COMPUTED_VALUE"""),0.695652173913043)</f>
        <v>0.69565217391304301</v>
      </c>
      <c r="S389" s="25">
        <f ca="1">IFERROR(__xludf.DUMMYFUNCTION("""COMPUTED_VALUE"""),1)</f>
        <v>1</v>
      </c>
      <c r="T389" s="25">
        <f ca="1">IFERROR(__xludf.DUMMYFUNCTION("""COMPUTED_VALUE"""),0.666666666666666)</f>
        <v>0.66666666666666596</v>
      </c>
      <c r="U389" s="25">
        <f ca="1">IFERROR(__xludf.DUMMYFUNCTION("""COMPUTED_VALUE"""),0.625)</f>
        <v>0.625</v>
      </c>
      <c r="V389" s="25">
        <f ca="1">IFERROR(__xludf.DUMMYFUNCTION("""COMPUTED_VALUE"""),0)</f>
        <v>0</v>
      </c>
      <c r="W389" s="4"/>
      <c r="X389" s="4" t="str">
        <f ca="1">IFERROR(__xludf.DUMMYFUNCTION("""COMPUTED_VALUE"""),"| 4 L JAVA % | 1 P PHP-CGM @ | 3 L PHP-CGM % | 1 L PRO % ")</f>
        <v xml:space="preserve">| 4 L JAVA % | 1 P PHP-CGM @ | 3 L PHP-CGM % | 1 L PRO % </v>
      </c>
      <c r="Y38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389" s="4" t="str">
        <f ca="1">IFERROR(__xludf.DUMMYFUNCTION("""COMPUTED_VALUE"""),"| 3 P JAVA % | 5 L JAVA % | 6 L NS % ")</f>
        <v xml:space="preserve">| 3 P JAVA % | 5 L JAVA % | 6 L NS % </v>
      </c>
      <c r="AA389" s="4" t="str">
        <f ca="1">IFERROR(__xludf.DUMMYFUNCTION("""COMPUTED_VALUE"""),"| 1 P JAVA % | 3 P Python % | 5 L NS % | 6 L CPT % ")</f>
        <v xml:space="preserve">| 1 P JAVA % | 3 P Python % | 5 L NS % | 6 L CPT % </v>
      </c>
      <c r="AB389" s="4" t="str">
        <f ca="1">IFERROR(__xludf.DUMMYFUNCTION("""COMPUTED_VALUE"""),"| 1 P Python % | 3 L CPT % | 4 L PHP-CGM % | 5 P CPT % ")</f>
        <v xml:space="preserve">| 1 P Python % | 3 L CPT % | 4 L PHP-CGM % | 5 P CPT % </v>
      </c>
      <c r="AC389" s="4" t="str">
        <f ca="1">IFERROR(__xludf.DUMMYFUNCTION("""COMPUTED_VALUE"""),"| 1 P PHP-CGM % | 3 L PHP-CGM % | 5 P PRO % ")</f>
        <v xml:space="preserve">| 1 P PHP-CGM % | 3 L PHP-CGM % | 5 P PRO % </v>
      </c>
      <c r="AD389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89" s="4" t="str">
        <f ca="1">IFERROR(__xludf.DUMMYFUNCTION("""COMPUTED_VALUE"""),"| 3 P JAVA % | 5 L JAVA % | 6 L NS % ")</f>
        <v xml:space="preserve">| 3 P JAVA % | 5 L JAVA % | 6 L NS % </v>
      </c>
      <c r="AF389" s="4" t="str">
        <f ca="1">IFERROR(__xludf.DUMMYFUNCTION("""COMPUTED_VALUE"""),"| 1 P JAVA % | 3 P Python % | 5 L NS % | 6 L CPT % ")</f>
        <v xml:space="preserve">| 1 P JAVA % | 3 P Python % | 5 L NS % | 6 L CPT % </v>
      </c>
      <c r="AG389" s="4" t="str">
        <f ca="1">IFERROR(__xludf.DUMMYFUNCTION("""COMPUTED_VALUE"""),"| 1 P Python % | 3 L CPT % | 4 L PHP-CGM % | 5 P CPT % ")</f>
        <v xml:space="preserve">| 1 P Python % | 3 L CPT % | 4 L PHP-CGM % | 5 P CPT % </v>
      </c>
      <c r="AH389" s="4" t="str">
        <f ca="1">IFERROR(__xludf.DUMMYFUNCTION("""COMPUTED_VALUE"""),"| 1 P JAVA % | 3 P Python % | 5 L NS % | 6 L CPT % ")</f>
        <v xml:space="preserve">| 1 P JAVA % | 3 P Python % | 5 L NS % | 6 L CPT % </v>
      </c>
      <c r="AI389" s="4" t="str">
        <f ca="1">IFERROR(__xludf.DUMMYFUNCTION("""COMPUTED_VALUE"""),"| 1 P Python % | 3 L CPT % | 4 L PHP-CGM @ | 5 P CPT % ")</f>
        <v xml:space="preserve">| 1 P Python % | 3 L CPT % | 4 L PHP-CGM @ | 5 P CPT % </v>
      </c>
      <c r="AJ389" s="4" t="str">
        <f ca="1">IFERROR(__xludf.DUMMYFUNCTION("""COMPUTED_VALUE"""),"| 1 P PHP-CGM % | 3 L PHP-CGM % | 4 L JAVA % | 5 P PRO % ")</f>
        <v xml:space="preserve">| 1 P PHP-CGM % | 3 L PHP-CGM % | 4 L JAVA % | 5 P PRO % </v>
      </c>
      <c r="AK389" s="4" t="str">
        <f ca="1">IFERROR(__xludf.DUMMYFUNCTION("""COMPUTED_VALUE"""),"| 1 L JAVA % | 2 L PHP-CGM % | 3 P NS % | 5 L CPT @ | 6 L NS % ")</f>
        <v xml:space="preserve">| 1 L JAVA % | 2 L PHP-CGM % | 3 P NS % | 5 L CPT @ | 6 L NS % </v>
      </c>
      <c r="AL389" s="4" t="str">
        <f ca="1">IFERROR(__xludf.DUMMYFUNCTION("""COMPUTED_VALUE"""),"| 3 P JAVA % | 5 L JAVA % | 6 L NS % ")</f>
        <v xml:space="preserve">| 3 P JAVA % | 5 L JAVA % | 6 L NS % </v>
      </c>
      <c r="AM389" s="4" t="str">
        <f ca="1">IFERROR(__xludf.DUMMYFUNCTION("""COMPUTED_VALUE"""),"| 1 P JAVA % | 3 P Python % | 5 L NS @ | 6 L CPT % ")</f>
        <v xml:space="preserve">| 1 P JAVA % | 3 P Python % | 5 L NS @ | 6 L CPT % </v>
      </c>
      <c r="AN389" s="4" t="str">
        <f ca="1">IFERROR(__xludf.DUMMYFUNCTION("""COMPUTED_VALUE"""),"| 1 P Python @ | 4 L PHP-CGM @ | 5 P CPT @ ")</f>
        <v xml:space="preserve">| 1 P Python @ | 4 L PHP-CGM @ | 5 P CPT @ </v>
      </c>
      <c r="AO389" s="4" t="str">
        <f ca="1">IFERROR(__xludf.DUMMYFUNCTION("""COMPUTED_VALUE"""),"| 1 P PHP-CGM % | 3 L PHP-CGM % | 4 L JAVA % | 5 P PRO % ")</f>
        <v xml:space="preserve">| 1 P PHP-CGM % | 3 L PHP-CGM % | 4 L JAVA % | 5 P PRO % </v>
      </c>
      <c r="AP38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389" s="4" t="str">
        <f ca="1">IFERROR(__xludf.DUMMYFUNCTION("""COMPUTED_VALUE"""),"| 1 L INE % | 3 P JAVA % | 5 L JAVA % | 6 L NS % ")</f>
        <v xml:space="preserve">| 1 L INE % | 3 P JAVA % | 5 L JAVA % | 6 L NS % </v>
      </c>
      <c r="AR389" s="4" t="str">
        <f ca="1">IFERROR(__xludf.DUMMYFUNCTION("""COMPUTED_VALUE"""),"| 1 P JAVA % | 3 L CPT @ | 3 P Python % | 5 L NS % | 6 L CPT % ")</f>
        <v xml:space="preserve">| 1 P JAVA % | 3 L CPT @ | 3 P Python % | 5 L NS % | 6 L CPT % </v>
      </c>
      <c r="AS389" s="4" t="str">
        <f ca="1">IFERROR(__xludf.DUMMYFUNCTION("""COMPUTED_VALUE"""),"| 1 P PHP-CGM % | 3 L PHP-CGM % | 4 L JAVA % | 5 P PRO % ")</f>
        <v xml:space="preserve">| 1 P PHP-CGM % | 3 L PHP-CGM % | 4 L JAVA % | 5 P PRO % </v>
      </c>
      <c r="AT38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89" s="4" t="str">
        <f ca="1">IFERROR(__xludf.DUMMYFUNCTION("""COMPUTED_VALUE"""),"| 1 L INE @ | 3 P JAVA % | 5 L JAVA @ | 6 L NS % ")</f>
        <v xml:space="preserve">| 1 L INE @ | 3 P JAVA % | 5 L JAVA @ | 6 L NS % </v>
      </c>
      <c r="AV389" s="4" t="str">
        <f ca="1">IFERROR(__xludf.DUMMYFUNCTION("""COMPUTED_VALUE"""),"| 1 P JAVA % | 3 P Python % | 5 L NS % | 6 L CPT % ")</f>
        <v xml:space="preserve">| 1 P JAVA % | 3 P Python % | 5 L NS % | 6 L CPT % </v>
      </c>
      <c r="AW389" s="4" t="str">
        <f ca="1">IFERROR(__xludf.DUMMYFUNCTION("""COMPUTED_VALUE"""),"| 1 P Python % | 3 L CPT % | 4 L PHP-CGM % | 5 P CPT % ")</f>
        <v xml:space="preserve">| 1 P Python % | 3 L CPT % | 4 L PHP-CGM % | 5 P CPT % </v>
      </c>
      <c r="AX389" s="4" t="str">
        <f ca="1">IFERROR(__xludf.DUMMYFUNCTION("""COMPUTED_VALUE"""),"| 1 P PHP-CGM @ | 3 L JAVA % | 4 L PHP-CGM % | 5 P PRO % ")</f>
        <v xml:space="preserve">| 1 P PHP-CGM @ | 3 L JAVA % | 4 L PHP-CGM % | 5 P PRO % </v>
      </c>
      <c r="AY389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389" s="4" t="str">
        <f ca="1">IFERROR(__xludf.DUMMYFUNCTION("""COMPUTED_VALUE"""),"| 1 P JAVA % | 3 P Python % | 5 L NS % | 6 L CPT % ")</f>
        <v xml:space="preserve">| 1 P JAVA % | 3 P Python % | 5 L NS % | 6 L CPT % </v>
      </c>
      <c r="BA389" s="4" t="str">
        <f ca="1">IFERROR(__xludf.DUMMYFUNCTION("""COMPUTED_VALUE"""),"| 1 P Python @ | 3 L CPT @ | 4 L PHP-CGM @ | 5 P CPT @ ")</f>
        <v xml:space="preserve">| 1 P Python @ | 3 L CPT @ | 4 L PHP-CGM @ | 5 P CPT @ </v>
      </c>
      <c r="BB389" s="4" t="str">
        <f ca="1">IFERROR(__xludf.DUMMYFUNCTION("""COMPUTED_VALUE"""),"| 1 P PHP-CGM % | 3 L PHP-CGM % | 4 L JAVA % | 5 L PRO % ")</f>
        <v xml:space="preserve">| 1 P PHP-CGM % | 3 L PHP-CGM % | 4 L JAVA % | 5 L PRO % </v>
      </c>
      <c r="BC389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389" s="4" t="str">
        <f ca="1">IFERROR(__xludf.DUMMYFUNCTION("""COMPUTED_VALUE"""),"| 1 L INE % | 3 P JAVA % | 5 L JAVA % | 6 L NS % ")</f>
        <v xml:space="preserve">| 1 L INE % | 3 P JAVA % | 5 L JAVA % | 6 L NS % </v>
      </c>
      <c r="BE389" s="4" t="str">
        <f ca="1">IFERROR(__xludf.DUMMYFUNCTION("""COMPUTED_VALUE"""),"| 1 P JAVA @ | 3 P Python @ | 5 L NS @ | 6 L CPT @ ")</f>
        <v xml:space="preserve">| 1 P JAVA @ | 3 P Python @ | 5 L NS @ | 6 L CPT @ </v>
      </c>
      <c r="BF389" s="4" t="str">
        <f ca="1">IFERROR(__xludf.DUMMYFUNCTION("""COMPUTED_VALUE"""),"| 1 P Python @ | 3 L CPT @ | 4 L PHP-CGM @ | 5 P CPT @ ")</f>
        <v xml:space="preserve">| 1 P Python @ | 3 L CPT @ | 4 L PHP-CGM @ | 5 P CPT @ </v>
      </c>
      <c r="BG38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89" s="4" t="str">
        <f ca="1">IFERROR(__xludf.DUMMYFUNCTION("""COMPUTED_VALUE"""),"| 1 L INE @ | 3 P JAVA @ | 5 L JAVA @ | 6 L NS % ")</f>
        <v xml:space="preserve">| 1 L INE @ | 3 P JAVA @ | 5 L JAVA @ | 6 L NS % </v>
      </c>
      <c r="BI389" s="4" t="str">
        <f ca="1">IFERROR(__xludf.DUMMYFUNCTION("""COMPUTED_VALUE"""),"| 1 P JAVA % | 3 P Python % | 5 L NS % | 6 L CPT % ")</f>
        <v xml:space="preserve">| 1 P JAVA % | 3 P Python % | 5 L NS % | 6 L CPT % </v>
      </c>
      <c r="BJ389" s="4" t="str">
        <f ca="1">IFERROR(__xludf.DUMMYFUNCTION("""COMPUTED_VALUE"""),"| 1 P Python @ | 3 L CPT @ | 4 L PHP-CGM @ | 5 P CPT @ ")</f>
        <v xml:space="preserve">| 1 P Python @ | 3 L CPT @ | 4 L PHP-CGM @ | 5 P CPT @ </v>
      </c>
      <c r="BK389" s="4" t="str">
        <f ca="1">IFERROR(__xludf.DUMMYFUNCTION("""COMPUTED_VALUE"""),"| 1 P PHP-CGM @ | 3 L PHP-CGM @ | 4 L JAVA @ | 5 P PRO @ ")</f>
        <v xml:space="preserve">| 1 P PHP-CGM @ | 3 L PHP-CGM @ | 4 L JAVA @ | 5 P PRO @ </v>
      </c>
      <c r="BL389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389" s="4" t="str">
        <f ca="1">IFERROR(__xludf.DUMMYFUNCTION("""COMPUTED_VALUE"""),"| 1 L INE % | 3 P JAVA % | 5 L JAVA % | 6 L NS % ")</f>
        <v xml:space="preserve">| 1 L INE % | 3 P JAVA % | 5 L JAVA % | 6 L NS % </v>
      </c>
      <c r="BN389" s="4" t="str">
        <f ca="1">IFERROR(__xludf.DUMMYFUNCTION("""COMPUTED_VALUE"""),"| 1 P JAVA % | 3 P Python % | 5 L NS % | 6 L CPT % ")</f>
        <v xml:space="preserve">| 1 P JAVA % | 3 P Python % | 5 L NS % | 6 L CPT % </v>
      </c>
      <c r="BO389" s="4" t="str">
        <f ca="1">IFERROR(__xludf.DUMMYFUNCTION("""COMPUTED_VALUE"""),"| 1 P Python % | 4 L PHP-CGM % | 3 L CPT % | 5 P CPT % ")</f>
        <v xml:space="preserve">| 1 P Python % | 4 L PHP-CGM % | 3 L CPT % | 5 P CPT % </v>
      </c>
      <c r="BP389" s="4" t="str">
        <f ca="1">IFERROR(__xludf.DUMMYFUNCTION("""COMPUTED_VALUE"""),"| 1 P PHP-CGM @ | 3 L PHP-CGM @ | 4 L JAVA @ | 6 P PRO @ ")</f>
        <v xml:space="preserve">| 1 P PHP-CGM @ | 3 L PHP-CGM @ | 4 L JAVA @ | 6 P PRO @ </v>
      </c>
      <c r="BQ389" s="4" t="str">
        <f ca="1">IFERROR(__xludf.DUMMYFUNCTION("""COMPUTED_VALUE"""),"| 6 L NS % | 5 L JAVA % ")</f>
        <v xml:space="preserve">| 6 L NS % | 5 L JAVA % </v>
      </c>
      <c r="BR389" s="4"/>
      <c r="BS389" s="4" t="str">
        <f ca="1">IFERROR(__xludf.DUMMYFUNCTION("""COMPUTED_VALUE"""),"| 4 L PHP-CGM % ")</f>
        <v xml:space="preserve">| 4 L PHP-CGM % </v>
      </c>
      <c r="BT389" s="4" t="str">
        <f ca="1">IFERROR(__xludf.DUMMYFUNCTION("""COMPUTED_VALUE"""),"| 1 P PHP-CGM % | 3 L PHP-CGM % ")</f>
        <v xml:space="preserve">| 1 P PHP-CGM % | 3 L PHP-CGM % </v>
      </c>
      <c r="BU389" s="4" t="str">
        <f ca="1">IFERROR(__xludf.DUMMYFUNCTION("""COMPUTED_VALUE"""),"| 1 L JAVA % | 2 L PHP-CGM % | 3 P NS % ")</f>
        <v xml:space="preserve">| 1 L JAVA % | 2 L PHP-CGM % | 3 P NS % </v>
      </c>
      <c r="BV389" s="4" t="str">
        <f ca="1">IFERROR(__xludf.DUMMYFUNCTION("""COMPUTED_VALUE"""),"| 1 P PHP-CGM @ | 3 L PHP-CGM @ | 4 L JAVA @ | 5 P PRO @ ")</f>
        <v xml:space="preserve">| 1 P PHP-CGM @ | 3 L PHP-CGM @ | 4 L JAVA @ | 5 P PRO @ </v>
      </c>
      <c r="BW389" s="4" t="str">
        <f ca="1">IFERROR(__xludf.DUMMYFUNCTION("""COMPUTED_VALUE"""),"| 1 L JAVA % | 2 L PHP-CGM % | 3 P NS % ")</f>
        <v xml:space="preserve">| 1 L JAVA % | 2 L PHP-CGM % | 3 P NS % </v>
      </c>
      <c r="BX389" s="4" t="str">
        <f ca="1">IFERROR(__xludf.DUMMYFUNCTION("""COMPUTED_VALUE"""),"| 1 L INE @ | 3 P JAVA % | 5 L JAVA @ | 6 L NS @ ")</f>
        <v xml:space="preserve">| 1 L INE @ | 3 P JAVA % | 5 L JAVA @ | 6 L NS @ </v>
      </c>
      <c r="BY389" s="4" t="str">
        <f ca="1">IFERROR(__xludf.DUMMYFUNCTION("""COMPUTED_VALUE"""),"| 1 P JAVA % | 3 P Python @ | 5 L NS @ | 6 L CPT @ ")</f>
        <v xml:space="preserve">| 1 P JAVA % | 3 P Python @ | 5 L NS @ | 6 L CPT @ </v>
      </c>
      <c r="BZ389" s="4" t="str">
        <f ca="1">IFERROR(__xludf.DUMMYFUNCTION("""COMPUTED_VALUE"""),"| 1 P Python @ | 3 L CPT @ | 4 L PHP-CGM @ | 5 P CPT @ ")</f>
        <v xml:space="preserve">| 1 P Python @ | 3 L CPT @ | 4 L PHP-CGM @ | 5 P CPT @ </v>
      </c>
      <c r="CA389" s="4" t="str">
        <f ca="1">IFERROR(__xludf.DUMMYFUNCTION("""COMPUTED_VALUE"""),"| 1 P PHP-CGM % | 3 L PHP-CGM % | 3 L JAVA % | 5 P PRO % ")</f>
        <v xml:space="preserve">| 1 P PHP-CGM % | 3 L PHP-CGM % | 3 L JAVA % | 5 P PRO % </v>
      </c>
      <c r="CB389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389" s="4" t="str">
        <f ca="1">IFERROR(__xludf.DUMMYFUNCTION("""COMPUTED_VALUE"""),"| 1 L INE % | 3 P JAVA % | 5 L JAVA % | 6 L NS % ")</f>
        <v xml:space="preserve">| 1 L INE % | 3 P JAVA % | 5 L JAVA % | 6 L NS % </v>
      </c>
      <c r="CD389" s="4" t="str">
        <f ca="1">IFERROR(__xludf.DUMMYFUNCTION("""COMPUTED_VALUE"""),"| 1 P JAVA % | 3 P Python % | 5 L NS % | 6 L CPT % ")</f>
        <v xml:space="preserve">| 1 P JAVA % | 3 P Python % | 5 L NS % | 6 L CPT % </v>
      </c>
      <c r="CE389" s="4" t="str">
        <f ca="1">IFERROR(__xludf.DUMMYFUNCTION("""COMPUTED_VALUE"""),"| 1 P Python % | 3 L CPT % | 4 L PHP-CGM % | 5 P CPT @ ")</f>
        <v xml:space="preserve">| 1 P Python % | 3 L CPT % | 4 L PHP-CGM % | 5 P CPT @ </v>
      </c>
      <c r="CF389" s="4" t="str">
        <f ca="1">IFERROR(__xludf.DUMMYFUNCTION("""COMPUTED_VALUE"""),"| 1 P PHP-CGM % | 4 L JAVA % | 3 L PHP-CGM % | 5 L PRO % ")</f>
        <v xml:space="preserve">| 1 P PHP-CGM % | 4 L JAVA % | 3 L PHP-CGM % | 5 L PRO % </v>
      </c>
      <c r="CG389" s="4" t="str">
        <f ca="1">IFERROR(__xludf.DUMMYFUNCTION("""COMPUTED_VALUE"""),"| 1 L JAVA % | 2 L PHP-CGM % | 3 P NS % | 6 L NS @ ")</f>
        <v xml:space="preserve">| 1 L JAVA % | 2 L PHP-CGM % | 3 P NS % | 6 L NS @ </v>
      </c>
      <c r="CH389" s="4" t="str">
        <f ca="1">IFERROR(__xludf.DUMMYFUNCTION("""COMPUTED_VALUE"""),"| 1 L INE % | 3 P JAVA % | 5 L JAVA @ | 6 L NS @ ")</f>
        <v xml:space="preserve">| 1 L INE % | 3 P JAVA % | 5 L JAVA @ | 6 L NS @ </v>
      </c>
      <c r="CI389" s="4" t="str">
        <f ca="1">IFERROR(__xludf.DUMMYFUNCTION("""COMPUTED_VALUE"""),"| 5 L NS @ | 6 L CPT @ ")</f>
        <v xml:space="preserve">| 5 L NS @ | 6 L CPT @ </v>
      </c>
      <c r="CJ389" s="4" t="str">
        <f ca="1">IFERROR(__xludf.DUMMYFUNCTION("""COMPUTED_VALUE"""),"| 3 L CPT @ | 5 P CPT @ ")</f>
        <v xml:space="preserve">| 3 L CPT @ | 5 P CPT @ </v>
      </c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</row>
    <row r="390" spans="1:102" ht="12.5" x14ac:dyDescent="0.25">
      <c r="A390" s="3">
        <f ca="1">IFERROR(__xludf.DUMMYFUNCTION("""COMPUTED_VALUE"""),3)</f>
        <v>3</v>
      </c>
      <c r="B390" s="3" t="str">
        <f ca="1">IFERROR(__xludf.DUMMYFUNCTION("""COMPUTED_VALUE"""),"ITA")</f>
        <v>ITA</v>
      </c>
      <c r="C390" s="32" t="str">
        <f ca="1">IFERROR(__xludf.DUMMYFUNCTION("""COMPUTED_VALUE"""),"23291371112")</f>
        <v>23291371112</v>
      </c>
      <c r="D390" s="4" t="str">
        <f ca="1">IFERROR(__xludf.DUMMYFUNCTION("""COMPUTED_VALUE"""),"PATEL ZEEL BHARATBHAI")</f>
        <v>PATEL ZEEL BHARATBHAI</v>
      </c>
      <c r="E390" s="3" t="str">
        <f ca="1">IFERROR(__xludf.DUMMYFUNCTION("""COMPUTED_VALUE"""),"Sweety - Mor")</f>
        <v>Sweety - Mor</v>
      </c>
      <c r="F390" s="3">
        <f ca="1">IFERROR(__xludf.DUMMYFUNCTION("""COMPUTED_VALUE"""),9173445526)</f>
        <v>9173445526</v>
      </c>
      <c r="G390" s="3">
        <f ca="1">IFERROR(__xludf.DUMMYFUNCTION("""COMPUTED_VALUE"""),9898118542)</f>
        <v>9898118542</v>
      </c>
      <c r="H390" s="33">
        <f ca="1">IFERROR(__xludf.DUMMYFUNCTION("""COMPUTED_VALUE"""),0.730923694779116)</f>
        <v>0.73092369477911601</v>
      </c>
      <c r="I390" s="25">
        <f ca="1">IFERROR(__xludf.DUMMYFUNCTION("""COMPUTED_VALUE"""),0.685714285714285)</f>
        <v>0.68571428571428505</v>
      </c>
      <c r="J390" s="25">
        <f ca="1">IFERROR(__xludf.DUMMYFUNCTION("""COMPUTED_VALUE"""),0.666666666666666)</f>
        <v>0.66666666666666596</v>
      </c>
      <c r="K390" s="25">
        <f ca="1">IFERROR(__xludf.DUMMYFUNCTION("""COMPUTED_VALUE"""),0.722222222222222)</f>
        <v>0.72222222222222199</v>
      </c>
      <c r="L390" s="25">
        <f ca="1">IFERROR(__xludf.DUMMYFUNCTION("""COMPUTED_VALUE"""),0.846153846153846)</f>
        <v>0.84615384615384603</v>
      </c>
      <c r="M390" s="25">
        <f ca="1">IFERROR(__xludf.DUMMYFUNCTION("""COMPUTED_VALUE"""),0.842105263157894)</f>
        <v>0.84210526315789402</v>
      </c>
      <c r="N390" s="25">
        <f ca="1">IFERROR(__xludf.DUMMYFUNCTION("""COMPUTED_VALUE"""),0.769230769230769)</f>
        <v>0.76923076923076905</v>
      </c>
      <c r="O390" s="25">
        <f ca="1">IFERROR(__xludf.DUMMYFUNCTION("""COMPUTED_VALUE"""),0.805555555555555)</f>
        <v>0.80555555555555503</v>
      </c>
      <c r="P390" s="25">
        <f ca="1">IFERROR(__xludf.DUMMYFUNCTION("""COMPUTED_VALUE"""),0.695652173913043)</f>
        <v>0.69565217391304301</v>
      </c>
      <c r="Q390" s="25">
        <f ca="1">IFERROR(__xludf.DUMMYFUNCTION("""COMPUTED_VALUE"""),0)</f>
        <v>0</v>
      </c>
      <c r="R390" s="25">
        <f ca="1">IFERROR(__xludf.DUMMYFUNCTION("""COMPUTED_VALUE"""),0.739130434782608)</f>
        <v>0.73913043478260798</v>
      </c>
      <c r="S390" s="25">
        <f ca="1">IFERROR(__xludf.DUMMYFUNCTION("""COMPUTED_VALUE"""),0.666666666666666)</f>
        <v>0.66666666666666596</v>
      </c>
      <c r="T390" s="25">
        <f ca="1">IFERROR(__xludf.DUMMYFUNCTION("""COMPUTED_VALUE"""),0.444444444444444)</f>
        <v>0.44444444444444398</v>
      </c>
      <c r="U390" s="25">
        <f ca="1">IFERROR(__xludf.DUMMYFUNCTION("""COMPUTED_VALUE"""),0.375)</f>
        <v>0.375</v>
      </c>
      <c r="V390" s="25">
        <f ca="1">IFERROR(__xludf.DUMMYFUNCTION("""COMPUTED_VALUE"""),0)</f>
        <v>0</v>
      </c>
      <c r="W390" s="4"/>
      <c r="X390" s="4" t="str">
        <f ca="1">IFERROR(__xludf.DUMMYFUNCTION("""COMPUTED_VALUE"""),"| 4 L JAVA % | 1 P PHP-CGM % | 3 L PHP-CGM % | 1 L PRO % ")</f>
        <v xml:space="preserve">| 4 L JAVA % | 1 P PHP-CGM % | 3 L PHP-CGM % | 1 L PRO % </v>
      </c>
      <c r="Y390" s="4" t="str">
        <f ca="1">IFERROR(__xludf.DUMMYFUNCTION("""COMPUTED_VALUE"""),"| 1 L JAVA % | 2 L PHP-CGM % | 3 P NS % | 5 L CPT % | 6 L NS @ ")</f>
        <v xml:space="preserve">| 1 L JAVA % | 2 L PHP-CGM % | 3 P NS % | 5 L CPT % | 6 L NS @ </v>
      </c>
      <c r="Z390" s="4" t="str">
        <f ca="1">IFERROR(__xludf.DUMMYFUNCTION("""COMPUTED_VALUE"""),"| 3 P JAVA % | 5 L JAVA % | 6 L NS % ")</f>
        <v xml:space="preserve">| 3 P JAVA % | 5 L JAVA % | 6 L NS % </v>
      </c>
      <c r="AA390" s="4" t="str">
        <f ca="1">IFERROR(__xludf.DUMMYFUNCTION("""COMPUTED_VALUE"""),"| 1 P JAVA % | 3 P Python % | 5 L NS % | 6 L CPT % ")</f>
        <v xml:space="preserve">| 1 P JAVA % | 3 P Python % | 5 L NS % | 6 L CPT % </v>
      </c>
      <c r="AB390" s="4" t="str">
        <f ca="1">IFERROR(__xludf.DUMMYFUNCTION("""COMPUTED_VALUE"""),"| 1 P Python % | 3 L CPT % | 4 L PHP-CGM % | 5 P CPT % ")</f>
        <v xml:space="preserve">| 1 P Python % | 3 L CPT % | 4 L PHP-CGM % | 5 P CPT % </v>
      </c>
      <c r="AC390" s="4" t="str">
        <f ca="1">IFERROR(__xludf.DUMMYFUNCTION("""COMPUTED_VALUE"""),"| 1 P PHP-CGM % | 3 L PHP-CGM % | 5 P PRO % ")</f>
        <v xml:space="preserve">| 1 P PHP-CGM % | 3 L PHP-CGM % | 5 P PRO % </v>
      </c>
      <c r="AD390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90" s="4" t="str">
        <f ca="1">IFERROR(__xludf.DUMMYFUNCTION("""COMPUTED_VALUE"""),"| 3 P JAVA % | 5 L JAVA % | 6 L NS % ")</f>
        <v xml:space="preserve">| 3 P JAVA % | 5 L JAVA % | 6 L NS % </v>
      </c>
      <c r="AF390" s="4" t="str">
        <f ca="1">IFERROR(__xludf.DUMMYFUNCTION("""COMPUTED_VALUE"""),"| 1 P JAVA % | 3 P Python % | 5 L NS % | 6 L CPT % ")</f>
        <v xml:space="preserve">| 1 P JAVA % | 3 P Python % | 5 L NS % | 6 L CPT % </v>
      </c>
      <c r="AG390" s="4" t="str">
        <f ca="1">IFERROR(__xludf.DUMMYFUNCTION("""COMPUTED_VALUE"""),"| 1 P Python % | 3 L CPT % | 4 L PHP-CGM % | 5 P CPT % ")</f>
        <v xml:space="preserve">| 1 P Python % | 3 L CPT % | 4 L PHP-CGM % | 5 P CPT % </v>
      </c>
      <c r="AH390" s="4" t="str">
        <f ca="1">IFERROR(__xludf.DUMMYFUNCTION("""COMPUTED_VALUE"""),"| 1 P JAVA % | 3 P Python % | 5 L NS % | 6 L CPT % ")</f>
        <v xml:space="preserve">| 1 P JAVA % | 3 P Python % | 5 L NS % | 6 L CPT % </v>
      </c>
      <c r="AI390" s="4" t="str">
        <f ca="1">IFERROR(__xludf.DUMMYFUNCTION("""COMPUTED_VALUE"""),"| 1 P Python @ | 3 L CPT @ | 4 L PHP-CGM % | 5 P CPT @ ")</f>
        <v xml:space="preserve">| 1 P Python @ | 3 L CPT @ | 4 L PHP-CGM % | 5 P CPT @ </v>
      </c>
      <c r="AJ390" s="4" t="str">
        <f ca="1">IFERROR(__xludf.DUMMYFUNCTION("""COMPUTED_VALUE"""),"| 1 P PHP-CGM @ | 3 L PHP-CGM @ | 4 L JAVA @ | 5 P PRO @ ")</f>
        <v xml:space="preserve">| 1 P PHP-CGM @ | 3 L PHP-CGM @ | 4 L JAVA @ | 5 P PRO @ </v>
      </c>
      <c r="AK39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390" s="4" t="str">
        <f ca="1">IFERROR(__xludf.DUMMYFUNCTION("""COMPUTED_VALUE"""),"| 3 P JAVA % | 5 L JAVA % | 6 L NS % ")</f>
        <v xml:space="preserve">| 3 P JAVA % | 5 L JAVA % | 6 L NS % </v>
      </c>
      <c r="AM390" s="4" t="str">
        <f ca="1">IFERROR(__xludf.DUMMYFUNCTION("""COMPUTED_VALUE"""),"| 1 P JAVA % | 3 P Python % | 5 L NS % | 6 L CPT % ")</f>
        <v xml:space="preserve">| 1 P JAVA % | 3 P Python % | 5 L NS % | 6 L CPT % </v>
      </c>
      <c r="AN390" s="4" t="str">
        <f ca="1">IFERROR(__xludf.DUMMYFUNCTION("""COMPUTED_VALUE"""),"| 1 P Python @ | 4 L PHP-CGM @ | 5 P CPT @ ")</f>
        <v xml:space="preserve">| 1 P Python @ | 4 L PHP-CGM @ | 5 P CPT @ </v>
      </c>
      <c r="AO390" s="4" t="str">
        <f ca="1">IFERROR(__xludf.DUMMYFUNCTION("""COMPUTED_VALUE"""),"| 1 P PHP-CGM % | 3 L PHP-CGM % | 4 L JAVA % | 5 P PRO @ ")</f>
        <v xml:space="preserve">| 1 P PHP-CGM % | 3 L PHP-CGM % | 4 L JAVA % | 5 P PRO @ </v>
      </c>
      <c r="AP390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Q390" s="4" t="str">
        <f ca="1">IFERROR(__xludf.DUMMYFUNCTION("""COMPUTED_VALUE"""),"| 1 L INE @ | 3 P JAVA @ | 5 L JAVA @ | 6 L NS @ ")</f>
        <v xml:space="preserve">| 1 L INE @ | 3 P JAVA @ | 5 L JAVA @ | 6 L NS @ </v>
      </c>
      <c r="AR390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390" s="4" t="str">
        <f ca="1">IFERROR(__xludf.DUMMYFUNCTION("""COMPUTED_VALUE"""),"| 1 P PHP-CGM % | 3 L PHP-CGM % | 4 L JAVA % | 5 P PRO % ")</f>
        <v xml:space="preserve">| 1 P PHP-CGM % | 3 L PHP-CGM % | 4 L JAVA % | 5 P PRO % </v>
      </c>
      <c r="AT39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90" s="4" t="str">
        <f ca="1">IFERROR(__xludf.DUMMYFUNCTION("""COMPUTED_VALUE"""),"| 1 L INE % | 3 P JAVA % | 5 L JAVA % | 6 L NS % ")</f>
        <v xml:space="preserve">| 1 L INE % | 3 P JAVA % | 5 L JAVA % | 6 L NS % </v>
      </c>
      <c r="AV390" s="4" t="str">
        <f ca="1">IFERROR(__xludf.DUMMYFUNCTION("""COMPUTED_VALUE"""),"| 1 P JAVA % | 3 P Python % | 5 L NS % | 6 L CPT % ")</f>
        <v xml:space="preserve">| 1 P JAVA % | 3 P Python % | 5 L NS % | 6 L CPT % </v>
      </c>
      <c r="AW390" s="4" t="str">
        <f ca="1">IFERROR(__xludf.DUMMYFUNCTION("""COMPUTED_VALUE"""),"| 1 P Python % | 3 L CPT % | 4 L PHP-CGM % | 5 P CPT % ")</f>
        <v xml:space="preserve">| 1 P Python % | 3 L CPT % | 4 L PHP-CGM % | 5 P CPT % </v>
      </c>
      <c r="AX390" s="4" t="str">
        <f ca="1">IFERROR(__xludf.DUMMYFUNCTION("""COMPUTED_VALUE"""),"| 1 P PHP-CGM % | 3 L JAVA % | 4 L PHP-CGM % | 5 P PRO % ")</f>
        <v xml:space="preserve">| 1 P PHP-CGM % | 3 L JAVA % | 4 L PHP-CGM % | 5 P PRO % </v>
      </c>
      <c r="AY390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390" s="4" t="str">
        <f ca="1">IFERROR(__xludf.DUMMYFUNCTION("""COMPUTED_VALUE"""),"| 1 P JAVA % | 3 P Python % | 5 L NS % | 6 L CPT % ")</f>
        <v xml:space="preserve">| 1 P JAVA % | 3 P Python % | 5 L NS % | 6 L CPT % </v>
      </c>
      <c r="BA390" s="4" t="str">
        <f ca="1">IFERROR(__xludf.DUMMYFUNCTION("""COMPUTED_VALUE"""),"| 1 P Python % | 3 L CPT % | 4 L PHP-CGM % | 5 P CPT % ")</f>
        <v xml:space="preserve">| 1 P Python % | 3 L CPT % | 4 L PHP-CGM % | 5 P CPT % </v>
      </c>
      <c r="BB390" s="4" t="str">
        <f ca="1">IFERROR(__xludf.DUMMYFUNCTION("""COMPUTED_VALUE"""),"| 1 P PHP-CGM @ | 3 L PHP-CGM @ | 4 L JAVA @ | 5 L PRO @ ")</f>
        <v xml:space="preserve">| 1 P PHP-CGM @ | 3 L PHP-CGM @ | 4 L JAVA @ | 5 L PRO @ </v>
      </c>
      <c r="BC390" s="4" t="str">
        <f ca="1">IFERROR(__xludf.DUMMYFUNCTION("""COMPUTED_VALUE"""),"| 1 L JAVA @ | 3 P NS @ | 2 L PHP-CGM @ | 5 L CPT @ | 6 L NS @ ")</f>
        <v xml:space="preserve">| 1 L JAVA @ | 3 P NS @ | 2 L PHP-CGM @ | 5 L CPT @ | 6 L NS @ </v>
      </c>
      <c r="BD390" s="4" t="str">
        <f ca="1">IFERROR(__xludf.DUMMYFUNCTION("""COMPUTED_VALUE"""),"| 1 L INE @ | 3 P JAVA @ | 5 L JAVA @ | 6 L NS @ ")</f>
        <v xml:space="preserve">| 1 L INE @ | 3 P JAVA @ | 5 L JAVA @ | 6 L NS @ </v>
      </c>
      <c r="BE390" s="4" t="str">
        <f ca="1">IFERROR(__xludf.DUMMYFUNCTION("""COMPUTED_VALUE"""),"| 1 P JAVA @ | 3 P Python @ | 5 L NS @ | 6 L CPT @ ")</f>
        <v xml:space="preserve">| 1 P JAVA @ | 3 P Python @ | 5 L NS @ | 6 L CPT @ </v>
      </c>
      <c r="BF390" s="4" t="str">
        <f ca="1">IFERROR(__xludf.DUMMYFUNCTION("""COMPUTED_VALUE"""),"| 1 P Python @ | 3 L CPT @ | 4 L PHP-CGM @ | 5 P CPT @ ")</f>
        <v xml:space="preserve">| 1 P Python @ | 3 L CPT @ | 4 L PHP-CGM @ | 5 P CPT @ </v>
      </c>
      <c r="BG39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90" s="4" t="str">
        <f ca="1">IFERROR(__xludf.DUMMYFUNCTION("""COMPUTED_VALUE"""),"| 1 L INE @ | 3 P JAVA % | 5 L JAVA % | 6 L NS % ")</f>
        <v xml:space="preserve">| 1 L INE @ | 3 P JAVA % | 5 L JAVA % | 6 L NS % </v>
      </c>
      <c r="BI390" s="4" t="str">
        <f ca="1">IFERROR(__xludf.DUMMYFUNCTION("""COMPUTED_VALUE"""),"| 1 P JAVA @ | 3 P Python @ | 5 L NS @ | 6 L CPT @ ")</f>
        <v xml:space="preserve">| 1 P JAVA @ | 3 P Python @ | 5 L NS @ | 6 L CPT @ </v>
      </c>
      <c r="BJ390" s="4" t="str">
        <f ca="1">IFERROR(__xludf.DUMMYFUNCTION("""COMPUTED_VALUE"""),"| 1 P Python % | 3 L CPT % | 4 L PHP-CGM % | 5 P CPT % ")</f>
        <v xml:space="preserve">| 1 P Python % | 3 L CPT % | 4 L PHP-CGM % | 5 P CPT % </v>
      </c>
      <c r="BK390" s="4" t="str">
        <f ca="1">IFERROR(__xludf.DUMMYFUNCTION("""COMPUTED_VALUE"""),"| 1 P PHP-CGM % | 3 L PHP-CGM % | 4 L JAVA % | 5 P PRO % ")</f>
        <v xml:space="preserve">| 1 P PHP-CGM % | 3 L PHP-CGM % | 4 L JAVA % | 5 P PRO % </v>
      </c>
      <c r="BL390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BM390" s="4" t="str">
        <f ca="1">IFERROR(__xludf.DUMMYFUNCTION("""COMPUTED_VALUE"""),"| 1 L INE @ | 3 P JAVA @ | 5 L JAVA @ | 6 L NS @ ")</f>
        <v xml:space="preserve">| 1 L INE @ | 3 P JAVA @ | 5 L JAVA @ | 6 L NS @ </v>
      </c>
      <c r="BN390" s="4" t="str">
        <f ca="1">IFERROR(__xludf.DUMMYFUNCTION("""COMPUTED_VALUE"""),"| 1 P JAVA % | 3 P Python % | 5 L NS % | 6 L CPT % ")</f>
        <v xml:space="preserve">| 1 P JAVA % | 3 P Python % | 5 L NS % | 6 L CPT % </v>
      </c>
      <c r="BO390" s="4" t="str">
        <f ca="1">IFERROR(__xludf.DUMMYFUNCTION("""COMPUTED_VALUE"""),"| 1 P Python % | 4 L PHP-CGM % | 3 L CPT % | 5 P CPT % ")</f>
        <v xml:space="preserve">| 1 P Python % | 4 L PHP-CGM % | 3 L CPT % | 5 P CPT % </v>
      </c>
      <c r="BP390" s="4" t="str">
        <f ca="1">IFERROR(__xludf.DUMMYFUNCTION("""COMPUTED_VALUE"""),"| 1 P PHP-CGM % | 3 L PHP-CGM % | 4 L JAVA % | 6 P PRO @ ")</f>
        <v xml:space="preserve">| 1 P PHP-CGM % | 3 L PHP-CGM % | 4 L JAVA % | 6 P PRO @ </v>
      </c>
      <c r="BQ390" s="4" t="str">
        <f ca="1">IFERROR(__xludf.DUMMYFUNCTION("""COMPUTED_VALUE"""),"| 6 L NS % | 5 L JAVA % ")</f>
        <v xml:space="preserve">| 6 L NS % | 5 L JAVA % </v>
      </c>
      <c r="BR390" s="4"/>
      <c r="BS390" s="4" t="str">
        <f ca="1">IFERROR(__xludf.DUMMYFUNCTION("""COMPUTED_VALUE"""),"| 4 L PHP-CGM % ")</f>
        <v xml:space="preserve">| 4 L PHP-CGM % </v>
      </c>
      <c r="BT390" s="4" t="str">
        <f ca="1">IFERROR(__xludf.DUMMYFUNCTION("""COMPUTED_VALUE"""),"| 1 P PHP-CGM % | 3 L PHP-CGM % ")</f>
        <v xml:space="preserve">| 1 P PHP-CGM % | 3 L PHP-CGM % </v>
      </c>
      <c r="BU390" s="4" t="str">
        <f ca="1">IFERROR(__xludf.DUMMYFUNCTION("""COMPUTED_VALUE"""),"| 1 L JAVA % | 2 L PHP-CGM % | 3 P NS % ")</f>
        <v xml:space="preserve">| 1 L JAVA % | 2 L PHP-CGM % | 3 P NS % </v>
      </c>
      <c r="BV390" s="4" t="str">
        <f ca="1">IFERROR(__xludf.DUMMYFUNCTION("""COMPUTED_VALUE"""),"| 1 P PHP-CGM @ | 3 L PHP-CGM @ | 4 L JAVA @ | 5 P PRO @ ")</f>
        <v xml:space="preserve">| 1 P PHP-CGM @ | 3 L PHP-CGM @ | 4 L JAVA @ | 5 P PRO @ </v>
      </c>
      <c r="BW390" s="4" t="str">
        <f ca="1">IFERROR(__xludf.DUMMYFUNCTION("""COMPUTED_VALUE"""),"| 1 L JAVA % | 2 L PHP-CGM % | 3 P NS @ ")</f>
        <v xml:space="preserve">| 1 L JAVA % | 2 L PHP-CGM % | 3 P NS @ </v>
      </c>
      <c r="BX390" s="4" t="str">
        <f ca="1">IFERROR(__xludf.DUMMYFUNCTION("""COMPUTED_VALUE"""),"| 1 L INE @ | 3 P JAVA % | 5 L JAVA % | 6 L NS % ")</f>
        <v xml:space="preserve">| 1 L INE @ | 3 P JAVA % | 5 L JAVA % | 6 L NS % </v>
      </c>
      <c r="BY390" s="4" t="str">
        <f ca="1">IFERROR(__xludf.DUMMYFUNCTION("""COMPUTED_VALUE"""),"| 1 P JAVA @ | 3 P Python % | 5 L NS % | 6 L CPT % ")</f>
        <v xml:space="preserve">| 1 P JAVA @ | 3 P Python % | 5 L NS % | 6 L CPT % </v>
      </c>
      <c r="BZ390" s="4" t="str">
        <f ca="1">IFERROR(__xludf.DUMMYFUNCTION("""COMPUTED_VALUE"""),"| 1 P Python % | 3 L CPT @ | 4 L PHP-CGM % | 5 P CPT % ")</f>
        <v xml:space="preserve">| 1 P Python % | 3 L CPT @ | 4 L PHP-CGM % | 5 P CPT % </v>
      </c>
      <c r="CA390" s="4" t="str">
        <f ca="1">IFERROR(__xludf.DUMMYFUNCTION("""COMPUTED_VALUE"""),"| 1 P PHP-CGM % | 3 L PHP-CGM % | 3 L JAVA % | 5 P PRO @ ")</f>
        <v xml:space="preserve">| 1 P PHP-CGM % | 3 L PHP-CGM % | 3 L JAVA % | 5 P PRO @ </v>
      </c>
      <c r="CB390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390" s="4" t="str">
        <f ca="1">IFERROR(__xludf.DUMMYFUNCTION("""COMPUTED_VALUE"""),"| 1 L INE % | 3 P JAVA % | 5 L JAVA % | 6 L NS % ")</f>
        <v xml:space="preserve">| 1 L INE % | 3 P JAVA % | 5 L JAVA % | 6 L NS % </v>
      </c>
      <c r="CD390" s="4" t="str">
        <f ca="1">IFERROR(__xludf.DUMMYFUNCTION("""COMPUTED_VALUE"""),"| 1 P JAVA % | 3 P Python % | 5 L NS % | 6 L CPT % ")</f>
        <v xml:space="preserve">| 1 P JAVA % | 3 P Python % | 5 L NS % | 6 L CPT % </v>
      </c>
      <c r="CE390" s="4" t="str">
        <f ca="1">IFERROR(__xludf.DUMMYFUNCTION("""COMPUTED_VALUE"""),"| 1 P Python % | 3 L CPT % | 4 L PHP-CGM % | 5 P CPT % ")</f>
        <v xml:space="preserve">| 1 P Python % | 3 L CPT % | 4 L PHP-CGM % | 5 P CPT % </v>
      </c>
      <c r="CF390" s="4" t="str">
        <f ca="1">IFERROR(__xludf.DUMMYFUNCTION("""COMPUTED_VALUE"""),"| 1 P PHP-CGM % | 4 L JAVA % | 3 L PHP-CGM % | 5 L PRO % ")</f>
        <v xml:space="preserve">| 1 P PHP-CGM % | 4 L JAVA % | 3 L PHP-CGM % | 5 L PRO % </v>
      </c>
      <c r="CG390" s="4" t="str">
        <f ca="1">IFERROR(__xludf.DUMMYFUNCTION("""COMPUTED_VALUE"""),"| 1 L JAVA % | 2 L PHP-CGM % | 3 P NS % | 6 L NS % ")</f>
        <v xml:space="preserve">| 1 L JAVA % | 2 L PHP-CGM % | 3 P NS % | 6 L NS % </v>
      </c>
      <c r="CH390" s="4" t="str">
        <f ca="1">IFERROR(__xludf.DUMMYFUNCTION("""COMPUTED_VALUE"""),"| 1 L INE % | 3 P JAVA % | 5 L JAVA % | 6 L NS % ")</f>
        <v xml:space="preserve">| 1 L INE % | 3 P JAVA % | 5 L JAVA % | 6 L NS % </v>
      </c>
      <c r="CI390" s="4" t="str">
        <f ca="1">IFERROR(__xludf.DUMMYFUNCTION("""COMPUTED_VALUE"""),"| 5 L NS @ | 6 L CPT @ ")</f>
        <v xml:space="preserve">| 5 L NS @ | 6 L CPT @ </v>
      </c>
      <c r="CJ390" s="4" t="str">
        <f ca="1">IFERROR(__xludf.DUMMYFUNCTION("""COMPUTED_VALUE"""),"| 3 L CPT @ | 5 P CPT @ ")</f>
        <v xml:space="preserve">| 3 L CPT @ | 5 P CPT @ </v>
      </c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</row>
    <row r="391" spans="1:102" ht="12.5" x14ac:dyDescent="0.25">
      <c r="A391" s="3">
        <f ca="1">IFERROR(__xludf.DUMMYFUNCTION("""COMPUTED_VALUE"""),3)</f>
        <v>3</v>
      </c>
      <c r="B391" s="3" t="str">
        <f ca="1">IFERROR(__xludf.DUMMYFUNCTION("""COMPUTED_VALUE"""),"ITA")</f>
        <v>ITA</v>
      </c>
      <c r="C391" s="32" t="str">
        <f ca="1">IFERROR(__xludf.DUMMYFUNCTION("""COMPUTED_VALUE"""),"23291371113")</f>
        <v>23291371113</v>
      </c>
      <c r="D391" s="4" t="str">
        <f ca="1">IFERROR(__xludf.DUMMYFUNCTION("""COMPUTED_VALUE"""),"PATHAN KASHIFKHAN SHARIFKHAN")</f>
        <v>PATHAN KASHIFKHAN SHARIFKHAN</v>
      </c>
      <c r="E391" s="3" t="str">
        <f ca="1">IFERROR(__xludf.DUMMYFUNCTION("""COMPUTED_VALUE"""),"Sweety - Mor")</f>
        <v>Sweety - Mor</v>
      </c>
      <c r="F391" s="3">
        <f ca="1">IFERROR(__xludf.DUMMYFUNCTION("""COMPUTED_VALUE"""),9737468546)</f>
        <v>9737468546</v>
      </c>
      <c r="G391" s="3">
        <f ca="1">IFERROR(__xludf.DUMMYFUNCTION("""COMPUTED_VALUE"""),9313881125)</f>
        <v>9313881125</v>
      </c>
      <c r="H391" s="33">
        <f ca="1">IFERROR(__xludf.DUMMYFUNCTION("""COMPUTED_VALUE"""),0.526104417670682)</f>
        <v>0.52610441767068195</v>
      </c>
      <c r="I391" s="25">
        <f ca="1">IFERROR(__xludf.DUMMYFUNCTION("""COMPUTED_VALUE"""),0.542857142857142)</f>
        <v>0.54285714285714204</v>
      </c>
      <c r="J391" s="25">
        <f ca="1">IFERROR(__xludf.DUMMYFUNCTION("""COMPUTED_VALUE"""),0.166666666666666)</f>
        <v>0.16666666666666599</v>
      </c>
      <c r="K391" s="25">
        <f ca="1">IFERROR(__xludf.DUMMYFUNCTION("""COMPUTED_VALUE"""),0.416666666666666)</f>
        <v>0.41666666666666602</v>
      </c>
      <c r="L391" s="25">
        <f ca="1">IFERROR(__xludf.DUMMYFUNCTION("""COMPUTED_VALUE"""),0.615384615384615)</f>
        <v>0.61538461538461497</v>
      </c>
      <c r="M391" s="25">
        <f ca="1">IFERROR(__xludf.DUMMYFUNCTION("""COMPUTED_VALUE"""),0.631578947368421)</f>
        <v>0.63157894736842102</v>
      </c>
      <c r="N391" s="25">
        <f ca="1">IFERROR(__xludf.DUMMYFUNCTION("""COMPUTED_VALUE"""),0.846153846153846)</f>
        <v>0.84615384615384603</v>
      </c>
      <c r="O391" s="25">
        <f ca="1">IFERROR(__xludf.DUMMYFUNCTION("""COMPUTED_VALUE"""),0.527777777777777)</f>
        <v>0.52777777777777701</v>
      </c>
      <c r="P391" s="25">
        <f ca="1">IFERROR(__xludf.DUMMYFUNCTION("""COMPUTED_VALUE"""),0.478260869565217)</f>
        <v>0.47826086956521702</v>
      </c>
      <c r="Q391" s="25">
        <f ca="1">IFERROR(__xludf.DUMMYFUNCTION("""COMPUTED_VALUE"""),0)</f>
        <v>0</v>
      </c>
      <c r="R391" s="25">
        <f ca="1">IFERROR(__xludf.DUMMYFUNCTION("""COMPUTED_VALUE"""),0.652173913043478)</f>
        <v>0.65217391304347805</v>
      </c>
      <c r="S391" s="25">
        <f ca="1">IFERROR(__xludf.DUMMYFUNCTION("""COMPUTED_VALUE"""),1)</f>
        <v>1</v>
      </c>
      <c r="T391" s="25">
        <f ca="1">IFERROR(__xludf.DUMMYFUNCTION("""COMPUTED_VALUE"""),0.333333333333333)</f>
        <v>0.33333333333333298</v>
      </c>
      <c r="U391" s="25">
        <f ca="1">IFERROR(__xludf.DUMMYFUNCTION("""COMPUTED_VALUE"""),0.125)</f>
        <v>0.125</v>
      </c>
      <c r="V391" s="25">
        <f ca="1">IFERROR(__xludf.DUMMYFUNCTION("""COMPUTED_VALUE"""),0)</f>
        <v>0</v>
      </c>
      <c r="W391" s="4"/>
      <c r="X391" s="4" t="str">
        <f ca="1">IFERROR(__xludf.DUMMYFUNCTION("""COMPUTED_VALUE"""),"| 4 L JAVA % | 1 P PHP-CGM % | 3 L PHP-CGM % | 1 L PRO % ")</f>
        <v xml:space="preserve">| 4 L JAVA % | 1 P PHP-CGM % | 3 L PHP-CGM % | 1 L PRO % </v>
      </c>
      <c r="Y391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Z391" s="4" t="str">
        <f ca="1">IFERROR(__xludf.DUMMYFUNCTION("""COMPUTED_VALUE"""),"| 3 P JAVA @ | 5 L JAVA @ | 6 L NS @ ")</f>
        <v xml:space="preserve">| 3 P JAVA @ | 5 L JAVA @ | 6 L NS @ </v>
      </c>
      <c r="AA391" s="4" t="str">
        <f ca="1">IFERROR(__xludf.DUMMYFUNCTION("""COMPUTED_VALUE"""),"| 1 P JAVA % | 3 P Python % | 5 L NS % | 6 L CPT % ")</f>
        <v xml:space="preserve">| 1 P JAVA % | 3 P Python % | 5 L NS % | 6 L CPT % </v>
      </c>
      <c r="AB391" s="4" t="str">
        <f ca="1">IFERROR(__xludf.DUMMYFUNCTION("""COMPUTED_VALUE"""),"| 1 P Python % | 3 L CPT % | 4 L PHP-CGM % | 5 P CPT @ ")</f>
        <v xml:space="preserve">| 1 P Python % | 3 L CPT % | 4 L PHP-CGM % | 5 P CPT @ </v>
      </c>
      <c r="AC391" s="4" t="str">
        <f ca="1">IFERROR(__xludf.DUMMYFUNCTION("""COMPUTED_VALUE"""),"| 1 P PHP-CGM @ | 3 L PHP-CGM @ | 5 P PRO @ ")</f>
        <v xml:space="preserve">| 1 P PHP-CGM @ | 3 L PHP-CGM @ | 5 P PRO @ </v>
      </c>
      <c r="AD391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91" s="4" t="str">
        <f ca="1">IFERROR(__xludf.DUMMYFUNCTION("""COMPUTED_VALUE"""),"| 3 P JAVA % | 5 L JAVA @ | 6 L NS @ ")</f>
        <v xml:space="preserve">| 3 P JAVA % | 5 L JAVA @ | 6 L NS @ </v>
      </c>
      <c r="AF391" s="4" t="str">
        <f ca="1">IFERROR(__xludf.DUMMYFUNCTION("""COMPUTED_VALUE"""),"| 1 P JAVA % | 3 P Python % | 5 L NS % | 6 L CPT % ")</f>
        <v xml:space="preserve">| 1 P JAVA % | 3 P Python % | 5 L NS % | 6 L CPT % </v>
      </c>
      <c r="AG391" s="4" t="str">
        <f ca="1">IFERROR(__xludf.DUMMYFUNCTION("""COMPUTED_VALUE"""),"| 1 P Python % | 3 L CPT % | 4 L PHP-CGM % | 5 P CPT @ ")</f>
        <v xml:space="preserve">| 1 P Python % | 3 L CPT % | 4 L PHP-CGM % | 5 P CPT @ </v>
      </c>
      <c r="AH391" s="4" t="str">
        <f ca="1">IFERROR(__xludf.DUMMYFUNCTION("""COMPUTED_VALUE"""),"| 1 P JAVA % | 3 P Python % | 5 L NS % | 6 L CPT % ")</f>
        <v xml:space="preserve">| 1 P JAVA % | 3 P Python % | 5 L NS % | 6 L CPT % </v>
      </c>
      <c r="AI391" s="4" t="str">
        <f ca="1">IFERROR(__xludf.DUMMYFUNCTION("""COMPUTED_VALUE"""),"| 1 P Python % | 3 L CPT % | 4 L PHP-CGM % | 5 P CPT @ ")</f>
        <v xml:space="preserve">| 1 P Python % | 3 L CPT % | 4 L PHP-CGM % | 5 P CPT @ </v>
      </c>
      <c r="AJ391" s="4" t="str">
        <f ca="1">IFERROR(__xludf.DUMMYFUNCTION("""COMPUTED_VALUE"""),"| 1 P PHP-CGM % | 3 L PHP-CGM % | 4 L JAVA % | 5 P PRO % ")</f>
        <v xml:space="preserve">| 1 P PHP-CGM % | 3 L PHP-CGM % | 4 L JAVA % | 5 P PRO % </v>
      </c>
      <c r="AK391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391" s="4" t="str">
        <f ca="1">IFERROR(__xludf.DUMMYFUNCTION("""COMPUTED_VALUE"""),"| 3 P JAVA % | 5 L JAVA % | 6 L NS % ")</f>
        <v xml:space="preserve">| 3 P JAVA % | 5 L JAVA % | 6 L NS % </v>
      </c>
      <c r="AM391" s="4" t="str">
        <f ca="1">IFERROR(__xludf.DUMMYFUNCTION("""COMPUTED_VALUE"""),"| 1 P JAVA % | 3 P Python % | 5 L NS % | 6 L CPT % ")</f>
        <v xml:space="preserve">| 1 P JAVA % | 3 P Python % | 5 L NS % | 6 L CPT % </v>
      </c>
      <c r="AN391" s="4" t="str">
        <f ca="1">IFERROR(__xludf.DUMMYFUNCTION("""COMPUTED_VALUE"""),"| 1 P Python @ | 4 L PHP-CGM @ | 5 P CPT @ ")</f>
        <v xml:space="preserve">| 1 P Python @ | 4 L PHP-CGM @ | 5 P CPT @ </v>
      </c>
      <c r="AO391" s="4" t="str">
        <f ca="1">IFERROR(__xludf.DUMMYFUNCTION("""COMPUTED_VALUE"""),"| 1 P PHP-CGM % | 3 L PHP-CGM % | 4 L JAVA % | 5 P PRO @ ")</f>
        <v xml:space="preserve">| 1 P PHP-CGM % | 3 L PHP-CGM % | 4 L JAVA % | 5 P PRO @ </v>
      </c>
      <c r="AP391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Q391" s="4" t="str">
        <f ca="1">IFERROR(__xludf.DUMMYFUNCTION("""COMPUTED_VALUE"""),"| 1 L INE @ | 3 P JAVA % | 5 L JAVA @ | 6 L NS @ ")</f>
        <v xml:space="preserve">| 1 L INE @ | 3 P JAVA % | 5 L JAVA @ | 6 L NS @ </v>
      </c>
      <c r="AR391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391" s="4" t="str">
        <f ca="1">IFERROR(__xludf.DUMMYFUNCTION("""COMPUTED_VALUE"""),"| 1 P PHP-CGM % | 3 L PHP-CGM % | 4 L JAVA % | 5 P PRO % ")</f>
        <v xml:space="preserve">| 1 P PHP-CGM % | 3 L PHP-CGM % | 4 L JAVA % | 5 P PRO % </v>
      </c>
      <c r="AT391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U391" s="4" t="str">
        <f ca="1">IFERROR(__xludf.DUMMYFUNCTION("""COMPUTED_VALUE"""),"| 1 L INE % | 3 P JAVA % | 5 L JAVA % | 6 L NS % ")</f>
        <v xml:space="preserve">| 1 L INE % | 3 P JAVA % | 5 L JAVA % | 6 L NS % </v>
      </c>
      <c r="AV391" s="4" t="str">
        <f ca="1">IFERROR(__xludf.DUMMYFUNCTION("""COMPUTED_VALUE"""),"| 1 P JAVA % | 3 P Python % | 5 L NS @ | 6 L CPT % ")</f>
        <v xml:space="preserve">| 1 P JAVA % | 3 P Python % | 5 L NS @ | 6 L CPT % </v>
      </c>
      <c r="AW391" s="4" t="str">
        <f ca="1">IFERROR(__xludf.DUMMYFUNCTION("""COMPUTED_VALUE"""),"| 1 P Python % | 3 L CPT % | 4 L PHP-CGM % | 5 P CPT @ ")</f>
        <v xml:space="preserve">| 1 P Python % | 3 L CPT % | 4 L PHP-CGM % | 5 P CPT @ </v>
      </c>
      <c r="AX391" s="4" t="str">
        <f ca="1">IFERROR(__xludf.DUMMYFUNCTION("""COMPUTED_VALUE"""),"| 1 P PHP-CGM % | 3 L JAVA % | 4 L PHP-CGM % | 5 P PRO % ")</f>
        <v xml:space="preserve">| 1 P PHP-CGM % | 3 L JAVA % | 4 L PHP-CGM % | 5 P PRO % </v>
      </c>
      <c r="AY391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391" s="4" t="str">
        <f ca="1">IFERROR(__xludf.DUMMYFUNCTION("""COMPUTED_VALUE"""),"| 1 P JAVA @ | 3 P Python % | 5 L NS % | 6 L CPT % ")</f>
        <v xml:space="preserve">| 1 P JAVA @ | 3 P Python % | 5 L NS % | 6 L CPT % </v>
      </c>
      <c r="BA391" s="4" t="str">
        <f ca="1">IFERROR(__xludf.DUMMYFUNCTION("""COMPUTED_VALUE"""),"| 1 P Python @ | 3 L CPT @ | 4 L PHP-CGM @ | 5 P CPT @ ")</f>
        <v xml:space="preserve">| 1 P Python @ | 3 L CPT @ | 4 L PHP-CGM @ | 5 P CPT @ </v>
      </c>
      <c r="BB391" s="4" t="str">
        <f ca="1">IFERROR(__xludf.DUMMYFUNCTION("""COMPUTED_VALUE"""),"| 1 P PHP-CGM % | 3 L PHP-CGM % | 4 L JAVA % | 5 L PRO % ")</f>
        <v xml:space="preserve">| 1 P PHP-CGM % | 3 L PHP-CGM % | 4 L JAVA % | 5 L PRO % </v>
      </c>
      <c r="BC391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391" s="4" t="str">
        <f ca="1">IFERROR(__xludf.DUMMYFUNCTION("""COMPUTED_VALUE"""),"| 1 L INE @ | 3 P JAVA @ | 5 L JAVA @ | 6 L NS @ ")</f>
        <v xml:space="preserve">| 1 L INE @ | 3 P JAVA @ | 5 L JAVA @ | 6 L NS @ </v>
      </c>
      <c r="BE391" s="4" t="str">
        <f ca="1">IFERROR(__xludf.DUMMYFUNCTION("""COMPUTED_VALUE"""),"| 1 P JAVA @ | 3 P Python % | 5 L NS % | 6 L CPT @ ")</f>
        <v xml:space="preserve">| 1 P JAVA @ | 3 P Python % | 5 L NS % | 6 L CPT @ </v>
      </c>
      <c r="BF391" s="4" t="str">
        <f ca="1">IFERROR(__xludf.DUMMYFUNCTION("""COMPUTED_VALUE"""),"| 1 P Python @ | 3 L CPT % | 4 L PHP-CGM @ | 5 P CPT @ ")</f>
        <v xml:space="preserve">| 1 P Python @ | 3 L CPT % | 4 L PHP-CGM @ | 5 P CPT @ </v>
      </c>
      <c r="BG391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BH391" s="4" t="str">
        <f ca="1">IFERROR(__xludf.DUMMYFUNCTION("""COMPUTED_VALUE"""),"| 1 L INE @ | 3 P JAVA @ | 5 L JAVA @ | 6 L NS @ ")</f>
        <v xml:space="preserve">| 1 L INE @ | 3 P JAVA @ | 5 L JAVA @ | 6 L NS @ </v>
      </c>
      <c r="BI391" s="4" t="str">
        <f ca="1">IFERROR(__xludf.DUMMYFUNCTION("""COMPUTED_VALUE"""),"| 1 P JAVA @ | 3 P Python % | 5 L NS % | 6 L CPT % ")</f>
        <v xml:space="preserve">| 1 P JAVA @ | 3 P Python % | 5 L NS % | 6 L CPT % </v>
      </c>
      <c r="BJ391" s="4" t="str">
        <f ca="1">IFERROR(__xludf.DUMMYFUNCTION("""COMPUTED_VALUE"""),"| 1 P Python % | 3 L CPT @ | 4 L PHP-CGM @ | 5 P CPT @ ")</f>
        <v xml:space="preserve">| 1 P Python % | 3 L CPT @ | 4 L PHP-CGM @ | 5 P CPT @ </v>
      </c>
      <c r="BK391" s="4" t="str">
        <f ca="1">IFERROR(__xludf.DUMMYFUNCTION("""COMPUTED_VALUE"""),"| 1 P PHP-CGM % | 3 L PHP-CGM % | 4 L JAVA % | 5 P PRO @ ")</f>
        <v xml:space="preserve">| 1 P PHP-CGM % | 3 L PHP-CGM % | 4 L JAVA % | 5 P PRO @ </v>
      </c>
      <c r="BL391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BM391" s="4" t="str">
        <f ca="1">IFERROR(__xludf.DUMMYFUNCTION("""COMPUTED_VALUE"""),"| 1 L INE @ | 3 P JAVA @ | 5 L JAVA @ | 6 L NS @ ")</f>
        <v xml:space="preserve">| 1 L INE @ | 3 P JAVA @ | 5 L JAVA @ | 6 L NS @ </v>
      </c>
      <c r="BN391" s="4" t="str">
        <f ca="1">IFERROR(__xludf.DUMMYFUNCTION("""COMPUTED_VALUE"""),"| 1 P JAVA @ | 3 P Python @ | 5 L NS @ | 6 L CPT @ ")</f>
        <v xml:space="preserve">| 1 P JAVA @ | 3 P Python @ | 5 L NS @ | 6 L CPT @ </v>
      </c>
      <c r="BO391" s="4" t="str">
        <f ca="1">IFERROR(__xludf.DUMMYFUNCTION("""COMPUTED_VALUE"""),"| 1 P Python @ | 4 L PHP-CGM @ | 3 L CPT % | 5 P CPT @ ")</f>
        <v xml:space="preserve">| 1 P Python @ | 4 L PHP-CGM @ | 3 L CPT % | 5 P CPT @ </v>
      </c>
      <c r="BP391" s="4" t="str">
        <f ca="1">IFERROR(__xludf.DUMMYFUNCTION("""COMPUTED_VALUE"""),"| 1 P PHP-CGM % | 3 L PHP-CGM % | 4 L JAVA % | 6 P PRO @ ")</f>
        <v xml:space="preserve">| 1 P PHP-CGM % | 3 L PHP-CGM % | 4 L JAVA % | 6 P PRO @ </v>
      </c>
      <c r="BQ391" s="4" t="str">
        <f ca="1">IFERROR(__xludf.DUMMYFUNCTION("""COMPUTED_VALUE"""),"| 6 L NS % | 5 L JAVA @ ")</f>
        <v xml:space="preserve">| 6 L NS % | 5 L JAVA @ </v>
      </c>
      <c r="BR391" s="4"/>
      <c r="BS391" s="4" t="str">
        <f ca="1">IFERROR(__xludf.DUMMYFUNCTION("""COMPUTED_VALUE"""),"| 4 L PHP-CGM % ")</f>
        <v xml:space="preserve">| 4 L PHP-CGM % </v>
      </c>
      <c r="BT391" s="4" t="str">
        <f ca="1">IFERROR(__xludf.DUMMYFUNCTION("""COMPUTED_VALUE"""),"| 1 P PHP-CGM % | 3 L PHP-CGM % ")</f>
        <v xml:space="preserve">| 1 P PHP-CGM % | 3 L PHP-CGM % </v>
      </c>
      <c r="BU391" s="4" t="str">
        <f ca="1">IFERROR(__xludf.DUMMYFUNCTION("""COMPUTED_VALUE"""),"| 1 L JAVA @ | 2 L PHP-CGM @ | 3 P NS @ ")</f>
        <v xml:space="preserve">| 1 L JAVA @ | 2 L PHP-CGM @ | 3 P NS @ </v>
      </c>
      <c r="BV391" s="4" t="str">
        <f ca="1">IFERROR(__xludf.DUMMYFUNCTION("""COMPUTED_VALUE"""),"| 1 P PHP-CGM @ | 3 L PHP-CGM @ | 4 L JAVA @ | 5 P PRO @ ")</f>
        <v xml:space="preserve">| 1 P PHP-CGM @ | 3 L PHP-CGM @ | 4 L JAVA @ | 5 P PRO @ </v>
      </c>
      <c r="BW391" s="4" t="str">
        <f ca="1">IFERROR(__xludf.DUMMYFUNCTION("""COMPUTED_VALUE"""),"| 1 L JAVA @ | 2 L PHP-CGM @ | 3 P NS @ ")</f>
        <v xml:space="preserve">| 1 L JAVA @ | 2 L PHP-CGM @ | 3 P NS @ </v>
      </c>
      <c r="BX391" s="4" t="str">
        <f ca="1">IFERROR(__xludf.DUMMYFUNCTION("""COMPUTED_VALUE"""),"| 1 L INE @ | 3 P JAVA @ | 5 L JAVA @ | 6 L NS @ ")</f>
        <v xml:space="preserve">| 1 L INE @ | 3 P JAVA @ | 5 L JAVA @ | 6 L NS @ </v>
      </c>
      <c r="BY391" s="4" t="str">
        <f ca="1">IFERROR(__xludf.DUMMYFUNCTION("""COMPUTED_VALUE"""),"| 1 P JAVA @ | 3 P Python @ | 5 L NS @ | 6 L CPT @ ")</f>
        <v xml:space="preserve">| 1 P JAVA @ | 3 P Python @ | 5 L NS @ | 6 L CPT @ </v>
      </c>
      <c r="BZ391" s="4" t="str">
        <f ca="1">IFERROR(__xludf.DUMMYFUNCTION("""COMPUTED_VALUE"""),"| 1 P Python @ | 3 L CPT @ | 4 L PHP-CGM @ | 5 P CPT @ ")</f>
        <v xml:space="preserve">| 1 P Python @ | 3 L CPT @ | 4 L PHP-CGM @ | 5 P CPT @ </v>
      </c>
      <c r="CA391" s="4" t="str">
        <f ca="1">IFERROR(__xludf.DUMMYFUNCTION("""COMPUTED_VALUE"""),"| 1 P PHP-CGM % | 3 L PHP-CGM @ | 3 L JAVA % | 5 P PRO @ ")</f>
        <v xml:space="preserve">| 1 P PHP-CGM % | 3 L PHP-CGM @ | 3 L JAVA % | 5 P PRO @ </v>
      </c>
      <c r="CB391" s="4" t="str">
        <f ca="1">IFERROR(__xludf.DUMMYFUNCTION("""COMPUTED_VALUE"""),"| 1 L JAVA % | 2 L PHP-CGM % | 3 P NS @ | 6 L NS % | 5 L CPT @ ")</f>
        <v xml:space="preserve">| 1 L JAVA % | 2 L PHP-CGM % | 3 P NS @ | 6 L NS % | 5 L CPT @ </v>
      </c>
      <c r="CC391" s="4" t="str">
        <f ca="1">IFERROR(__xludf.DUMMYFUNCTION("""COMPUTED_VALUE"""),"| 1 L INE @ | 3 P JAVA % | 5 L JAVA @ | 6 L NS @ ")</f>
        <v xml:space="preserve">| 1 L INE @ | 3 P JAVA % | 5 L JAVA @ | 6 L NS @ </v>
      </c>
      <c r="CD391" s="4" t="str">
        <f ca="1">IFERROR(__xludf.DUMMYFUNCTION("""COMPUTED_VALUE"""),"| 1 P JAVA % | 3 P Python % | 5 L NS @ | 6 L CPT @ ")</f>
        <v xml:space="preserve">| 1 P JAVA % | 3 P Python % | 5 L NS @ | 6 L CPT @ </v>
      </c>
      <c r="CE391" s="4" t="str">
        <f ca="1">IFERROR(__xludf.DUMMYFUNCTION("""COMPUTED_VALUE"""),"| 1 P Python % | 3 L CPT % | 4 L PHP-CGM % | 5 P CPT % ")</f>
        <v xml:space="preserve">| 1 P Python % | 3 L CPT % | 4 L PHP-CGM % | 5 P CPT % </v>
      </c>
      <c r="CF391" s="4" t="str">
        <f ca="1">IFERROR(__xludf.DUMMYFUNCTION("""COMPUTED_VALUE"""),"| 1 P PHP-CGM % | 4 L JAVA @ | 3 L PHP-CGM @ | 5 L PRO % ")</f>
        <v xml:space="preserve">| 1 P PHP-CGM % | 4 L JAVA @ | 3 L PHP-CGM @ | 5 L PRO % </v>
      </c>
      <c r="CG391" s="4" t="str">
        <f ca="1">IFERROR(__xludf.DUMMYFUNCTION("""COMPUTED_VALUE"""),"| 1 L JAVA @ | 2 L PHP-CGM % | 3 P NS % | 6 L NS @ ")</f>
        <v xml:space="preserve">| 1 L JAVA @ | 2 L PHP-CGM % | 3 P NS % | 6 L NS @ </v>
      </c>
      <c r="CH391" s="4" t="str">
        <f ca="1">IFERROR(__xludf.DUMMYFUNCTION("""COMPUTED_VALUE"""),"| 1 L INE @ | 3 P JAVA @ | 5 L JAVA @ | 6 L NS @ ")</f>
        <v xml:space="preserve">| 1 L INE @ | 3 P JAVA @ | 5 L JAVA @ | 6 L NS @ </v>
      </c>
      <c r="CI391" s="4" t="str">
        <f ca="1">IFERROR(__xludf.DUMMYFUNCTION("""COMPUTED_VALUE"""),"| 5 L NS @ | 6 L CPT @ ")</f>
        <v xml:space="preserve">| 5 L NS @ | 6 L CPT @ </v>
      </c>
      <c r="CJ391" s="4" t="str">
        <f ca="1">IFERROR(__xludf.DUMMYFUNCTION("""COMPUTED_VALUE"""),"| 3 L CPT % | 5 P CPT % ")</f>
        <v xml:space="preserve">| 3 L CPT % | 5 P CPT % </v>
      </c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</row>
    <row r="392" spans="1:102" ht="12.5" x14ac:dyDescent="0.25">
      <c r="A392" s="3">
        <f ca="1">IFERROR(__xludf.DUMMYFUNCTION("""COMPUTED_VALUE"""),3)</f>
        <v>3</v>
      </c>
      <c r="B392" s="3" t="str">
        <f ca="1">IFERROR(__xludf.DUMMYFUNCTION("""COMPUTED_VALUE"""),"ITA")</f>
        <v>ITA</v>
      </c>
      <c r="C392" s="32" t="str">
        <f ca="1">IFERROR(__xludf.DUMMYFUNCTION("""COMPUTED_VALUE"""),"23291371114")</f>
        <v>23291371114</v>
      </c>
      <c r="D392" s="4" t="str">
        <f ca="1">IFERROR(__xludf.DUMMYFUNCTION("""COMPUTED_VALUE"""),"PATHAN MOHAMMADSHAD JABIRKHAN")</f>
        <v>PATHAN MOHAMMADSHAD JABIRKHAN</v>
      </c>
      <c r="E392" s="3" t="str">
        <f ca="1">IFERROR(__xludf.DUMMYFUNCTION("""COMPUTED_VALUE"""),"Sweety - Mor")</f>
        <v>Sweety - Mor</v>
      </c>
      <c r="F392" s="3">
        <f ca="1">IFERROR(__xludf.DUMMYFUNCTION("""COMPUTED_VALUE"""),9023691922)</f>
        <v>9023691922</v>
      </c>
      <c r="G392" s="3">
        <f ca="1">IFERROR(__xludf.DUMMYFUNCTION("""COMPUTED_VALUE"""),9723211018)</f>
        <v>9723211018</v>
      </c>
      <c r="H392" s="33">
        <f ca="1">IFERROR(__xludf.DUMMYFUNCTION("""COMPUTED_VALUE"""),0.57429718875502)</f>
        <v>0.57429718875502</v>
      </c>
      <c r="I392" s="25">
        <f ca="1">IFERROR(__xludf.DUMMYFUNCTION("""COMPUTED_VALUE"""),0.457142857142857)</f>
        <v>0.45714285714285702</v>
      </c>
      <c r="J392" s="25">
        <f ca="1">IFERROR(__xludf.DUMMYFUNCTION("""COMPUTED_VALUE"""),0.166666666666666)</f>
        <v>0.16666666666666599</v>
      </c>
      <c r="K392" s="25">
        <f ca="1">IFERROR(__xludf.DUMMYFUNCTION("""COMPUTED_VALUE"""),0.444444444444444)</f>
        <v>0.44444444444444398</v>
      </c>
      <c r="L392" s="25">
        <f ca="1">IFERROR(__xludf.DUMMYFUNCTION("""COMPUTED_VALUE"""),0.923076923076923)</f>
        <v>0.92307692307692302</v>
      </c>
      <c r="M392" s="25">
        <f ca="1">IFERROR(__xludf.DUMMYFUNCTION("""COMPUTED_VALUE"""),0.684210526315789)</f>
        <v>0.68421052631578905</v>
      </c>
      <c r="N392" s="25">
        <f ca="1">IFERROR(__xludf.DUMMYFUNCTION("""COMPUTED_VALUE"""),0.692307692307692)</f>
        <v>0.69230769230769196</v>
      </c>
      <c r="O392" s="25">
        <f ca="1">IFERROR(__xludf.DUMMYFUNCTION("""COMPUTED_VALUE"""),0.611111111111111)</f>
        <v>0.61111111111111105</v>
      </c>
      <c r="P392" s="25">
        <f ca="1">IFERROR(__xludf.DUMMYFUNCTION("""COMPUTED_VALUE"""),0.695652173913043)</f>
        <v>0.69565217391304301</v>
      </c>
      <c r="Q392" s="25">
        <f ca="1">IFERROR(__xludf.DUMMYFUNCTION("""COMPUTED_VALUE"""),0)</f>
        <v>0</v>
      </c>
      <c r="R392" s="25">
        <f ca="1">IFERROR(__xludf.DUMMYFUNCTION("""COMPUTED_VALUE"""),0.695652173913043)</f>
        <v>0.69565217391304301</v>
      </c>
      <c r="S392" s="25">
        <f ca="1">IFERROR(__xludf.DUMMYFUNCTION("""COMPUTED_VALUE"""),0.666666666666666)</f>
        <v>0.66666666666666596</v>
      </c>
      <c r="T392" s="25">
        <f ca="1">IFERROR(__xludf.DUMMYFUNCTION("""COMPUTED_VALUE"""),0.444444444444444)</f>
        <v>0.44444444444444398</v>
      </c>
      <c r="U392" s="25">
        <f ca="1">IFERROR(__xludf.DUMMYFUNCTION("""COMPUTED_VALUE"""),0.25)</f>
        <v>0.25</v>
      </c>
      <c r="V392" s="25">
        <f ca="1">IFERROR(__xludf.DUMMYFUNCTION("""COMPUTED_VALUE"""),0)</f>
        <v>0</v>
      </c>
      <c r="W392" s="4"/>
      <c r="X392" s="4" t="str">
        <f ca="1">IFERROR(__xludf.DUMMYFUNCTION("""COMPUTED_VALUE"""),"| 4 L JAVA % | 1 P PHP-CGM % | 3 L PHP-CGM % | 1 L PRO @ ")</f>
        <v xml:space="preserve">| 4 L JAVA % | 1 P PHP-CGM % | 3 L PHP-CGM % | 1 L PRO @ </v>
      </c>
      <c r="Y392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392" s="4" t="str">
        <f ca="1">IFERROR(__xludf.DUMMYFUNCTION("""COMPUTED_VALUE"""),"| 3 P JAVA % | 5 L JAVA @ | 6 L NS @ ")</f>
        <v xml:space="preserve">| 3 P JAVA % | 5 L JAVA @ | 6 L NS @ </v>
      </c>
      <c r="AA392" s="4" t="str">
        <f ca="1">IFERROR(__xludf.DUMMYFUNCTION("""COMPUTED_VALUE"""),"| 1 P JAVA % | 3 P Python % | 5 L NS % | 6 L CPT % ")</f>
        <v xml:space="preserve">| 1 P JAVA % | 3 P Python % | 5 L NS % | 6 L CPT % </v>
      </c>
      <c r="AB392" s="4" t="str">
        <f ca="1">IFERROR(__xludf.DUMMYFUNCTION("""COMPUTED_VALUE"""),"| 1 P Python % | 3 L CPT % | 4 L PHP-CGM % | 5 P CPT @ ")</f>
        <v xml:space="preserve">| 1 P Python % | 3 L CPT % | 4 L PHP-CGM % | 5 P CPT @ </v>
      </c>
      <c r="AC392" s="4" t="str">
        <f ca="1">IFERROR(__xludf.DUMMYFUNCTION("""COMPUTED_VALUE"""),"| 1 P PHP-CGM % | 3 L PHP-CGM % | 5 P PRO % ")</f>
        <v xml:space="preserve">| 1 P PHP-CGM % | 3 L PHP-CGM % | 5 P PRO % </v>
      </c>
      <c r="AD392" s="4" t="str">
        <f ca="1">IFERROR(__xludf.DUMMYFUNCTION("""COMPUTED_VALUE"""),"| 1 L JAVA @ | 2 L PHP-CGM @ | 3 P NS % | 6 L NS @ | 5 L CPT @ ")</f>
        <v xml:space="preserve">| 1 L JAVA @ | 2 L PHP-CGM @ | 3 P NS % | 6 L NS @ | 5 L CPT @ </v>
      </c>
      <c r="AE392" s="4" t="str">
        <f ca="1">IFERROR(__xludf.DUMMYFUNCTION("""COMPUTED_VALUE"""),"| 3 P JAVA % | 5 L JAVA % | 6 L NS % ")</f>
        <v xml:space="preserve">| 3 P JAVA % | 5 L JAVA % | 6 L NS % </v>
      </c>
      <c r="AF392" s="4" t="str">
        <f ca="1">IFERROR(__xludf.DUMMYFUNCTION("""COMPUTED_VALUE"""),"| 1 P JAVA % | 3 P Python % | 5 L NS % | 6 L CPT % ")</f>
        <v xml:space="preserve">| 1 P JAVA % | 3 P Python % | 5 L NS % | 6 L CPT % </v>
      </c>
      <c r="AG392" s="4" t="str">
        <f ca="1">IFERROR(__xludf.DUMMYFUNCTION("""COMPUTED_VALUE"""),"| 1 P Python @ | 3 L CPT % | 4 L PHP-CGM % | 5 P CPT @ ")</f>
        <v xml:space="preserve">| 1 P Python @ | 3 L CPT % | 4 L PHP-CGM % | 5 P CPT @ </v>
      </c>
      <c r="AH392" s="4" t="str">
        <f ca="1">IFERROR(__xludf.DUMMYFUNCTION("""COMPUTED_VALUE"""),"| 1 P JAVA % | 3 P Python % | 5 L NS % | 6 L CPT % ")</f>
        <v xml:space="preserve">| 1 P JAVA % | 3 P Python % | 5 L NS % | 6 L CPT % </v>
      </c>
      <c r="AI392" s="4" t="str">
        <f ca="1">IFERROR(__xludf.DUMMYFUNCTION("""COMPUTED_VALUE"""),"| 1 P Python % | 3 L CPT % | 4 L PHP-CGM % | 5 P CPT @ ")</f>
        <v xml:space="preserve">| 1 P Python % | 3 L CPT % | 4 L PHP-CGM % | 5 P CPT @ </v>
      </c>
      <c r="AJ392" s="4" t="str">
        <f ca="1">IFERROR(__xludf.DUMMYFUNCTION("""COMPUTED_VALUE"""),"| 1 P PHP-CGM @ | 3 L PHP-CGM % | 4 L JAVA % | 5 P PRO @ ")</f>
        <v xml:space="preserve">| 1 P PHP-CGM @ | 3 L PHP-CGM % | 4 L JAVA % | 5 P PRO @ </v>
      </c>
      <c r="AK392" s="4" t="str">
        <f ca="1">IFERROR(__xludf.DUMMYFUNCTION("""COMPUTED_VALUE"""),"| 1 L JAVA @ | 2 L PHP-CGM @ | 3 P NS % | 5 L CPT % | 6 L NS @ ")</f>
        <v xml:space="preserve">| 1 L JAVA @ | 2 L PHP-CGM @ | 3 P NS % | 5 L CPT % | 6 L NS @ </v>
      </c>
      <c r="AL392" s="4" t="str">
        <f ca="1">IFERROR(__xludf.DUMMYFUNCTION("""COMPUTED_VALUE"""),"| 3 P JAVA % | 5 L JAVA % | 6 L NS % ")</f>
        <v xml:space="preserve">| 3 P JAVA % | 5 L JAVA % | 6 L NS % </v>
      </c>
      <c r="AM392" s="4" t="str">
        <f ca="1">IFERROR(__xludf.DUMMYFUNCTION("""COMPUTED_VALUE"""),"| 1 P JAVA % | 3 P Python % | 5 L NS @ | 6 L CPT @ ")</f>
        <v xml:space="preserve">| 1 P JAVA % | 3 P Python % | 5 L NS @ | 6 L CPT @ </v>
      </c>
      <c r="AN392" s="4" t="str">
        <f ca="1">IFERROR(__xludf.DUMMYFUNCTION("""COMPUTED_VALUE"""),"| 1 P Python % | 4 L PHP-CGM % | 5 P CPT % ")</f>
        <v xml:space="preserve">| 1 P Python % | 4 L PHP-CGM % | 5 P CPT % </v>
      </c>
      <c r="AO392" s="4" t="str">
        <f ca="1">IFERROR(__xludf.DUMMYFUNCTION("""COMPUTED_VALUE"""),"| 1 P PHP-CGM % | 3 L PHP-CGM % | 4 L JAVA % | 5 P PRO % ")</f>
        <v xml:space="preserve">| 1 P PHP-CGM % | 3 L PHP-CGM % | 4 L JAVA % | 5 P PRO % </v>
      </c>
      <c r="AP392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Q392" s="4" t="str">
        <f ca="1">IFERROR(__xludf.DUMMYFUNCTION("""COMPUTED_VALUE"""),"| 1 L INE % | 3 P JAVA % | 5 L JAVA % | 6 L NS % ")</f>
        <v xml:space="preserve">| 1 L INE % | 3 P JAVA % | 5 L JAVA % | 6 L NS % </v>
      </c>
      <c r="AR392" s="4" t="str">
        <f ca="1">IFERROR(__xludf.DUMMYFUNCTION("""COMPUTED_VALUE"""),"| 1 P JAVA % | 3 L CPT % | 3 P Python % | 5 L NS @ | 6 L CPT @ ")</f>
        <v xml:space="preserve">| 1 P JAVA % | 3 L CPT % | 3 P Python % | 5 L NS @ | 6 L CPT @ </v>
      </c>
      <c r="AS392" s="4" t="str">
        <f ca="1">IFERROR(__xludf.DUMMYFUNCTION("""COMPUTED_VALUE"""),"| 1 P PHP-CGM @ | 3 L PHP-CGM % | 4 L JAVA % | 5 P PRO % ")</f>
        <v xml:space="preserve">| 1 P PHP-CGM @ | 3 L PHP-CGM % | 4 L JAVA % | 5 P PRO % </v>
      </c>
      <c r="AT392" s="4" t="str">
        <f ca="1">IFERROR(__xludf.DUMMYFUNCTION("""COMPUTED_VALUE"""),"| 1 L JAVA @ | 2 L PHP-CGM @ | 3 P NS % | 5 L CPT @ | 6 L NS @ ")</f>
        <v xml:space="preserve">| 1 L JAVA @ | 2 L PHP-CGM @ | 3 P NS % | 5 L CPT @ | 6 L NS @ </v>
      </c>
      <c r="AU392" s="4" t="str">
        <f ca="1">IFERROR(__xludf.DUMMYFUNCTION("""COMPUTED_VALUE"""),"| 1 L INE % | 3 P JAVA % | 5 L JAVA % | 6 L NS % ")</f>
        <v xml:space="preserve">| 1 L INE % | 3 P JAVA % | 5 L JAVA % | 6 L NS % </v>
      </c>
      <c r="AV392" s="4" t="str">
        <f ca="1">IFERROR(__xludf.DUMMYFUNCTION("""COMPUTED_VALUE"""),"| 1 P JAVA % | 3 P Python % | 5 L NS @ | 6 L CPT @ ")</f>
        <v xml:space="preserve">| 1 P JAVA % | 3 P Python % | 5 L NS @ | 6 L CPT @ </v>
      </c>
      <c r="AW392" s="4" t="str">
        <f ca="1">IFERROR(__xludf.DUMMYFUNCTION("""COMPUTED_VALUE"""),"| 1 P Python % | 3 L CPT % | 4 L PHP-CGM % | 5 P CPT @ ")</f>
        <v xml:space="preserve">| 1 P Python % | 3 L CPT % | 4 L PHP-CGM % | 5 P CPT @ </v>
      </c>
      <c r="AX392" s="4" t="str">
        <f ca="1">IFERROR(__xludf.DUMMYFUNCTION("""COMPUTED_VALUE"""),"| 1 P PHP-CGM % | 3 L JAVA % | 4 L PHP-CGM % | 5 P PRO % ")</f>
        <v xml:space="preserve">| 1 P PHP-CGM % | 3 L JAVA % | 4 L PHP-CGM % | 5 P PRO % </v>
      </c>
      <c r="AY392" s="4" t="str">
        <f ca="1">IFERROR(__xludf.DUMMYFUNCTION("""COMPUTED_VALUE"""),"| 2 L PHP-CGM % | 3 P NS % | 5 L CPT @ | 6 L NS @ | 1 L JAVA % ")</f>
        <v xml:space="preserve">| 2 L PHP-CGM % | 3 P NS % | 5 L CPT @ | 6 L NS @ | 1 L JAVA % </v>
      </c>
      <c r="AZ392" s="4" t="str">
        <f ca="1">IFERROR(__xludf.DUMMYFUNCTION("""COMPUTED_VALUE"""),"| 1 P JAVA @ | 3 P Python % | 5 L NS % | 6 L CPT % ")</f>
        <v xml:space="preserve">| 1 P JAVA @ | 3 P Python % | 5 L NS % | 6 L CPT % </v>
      </c>
      <c r="BA392" s="4" t="str">
        <f ca="1">IFERROR(__xludf.DUMMYFUNCTION("""COMPUTED_VALUE"""),"| 1 P Python % | 3 L CPT % | 4 L PHP-CGM % | 5 P CPT % ")</f>
        <v xml:space="preserve">| 1 P Python % | 3 L CPT % | 4 L PHP-CGM % | 5 P CPT % </v>
      </c>
      <c r="BB392" s="4" t="str">
        <f ca="1">IFERROR(__xludf.DUMMYFUNCTION("""COMPUTED_VALUE"""),"| 1 P PHP-CGM % | 3 L PHP-CGM % | 4 L JAVA % | 5 L PRO % ")</f>
        <v xml:space="preserve">| 1 P PHP-CGM % | 3 L PHP-CGM % | 4 L JAVA % | 5 L PRO % </v>
      </c>
      <c r="BC392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392" s="4" t="str">
        <f ca="1">IFERROR(__xludf.DUMMYFUNCTION("""COMPUTED_VALUE"""),"| 1 L INE @ | 3 P JAVA % | 5 L JAVA % | 6 L NS % ")</f>
        <v xml:space="preserve">| 1 L INE @ | 3 P JAVA % | 5 L JAVA % | 6 L NS % </v>
      </c>
      <c r="BE392" s="4" t="str">
        <f ca="1">IFERROR(__xludf.DUMMYFUNCTION("""COMPUTED_VALUE"""),"| 1 P JAVA % | 3 P Python % | 5 L NS @ | 6 L CPT @ ")</f>
        <v xml:space="preserve">| 1 P JAVA % | 3 P Python % | 5 L NS @ | 6 L CPT @ </v>
      </c>
      <c r="BF392" s="4" t="str">
        <f ca="1">IFERROR(__xludf.DUMMYFUNCTION("""COMPUTED_VALUE"""),"| 1 P Python @ | 3 L CPT @ | 4 L PHP-CGM @ | 5 P CPT @ ")</f>
        <v xml:space="preserve">| 1 P Python @ | 3 L CPT @ | 4 L PHP-CGM @ | 5 P CPT @ </v>
      </c>
      <c r="BG392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92" s="4" t="str">
        <f ca="1">IFERROR(__xludf.DUMMYFUNCTION("""COMPUTED_VALUE"""),"| 1 L INE @ | 3 P JAVA % | 5 L JAVA % | 6 L NS % ")</f>
        <v xml:space="preserve">| 1 L INE @ | 3 P JAVA % | 5 L JAVA % | 6 L NS % </v>
      </c>
      <c r="BI392" s="4" t="str">
        <f ca="1">IFERROR(__xludf.DUMMYFUNCTION("""COMPUTED_VALUE"""),"| 1 P JAVA @ | 3 P Python % | 5 L NS % | 6 L CPT % ")</f>
        <v xml:space="preserve">| 1 P JAVA @ | 3 P Python % | 5 L NS % | 6 L CPT % </v>
      </c>
      <c r="BJ392" s="4" t="str">
        <f ca="1">IFERROR(__xludf.DUMMYFUNCTION("""COMPUTED_VALUE"""),"| 1 P Python % | 3 L CPT % | 4 L PHP-CGM % | 5 P CPT @ ")</f>
        <v xml:space="preserve">| 1 P Python % | 3 L CPT % | 4 L PHP-CGM % | 5 P CPT @ </v>
      </c>
      <c r="BK392" s="4" t="str">
        <f ca="1">IFERROR(__xludf.DUMMYFUNCTION("""COMPUTED_VALUE"""),"| 1 P PHP-CGM % | 3 L PHP-CGM % | 4 L JAVA % | 5 P PRO @ ")</f>
        <v xml:space="preserve">| 1 P PHP-CGM % | 3 L PHP-CGM % | 4 L JAVA % | 5 P PRO @ </v>
      </c>
      <c r="BL392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BM392" s="4" t="str">
        <f ca="1">IFERROR(__xludf.DUMMYFUNCTION("""COMPUTED_VALUE"""),"| 1 L INE @ | 3 P JAVA % | 5 L JAVA @ | 6 L NS @ ")</f>
        <v xml:space="preserve">| 1 L INE @ | 3 P JAVA % | 5 L JAVA @ | 6 L NS @ </v>
      </c>
      <c r="BN392" s="4" t="str">
        <f ca="1">IFERROR(__xludf.DUMMYFUNCTION("""COMPUTED_VALUE"""),"| 1 P JAVA @ | 3 P Python % | 5 L NS @ | 6 L CPT @ ")</f>
        <v xml:space="preserve">| 1 P JAVA @ | 3 P Python % | 5 L NS @ | 6 L CPT @ </v>
      </c>
      <c r="BO392" s="4" t="str">
        <f ca="1">IFERROR(__xludf.DUMMYFUNCTION("""COMPUTED_VALUE"""),"| 1 P Python @ | 4 L PHP-CGM @ | 3 L CPT @ | 5 P CPT @ ")</f>
        <v xml:space="preserve">| 1 P Python @ | 4 L PHP-CGM @ | 3 L CPT @ | 5 P CPT @ </v>
      </c>
      <c r="BP392" s="4" t="str">
        <f ca="1">IFERROR(__xludf.DUMMYFUNCTION("""COMPUTED_VALUE"""),"| 1 P PHP-CGM % | 3 L PHP-CGM % | 4 L JAVA % | 6 P PRO @ ")</f>
        <v xml:space="preserve">| 1 P PHP-CGM % | 3 L PHP-CGM % | 4 L JAVA % | 6 P PRO @ </v>
      </c>
      <c r="BQ392" s="4" t="str">
        <f ca="1">IFERROR(__xludf.DUMMYFUNCTION("""COMPUTED_VALUE"""),"| 6 L NS % | 5 L JAVA @ ")</f>
        <v xml:space="preserve">| 6 L NS % | 5 L JAVA @ </v>
      </c>
      <c r="BR392" s="4"/>
      <c r="BS392" s="4" t="str">
        <f ca="1">IFERROR(__xludf.DUMMYFUNCTION("""COMPUTED_VALUE"""),"| 4 L PHP-CGM % ")</f>
        <v xml:space="preserve">| 4 L PHP-CGM % </v>
      </c>
      <c r="BT392" s="4" t="str">
        <f ca="1">IFERROR(__xludf.DUMMYFUNCTION("""COMPUTED_VALUE"""),"| 1 P PHP-CGM % | 3 L PHP-CGM % ")</f>
        <v xml:space="preserve">| 1 P PHP-CGM % | 3 L PHP-CGM % </v>
      </c>
      <c r="BU392" s="4" t="str">
        <f ca="1">IFERROR(__xludf.DUMMYFUNCTION("""COMPUTED_VALUE"""),"| 1 L JAVA @ | 2 L PHP-CGM @ | 3 P NS % ")</f>
        <v xml:space="preserve">| 1 L JAVA @ | 2 L PHP-CGM @ | 3 P NS % </v>
      </c>
      <c r="BV392" s="4" t="str">
        <f ca="1">IFERROR(__xludf.DUMMYFUNCTION("""COMPUTED_VALUE"""),"| 1 P PHP-CGM @ | 3 L PHP-CGM @ | 4 L JAVA @ | 5 P PRO @ ")</f>
        <v xml:space="preserve">| 1 P PHP-CGM @ | 3 L PHP-CGM @ | 4 L JAVA @ | 5 P PRO @ </v>
      </c>
      <c r="BW392" s="4" t="str">
        <f ca="1">IFERROR(__xludf.DUMMYFUNCTION("""COMPUTED_VALUE"""),"| 1 L JAVA @ | 2 L PHP-CGM @ | 3 P NS @ ")</f>
        <v xml:space="preserve">| 1 L JAVA @ | 2 L PHP-CGM @ | 3 P NS @ </v>
      </c>
      <c r="BX392" s="4" t="str">
        <f ca="1">IFERROR(__xludf.DUMMYFUNCTION("""COMPUTED_VALUE"""),"| 1 L INE @ | 3 P JAVA @ | 5 L JAVA @ | 6 L NS @ ")</f>
        <v xml:space="preserve">| 1 L INE @ | 3 P JAVA @ | 5 L JAVA @ | 6 L NS @ </v>
      </c>
      <c r="BY392" s="4" t="str">
        <f ca="1">IFERROR(__xludf.DUMMYFUNCTION("""COMPUTED_VALUE"""),"| 1 P JAVA @ | 3 P Python @ | 5 L NS @ | 6 L CPT @ ")</f>
        <v xml:space="preserve">| 1 P JAVA @ | 3 P Python @ | 5 L NS @ | 6 L CPT @ </v>
      </c>
      <c r="BZ392" s="4" t="str">
        <f ca="1">IFERROR(__xludf.DUMMYFUNCTION("""COMPUTED_VALUE"""),"| 1 P Python @ | 3 L CPT @ | 4 L PHP-CGM @ | 5 P CPT @ ")</f>
        <v xml:space="preserve">| 1 P Python @ | 3 L CPT @ | 4 L PHP-CGM @ | 5 P CPT @ </v>
      </c>
      <c r="CA392" s="4" t="str">
        <f ca="1">IFERROR(__xludf.DUMMYFUNCTION("""COMPUTED_VALUE"""),"| 1 P PHP-CGM % | 3 L PHP-CGM @ | 3 L JAVA @ | 5 P PRO @ ")</f>
        <v xml:space="preserve">| 1 P PHP-CGM % | 3 L PHP-CGM @ | 3 L JAVA @ | 5 P PRO @ </v>
      </c>
      <c r="CB392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392" s="4" t="str">
        <f ca="1">IFERROR(__xludf.DUMMYFUNCTION("""COMPUTED_VALUE"""),"| 1 L INE @ | 3 P JAVA % | 5 L JAVA @ | 6 L NS @ ")</f>
        <v xml:space="preserve">| 1 L INE @ | 3 P JAVA % | 5 L JAVA @ | 6 L NS @ </v>
      </c>
      <c r="CD392" s="4" t="str">
        <f ca="1">IFERROR(__xludf.DUMMYFUNCTION("""COMPUTED_VALUE"""),"| 1 P JAVA @ | 3 P Python @ | 5 L NS @ | 6 L CPT @ ")</f>
        <v xml:space="preserve">| 1 P JAVA @ | 3 P Python @ | 5 L NS @ | 6 L CPT @ </v>
      </c>
      <c r="CE392" s="4" t="str">
        <f ca="1">IFERROR(__xludf.DUMMYFUNCTION("""COMPUTED_VALUE"""),"| 1 P Python @ | 3 L CPT @ | 4 L PHP-CGM @ | 5 P CPT @ ")</f>
        <v xml:space="preserve">| 1 P Python @ | 3 L CPT @ | 4 L PHP-CGM @ | 5 P CPT @ </v>
      </c>
      <c r="CF392" s="4" t="str">
        <f ca="1">IFERROR(__xludf.DUMMYFUNCTION("""COMPUTED_VALUE"""),"| 1 P PHP-CGM @ | 4 L JAVA % | 3 L PHP-CGM % | 5 L PRO % ")</f>
        <v xml:space="preserve">| 1 P PHP-CGM @ | 4 L JAVA % | 3 L PHP-CGM % | 5 L PRO % </v>
      </c>
      <c r="CG392" s="4" t="str">
        <f ca="1">IFERROR(__xludf.DUMMYFUNCTION("""COMPUTED_VALUE"""),"| 1 L JAVA @ | 2 L PHP-CGM @ | 3 P NS % | 6 L NS % ")</f>
        <v xml:space="preserve">| 1 L JAVA @ | 2 L PHP-CGM @ | 3 P NS % | 6 L NS % </v>
      </c>
      <c r="CH392" s="4" t="str">
        <f ca="1">IFERROR(__xludf.DUMMYFUNCTION("""COMPUTED_VALUE"""),"| 1 L INE @ | 3 P JAVA @ | 5 L JAVA @ | 6 L NS @ ")</f>
        <v xml:space="preserve">| 1 L INE @ | 3 P JAVA @ | 5 L JAVA @ | 6 L NS @ </v>
      </c>
      <c r="CI392" s="4" t="str">
        <f ca="1">IFERROR(__xludf.DUMMYFUNCTION("""COMPUTED_VALUE"""),"| 5 L NS @ | 6 L CPT @ ")</f>
        <v xml:space="preserve">| 5 L NS @ | 6 L CPT @ </v>
      </c>
      <c r="CJ392" s="4" t="str">
        <f ca="1">IFERROR(__xludf.DUMMYFUNCTION("""COMPUTED_VALUE"""),"| 3 L CPT @ | 5 P CPT @ ")</f>
        <v xml:space="preserve">| 3 L CPT @ | 5 P CPT @ </v>
      </c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</row>
    <row r="393" spans="1:102" ht="12.5" x14ac:dyDescent="0.25">
      <c r="A393" s="3">
        <f ca="1">IFERROR(__xludf.DUMMYFUNCTION("""COMPUTED_VALUE"""),3)</f>
        <v>3</v>
      </c>
      <c r="B393" s="3" t="str">
        <f ca="1">IFERROR(__xludf.DUMMYFUNCTION("""COMPUTED_VALUE"""),"ITA")</f>
        <v>ITA</v>
      </c>
      <c r="C393" s="32" t="str">
        <f ca="1">IFERROR(__xludf.DUMMYFUNCTION("""COMPUTED_VALUE"""),"23291371118")</f>
        <v>23291371118</v>
      </c>
      <c r="D393" s="4" t="str">
        <f ca="1">IFERROR(__xludf.DUMMYFUNCTION("""COMPUTED_VALUE"""),"PUROHIT JEET")</f>
        <v>PUROHIT JEET</v>
      </c>
      <c r="E393" s="3" t="str">
        <f ca="1">IFERROR(__xludf.DUMMYFUNCTION("""COMPUTED_VALUE"""),"Sweety - Mor")</f>
        <v>Sweety - Mor</v>
      </c>
      <c r="F393" s="3">
        <f ca="1">IFERROR(__xludf.DUMMYFUNCTION("""COMPUTED_VALUE"""),8529103261)</f>
        <v>8529103261</v>
      </c>
      <c r="G393" s="3">
        <f ca="1">IFERROR(__xludf.DUMMYFUNCTION("""COMPUTED_VALUE"""),7622953137)</f>
        <v>7622953137</v>
      </c>
      <c r="H393" s="33">
        <f ca="1">IFERROR(__xludf.DUMMYFUNCTION("""COMPUTED_VALUE"""),0.686746987951807)</f>
        <v>0.686746987951807</v>
      </c>
      <c r="I393" s="25">
        <f ca="1">IFERROR(__xludf.DUMMYFUNCTION("""COMPUTED_VALUE"""),0.685714285714285)</f>
        <v>0.68571428571428505</v>
      </c>
      <c r="J393" s="25">
        <f ca="1">IFERROR(__xludf.DUMMYFUNCTION("""COMPUTED_VALUE"""),0.833333333333333)</f>
        <v>0.83333333333333304</v>
      </c>
      <c r="K393" s="25">
        <f ca="1">IFERROR(__xludf.DUMMYFUNCTION("""COMPUTED_VALUE"""),0.555555555555555)</f>
        <v>0.55555555555555503</v>
      </c>
      <c r="L393" s="25">
        <f ca="1">IFERROR(__xludf.DUMMYFUNCTION("""COMPUTED_VALUE"""),0.692307692307692)</f>
        <v>0.69230769230769196</v>
      </c>
      <c r="M393" s="25">
        <f ca="1">IFERROR(__xludf.DUMMYFUNCTION("""COMPUTED_VALUE"""),0.684210526315789)</f>
        <v>0.68421052631578905</v>
      </c>
      <c r="N393" s="25">
        <f ca="1">IFERROR(__xludf.DUMMYFUNCTION("""COMPUTED_VALUE"""),0.846153846153846)</f>
        <v>0.84615384615384603</v>
      </c>
      <c r="O393" s="25">
        <f ca="1">IFERROR(__xludf.DUMMYFUNCTION("""COMPUTED_VALUE"""),0.611111111111111)</f>
        <v>0.61111111111111105</v>
      </c>
      <c r="P393" s="25">
        <f ca="1">IFERROR(__xludf.DUMMYFUNCTION("""COMPUTED_VALUE"""),0.695652173913043)</f>
        <v>0.69565217391304301</v>
      </c>
      <c r="Q393" s="25">
        <f ca="1">IFERROR(__xludf.DUMMYFUNCTION("""COMPUTED_VALUE"""),0)</f>
        <v>0</v>
      </c>
      <c r="R393" s="25">
        <f ca="1">IFERROR(__xludf.DUMMYFUNCTION("""COMPUTED_VALUE"""),0.869565217391304)</f>
        <v>0.86956521739130399</v>
      </c>
      <c r="S393" s="25">
        <f ca="1">IFERROR(__xludf.DUMMYFUNCTION("""COMPUTED_VALUE"""),1)</f>
        <v>1</v>
      </c>
      <c r="T393" s="25">
        <f ca="1">IFERROR(__xludf.DUMMYFUNCTION("""COMPUTED_VALUE"""),0.666666666666666)</f>
        <v>0.66666666666666596</v>
      </c>
      <c r="U393" s="25">
        <f ca="1">IFERROR(__xludf.DUMMYFUNCTION("""COMPUTED_VALUE"""),0.5)</f>
        <v>0.5</v>
      </c>
      <c r="V393" s="25">
        <f ca="1">IFERROR(__xludf.DUMMYFUNCTION("""COMPUTED_VALUE"""),0)</f>
        <v>0</v>
      </c>
      <c r="W393" s="4"/>
      <c r="X393" s="4" t="str">
        <f ca="1">IFERROR(__xludf.DUMMYFUNCTION("""COMPUTED_VALUE"""),"| 4 L JAVA % | 1 P PHP-CGM % | 3 L PHP-CGM % | 1 L PRO % ")</f>
        <v xml:space="preserve">| 4 L JAVA % | 1 P PHP-CGM % | 3 L PHP-CGM % | 1 L PRO % </v>
      </c>
      <c r="Y39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393" s="4" t="str">
        <f ca="1">IFERROR(__xludf.DUMMYFUNCTION("""COMPUTED_VALUE"""),"| 3 P JAVA % | 5 L JAVA % | 6 L NS % ")</f>
        <v xml:space="preserve">| 3 P JAVA % | 5 L JAVA % | 6 L NS % </v>
      </c>
      <c r="AA393" s="4" t="str">
        <f ca="1">IFERROR(__xludf.DUMMYFUNCTION("""COMPUTED_VALUE"""),"| 1 P JAVA % | 3 P Python % | 5 L NS % | 6 L CPT % ")</f>
        <v xml:space="preserve">| 1 P JAVA % | 3 P Python % | 5 L NS % | 6 L CPT % </v>
      </c>
      <c r="AB393" s="4" t="str">
        <f ca="1">IFERROR(__xludf.DUMMYFUNCTION("""COMPUTED_VALUE"""),"| 1 P Python % | 3 L CPT % | 4 L PHP-CGM % | 5 P CPT % ")</f>
        <v xml:space="preserve">| 1 P Python % | 3 L CPT % | 4 L PHP-CGM % | 5 P CPT % </v>
      </c>
      <c r="AC393" s="4" t="str">
        <f ca="1">IFERROR(__xludf.DUMMYFUNCTION("""COMPUTED_VALUE"""),"| 1 P PHP-CGM % | 3 L PHP-CGM @ | 5 P PRO % ")</f>
        <v xml:space="preserve">| 1 P PHP-CGM % | 3 L PHP-CGM @ | 5 P PRO % </v>
      </c>
      <c r="AD393" s="4" t="str">
        <f ca="1">IFERROR(__xludf.DUMMYFUNCTION("""COMPUTED_VALUE"""),"| 1 L JAVA % | 2 L PHP-CGM @ | 3 P NS @ | 6 L NS @ | 5 L CPT @ ")</f>
        <v xml:space="preserve">| 1 L JAVA % | 2 L PHP-CGM @ | 3 P NS @ | 6 L NS @ | 5 L CPT @ </v>
      </c>
      <c r="AE393" s="4" t="str">
        <f ca="1">IFERROR(__xludf.DUMMYFUNCTION("""COMPUTED_VALUE"""),"| 3 P JAVA % | 5 L JAVA % | 6 L NS % ")</f>
        <v xml:space="preserve">| 3 P JAVA % | 5 L JAVA % | 6 L NS % </v>
      </c>
      <c r="AF393" s="4" t="str">
        <f ca="1">IFERROR(__xludf.DUMMYFUNCTION("""COMPUTED_VALUE"""),"| 1 P JAVA % | 3 P Python % | 5 L NS % | 6 L CPT % ")</f>
        <v xml:space="preserve">| 1 P JAVA % | 3 P Python % | 5 L NS % | 6 L CPT % </v>
      </c>
      <c r="AG393" s="4" t="str">
        <f ca="1">IFERROR(__xludf.DUMMYFUNCTION("""COMPUTED_VALUE"""),"| 1 P Python % | 3 L CPT % | 4 L PHP-CGM % | 5 P CPT % ")</f>
        <v xml:space="preserve">| 1 P Python % | 3 L CPT % | 4 L PHP-CGM % | 5 P CPT % </v>
      </c>
      <c r="AH393" s="4" t="str">
        <f ca="1">IFERROR(__xludf.DUMMYFUNCTION("""COMPUTED_VALUE"""),"| 1 P JAVA % | 3 P Python % | 5 L NS % | 6 L CPT % ")</f>
        <v xml:space="preserve">| 1 P JAVA % | 3 P Python % | 5 L NS % | 6 L CPT % </v>
      </c>
      <c r="AI393" s="4" t="str">
        <f ca="1">IFERROR(__xludf.DUMMYFUNCTION("""COMPUTED_VALUE"""),"| 1 P Python % | 3 L CPT % | 4 L PHP-CGM @ | 5 P CPT % ")</f>
        <v xml:space="preserve">| 1 P Python % | 3 L CPT % | 4 L PHP-CGM @ | 5 P CPT % </v>
      </c>
      <c r="AJ393" s="4" t="str">
        <f ca="1">IFERROR(__xludf.DUMMYFUNCTION("""COMPUTED_VALUE"""),"| 1 P PHP-CGM @ | 3 L PHP-CGM @ | 4 L JAVA @ | 5 P PRO @ ")</f>
        <v xml:space="preserve">| 1 P PHP-CGM @ | 3 L PHP-CGM @ | 4 L JAVA @ | 5 P PRO @ </v>
      </c>
      <c r="AK393" s="4" t="str">
        <f ca="1">IFERROR(__xludf.DUMMYFUNCTION("""COMPUTED_VALUE"""),"| 1 L JAVA @ | 2 L PHP-CGM @ | 3 P NS @ | 5 L CPT % | 6 L NS @ ")</f>
        <v xml:space="preserve">| 1 L JAVA @ | 2 L PHP-CGM @ | 3 P NS @ | 5 L CPT % | 6 L NS @ </v>
      </c>
      <c r="AL393" s="4" t="str">
        <f ca="1">IFERROR(__xludf.DUMMYFUNCTION("""COMPUTED_VALUE"""),"| 3 P JAVA % | 5 L JAVA % | 6 L NS % ")</f>
        <v xml:space="preserve">| 3 P JAVA % | 5 L JAVA % | 6 L NS % </v>
      </c>
      <c r="AM393" s="4" t="str">
        <f ca="1">IFERROR(__xludf.DUMMYFUNCTION("""COMPUTED_VALUE"""),"| 1 P JAVA % | 3 P Python % | 5 L NS % | 6 L CPT % ")</f>
        <v xml:space="preserve">| 1 P JAVA % | 3 P Python % | 5 L NS % | 6 L CPT % </v>
      </c>
      <c r="AN393" s="4" t="str">
        <f ca="1">IFERROR(__xludf.DUMMYFUNCTION("""COMPUTED_VALUE"""),"| 1 P Python % | 4 L PHP-CGM % | 5 P CPT % ")</f>
        <v xml:space="preserve">| 1 P Python % | 4 L PHP-CGM % | 5 P CPT % </v>
      </c>
      <c r="AO393" s="4" t="str">
        <f ca="1">IFERROR(__xludf.DUMMYFUNCTION("""COMPUTED_VALUE"""),"| 1 P PHP-CGM % | 3 L PHP-CGM % | 4 L JAVA % | 5 P PRO % ")</f>
        <v xml:space="preserve">| 1 P PHP-CGM % | 3 L PHP-CGM % | 4 L JAVA % | 5 P PRO % </v>
      </c>
      <c r="AP39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393" s="4" t="str">
        <f ca="1">IFERROR(__xludf.DUMMYFUNCTION("""COMPUTED_VALUE"""),"| 1 L INE @ | 3 P JAVA @ | 5 L JAVA @ | 6 L NS @ ")</f>
        <v xml:space="preserve">| 1 L INE @ | 3 P JAVA @ | 5 L JAVA @ | 6 L NS @ </v>
      </c>
      <c r="AR393" s="4" t="str">
        <f ca="1">IFERROR(__xludf.DUMMYFUNCTION("""COMPUTED_VALUE"""),"| 1 P JAVA @ | 3 L CPT % | 3 P Python % | 5 L NS @ | 6 L CPT @ ")</f>
        <v xml:space="preserve">| 1 P JAVA @ | 3 L CPT % | 3 P Python % | 5 L NS @ | 6 L CPT @ </v>
      </c>
      <c r="AS393" s="4" t="str">
        <f ca="1">IFERROR(__xludf.DUMMYFUNCTION("""COMPUTED_VALUE"""),"| 1 P PHP-CGM % | 3 L PHP-CGM % | 4 L JAVA % | 5 P PRO % ")</f>
        <v xml:space="preserve">| 1 P PHP-CGM % | 3 L PHP-CGM % | 4 L JAVA % | 5 P PRO % </v>
      </c>
      <c r="AT39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93" s="4" t="str">
        <f ca="1">IFERROR(__xludf.DUMMYFUNCTION("""COMPUTED_VALUE"""),"| 1 L INE % | 3 P JAVA % | 5 L JAVA % | 6 L NS % ")</f>
        <v xml:space="preserve">| 1 L INE % | 3 P JAVA % | 5 L JAVA % | 6 L NS % </v>
      </c>
      <c r="AV393" s="4" t="str">
        <f ca="1">IFERROR(__xludf.DUMMYFUNCTION("""COMPUTED_VALUE"""),"| 1 P JAVA % | 3 P Python % | 5 L NS % | 6 L CPT % ")</f>
        <v xml:space="preserve">| 1 P JAVA % | 3 P Python % | 5 L NS % | 6 L CPT % </v>
      </c>
      <c r="AW393" s="4" t="str">
        <f ca="1">IFERROR(__xludf.DUMMYFUNCTION("""COMPUTED_VALUE"""),"| 1 P Python % | 3 L CPT % | 4 L PHP-CGM % | 5 P CPT @ ")</f>
        <v xml:space="preserve">| 1 P Python % | 3 L CPT % | 4 L PHP-CGM % | 5 P CPT @ </v>
      </c>
      <c r="AX393" s="4" t="str">
        <f ca="1">IFERROR(__xludf.DUMMYFUNCTION("""COMPUTED_VALUE"""),"| 1 P PHP-CGM % | 3 L JAVA % | 4 L PHP-CGM % | 5 P PRO % ")</f>
        <v xml:space="preserve">| 1 P PHP-CGM % | 3 L JAVA % | 4 L PHP-CGM % | 5 P PRO % </v>
      </c>
      <c r="AY393" s="4" t="str">
        <f ca="1">IFERROR(__xludf.DUMMYFUNCTION("""COMPUTED_VALUE"""),"| 2 L PHP-CGM % | 3 P NS % | 5 L CPT @ | 6 L NS @ | 1 L JAVA % ")</f>
        <v xml:space="preserve">| 2 L PHP-CGM % | 3 P NS % | 5 L CPT @ | 6 L NS @ | 1 L JAVA % </v>
      </c>
      <c r="AZ393" s="4" t="str">
        <f ca="1">IFERROR(__xludf.DUMMYFUNCTION("""COMPUTED_VALUE"""),"| 1 P JAVA % | 3 P Python % | 5 L NS % | 6 L CPT % ")</f>
        <v xml:space="preserve">| 1 P JAVA % | 3 P Python % | 5 L NS % | 6 L CPT % </v>
      </c>
      <c r="BA393" s="4" t="str">
        <f ca="1">IFERROR(__xludf.DUMMYFUNCTION("""COMPUTED_VALUE"""),"| 1 P Python % | 3 L CPT % | 4 L PHP-CGM % | 5 P CPT % ")</f>
        <v xml:space="preserve">| 1 P Python % | 3 L CPT % | 4 L PHP-CGM % | 5 P CPT % </v>
      </c>
      <c r="BB393" s="4" t="str">
        <f ca="1">IFERROR(__xludf.DUMMYFUNCTION("""COMPUTED_VALUE"""),"| 1 P PHP-CGM % | 3 L PHP-CGM % | 4 L JAVA % | 5 L PRO % ")</f>
        <v xml:space="preserve">| 1 P PHP-CGM % | 3 L PHP-CGM % | 4 L JAVA % | 5 L PRO % </v>
      </c>
      <c r="BC393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393" s="4" t="str">
        <f ca="1">IFERROR(__xludf.DUMMYFUNCTION("""COMPUTED_VALUE"""),"| 1 L INE % | 3 P JAVA % | 5 L JAVA % | 6 L NS % ")</f>
        <v xml:space="preserve">| 1 L INE % | 3 P JAVA % | 5 L JAVA % | 6 L NS % </v>
      </c>
      <c r="BE393" s="4" t="str">
        <f ca="1">IFERROR(__xludf.DUMMYFUNCTION("""COMPUTED_VALUE"""),"| 1 P JAVA % | 3 P Python % | 5 L NS @ | 6 L CPT @ ")</f>
        <v xml:space="preserve">| 1 P JAVA % | 3 P Python % | 5 L NS @ | 6 L CPT @ </v>
      </c>
      <c r="BF393" s="4" t="str">
        <f ca="1">IFERROR(__xludf.DUMMYFUNCTION("""COMPUTED_VALUE"""),"| 1 P Python % | 3 L CPT % | 4 L PHP-CGM % | 5 P CPT % ")</f>
        <v xml:space="preserve">| 1 P Python % | 3 L CPT % | 4 L PHP-CGM % | 5 P CPT % </v>
      </c>
      <c r="BG39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93" s="4" t="str">
        <f ca="1">IFERROR(__xludf.DUMMYFUNCTION("""COMPUTED_VALUE"""),"| 1 L INE % | 3 P JAVA % | 5 L JAVA @ | 6 L NS @ ")</f>
        <v xml:space="preserve">| 1 L INE % | 3 P JAVA % | 5 L JAVA @ | 6 L NS @ </v>
      </c>
      <c r="BI393" s="4" t="str">
        <f ca="1">IFERROR(__xludf.DUMMYFUNCTION("""COMPUTED_VALUE"""),"| 1 P JAVA % | 3 P Python % | 5 L NS % | 6 L CPT % ")</f>
        <v xml:space="preserve">| 1 P JAVA % | 3 P Python % | 5 L NS % | 6 L CPT % </v>
      </c>
      <c r="BJ393" s="4" t="str">
        <f ca="1">IFERROR(__xludf.DUMMYFUNCTION("""COMPUTED_VALUE"""),"| 1 P Python % | 3 L CPT % | 4 L PHP-CGM @ | 5 P CPT % ")</f>
        <v xml:space="preserve">| 1 P Python % | 3 L CPT % | 4 L PHP-CGM @ | 5 P CPT % </v>
      </c>
      <c r="BK393" s="4" t="str">
        <f ca="1">IFERROR(__xludf.DUMMYFUNCTION("""COMPUTED_VALUE"""),"| 1 P PHP-CGM @ | 3 L PHP-CGM @ | 4 L JAVA @ | 5 P PRO @ ")</f>
        <v xml:space="preserve">| 1 P PHP-CGM @ | 3 L PHP-CGM @ | 4 L JAVA @ | 5 P PRO @ </v>
      </c>
      <c r="BL393" s="4" t="str">
        <f ca="1">IFERROR(__xludf.DUMMYFUNCTION("""COMPUTED_VALUE"""),"| 1 L JAVA % | 2 L PHP-CGM % | 3 P NS @ | 6 L NS % | 5 L CPT % ")</f>
        <v xml:space="preserve">| 1 L JAVA % | 2 L PHP-CGM % | 3 P NS @ | 6 L NS % | 5 L CPT % </v>
      </c>
      <c r="BM393" s="4" t="str">
        <f ca="1">IFERROR(__xludf.DUMMYFUNCTION("""COMPUTED_VALUE"""),"| 1 L INE @ | 3 P JAVA @ | 5 L JAVA @ | 6 L NS @ ")</f>
        <v xml:space="preserve">| 1 L INE @ | 3 P JAVA @ | 5 L JAVA @ | 6 L NS @ </v>
      </c>
      <c r="BN393" s="4" t="str">
        <f ca="1">IFERROR(__xludf.DUMMYFUNCTION("""COMPUTED_VALUE"""),"| 1 P JAVA @ | 3 P Python @ | 5 L NS % | 6 L CPT @ ")</f>
        <v xml:space="preserve">| 1 P JAVA @ | 3 P Python @ | 5 L NS % | 6 L CPT @ </v>
      </c>
      <c r="BO393" s="4" t="str">
        <f ca="1">IFERROR(__xludf.DUMMYFUNCTION("""COMPUTED_VALUE"""),"| 1 P Python % | 4 L PHP-CGM % | 3 L CPT % | 5 P CPT % ")</f>
        <v xml:space="preserve">| 1 P Python % | 4 L PHP-CGM % | 3 L CPT % | 5 P CPT % </v>
      </c>
      <c r="BP393" s="4" t="str">
        <f ca="1">IFERROR(__xludf.DUMMYFUNCTION("""COMPUTED_VALUE"""),"| 1 P PHP-CGM % | 3 L PHP-CGM % | 4 L JAVA % | 6 P PRO @ ")</f>
        <v xml:space="preserve">| 1 P PHP-CGM % | 3 L PHP-CGM % | 4 L JAVA % | 6 P PRO @ </v>
      </c>
      <c r="BQ393" s="4" t="str">
        <f ca="1">IFERROR(__xludf.DUMMYFUNCTION("""COMPUTED_VALUE"""),"| 6 L NS % | 5 L JAVA @ ")</f>
        <v xml:space="preserve">| 6 L NS % | 5 L JAVA @ </v>
      </c>
      <c r="BR393" s="4"/>
      <c r="BS393" s="4" t="str">
        <f ca="1">IFERROR(__xludf.DUMMYFUNCTION("""COMPUTED_VALUE"""),"| 4 L PHP-CGM % ")</f>
        <v xml:space="preserve">| 4 L PHP-CGM % </v>
      </c>
      <c r="BT393" s="4" t="str">
        <f ca="1">IFERROR(__xludf.DUMMYFUNCTION("""COMPUTED_VALUE"""),"| 1 P PHP-CGM % | 3 L PHP-CGM % ")</f>
        <v xml:space="preserve">| 1 P PHP-CGM % | 3 L PHP-CGM % </v>
      </c>
      <c r="BU393" s="4" t="str">
        <f ca="1">IFERROR(__xludf.DUMMYFUNCTION("""COMPUTED_VALUE"""),"| 1 L JAVA @ | 2 L PHP-CGM @ | 3 P NS % ")</f>
        <v xml:space="preserve">| 1 L JAVA @ | 2 L PHP-CGM @ | 3 P NS % </v>
      </c>
      <c r="BV393" s="4" t="str">
        <f ca="1">IFERROR(__xludf.DUMMYFUNCTION("""COMPUTED_VALUE"""),"| 1 P PHP-CGM % | 3 L PHP-CGM % | 4 L JAVA % | 5 P PRO % ")</f>
        <v xml:space="preserve">| 1 P PHP-CGM % | 3 L PHP-CGM % | 4 L JAVA % | 5 P PRO % </v>
      </c>
      <c r="BW393" s="4" t="str">
        <f ca="1">IFERROR(__xludf.DUMMYFUNCTION("""COMPUTED_VALUE"""),"| 1 L JAVA @ | 2 L PHP-CGM @ | 3 P NS % ")</f>
        <v xml:space="preserve">| 1 L JAVA @ | 2 L PHP-CGM @ | 3 P NS % </v>
      </c>
      <c r="BX393" s="4" t="str">
        <f ca="1">IFERROR(__xludf.DUMMYFUNCTION("""COMPUTED_VALUE"""),"| 1 L INE % | 3 P JAVA % | 5 L JAVA @ | 6 L NS @ ")</f>
        <v xml:space="preserve">| 1 L INE % | 3 P JAVA % | 5 L JAVA @ | 6 L NS @ </v>
      </c>
      <c r="BY393" s="4" t="str">
        <f ca="1">IFERROR(__xludf.DUMMYFUNCTION("""COMPUTED_VALUE"""),"| 1 P JAVA @ | 3 P Python @ | 5 L NS @ | 6 L CPT @ ")</f>
        <v xml:space="preserve">| 1 P JAVA @ | 3 P Python @ | 5 L NS @ | 6 L CPT @ </v>
      </c>
      <c r="BZ393" s="4" t="str">
        <f ca="1">IFERROR(__xludf.DUMMYFUNCTION("""COMPUTED_VALUE"""),"| 1 P Python % | 3 L CPT @ | 4 L PHP-CGM % | 5 P CPT % ")</f>
        <v xml:space="preserve">| 1 P Python % | 3 L CPT @ | 4 L PHP-CGM % | 5 P CPT % </v>
      </c>
      <c r="CA393" s="4" t="str">
        <f ca="1">IFERROR(__xludf.DUMMYFUNCTION("""COMPUTED_VALUE"""),"| 1 P PHP-CGM % | 3 L PHP-CGM % | 3 L JAVA % | 5 P PRO % ")</f>
        <v xml:space="preserve">| 1 P PHP-CGM % | 3 L PHP-CGM % | 3 L JAVA % | 5 P PRO % </v>
      </c>
      <c r="CB393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CC393" s="4" t="str">
        <f ca="1">IFERROR(__xludf.DUMMYFUNCTION("""COMPUTED_VALUE"""),"| 1 L INE @ | 3 P JAVA @ | 5 L JAVA @ | 6 L NS @ ")</f>
        <v xml:space="preserve">| 1 L INE @ | 3 P JAVA @ | 5 L JAVA @ | 6 L NS @ </v>
      </c>
      <c r="CD393" s="4" t="str">
        <f ca="1">IFERROR(__xludf.DUMMYFUNCTION("""COMPUTED_VALUE"""),"| 1 P JAVA @ | 3 P Python @ | 5 L NS @ | 6 L CPT @ ")</f>
        <v xml:space="preserve">| 1 P JAVA @ | 3 P Python @ | 5 L NS @ | 6 L CPT @ </v>
      </c>
      <c r="CE393" s="4" t="str">
        <f ca="1">IFERROR(__xludf.DUMMYFUNCTION("""COMPUTED_VALUE"""),"| 1 P Python % | 3 L CPT @ | 4 L PHP-CGM @ | 5 P CPT @ ")</f>
        <v xml:space="preserve">| 1 P Python % | 3 L CPT @ | 4 L PHP-CGM @ | 5 P CPT @ </v>
      </c>
      <c r="CF393" s="4" t="str">
        <f ca="1">IFERROR(__xludf.DUMMYFUNCTION("""COMPUTED_VALUE"""),"| 1 P PHP-CGM % | 4 L JAVA @ | 3 L PHP-CGM @ | 5 L PRO % ")</f>
        <v xml:space="preserve">| 1 P PHP-CGM % | 4 L JAVA @ | 3 L PHP-CGM @ | 5 L PRO % </v>
      </c>
      <c r="CG393" s="4" t="str">
        <f ca="1">IFERROR(__xludf.DUMMYFUNCTION("""COMPUTED_VALUE"""),"| 1 L JAVA % | 2 L PHP-CGM % | 3 P NS % | 6 L NS @ ")</f>
        <v xml:space="preserve">| 1 L JAVA % | 2 L PHP-CGM % | 3 P NS % | 6 L NS @ </v>
      </c>
      <c r="CH393" s="4" t="str">
        <f ca="1">IFERROR(__xludf.DUMMYFUNCTION("""COMPUTED_VALUE"""),"| 1 L INE @ | 3 P JAVA % | 5 L JAVA @ | 6 L NS @ ")</f>
        <v xml:space="preserve">| 1 L INE @ | 3 P JAVA % | 5 L JAVA @ | 6 L NS @ </v>
      </c>
      <c r="CI393" s="4" t="str">
        <f ca="1">IFERROR(__xludf.DUMMYFUNCTION("""COMPUTED_VALUE"""),"| 5 L NS @ | 6 L CPT @ ")</f>
        <v xml:space="preserve">| 5 L NS @ | 6 L CPT @ </v>
      </c>
      <c r="CJ393" s="4" t="str">
        <f ca="1">IFERROR(__xludf.DUMMYFUNCTION("""COMPUTED_VALUE"""),"| 3 L CPT % | 5 P CPT % ")</f>
        <v xml:space="preserve">| 3 L CPT % | 5 P CPT % </v>
      </c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</row>
    <row r="394" spans="1:102" ht="12.5" x14ac:dyDescent="0.25">
      <c r="A394" s="3">
        <f ca="1">IFERROR(__xludf.DUMMYFUNCTION("""COMPUTED_VALUE"""),3)</f>
        <v>3</v>
      </c>
      <c r="B394" s="3" t="str">
        <f ca="1">IFERROR(__xludf.DUMMYFUNCTION("""COMPUTED_VALUE"""),"ITA")</f>
        <v>ITA</v>
      </c>
      <c r="C394" s="32" t="str">
        <f ca="1">IFERROR(__xludf.DUMMYFUNCTION("""COMPUTED_VALUE"""),"23291371119")</f>
        <v>23291371119</v>
      </c>
      <c r="D394" s="4" t="str">
        <f ca="1">IFERROR(__xludf.DUMMYFUNCTION("""COMPUTED_VALUE"""),"PURVI SANKHLA")</f>
        <v>PURVI SANKHLA</v>
      </c>
      <c r="E394" s="3" t="str">
        <f ca="1">IFERROR(__xludf.DUMMYFUNCTION("""COMPUTED_VALUE"""),"Sweety - Mor")</f>
        <v>Sweety - Mor</v>
      </c>
      <c r="F394" s="3">
        <f ca="1">IFERROR(__xludf.DUMMYFUNCTION("""COMPUTED_VALUE"""),6355275445)</f>
        <v>6355275445</v>
      </c>
      <c r="G394" s="3">
        <f ca="1">IFERROR(__xludf.DUMMYFUNCTION("""COMPUTED_VALUE"""),9924315303)</f>
        <v>9924315303</v>
      </c>
      <c r="H394" s="33">
        <f ca="1">IFERROR(__xludf.DUMMYFUNCTION("""COMPUTED_VALUE"""),0.0401606425702811)</f>
        <v>4.0160642570281103E-2</v>
      </c>
      <c r="I394" s="25">
        <f ca="1">IFERROR(__xludf.DUMMYFUNCTION("""COMPUTED_VALUE"""),0.0571428571428571)</f>
        <v>5.7142857142857099E-2</v>
      </c>
      <c r="J394" s="25">
        <f ca="1">IFERROR(__xludf.DUMMYFUNCTION("""COMPUTED_VALUE"""),0)</f>
        <v>0</v>
      </c>
      <c r="K394" s="25">
        <f ca="1">IFERROR(__xludf.DUMMYFUNCTION("""COMPUTED_VALUE"""),0)</f>
        <v>0</v>
      </c>
      <c r="L394" s="25">
        <f ca="1">IFERROR(__xludf.DUMMYFUNCTION("""COMPUTED_VALUE"""),0.0769230769230769)</f>
        <v>7.69230769230769E-2</v>
      </c>
      <c r="M394" s="25">
        <f ca="1">IFERROR(__xludf.DUMMYFUNCTION("""COMPUTED_VALUE"""),0.105263157894736)</f>
        <v>0.105263157894736</v>
      </c>
      <c r="N394" s="25">
        <f ca="1">IFERROR(__xludf.DUMMYFUNCTION("""COMPUTED_VALUE"""),0.0769230769230769)</f>
        <v>7.69230769230769E-2</v>
      </c>
      <c r="O394" s="25">
        <f ca="1">IFERROR(__xludf.DUMMYFUNCTION("""COMPUTED_VALUE"""),0)</f>
        <v>0</v>
      </c>
      <c r="P394" s="25">
        <f ca="1">IFERROR(__xludf.DUMMYFUNCTION("""COMPUTED_VALUE"""),0.0434782608695652)</f>
        <v>4.3478260869565202E-2</v>
      </c>
      <c r="Q394" s="25">
        <f ca="1">IFERROR(__xludf.DUMMYFUNCTION("""COMPUTED_VALUE"""),0)</f>
        <v>0</v>
      </c>
      <c r="R394" s="25">
        <f ca="1">IFERROR(__xludf.DUMMYFUNCTION("""COMPUTED_VALUE"""),0)</f>
        <v>0</v>
      </c>
      <c r="S394" s="25">
        <f ca="1">IFERROR(__xludf.DUMMYFUNCTION("""COMPUTED_VALUE"""),0.333333333333333)</f>
        <v>0.33333333333333298</v>
      </c>
      <c r="T394" s="25">
        <f ca="1">IFERROR(__xludf.DUMMYFUNCTION("""COMPUTED_VALUE"""),0)</f>
        <v>0</v>
      </c>
      <c r="U394" s="25">
        <f ca="1">IFERROR(__xludf.DUMMYFUNCTION("""COMPUTED_VALUE"""),0)</f>
        <v>0</v>
      </c>
      <c r="V394" s="25">
        <f ca="1">IFERROR(__xludf.DUMMYFUNCTION("""COMPUTED_VALUE"""),0)</f>
        <v>0</v>
      </c>
      <c r="W394" s="4"/>
      <c r="X394" s="4" t="str">
        <f ca="1">IFERROR(__xludf.DUMMYFUNCTION("""COMPUTED_VALUE"""),"| 4 L JAVA @ | 1 P PHP-CGM % | 3 L PHP-CGM @ | 1 L PRO @ ")</f>
        <v xml:space="preserve">| 4 L JAVA @ | 1 P PHP-CGM % | 3 L PHP-CGM @ | 1 L PRO @ </v>
      </c>
      <c r="Y39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394" s="4" t="str">
        <f ca="1">IFERROR(__xludf.DUMMYFUNCTION("""COMPUTED_VALUE"""),"| 3 P JAVA @ | 5 L JAVA @ | 6 L NS @ ")</f>
        <v xml:space="preserve">| 3 P JAVA @ | 5 L JAVA @ | 6 L NS @ </v>
      </c>
      <c r="AA394" s="4" t="str">
        <f ca="1">IFERROR(__xludf.DUMMYFUNCTION("""COMPUTED_VALUE"""),"| 1 P JAVA @ | 3 P Python @ | 5 L NS @ | 6 L CPT @ ")</f>
        <v xml:space="preserve">| 1 P JAVA @ | 3 P Python @ | 5 L NS @ | 6 L CPT @ </v>
      </c>
      <c r="AB394" s="4" t="str">
        <f ca="1">IFERROR(__xludf.DUMMYFUNCTION("""COMPUTED_VALUE"""),"| 1 P Python @ | 3 L CPT @ | 4 L PHP-CGM @ | 5 P CPT @ ")</f>
        <v xml:space="preserve">| 1 P Python @ | 3 L CPT @ | 4 L PHP-CGM @ | 5 P CPT @ </v>
      </c>
      <c r="AC394" s="4" t="str">
        <f ca="1">IFERROR(__xludf.DUMMYFUNCTION("""COMPUTED_VALUE"""),"| 1 P PHP-CGM @ | 3 L PHP-CGM @ | 5 P PRO @ ")</f>
        <v xml:space="preserve">| 1 P PHP-CGM @ | 3 L PHP-CGM @ | 5 P PRO @ </v>
      </c>
      <c r="AD394" s="4" t="str">
        <f ca="1">IFERROR(__xludf.DUMMYFUNCTION("""COMPUTED_VALUE"""),"| 1 L JAVA @ | 2 L PHP-CGM % | 3 P NS @ | 6 L NS @ | 5 L CPT @ ")</f>
        <v xml:space="preserve">| 1 L JAVA @ | 2 L PHP-CGM % | 3 P NS @ | 6 L NS @ | 5 L CPT @ </v>
      </c>
      <c r="AE394" s="4" t="str">
        <f ca="1">IFERROR(__xludf.DUMMYFUNCTION("""COMPUTED_VALUE"""),"| 3 P JAVA @ | 5 L JAVA @ | 6 L NS @ ")</f>
        <v xml:space="preserve">| 3 P JAVA @ | 5 L JAVA @ | 6 L NS @ </v>
      </c>
      <c r="AF394" s="4" t="str">
        <f ca="1">IFERROR(__xludf.DUMMYFUNCTION("""COMPUTED_VALUE"""),"| 1 P JAVA @ | 3 P Python @ | 5 L NS @ | 6 L CPT @ ")</f>
        <v xml:space="preserve">| 1 P JAVA @ | 3 P Python @ | 5 L NS @ | 6 L CPT @ </v>
      </c>
      <c r="AG394" s="4" t="str">
        <f ca="1">IFERROR(__xludf.DUMMYFUNCTION("""COMPUTED_VALUE"""),"| 1 P Python @ | 3 L CPT @ | 4 L PHP-CGM % | 5 P CPT @ ")</f>
        <v xml:space="preserve">| 1 P Python @ | 3 L CPT @ | 4 L PHP-CGM % | 5 P CPT @ </v>
      </c>
      <c r="AH394" s="4" t="str">
        <f ca="1">IFERROR(__xludf.DUMMYFUNCTION("""COMPUTED_VALUE"""),"| 1 P JAVA @ | 3 P Python @ | 5 L NS @ | 6 L CPT @ ")</f>
        <v xml:space="preserve">| 1 P JAVA @ | 3 P Python @ | 5 L NS @ | 6 L CPT @ </v>
      </c>
      <c r="AI394" s="4" t="str">
        <f ca="1">IFERROR(__xludf.DUMMYFUNCTION("""COMPUTED_VALUE"""),"| 1 P Python @ | 3 L CPT @ | 4 L PHP-CGM % | 5 P CPT @ ")</f>
        <v xml:space="preserve">| 1 P Python @ | 3 L CPT @ | 4 L PHP-CGM % | 5 P CPT @ </v>
      </c>
      <c r="AJ394" s="4" t="str">
        <f ca="1">IFERROR(__xludf.DUMMYFUNCTION("""COMPUTED_VALUE"""),"| 1 P PHP-CGM @ | 3 L PHP-CGM @ | 4 L JAVA @ | 5 P PRO @ ")</f>
        <v xml:space="preserve">| 1 P PHP-CGM @ | 3 L PHP-CGM @ | 4 L JAVA @ | 5 P PRO @ </v>
      </c>
      <c r="AK394" s="4" t="str">
        <f ca="1">IFERROR(__xludf.DUMMYFUNCTION("""COMPUTED_VALUE"""),"| 1 L JAVA @ | 2 L PHP-CGM @ | 3 P NS @ | 5 L CPT % | 6 L NS @ ")</f>
        <v xml:space="preserve">| 1 L JAVA @ | 2 L PHP-CGM @ | 3 P NS @ | 5 L CPT % | 6 L NS @ </v>
      </c>
      <c r="AL394" s="4" t="str">
        <f ca="1">IFERROR(__xludf.DUMMYFUNCTION("""COMPUTED_VALUE"""),"| 3 P JAVA @ | 5 L JAVA @ | 6 L NS @ ")</f>
        <v xml:space="preserve">| 3 P JAVA @ | 5 L JAVA @ | 6 L NS @ </v>
      </c>
      <c r="AM394" s="4" t="str">
        <f ca="1">IFERROR(__xludf.DUMMYFUNCTION("""COMPUTED_VALUE"""),"| 1 P JAVA @ | 3 P Python @ | 5 L NS @ | 6 L CPT % ")</f>
        <v xml:space="preserve">| 1 P JAVA @ | 3 P Python @ | 5 L NS @ | 6 L CPT % </v>
      </c>
      <c r="AN394" s="4" t="str">
        <f ca="1">IFERROR(__xludf.DUMMYFUNCTION("""COMPUTED_VALUE"""),"| 1 P Python @ | 4 L PHP-CGM @ | 5 P CPT @ ")</f>
        <v xml:space="preserve">| 1 P Python @ | 4 L PHP-CGM @ | 5 P CPT @ </v>
      </c>
      <c r="AO394" s="4" t="str">
        <f ca="1">IFERROR(__xludf.DUMMYFUNCTION("""COMPUTED_VALUE"""),"| 1 P PHP-CGM @ | 3 L PHP-CGM @ | 4 L JAVA @ | 5 P PRO @ ")</f>
        <v xml:space="preserve">| 1 P PHP-CGM @ | 3 L PHP-CGM @ | 4 L JAVA @ | 5 P PRO @ </v>
      </c>
      <c r="AP39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Q394" s="4" t="str">
        <f ca="1">IFERROR(__xludf.DUMMYFUNCTION("""COMPUTED_VALUE"""),"| 1 L INE @ | 3 P JAVA @ | 5 L JAVA @ | 6 L NS @ ")</f>
        <v xml:space="preserve">| 1 L INE @ | 3 P JAVA @ | 5 L JAVA @ | 6 L NS @ </v>
      </c>
      <c r="AR394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394" s="4" t="str">
        <f ca="1">IFERROR(__xludf.DUMMYFUNCTION("""COMPUTED_VALUE"""),"| 1 P PHP-CGM @ | 3 L PHP-CGM @ | 4 L JAVA @ | 5 P PRO @ ")</f>
        <v xml:space="preserve">| 1 P PHP-CGM @ | 3 L PHP-CGM @ | 4 L JAVA @ | 5 P PRO @ </v>
      </c>
      <c r="AT39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U394" s="4" t="str">
        <f ca="1">IFERROR(__xludf.DUMMYFUNCTION("""COMPUTED_VALUE"""),"| 1 L INE @ | 3 P JAVA @ | 5 L JAVA @ | 6 L NS @ ")</f>
        <v xml:space="preserve">| 1 L INE @ | 3 P JAVA @ | 5 L JAVA @ | 6 L NS @ </v>
      </c>
      <c r="AV394" s="4" t="str">
        <f ca="1">IFERROR(__xludf.DUMMYFUNCTION("""COMPUTED_VALUE"""),"| 1 P JAVA @ | 3 P Python @ | 5 L NS @ | 6 L CPT @ ")</f>
        <v xml:space="preserve">| 1 P JAVA @ | 3 P Python @ | 5 L NS @ | 6 L CPT @ </v>
      </c>
      <c r="AW394" s="4" t="str">
        <f ca="1">IFERROR(__xludf.DUMMYFUNCTION("""COMPUTED_VALUE"""),"| 1 P Python @ | 3 L CPT @ | 4 L PHP-CGM @ | 5 P CPT @ ")</f>
        <v xml:space="preserve">| 1 P Python @ | 3 L CPT @ | 4 L PHP-CGM @ | 5 P CPT @ </v>
      </c>
      <c r="AX394" s="4" t="str">
        <f ca="1">IFERROR(__xludf.DUMMYFUNCTION("""COMPUTED_VALUE"""),"| 1 P PHP-CGM @ | 3 L JAVA @ | 4 L PHP-CGM @ | 5 P PRO @ ")</f>
        <v xml:space="preserve">| 1 P PHP-CGM @ | 3 L JAVA @ | 4 L PHP-CGM @ | 5 P PRO @ </v>
      </c>
      <c r="AY394" s="4" t="str">
        <f ca="1">IFERROR(__xludf.DUMMYFUNCTION("""COMPUTED_VALUE"""),"| 2 L PHP-CGM @ | 3 P NS % | 5 L CPT @ | 6 L NS @ | 1 L JAVA @ ")</f>
        <v xml:space="preserve">| 2 L PHP-CGM @ | 3 P NS % | 5 L CPT @ | 6 L NS @ | 1 L JAVA @ </v>
      </c>
      <c r="AZ394" s="4" t="str">
        <f ca="1">IFERROR(__xludf.DUMMYFUNCTION("""COMPUTED_VALUE"""),"| 1 P JAVA @ | 3 P Python @ | 5 L NS @ | 6 L CPT @ ")</f>
        <v xml:space="preserve">| 1 P JAVA @ | 3 P Python @ | 5 L NS @ | 6 L CPT @ </v>
      </c>
      <c r="BA394" s="4" t="str">
        <f ca="1">IFERROR(__xludf.DUMMYFUNCTION("""COMPUTED_VALUE"""),"| 1 P Python @ | 3 L CPT @ | 4 L PHP-CGM @ | 5 P CPT @ ")</f>
        <v xml:space="preserve">| 1 P Python @ | 3 L CPT @ | 4 L PHP-CGM @ | 5 P CPT @ </v>
      </c>
      <c r="BB394" s="4" t="str">
        <f ca="1">IFERROR(__xludf.DUMMYFUNCTION("""COMPUTED_VALUE"""),"| 1 P PHP-CGM @ | 3 L PHP-CGM @ | 4 L JAVA @ | 5 L PRO @ ")</f>
        <v xml:space="preserve">| 1 P PHP-CGM @ | 3 L PHP-CGM @ | 4 L JAVA @ | 5 L PRO @ </v>
      </c>
      <c r="BC394" s="4" t="str">
        <f ca="1">IFERROR(__xludf.DUMMYFUNCTION("""COMPUTED_VALUE"""),"| 1 L JAVA @ | 3 P NS @ | 2 L PHP-CGM @ | 5 L CPT @ | 6 L NS @ ")</f>
        <v xml:space="preserve">| 1 L JAVA @ | 3 P NS @ | 2 L PHP-CGM @ | 5 L CPT @ | 6 L NS @ </v>
      </c>
      <c r="BD394" s="4" t="str">
        <f ca="1">IFERROR(__xludf.DUMMYFUNCTION("""COMPUTED_VALUE"""),"| 1 L INE @ | 3 P JAVA @ | 5 L JAVA @ | 6 L NS @ ")</f>
        <v xml:space="preserve">| 1 L INE @ | 3 P JAVA @ | 5 L JAVA @ | 6 L NS @ </v>
      </c>
      <c r="BE394" s="4" t="str">
        <f ca="1">IFERROR(__xludf.DUMMYFUNCTION("""COMPUTED_VALUE"""),"| 1 P JAVA @ | 3 P Python @ | 5 L NS @ | 6 L CPT @ ")</f>
        <v xml:space="preserve">| 1 P JAVA @ | 3 P Python @ | 5 L NS @ | 6 L CPT @ </v>
      </c>
      <c r="BF394" s="4" t="str">
        <f ca="1">IFERROR(__xludf.DUMMYFUNCTION("""COMPUTED_VALUE"""),"| 1 P Python @ | 3 L CPT @ | 4 L PHP-CGM @ | 5 P CPT @ ")</f>
        <v xml:space="preserve">| 1 P Python @ | 3 L CPT @ | 4 L PHP-CGM @ | 5 P CPT @ </v>
      </c>
      <c r="BG39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BH394" s="4" t="str">
        <f ca="1">IFERROR(__xludf.DUMMYFUNCTION("""COMPUTED_VALUE"""),"| 1 L INE @ | 3 P JAVA @ | 5 L JAVA @ | 6 L NS @ ")</f>
        <v xml:space="preserve">| 1 L INE @ | 3 P JAVA @ | 5 L JAVA @ | 6 L NS @ </v>
      </c>
      <c r="BI394" s="4" t="str">
        <f ca="1">IFERROR(__xludf.DUMMYFUNCTION("""COMPUTED_VALUE"""),"| 1 P JAVA @ | 3 P Python @ | 5 L NS @ | 6 L CPT @ ")</f>
        <v xml:space="preserve">| 1 P JAVA @ | 3 P Python @ | 5 L NS @ | 6 L CPT @ </v>
      </c>
      <c r="BJ394" s="4" t="str">
        <f ca="1">IFERROR(__xludf.DUMMYFUNCTION("""COMPUTED_VALUE"""),"| 1 P Python @ | 3 L CPT @ | 4 L PHP-CGM @ | 5 P CPT @ ")</f>
        <v xml:space="preserve">| 1 P Python @ | 3 L CPT @ | 4 L PHP-CGM @ | 5 P CPT @ </v>
      </c>
      <c r="BK394" s="4" t="str">
        <f ca="1">IFERROR(__xludf.DUMMYFUNCTION("""COMPUTED_VALUE"""),"| 1 P PHP-CGM @ | 3 L PHP-CGM @ | 4 L JAVA @ | 5 P PRO @ ")</f>
        <v xml:space="preserve">| 1 P PHP-CGM @ | 3 L PHP-CGM @ | 4 L JAVA @ | 5 P PRO @ </v>
      </c>
      <c r="BL394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394" s="4" t="str">
        <f ca="1">IFERROR(__xludf.DUMMYFUNCTION("""COMPUTED_VALUE"""),"| 1 L INE @ | 3 P JAVA @ | 5 L JAVA @ | 6 L NS @ ")</f>
        <v xml:space="preserve">| 1 L INE @ | 3 P JAVA @ | 5 L JAVA @ | 6 L NS @ </v>
      </c>
      <c r="BN394" s="4" t="str">
        <f ca="1">IFERROR(__xludf.DUMMYFUNCTION("""COMPUTED_VALUE"""),"| 1 P JAVA @ | 3 P Python @ | 5 L NS @ | 6 L CPT @ ")</f>
        <v xml:space="preserve">| 1 P JAVA @ | 3 P Python @ | 5 L NS @ | 6 L CPT @ </v>
      </c>
      <c r="BO394" s="4" t="str">
        <f ca="1">IFERROR(__xludf.DUMMYFUNCTION("""COMPUTED_VALUE"""),"| 1 P Python @ | 4 L PHP-CGM @ | 3 L CPT @ | 5 P CPT @ ")</f>
        <v xml:space="preserve">| 1 P Python @ | 4 L PHP-CGM @ | 3 L CPT @ | 5 P CPT @ </v>
      </c>
      <c r="BP394" s="4" t="str">
        <f ca="1">IFERROR(__xludf.DUMMYFUNCTION("""COMPUTED_VALUE"""),"| 1 P PHP-CGM @ | 3 L PHP-CGM @ | 4 L JAVA @ | 6 P PRO @ ")</f>
        <v xml:space="preserve">| 1 P PHP-CGM @ | 3 L PHP-CGM @ | 4 L JAVA @ | 6 P PRO @ </v>
      </c>
      <c r="BQ394" s="4" t="str">
        <f ca="1">IFERROR(__xludf.DUMMYFUNCTION("""COMPUTED_VALUE"""),"| 6 L NS @ | 5 L JAVA @ ")</f>
        <v xml:space="preserve">| 6 L NS @ | 5 L JAVA @ </v>
      </c>
      <c r="BR394" s="4"/>
      <c r="BS394" s="4" t="str">
        <f ca="1">IFERROR(__xludf.DUMMYFUNCTION("""COMPUTED_VALUE"""),"| 4 L PHP-CGM % ")</f>
        <v xml:space="preserve">| 4 L PHP-CGM % </v>
      </c>
      <c r="BT394" s="4" t="str">
        <f ca="1">IFERROR(__xludf.DUMMYFUNCTION("""COMPUTED_VALUE"""),"| 1 P PHP-CGM @ | 3 L PHP-CGM @ ")</f>
        <v xml:space="preserve">| 1 P PHP-CGM @ | 3 L PHP-CGM @ </v>
      </c>
      <c r="BU394" s="4" t="str">
        <f ca="1">IFERROR(__xludf.DUMMYFUNCTION("""COMPUTED_VALUE"""),"| 1 L JAVA @ | 2 L PHP-CGM @ | 3 P NS @ ")</f>
        <v xml:space="preserve">| 1 L JAVA @ | 2 L PHP-CGM @ | 3 P NS @ </v>
      </c>
      <c r="BV394" s="4" t="str">
        <f ca="1">IFERROR(__xludf.DUMMYFUNCTION("""COMPUTED_VALUE"""),"| 1 P PHP-CGM @ | 3 L PHP-CGM @ | 4 L JAVA @ | 5 P PRO @ ")</f>
        <v xml:space="preserve">| 1 P PHP-CGM @ | 3 L PHP-CGM @ | 4 L JAVA @ | 5 P PRO @ </v>
      </c>
      <c r="BW394" s="4" t="str">
        <f ca="1">IFERROR(__xludf.DUMMYFUNCTION("""COMPUTED_VALUE"""),"| 1 L JAVA @ | 2 L PHP-CGM @ | 3 P NS @ ")</f>
        <v xml:space="preserve">| 1 L JAVA @ | 2 L PHP-CGM @ | 3 P NS @ </v>
      </c>
      <c r="BX394" s="4" t="str">
        <f ca="1">IFERROR(__xludf.DUMMYFUNCTION("""COMPUTED_VALUE"""),"| 1 L INE @ | 3 P JAVA @ | 5 L JAVA @ | 6 L NS @ ")</f>
        <v xml:space="preserve">| 1 L INE @ | 3 P JAVA @ | 5 L JAVA @ | 6 L NS @ </v>
      </c>
      <c r="BY394" s="4" t="str">
        <f ca="1">IFERROR(__xludf.DUMMYFUNCTION("""COMPUTED_VALUE"""),"| 1 P JAVA @ | 3 P Python @ | 5 L NS @ | 6 L CPT @ ")</f>
        <v xml:space="preserve">| 1 P JAVA @ | 3 P Python @ | 5 L NS @ | 6 L CPT @ </v>
      </c>
      <c r="BZ394" s="4" t="str">
        <f ca="1">IFERROR(__xludf.DUMMYFUNCTION("""COMPUTED_VALUE"""),"| 1 P Python @ | 3 L CPT @ | 4 L PHP-CGM @ | 5 P CPT @ ")</f>
        <v xml:space="preserve">| 1 P Python @ | 3 L CPT @ | 4 L PHP-CGM @ | 5 P CPT @ </v>
      </c>
      <c r="CA394" s="4" t="str">
        <f ca="1">IFERROR(__xludf.DUMMYFUNCTION("""COMPUTED_VALUE"""),"| 1 P PHP-CGM @ | 3 L PHP-CGM @ | 3 L JAVA @ | 5 P PRO @ ")</f>
        <v xml:space="preserve">| 1 P PHP-CGM @ | 3 L PHP-CGM @ | 3 L JAVA @ | 5 P PRO @ </v>
      </c>
      <c r="CB394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CC394" s="4" t="str">
        <f ca="1">IFERROR(__xludf.DUMMYFUNCTION("""COMPUTED_VALUE"""),"| 1 L INE @ | 3 P JAVA @ | 5 L JAVA @ | 6 L NS @ ")</f>
        <v xml:space="preserve">| 1 L INE @ | 3 P JAVA @ | 5 L JAVA @ | 6 L NS @ </v>
      </c>
      <c r="CD394" s="4" t="str">
        <f ca="1">IFERROR(__xludf.DUMMYFUNCTION("""COMPUTED_VALUE"""),"| 1 P JAVA @ | 3 P Python @ | 5 L NS @ | 6 L CPT @ ")</f>
        <v xml:space="preserve">| 1 P JAVA @ | 3 P Python @ | 5 L NS @ | 6 L CPT @ </v>
      </c>
      <c r="CE394" s="4" t="str">
        <f ca="1">IFERROR(__xludf.DUMMYFUNCTION("""COMPUTED_VALUE"""),"| 1 P Python @ | 3 L CPT @ | 4 L PHP-CGM @ | 5 P CPT @ ")</f>
        <v xml:space="preserve">| 1 P Python @ | 3 L CPT @ | 4 L PHP-CGM @ | 5 P CPT @ </v>
      </c>
      <c r="CF394" s="4" t="str">
        <f ca="1">IFERROR(__xludf.DUMMYFUNCTION("""COMPUTED_VALUE"""),"| 1 P PHP-CGM @ | 4 L JAVA @ | 3 L PHP-CGM @ | 5 L PRO % ")</f>
        <v xml:space="preserve">| 1 P PHP-CGM @ | 4 L JAVA @ | 3 L PHP-CGM @ | 5 L PRO % </v>
      </c>
      <c r="CG394" s="4" t="str">
        <f ca="1">IFERROR(__xludf.DUMMYFUNCTION("""COMPUTED_VALUE"""),"| 1 L JAVA @ | 2 L PHP-CGM @ | 3 P NS @ | 6 L NS @ ")</f>
        <v xml:space="preserve">| 1 L JAVA @ | 2 L PHP-CGM @ | 3 P NS @ | 6 L NS @ </v>
      </c>
      <c r="CH394" s="4" t="str">
        <f ca="1">IFERROR(__xludf.DUMMYFUNCTION("""COMPUTED_VALUE"""),"| 1 L INE @ | 3 P JAVA % | 5 L JAVA @ | 6 L NS @ ")</f>
        <v xml:space="preserve">| 1 L INE @ | 3 P JAVA % | 5 L JAVA @ | 6 L NS @ </v>
      </c>
      <c r="CI394" s="4" t="str">
        <f ca="1">IFERROR(__xludf.DUMMYFUNCTION("""COMPUTED_VALUE"""),"| 5 L NS @ | 6 L CPT @ ")</f>
        <v xml:space="preserve">| 5 L NS @ | 6 L CPT @ </v>
      </c>
      <c r="CJ394" s="4" t="str">
        <f ca="1">IFERROR(__xludf.DUMMYFUNCTION("""COMPUTED_VALUE"""),"| 3 L CPT @ | 5 P CPT @ ")</f>
        <v xml:space="preserve">| 3 L CPT @ | 5 P CPT @ </v>
      </c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</row>
    <row r="395" spans="1:102" ht="12.5" x14ac:dyDescent="0.25">
      <c r="A395" s="3">
        <f ca="1">IFERROR(__xludf.DUMMYFUNCTION("""COMPUTED_VALUE"""),3)</f>
        <v>3</v>
      </c>
      <c r="B395" s="3" t="str">
        <f ca="1">IFERROR(__xludf.DUMMYFUNCTION("""COMPUTED_VALUE"""),"ITA")</f>
        <v>ITA</v>
      </c>
      <c r="C395" s="32" t="str">
        <f ca="1">IFERROR(__xludf.DUMMYFUNCTION("""COMPUTED_VALUE"""),"23291371120")</f>
        <v>23291371120</v>
      </c>
      <c r="D395" s="4" t="str">
        <f ca="1">IFERROR(__xludf.DUMMYFUNCTION("""COMPUTED_VALUE"""),"RAJ KANUBHAI DESAI")</f>
        <v>RAJ KANUBHAI DESAI</v>
      </c>
      <c r="E395" s="3" t="str">
        <f ca="1">IFERROR(__xludf.DUMMYFUNCTION("""COMPUTED_VALUE"""),"Sweety - Mor")</f>
        <v>Sweety - Mor</v>
      </c>
      <c r="F395" s="3">
        <f ca="1">IFERROR(__xludf.DUMMYFUNCTION("""COMPUTED_VALUE"""),6356684498)</f>
        <v>6356684498</v>
      </c>
      <c r="G395" s="3">
        <f ca="1">IFERROR(__xludf.DUMMYFUNCTION("""COMPUTED_VALUE"""),9925614070)</f>
        <v>9925614070</v>
      </c>
      <c r="H395" s="33">
        <f ca="1">IFERROR(__xludf.DUMMYFUNCTION("""COMPUTED_VALUE"""),0.646586345381526)</f>
        <v>0.64658634538152604</v>
      </c>
      <c r="I395" s="25">
        <f ca="1">IFERROR(__xludf.DUMMYFUNCTION("""COMPUTED_VALUE"""),0.657142857142857)</f>
        <v>0.65714285714285703</v>
      </c>
      <c r="J395" s="25">
        <f ca="1">IFERROR(__xludf.DUMMYFUNCTION("""COMPUTED_VALUE"""),0.583333333333333)</f>
        <v>0.58333333333333304</v>
      </c>
      <c r="K395" s="25">
        <f ca="1">IFERROR(__xludf.DUMMYFUNCTION("""COMPUTED_VALUE"""),0.638888888888888)</f>
        <v>0.63888888888888795</v>
      </c>
      <c r="L395" s="25">
        <f ca="1">IFERROR(__xludf.DUMMYFUNCTION("""COMPUTED_VALUE"""),0.846153846153846)</f>
        <v>0.84615384615384603</v>
      </c>
      <c r="M395" s="25">
        <f ca="1">IFERROR(__xludf.DUMMYFUNCTION("""COMPUTED_VALUE"""),0.710526315789473)</f>
        <v>0.71052631578947301</v>
      </c>
      <c r="N395" s="25">
        <f ca="1">IFERROR(__xludf.DUMMYFUNCTION("""COMPUTED_VALUE"""),0.692307692307692)</f>
        <v>0.69230769230769196</v>
      </c>
      <c r="O395" s="25">
        <f ca="1">IFERROR(__xludf.DUMMYFUNCTION("""COMPUTED_VALUE"""),0.666666666666666)</f>
        <v>0.66666666666666596</v>
      </c>
      <c r="P395" s="25">
        <f ca="1">IFERROR(__xludf.DUMMYFUNCTION("""COMPUTED_VALUE"""),0.608695652173913)</f>
        <v>0.60869565217391297</v>
      </c>
      <c r="Q395" s="25">
        <f ca="1">IFERROR(__xludf.DUMMYFUNCTION("""COMPUTED_VALUE"""),0)</f>
        <v>0</v>
      </c>
      <c r="R395" s="25">
        <f ca="1">IFERROR(__xludf.DUMMYFUNCTION("""COMPUTED_VALUE"""),0.565217391304347)</f>
        <v>0.56521739130434701</v>
      </c>
      <c r="S395" s="25">
        <f ca="1">IFERROR(__xludf.DUMMYFUNCTION("""COMPUTED_VALUE"""),0.666666666666666)</f>
        <v>0.66666666666666596</v>
      </c>
      <c r="T395" s="25">
        <f ca="1">IFERROR(__xludf.DUMMYFUNCTION("""COMPUTED_VALUE"""),0.444444444444444)</f>
        <v>0.44444444444444398</v>
      </c>
      <c r="U395" s="25">
        <f ca="1">IFERROR(__xludf.DUMMYFUNCTION("""COMPUTED_VALUE"""),0.5)</f>
        <v>0.5</v>
      </c>
      <c r="V395" s="25">
        <f ca="1">IFERROR(__xludf.DUMMYFUNCTION("""COMPUTED_VALUE"""),0)</f>
        <v>0</v>
      </c>
      <c r="W395" s="4"/>
      <c r="X395" s="4" t="str">
        <f ca="1">IFERROR(__xludf.DUMMYFUNCTION("""COMPUTED_VALUE"""),"| 4 L JAVA % | 1 P PHP-CGM % | 3 L PHP-CGM % | 1 L PRO % ")</f>
        <v xml:space="preserve">| 4 L JAVA % | 1 P PHP-CGM % | 3 L PHP-CGM % | 1 L PRO % </v>
      </c>
      <c r="Y39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395" s="4" t="str">
        <f ca="1">IFERROR(__xludf.DUMMYFUNCTION("""COMPUTED_VALUE"""),"| 3 P JAVA % | 5 L JAVA % | 6 L NS % ")</f>
        <v xml:space="preserve">| 3 P JAVA % | 5 L JAVA % | 6 L NS % </v>
      </c>
      <c r="AA395" s="4" t="str">
        <f ca="1">IFERROR(__xludf.DUMMYFUNCTION("""COMPUTED_VALUE"""),"| 1 P JAVA % | 3 P Python % | 5 L NS % | 6 L CPT % ")</f>
        <v xml:space="preserve">| 1 P JAVA % | 3 P Python % | 5 L NS % | 6 L CPT % </v>
      </c>
      <c r="AB395" s="4" t="str">
        <f ca="1">IFERROR(__xludf.DUMMYFUNCTION("""COMPUTED_VALUE"""),"| 1 P Python % | 3 L CPT % | 4 L PHP-CGM % | 5 P CPT % ")</f>
        <v xml:space="preserve">| 1 P Python % | 3 L CPT % | 4 L PHP-CGM % | 5 P CPT % </v>
      </c>
      <c r="AC395" s="4" t="str">
        <f ca="1">IFERROR(__xludf.DUMMYFUNCTION("""COMPUTED_VALUE"""),"| 1 P PHP-CGM % | 3 L PHP-CGM % | 5 P PRO % ")</f>
        <v xml:space="preserve">| 1 P PHP-CGM % | 3 L PHP-CGM % | 5 P PRO % </v>
      </c>
      <c r="AD395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95" s="4" t="str">
        <f ca="1">IFERROR(__xludf.DUMMYFUNCTION("""COMPUTED_VALUE"""),"| 3 P JAVA % | 5 L JAVA % | 6 L NS % ")</f>
        <v xml:space="preserve">| 3 P JAVA % | 5 L JAVA % | 6 L NS % </v>
      </c>
      <c r="AF395" s="4" t="str">
        <f ca="1">IFERROR(__xludf.DUMMYFUNCTION("""COMPUTED_VALUE"""),"| 1 P JAVA % | 3 P Python % | 5 L NS % | 6 L CPT % ")</f>
        <v xml:space="preserve">| 1 P JAVA % | 3 P Python % | 5 L NS % | 6 L CPT % </v>
      </c>
      <c r="AG395" s="4" t="str">
        <f ca="1">IFERROR(__xludf.DUMMYFUNCTION("""COMPUTED_VALUE"""),"| 1 P Python % | 3 L CPT % | 4 L PHP-CGM % | 5 P CPT % ")</f>
        <v xml:space="preserve">| 1 P Python % | 3 L CPT % | 4 L PHP-CGM % | 5 P CPT % </v>
      </c>
      <c r="AH395" s="4" t="str">
        <f ca="1">IFERROR(__xludf.DUMMYFUNCTION("""COMPUTED_VALUE"""),"| 1 P JAVA % | 3 P Python % | 5 L NS % | 6 L CPT % ")</f>
        <v xml:space="preserve">| 1 P JAVA % | 3 P Python % | 5 L NS % | 6 L CPT % </v>
      </c>
      <c r="AI395" s="4" t="str">
        <f ca="1">IFERROR(__xludf.DUMMYFUNCTION("""COMPUTED_VALUE"""),"| 1 P Python % | 3 L CPT % | 4 L PHP-CGM % | 5 P CPT % ")</f>
        <v xml:space="preserve">| 1 P Python % | 3 L CPT % | 4 L PHP-CGM % | 5 P CPT % </v>
      </c>
      <c r="AJ395" s="4" t="str">
        <f ca="1">IFERROR(__xludf.DUMMYFUNCTION("""COMPUTED_VALUE"""),"| 1 P PHP-CGM % | 3 L PHP-CGM % | 4 L JAVA % | 5 P PRO % ")</f>
        <v xml:space="preserve">| 1 P PHP-CGM % | 3 L PHP-CGM % | 4 L JAVA % | 5 P PRO % </v>
      </c>
      <c r="AK39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395" s="4" t="str">
        <f ca="1">IFERROR(__xludf.DUMMYFUNCTION("""COMPUTED_VALUE"""),"| 3 P JAVA % | 5 L JAVA % | 6 L NS % ")</f>
        <v xml:space="preserve">| 3 P JAVA % | 5 L JAVA % | 6 L NS % </v>
      </c>
      <c r="AM395" s="4" t="str">
        <f ca="1">IFERROR(__xludf.DUMMYFUNCTION("""COMPUTED_VALUE"""),"| 1 P JAVA % | 3 P Python % | 5 L NS % | 6 L CPT % ")</f>
        <v xml:space="preserve">| 1 P JAVA % | 3 P Python % | 5 L NS % | 6 L CPT % </v>
      </c>
      <c r="AN395" s="4" t="str">
        <f ca="1">IFERROR(__xludf.DUMMYFUNCTION("""COMPUTED_VALUE"""),"| 1 P Python @ | 4 L PHP-CGM @ | 5 P CPT @ ")</f>
        <v xml:space="preserve">| 1 P Python @ | 4 L PHP-CGM @ | 5 P CPT @ </v>
      </c>
      <c r="AO395" s="4" t="str">
        <f ca="1">IFERROR(__xludf.DUMMYFUNCTION("""COMPUTED_VALUE"""),"| 1 P PHP-CGM @ | 3 L PHP-CGM @ | 4 L JAVA @ | 5 P PRO @ ")</f>
        <v xml:space="preserve">| 1 P PHP-CGM @ | 3 L PHP-CGM @ | 4 L JAVA @ | 5 P PRO @ </v>
      </c>
      <c r="AP39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395" s="4" t="str">
        <f ca="1">IFERROR(__xludf.DUMMYFUNCTION("""COMPUTED_VALUE"""),"| 1 L INE @ | 3 P JAVA @ | 5 L JAVA @ | 6 L NS @ ")</f>
        <v xml:space="preserve">| 1 L INE @ | 3 P JAVA @ | 5 L JAVA @ | 6 L NS @ </v>
      </c>
      <c r="AR395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395" s="4" t="str">
        <f ca="1">IFERROR(__xludf.DUMMYFUNCTION("""COMPUTED_VALUE"""),"| 1 P PHP-CGM % | 3 L PHP-CGM % | 4 L JAVA % | 5 P PRO % ")</f>
        <v xml:space="preserve">| 1 P PHP-CGM % | 3 L PHP-CGM % | 4 L JAVA % | 5 P PRO % </v>
      </c>
      <c r="AT39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95" s="4" t="str">
        <f ca="1">IFERROR(__xludf.DUMMYFUNCTION("""COMPUTED_VALUE"""),"| 1 L INE % | 3 P JAVA % | 5 L JAVA % | 6 L NS % ")</f>
        <v xml:space="preserve">| 1 L INE % | 3 P JAVA % | 5 L JAVA % | 6 L NS % </v>
      </c>
      <c r="AV395" s="4" t="str">
        <f ca="1">IFERROR(__xludf.DUMMYFUNCTION("""COMPUTED_VALUE"""),"| 1 P JAVA % | 3 P Python % | 5 L NS % | 6 L CPT % ")</f>
        <v xml:space="preserve">| 1 P JAVA % | 3 P Python % | 5 L NS % | 6 L CPT % </v>
      </c>
      <c r="AW395" s="4" t="str">
        <f ca="1">IFERROR(__xludf.DUMMYFUNCTION("""COMPUTED_VALUE"""),"| 1 P Python @ | 3 L CPT @ | 4 L PHP-CGM @ | 5 P CPT @ ")</f>
        <v xml:space="preserve">| 1 P Python @ | 3 L CPT @ | 4 L PHP-CGM @ | 5 P CPT @ </v>
      </c>
      <c r="AX395" s="4" t="str">
        <f ca="1">IFERROR(__xludf.DUMMYFUNCTION("""COMPUTED_VALUE"""),"| 1 P PHP-CGM % | 3 L JAVA % | 4 L PHP-CGM % | 5 P PRO @ ")</f>
        <v xml:space="preserve">| 1 P PHP-CGM % | 3 L JAVA % | 4 L PHP-CGM % | 5 P PRO @ </v>
      </c>
      <c r="AY395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395" s="4" t="str">
        <f ca="1">IFERROR(__xludf.DUMMYFUNCTION("""COMPUTED_VALUE"""),"| 1 P JAVA % | 3 P Python % | 5 L NS % | 6 L CPT % ")</f>
        <v xml:space="preserve">| 1 P JAVA % | 3 P Python % | 5 L NS % | 6 L CPT % </v>
      </c>
      <c r="BA395" s="4" t="str">
        <f ca="1">IFERROR(__xludf.DUMMYFUNCTION("""COMPUTED_VALUE"""),"| 1 P Python % | 3 L CPT % | 4 L PHP-CGM % | 5 P CPT % ")</f>
        <v xml:space="preserve">| 1 P Python % | 3 L CPT % | 4 L PHP-CGM % | 5 P CPT % </v>
      </c>
      <c r="BB395" s="4" t="str">
        <f ca="1">IFERROR(__xludf.DUMMYFUNCTION("""COMPUTED_VALUE"""),"| 1 P PHP-CGM @ | 3 L PHP-CGM @ | 4 L JAVA % | 5 L PRO @ ")</f>
        <v xml:space="preserve">| 1 P PHP-CGM @ | 3 L PHP-CGM @ | 4 L JAVA % | 5 L PRO @ </v>
      </c>
      <c r="BC395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395" s="4" t="str">
        <f ca="1">IFERROR(__xludf.DUMMYFUNCTION("""COMPUTED_VALUE"""),"| 1 L INE @ | 3 P JAVA @ | 5 L JAVA @ | 6 L NS @ ")</f>
        <v xml:space="preserve">| 1 L INE @ | 3 P JAVA @ | 5 L JAVA @ | 6 L NS @ </v>
      </c>
      <c r="BE395" s="4" t="str">
        <f ca="1">IFERROR(__xludf.DUMMYFUNCTION("""COMPUTED_VALUE"""),"| 1 P JAVA % | 3 P Python % | 5 L NS % | 6 L CPT % ")</f>
        <v xml:space="preserve">| 1 P JAVA % | 3 P Python % | 5 L NS % | 6 L CPT % </v>
      </c>
      <c r="BF395" s="4" t="str">
        <f ca="1">IFERROR(__xludf.DUMMYFUNCTION("""COMPUTED_VALUE"""),"| 1 P Python @ | 3 L CPT @ | 4 L PHP-CGM @ | 5 P CPT @ ")</f>
        <v xml:space="preserve">| 1 P Python @ | 3 L CPT @ | 4 L PHP-CGM @ | 5 P CPT @ </v>
      </c>
      <c r="BG39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95" s="4" t="str">
        <f ca="1">IFERROR(__xludf.DUMMYFUNCTION("""COMPUTED_VALUE"""),"| 1 L INE % | 3 P JAVA % | 5 L JAVA % | 6 L NS % ")</f>
        <v xml:space="preserve">| 1 L INE % | 3 P JAVA % | 5 L JAVA % | 6 L NS % </v>
      </c>
      <c r="BI395" s="4" t="str">
        <f ca="1">IFERROR(__xludf.DUMMYFUNCTION("""COMPUTED_VALUE"""),"| 1 P JAVA @ | 3 P Python @ | 5 L NS @ | 6 L CPT @ ")</f>
        <v xml:space="preserve">| 1 P JAVA @ | 3 P Python @ | 5 L NS @ | 6 L CPT @ </v>
      </c>
      <c r="BJ395" s="4" t="str">
        <f ca="1">IFERROR(__xludf.DUMMYFUNCTION("""COMPUTED_VALUE"""),"| 1 P Python @ | 3 L CPT @ | 4 L PHP-CGM @ | 5 P CPT @ ")</f>
        <v xml:space="preserve">| 1 P Python @ | 3 L CPT @ | 4 L PHP-CGM @ | 5 P CPT @ </v>
      </c>
      <c r="BK395" s="4" t="str">
        <f ca="1">IFERROR(__xludf.DUMMYFUNCTION("""COMPUTED_VALUE"""),"| 1 P PHP-CGM @ | 3 L PHP-CGM @ | 4 L JAVA @ | 5 P PRO @ ")</f>
        <v xml:space="preserve">| 1 P PHP-CGM @ | 3 L PHP-CGM @ | 4 L JAVA @ | 5 P PRO @ </v>
      </c>
      <c r="BL395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395" s="4" t="str">
        <f ca="1">IFERROR(__xludf.DUMMYFUNCTION("""COMPUTED_VALUE"""),"| 1 L INE % | 3 P JAVA % | 5 L JAVA % | 6 L NS % ")</f>
        <v xml:space="preserve">| 1 L INE % | 3 P JAVA % | 5 L JAVA % | 6 L NS % </v>
      </c>
      <c r="BN395" s="4" t="str">
        <f ca="1">IFERROR(__xludf.DUMMYFUNCTION("""COMPUTED_VALUE"""),"| 1 P JAVA @ | 3 P Python @ | 5 L NS @ | 6 L CPT @ ")</f>
        <v xml:space="preserve">| 1 P JAVA @ | 3 P Python @ | 5 L NS @ | 6 L CPT @ </v>
      </c>
      <c r="BO395" s="4" t="str">
        <f ca="1">IFERROR(__xludf.DUMMYFUNCTION("""COMPUTED_VALUE"""),"| 1 P Python @ | 4 L PHP-CGM % | 3 L CPT % | 5 P CPT % ")</f>
        <v xml:space="preserve">| 1 P Python @ | 4 L PHP-CGM % | 3 L CPT % | 5 P CPT % </v>
      </c>
      <c r="BP395" s="4" t="str">
        <f ca="1">IFERROR(__xludf.DUMMYFUNCTION("""COMPUTED_VALUE"""),"| 1 P PHP-CGM % | 3 L PHP-CGM % | 4 L JAVA % | 6 P PRO @ ")</f>
        <v xml:space="preserve">| 1 P PHP-CGM % | 3 L PHP-CGM % | 4 L JAVA % | 6 P PRO @ </v>
      </c>
      <c r="BQ395" s="4" t="str">
        <f ca="1">IFERROR(__xludf.DUMMYFUNCTION("""COMPUTED_VALUE"""),"| 6 L NS % | 5 L JAVA @ ")</f>
        <v xml:space="preserve">| 6 L NS % | 5 L JAVA @ </v>
      </c>
      <c r="BR395" s="4"/>
      <c r="BS395" s="4" t="str">
        <f ca="1">IFERROR(__xludf.DUMMYFUNCTION("""COMPUTED_VALUE"""),"| 4 L PHP-CGM % ")</f>
        <v xml:space="preserve">| 4 L PHP-CGM % </v>
      </c>
      <c r="BT395" s="4" t="str">
        <f ca="1">IFERROR(__xludf.DUMMYFUNCTION("""COMPUTED_VALUE"""),"| 1 P PHP-CGM % | 3 L PHP-CGM % ")</f>
        <v xml:space="preserve">| 1 P PHP-CGM % | 3 L PHP-CGM % </v>
      </c>
      <c r="BU395" s="4" t="str">
        <f ca="1">IFERROR(__xludf.DUMMYFUNCTION("""COMPUTED_VALUE"""),"| 1 L JAVA % | 2 L PHP-CGM % | 3 P NS % ")</f>
        <v xml:space="preserve">| 1 L JAVA % | 2 L PHP-CGM % | 3 P NS % </v>
      </c>
      <c r="BV395" s="4" t="str">
        <f ca="1">IFERROR(__xludf.DUMMYFUNCTION("""COMPUTED_VALUE"""),"| 1 P PHP-CGM % | 3 L PHP-CGM % | 4 L JAVA % | 5 P PRO % ")</f>
        <v xml:space="preserve">| 1 P PHP-CGM % | 3 L PHP-CGM % | 4 L JAVA % | 5 P PRO % </v>
      </c>
      <c r="BW395" s="4" t="str">
        <f ca="1">IFERROR(__xludf.DUMMYFUNCTION("""COMPUTED_VALUE"""),"| 1 L JAVA @ | 2 L PHP-CGM @ | 3 P NS @ ")</f>
        <v xml:space="preserve">| 1 L JAVA @ | 2 L PHP-CGM @ | 3 P NS @ </v>
      </c>
      <c r="BX395" s="4" t="str">
        <f ca="1">IFERROR(__xludf.DUMMYFUNCTION("""COMPUTED_VALUE"""),"| 1 L INE @ | 3 P JAVA @ | 5 L JAVA @ | 6 L NS @ ")</f>
        <v xml:space="preserve">| 1 L INE @ | 3 P JAVA @ | 5 L JAVA @ | 6 L NS @ </v>
      </c>
      <c r="BY395" s="4" t="str">
        <f ca="1">IFERROR(__xludf.DUMMYFUNCTION("""COMPUTED_VALUE"""),"| 1 P JAVA @ | 3 P Python @ | 5 L NS @ | 6 L CPT @ ")</f>
        <v xml:space="preserve">| 1 P JAVA @ | 3 P Python @ | 5 L NS @ | 6 L CPT @ </v>
      </c>
      <c r="BZ395" s="4" t="str">
        <f ca="1">IFERROR(__xludf.DUMMYFUNCTION("""COMPUTED_VALUE"""),"| 1 P Python % | 3 L CPT % | 4 L PHP-CGM % | 5 P CPT % ")</f>
        <v xml:space="preserve">| 1 P Python % | 3 L CPT % | 4 L PHP-CGM % | 5 P CPT % </v>
      </c>
      <c r="CA395" s="4" t="str">
        <f ca="1">IFERROR(__xludf.DUMMYFUNCTION("""COMPUTED_VALUE"""),"| 1 P PHP-CGM @ | 3 L PHP-CGM @ | 3 L JAVA @ | 5 P PRO @ ")</f>
        <v xml:space="preserve">| 1 P PHP-CGM @ | 3 L PHP-CGM @ | 3 L JAVA @ | 5 P PRO @ </v>
      </c>
      <c r="CB395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395" s="4" t="str">
        <f ca="1">IFERROR(__xludf.DUMMYFUNCTION("""COMPUTED_VALUE"""),"| 1 L INE % | 3 P JAVA @ | 5 L JAVA @ | 6 L NS @ ")</f>
        <v xml:space="preserve">| 1 L INE % | 3 P JAVA @ | 5 L JAVA @ | 6 L NS @ </v>
      </c>
      <c r="CD395" s="4" t="str">
        <f ca="1">IFERROR(__xludf.DUMMYFUNCTION("""COMPUTED_VALUE"""),"| 1 P JAVA @ | 3 P Python @ | 5 L NS @ | 6 L CPT @ ")</f>
        <v xml:space="preserve">| 1 P JAVA @ | 3 P Python @ | 5 L NS @ | 6 L CPT @ </v>
      </c>
      <c r="CE395" s="4" t="str">
        <f ca="1">IFERROR(__xludf.DUMMYFUNCTION("""COMPUTED_VALUE"""),"| 1 P Python % | 3 L CPT % | 4 L PHP-CGM % | 5 P CPT % ")</f>
        <v xml:space="preserve">| 1 P Python % | 3 L CPT % | 4 L PHP-CGM % | 5 P CPT % </v>
      </c>
      <c r="CF395" s="4" t="str">
        <f ca="1">IFERROR(__xludf.DUMMYFUNCTION("""COMPUTED_VALUE"""),"| 1 P PHP-CGM % | 4 L JAVA @ | 3 L PHP-CGM @ | 5 L PRO % ")</f>
        <v xml:space="preserve">| 1 P PHP-CGM % | 4 L JAVA @ | 3 L PHP-CGM @ | 5 L PRO % </v>
      </c>
      <c r="CG395" s="4" t="str">
        <f ca="1">IFERROR(__xludf.DUMMYFUNCTION("""COMPUTED_VALUE"""),"| 1 L JAVA % | 2 L PHP-CGM % | 3 P NS % | 6 L NS @ ")</f>
        <v xml:space="preserve">| 1 L JAVA % | 2 L PHP-CGM % | 3 P NS % | 6 L NS @ </v>
      </c>
      <c r="CH395" s="4" t="str">
        <f ca="1">IFERROR(__xludf.DUMMYFUNCTION("""COMPUTED_VALUE"""),"| 1 L INE @ | 3 P JAVA % | 5 L JAVA @ | 6 L NS @ ")</f>
        <v xml:space="preserve">| 1 L INE @ | 3 P JAVA % | 5 L JAVA @ | 6 L NS @ </v>
      </c>
      <c r="CI395" s="4" t="str">
        <f ca="1">IFERROR(__xludf.DUMMYFUNCTION("""COMPUTED_VALUE"""),"| 5 L NS @ | 6 L CPT @ ")</f>
        <v xml:space="preserve">| 5 L NS @ | 6 L CPT @ </v>
      </c>
      <c r="CJ395" s="4" t="str">
        <f ca="1">IFERROR(__xludf.DUMMYFUNCTION("""COMPUTED_VALUE"""),"| 3 L CPT @ | 5 P CPT @ ")</f>
        <v xml:space="preserve">| 3 L CPT @ | 5 P CPT @ </v>
      </c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</row>
    <row r="396" spans="1:102" ht="12.5" x14ac:dyDescent="0.25">
      <c r="A396" s="3">
        <f ca="1">IFERROR(__xludf.DUMMYFUNCTION("""COMPUTED_VALUE"""),3)</f>
        <v>3</v>
      </c>
      <c r="B396" s="3" t="str">
        <f ca="1">IFERROR(__xludf.DUMMYFUNCTION("""COMPUTED_VALUE"""),"ITA")</f>
        <v>ITA</v>
      </c>
      <c r="C396" s="32" t="str">
        <f ca="1">IFERROR(__xludf.DUMMYFUNCTION("""COMPUTED_VALUE"""),"23291371121")</f>
        <v>23291371121</v>
      </c>
      <c r="D396" s="4" t="str">
        <f ca="1">IFERROR(__xludf.DUMMYFUNCTION("""COMPUTED_VALUE"""),"RAKSHE SHREYA HANMANT")</f>
        <v>RAKSHE SHREYA HANMANT</v>
      </c>
      <c r="E396" s="3" t="str">
        <f ca="1">IFERROR(__xludf.DUMMYFUNCTION("""COMPUTED_VALUE"""),"Sweety - Mor")</f>
        <v>Sweety - Mor</v>
      </c>
      <c r="F396" s="3">
        <f ca="1">IFERROR(__xludf.DUMMYFUNCTION("""COMPUTED_VALUE"""),8155845008)</f>
        <v>8155845008</v>
      </c>
      <c r="G396" s="3">
        <f ca="1">IFERROR(__xludf.DUMMYFUNCTION("""COMPUTED_VALUE"""),9998552126)</f>
        <v>9998552126</v>
      </c>
      <c r="H396" s="33">
        <f ca="1">IFERROR(__xludf.DUMMYFUNCTION("""COMPUTED_VALUE"""),0.59437751004016)</f>
        <v>0.59437751004016004</v>
      </c>
      <c r="I396" s="25">
        <f ca="1">IFERROR(__xludf.DUMMYFUNCTION("""COMPUTED_VALUE"""),0.657142857142857)</f>
        <v>0.65714285714285703</v>
      </c>
      <c r="J396" s="25">
        <f ca="1">IFERROR(__xludf.DUMMYFUNCTION("""COMPUTED_VALUE"""),0.5)</f>
        <v>0.5</v>
      </c>
      <c r="K396" s="25">
        <f ca="1">IFERROR(__xludf.DUMMYFUNCTION("""COMPUTED_VALUE"""),0.638888888888888)</f>
        <v>0.63888888888888795</v>
      </c>
      <c r="L396" s="25">
        <f ca="1">IFERROR(__xludf.DUMMYFUNCTION("""COMPUTED_VALUE"""),0.538461538461538)</f>
        <v>0.53846153846153799</v>
      </c>
      <c r="M396" s="25">
        <f ca="1">IFERROR(__xludf.DUMMYFUNCTION("""COMPUTED_VALUE"""),0.605263157894736)</f>
        <v>0.60526315789473595</v>
      </c>
      <c r="N396" s="25">
        <f ca="1">IFERROR(__xludf.DUMMYFUNCTION("""COMPUTED_VALUE"""),0.538461538461538)</f>
        <v>0.53846153846153799</v>
      </c>
      <c r="O396" s="25">
        <f ca="1">IFERROR(__xludf.DUMMYFUNCTION("""COMPUTED_VALUE"""),0.555555555555555)</f>
        <v>0.55555555555555503</v>
      </c>
      <c r="P396" s="25">
        <f ca="1">IFERROR(__xludf.DUMMYFUNCTION("""COMPUTED_VALUE"""),0.652173913043478)</f>
        <v>0.65217391304347805</v>
      </c>
      <c r="Q396" s="25">
        <f ca="1">IFERROR(__xludf.DUMMYFUNCTION("""COMPUTED_VALUE"""),0)</f>
        <v>0</v>
      </c>
      <c r="R396" s="25">
        <f ca="1">IFERROR(__xludf.DUMMYFUNCTION("""COMPUTED_VALUE"""),0.695652173913043)</f>
        <v>0.69565217391304301</v>
      </c>
      <c r="S396" s="25">
        <f ca="1">IFERROR(__xludf.DUMMYFUNCTION("""COMPUTED_VALUE"""),0.666666666666666)</f>
        <v>0.66666666666666596</v>
      </c>
      <c r="T396" s="25">
        <f ca="1">IFERROR(__xludf.DUMMYFUNCTION("""COMPUTED_VALUE"""),0.333333333333333)</f>
        <v>0.33333333333333298</v>
      </c>
      <c r="U396" s="25">
        <f ca="1">IFERROR(__xludf.DUMMYFUNCTION("""COMPUTED_VALUE"""),0.375)</f>
        <v>0.375</v>
      </c>
      <c r="V396" s="25">
        <f ca="1">IFERROR(__xludf.DUMMYFUNCTION("""COMPUTED_VALUE"""),0)</f>
        <v>0</v>
      </c>
      <c r="W396" s="4"/>
      <c r="X396" s="4" t="str">
        <f ca="1">IFERROR(__xludf.DUMMYFUNCTION("""COMPUTED_VALUE"""),"| 4 L JAVA @ | 1 P PHP-CGM % | 3 L PHP-CGM @ | 1 L PRO @ ")</f>
        <v xml:space="preserve">| 4 L JAVA @ | 1 P PHP-CGM % | 3 L PHP-CGM @ | 1 L PRO @ </v>
      </c>
      <c r="Y396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396" s="4" t="str">
        <f ca="1">IFERROR(__xludf.DUMMYFUNCTION("""COMPUTED_VALUE"""),"| 3 P JAVA % | 5 L JAVA % | 6 L NS % ")</f>
        <v xml:space="preserve">| 3 P JAVA % | 5 L JAVA % | 6 L NS % </v>
      </c>
      <c r="AA396" s="4" t="str">
        <f ca="1">IFERROR(__xludf.DUMMYFUNCTION("""COMPUTED_VALUE"""),"| 1 P JAVA % | 3 P Python % | 5 L NS % | 6 L CPT % ")</f>
        <v xml:space="preserve">| 1 P JAVA % | 3 P Python % | 5 L NS % | 6 L CPT % </v>
      </c>
      <c r="AB396" s="4" t="str">
        <f ca="1">IFERROR(__xludf.DUMMYFUNCTION("""COMPUTED_VALUE"""),"| 1 P Python % | 3 L CPT % | 4 L PHP-CGM % | 5 P CPT % ")</f>
        <v xml:space="preserve">| 1 P Python % | 3 L CPT % | 4 L PHP-CGM % | 5 P CPT % </v>
      </c>
      <c r="AC396" s="4" t="str">
        <f ca="1">IFERROR(__xludf.DUMMYFUNCTION("""COMPUTED_VALUE"""),"| 1 P PHP-CGM @ | 3 L PHP-CGM @ | 5 P PRO @ ")</f>
        <v xml:space="preserve">| 1 P PHP-CGM @ | 3 L PHP-CGM @ | 5 P PRO @ </v>
      </c>
      <c r="AD396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96" s="4" t="str">
        <f ca="1">IFERROR(__xludf.DUMMYFUNCTION("""COMPUTED_VALUE"""),"| 3 P JAVA % | 5 L JAVA % | 6 L NS % ")</f>
        <v xml:space="preserve">| 3 P JAVA % | 5 L JAVA % | 6 L NS % </v>
      </c>
      <c r="AF396" s="4" t="str">
        <f ca="1">IFERROR(__xludf.DUMMYFUNCTION("""COMPUTED_VALUE"""),"| 1 P JAVA @ | 3 P Python @ | 5 L NS @ | 6 L CPT @ ")</f>
        <v xml:space="preserve">| 1 P JAVA @ | 3 P Python @ | 5 L NS @ | 6 L CPT @ </v>
      </c>
      <c r="AG396" s="4" t="str">
        <f ca="1">IFERROR(__xludf.DUMMYFUNCTION("""COMPUTED_VALUE"""),"| 1 P Python % | 3 L CPT % | 4 L PHP-CGM % | 5 P CPT @ ")</f>
        <v xml:space="preserve">| 1 P Python % | 3 L CPT % | 4 L PHP-CGM % | 5 P CPT @ </v>
      </c>
      <c r="AH396" s="4" t="str">
        <f ca="1">IFERROR(__xludf.DUMMYFUNCTION("""COMPUTED_VALUE"""),"| 1 P JAVA % | 3 P Python % | 5 L NS % | 6 L CPT % ")</f>
        <v xml:space="preserve">| 1 P JAVA % | 3 P Python % | 5 L NS % | 6 L CPT % </v>
      </c>
      <c r="AI396" s="4" t="str">
        <f ca="1">IFERROR(__xludf.DUMMYFUNCTION("""COMPUTED_VALUE"""),"| 1 P Python @ | 3 L CPT @ | 4 L PHP-CGM % | 5 P CPT @ ")</f>
        <v xml:space="preserve">| 1 P Python @ | 3 L CPT @ | 4 L PHP-CGM % | 5 P CPT @ </v>
      </c>
      <c r="AJ396" s="4" t="str">
        <f ca="1">IFERROR(__xludf.DUMMYFUNCTION("""COMPUTED_VALUE"""),"| 1 P PHP-CGM % | 3 L PHP-CGM % | 4 L JAVA % | 5 P PRO @ ")</f>
        <v xml:space="preserve">| 1 P PHP-CGM % | 3 L PHP-CGM % | 4 L JAVA % | 5 P PRO @ </v>
      </c>
      <c r="AK396" s="4" t="str">
        <f ca="1">IFERROR(__xludf.DUMMYFUNCTION("""COMPUTED_VALUE"""),"| 1 L JAVA % | 2 L PHP-CGM % | 3 P NS @ | 5 L CPT % | 6 L NS % ")</f>
        <v xml:space="preserve">| 1 L JAVA % | 2 L PHP-CGM % | 3 P NS @ | 5 L CPT % | 6 L NS % </v>
      </c>
      <c r="AL396" s="4" t="str">
        <f ca="1">IFERROR(__xludf.DUMMYFUNCTION("""COMPUTED_VALUE"""),"| 3 P JAVA @ | 5 L JAVA @ | 6 L NS @ ")</f>
        <v xml:space="preserve">| 3 P JAVA @ | 5 L JAVA @ | 6 L NS @ </v>
      </c>
      <c r="AM396" s="4" t="str">
        <f ca="1">IFERROR(__xludf.DUMMYFUNCTION("""COMPUTED_VALUE"""),"| 1 P JAVA % | 3 P Python % | 5 L NS % | 6 L CPT % ")</f>
        <v xml:space="preserve">| 1 P JAVA % | 3 P Python % | 5 L NS % | 6 L CPT % </v>
      </c>
      <c r="AN396" s="4" t="str">
        <f ca="1">IFERROR(__xludf.DUMMYFUNCTION("""COMPUTED_VALUE"""),"| 1 P Python % | 4 L PHP-CGM % | 5 P CPT @ ")</f>
        <v xml:space="preserve">| 1 P Python % | 4 L PHP-CGM % | 5 P CPT @ </v>
      </c>
      <c r="AO396" s="4" t="str">
        <f ca="1">IFERROR(__xludf.DUMMYFUNCTION("""COMPUTED_VALUE"""),"| 1 P PHP-CGM @ | 3 L PHP-CGM @ | 4 L JAVA @ | 5 P PRO @ ")</f>
        <v xml:space="preserve">| 1 P PHP-CGM @ | 3 L PHP-CGM @ | 4 L JAVA @ | 5 P PRO @ </v>
      </c>
      <c r="AP396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396" s="4" t="str">
        <f ca="1">IFERROR(__xludf.DUMMYFUNCTION("""COMPUTED_VALUE"""),"| 1 L INE % | 3 P JAVA % | 5 L JAVA % | 6 L NS % ")</f>
        <v xml:space="preserve">| 1 L INE % | 3 P JAVA % | 5 L JAVA % | 6 L NS % </v>
      </c>
      <c r="AR396" s="4" t="str">
        <f ca="1">IFERROR(__xludf.DUMMYFUNCTION("""COMPUTED_VALUE"""),"| 1 P JAVA % | 3 L CPT % | 3 P Python % | 5 L NS % | 6 L CPT % ")</f>
        <v xml:space="preserve">| 1 P JAVA % | 3 L CPT % | 3 P Python % | 5 L NS % | 6 L CPT % </v>
      </c>
      <c r="AS396" s="4" t="str">
        <f ca="1">IFERROR(__xludf.DUMMYFUNCTION("""COMPUTED_VALUE"""),"| 1 P PHP-CGM % | 3 L PHP-CGM % | 4 L JAVA % | 5 P PRO % ")</f>
        <v xml:space="preserve">| 1 P PHP-CGM % | 3 L PHP-CGM % | 4 L JAVA % | 5 P PRO % </v>
      </c>
      <c r="AT396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U396" s="4" t="str">
        <f ca="1">IFERROR(__xludf.DUMMYFUNCTION("""COMPUTED_VALUE"""),"| 1 L INE @ | 3 P JAVA % | 5 L JAVA % | 6 L NS % ")</f>
        <v xml:space="preserve">| 1 L INE @ | 3 P JAVA % | 5 L JAVA % | 6 L NS % </v>
      </c>
      <c r="AV396" s="4" t="str">
        <f ca="1">IFERROR(__xludf.DUMMYFUNCTION("""COMPUTED_VALUE"""),"| 1 P JAVA % | 3 P Python % | 5 L NS % | 6 L CPT % ")</f>
        <v xml:space="preserve">| 1 P JAVA % | 3 P Python % | 5 L NS % | 6 L CPT % </v>
      </c>
      <c r="AW396" s="4" t="str">
        <f ca="1">IFERROR(__xludf.DUMMYFUNCTION("""COMPUTED_VALUE"""),"| 1 P Python % | 3 L CPT % | 4 L PHP-CGM % | 5 P CPT % ")</f>
        <v xml:space="preserve">| 1 P Python % | 3 L CPT % | 4 L PHP-CGM % | 5 P CPT % </v>
      </c>
      <c r="AX396" s="4" t="str">
        <f ca="1">IFERROR(__xludf.DUMMYFUNCTION("""COMPUTED_VALUE"""),"| 1 P PHP-CGM @ | 3 L JAVA @ | 4 L PHP-CGM @ | 5 P PRO @ ")</f>
        <v xml:space="preserve">| 1 P PHP-CGM @ | 3 L JAVA @ | 4 L PHP-CGM @ | 5 P PRO @ </v>
      </c>
      <c r="AY396" s="4" t="str">
        <f ca="1">IFERROR(__xludf.DUMMYFUNCTION("""COMPUTED_VALUE"""),"| 2 L PHP-CGM @ | 3 P NS % | 5 L CPT % | 6 L NS % | 1 L JAVA @ ")</f>
        <v xml:space="preserve">| 2 L PHP-CGM @ | 3 P NS % | 5 L CPT % | 6 L NS % | 1 L JAVA @ </v>
      </c>
      <c r="AZ396" s="4" t="str">
        <f ca="1">IFERROR(__xludf.DUMMYFUNCTION("""COMPUTED_VALUE"""),"| 1 P JAVA @ | 3 P Python @ | 5 L NS @ | 6 L CPT @ ")</f>
        <v xml:space="preserve">| 1 P JAVA @ | 3 P Python @ | 5 L NS @ | 6 L CPT @ </v>
      </c>
      <c r="BA396" s="4" t="str">
        <f ca="1">IFERROR(__xludf.DUMMYFUNCTION("""COMPUTED_VALUE"""),"| 1 P Python % | 3 L CPT % | 4 L PHP-CGM % | 5 P CPT % ")</f>
        <v xml:space="preserve">| 1 P Python % | 3 L CPT % | 4 L PHP-CGM % | 5 P CPT % </v>
      </c>
      <c r="BB396" s="4" t="str">
        <f ca="1">IFERROR(__xludf.DUMMYFUNCTION("""COMPUTED_VALUE"""),"| 1 P PHP-CGM @ | 3 L PHP-CGM % | 4 L JAVA % | 5 L PRO % ")</f>
        <v xml:space="preserve">| 1 P PHP-CGM @ | 3 L PHP-CGM % | 4 L JAVA % | 5 L PRO % </v>
      </c>
      <c r="BC396" s="4" t="str">
        <f ca="1">IFERROR(__xludf.DUMMYFUNCTION("""COMPUTED_VALUE"""),"| 1 L JAVA % | 3 P NS @ | 2 L PHP-CGM % | 5 L CPT % | 6 L NS % ")</f>
        <v xml:space="preserve">| 1 L JAVA % | 3 P NS @ | 2 L PHP-CGM % | 5 L CPT % | 6 L NS % </v>
      </c>
      <c r="BD396" s="4" t="str">
        <f ca="1">IFERROR(__xludf.DUMMYFUNCTION("""COMPUTED_VALUE"""),"| 1 L INE % | 3 P JAVA % | 5 L JAVA % | 6 L NS % ")</f>
        <v xml:space="preserve">| 1 L INE % | 3 P JAVA % | 5 L JAVA % | 6 L NS % </v>
      </c>
      <c r="BE396" s="4" t="str">
        <f ca="1">IFERROR(__xludf.DUMMYFUNCTION("""COMPUTED_VALUE"""),"| 1 P JAVA % | 3 P Python % | 5 L NS % | 6 L CPT % ")</f>
        <v xml:space="preserve">| 1 P JAVA % | 3 P Python % | 5 L NS % | 6 L CPT % </v>
      </c>
      <c r="BF396" s="4" t="str">
        <f ca="1">IFERROR(__xludf.DUMMYFUNCTION("""COMPUTED_VALUE"""),"| 1 P Python % | 3 L CPT % | 4 L PHP-CGM % | 5 P CPT % ")</f>
        <v xml:space="preserve">| 1 P Python % | 3 L CPT % | 4 L PHP-CGM % | 5 P CPT % </v>
      </c>
      <c r="BG396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96" s="4" t="str">
        <f ca="1">IFERROR(__xludf.DUMMYFUNCTION("""COMPUTED_VALUE"""),"| 1 L INE @ | 3 P JAVA % | 5 L JAVA % | 6 L NS % ")</f>
        <v xml:space="preserve">| 1 L INE @ | 3 P JAVA % | 5 L JAVA % | 6 L NS % </v>
      </c>
      <c r="BI396" s="4" t="str">
        <f ca="1">IFERROR(__xludf.DUMMYFUNCTION("""COMPUTED_VALUE"""),"| 1 P JAVA % | 3 P Python % | 5 L NS % | 6 L CPT % ")</f>
        <v xml:space="preserve">| 1 P JAVA % | 3 P Python % | 5 L NS % | 6 L CPT % </v>
      </c>
      <c r="BJ396" s="4" t="str">
        <f ca="1">IFERROR(__xludf.DUMMYFUNCTION("""COMPUTED_VALUE"""),"| 1 P Python % | 3 L CPT % | 4 L PHP-CGM % | 5 P CPT % ")</f>
        <v xml:space="preserve">| 1 P Python % | 3 L CPT % | 4 L PHP-CGM % | 5 P CPT % </v>
      </c>
      <c r="BK396" s="4" t="str">
        <f ca="1">IFERROR(__xludf.DUMMYFUNCTION("""COMPUTED_VALUE"""),"| 1 P PHP-CGM @ | 3 L PHP-CGM @ | 4 L JAVA @ | 5 P PRO @ ")</f>
        <v xml:space="preserve">| 1 P PHP-CGM @ | 3 L PHP-CGM @ | 4 L JAVA @ | 5 P PRO @ </v>
      </c>
      <c r="BL396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396" s="4" t="str">
        <f ca="1">IFERROR(__xludf.DUMMYFUNCTION("""COMPUTED_VALUE"""),"| 1 L INE @ | 3 P JAVA @ | 5 L JAVA @ | 6 L NS @ ")</f>
        <v xml:space="preserve">| 1 L INE @ | 3 P JAVA @ | 5 L JAVA @ | 6 L NS @ </v>
      </c>
      <c r="BN396" s="4" t="str">
        <f ca="1">IFERROR(__xludf.DUMMYFUNCTION("""COMPUTED_VALUE"""),"| 1 P JAVA @ | 3 P Python @ | 5 L NS @ | 6 L CPT @ ")</f>
        <v xml:space="preserve">| 1 P JAVA @ | 3 P Python @ | 5 L NS @ | 6 L CPT @ </v>
      </c>
      <c r="BO396" s="4" t="str">
        <f ca="1">IFERROR(__xludf.DUMMYFUNCTION("""COMPUTED_VALUE"""),"| 1 P Python @ | 4 L PHP-CGM @ | 3 L CPT @ | 5 P CPT @ ")</f>
        <v xml:space="preserve">| 1 P Python @ | 4 L PHP-CGM @ | 3 L CPT @ | 5 P CPT @ </v>
      </c>
      <c r="BP396" s="4" t="str">
        <f ca="1">IFERROR(__xludf.DUMMYFUNCTION("""COMPUTED_VALUE"""),"| 1 P PHP-CGM % | 3 L PHP-CGM % | 4 L JAVA % | 6 P PRO % ")</f>
        <v xml:space="preserve">| 1 P PHP-CGM % | 3 L PHP-CGM % | 4 L JAVA % | 6 P PRO % </v>
      </c>
      <c r="BQ396" s="4" t="str">
        <f ca="1">IFERROR(__xludf.DUMMYFUNCTION("""COMPUTED_VALUE"""),"| 6 L NS % | 5 L JAVA @ ")</f>
        <v xml:space="preserve">| 6 L NS % | 5 L JAVA @ </v>
      </c>
      <c r="BR396" s="4"/>
      <c r="BS396" s="4" t="str">
        <f ca="1">IFERROR(__xludf.DUMMYFUNCTION("""COMPUTED_VALUE"""),"| 4 L PHP-CGM % ")</f>
        <v xml:space="preserve">| 4 L PHP-CGM % </v>
      </c>
      <c r="BT396" s="4" t="str">
        <f ca="1">IFERROR(__xludf.DUMMYFUNCTION("""COMPUTED_VALUE"""),"| 1 P PHP-CGM @ | 3 L PHP-CGM @ ")</f>
        <v xml:space="preserve">| 1 P PHP-CGM @ | 3 L PHP-CGM @ </v>
      </c>
      <c r="BU396" s="4" t="str">
        <f ca="1">IFERROR(__xludf.DUMMYFUNCTION("""COMPUTED_VALUE"""),"| 1 L JAVA @ | 2 L PHP-CGM @ | 3 P NS @ ")</f>
        <v xml:space="preserve">| 1 L JAVA @ | 2 L PHP-CGM @ | 3 P NS @ </v>
      </c>
      <c r="BV396" s="4" t="str">
        <f ca="1">IFERROR(__xludf.DUMMYFUNCTION("""COMPUTED_VALUE"""),"| 1 P PHP-CGM % | 3 L PHP-CGM % | 4 L JAVA % | 5 P PRO % ")</f>
        <v xml:space="preserve">| 1 P PHP-CGM % | 3 L PHP-CGM % | 4 L JAVA % | 5 P PRO % </v>
      </c>
      <c r="BW396" s="4" t="str">
        <f ca="1">IFERROR(__xludf.DUMMYFUNCTION("""COMPUTED_VALUE"""),"| 1 L JAVA % | 2 L PHP-CGM % | 3 P NS % ")</f>
        <v xml:space="preserve">| 1 L JAVA % | 2 L PHP-CGM % | 3 P NS % </v>
      </c>
      <c r="BX396" s="4" t="str">
        <f ca="1">IFERROR(__xludf.DUMMYFUNCTION("""COMPUTED_VALUE"""),"| 1 L INE @ | 3 P JAVA @ | 5 L JAVA @ | 6 L NS @ ")</f>
        <v xml:space="preserve">| 1 L INE @ | 3 P JAVA @ | 5 L JAVA @ | 6 L NS @ </v>
      </c>
      <c r="BY396" s="4" t="str">
        <f ca="1">IFERROR(__xludf.DUMMYFUNCTION("""COMPUTED_VALUE"""),"| 1 P JAVA @ | 3 P Python @ | 5 L NS @ | 6 L CPT @ ")</f>
        <v xml:space="preserve">| 1 P JAVA @ | 3 P Python @ | 5 L NS @ | 6 L CPT @ </v>
      </c>
      <c r="BZ396" s="4" t="str">
        <f ca="1">IFERROR(__xludf.DUMMYFUNCTION("""COMPUTED_VALUE"""),"| 1 P Python @ | 3 L CPT @ | 4 L PHP-CGM @ | 5 P CPT @ ")</f>
        <v xml:space="preserve">| 1 P Python @ | 3 L CPT @ | 4 L PHP-CGM @ | 5 P CPT @ </v>
      </c>
      <c r="CA396" s="4" t="str">
        <f ca="1">IFERROR(__xludf.DUMMYFUNCTION("""COMPUTED_VALUE"""),"| 1 P PHP-CGM % | 3 L PHP-CGM % | 3 L JAVA % | 5 P PRO @ ")</f>
        <v xml:space="preserve">| 1 P PHP-CGM % | 3 L PHP-CGM % | 3 L JAVA % | 5 P PRO @ </v>
      </c>
      <c r="CB396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396" s="4" t="str">
        <f ca="1">IFERROR(__xludf.DUMMYFUNCTION("""COMPUTED_VALUE"""),"| 1 L INE % | 3 P JAVA @ | 5 L JAVA @ | 6 L NS @ ")</f>
        <v xml:space="preserve">| 1 L INE % | 3 P JAVA @ | 5 L JAVA @ | 6 L NS @ </v>
      </c>
      <c r="CD396" s="4" t="str">
        <f ca="1">IFERROR(__xludf.DUMMYFUNCTION("""COMPUTED_VALUE"""),"| 1 P JAVA % | 3 P Python % | 5 L NS % | 6 L CPT % ")</f>
        <v xml:space="preserve">| 1 P JAVA % | 3 P Python % | 5 L NS % | 6 L CPT % </v>
      </c>
      <c r="CE396" s="4" t="str">
        <f ca="1">IFERROR(__xludf.DUMMYFUNCTION("""COMPUTED_VALUE"""),"| 1 P Python % | 3 L CPT @ | 4 L PHP-CGM @ | 5 P CPT @ ")</f>
        <v xml:space="preserve">| 1 P Python % | 3 L CPT @ | 4 L PHP-CGM @ | 5 P CPT @ </v>
      </c>
      <c r="CF396" s="4" t="str">
        <f ca="1">IFERROR(__xludf.DUMMYFUNCTION("""COMPUTED_VALUE"""),"| 1 P PHP-CGM % | 4 L JAVA % | 3 L PHP-CGM % | 5 L PRO % ")</f>
        <v xml:space="preserve">| 1 P PHP-CGM % | 4 L JAVA % | 3 L PHP-CGM % | 5 L PRO % </v>
      </c>
      <c r="CG396" s="4" t="str">
        <f ca="1">IFERROR(__xludf.DUMMYFUNCTION("""COMPUTED_VALUE"""),"| 1 L JAVA @ | 2 L PHP-CGM @ | 3 P NS % | 6 L NS % ")</f>
        <v xml:space="preserve">| 1 L JAVA @ | 2 L PHP-CGM @ | 3 P NS % | 6 L NS % </v>
      </c>
      <c r="CH396" s="4" t="str">
        <f ca="1">IFERROR(__xludf.DUMMYFUNCTION("""COMPUTED_VALUE"""),"| 1 L INE @ | 3 P JAVA % | 5 L JAVA @ | 6 L NS @ ")</f>
        <v xml:space="preserve">| 1 L INE @ | 3 P JAVA % | 5 L JAVA @ | 6 L NS @ </v>
      </c>
      <c r="CI396" s="4" t="str">
        <f ca="1">IFERROR(__xludf.DUMMYFUNCTION("""COMPUTED_VALUE"""),"| 5 L NS @ | 6 L CPT @ ")</f>
        <v xml:space="preserve">| 5 L NS @ | 6 L CPT @ </v>
      </c>
      <c r="CJ396" s="4" t="str">
        <f ca="1">IFERROR(__xludf.DUMMYFUNCTION("""COMPUTED_VALUE"""),"| 3 L CPT % | 5 P CPT % ")</f>
        <v xml:space="preserve">| 3 L CPT % | 5 P CPT % </v>
      </c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</row>
    <row r="397" spans="1:102" ht="12.5" x14ac:dyDescent="0.25">
      <c r="A397" s="3">
        <f ca="1">IFERROR(__xludf.DUMMYFUNCTION("""COMPUTED_VALUE"""),3)</f>
        <v>3</v>
      </c>
      <c r="B397" s="3" t="str">
        <f ca="1">IFERROR(__xludf.DUMMYFUNCTION("""COMPUTED_VALUE"""),"ITA")</f>
        <v>ITA</v>
      </c>
      <c r="C397" s="32" t="str">
        <f ca="1">IFERROR(__xludf.DUMMYFUNCTION("""COMPUTED_VALUE"""),"23291371122")</f>
        <v>23291371122</v>
      </c>
      <c r="D397" s="4" t="str">
        <f ca="1">IFERROR(__xludf.DUMMYFUNCTION("""COMPUTED_VALUE"""),"RATHOD ANUSHKA BIPINSINH")</f>
        <v>RATHOD ANUSHKA BIPINSINH</v>
      </c>
      <c r="E397" s="3" t="str">
        <f ca="1">IFERROR(__xludf.DUMMYFUNCTION("""COMPUTED_VALUE"""),"Sweety - Mor")</f>
        <v>Sweety - Mor</v>
      </c>
      <c r="F397" s="3">
        <f ca="1">IFERROR(__xludf.DUMMYFUNCTION("""COMPUTED_VALUE"""),9313533528)</f>
        <v>9313533528</v>
      </c>
      <c r="G397" s="3">
        <f ca="1">IFERROR(__xludf.DUMMYFUNCTION("""COMPUTED_VALUE"""),9228582772)</f>
        <v>9228582772</v>
      </c>
      <c r="H397" s="33">
        <f ca="1">IFERROR(__xludf.DUMMYFUNCTION("""COMPUTED_VALUE"""),0.550200803212851)</f>
        <v>0.55020080321285103</v>
      </c>
      <c r="I397" s="25">
        <f ca="1">IFERROR(__xludf.DUMMYFUNCTION("""COMPUTED_VALUE"""),0.542857142857142)</f>
        <v>0.54285714285714204</v>
      </c>
      <c r="J397" s="25">
        <f ca="1">IFERROR(__xludf.DUMMYFUNCTION("""COMPUTED_VALUE"""),0.5)</f>
        <v>0.5</v>
      </c>
      <c r="K397" s="25">
        <f ca="1">IFERROR(__xludf.DUMMYFUNCTION("""COMPUTED_VALUE"""),0.583333333333333)</f>
        <v>0.58333333333333304</v>
      </c>
      <c r="L397" s="25">
        <f ca="1">IFERROR(__xludf.DUMMYFUNCTION("""COMPUTED_VALUE"""),0.538461538461538)</f>
        <v>0.53846153846153799</v>
      </c>
      <c r="M397" s="25">
        <f ca="1">IFERROR(__xludf.DUMMYFUNCTION("""COMPUTED_VALUE"""),0.552631578947368)</f>
        <v>0.55263157894736803</v>
      </c>
      <c r="N397" s="25">
        <f ca="1">IFERROR(__xludf.DUMMYFUNCTION("""COMPUTED_VALUE"""),0.615384615384615)</f>
        <v>0.61538461538461497</v>
      </c>
      <c r="O397" s="25">
        <f ca="1">IFERROR(__xludf.DUMMYFUNCTION("""COMPUTED_VALUE"""),0.527777777777777)</f>
        <v>0.52777777777777701</v>
      </c>
      <c r="P397" s="25">
        <f ca="1">IFERROR(__xludf.DUMMYFUNCTION("""COMPUTED_VALUE"""),0.608695652173913)</f>
        <v>0.60869565217391297</v>
      </c>
      <c r="Q397" s="25">
        <f ca="1">IFERROR(__xludf.DUMMYFUNCTION("""COMPUTED_VALUE"""),0)</f>
        <v>0</v>
      </c>
      <c r="R397" s="25">
        <f ca="1">IFERROR(__xludf.DUMMYFUNCTION("""COMPUTED_VALUE"""),0.608695652173913)</f>
        <v>0.60869565217391297</v>
      </c>
      <c r="S397" s="25">
        <f ca="1">IFERROR(__xludf.DUMMYFUNCTION("""COMPUTED_VALUE"""),0.666666666666666)</f>
        <v>0.66666666666666596</v>
      </c>
      <c r="T397" s="25">
        <f ca="1">IFERROR(__xludf.DUMMYFUNCTION("""COMPUTED_VALUE"""),0.333333333333333)</f>
        <v>0.33333333333333298</v>
      </c>
      <c r="U397" s="25">
        <f ca="1">IFERROR(__xludf.DUMMYFUNCTION("""COMPUTED_VALUE"""),0.375)</f>
        <v>0.375</v>
      </c>
      <c r="V397" s="25">
        <f ca="1">IFERROR(__xludf.DUMMYFUNCTION("""COMPUTED_VALUE"""),0)</f>
        <v>0</v>
      </c>
      <c r="W397" s="4"/>
      <c r="X397" s="4" t="str">
        <f ca="1">IFERROR(__xludf.DUMMYFUNCTION("""COMPUTED_VALUE"""),"| 4 L JAVA @ | 1 P PHP-CGM @ | 3 L PHP-CGM @ | 1 L PRO @ ")</f>
        <v xml:space="preserve">| 4 L JAVA @ | 1 P PHP-CGM @ | 3 L PHP-CGM @ | 1 L PRO @ </v>
      </c>
      <c r="Y397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397" s="4" t="str">
        <f ca="1">IFERROR(__xludf.DUMMYFUNCTION("""COMPUTED_VALUE"""),"| 3 P JAVA % | 5 L JAVA % | 6 L NS % ")</f>
        <v xml:space="preserve">| 3 P JAVA % | 5 L JAVA % | 6 L NS % </v>
      </c>
      <c r="AA397" s="4" t="str">
        <f ca="1">IFERROR(__xludf.DUMMYFUNCTION("""COMPUTED_VALUE"""),"| 1 P JAVA @ | 3 P Python @ | 5 L NS @ | 6 L CPT @ ")</f>
        <v xml:space="preserve">| 1 P JAVA @ | 3 P Python @ | 5 L NS @ | 6 L CPT @ </v>
      </c>
      <c r="AB397" s="4" t="str">
        <f ca="1">IFERROR(__xludf.DUMMYFUNCTION("""COMPUTED_VALUE"""),"| 1 P Python % | 3 L CPT % | 4 L PHP-CGM % | 5 P CPT % ")</f>
        <v xml:space="preserve">| 1 P Python % | 3 L CPT % | 4 L PHP-CGM % | 5 P CPT % </v>
      </c>
      <c r="AC397" s="4" t="str">
        <f ca="1">IFERROR(__xludf.DUMMYFUNCTION("""COMPUTED_VALUE"""),"| 1 P PHP-CGM % | 3 L PHP-CGM % | 5 P PRO @ ")</f>
        <v xml:space="preserve">| 1 P PHP-CGM % | 3 L PHP-CGM % | 5 P PRO @ </v>
      </c>
      <c r="AD397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97" s="4" t="str">
        <f ca="1">IFERROR(__xludf.DUMMYFUNCTION("""COMPUTED_VALUE"""),"| 3 P JAVA % | 5 L JAVA % | 6 L NS % ")</f>
        <v xml:space="preserve">| 3 P JAVA % | 5 L JAVA % | 6 L NS % </v>
      </c>
      <c r="AF397" s="4" t="str">
        <f ca="1">IFERROR(__xludf.DUMMYFUNCTION("""COMPUTED_VALUE"""),"| 1 P JAVA @ | 3 P Python @ | 5 L NS @ | 6 L CPT @ ")</f>
        <v xml:space="preserve">| 1 P JAVA @ | 3 P Python @ | 5 L NS @ | 6 L CPT @ </v>
      </c>
      <c r="AG397" s="4" t="str">
        <f ca="1">IFERROR(__xludf.DUMMYFUNCTION("""COMPUTED_VALUE"""),"| 1 P Python % | 3 L CPT % | 4 L PHP-CGM % | 5 P CPT @ ")</f>
        <v xml:space="preserve">| 1 P Python % | 3 L CPT % | 4 L PHP-CGM % | 5 P CPT @ </v>
      </c>
      <c r="AH397" s="4" t="str">
        <f ca="1">IFERROR(__xludf.DUMMYFUNCTION("""COMPUTED_VALUE"""),"| 1 P JAVA % | 3 P Python % | 5 L NS % | 6 L CPT % ")</f>
        <v xml:space="preserve">| 1 P JAVA % | 3 P Python % | 5 L NS % | 6 L CPT % </v>
      </c>
      <c r="AI397" s="4" t="str">
        <f ca="1">IFERROR(__xludf.DUMMYFUNCTION("""COMPUTED_VALUE"""),"| 1 P Python % | 3 L CPT % | 4 L PHP-CGM % | 5 P CPT @ ")</f>
        <v xml:space="preserve">| 1 P Python % | 3 L CPT % | 4 L PHP-CGM % | 5 P CPT @ </v>
      </c>
      <c r="AJ397" s="4" t="str">
        <f ca="1">IFERROR(__xludf.DUMMYFUNCTION("""COMPUTED_VALUE"""),"| 1 P PHP-CGM % | 3 L PHP-CGM % | 4 L JAVA % | 5 P PRO @ ")</f>
        <v xml:space="preserve">| 1 P PHP-CGM % | 3 L PHP-CGM % | 4 L JAVA % | 5 P PRO @ </v>
      </c>
      <c r="AK397" s="4" t="str">
        <f ca="1">IFERROR(__xludf.DUMMYFUNCTION("""COMPUTED_VALUE"""),"| 1 L JAVA @ | 2 L PHP-CGM @ | 3 P NS @ | 5 L CPT @ | 6 L NS % ")</f>
        <v xml:space="preserve">| 1 L JAVA @ | 2 L PHP-CGM @ | 3 P NS @ | 5 L CPT @ | 6 L NS % </v>
      </c>
      <c r="AL397" s="4" t="str">
        <f ca="1">IFERROR(__xludf.DUMMYFUNCTION("""COMPUTED_VALUE"""),"| 3 P JAVA % | 5 L JAVA % | 6 L NS % ")</f>
        <v xml:space="preserve">| 3 P JAVA % | 5 L JAVA % | 6 L NS % </v>
      </c>
      <c r="AM397" s="4" t="str">
        <f ca="1">IFERROR(__xludf.DUMMYFUNCTION("""COMPUTED_VALUE"""),"| 1 P JAVA % | 3 P Python % | 5 L NS % | 6 L CPT % ")</f>
        <v xml:space="preserve">| 1 P JAVA % | 3 P Python % | 5 L NS % | 6 L CPT % </v>
      </c>
      <c r="AN397" s="4" t="str">
        <f ca="1">IFERROR(__xludf.DUMMYFUNCTION("""COMPUTED_VALUE"""),"| 1 P Python @ | 4 L PHP-CGM @ | 5 P CPT @ ")</f>
        <v xml:space="preserve">| 1 P Python @ | 4 L PHP-CGM @ | 5 P CPT @ </v>
      </c>
      <c r="AO397" s="4" t="str">
        <f ca="1">IFERROR(__xludf.DUMMYFUNCTION("""COMPUTED_VALUE"""),"| 1 P PHP-CGM @ | 3 L PHP-CGM @ | 4 L JAVA @ | 5 P PRO @ ")</f>
        <v xml:space="preserve">| 1 P PHP-CGM @ | 3 L PHP-CGM @ | 4 L JAVA @ | 5 P PRO @ </v>
      </c>
      <c r="AP397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Q397" s="4" t="str">
        <f ca="1">IFERROR(__xludf.DUMMYFUNCTION("""COMPUTED_VALUE"""),"| 1 L INE % | 3 P JAVA % | 5 L JAVA % | 6 L NS % ")</f>
        <v xml:space="preserve">| 1 L INE % | 3 P JAVA % | 5 L JAVA % | 6 L NS % </v>
      </c>
      <c r="AR397" s="4" t="str">
        <f ca="1">IFERROR(__xludf.DUMMYFUNCTION("""COMPUTED_VALUE"""),"| 1 P JAVA % | 3 L CPT @ | 3 P Python % | 5 L NS % | 6 L CPT % ")</f>
        <v xml:space="preserve">| 1 P JAVA % | 3 L CPT @ | 3 P Python % | 5 L NS % | 6 L CPT % </v>
      </c>
      <c r="AS397" s="4" t="str">
        <f ca="1">IFERROR(__xludf.DUMMYFUNCTION("""COMPUTED_VALUE"""),"| 1 P PHP-CGM % | 3 L PHP-CGM % | 4 L JAVA % | 5 P PRO % ")</f>
        <v xml:space="preserve">| 1 P PHP-CGM % | 3 L PHP-CGM % | 4 L JAVA % | 5 P PRO % </v>
      </c>
      <c r="AT397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97" s="4" t="str">
        <f ca="1">IFERROR(__xludf.DUMMYFUNCTION("""COMPUTED_VALUE"""),"| 1 L INE @ | 3 P JAVA % | 5 L JAVA % | 6 L NS % ")</f>
        <v xml:space="preserve">| 1 L INE @ | 3 P JAVA % | 5 L JAVA % | 6 L NS % </v>
      </c>
      <c r="AV397" s="4" t="str">
        <f ca="1">IFERROR(__xludf.DUMMYFUNCTION("""COMPUTED_VALUE"""),"| 1 P JAVA @ | 3 P Python @ | 5 L NS @ | 6 L CPT @ ")</f>
        <v xml:space="preserve">| 1 P JAVA @ | 3 P Python @ | 5 L NS @ | 6 L CPT @ </v>
      </c>
      <c r="AW397" s="4" t="str">
        <f ca="1">IFERROR(__xludf.DUMMYFUNCTION("""COMPUTED_VALUE"""),"| 1 P Python % | 3 L CPT % | 4 L PHP-CGM % | 5 P CPT % ")</f>
        <v xml:space="preserve">| 1 P Python % | 3 L CPT % | 4 L PHP-CGM % | 5 P CPT % </v>
      </c>
      <c r="AX397" s="4" t="str">
        <f ca="1">IFERROR(__xludf.DUMMYFUNCTION("""COMPUTED_VALUE"""),"| 1 P PHP-CGM % | 3 L JAVA % | 4 L PHP-CGM % | 5 P PRO % ")</f>
        <v xml:space="preserve">| 1 P PHP-CGM % | 3 L JAVA % | 4 L PHP-CGM % | 5 P PRO % </v>
      </c>
      <c r="AY397" s="4" t="str">
        <f ca="1">IFERROR(__xludf.DUMMYFUNCTION("""COMPUTED_VALUE"""),"| 2 L PHP-CGM @ | 3 P NS % | 5 L CPT % | 6 L NS % | 1 L JAVA @ ")</f>
        <v xml:space="preserve">| 2 L PHP-CGM @ | 3 P NS % | 5 L CPT % | 6 L NS % | 1 L JAVA @ </v>
      </c>
      <c r="AZ397" s="4" t="str">
        <f ca="1">IFERROR(__xludf.DUMMYFUNCTION("""COMPUTED_VALUE"""),"| 1 P JAVA % | 3 P Python % | 5 L NS % | 6 L CPT % ")</f>
        <v xml:space="preserve">| 1 P JAVA % | 3 P Python % | 5 L NS % | 6 L CPT % </v>
      </c>
      <c r="BA397" s="4" t="str">
        <f ca="1">IFERROR(__xludf.DUMMYFUNCTION("""COMPUTED_VALUE"""),"| 1 P Python % | 3 L CPT % | 4 L PHP-CGM % | 5 P CPT % ")</f>
        <v xml:space="preserve">| 1 P Python % | 3 L CPT % | 4 L PHP-CGM % | 5 P CPT % </v>
      </c>
      <c r="BB397" s="4" t="str">
        <f ca="1">IFERROR(__xludf.DUMMYFUNCTION("""COMPUTED_VALUE"""),"| 1 P PHP-CGM % | 3 L PHP-CGM % | 4 L JAVA % | 5 L PRO % ")</f>
        <v xml:space="preserve">| 1 P PHP-CGM % | 3 L PHP-CGM % | 4 L JAVA % | 5 L PRO % </v>
      </c>
      <c r="BC397" s="4" t="str">
        <f ca="1">IFERROR(__xludf.DUMMYFUNCTION("""COMPUTED_VALUE"""),"| 1 L JAVA % | 3 P NS % | 2 L PHP-CGM % | 5 L CPT @ | 6 L NS @ ")</f>
        <v xml:space="preserve">| 1 L JAVA % | 3 P NS % | 2 L PHP-CGM % | 5 L CPT @ | 6 L NS @ </v>
      </c>
      <c r="BD397" s="4" t="str">
        <f ca="1">IFERROR(__xludf.DUMMYFUNCTION("""COMPUTED_VALUE"""),"| 1 L INE % | 3 P JAVA % | 5 L JAVA % | 6 L NS % ")</f>
        <v xml:space="preserve">| 1 L INE % | 3 P JAVA % | 5 L JAVA % | 6 L NS % </v>
      </c>
      <c r="BE397" s="4" t="str">
        <f ca="1">IFERROR(__xludf.DUMMYFUNCTION("""COMPUTED_VALUE"""),"| 1 P JAVA @ | 3 P Python @ | 5 L NS @ | 6 L CPT @ ")</f>
        <v xml:space="preserve">| 1 P JAVA @ | 3 P Python @ | 5 L NS @ | 6 L CPT @ </v>
      </c>
      <c r="BF397" s="4" t="str">
        <f ca="1">IFERROR(__xludf.DUMMYFUNCTION("""COMPUTED_VALUE"""),"| 1 P Python % | 3 L CPT % | 4 L PHP-CGM % | 5 P CPT % ")</f>
        <v xml:space="preserve">| 1 P Python % | 3 L CPT % | 4 L PHP-CGM % | 5 P CPT % </v>
      </c>
      <c r="BG397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97" s="4" t="str">
        <f ca="1">IFERROR(__xludf.DUMMYFUNCTION("""COMPUTED_VALUE"""),"| 1 L INE @ | 3 P JAVA % | 5 L JAVA % | 6 L NS % ")</f>
        <v xml:space="preserve">| 1 L INE @ | 3 P JAVA % | 5 L JAVA % | 6 L NS % </v>
      </c>
      <c r="BI397" s="4" t="str">
        <f ca="1">IFERROR(__xludf.DUMMYFUNCTION("""COMPUTED_VALUE"""),"| 1 P JAVA % | 3 P Python % | 5 L NS % | 6 L CPT % ")</f>
        <v xml:space="preserve">| 1 P JAVA % | 3 P Python % | 5 L NS % | 6 L CPT % </v>
      </c>
      <c r="BJ397" s="4" t="str">
        <f ca="1">IFERROR(__xludf.DUMMYFUNCTION("""COMPUTED_VALUE"""),"| 1 P Python % | 3 L CPT % | 4 L PHP-CGM % | 5 P CPT % ")</f>
        <v xml:space="preserve">| 1 P Python % | 3 L CPT % | 4 L PHP-CGM % | 5 P CPT % </v>
      </c>
      <c r="BK397" s="4" t="str">
        <f ca="1">IFERROR(__xludf.DUMMYFUNCTION("""COMPUTED_VALUE"""),"| 1 P PHP-CGM @ | 3 L PHP-CGM @ | 4 L JAVA @ | 5 P PRO @ ")</f>
        <v xml:space="preserve">| 1 P PHP-CGM @ | 3 L PHP-CGM @ | 4 L JAVA @ | 5 P PRO @ </v>
      </c>
      <c r="BL397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397" s="4" t="str">
        <f ca="1">IFERROR(__xludf.DUMMYFUNCTION("""COMPUTED_VALUE"""),"| 1 L INE @ | 3 P JAVA @ | 5 L JAVA @ | 6 L NS @ ")</f>
        <v xml:space="preserve">| 1 L INE @ | 3 P JAVA @ | 5 L JAVA @ | 6 L NS @ </v>
      </c>
      <c r="BN397" s="4" t="str">
        <f ca="1">IFERROR(__xludf.DUMMYFUNCTION("""COMPUTED_VALUE"""),"| 1 P JAVA @ | 3 P Python @ | 5 L NS @ | 6 L CPT @ ")</f>
        <v xml:space="preserve">| 1 P JAVA @ | 3 P Python @ | 5 L NS @ | 6 L CPT @ </v>
      </c>
      <c r="BO397" s="4" t="str">
        <f ca="1">IFERROR(__xludf.DUMMYFUNCTION("""COMPUTED_VALUE"""),"| 1 P Python @ | 4 L PHP-CGM @ | 3 L CPT @ | 5 P CPT @ ")</f>
        <v xml:space="preserve">| 1 P Python @ | 4 L PHP-CGM @ | 3 L CPT @ | 5 P CPT @ </v>
      </c>
      <c r="BP397" s="4" t="str">
        <f ca="1">IFERROR(__xludf.DUMMYFUNCTION("""COMPUTED_VALUE"""),"| 1 P PHP-CGM % | 3 L PHP-CGM % | 4 L JAVA % | 6 P PRO % ")</f>
        <v xml:space="preserve">| 1 P PHP-CGM % | 3 L PHP-CGM % | 4 L JAVA % | 6 P PRO % </v>
      </c>
      <c r="BQ397" s="4" t="str">
        <f ca="1">IFERROR(__xludf.DUMMYFUNCTION("""COMPUTED_VALUE"""),"| 6 L NS % | 5 L JAVA @ ")</f>
        <v xml:space="preserve">| 6 L NS % | 5 L JAVA @ </v>
      </c>
      <c r="BR397" s="4"/>
      <c r="BS397" s="4" t="str">
        <f ca="1">IFERROR(__xludf.DUMMYFUNCTION("""COMPUTED_VALUE"""),"| 4 L PHP-CGM % ")</f>
        <v xml:space="preserve">| 4 L PHP-CGM % </v>
      </c>
      <c r="BT397" s="4" t="str">
        <f ca="1">IFERROR(__xludf.DUMMYFUNCTION("""COMPUTED_VALUE"""),"| 1 P PHP-CGM @ | 3 L PHP-CGM @ ")</f>
        <v xml:space="preserve">| 1 P PHP-CGM @ | 3 L PHP-CGM @ </v>
      </c>
      <c r="BU397" s="4" t="str">
        <f ca="1">IFERROR(__xludf.DUMMYFUNCTION("""COMPUTED_VALUE"""),"| 1 L JAVA @ | 2 L PHP-CGM @ | 3 P NS @ ")</f>
        <v xml:space="preserve">| 1 L JAVA @ | 2 L PHP-CGM @ | 3 P NS @ </v>
      </c>
      <c r="BV397" s="4" t="str">
        <f ca="1">IFERROR(__xludf.DUMMYFUNCTION("""COMPUTED_VALUE"""),"| 1 P PHP-CGM @ | 3 L PHP-CGM @ | 4 L JAVA @ | 5 P PRO @ ")</f>
        <v xml:space="preserve">| 1 P PHP-CGM @ | 3 L PHP-CGM @ | 4 L JAVA @ | 5 P PRO @ </v>
      </c>
      <c r="BW397" s="4" t="str">
        <f ca="1">IFERROR(__xludf.DUMMYFUNCTION("""COMPUTED_VALUE"""),"| 1 L JAVA @ | 2 L PHP-CGM @ | 3 P NS @ ")</f>
        <v xml:space="preserve">| 1 L JAVA @ | 2 L PHP-CGM @ | 3 P NS @ </v>
      </c>
      <c r="BX397" s="4" t="str">
        <f ca="1">IFERROR(__xludf.DUMMYFUNCTION("""COMPUTED_VALUE"""),"| 1 L INE @ | 3 P JAVA @ | 5 L JAVA @ | 6 L NS @ ")</f>
        <v xml:space="preserve">| 1 L INE @ | 3 P JAVA @ | 5 L JAVA @ | 6 L NS @ </v>
      </c>
      <c r="BY397" s="4" t="str">
        <f ca="1">IFERROR(__xludf.DUMMYFUNCTION("""COMPUTED_VALUE"""),"| 1 P JAVA @ | 3 P Python @ | 5 L NS @ | 6 L CPT @ ")</f>
        <v xml:space="preserve">| 1 P JAVA @ | 3 P Python @ | 5 L NS @ | 6 L CPT @ </v>
      </c>
      <c r="BZ397" s="4" t="str">
        <f ca="1">IFERROR(__xludf.DUMMYFUNCTION("""COMPUTED_VALUE"""),"| 1 P Python @ | 3 L CPT @ | 4 L PHP-CGM @ | 5 P CPT @ ")</f>
        <v xml:space="preserve">| 1 P Python @ | 3 L CPT @ | 4 L PHP-CGM @ | 5 P CPT @ </v>
      </c>
      <c r="CA397" s="4" t="str">
        <f ca="1">IFERROR(__xludf.DUMMYFUNCTION("""COMPUTED_VALUE"""),"| 1 P PHP-CGM % | 3 L PHP-CGM % | 3 L JAVA % | 5 P PRO @ ")</f>
        <v xml:space="preserve">| 1 P PHP-CGM % | 3 L PHP-CGM % | 3 L JAVA % | 5 P PRO @ </v>
      </c>
      <c r="CB397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397" s="4" t="str">
        <f ca="1">IFERROR(__xludf.DUMMYFUNCTION("""COMPUTED_VALUE"""),"| 1 L INE % | 3 P JAVA @ | 5 L JAVA @ | 6 L NS @ ")</f>
        <v xml:space="preserve">| 1 L INE % | 3 P JAVA @ | 5 L JAVA @ | 6 L NS @ </v>
      </c>
      <c r="CD397" s="4" t="str">
        <f ca="1">IFERROR(__xludf.DUMMYFUNCTION("""COMPUTED_VALUE"""),"| 1 P JAVA % | 3 P Python % | 5 L NS % | 6 L CPT % ")</f>
        <v xml:space="preserve">| 1 P JAVA % | 3 P Python % | 5 L NS % | 6 L CPT % </v>
      </c>
      <c r="CE397" s="4" t="str">
        <f ca="1">IFERROR(__xludf.DUMMYFUNCTION("""COMPUTED_VALUE"""),"| 1 P Python % | 3 L CPT @ | 4 L PHP-CGM @ | 5 P CPT @ ")</f>
        <v xml:space="preserve">| 1 P Python % | 3 L CPT @ | 4 L PHP-CGM @ | 5 P CPT @ </v>
      </c>
      <c r="CF397" s="4" t="str">
        <f ca="1">IFERROR(__xludf.DUMMYFUNCTION("""COMPUTED_VALUE"""),"| 1 P PHP-CGM % | 4 L JAVA % | 3 L PHP-CGM % | 5 L PRO % ")</f>
        <v xml:space="preserve">| 1 P PHP-CGM % | 4 L JAVA % | 3 L PHP-CGM % | 5 L PRO % </v>
      </c>
      <c r="CG397" s="4" t="str">
        <f ca="1">IFERROR(__xludf.DUMMYFUNCTION("""COMPUTED_VALUE"""),"| 1 L JAVA @ | 2 L PHP-CGM @ | 3 P NS % | 6 L NS % ")</f>
        <v xml:space="preserve">| 1 L JAVA @ | 2 L PHP-CGM @ | 3 P NS % | 6 L NS % </v>
      </c>
      <c r="CH397" s="4" t="str">
        <f ca="1">IFERROR(__xludf.DUMMYFUNCTION("""COMPUTED_VALUE"""),"| 1 L INE @ | 3 P JAVA % | 5 L JAVA @ | 6 L NS @ ")</f>
        <v xml:space="preserve">| 1 L INE @ | 3 P JAVA % | 5 L JAVA @ | 6 L NS @ </v>
      </c>
      <c r="CI397" s="4" t="str">
        <f ca="1">IFERROR(__xludf.DUMMYFUNCTION("""COMPUTED_VALUE"""),"| 5 L NS @ | 6 L CPT @ ")</f>
        <v xml:space="preserve">| 5 L NS @ | 6 L CPT @ </v>
      </c>
      <c r="CJ397" s="4" t="str">
        <f ca="1">IFERROR(__xludf.DUMMYFUNCTION("""COMPUTED_VALUE"""),"| 3 L CPT % | 5 P CPT % ")</f>
        <v xml:space="preserve">| 3 L CPT % | 5 P CPT % </v>
      </c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</row>
    <row r="398" spans="1:102" ht="12.5" x14ac:dyDescent="0.25">
      <c r="A398" s="3">
        <f ca="1">IFERROR(__xludf.DUMMYFUNCTION("""COMPUTED_VALUE"""),3)</f>
        <v>3</v>
      </c>
      <c r="B398" s="3" t="str">
        <f ca="1">IFERROR(__xludf.DUMMYFUNCTION("""COMPUTED_VALUE"""),"ITA")</f>
        <v>ITA</v>
      </c>
      <c r="C398" s="32" t="str">
        <f ca="1">IFERROR(__xludf.DUMMYFUNCTION("""COMPUTED_VALUE"""),"23291371127")</f>
        <v>23291371127</v>
      </c>
      <c r="D398" s="4" t="str">
        <f ca="1">IFERROR(__xludf.DUMMYFUNCTION("""COMPUTED_VALUE"""),"RATHWA KRUPABEN RAMANBHAI")</f>
        <v>RATHWA KRUPABEN RAMANBHAI</v>
      </c>
      <c r="E398" s="3" t="str">
        <f ca="1">IFERROR(__xludf.DUMMYFUNCTION("""COMPUTED_VALUE"""),"Sweety - Mor")</f>
        <v>Sweety - Mor</v>
      </c>
      <c r="F398" s="3">
        <f ca="1">IFERROR(__xludf.DUMMYFUNCTION("""COMPUTED_VALUE"""),9099729835)</f>
        <v>9099729835</v>
      </c>
      <c r="G398" s="3">
        <f ca="1">IFERROR(__xludf.DUMMYFUNCTION("""COMPUTED_VALUE"""),9099729835)</f>
        <v>9099729835</v>
      </c>
      <c r="H398" s="33">
        <f ca="1">IFERROR(__xludf.DUMMYFUNCTION("""COMPUTED_VALUE"""),0.473895582329317)</f>
        <v>0.473895582329317</v>
      </c>
      <c r="I398" s="25">
        <f ca="1">IFERROR(__xludf.DUMMYFUNCTION("""COMPUTED_VALUE"""),0.485714285714285)</f>
        <v>0.48571428571428499</v>
      </c>
      <c r="J398" s="25">
        <f ca="1">IFERROR(__xludf.DUMMYFUNCTION("""COMPUTED_VALUE"""),0.166666666666666)</f>
        <v>0.16666666666666599</v>
      </c>
      <c r="K398" s="25">
        <f ca="1">IFERROR(__xludf.DUMMYFUNCTION("""COMPUTED_VALUE"""),0.5)</f>
        <v>0.5</v>
      </c>
      <c r="L398" s="25">
        <f ca="1">IFERROR(__xludf.DUMMYFUNCTION("""COMPUTED_VALUE"""),0.538461538461538)</f>
        <v>0.53846153846153799</v>
      </c>
      <c r="M398" s="25">
        <f ca="1">IFERROR(__xludf.DUMMYFUNCTION("""COMPUTED_VALUE"""),0.473684210526315)</f>
        <v>0.47368421052631499</v>
      </c>
      <c r="N398" s="25">
        <f ca="1">IFERROR(__xludf.DUMMYFUNCTION("""COMPUTED_VALUE"""),0.461538461538461)</f>
        <v>0.46153846153846101</v>
      </c>
      <c r="O398" s="25">
        <f ca="1">IFERROR(__xludf.DUMMYFUNCTION("""COMPUTED_VALUE"""),0.555555555555555)</f>
        <v>0.55555555555555503</v>
      </c>
      <c r="P398" s="25">
        <f ca="1">IFERROR(__xludf.DUMMYFUNCTION("""COMPUTED_VALUE"""),0.391304347826087)</f>
        <v>0.39130434782608697</v>
      </c>
      <c r="Q398" s="25">
        <f ca="1">IFERROR(__xludf.DUMMYFUNCTION("""COMPUTED_VALUE"""),0)</f>
        <v>0</v>
      </c>
      <c r="R398" s="25">
        <f ca="1">IFERROR(__xludf.DUMMYFUNCTION("""COMPUTED_VALUE"""),0.521739130434782)</f>
        <v>0.52173913043478204</v>
      </c>
      <c r="S398" s="25">
        <f ca="1">IFERROR(__xludf.DUMMYFUNCTION("""COMPUTED_VALUE"""),0.666666666666666)</f>
        <v>0.66666666666666596</v>
      </c>
      <c r="T398" s="25">
        <f ca="1">IFERROR(__xludf.DUMMYFUNCTION("""COMPUTED_VALUE"""),0.333333333333333)</f>
        <v>0.33333333333333298</v>
      </c>
      <c r="U398" s="25">
        <f ca="1">IFERROR(__xludf.DUMMYFUNCTION("""COMPUTED_VALUE"""),0.5)</f>
        <v>0.5</v>
      </c>
      <c r="V398" s="25">
        <f ca="1">IFERROR(__xludf.DUMMYFUNCTION("""COMPUTED_VALUE"""),0)</f>
        <v>0</v>
      </c>
      <c r="W398" s="4"/>
      <c r="X398" s="4" t="str">
        <f ca="1">IFERROR(__xludf.DUMMYFUNCTION("""COMPUTED_VALUE"""),"| 4 L JAVA @ | 1 P PHP-CGM @ | 3 L PHP-CGM @ | 1 L PRO @ ")</f>
        <v xml:space="preserve">| 4 L JAVA @ | 1 P PHP-CGM @ | 3 L PHP-CGM @ | 1 L PRO @ </v>
      </c>
      <c r="Y398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398" s="4" t="str">
        <f ca="1">IFERROR(__xludf.DUMMYFUNCTION("""COMPUTED_VALUE"""),"| 3 P JAVA @ | 5 L JAVA @ | 6 L NS @ ")</f>
        <v xml:space="preserve">| 3 P JAVA @ | 5 L JAVA @ | 6 L NS @ </v>
      </c>
      <c r="AA398" s="4" t="str">
        <f ca="1">IFERROR(__xludf.DUMMYFUNCTION("""COMPUTED_VALUE"""),"| 1 P JAVA @ | 3 P Python @ | 5 L NS @ | 6 L CPT @ ")</f>
        <v xml:space="preserve">| 1 P JAVA @ | 3 P Python @ | 5 L NS @ | 6 L CPT @ </v>
      </c>
      <c r="AB398" s="4" t="str">
        <f ca="1">IFERROR(__xludf.DUMMYFUNCTION("""COMPUTED_VALUE"""),"| 1 P Python @ | 3 L CPT @ | 4 L PHP-CGM @ | 5 P CPT @ ")</f>
        <v xml:space="preserve">| 1 P Python @ | 3 L CPT @ | 4 L PHP-CGM @ | 5 P CPT @ </v>
      </c>
      <c r="AC398" s="4" t="str">
        <f ca="1">IFERROR(__xludf.DUMMYFUNCTION("""COMPUTED_VALUE"""),"| 1 P PHP-CGM % | 3 L PHP-CGM @ | 5 P PRO @ ")</f>
        <v xml:space="preserve">| 1 P PHP-CGM % | 3 L PHP-CGM @ | 5 P PRO @ </v>
      </c>
      <c r="AD39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AE398" s="4" t="str">
        <f ca="1">IFERROR(__xludf.DUMMYFUNCTION("""COMPUTED_VALUE"""),"| 3 P JAVA @ | 5 L JAVA @ | 6 L NS @ ")</f>
        <v xml:space="preserve">| 3 P JAVA @ | 5 L JAVA @ | 6 L NS @ </v>
      </c>
      <c r="AF398" s="4" t="str">
        <f ca="1">IFERROR(__xludf.DUMMYFUNCTION("""COMPUTED_VALUE"""),"| 1 P JAVA @ | 3 P Python @ | 5 L NS @ | 6 L CPT @ ")</f>
        <v xml:space="preserve">| 1 P JAVA @ | 3 P Python @ | 5 L NS @ | 6 L CPT @ </v>
      </c>
      <c r="AG398" s="4" t="str">
        <f ca="1">IFERROR(__xludf.DUMMYFUNCTION("""COMPUTED_VALUE"""),"| 1 P Python @ | 3 L CPT @ | 4 L PHP-CGM @ | 5 P CPT @ ")</f>
        <v xml:space="preserve">| 1 P Python @ | 3 L CPT @ | 4 L PHP-CGM @ | 5 P CPT @ </v>
      </c>
      <c r="AH398" s="4" t="str">
        <f ca="1">IFERROR(__xludf.DUMMYFUNCTION("""COMPUTED_VALUE"""),"| 1 P JAVA % | 3 P Python % | 5 L NS % | 6 L CPT % ")</f>
        <v xml:space="preserve">| 1 P JAVA % | 3 P Python % | 5 L NS % | 6 L CPT % </v>
      </c>
      <c r="AI398" s="4" t="str">
        <f ca="1">IFERROR(__xludf.DUMMYFUNCTION("""COMPUTED_VALUE"""),"| 1 P Python % | 3 L CPT % | 4 L PHP-CGM % | 5 P CPT @ ")</f>
        <v xml:space="preserve">| 1 P Python % | 3 L CPT % | 4 L PHP-CGM % | 5 P CPT @ </v>
      </c>
      <c r="AJ398" s="4" t="str">
        <f ca="1">IFERROR(__xludf.DUMMYFUNCTION("""COMPUTED_VALUE"""),"| 1 P PHP-CGM % | 3 L PHP-CGM % | 4 L JAVA % | 5 P PRO % ")</f>
        <v xml:space="preserve">| 1 P PHP-CGM % | 3 L PHP-CGM % | 4 L JAVA % | 5 P PRO % </v>
      </c>
      <c r="AK39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398" s="4" t="str">
        <f ca="1">IFERROR(__xludf.DUMMYFUNCTION("""COMPUTED_VALUE"""),"| 3 P JAVA @ | 5 L JAVA % | 6 L NS % ")</f>
        <v xml:space="preserve">| 3 P JAVA @ | 5 L JAVA % | 6 L NS % </v>
      </c>
      <c r="AM398" s="4" t="str">
        <f ca="1">IFERROR(__xludf.DUMMYFUNCTION("""COMPUTED_VALUE"""),"| 1 P JAVA % | 3 P Python % | 5 L NS @ | 6 L CPT @ ")</f>
        <v xml:space="preserve">| 1 P JAVA % | 3 P Python % | 5 L NS @ | 6 L CPT @ </v>
      </c>
      <c r="AN398" s="4" t="str">
        <f ca="1">IFERROR(__xludf.DUMMYFUNCTION("""COMPUTED_VALUE"""),"| 1 P Python @ | 4 L PHP-CGM @ | 5 P CPT @ ")</f>
        <v xml:space="preserve">| 1 P Python @ | 4 L PHP-CGM @ | 5 P CPT @ </v>
      </c>
      <c r="AO398" s="4" t="str">
        <f ca="1">IFERROR(__xludf.DUMMYFUNCTION("""COMPUTED_VALUE"""),"| 1 P PHP-CGM @ | 3 L PHP-CGM @ | 4 L JAVA @ | 5 P PRO @ ")</f>
        <v xml:space="preserve">| 1 P PHP-CGM @ | 3 L PHP-CGM @ | 4 L JAVA @ | 5 P PRO @ </v>
      </c>
      <c r="AP398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Q398" s="4" t="str">
        <f ca="1">IFERROR(__xludf.DUMMYFUNCTION("""COMPUTED_VALUE"""),"| 1 L INE % | 3 P JAVA % | 5 L JAVA % | 6 L NS % ")</f>
        <v xml:space="preserve">| 1 L INE % | 3 P JAVA % | 5 L JAVA % | 6 L NS % </v>
      </c>
      <c r="AR398" s="4" t="str">
        <f ca="1">IFERROR(__xludf.DUMMYFUNCTION("""COMPUTED_VALUE"""),"| 1 P JAVA % | 3 L CPT @ | 3 P Python % | 5 L NS % | 6 L CPT % ")</f>
        <v xml:space="preserve">| 1 P JAVA % | 3 L CPT @ | 3 P Python % | 5 L NS % | 6 L CPT % </v>
      </c>
      <c r="AS398" s="4" t="str">
        <f ca="1">IFERROR(__xludf.DUMMYFUNCTION("""COMPUTED_VALUE"""),"| 1 P PHP-CGM % | 3 L PHP-CGM % | 4 L JAVA % | 5 P PRO % ")</f>
        <v xml:space="preserve">| 1 P PHP-CGM % | 3 L PHP-CGM % | 4 L JAVA % | 5 P PRO % </v>
      </c>
      <c r="AT39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98" s="4" t="str">
        <f ca="1">IFERROR(__xludf.DUMMYFUNCTION("""COMPUTED_VALUE"""),"| 1 L INE @ | 3 P JAVA % | 5 L JAVA % | 6 L NS % ")</f>
        <v xml:space="preserve">| 1 L INE @ | 3 P JAVA % | 5 L JAVA % | 6 L NS % </v>
      </c>
      <c r="AV398" s="4" t="str">
        <f ca="1">IFERROR(__xludf.DUMMYFUNCTION("""COMPUTED_VALUE"""),"| 1 P JAVA @ | 3 P Python @ | 5 L NS @ | 6 L CPT @ ")</f>
        <v xml:space="preserve">| 1 P JAVA @ | 3 P Python @ | 5 L NS @ | 6 L CPT @ </v>
      </c>
      <c r="AW398" s="4" t="str">
        <f ca="1">IFERROR(__xludf.DUMMYFUNCTION("""COMPUTED_VALUE"""),"| 1 P Python % | 3 L CPT % | 4 L PHP-CGM % | 5 P CPT @ ")</f>
        <v xml:space="preserve">| 1 P Python % | 3 L CPT % | 4 L PHP-CGM % | 5 P CPT @ </v>
      </c>
      <c r="AX398" s="4" t="str">
        <f ca="1">IFERROR(__xludf.DUMMYFUNCTION("""COMPUTED_VALUE"""),"| 1 P PHP-CGM % | 3 L JAVA % | 4 L PHP-CGM % | 5 P PRO % ")</f>
        <v xml:space="preserve">| 1 P PHP-CGM % | 3 L JAVA % | 4 L PHP-CGM % | 5 P PRO % </v>
      </c>
      <c r="AY398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398" s="4" t="str">
        <f ca="1">IFERROR(__xludf.DUMMYFUNCTION("""COMPUTED_VALUE"""),"| 1 P JAVA % | 3 P Python % | 5 L NS % | 6 L CPT % ")</f>
        <v xml:space="preserve">| 1 P JAVA % | 3 P Python % | 5 L NS % | 6 L CPT % </v>
      </c>
      <c r="BA398" s="4" t="str">
        <f ca="1">IFERROR(__xludf.DUMMYFUNCTION("""COMPUTED_VALUE"""),"| 1 P Python % | 3 L CPT % | 4 L PHP-CGM % | 5 P CPT @ ")</f>
        <v xml:space="preserve">| 1 P Python % | 3 L CPT % | 4 L PHP-CGM % | 5 P CPT @ </v>
      </c>
      <c r="BB398" s="4" t="str">
        <f ca="1">IFERROR(__xludf.DUMMYFUNCTION("""COMPUTED_VALUE"""),"| 1 P PHP-CGM % | 3 L PHP-CGM % | 4 L JAVA % | 5 L PRO % ")</f>
        <v xml:space="preserve">| 1 P PHP-CGM % | 3 L PHP-CGM % | 4 L JAVA % | 5 L PRO % </v>
      </c>
      <c r="BC398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398" s="4" t="str">
        <f ca="1">IFERROR(__xludf.DUMMYFUNCTION("""COMPUTED_VALUE"""),"| 1 L INE % | 3 P JAVA % | 5 L JAVA % | 6 L NS % ")</f>
        <v xml:space="preserve">| 1 L INE % | 3 P JAVA % | 5 L JAVA % | 6 L NS % </v>
      </c>
      <c r="BE398" s="4" t="str">
        <f ca="1">IFERROR(__xludf.DUMMYFUNCTION("""COMPUTED_VALUE"""),"| 1 P JAVA @ | 3 P Python @ | 5 L NS @ | 6 L CPT @ ")</f>
        <v xml:space="preserve">| 1 P JAVA @ | 3 P Python @ | 5 L NS @ | 6 L CPT @ </v>
      </c>
      <c r="BF398" s="4" t="str">
        <f ca="1">IFERROR(__xludf.DUMMYFUNCTION("""COMPUTED_VALUE"""),"| 1 P Python % | 3 L CPT % | 4 L PHP-CGM % | 5 P CPT @ ")</f>
        <v xml:space="preserve">| 1 P Python % | 3 L CPT % | 4 L PHP-CGM % | 5 P CPT @ </v>
      </c>
      <c r="BG39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398" s="4" t="str">
        <f ca="1">IFERROR(__xludf.DUMMYFUNCTION("""COMPUTED_VALUE"""),"| 1 L INE % | 3 P JAVA % | 5 L JAVA % | 6 L NS % ")</f>
        <v xml:space="preserve">| 1 L INE % | 3 P JAVA % | 5 L JAVA % | 6 L NS % </v>
      </c>
      <c r="BI398" s="4" t="str">
        <f ca="1">IFERROR(__xludf.DUMMYFUNCTION("""COMPUTED_VALUE"""),"| 1 P JAVA @ | 3 P Python % | 5 L NS % | 6 L CPT % ")</f>
        <v xml:space="preserve">| 1 P JAVA @ | 3 P Python % | 5 L NS % | 6 L CPT % </v>
      </c>
      <c r="BJ398" s="4" t="str">
        <f ca="1">IFERROR(__xludf.DUMMYFUNCTION("""COMPUTED_VALUE"""),"| 1 P Python % | 3 L CPT % | 4 L PHP-CGM % | 5 P CPT @ ")</f>
        <v xml:space="preserve">| 1 P Python % | 3 L CPT % | 4 L PHP-CGM % | 5 P CPT @ </v>
      </c>
      <c r="BK398" s="4" t="str">
        <f ca="1">IFERROR(__xludf.DUMMYFUNCTION("""COMPUTED_VALUE"""),"| 1 P PHP-CGM @ | 3 L PHP-CGM @ | 4 L JAVA @ | 5 P PRO @ ")</f>
        <v xml:space="preserve">| 1 P PHP-CGM @ | 3 L PHP-CGM @ | 4 L JAVA @ | 5 P PRO @ </v>
      </c>
      <c r="BL39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398" s="4" t="str">
        <f ca="1">IFERROR(__xludf.DUMMYFUNCTION("""COMPUTED_VALUE"""),"| 1 L INE @ | 3 P JAVA @ | 5 L JAVA @ | 6 L NS @ ")</f>
        <v xml:space="preserve">| 1 L INE @ | 3 P JAVA @ | 5 L JAVA @ | 6 L NS @ </v>
      </c>
      <c r="BN398" s="4" t="str">
        <f ca="1">IFERROR(__xludf.DUMMYFUNCTION("""COMPUTED_VALUE"""),"| 1 P JAVA @ | 3 P Python @ | 5 L NS @ | 6 L CPT @ ")</f>
        <v xml:space="preserve">| 1 P JAVA @ | 3 P Python @ | 5 L NS @ | 6 L CPT @ </v>
      </c>
      <c r="BO398" s="4" t="str">
        <f ca="1">IFERROR(__xludf.DUMMYFUNCTION("""COMPUTED_VALUE"""),"| 1 P Python @ | 4 L PHP-CGM @ | 3 L CPT @ | 5 P CPT @ ")</f>
        <v xml:space="preserve">| 1 P Python @ | 4 L PHP-CGM @ | 3 L CPT @ | 5 P CPT @ </v>
      </c>
      <c r="BP398" s="4" t="str">
        <f ca="1">IFERROR(__xludf.DUMMYFUNCTION("""COMPUTED_VALUE"""),"| 1 P PHP-CGM @ | 3 L PHP-CGM @ | 4 L JAVA % | 6 P PRO @ ")</f>
        <v xml:space="preserve">| 1 P PHP-CGM @ | 3 L PHP-CGM @ | 4 L JAVA % | 6 P PRO @ </v>
      </c>
      <c r="BQ398" s="4" t="str">
        <f ca="1">IFERROR(__xludf.DUMMYFUNCTION("""COMPUTED_VALUE"""),"| 6 L NS % | 5 L JAVA @ ")</f>
        <v xml:space="preserve">| 6 L NS % | 5 L JAVA @ </v>
      </c>
      <c r="BR398" s="4"/>
      <c r="BS398" s="4" t="str">
        <f ca="1">IFERROR(__xludf.DUMMYFUNCTION("""COMPUTED_VALUE"""),"| 4 L PHP-CGM % ")</f>
        <v xml:space="preserve">| 4 L PHP-CGM % </v>
      </c>
      <c r="BT398" s="4" t="str">
        <f ca="1">IFERROR(__xludf.DUMMYFUNCTION("""COMPUTED_VALUE"""),"| 1 P PHP-CGM @ | 3 L PHP-CGM @ ")</f>
        <v xml:space="preserve">| 1 P PHP-CGM @ | 3 L PHP-CGM @ </v>
      </c>
      <c r="BU398" s="4" t="str">
        <f ca="1">IFERROR(__xludf.DUMMYFUNCTION("""COMPUTED_VALUE"""),"| 1 L JAVA @ | 2 L PHP-CGM @ | 3 P NS @ ")</f>
        <v xml:space="preserve">| 1 L JAVA @ | 2 L PHP-CGM @ | 3 P NS @ </v>
      </c>
      <c r="BV398" s="4" t="str">
        <f ca="1">IFERROR(__xludf.DUMMYFUNCTION("""COMPUTED_VALUE"""),"| 1 P PHP-CGM @ | 3 L PHP-CGM @ | 4 L JAVA @ | 5 P PRO @ ")</f>
        <v xml:space="preserve">| 1 P PHP-CGM @ | 3 L PHP-CGM @ | 4 L JAVA @ | 5 P PRO @ </v>
      </c>
      <c r="BW398" s="4" t="str">
        <f ca="1">IFERROR(__xludf.DUMMYFUNCTION("""COMPUTED_VALUE"""),"| 1 L JAVA % | 2 L PHP-CGM % | 3 P NS % ")</f>
        <v xml:space="preserve">| 1 L JAVA % | 2 L PHP-CGM % | 3 P NS % </v>
      </c>
      <c r="BX398" s="4" t="str">
        <f ca="1">IFERROR(__xludf.DUMMYFUNCTION("""COMPUTED_VALUE"""),"| 1 L INE @ | 3 P JAVA @ | 5 L JAVA % | 6 L NS % ")</f>
        <v xml:space="preserve">| 1 L INE @ | 3 P JAVA @ | 5 L JAVA % | 6 L NS % </v>
      </c>
      <c r="BY398" s="4" t="str">
        <f ca="1">IFERROR(__xludf.DUMMYFUNCTION("""COMPUTED_VALUE"""),"| 1 P JAVA @ | 3 P Python % | 5 L NS % | 6 L CPT % ")</f>
        <v xml:space="preserve">| 1 P JAVA @ | 3 P Python % | 5 L NS % | 6 L CPT % </v>
      </c>
      <c r="BZ398" s="4" t="str">
        <f ca="1">IFERROR(__xludf.DUMMYFUNCTION("""COMPUTED_VALUE"""),"| 1 P Python @ | 3 L CPT @ | 4 L PHP-CGM @ | 5 P CPT @ ")</f>
        <v xml:space="preserve">| 1 P Python @ | 3 L CPT @ | 4 L PHP-CGM @ | 5 P CPT @ </v>
      </c>
      <c r="CA398" s="4" t="str">
        <f ca="1">IFERROR(__xludf.DUMMYFUNCTION("""COMPUTED_VALUE"""),"| 1 P PHP-CGM @ | 3 L PHP-CGM @ | 3 L JAVA @ | 5 P PRO @ ")</f>
        <v xml:space="preserve">| 1 P PHP-CGM @ | 3 L PHP-CGM @ | 3 L JAVA @ | 5 P PRO @ </v>
      </c>
      <c r="CB39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CC398" s="4" t="str">
        <f ca="1">IFERROR(__xludf.DUMMYFUNCTION("""COMPUTED_VALUE"""),"| 1 L INE @ | 3 P JAVA @ | 5 L JAVA @ | 6 L NS @ ")</f>
        <v xml:space="preserve">| 1 L INE @ | 3 P JAVA @ | 5 L JAVA @ | 6 L NS @ </v>
      </c>
      <c r="CD398" s="4" t="str">
        <f ca="1">IFERROR(__xludf.DUMMYFUNCTION("""COMPUTED_VALUE"""),"| 1 P JAVA @ | 3 P Python @ | 5 L NS @ | 6 L CPT @ ")</f>
        <v xml:space="preserve">| 1 P JAVA @ | 3 P Python @ | 5 L NS @ | 6 L CPT @ </v>
      </c>
      <c r="CE398" s="4" t="str">
        <f ca="1">IFERROR(__xludf.DUMMYFUNCTION("""COMPUTED_VALUE"""),"| 1 P Python % | 3 L CPT % | 4 L PHP-CGM % | 5 P CPT % ")</f>
        <v xml:space="preserve">| 1 P Python % | 3 L CPT % | 4 L PHP-CGM % | 5 P CPT % </v>
      </c>
      <c r="CF398" s="4" t="str">
        <f ca="1">IFERROR(__xludf.DUMMYFUNCTION("""COMPUTED_VALUE"""),"| 1 P PHP-CGM % | 4 L JAVA % | 3 L PHP-CGM @ | 5 L PRO % ")</f>
        <v xml:space="preserve">| 1 P PHP-CGM % | 4 L JAVA % | 3 L PHP-CGM @ | 5 L PRO % </v>
      </c>
      <c r="CG398" s="4" t="str">
        <f ca="1">IFERROR(__xludf.DUMMYFUNCTION("""COMPUTED_VALUE"""),"| 1 L JAVA % | 2 L PHP-CGM % | 3 P NS % | 6 L NS @ ")</f>
        <v xml:space="preserve">| 1 L JAVA % | 2 L PHP-CGM % | 3 P NS % | 6 L NS @ </v>
      </c>
      <c r="CH398" s="4" t="str">
        <f ca="1">IFERROR(__xludf.DUMMYFUNCTION("""COMPUTED_VALUE"""),"| 1 L INE % | 3 P JAVA % | 5 L JAVA % | 6 L NS % ")</f>
        <v xml:space="preserve">| 1 L INE % | 3 P JAVA % | 5 L JAVA % | 6 L NS % </v>
      </c>
      <c r="CI398" s="4" t="str">
        <f ca="1">IFERROR(__xludf.DUMMYFUNCTION("""COMPUTED_VALUE"""),"| 5 L NS @ | 6 L CPT @ ")</f>
        <v xml:space="preserve">| 5 L NS @ | 6 L CPT @ </v>
      </c>
      <c r="CJ398" s="4" t="str">
        <f ca="1">IFERROR(__xludf.DUMMYFUNCTION("""COMPUTED_VALUE"""),"| 3 L CPT % | 5 P CPT % ")</f>
        <v xml:space="preserve">| 3 L CPT % | 5 P CPT % </v>
      </c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</row>
    <row r="399" spans="1:102" ht="12.5" x14ac:dyDescent="0.25">
      <c r="A399" s="3">
        <f ca="1">IFERROR(__xludf.DUMMYFUNCTION("""COMPUTED_VALUE"""),3)</f>
        <v>3</v>
      </c>
      <c r="B399" s="3" t="str">
        <f ca="1">IFERROR(__xludf.DUMMYFUNCTION("""COMPUTED_VALUE"""),"ITA")</f>
        <v>ITA</v>
      </c>
      <c r="C399" s="32" t="str">
        <f ca="1">IFERROR(__xludf.DUMMYFUNCTION("""COMPUTED_VALUE"""),"23291371129")</f>
        <v>23291371129</v>
      </c>
      <c r="D399" s="4" t="str">
        <f ca="1">IFERROR(__xludf.DUMMYFUNCTION("""COMPUTED_VALUE"""),"RAVAL HET ATULBHAI")</f>
        <v>RAVAL HET ATULBHAI</v>
      </c>
      <c r="E399" s="3" t="str">
        <f ca="1">IFERROR(__xludf.DUMMYFUNCTION("""COMPUTED_VALUE"""),"Sweety - Mor")</f>
        <v>Sweety - Mor</v>
      </c>
      <c r="F399" s="3">
        <f ca="1">IFERROR(__xludf.DUMMYFUNCTION("""COMPUTED_VALUE"""),7984113102)</f>
        <v>7984113102</v>
      </c>
      <c r="G399" s="3">
        <f ca="1">IFERROR(__xludf.DUMMYFUNCTION("""COMPUTED_VALUE"""),9879615581)</f>
        <v>9879615581</v>
      </c>
      <c r="H399" s="33">
        <f ca="1">IFERROR(__xludf.DUMMYFUNCTION("""COMPUTED_VALUE"""),0.642570281124498)</f>
        <v>0.64257028112449799</v>
      </c>
      <c r="I399" s="25">
        <f ca="1">IFERROR(__xludf.DUMMYFUNCTION("""COMPUTED_VALUE"""),0.6)</f>
        <v>0.6</v>
      </c>
      <c r="J399" s="25">
        <f ca="1">IFERROR(__xludf.DUMMYFUNCTION("""COMPUTED_VALUE"""),0.416666666666666)</f>
        <v>0.41666666666666602</v>
      </c>
      <c r="K399" s="25">
        <f ca="1">IFERROR(__xludf.DUMMYFUNCTION("""COMPUTED_VALUE"""),0.638888888888888)</f>
        <v>0.63888888888888795</v>
      </c>
      <c r="L399" s="25">
        <f ca="1">IFERROR(__xludf.DUMMYFUNCTION("""COMPUTED_VALUE"""),0.846153846153846)</f>
        <v>0.84615384615384603</v>
      </c>
      <c r="M399" s="25">
        <f ca="1">IFERROR(__xludf.DUMMYFUNCTION("""COMPUTED_VALUE"""),0.789473684210526)</f>
        <v>0.78947368421052599</v>
      </c>
      <c r="N399" s="25">
        <f ca="1">IFERROR(__xludf.DUMMYFUNCTION("""COMPUTED_VALUE"""),0.923076923076923)</f>
        <v>0.92307692307692302</v>
      </c>
      <c r="O399" s="25">
        <f ca="1">IFERROR(__xludf.DUMMYFUNCTION("""COMPUTED_VALUE"""),0.75)</f>
        <v>0.75</v>
      </c>
      <c r="P399" s="25">
        <f ca="1">IFERROR(__xludf.DUMMYFUNCTION("""COMPUTED_VALUE"""),0.434782608695652)</f>
        <v>0.434782608695652</v>
      </c>
      <c r="Q399" s="25">
        <f ca="1">IFERROR(__xludf.DUMMYFUNCTION("""COMPUTED_VALUE"""),0)</f>
        <v>0</v>
      </c>
      <c r="R399" s="25">
        <f ca="1">IFERROR(__xludf.DUMMYFUNCTION("""COMPUTED_VALUE"""),0.565217391304347)</f>
        <v>0.56521739130434701</v>
      </c>
      <c r="S399" s="25">
        <f ca="1">IFERROR(__xludf.DUMMYFUNCTION("""COMPUTED_VALUE"""),0.666666666666666)</f>
        <v>0.66666666666666596</v>
      </c>
      <c r="T399" s="25">
        <f ca="1">IFERROR(__xludf.DUMMYFUNCTION("""COMPUTED_VALUE"""),0.444444444444444)</f>
        <v>0.44444444444444398</v>
      </c>
      <c r="U399" s="25">
        <f ca="1">IFERROR(__xludf.DUMMYFUNCTION("""COMPUTED_VALUE"""),0.25)</f>
        <v>0.25</v>
      </c>
      <c r="V399" s="25">
        <f ca="1">IFERROR(__xludf.DUMMYFUNCTION("""COMPUTED_VALUE"""),0)</f>
        <v>0</v>
      </c>
      <c r="W399" s="4"/>
      <c r="X399" s="4" t="str">
        <f ca="1">IFERROR(__xludf.DUMMYFUNCTION("""COMPUTED_VALUE"""),"| 4 L JAVA % | 1 P PHP-CGM % | 3 L PHP-CGM % | 1 L PRO % ")</f>
        <v xml:space="preserve">| 4 L JAVA % | 1 P PHP-CGM % | 3 L PHP-CGM % | 1 L PRO % </v>
      </c>
      <c r="Y39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399" s="4" t="str">
        <f ca="1">IFERROR(__xludf.DUMMYFUNCTION("""COMPUTED_VALUE"""),"| 3 P JAVA % | 5 L JAVA % | 6 L NS % ")</f>
        <v xml:space="preserve">| 3 P JAVA % | 5 L JAVA % | 6 L NS % </v>
      </c>
      <c r="AA399" s="4" t="str">
        <f ca="1">IFERROR(__xludf.DUMMYFUNCTION("""COMPUTED_VALUE"""),"| 1 P JAVA % | 3 P Python % | 5 L NS % | 6 L CPT % ")</f>
        <v xml:space="preserve">| 1 P JAVA % | 3 P Python % | 5 L NS % | 6 L CPT % </v>
      </c>
      <c r="AB399" s="4" t="str">
        <f ca="1">IFERROR(__xludf.DUMMYFUNCTION("""COMPUTED_VALUE"""),"| 1 P Python % | 3 L CPT % | 4 L PHP-CGM % | 5 P CPT % ")</f>
        <v xml:space="preserve">| 1 P Python % | 3 L CPT % | 4 L PHP-CGM % | 5 P CPT % </v>
      </c>
      <c r="AC399" s="4" t="str">
        <f ca="1">IFERROR(__xludf.DUMMYFUNCTION("""COMPUTED_VALUE"""),"| 1 P PHP-CGM % | 3 L PHP-CGM % | 5 P PRO % ")</f>
        <v xml:space="preserve">| 1 P PHP-CGM % | 3 L PHP-CGM % | 5 P PRO % </v>
      </c>
      <c r="AD399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399" s="4" t="str">
        <f ca="1">IFERROR(__xludf.DUMMYFUNCTION("""COMPUTED_VALUE"""),"| 3 P JAVA % | 5 L JAVA % | 6 L NS % ")</f>
        <v xml:space="preserve">| 3 P JAVA % | 5 L JAVA % | 6 L NS % </v>
      </c>
      <c r="AF399" s="4" t="str">
        <f ca="1">IFERROR(__xludf.DUMMYFUNCTION("""COMPUTED_VALUE"""),"| 1 P JAVA % | 3 P Python % | 5 L NS % | 6 L CPT % ")</f>
        <v xml:space="preserve">| 1 P JAVA % | 3 P Python % | 5 L NS % | 6 L CPT % </v>
      </c>
      <c r="AG399" s="4" t="str">
        <f ca="1">IFERROR(__xludf.DUMMYFUNCTION("""COMPUTED_VALUE"""),"| 1 P Python % | 3 L CPT % | 4 L PHP-CGM % | 5 P CPT @ ")</f>
        <v xml:space="preserve">| 1 P Python % | 3 L CPT % | 4 L PHP-CGM % | 5 P CPT @ </v>
      </c>
      <c r="AH399" s="4" t="str">
        <f ca="1">IFERROR(__xludf.DUMMYFUNCTION("""COMPUTED_VALUE"""),"| 1 P JAVA @ | 3 P Python @ | 5 L NS @ | 6 L CPT @ ")</f>
        <v xml:space="preserve">| 1 P JAVA @ | 3 P Python @ | 5 L NS @ | 6 L CPT @ </v>
      </c>
      <c r="AI399" s="4" t="str">
        <f ca="1">IFERROR(__xludf.DUMMYFUNCTION("""COMPUTED_VALUE"""),"| 1 P Python % | 3 L CPT % | 4 L PHP-CGM % | 5 P CPT % ")</f>
        <v xml:space="preserve">| 1 P Python % | 3 L CPT % | 4 L PHP-CGM % | 5 P CPT % </v>
      </c>
      <c r="AJ399" s="4" t="str">
        <f ca="1">IFERROR(__xludf.DUMMYFUNCTION("""COMPUTED_VALUE"""),"| 1 P PHP-CGM % | 3 L PHP-CGM % | 4 L JAVA % | 5 P PRO @ ")</f>
        <v xml:space="preserve">| 1 P PHP-CGM % | 3 L PHP-CGM % | 4 L JAVA % | 5 P PRO @ </v>
      </c>
      <c r="AK39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399" s="4" t="str">
        <f ca="1">IFERROR(__xludf.DUMMYFUNCTION("""COMPUTED_VALUE"""),"| 3 P JAVA % | 5 L JAVA % | 6 L NS % ")</f>
        <v xml:space="preserve">| 3 P JAVA % | 5 L JAVA % | 6 L NS % </v>
      </c>
      <c r="AM399" s="4" t="str">
        <f ca="1">IFERROR(__xludf.DUMMYFUNCTION("""COMPUTED_VALUE"""),"| 1 P JAVA % | 3 P Python % | 5 L NS @ | 6 L CPT @ ")</f>
        <v xml:space="preserve">| 1 P JAVA % | 3 P Python % | 5 L NS @ | 6 L CPT @ </v>
      </c>
      <c r="AN399" s="4" t="str">
        <f ca="1">IFERROR(__xludf.DUMMYFUNCTION("""COMPUTED_VALUE"""),"| 1 P Python @ | 4 L PHP-CGM @ | 5 P CPT @ ")</f>
        <v xml:space="preserve">| 1 P Python @ | 4 L PHP-CGM @ | 5 P CPT @ </v>
      </c>
      <c r="AO399" s="4" t="str">
        <f ca="1">IFERROR(__xludf.DUMMYFUNCTION("""COMPUTED_VALUE"""),"| 1 P PHP-CGM % | 3 L PHP-CGM % | 4 L JAVA % | 5 P PRO @ ")</f>
        <v xml:space="preserve">| 1 P PHP-CGM % | 3 L PHP-CGM % | 4 L JAVA % | 5 P PRO @ </v>
      </c>
      <c r="AP399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Q399" s="4" t="str">
        <f ca="1">IFERROR(__xludf.DUMMYFUNCTION("""COMPUTED_VALUE"""),"| 1 L INE @ | 3 P JAVA @ | 5 L JAVA @ | 6 L NS @ ")</f>
        <v xml:space="preserve">| 1 L INE @ | 3 P JAVA @ | 5 L JAVA @ | 6 L NS @ </v>
      </c>
      <c r="AR399" s="4" t="str">
        <f ca="1">IFERROR(__xludf.DUMMYFUNCTION("""COMPUTED_VALUE"""),"| 1 P JAVA @ | 3 L CPT @ | 3 P Python % | 5 L NS % | 6 L CPT % ")</f>
        <v xml:space="preserve">| 1 P JAVA @ | 3 L CPT @ | 3 P Python % | 5 L NS % | 6 L CPT % </v>
      </c>
      <c r="AS399" s="4" t="str">
        <f ca="1">IFERROR(__xludf.DUMMYFUNCTION("""COMPUTED_VALUE"""),"| 1 P PHP-CGM % | 3 L PHP-CGM % | 4 L JAVA % | 5 P PRO % ")</f>
        <v xml:space="preserve">| 1 P PHP-CGM % | 3 L PHP-CGM % | 4 L JAVA % | 5 P PRO % </v>
      </c>
      <c r="AT39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399" s="4" t="str">
        <f ca="1">IFERROR(__xludf.DUMMYFUNCTION("""COMPUTED_VALUE"""),"| 1 L INE @ | 3 P JAVA @ | 5 L JAVA @ | 6 L NS @ ")</f>
        <v xml:space="preserve">| 1 L INE @ | 3 P JAVA @ | 5 L JAVA @ | 6 L NS @ </v>
      </c>
      <c r="AV399" s="4" t="str">
        <f ca="1">IFERROR(__xludf.DUMMYFUNCTION("""COMPUTED_VALUE"""),"| 1 P JAVA @ | 3 P Python @ | 5 L NS @ | 6 L CPT % ")</f>
        <v xml:space="preserve">| 1 P JAVA @ | 3 P Python @ | 5 L NS @ | 6 L CPT % </v>
      </c>
      <c r="AW399" s="4" t="str">
        <f ca="1">IFERROR(__xludf.DUMMYFUNCTION("""COMPUTED_VALUE"""),"| 1 P Python % | 3 L CPT % | 4 L PHP-CGM % | 5 P CPT % ")</f>
        <v xml:space="preserve">| 1 P Python % | 3 L CPT % | 4 L PHP-CGM % | 5 P CPT % </v>
      </c>
      <c r="AX399" s="4" t="str">
        <f ca="1">IFERROR(__xludf.DUMMYFUNCTION("""COMPUTED_VALUE"""),"| 1 P PHP-CGM % | 3 L JAVA % | 4 L PHP-CGM % | 5 P PRO % ")</f>
        <v xml:space="preserve">| 1 P PHP-CGM % | 3 L JAVA % | 4 L PHP-CGM % | 5 P PRO % </v>
      </c>
      <c r="AY399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399" s="4" t="str">
        <f ca="1">IFERROR(__xludf.DUMMYFUNCTION("""COMPUTED_VALUE"""),"| 1 P JAVA % | 3 P Python % | 5 L NS % | 6 L CPT % ")</f>
        <v xml:space="preserve">| 1 P JAVA % | 3 P Python % | 5 L NS % | 6 L CPT % </v>
      </c>
      <c r="BA399" s="4" t="str">
        <f ca="1">IFERROR(__xludf.DUMMYFUNCTION("""COMPUTED_VALUE"""),"| 1 P Python @ | 3 L CPT @ | 4 L PHP-CGM @ | 5 P CPT @ ")</f>
        <v xml:space="preserve">| 1 P Python @ | 3 L CPT @ | 4 L PHP-CGM @ | 5 P CPT @ </v>
      </c>
      <c r="BB399" s="4" t="str">
        <f ca="1">IFERROR(__xludf.DUMMYFUNCTION("""COMPUTED_VALUE"""),"| 1 P PHP-CGM % | 3 L PHP-CGM % | 4 L JAVA % | 5 L PRO @ ")</f>
        <v xml:space="preserve">| 1 P PHP-CGM % | 3 L PHP-CGM % | 4 L JAVA % | 5 L PRO @ </v>
      </c>
      <c r="BC399" s="4" t="str">
        <f ca="1">IFERROR(__xludf.DUMMYFUNCTION("""COMPUTED_VALUE"""),"| 1 L JAVA % | 3 P NS % | 2 L PHP-CGM % | 5 L CPT @ | 6 L NS @ ")</f>
        <v xml:space="preserve">| 1 L JAVA % | 3 P NS % | 2 L PHP-CGM % | 5 L CPT @ | 6 L NS @ </v>
      </c>
      <c r="BD399" s="4" t="str">
        <f ca="1">IFERROR(__xludf.DUMMYFUNCTION("""COMPUTED_VALUE"""),"| 1 L INE @ | 3 P JAVA @ | 5 L JAVA @ | 6 L NS @ ")</f>
        <v xml:space="preserve">| 1 L INE @ | 3 P JAVA @ | 5 L JAVA @ | 6 L NS @ </v>
      </c>
      <c r="BE399" s="4" t="str">
        <f ca="1">IFERROR(__xludf.DUMMYFUNCTION("""COMPUTED_VALUE"""),"| 1 P JAVA @ | 3 P Python @ | 5 L NS % | 6 L CPT @ ")</f>
        <v xml:space="preserve">| 1 P JAVA @ | 3 P Python @ | 5 L NS % | 6 L CPT @ </v>
      </c>
      <c r="BF399" s="4" t="str">
        <f ca="1">IFERROR(__xludf.DUMMYFUNCTION("""COMPUTED_VALUE"""),"| 1 P Python @ | 3 L CPT @ | 4 L PHP-CGM @ | 5 P CPT @ ")</f>
        <v xml:space="preserve">| 1 P Python @ | 3 L CPT @ | 4 L PHP-CGM @ | 5 P CPT @ </v>
      </c>
      <c r="BG399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BH399" s="4" t="str">
        <f ca="1">IFERROR(__xludf.DUMMYFUNCTION("""COMPUTED_VALUE"""),"| 1 L INE @ | 3 P JAVA @ | 5 L JAVA % | 6 L NS % ")</f>
        <v xml:space="preserve">| 1 L INE @ | 3 P JAVA @ | 5 L JAVA % | 6 L NS % </v>
      </c>
      <c r="BI399" s="4" t="str">
        <f ca="1">IFERROR(__xludf.DUMMYFUNCTION("""COMPUTED_VALUE"""),"| 1 P JAVA @ | 3 P Python % | 5 L NS % | 6 L CPT % ")</f>
        <v xml:space="preserve">| 1 P JAVA @ | 3 P Python % | 5 L NS % | 6 L CPT % </v>
      </c>
      <c r="BJ399" s="4" t="str">
        <f ca="1">IFERROR(__xludf.DUMMYFUNCTION("""COMPUTED_VALUE"""),"| 1 P Python @ | 3 L CPT % | 4 L PHP-CGM % | 5 P CPT @ ")</f>
        <v xml:space="preserve">| 1 P Python @ | 3 L CPT % | 4 L PHP-CGM % | 5 P CPT @ </v>
      </c>
      <c r="BK399" s="4" t="str">
        <f ca="1">IFERROR(__xludf.DUMMYFUNCTION("""COMPUTED_VALUE"""),"| 1 P PHP-CGM % | 3 L PHP-CGM % | 4 L JAVA % | 5 P PRO % ")</f>
        <v xml:space="preserve">| 1 P PHP-CGM % | 3 L PHP-CGM % | 4 L JAVA % | 5 P PRO % </v>
      </c>
      <c r="BL399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BM399" s="4" t="str">
        <f ca="1">IFERROR(__xludf.DUMMYFUNCTION("""COMPUTED_VALUE"""),"| 1 L INE @ | 3 P JAVA @ | 5 L JAVA @ | 6 L NS @ ")</f>
        <v xml:space="preserve">| 1 L INE @ | 3 P JAVA @ | 5 L JAVA @ | 6 L NS @ </v>
      </c>
      <c r="BN399" s="4" t="str">
        <f ca="1">IFERROR(__xludf.DUMMYFUNCTION("""COMPUTED_VALUE"""),"| 1 P JAVA @ | 3 P Python @ | 5 L NS @ | 6 L CPT @ ")</f>
        <v xml:space="preserve">| 1 P JAVA @ | 3 P Python @ | 5 L NS @ | 6 L CPT @ </v>
      </c>
      <c r="BO399" s="4" t="str">
        <f ca="1">IFERROR(__xludf.DUMMYFUNCTION("""COMPUTED_VALUE"""),"| 1 P Python @ | 4 L PHP-CGM @ | 3 L CPT @ | 5 P CPT @ ")</f>
        <v xml:space="preserve">| 1 P Python @ | 4 L PHP-CGM @ | 3 L CPT @ | 5 P CPT @ </v>
      </c>
      <c r="BP399" s="4" t="str">
        <f ca="1">IFERROR(__xludf.DUMMYFUNCTION("""COMPUTED_VALUE"""),"| 1 P PHP-CGM % | 3 L PHP-CGM % | 4 L JAVA % | 6 P PRO @ ")</f>
        <v xml:space="preserve">| 1 P PHP-CGM % | 3 L PHP-CGM % | 4 L JAVA % | 6 P PRO @ </v>
      </c>
      <c r="BQ399" s="4" t="str">
        <f ca="1">IFERROR(__xludf.DUMMYFUNCTION("""COMPUTED_VALUE"""),"| 6 L NS % | 5 L JAVA @ ")</f>
        <v xml:space="preserve">| 6 L NS % | 5 L JAVA @ </v>
      </c>
      <c r="BR399" s="4"/>
      <c r="BS399" s="4" t="str">
        <f ca="1">IFERROR(__xludf.DUMMYFUNCTION("""COMPUTED_VALUE"""),"| 4 L PHP-CGM % ")</f>
        <v xml:space="preserve">| 4 L PHP-CGM % </v>
      </c>
      <c r="BT399" s="4" t="str">
        <f ca="1">IFERROR(__xludf.DUMMYFUNCTION("""COMPUTED_VALUE"""),"| 1 P PHP-CGM % | 3 L PHP-CGM % ")</f>
        <v xml:space="preserve">| 1 P PHP-CGM % | 3 L PHP-CGM % </v>
      </c>
      <c r="BU399" s="4" t="str">
        <f ca="1">IFERROR(__xludf.DUMMYFUNCTION("""COMPUTED_VALUE"""),"| 1 L JAVA % | 2 L PHP-CGM @ | 3 P NS % ")</f>
        <v xml:space="preserve">| 1 L JAVA % | 2 L PHP-CGM @ | 3 P NS % </v>
      </c>
      <c r="BV399" s="4" t="str">
        <f ca="1">IFERROR(__xludf.DUMMYFUNCTION("""COMPUTED_VALUE"""),"| 1 P PHP-CGM @ | 3 L PHP-CGM @ | 4 L JAVA @ | 5 P PRO @ ")</f>
        <v xml:space="preserve">| 1 P PHP-CGM @ | 3 L PHP-CGM @ | 4 L JAVA @ | 5 P PRO @ </v>
      </c>
      <c r="BW399" s="4" t="str">
        <f ca="1">IFERROR(__xludf.DUMMYFUNCTION("""COMPUTED_VALUE"""),"| 1 L JAVA @ | 2 L PHP-CGM @ | 3 P NS @ ")</f>
        <v xml:space="preserve">| 1 L JAVA @ | 2 L PHP-CGM @ | 3 P NS @ </v>
      </c>
      <c r="BX399" s="4" t="str">
        <f ca="1">IFERROR(__xludf.DUMMYFUNCTION("""COMPUTED_VALUE"""),"| 1 L INE @ | 3 P JAVA @ | 5 L JAVA @ | 6 L NS @ ")</f>
        <v xml:space="preserve">| 1 L INE @ | 3 P JAVA @ | 5 L JAVA @ | 6 L NS @ </v>
      </c>
      <c r="BY399" s="4" t="str">
        <f ca="1">IFERROR(__xludf.DUMMYFUNCTION("""COMPUTED_VALUE"""),"| 1 P JAVA @ | 3 P Python @ | 5 L NS % | 6 L CPT @ ")</f>
        <v xml:space="preserve">| 1 P JAVA @ | 3 P Python @ | 5 L NS % | 6 L CPT @ </v>
      </c>
      <c r="BZ399" s="4" t="str">
        <f ca="1">IFERROR(__xludf.DUMMYFUNCTION("""COMPUTED_VALUE"""),"| 1 P Python % | 3 L CPT @ | 4 L PHP-CGM % | 5 P CPT @ ")</f>
        <v xml:space="preserve">| 1 P Python % | 3 L CPT @ | 4 L PHP-CGM % | 5 P CPT @ </v>
      </c>
      <c r="CA399" s="4" t="str">
        <f ca="1">IFERROR(__xludf.DUMMYFUNCTION("""COMPUTED_VALUE"""),"| 1 P PHP-CGM % | 3 L PHP-CGM % | 3 L JAVA % | 5 P PRO @ ")</f>
        <v xml:space="preserve">| 1 P PHP-CGM % | 3 L PHP-CGM % | 3 L JAVA % | 5 P PRO @ </v>
      </c>
      <c r="CB399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399" s="4" t="str">
        <f ca="1">IFERROR(__xludf.DUMMYFUNCTION("""COMPUTED_VALUE"""),"| 1 L INE % | 3 P JAVA % | 5 L JAVA % | 6 L NS % ")</f>
        <v xml:space="preserve">| 1 L INE % | 3 P JAVA % | 5 L JAVA % | 6 L NS % </v>
      </c>
      <c r="CD399" s="4" t="str">
        <f ca="1">IFERROR(__xludf.DUMMYFUNCTION("""COMPUTED_VALUE"""),"| 1 P JAVA % | 3 P Python % | 5 L NS % | 6 L CPT % ")</f>
        <v xml:space="preserve">| 1 P JAVA % | 3 P Python % | 5 L NS % | 6 L CPT % </v>
      </c>
      <c r="CE399" s="4" t="str">
        <f ca="1">IFERROR(__xludf.DUMMYFUNCTION("""COMPUTED_VALUE"""),"| 1 P Python % | 3 L CPT % | 4 L PHP-CGM % | 5 P CPT % ")</f>
        <v xml:space="preserve">| 1 P Python % | 3 L CPT % | 4 L PHP-CGM % | 5 P CPT % </v>
      </c>
      <c r="CF399" s="4" t="str">
        <f ca="1">IFERROR(__xludf.DUMMYFUNCTION("""COMPUTED_VALUE"""),"| 1 P PHP-CGM % | 4 L JAVA % | 3 L PHP-CGM % | 5 L PRO % ")</f>
        <v xml:space="preserve">| 1 P PHP-CGM % | 4 L JAVA % | 3 L PHP-CGM % | 5 L PRO % </v>
      </c>
      <c r="CG399" s="4" t="str">
        <f ca="1">IFERROR(__xludf.DUMMYFUNCTION("""COMPUTED_VALUE"""),"| 1 L JAVA % | 2 L PHP-CGM % | 3 P NS % | 6 L NS % ")</f>
        <v xml:space="preserve">| 1 L JAVA % | 2 L PHP-CGM % | 3 P NS % | 6 L NS % </v>
      </c>
      <c r="CH399" s="4" t="str">
        <f ca="1">IFERROR(__xludf.DUMMYFUNCTION("""COMPUTED_VALUE"""),"| 1 L INE % | 3 P JAVA % | 5 L JAVA % | 6 L NS % ")</f>
        <v xml:space="preserve">| 1 L INE % | 3 P JAVA % | 5 L JAVA % | 6 L NS % </v>
      </c>
      <c r="CI399" s="4" t="str">
        <f ca="1">IFERROR(__xludf.DUMMYFUNCTION("""COMPUTED_VALUE"""),"| 5 L NS @ | 6 L CPT @ ")</f>
        <v xml:space="preserve">| 5 L NS @ | 6 L CPT @ </v>
      </c>
      <c r="CJ399" s="4" t="str">
        <f ca="1">IFERROR(__xludf.DUMMYFUNCTION("""COMPUTED_VALUE"""),"| 3 L CPT % | 5 P CPT % ")</f>
        <v xml:space="preserve">| 3 L CPT % | 5 P CPT % </v>
      </c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</row>
    <row r="400" spans="1:102" ht="12.5" x14ac:dyDescent="0.25">
      <c r="A400" s="3">
        <f ca="1">IFERROR(__xludf.DUMMYFUNCTION("""COMPUTED_VALUE"""),3)</f>
        <v>3</v>
      </c>
      <c r="B400" s="3" t="str">
        <f ca="1">IFERROR(__xludf.DUMMYFUNCTION("""COMPUTED_VALUE"""),"ITA")</f>
        <v>ITA</v>
      </c>
      <c r="C400" s="32" t="str">
        <f ca="1">IFERROR(__xludf.DUMMYFUNCTION("""COMPUTED_VALUE"""),"23291371130")</f>
        <v>23291371130</v>
      </c>
      <c r="D400" s="4" t="str">
        <f ca="1">IFERROR(__xludf.DUMMYFUNCTION("""COMPUTED_VALUE"""),"RAVAL OM ALPESHBHAI")</f>
        <v>RAVAL OM ALPESHBHAI</v>
      </c>
      <c r="E400" s="3" t="str">
        <f ca="1">IFERROR(__xludf.DUMMYFUNCTION("""COMPUTED_VALUE"""),"Sweety - Mor")</f>
        <v>Sweety - Mor</v>
      </c>
      <c r="F400" s="3">
        <f ca="1">IFERROR(__xludf.DUMMYFUNCTION("""COMPUTED_VALUE"""),8141268500)</f>
        <v>8141268500</v>
      </c>
      <c r="G400" s="3"/>
      <c r="H400" s="33">
        <f ca="1">IFERROR(__xludf.DUMMYFUNCTION("""COMPUTED_VALUE"""),0.843373493975903)</f>
        <v>0.843373493975903</v>
      </c>
      <c r="I400" s="25">
        <f ca="1">IFERROR(__xludf.DUMMYFUNCTION("""COMPUTED_VALUE"""),0.8)</f>
        <v>0.8</v>
      </c>
      <c r="J400" s="25">
        <f ca="1">IFERROR(__xludf.DUMMYFUNCTION("""COMPUTED_VALUE"""),0.666666666666666)</f>
        <v>0.66666666666666596</v>
      </c>
      <c r="K400" s="25">
        <f ca="1">IFERROR(__xludf.DUMMYFUNCTION("""COMPUTED_VALUE"""),0.861111111111111)</f>
        <v>0.86111111111111105</v>
      </c>
      <c r="L400" s="25">
        <f ca="1">IFERROR(__xludf.DUMMYFUNCTION("""COMPUTED_VALUE"""),1)</f>
        <v>1</v>
      </c>
      <c r="M400" s="25">
        <f ca="1">IFERROR(__xludf.DUMMYFUNCTION("""COMPUTED_VALUE"""),0.81578947368421)</f>
        <v>0.81578947368420995</v>
      </c>
      <c r="N400" s="25">
        <f ca="1">IFERROR(__xludf.DUMMYFUNCTION("""COMPUTED_VALUE"""),0.923076923076923)</f>
        <v>0.92307692307692302</v>
      </c>
      <c r="O400" s="25">
        <f ca="1">IFERROR(__xludf.DUMMYFUNCTION("""COMPUTED_VALUE"""),0.861111111111111)</f>
        <v>0.86111111111111105</v>
      </c>
      <c r="P400" s="25">
        <f ca="1">IFERROR(__xludf.DUMMYFUNCTION("""COMPUTED_VALUE"""),0.869565217391304)</f>
        <v>0.86956521739130399</v>
      </c>
      <c r="Q400" s="25">
        <f ca="1">IFERROR(__xludf.DUMMYFUNCTION("""COMPUTED_VALUE"""),0)</f>
        <v>0</v>
      </c>
      <c r="R400" s="25">
        <f ca="1">IFERROR(__xludf.DUMMYFUNCTION("""COMPUTED_VALUE"""),0.826086956521739)</f>
        <v>0.82608695652173902</v>
      </c>
      <c r="S400" s="25">
        <f ca="1">IFERROR(__xludf.DUMMYFUNCTION("""COMPUTED_VALUE"""),1)</f>
        <v>1</v>
      </c>
      <c r="T400" s="25">
        <f ca="1">IFERROR(__xludf.DUMMYFUNCTION("""COMPUTED_VALUE"""),0.777777777777777)</f>
        <v>0.77777777777777701</v>
      </c>
      <c r="U400" s="25">
        <f ca="1">IFERROR(__xludf.DUMMYFUNCTION("""COMPUTED_VALUE"""),0.875)</f>
        <v>0.875</v>
      </c>
      <c r="V400" s="25">
        <f ca="1">IFERROR(__xludf.DUMMYFUNCTION("""COMPUTED_VALUE"""),0)</f>
        <v>0</v>
      </c>
      <c r="W400" s="4"/>
      <c r="X400" s="4" t="str">
        <f ca="1">IFERROR(__xludf.DUMMYFUNCTION("""COMPUTED_VALUE"""),"| 4 L JAVA % | 1 P PHP-CGM % | 3 L PHP-CGM % | 1 L PRO % ")</f>
        <v xml:space="preserve">| 4 L JAVA % | 1 P PHP-CGM % | 3 L PHP-CGM % | 1 L PRO % </v>
      </c>
      <c r="Y40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00" s="4" t="str">
        <f ca="1">IFERROR(__xludf.DUMMYFUNCTION("""COMPUTED_VALUE"""),"| 3 P JAVA @ | 5 L JAVA @ | 6 L NS @ ")</f>
        <v xml:space="preserve">| 3 P JAVA @ | 5 L JAVA @ | 6 L NS @ </v>
      </c>
      <c r="AA400" s="4" t="str">
        <f ca="1">IFERROR(__xludf.DUMMYFUNCTION("""COMPUTED_VALUE"""),"| 1 P JAVA % | 3 P Python % | 5 L NS % | 6 L CPT % ")</f>
        <v xml:space="preserve">| 1 P JAVA % | 3 P Python % | 5 L NS % | 6 L CPT % </v>
      </c>
      <c r="AB400" s="4" t="str">
        <f ca="1">IFERROR(__xludf.DUMMYFUNCTION("""COMPUTED_VALUE"""),"| 1 P Python % | 3 L CPT % | 4 L PHP-CGM % | 5 P CPT % ")</f>
        <v xml:space="preserve">| 1 P Python % | 3 L CPT % | 4 L PHP-CGM % | 5 P CPT % </v>
      </c>
      <c r="AC400" s="4" t="str">
        <f ca="1">IFERROR(__xludf.DUMMYFUNCTION("""COMPUTED_VALUE"""),"| 1 P PHP-CGM % | 3 L PHP-CGM % | 5 P PRO % ")</f>
        <v xml:space="preserve">| 1 P PHP-CGM % | 3 L PHP-CGM % | 5 P PRO % </v>
      </c>
      <c r="AD400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00" s="4" t="str">
        <f ca="1">IFERROR(__xludf.DUMMYFUNCTION("""COMPUTED_VALUE"""),"| 3 P JAVA % | 5 L JAVA % | 6 L NS % ")</f>
        <v xml:space="preserve">| 3 P JAVA % | 5 L JAVA % | 6 L NS % </v>
      </c>
      <c r="AF400" s="4" t="str">
        <f ca="1">IFERROR(__xludf.DUMMYFUNCTION("""COMPUTED_VALUE"""),"| 1 P JAVA % | 3 P Python % | 5 L NS % | 6 L CPT % ")</f>
        <v xml:space="preserve">| 1 P JAVA % | 3 P Python % | 5 L NS % | 6 L CPT % </v>
      </c>
      <c r="AG400" s="4" t="str">
        <f ca="1">IFERROR(__xludf.DUMMYFUNCTION("""COMPUTED_VALUE"""),"| 1 P Python % | 3 L CPT % | 4 L PHP-CGM % | 5 P CPT % ")</f>
        <v xml:space="preserve">| 1 P Python % | 3 L CPT % | 4 L PHP-CGM % | 5 P CPT % </v>
      </c>
      <c r="AH400" s="4" t="str">
        <f ca="1">IFERROR(__xludf.DUMMYFUNCTION("""COMPUTED_VALUE"""),"| 1 P JAVA % | 3 P Python % | 5 L NS % | 6 L CPT % ")</f>
        <v xml:space="preserve">| 1 P JAVA % | 3 P Python % | 5 L NS % | 6 L CPT % </v>
      </c>
      <c r="AI400" s="4" t="str">
        <f ca="1">IFERROR(__xludf.DUMMYFUNCTION("""COMPUTED_VALUE"""),"| 1 P Python % | 3 L CPT % | 4 L PHP-CGM @ | 5 P CPT % ")</f>
        <v xml:space="preserve">| 1 P Python % | 3 L CPT % | 4 L PHP-CGM @ | 5 P CPT % </v>
      </c>
      <c r="AJ400" s="4" t="str">
        <f ca="1">IFERROR(__xludf.DUMMYFUNCTION("""COMPUTED_VALUE"""),"| 1 P PHP-CGM % | 3 L PHP-CGM % | 4 L JAVA % | 5 P PRO % ")</f>
        <v xml:space="preserve">| 1 P PHP-CGM % | 3 L PHP-CGM % | 4 L JAVA % | 5 P PRO % </v>
      </c>
      <c r="AK40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00" s="4" t="str">
        <f ca="1">IFERROR(__xludf.DUMMYFUNCTION("""COMPUTED_VALUE"""),"| 3 P JAVA % | 5 L JAVA % | 6 L NS % ")</f>
        <v xml:space="preserve">| 3 P JAVA % | 5 L JAVA % | 6 L NS % </v>
      </c>
      <c r="AM400" s="4" t="str">
        <f ca="1">IFERROR(__xludf.DUMMYFUNCTION("""COMPUTED_VALUE"""),"| 1 P JAVA % | 3 P Python % | 5 L NS % | 6 L CPT % ")</f>
        <v xml:space="preserve">| 1 P JAVA % | 3 P Python % | 5 L NS % | 6 L CPT % </v>
      </c>
      <c r="AN400" s="4" t="str">
        <f ca="1">IFERROR(__xludf.DUMMYFUNCTION("""COMPUTED_VALUE"""),"| 1 P Python % | 4 L PHP-CGM % | 5 P CPT % ")</f>
        <v xml:space="preserve">| 1 P Python % | 4 L PHP-CGM % | 5 P CPT % </v>
      </c>
      <c r="AO400" s="4" t="str">
        <f ca="1">IFERROR(__xludf.DUMMYFUNCTION("""COMPUTED_VALUE"""),"| 1 P PHP-CGM @ | 3 L PHP-CGM @ | 4 L JAVA @ | 5 P PRO @ ")</f>
        <v xml:space="preserve">| 1 P PHP-CGM @ | 3 L PHP-CGM @ | 4 L JAVA @ | 5 P PRO @ </v>
      </c>
      <c r="AP40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00" s="4" t="str">
        <f ca="1">IFERROR(__xludf.DUMMYFUNCTION("""COMPUTED_VALUE"""),"| 1 L INE % | 3 P JAVA % | 5 L JAVA % | 6 L NS % ")</f>
        <v xml:space="preserve">| 1 L INE % | 3 P JAVA % | 5 L JAVA % | 6 L NS % </v>
      </c>
      <c r="AR400" s="4" t="str">
        <f ca="1">IFERROR(__xludf.DUMMYFUNCTION("""COMPUTED_VALUE"""),"| 1 P JAVA % | 3 L CPT % | 3 P Python % | 5 L NS % | 6 L CPT @ ")</f>
        <v xml:space="preserve">| 1 P JAVA % | 3 L CPT % | 3 P Python % | 5 L NS % | 6 L CPT @ </v>
      </c>
      <c r="AS400" s="4" t="str">
        <f ca="1">IFERROR(__xludf.DUMMYFUNCTION("""COMPUTED_VALUE"""),"| 1 P PHP-CGM % | 3 L PHP-CGM % | 4 L JAVA % | 5 P PRO % ")</f>
        <v xml:space="preserve">| 1 P PHP-CGM % | 3 L PHP-CGM % | 4 L JAVA % | 5 P PRO % </v>
      </c>
      <c r="AT400" s="4" t="str">
        <f ca="1">IFERROR(__xludf.DUMMYFUNCTION("""COMPUTED_VALUE"""),"| 1 L JAVA @ | 2 L PHP-CGM @ | 3 P NS % | 5 L CPT % | 6 L NS % ")</f>
        <v xml:space="preserve">| 1 L JAVA @ | 2 L PHP-CGM @ | 3 P NS % | 5 L CPT % | 6 L NS % </v>
      </c>
      <c r="AU400" s="4" t="str">
        <f ca="1">IFERROR(__xludf.DUMMYFUNCTION("""COMPUTED_VALUE"""),"| 1 L INE % | 3 P JAVA % | 5 L JAVA % | 6 L NS % ")</f>
        <v xml:space="preserve">| 1 L INE % | 3 P JAVA % | 5 L JAVA % | 6 L NS % </v>
      </c>
      <c r="AV400" s="4" t="str">
        <f ca="1">IFERROR(__xludf.DUMMYFUNCTION("""COMPUTED_VALUE"""),"| 1 P JAVA % | 3 P Python % | 5 L NS % | 6 L CPT % ")</f>
        <v xml:space="preserve">| 1 P JAVA % | 3 P Python % | 5 L NS % | 6 L CPT % </v>
      </c>
      <c r="AW400" s="4" t="str">
        <f ca="1">IFERROR(__xludf.DUMMYFUNCTION("""COMPUTED_VALUE"""),"| 1 P Python % | 3 L CPT % | 4 L PHP-CGM % | 5 P CPT % ")</f>
        <v xml:space="preserve">| 1 P Python % | 3 L CPT % | 4 L PHP-CGM % | 5 P CPT % </v>
      </c>
      <c r="AX400" s="4" t="str">
        <f ca="1">IFERROR(__xludf.DUMMYFUNCTION("""COMPUTED_VALUE"""),"| 1 P PHP-CGM % | 3 L JAVA % | 4 L PHP-CGM % | 5 P PRO % ")</f>
        <v xml:space="preserve">| 1 P PHP-CGM % | 3 L JAVA % | 4 L PHP-CGM % | 5 P PRO % </v>
      </c>
      <c r="AY400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00" s="4" t="str">
        <f ca="1">IFERROR(__xludf.DUMMYFUNCTION("""COMPUTED_VALUE"""),"| 1 P JAVA % | 3 P Python % | 5 L NS % | 6 L CPT % ")</f>
        <v xml:space="preserve">| 1 P JAVA % | 3 P Python % | 5 L NS % | 6 L CPT % </v>
      </c>
      <c r="BA400" s="4" t="str">
        <f ca="1">IFERROR(__xludf.DUMMYFUNCTION("""COMPUTED_VALUE"""),"| 1 P Python @ | 3 L CPT @ | 4 L PHP-CGM @ | 5 P CPT @ ")</f>
        <v xml:space="preserve">| 1 P Python @ | 3 L CPT @ | 4 L PHP-CGM @ | 5 P CPT @ </v>
      </c>
      <c r="BB400" s="4" t="str">
        <f ca="1">IFERROR(__xludf.DUMMYFUNCTION("""COMPUTED_VALUE"""),"| 1 P PHP-CGM % | 3 L PHP-CGM % | 4 L JAVA % | 5 L PRO % ")</f>
        <v xml:space="preserve">| 1 P PHP-CGM % | 3 L PHP-CGM % | 4 L JAVA % | 5 L PRO % </v>
      </c>
      <c r="BC400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0" s="4" t="str">
        <f ca="1">IFERROR(__xludf.DUMMYFUNCTION("""COMPUTED_VALUE"""),"| 1 L INE @ | 3 P JAVA % | 5 L JAVA % | 6 L NS % ")</f>
        <v xml:space="preserve">| 1 L INE @ | 3 P JAVA % | 5 L JAVA % | 6 L NS % </v>
      </c>
      <c r="BE400" s="4" t="str">
        <f ca="1">IFERROR(__xludf.DUMMYFUNCTION("""COMPUTED_VALUE"""),"| 1 P JAVA % | 3 P Python % | 5 L NS % | 6 L CPT % ")</f>
        <v xml:space="preserve">| 1 P JAVA % | 3 P Python % | 5 L NS % | 6 L CPT % </v>
      </c>
      <c r="BF400" s="4" t="str">
        <f ca="1">IFERROR(__xludf.DUMMYFUNCTION("""COMPUTED_VALUE"""),"| 1 P Python @ | 3 L CPT @ | 4 L PHP-CGM @ | 5 P CPT @ ")</f>
        <v xml:space="preserve">| 1 P Python @ | 3 L CPT @ | 4 L PHP-CGM @ | 5 P CPT @ </v>
      </c>
      <c r="BG40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00" s="4" t="str">
        <f ca="1">IFERROR(__xludf.DUMMYFUNCTION("""COMPUTED_VALUE"""),"| 1 L INE % | 3 P JAVA % | 5 L JAVA % | 6 L NS % ")</f>
        <v xml:space="preserve">| 1 L INE % | 3 P JAVA % | 5 L JAVA % | 6 L NS % </v>
      </c>
      <c r="BI400" s="4" t="str">
        <f ca="1">IFERROR(__xludf.DUMMYFUNCTION("""COMPUTED_VALUE"""),"| 1 P JAVA % | 3 P Python % | 5 L NS % | 6 L CPT % ")</f>
        <v xml:space="preserve">| 1 P JAVA % | 3 P Python % | 5 L NS % | 6 L CPT % </v>
      </c>
      <c r="BJ400" s="4" t="str">
        <f ca="1">IFERROR(__xludf.DUMMYFUNCTION("""COMPUTED_VALUE"""),"| 1 P Python % | 3 L CPT % | 4 L PHP-CGM % | 5 P CPT @ ")</f>
        <v xml:space="preserve">| 1 P Python % | 3 L CPT % | 4 L PHP-CGM % | 5 P CPT @ </v>
      </c>
      <c r="BK400" s="4" t="str">
        <f ca="1">IFERROR(__xludf.DUMMYFUNCTION("""COMPUTED_VALUE"""),"| 1 P PHP-CGM % | 3 L PHP-CGM % | 4 L JAVA % | 5 P PRO % ")</f>
        <v xml:space="preserve">| 1 P PHP-CGM % | 3 L PHP-CGM % | 4 L JAVA % | 5 P PRO % </v>
      </c>
      <c r="BL400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BM400" s="4" t="str">
        <f ca="1">IFERROR(__xludf.DUMMYFUNCTION("""COMPUTED_VALUE"""),"| 1 L INE % | 3 P JAVA % | 5 L JAVA % | 6 L NS % ")</f>
        <v xml:space="preserve">| 1 L INE % | 3 P JAVA % | 5 L JAVA % | 6 L NS % </v>
      </c>
      <c r="BN400" s="4" t="str">
        <f ca="1">IFERROR(__xludf.DUMMYFUNCTION("""COMPUTED_VALUE"""),"| 1 P JAVA % | 3 P Python % | 5 L NS % | 6 L CPT % ")</f>
        <v xml:space="preserve">| 1 P JAVA % | 3 P Python % | 5 L NS % | 6 L CPT % </v>
      </c>
      <c r="BO400" s="4" t="str">
        <f ca="1">IFERROR(__xludf.DUMMYFUNCTION("""COMPUTED_VALUE"""),"| 1 P Python % | 4 L PHP-CGM % | 3 L CPT % | 5 P CPT % ")</f>
        <v xml:space="preserve">| 1 P Python % | 4 L PHP-CGM % | 3 L CPT % | 5 P CPT % </v>
      </c>
      <c r="BP400" s="4" t="str">
        <f ca="1">IFERROR(__xludf.DUMMYFUNCTION("""COMPUTED_VALUE"""),"| 1 P PHP-CGM % | 3 L PHP-CGM % | 4 L JAVA % | 6 P PRO @ ")</f>
        <v xml:space="preserve">| 1 P PHP-CGM % | 3 L PHP-CGM % | 4 L JAVA % | 6 P PRO @ </v>
      </c>
      <c r="BQ400" s="4" t="str">
        <f ca="1">IFERROR(__xludf.DUMMYFUNCTION("""COMPUTED_VALUE"""),"| 6 L NS % | 5 L JAVA % ")</f>
        <v xml:space="preserve">| 6 L NS % | 5 L JAVA % </v>
      </c>
      <c r="BR400" s="4"/>
      <c r="BS400" s="4" t="str">
        <f ca="1">IFERROR(__xludf.DUMMYFUNCTION("""COMPUTED_VALUE"""),"| 4 L PHP-CGM % ")</f>
        <v xml:space="preserve">| 4 L PHP-CGM % </v>
      </c>
      <c r="BT400" s="4" t="str">
        <f ca="1">IFERROR(__xludf.DUMMYFUNCTION("""COMPUTED_VALUE"""),"| 1 P PHP-CGM % | 3 L PHP-CGM % ")</f>
        <v xml:space="preserve">| 1 P PHP-CGM % | 3 L PHP-CGM % </v>
      </c>
      <c r="BU400" s="4" t="str">
        <f ca="1">IFERROR(__xludf.DUMMYFUNCTION("""COMPUTED_VALUE"""),"| 1 L JAVA % | 2 L PHP-CGM % | 3 P NS % ")</f>
        <v xml:space="preserve">| 1 L JAVA % | 2 L PHP-CGM % | 3 P NS % </v>
      </c>
      <c r="BV400" s="4" t="str">
        <f ca="1">IFERROR(__xludf.DUMMYFUNCTION("""COMPUTED_VALUE"""),"| 1 P PHP-CGM % | 3 L PHP-CGM % | 4 L JAVA % | 5 P PRO % ")</f>
        <v xml:space="preserve">| 1 P PHP-CGM % | 3 L PHP-CGM % | 4 L JAVA % | 5 P PRO % </v>
      </c>
      <c r="BW400" s="4" t="str">
        <f ca="1">IFERROR(__xludf.DUMMYFUNCTION("""COMPUTED_VALUE"""),"| 1 L JAVA % | 2 L PHP-CGM % | 3 P NS % ")</f>
        <v xml:space="preserve">| 1 L JAVA % | 2 L PHP-CGM % | 3 P NS % </v>
      </c>
      <c r="BX400" s="4" t="str">
        <f ca="1">IFERROR(__xludf.DUMMYFUNCTION("""COMPUTED_VALUE"""),"| 1 L INE % | 3 P JAVA % | 5 L JAVA % | 6 L NS % ")</f>
        <v xml:space="preserve">| 1 L INE % | 3 P JAVA % | 5 L JAVA % | 6 L NS % </v>
      </c>
      <c r="BY400" s="4" t="str">
        <f ca="1">IFERROR(__xludf.DUMMYFUNCTION("""COMPUTED_VALUE"""),"| 1 P JAVA @ | 3 P Python @ | 5 L NS @ | 6 L CPT @ ")</f>
        <v xml:space="preserve">| 1 P JAVA @ | 3 P Python @ | 5 L NS @ | 6 L CPT @ </v>
      </c>
      <c r="BZ400" s="4" t="str">
        <f ca="1">IFERROR(__xludf.DUMMYFUNCTION("""COMPUTED_VALUE"""),"| 1 P Python % | 3 L CPT % | 4 L PHP-CGM % | 5 P CPT % ")</f>
        <v xml:space="preserve">| 1 P Python % | 3 L CPT % | 4 L PHP-CGM % | 5 P CPT % </v>
      </c>
      <c r="CA400" s="4" t="str">
        <f ca="1">IFERROR(__xludf.DUMMYFUNCTION("""COMPUTED_VALUE"""),"| 1 P PHP-CGM % | 3 L PHP-CGM % | 3 L JAVA % | 5 P PRO % ")</f>
        <v xml:space="preserve">| 1 P PHP-CGM % | 3 L PHP-CGM % | 3 L JAVA % | 5 P PRO % </v>
      </c>
      <c r="CB400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400" s="4" t="str">
        <f ca="1">IFERROR(__xludf.DUMMYFUNCTION("""COMPUTED_VALUE"""),"| 1 L INE % | 3 P JAVA % | 5 L JAVA % | 6 L NS % ")</f>
        <v xml:space="preserve">| 1 L INE % | 3 P JAVA % | 5 L JAVA % | 6 L NS % </v>
      </c>
      <c r="CD400" s="4" t="str">
        <f ca="1">IFERROR(__xludf.DUMMYFUNCTION("""COMPUTED_VALUE"""),"| 1 P JAVA @ | 3 P Python @ | 5 L NS @ | 6 L CPT @ ")</f>
        <v xml:space="preserve">| 1 P JAVA @ | 3 P Python @ | 5 L NS @ | 6 L CPT @ </v>
      </c>
      <c r="CE400" s="4" t="str">
        <f ca="1">IFERROR(__xludf.DUMMYFUNCTION("""COMPUTED_VALUE"""),"| 1 P Python % | 3 L CPT % | 4 L PHP-CGM % | 5 P CPT % ")</f>
        <v xml:space="preserve">| 1 P Python % | 3 L CPT % | 4 L PHP-CGM % | 5 P CPT % </v>
      </c>
      <c r="CF400" s="4" t="str">
        <f ca="1">IFERROR(__xludf.DUMMYFUNCTION("""COMPUTED_VALUE"""),"| 1 P PHP-CGM % | 4 L JAVA @ | 3 L PHP-CGM @ | 5 L PRO % ")</f>
        <v xml:space="preserve">| 1 P PHP-CGM % | 4 L JAVA @ | 3 L PHP-CGM @ | 5 L PRO % </v>
      </c>
      <c r="CG400" s="4" t="str">
        <f ca="1">IFERROR(__xludf.DUMMYFUNCTION("""COMPUTED_VALUE"""),"| 1 L JAVA % | 2 L PHP-CGM @ | 3 P NS % | 6 L NS % ")</f>
        <v xml:space="preserve">| 1 L JAVA % | 2 L PHP-CGM @ | 3 P NS % | 6 L NS % </v>
      </c>
      <c r="CH400" s="4" t="str">
        <f ca="1">IFERROR(__xludf.DUMMYFUNCTION("""COMPUTED_VALUE"""),"| 1 L INE % | 3 P JAVA % | 5 L JAVA @ | 6 L NS % ")</f>
        <v xml:space="preserve">| 1 L INE % | 3 P JAVA % | 5 L JAVA @ | 6 L NS % </v>
      </c>
      <c r="CI400" s="4" t="str">
        <f ca="1">IFERROR(__xludf.DUMMYFUNCTION("""COMPUTED_VALUE"""),"| 5 L NS @ | 6 L CPT % ")</f>
        <v xml:space="preserve">| 5 L NS @ | 6 L CPT % </v>
      </c>
      <c r="CJ400" s="4" t="str">
        <f ca="1">IFERROR(__xludf.DUMMYFUNCTION("""COMPUTED_VALUE"""),"| 3 L CPT @ | 5 P CPT @ ")</f>
        <v xml:space="preserve">| 3 L CPT @ | 5 P CPT @ </v>
      </c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</row>
    <row r="401" spans="1:102" ht="12.5" x14ac:dyDescent="0.25">
      <c r="A401" s="3">
        <f ca="1">IFERROR(__xludf.DUMMYFUNCTION("""COMPUTED_VALUE"""),3)</f>
        <v>3</v>
      </c>
      <c r="B401" s="3" t="str">
        <f ca="1">IFERROR(__xludf.DUMMYFUNCTION("""COMPUTED_VALUE"""),"ITA")</f>
        <v>ITA</v>
      </c>
      <c r="C401" s="32" t="str">
        <f ca="1">IFERROR(__xludf.DUMMYFUNCTION("""COMPUTED_VALUE"""),"23291371131")</f>
        <v>23291371131</v>
      </c>
      <c r="D401" s="4" t="str">
        <f ca="1">IFERROR(__xludf.DUMMYFUNCTION("""COMPUTED_VALUE"""),"RUDRA HIRENDRA PATEL")</f>
        <v>RUDRA HIRENDRA PATEL</v>
      </c>
      <c r="E401" s="3" t="str">
        <f ca="1">IFERROR(__xludf.DUMMYFUNCTION("""COMPUTED_VALUE"""),"Sweety - Mor")</f>
        <v>Sweety - Mor</v>
      </c>
      <c r="F401" s="3">
        <f ca="1">IFERROR(__xludf.DUMMYFUNCTION("""COMPUTED_VALUE"""),8200568552)</f>
        <v>8200568552</v>
      </c>
      <c r="G401" s="3">
        <f ca="1">IFERROR(__xludf.DUMMYFUNCTION("""COMPUTED_VALUE"""),9427288721)</f>
        <v>9427288721</v>
      </c>
      <c r="H401" s="33">
        <f ca="1">IFERROR(__xludf.DUMMYFUNCTION("""COMPUTED_VALUE"""),0.373493975903614)</f>
        <v>0.373493975903614</v>
      </c>
      <c r="I401" s="25">
        <f ca="1">IFERROR(__xludf.DUMMYFUNCTION("""COMPUTED_VALUE"""),0.342857142857142)</f>
        <v>0.34285714285714203</v>
      </c>
      <c r="J401" s="25">
        <f ca="1">IFERROR(__xludf.DUMMYFUNCTION("""COMPUTED_VALUE"""),0)</f>
        <v>0</v>
      </c>
      <c r="K401" s="25">
        <f ca="1">IFERROR(__xludf.DUMMYFUNCTION("""COMPUTED_VALUE"""),0.472222222222222)</f>
        <v>0.47222222222222199</v>
      </c>
      <c r="L401" s="25">
        <f ca="1">IFERROR(__xludf.DUMMYFUNCTION("""COMPUTED_VALUE"""),0.538461538461538)</f>
        <v>0.53846153846153799</v>
      </c>
      <c r="M401" s="25">
        <f ca="1">IFERROR(__xludf.DUMMYFUNCTION("""COMPUTED_VALUE"""),0.526315789473684)</f>
        <v>0.52631578947368396</v>
      </c>
      <c r="N401" s="25">
        <f ca="1">IFERROR(__xludf.DUMMYFUNCTION("""COMPUTED_VALUE"""),0.23076923076923)</f>
        <v>0.23076923076923</v>
      </c>
      <c r="O401" s="25">
        <f ca="1">IFERROR(__xludf.DUMMYFUNCTION("""COMPUTED_VALUE"""),0.5)</f>
        <v>0.5</v>
      </c>
      <c r="P401" s="25">
        <f ca="1">IFERROR(__xludf.DUMMYFUNCTION("""COMPUTED_VALUE"""),0.347826086956521)</f>
        <v>0.34782608695652101</v>
      </c>
      <c r="Q401" s="25">
        <f ca="1">IFERROR(__xludf.DUMMYFUNCTION("""COMPUTED_VALUE"""),0)</f>
        <v>0</v>
      </c>
      <c r="R401" s="25">
        <f ca="1">IFERROR(__xludf.DUMMYFUNCTION("""COMPUTED_VALUE"""),0.260869565217391)</f>
        <v>0.26086956521739102</v>
      </c>
      <c r="S401" s="25">
        <f ca="1">IFERROR(__xludf.DUMMYFUNCTION("""COMPUTED_VALUE"""),0.333333333333333)</f>
        <v>0.33333333333333298</v>
      </c>
      <c r="T401" s="25">
        <f ca="1">IFERROR(__xludf.DUMMYFUNCTION("""COMPUTED_VALUE"""),0.111111111111111)</f>
        <v>0.11111111111111099</v>
      </c>
      <c r="U401" s="25">
        <f ca="1">IFERROR(__xludf.DUMMYFUNCTION("""COMPUTED_VALUE"""),0)</f>
        <v>0</v>
      </c>
      <c r="V401" s="25">
        <f ca="1">IFERROR(__xludf.DUMMYFUNCTION("""COMPUTED_VALUE"""),0)</f>
        <v>0</v>
      </c>
      <c r="W401" s="4"/>
      <c r="X401" s="4" t="str">
        <f ca="1">IFERROR(__xludf.DUMMYFUNCTION("""COMPUTED_VALUE"""),"| 4 L JAVA @ | 1 P PHP-CGM % | 3 L PHP-CGM @ | 1 L PRO @ ")</f>
        <v xml:space="preserve">| 4 L JAVA @ | 1 P PHP-CGM % | 3 L PHP-CGM @ | 1 L PRO @ </v>
      </c>
      <c r="Y401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401" s="4" t="str">
        <f ca="1">IFERROR(__xludf.DUMMYFUNCTION("""COMPUTED_VALUE"""),"| 3 P JAVA @ | 5 L JAVA @ | 6 L NS @ ")</f>
        <v xml:space="preserve">| 3 P JAVA @ | 5 L JAVA @ | 6 L NS @ </v>
      </c>
      <c r="AA401" s="4" t="str">
        <f ca="1">IFERROR(__xludf.DUMMYFUNCTION("""COMPUTED_VALUE"""),"| 1 P JAVA @ | 3 P Python @ | 5 L NS % | 6 L CPT @ ")</f>
        <v xml:space="preserve">| 1 P JAVA @ | 3 P Python @ | 5 L NS % | 6 L CPT @ </v>
      </c>
      <c r="AB401" s="4" t="str">
        <f ca="1">IFERROR(__xludf.DUMMYFUNCTION("""COMPUTED_VALUE"""),"| 1 P Python @ | 3 L CPT @ | 4 L PHP-CGM @ | 5 P CPT @ ")</f>
        <v xml:space="preserve">| 1 P Python @ | 3 L CPT @ | 4 L PHP-CGM @ | 5 P CPT @ </v>
      </c>
      <c r="AC401" s="4" t="str">
        <f ca="1">IFERROR(__xludf.DUMMYFUNCTION("""COMPUTED_VALUE"""),"| 1 P PHP-CGM % | 3 L PHP-CGM @ | 5 P PRO @ ")</f>
        <v xml:space="preserve">| 1 P PHP-CGM % | 3 L PHP-CGM @ | 5 P PRO @ </v>
      </c>
      <c r="AD401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AE401" s="4" t="str">
        <f ca="1">IFERROR(__xludf.DUMMYFUNCTION("""COMPUTED_VALUE"""),"| 3 P JAVA @ | 5 L JAVA @ | 6 L NS @ ")</f>
        <v xml:space="preserve">| 3 P JAVA @ | 5 L JAVA @ | 6 L NS @ </v>
      </c>
      <c r="AF401" s="4" t="str">
        <f ca="1">IFERROR(__xludf.DUMMYFUNCTION("""COMPUTED_VALUE"""),"| 1 P JAVA % | 3 P Python @ | 5 L NS @ | 6 L CPT % ")</f>
        <v xml:space="preserve">| 1 P JAVA % | 3 P Python @ | 5 L NS @ | 6 L CPT % </v>
      </c>
      <c r="AG401" s="4" t="str">
        <f ca="1">IFERROR(__xludf.DUMMYFUNCTION("""COMPUTED_VALUE"""),"| 1 P Python @ | 3 L CPT % | 4 L PHP-CGM % | 5 P CPT @ ")</f>
        <v xml:space="preserve">| 1 P Python @ | 3 L CPT % | 4 L PHP-CGM % | 5 P CPT @ </v>
      </c>
      <c r="AH401" s="4" t="str">
        <f ca="1">IFERROR(__xludf.DUMMYFUNCTION("""COMPUTED_VALUE"""),"| 1 P JAVA % | 3 P Python @ | 5 L NS % | 6 L CPT % ")</f>
        <v xml:space="preserve">| 1 P JAVA % | 3 P Python @ | 5 L NS % | 6 L CPT % </v>
      </c>
      <c r="AI401" s="4" t="str">
        <f ca="1">IFERROR(__xludf.DUMMYFUNCTION("""COMPUTED_VALUE"""),"| 1 P Python @ | 3 L CPT @ | 4 L PHP-CGM % | 5 P CPT @ ")</f>
        <v xml:space="preserve">| 1 P Python @ | 3 L CPT @ | 4 L PHP-CGM % | 5 P CPT @ </v>
      </c>
      <c r="AJ401" s="4" t="str">
        <f ca="1">IFERROR(__xludf.DUMMYFUNCTION("""COMPUTED_VALUE"""),"| 1 P PHP-CGM % | 3 L PHP-CGM % | 4 L JAVA % | 5 P PRO % ")</f>
        <v xml:space="preserve">| 1 P PHP-CGM % | 3 L PHP-CGM % | 4 L JAVA % | 5 P PRO % </v>
      </c>
      <c r="AK401" s="4" t="str">
        <f ca="1">IFERROR(__xludf.DUMMYFUNCTION("""COMPUTED_VALUE"""),"| 1 L JAVA % | 2 L PHP-CGM % | 3 P NS @ | 5 L CPT @ | 6 L NS @ ")</f>
        <v xml:space="preserve">| 1 L JAVA % | 2 L PHP-CGM % | 3 P NS @ | 5 L CPT @ | 6 L NS @ </v>
      </c>
      <c r="AL401" s="4" t="str">
        <f ca="1">IFERROR(__xludf.DUMMYFUNCTION("""COMPUTED_VALUE"""),"| 3 P JAVA % | 5 L JAVA % | 6 L NS % ")</f>
        <v xml:space="preserve">| 3 P JAVA % | 5 L JAVA % | 6 L NS % </v>
      </c>
      <c r="AM401" s="4" t="str">
        <f ca="1">IFERROR(__xludf.DUMMYFUNCTION("""COMPUTED_VALUE"""),"| 1 P JAVA @ | 3 P Python @ | 5 L NS % | 6 L CPT @ ")</f>
        <v xml:space="preserve">| 1 P JAVA @ | 3 P Python @ | 5 L NS % | 6 L CPT @ </v>
      </c>
      <c r="AN401" s="4" t="str">
        <f ca="1">IFERROR(__xludf.DUMMYFUNCTION("""COMPUTED_VALUE"""),"| 1 P Python @ | 4 L PHP-CGM % | 5 P CPT @ ")</f>
        <v xml:space="preserve">| 1 P Python @ | 4 L PHP-CGM % | 5 P CPT @ </v>
      </c>
      <c r="AO401" s="4" t="str">
        <f ca="1">IFERROR(__xludf.DUMMYFUNCTION("""COMPUTED_VALUE"""),"| 1 P PHP-CGM @ | 3 L PHP-CGM % | 4 L JAVA % | 5 P PRO @ ")</f>
        <v xml:space="preserve">| 1 P PHP-CGM @ | 3 L PHP-CGM % | 4 L JAVA % | 5 P PRO @ </v>
      </c>
      <c r="AP401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Q401" s="4" t="str">
        <f ca="1">IFERROR(__xludf.DUMMYFUNCTION("""COMPUTED_VALUE"""),"| 1 L INE @ | 3 P JAVA % | 5 L JAVA % | 6 L NS % ")</f>
        <v xml:space="preserve">| 1 L INE @ | 3 P JAVA % | 5 L JAVA % | 6 L NS % </v>
      </c>
      <c r="AR401" s="4" t="str">
        <f ca="1">IFERROR(__xludf.DUMMYFUNCTION("""COMPUTED_VALUE"""),"| 1 P JAVA @ | 3 L CPT % | 3 P Python @ | 5 L NS @ | 6 L CPT @ ")</f>
        <v xml:space="preserve">| 1 P JAVA @ | 3 L CPT % | 3 P Python @ | 5 L NS @ | 6 L CPT @ </v>
      </c>
      <c r="AS401" s="4" t="str">
        <f ca="1">IFERROR(__xludf.DUMMYFUNCTION("""COMPUTED_VALUE"""),"| 1 P PHP-CGM @ | 3 L PHP-CGM % | 4 L JAVA % | 5 P PRO @ ")</f>
        <v xml:space="preserve">| 1 P PHP-CGM @ | 3 L PHP-CGM % | 4 L JAVA % | 5 P PRO @ </v>
      </c>
      <c r="AT401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U401" s="4" t="str">
        <f ca="1">IFERROR(__xludf.DUMMYFUNCTION("""COMPUTED_VALUE"""),"| 1 L INE @ | 3 P JAVA % | 5 L JAVA % | 6 L NS % ")</f>
        <v xml:space="preserve">| 1 L INE @ | 3 P JAVA % | 5 L JAVA % | 6 L NS % </v>
      </c>
      <c r="AV401" s="4" t="str">
        <f ca="1">IFERROR(__xludf.DUMMYFUNCTION("""COMPUTED_VALUE"""),"| 1 P JAVA @ | 3 P Python % | 5 L NS % | 6 L CPT @ ")</f>
        <v xml:space="preserve">| 1 P JAVA @ | 3 P Python % | 5 L NS % | 6 L CPT @ </v>
      </c>
      <c r="AW401" s="4" t="str">
        <f ca="1">IFERROR(__xludf.DUMMYFUNCTION("""COMPUTED_VALUE"""),"| 1 P Python @ | 3 L CPT % | 4 L PHP-CGM % | 5 P CPT @ ")</f>
        <v xml:space="preserve">| 1 P Python @ | 3 L CPT % | 4 L PHP-CGM % | 5 P CPT @ </v>
      </c>
      <c r="AX401" s="4" t="str">
        <f ca="1">IFERROR(__xludf.DUMMYFUNCTION("""COMPUTED_VALUE"""),"| 1 P PHP-CGM @ | 3 L JAVA % | 4 L PHP-CGM % | 5 P PRO @ ")</f>
        <v xml:space="preserve">| 1 P PHP-CGM @ | 3 L JAVA % | 4 L PHP-CGM % | 5 P PRO @ </v>
      </c>
      <c r="AY401" s="4" t="str">
        <f ca="1">IFERROR(__xludf.DUMMYFUNCTION("""COMPUTED_VALUE"""),"| 2 L PHP-CGM @ | 3 P NS % | 5 L CPT % | 6 L NS % | 1 L JAVA @ ")</f>
        <v xml:space="preserve">| 2 L PHP-CGM @ | 3 P NS % | 5 L CPT % | 6 L NS % | 1 L JAVA @ </v>
      </c>
      <c r="AZ401" s="4" t="str">
        <f ca="1">IFERROR(__xludf.DUMMYFUNCTION("""COMPUTED_VALUE"""),"| 1 P JAVA @ | 3 P Python % | 5 L NS % | 6 L CPT % ")</f>
        <v xml:space="preserve">| 1 P JAVA @ | 3 P Python % | 5 L NS % | 6 L CPT % </v>
      </c>
      <c r="BA401" s="4" t="str">
        <f ca="1">IFERROR(__xludf.DUMMYFUNCTION("""COMPUTED_VALUE"""),"| 1 P Python @ | 3 L CPT % | 4 L PHP-CGM % | 5 P CPT @ ")</f>
        <v xml:space="preserve">| 1 P Python @ | 3 L CPT % | 4 L PHP-CGM % | 5 P CPT @ </v>
      </c>
      <c r="BB401" s="4" t="str">
        <f ca="1">IFERROR(__xludf.DUMMYFUNCTION("""COMPUTED_VALUE"""),"| 1 P PHP-CGM @ | 3 L PHP-CGM % | 4 L JAVA % | 5 L PRO @ ")</f>
        <v xml:space="preserve">| 1 P PHP-CGM @ | 3 L PHP-CGM % | 4 L JAVA % | 5 L PRO @ </v>
      </c>
      <c r="BC401" s="4" t="str">
        <f ca="1">IFERROR(__xludf.DUMMYFUNCTION("""COMPUTED_VALUE"""),"| 1 L JAVA @ | 3 P NS % | 2 L PHP-CGM @ | 5 L CPT @ | 6 L NS @ ")</f>
        <v xml:space="preserve">| 1 L JAVA @ | 3 P NS % | 2 L PHP-CGM @ | 5 L CPT @ | 6 L NS @ </v>
      </c>
      <c r="BD401" s="4" t="str">
        <f ca="1">IFERROR(__xludf.DUMMYFUNCTION("""COMPUTED_VALUE"""),"| 1 L INE @ | 3 P JAVA % | 5 L JAVA % | 6 L NS @ ")</f>
        <v xml:space="preserve">| 1 L INE @ | 3 P JAVA % | 5 L JAVA % | 6 L NS @ </v>
      </c>
      <c r="BE401" s="4" t="str">
        <f ca="1">IFERROR(__xludf.DUMMYFUNCTION("""COMPUTED_VALUE"""),"| 1 P JAVA @ | 3 P Python % | 5 L NS % | 6 L CPT @ ")</f>
        <v xml:space="preserve">| 1 P JAVA @ | 3 P Python % | 5 L NS % | 6 L CPT @ </v>
      </c>
      <c r="BF401" s="4" t="str">
        <f ca="1">IFERROR(__xludf.DUMMYFUNCTION("""COMPUTED_VALUE"""),"| 1 P Python @ | 3 L CPT @ | 4 L PHP-CGM @ | 5 P CPT @ ")</f>
        <v xml:space="preserve">| 1 P Python @ | 3 L CPT @ | 4 L PHP-CGM @ | 5 P CPT @ </v>
      </c>
      <c r="BG401" s="4" t="str">
        <f ca="1">IFERROR(__xludf.DUMMYFUNCTION("""COMPUTED_VALUE"""),"| 1 L JAVA % | 2 L PHP-CGM % | 3 P NS % | 5 L CPT @ | 6 L NS % ")</f>
        <v xml:space="preserve">| 1 L JAVA % | 2 L PHP-CGM % | 3 P NS % | 5 L CPT @ | 6 L NS % </v>
      </c>
      <c r="BH401" s="4" t="str">
        <f ca="1">IFERROR(__xludf.DUMMYFUNCTION("""COMPUTED_VALUE"""),"| 1 L INE @ | 3 P JAVA % | 5 L JAVA % | 6 L NS % ")</f>
        <v xml:space="preserve">| 1 L INE @ | 3 P JAVA % | 5 L JAVA % | 6 L NS % </v>
      </c>
      <c r="BI401" s="4" t="str">
        <f ca="1">IFERROR(__xludf.DUMMYFUNCTION("""COMPUTED_VALUE"""),"| 1 P JAVA @ | 3 P Python % | 5 L NS @ | 6 L CPT % ")</f>
        <v xml:space="preserve">| 1 P JAVA @ | 3 P Python % | 5 L NS @ | 6 L CPT % </v>
      </c>
      <c r="BJ401" s="4" t="str">
        <f ca="1">IFERROR(__xludf.DUMMYFUNCTION("""COMPUTED_VALUE"""),"| 1 P Python @ | 3 L CPT % | 4 L PHP-CGM % | 5 P CPT @ ")</f>
        <v xml:space="preserve">| 1 P Python @ | 3 L CPT % | 4 L PHP-CGM % | 5 P CPT @ </v>
      </c>
      <c r="BK401" s="4" t="str">
        <f ca="1">IFERROR(__xludf.DUMMYFUNCTION("""COMPUTED_VALUE"""),"| 1 P PHP-CGM @ | 3 L PHP-CGM @ | 4 L JAVA @ | 5 P PRO @ ")</f>
        <v xml:space="preserve">| 1 P PHP-CGM @ | 3 L PHP-CGM @ | 4 L JAVA @ | 5 P PRO @ </v>
      </c>
      <c r="BL401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01" s="4" t="str">
        <f ca="1">IFERROR(__xludf.DUMMYFUNCTION("""COMPUTED_VALUE"""),"| 1 L INE @ | 3 P JAVA @ | 5 L JAVA @ | 6 L NS @ ")</f>
        <v xml:space="preserve">| 1 L INE @ | 3 P JAVA @ | 5 L JAVA @ | 6 L NS @ </v>
      </c>
      <c r="BN401" s="4" t="str">
        <f ca="1">IFERROR(__xludf.DUMMYFUNCTION("""COMPUTED_VALUE"""),"| 1 P JAVA @ | 3 P Python @ | 5 L NS @ | 6 L CPT @ ")</f>
        <v xml:space="preserve">| 1 P JAVA @ | 3 P Python @ | 5 L NS @ | 6 L CPT @ </v>
      </c>
      <c r="BO401" s="4" t="str">
        <f ca="1">IFERROR(__xludf.DUMMYFUNCTION("""COMPUTED_VALUE"""),"| 1 P Python @ | 4 L PHP-CGM @ | 3 L CPT @ | 5 P CPT @ ")</f>
        <v xml:space="preserve">| 1 P Python @ | 4 L PHP-CGM @ | 3 L CPT @ | 5 P CPT @ </v>
      </c>
      <c r="BP401" s="4" t="str">
        <f ca="1">IFERROR(__xludf.DUMMYFUNCTION("""COMPUTED_VALUE"""),"| 1 P PHP-CGM @ | 3 L PHP-CGM @ | 4 L JAVA @ | 6 P PRO @ ")</f>
        <v xml:space="preserve">| 1 P PHP-CGM @ | 3 L PHP-CGM @ | 4 L JAVA @ | 6 P PRO @ </v>
      </c>
      <c r="BQ401" s="4" t="str">
        <f ca="1">IFERROR(__xludf.DUMMYFUNCTION("""COMPUTED_VALUE"""),"| 6 L NS % | 5 L JAVA @ ")</f>
        <v xml:space="preserve">| 6 L NS % | 5 L JAVA @ </v>
      </c>
      <c r="BR401" s="4"/>
      <c r="BS401" s="4" t="str">
        <f ca="1">IFERROR(__xludf.DUMMYFUNCTION("""COMPUTED_VALUE"""),"| 4 L PHP-CGM % ")</f>
        <v xml:space="preserve">| 4 L PHP-CGM % </v>
      </c>
      <c r="BT401" s="4" t="str">
        <f ca="1">IFERROR(__xludf.DUMMYFUNCTION("""COMPUTED_VALUE"""),"| 1 P PHP-CGM @ | 3 L PHP-CGM @ ")</f>
        <v xml:space="preserve">| 1 P PHP-CGM @ | 3 L PHP-CGM @ </v>
      </c>
      <c r="BU401" s="4" t="str">
        <f ca="1">IFERROR(__xludf.DUMMYFUNCTION("""COMPUTED_VALUE"""),"| 1 L JAVA @ | 2 L PHP-CGM @ | 3 P NS @ ")</f>
        <v xml:space="preserve">| 1 L JAVA @ | 2 L PHP-CGM @ | 3 P NS @ </v>
      </c>
      <c r="BV401" s="4" t="str">
        <f ca="1">IFERROR(__xludf.DUMMYFUNCTION("""COMPUTED_VALUE"""),"| 1 P PHP-CGM @ | 3 L PHP-CGM % | 4 L JAVA % | 5 P PRO @ ")</f>
        <v xml:space="preserve">| 1 P PHP-CGM @ | 3 L PHP-CGM % | 4 L JAVA % | 5 P PRO @ </v>
      </c>
      <c r="BW401" s="4" t="str">
        <f ca="1">IFERROR(__xludf.DUMMYFUNCTION("""COMPUTED_VALUE"""),"| 1 L JAVA @ | 2 L PHP-CGM @ | 3 P NS @ ")</f>
        <v xml:space="preserve">| 1 L JAVA @ | 2 L PHP-CGM @ | 3 P NS @ </v>
      </c>
      <c r="BX401" s="4" t="str">
        <f ca="1">IFERROR(__xludf.DUMMYFUNCTION("""COMPUTED_VALUE"""),"| 1 L INE @ | 3 P JAVA @ | 5 L JAVA @ | 6 L NS @ ")</f>
        <v xml:space="preserve">| 1 L INE @ | 3 P JAVA @ | 5 L JAVA @ | 6 L NS @ </v>
      </c>
      <c r="BY401" s="4" t="str">
        <f ca="1">IFERROR(__xludf.DUMMYFUNCTION("""COMPUTED_VALUE"""),"| 1 P JAVA @ | 3 P Python % | 5 L NS @ | 6 L CPT @ ")</f>
        <v xml:space="preserve">| 1 P JAVA @ | 3 P Python % | 5 L NS @ | 6 L CPT @ </v>
      </c>
      <c r="BZ401" s="4" t="str">
        <f ca="1">IFERROR(__xludf.DUMMYFUNCTION("""COMPUTED_VALUE"""),"| 1 P Python @ | 3 L CPT @ | 4 L PHP-CGM @ | 5 P CPT @ ")</f>
        <v xml:space="preserve">| 1 P Python @ | 3 L CPT @ | 4 L PHP-CGM @ | 5 P CPT @ </v>
      </c>
      <c r="CA401" s="4" t="str">
        <f ca="1">IFERROR(__xludf.DUMMYFUNCTION("""COMPUTED_VALUE"""),"| 1 P PHP-CGM @ | 3 L PHP-CGM % | 3 L JAVA % | 5 P PRO @ ")</f>
        <v xml:space="preserve">| 1 P PHP-CGM @ | 3 L PHP-CGM % | 3 L JAVA % | 5 P PRO @ </v>
      </c>
      <c r="CB401" s="4" t="str">
        <f ca="1">IFERROR(__xludf.DUMMYFUNCTION("""COMPUTED_VALUE"""),"| 1 L JAVA @ | 2 L PHP-CGM @ | 3 P NS % | 6 L NS % | 5 L CPT % ")</f>
        <v xml:space="preserve">| 1 L JAVA @ | 2 L PHP-CGM @ | 3 P NS % | 6 L NS % | 5 L CPT % </v>
      </c>
      <c r="CC401" s="4" t="str">
        <f ca="1">IFERROR(__xludf.DUMMYFUNCTION("""COMPUTED_VALUE"""),"| 1 L INE @ | 3 P JAVA @ | 5 L JAVA % | 6 L NS % ")</f>
        <v xml:space="preserve">| 1 L INE @ | 3 P JAVA @ | 5 L JAVA % | 6 L NS % </v>
      </c>
      <c r="CD401" s="4" t="str">
        <f ca="1">IFERROR(__xludf.DUMMYFUNCTION("""COMPUTED_VALUE"""),"| 1 P JAVA @ | 3 P Python % | 5 L NS % | 6 L CPT @ ")</f>
        <v xml:space="preserve">| 1 P JAVA @ | 3 P Python % | 5 L NS % | 6 L CPT @ </v>
      </c>
      <c r="CE401" s="4" t="str">
        <f ca="1">IFERROR(__xludf.DUMMYFUNCTION("""COMPUTED_VALUE"""),"| 1 P Python @ | 3 L CPT % | 4 L PHP-CGM % | 5 P CPT @ ")</f>
        <v xml:space="preserve">| 1 P Python @ | 3 L CPT % | 4 L PHP-CGM % | 5 P CPT @ </v>
      </c>
      <c r="CF401" s="4" t="str">
        <f ca="1">IFERROR(__xludf.DUMMYFUNCTION("""COMPUTED_VALUE"""),"| 1 P PHP-CGM @ | 4 L JAVA % | 3 L PHP-CGM % | 5 L PRO % ")</f>
        <v xml:space="preserve">| 1 P PHP-CGM @ | 4 L JAVA % | 3 L PHP-CGM % | 5 L PRO % </v>
      </c>
      <c r="CG401" s="4" t="str">
        <f ca="1">IFERROR(__xludf.DUMMYFUNCTION("""COMPUTED_VALUE"""),"| 1 L JAVA @ | 2 L PHP-CGM @ | 3 P NS % | 6 L NS @ ")</f>
        <v xml:space="preserve">| 1 L JAVA @ | 2 L PHP-CGM @ | 3 P NS % | 6 L NS @ </v>
      </c>
      <c r="CH401" s="4" t="str">
        <f ca="1">IFERROR(__xludf.DUMMYFUNCTION("""COMPUTED_VALUE"""),"| 1 L INE @ | 3 P JAVA % | 5 L JAVA @ | 6 L NS % ")</f>
        <v xml:space="preserve">| 1 L INE @ | 3 P JAVA % | 5 L JAVA @ | 6 L NS % </v>
      </c>
      <c r="CI401" s="4" t="str">
        <f ca="1">IFERROR(__xludf.DUMMYFUNCTION("""COMPUTED_VALUE"""),"| 5 L NS @ | 6 L CPT @ ")</f>
        <v xml:space="preserve">| 5 L NS @ | 6 L CPT @ </v>
      </c>
      <c r="CJ401" s="4" t="str">
        <f ca="1">IFERROR(__xludf.DUMMYFUNCTION("""COMPUTED_VALUE"""),"| 3 L CPT @ | 5 P CPT @ ")</f>
        <v xml:space="preserve">| 3 L CPT @ | 5 P CPT @ </v>
      </c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</row>
    <row r="402" spans="1:102" ht="12.5" x14ac:dyDescent="0.25">
      <c r="A402" s="3">
        <f ca="1">IFERROR(__xludf.DUMMYFUNCTION("""COMPUTED_VALUE"""),3)</f>
        <v>3</v>
      </c>
      <c r="B402" s="3" t="str">
        <f ca="1">IFERROR(__xludf.DUMMYFUNCTION("""COMPUTED_VALUE"""),"ITA")</f>
        <v>ITA</v>
      </c>
      <c r="C402" s="32" t="str">
        <f ca="1">IFERROR(__xludf.DUMMYFUNCTION("""COMPUTED_VALUE"""),"23291371133")</f>
        <v>23291371133</v>
      </c>
      <c r="D402" s="4" t="str">
        <f ca="1">IFERROR(__xludf.DUMMYFUNCTION("""COMPUTED_VALUE"""),"SENMA AMISHA SOMABHAI")</f>
        <v>SENMA AMISHA SOMABHAI</v>
      </c>
      <c r="E402" s="3" t="str">
        <f ca="1">IFERROR(__xludf.DUMMYFUNCTION("""COMPUTED_VALUE"""),"Sweety - Mor")</f>
        <v>Sweety - Mor</v>
      </c>
      <c r="F402" s="3">
        <f ca="1">IFERROR(__xludf.DUMMYFUNCTION("""COMPUTED_VALUE"""),9316487943)</f>
        <v>9316487943</v>
      </c>
      <c r="G402" s="3">
        <f ca="1">IFERROR(__xludf.DUMMYFUNCTION("""COMPUTED_VALUE"""),9974402704)</f>
        <v>9974402704</v>
      </c>
      <c r="H402" s="33">
        <f ca="1">IFERROR(__xludf.DUMMYFUNCTION("""COMPUTED_VALUE"""),0.726907630522088)</f>
        <v>0.72690763052208796</v>
      </c>
      <c r="I402" s="25">
        <f ca="1">IFERROR(__xludf.DUMMYFUNCTION("""COMPUTED_VALUE"""),0.685714285714285)</f>
        <v>0.68571428571428505</v>
      </c>
      <c r="J402" s="25">
        <f ca="1">IFERROR(__xludf.DUMMYFUNCTION("""COMPUTED_VALUE"""),0.25)</f>
        <v>0.25</v>
      </c>
      <c r="K402" s="25">
        <f ca="1">IFERROR(__xludf.DUMMYFUNCTION("""COMPUTED_VALUE"""),0.694444444444444)</f>
        <v>0.69444444444444398</v>
      </c>
      <c r="L402" s="25">
        <f ca="1">IFERROR(__xludf.DUMMYFUNCTION("""COMPUTED_VALUE"""),0.923076923076923)</f>
        <v>0.92307692307692302</v>
      </c>
      <c r="M402" s="25">
        <f ca="1">IFERROR(__xludf.DUMMYFUNCTION("""COMPUTED_VALUE"""),0.736842105263157)</f>
        <v>0.73684210526315697</v>
      </c>
      <c r="N402" s="25">
        <f ca="1">IFERROR(__xludf.DUMMYFUNCTION("""COMPUTED_VALUE"""),0.769230769230769)</f>
        <v>0.76923076923076905</v>
      </c>
      <c r="O402" s="25">
        <f ca="1">IFERROR(__xludf.DUMMYFUNCTION("""COMPUTED_VALUE"""),0.722222222222222)</f>
        <v>0.72222222222222199</v>
      </c>
      <c r="P402" s="25">
        <f ca="1">IFERROR(__xludf.DUMMYFUNCTION("""COMPUTED_VALUE"""),0.913043478260869)</f>
        <v>0.91304347826086896</v>
      </c>
      <c r="Q402" s="25">
        <f ca="1">IFERROR(__xludf.DUMMYFUNCTION("""COMPUTED_VALUE"""),0)</f>
        <v>0</v>
      </c>
      <c r="R402" s="25">
        <f ca="1">IFERROR(__xludf.DUMMYFUNCTION("""COMPUTED_VALUE"""),0.782608695652174)</f>
        <v>0.78260869565217395</v>
      </c>
      <c r="S402" s="25">
        <f ca="1">IFERROR(__xludf.DUMMYFUNCTION("""COMPUTED_VALUE"""),0.333333333333333)</f>
        <v>0.33333333333333298</v>
      </c>
      <c r="T402" s="25">
        <f ca="1">IFERROR(__xludf.DUMMYFUNCTION("""COMPUTED_VALUE"""),0.777777777777777)</f>
        <v>0.77777777777777701</v>
      </c>
      <c r="U402" s="25">
        <f ca="1">IFERROR(__xludf.DUMMYFUNCTION("""COMPUTED_VALUE"""),0.75)</f>
        <v>0.75</v>
      </c>
      <c r="V402" s="25">
        <f ca="1">IFERROR(__xludf.DUMMYFUNCTION("""COMPUTED_VALUE"""),0)</f>
        <v>0</v>
      </c>
      <c r="W402" s="4"/>
      <c r="X402" s="4" t="str">
        <f ca="1">IFERROR(__xludf.DUMMYFUNCTION("""COMPUTED_VALUE"""),"| 4 L JAVA @ | 1 P PHP-CGM @ | 3 L PHP-CGM @ | 1 L PRO @ ")</f>
        <v xml:space="preserve">| 4 L JAVA @ | 1 P PHP-CGM @ | 3 L PHP-CGM @ | 1 L PRO @ </v>
      </c>
      <c r="Y402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02" s="4" t="str">
        <f ca="1">IFERROR(__xludf.DUMMYFUNCTION("""COMPUTED_VALUE"""),"| 3 P JAVA % | 5 L JAVA @ | 6 L NS @ ")</f>
        <v xml:space="preserve">| 3 P JAVA % | 5 L JAVA @ | 6 L NS @ </v>
      </c>
      <c r="AA402" s="4" t="str">
        <f ca="1">IFERROR(__xludf.DUMMYFUNCTION("""COMPUTED_VALUE"""),"| 1 P JAVA % | 3 P Python % | 5 L NS % | 6 L CPT % ")</f>
        <v xml:space="preserve">| 1 P JAVA % | 3 P Python % | 5 L NS % | 6 L CPT % </v>
      </c>
      <c r="AB402" s="4" t="str">
        <f ca="1">IFERROR(__xludf.DUMMYFUNCTION("""COMPUTED_VALUE"""),"| 1 P Python % | 3 L CPT % | 4 L PHP-CGM % | 5 P CPT % ")</f>
        <v xml:space="preserve">| 1 P Python % | 3 L CPT % | 4 L PHP-CGM % | 5 P CPT % </v>
      </c>
      <c r="AC402" s="4" t="str">
        <f ca="1">IFERROR(__xludf.DUMMYFUNCTION("""COMPUTED_VALUE"""),"| 1 P PHP-CGM % | 3 L PHP-CGM % | 5 P PRO % ")</f>
        <v xml:space="preserve">| 1 P PHP-CGM % | 3 L PHP-CGM % | 5 P PRO % </v>
      </c>
      <c r="AD402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02" s="4" t="str">
        <f ca="1">IFERROR(__xludf.DUMMYFUNCTION("""COMPUTED_VALUE"""),"| 3 P JAVA % | 5 L JAVA % | 6 L NS % ")</f>
        <v xml:space="preserve">| 3 P JAVA % | 5 L JAVA % | 6 L NS % </v>
      </c>
      <c r="AF402" s="4" t="str">
        <f ca="1">IFERROR(__xludf.DUMMYFUNCTION("""COMPUTED_VALUE"""),"| 1 P JAVA % | 3 P Python @ | 5 L NS @ | 6 L CPT @ ")</f>
        <v xml:space="preserve">| 1 P JAVA % | 3 P Python @ | 5 L NS @ | 6 L CPT @ </v>
      </c>
      <c r="AG402" s="4" t="str">
        <f ca="1">IFERROR(__xludf.DUMMYFUNCTION("""COMPUTED_VALUE"""),"| 1 P Python @ | 3 L CPT @ | 4 L PHP-CGM @ | 5 P CPT @ ")</f>
        <v xml:space="preserve">| 1 P Python @ | 3 L CPT @ | 4 L PHP-CGM @ | 5 P CPT @ </v>
      </c>
      <c r="AH402" s="4" t="str">
        <f ca="1">IFERROR(__xludf.DUMMYFUNCTION("""COMPUTED_VALUE"""),"| 1 P JAVA % | 3 P Python % | 5 L NS % | 6 L CPT % ")</f>
        <v xml:space="preserve">| 1 P JAVA % | 3 P Python % | 5 L NS % | 6 L CPT % </v>
      </c>
      <c r="AI402" s="4" t="str">
        <f ca="1">IFERROR(__xludf.DUMMYFUNCTION("""COMPUTED_VALUE"""),"| 1 P Python % | 3 L CPT % | 4 L PHP-CGM % | 5 P CPT % ")</f>
        <v xml:space="preserve">| 1 P Python % | 3 L CPT % | 4 L PHP-CGM % | 5 P CPT % </v>
      </c>
      <c r="AJ402" s="4" t="str">
        <f ca="1">IFERROR(__xludf.DUMMYFUNCTION("""COMPUTED_VALUE"""),"| 1 P PHP-CGM % | 3 L PHP-CGM % | 4 L JAVA % | 5 P PRO % ")</f>
        <v xml:space="preserve">| 1 P PHP-CGM % | 3 L PHP-CGM % | 4 L JAVA % | 5 P PRO % </v>
      </c>
      <c r="AK402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02" s="4" t="str">
        <f ca="1">IFERROR(__xludf.DUMMYFUNCTION("""COMPUTED_VALUE"""),"| 3 P JAVA % | 5 L JAVA % | 6 L NS % ")</f>
        <v xml:space="preserve">| 3 P JAVA % | 5 L JAVA % | 6 L NS % </v>
      </c>
      <c r="AM402" s="4" t="str">
        <f ca="1">IFERROR(__xludf.DUMMYFUNCTION("""COMPUTED_VALUE"""),"| 1 P JAVA % | 3 P Python % | 5 L NS % | 6 L CPT % ")</f>
        <v xml:space="preserve">| 1 P JAVA % | 3 P Python % | 5 L NS % | 6 L CPT % </v>
      </c>
      <c r="AN402" s="4" t="str">
        <f ca="1">IFERROR(__xludf.DUMMYFUNCTION("""COMPUTED_VALUE"""),"| 1 P Python % | 4 L PHP-CGM % | 5 P CPT @ ")</f>
        <v xml:space="preserve">| 1 P Python % | 4 L PHP-CGM % | 5 P CPT @ </v>
      </c>
      <c r="AO402" s="4" t="str">
        <f ca="1">IFERROR(__xludf.DUMMYFUNCTION("""COMPUTED_VALUE"""),"| 1 P PHP-CGM % | 3 L PHP-CGM % | 4 L JAVA % | 5 P PRO % ")</f>
        <v xml:space="preserve">| 1 P PHP-CGM % | 3 L PHP-CGM % | 4 L JAVA % | 5 P PRO % </v>
      </c>
      <c r="AP402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02" s="4" t="str">
        <f ca="1">IFERROR(__xludf.DUMMYFUNCTION("""COMPUTED_VALUE"""),"| 1 L INE % | 3 P JAVA % | 5 L JAVA @ | 6 L NS @ ")</f>
        <v xml:space="preserve">| 1 L INE % | 3 P JAVA % | 5 L JAVA @ | 6 L NS @ </v>
      </c>
      <c r="AR402" s="4" t="str">
        <f ca="1">IFERROR(__xludf.DUMMYFUNCTION("""COMPUTED_VALUE"""),"| 1 P JAVA @ | 3 L CPT % | 3 P Python @ | 5 L NS @ | 6 L CPT @ ")</f>
        <v xml:space="preserve">| 1 P JAVA @ | 3 L CPT % | 3 P Python @ | 5 L NS @ | 6 L CPT @ </v>
      </c>
      <c r="AS402" s="4" t="str">
        <f ca="1">IFERROR(__xludf.DUMMYFUNCTION("""COMPUTED_VALUE"""),"| 1 P PHP-CGM % | 3 L PHP-CGM % | 4 L JAVA % | 5 P PRO % ")</f>
        <v xml:space="preserve">| 1 P PHP-CGM % | 3 L PHP-CGM % | 4 L JAVA % | 5 P PRO % </v>
      </c>
      <c r="AT402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02" s="4" t="str">
        <f ca="1">IFERROR(__xludf.DUMMYFUNCTION("""COMPUTED_VALUE"""),"| 1 L INE % | 3 P JAVA % | 5 L JAVA % | 6 L NS % ")</f>
        <v xml:space="preserve">| 1 L INE % | 3 P JAVA % | 5 L JAVA % | 6 L NS % </v>
      </c>
      <c r="AV402" s="4" t="str">
        <f ca="1">IFERROR(__xludf.DUMMYFUNCTION("""COMPUTED_VALUE"""),"| 1 P JAVA % | 3 P Python % | 5 L NS % | 6 L CPT % ")</f>
        <v xml:space="preserve">| 1 P JAVA % | 3 P Python % | 5 L NS % | 6 L CPT % </v>
      </c>
      <c r="AW402" s="4" t="str">
        <f ca="1">IFERROR(__xludf.DUMMYFUNCTION("""COMPUTED_VALUE"""),"| 1 P Python % | 3 L CPT % | 4 L PHP-CGM % | 5 P CPT % ")</f>
        <v xml:space="preserve">| 1 P Python % | 3 L CPT % | 4 L PHP-CGM % | 5 P CPT % </v>
      </c>
      <c r="AX402" s="4" t="str">
        <f ca="1">IFERROR(__xludf.DUMMYFUNCTION("""COMPUTED_VALUE"""),"| 1 P PHP-CGM % | 3 L JAVA % | 4 L PHP-CGM % | 5 P PRO @ ")</f>
        <v xml:space="preserve">| 1 P PHP-CGM % | 3 L JAVA % | 4 L PHP-CGM % | 5 P PRO @ </v>
      </c>
      <c r="AY402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02" s="4" t="str">
        <f ca="1">IFERROR(__xludf.DUMMYFUNCTION("""COMPUTED_VALUE"""),"| 1 P JAVA % | 3 P Python % | 5 L NS % | 6 L CPT % ")</f>
        <v xml:space="preserve">| 1 P JAVA % | 3 P Python % | 5 L NS % | 6 L CPT % </v>
      </c>
      <c r="BA402" s="4" t="str">
        <f ca="1">IFERROR(__xludf.DUMMYFUNCTION("""COMPUTED_VALUE"""),"| 1 P Python % | 3 L CPT @ | 4 L PHP-CGM @ | 5 P CPT @ ")</f>
        <v xml:space="preserve">| 1 P Python % | 3 L CPT @ | 4 L PHP-CGM @ | 5 P CPT @ </v>
      </c>
      <c r="BB402" s="4" t="str">
        <f ca="1">IFERROR(__xludf.DUMMYFUNCTION("""COMPUTED_VALUE"""),"| 1 P PHP-CGM @ | 3 L PHP-CGM @ | 4 L JAVA @ | 5 L PRO @ ")</f>
        <v xml:space="preserve">| 1 P PHP-CGM @ | 3 L PHP-CGM @ | 4 L JAVA @ | 5 L PRO @ </v>
      </c>
      <c r="BC402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2" s="4" t="str">
        <f ca="1">IFERROR(__xludf.DUMMYFUNCTION("""COMPUTED_VALUE"""),"| 1 L INE % | 3 P JAVA % | 5 L JAVA % | 6 L NS % ")</f>
        <v xml:space="preserve">| 1 L INE % | 3 P JAVA % | 5 L JAVA % | 6 L NS % </v>
      </c>
      <c r="BE402" s="4" t="str">
        <f ca="1">IFERROR(__xludf.DUMMYFUNCTION("""COMPUTED_VALUE"""),"| 1 P JAVA % | 3 P Python % | 5 L NS % | 6 L CPT % ")</f>
        <v xml:space="preserve">| 1 P JAVA % | 3 P Python % | 5 L NS % | 6 L CPT % </v>
      </c>
      <c r="BF402" s="4" t="str">
        <f ca="1">IFERROR(__xludf.DUMMYFUNCTION("""COMPUTED_VALUE"""),"| 1 P Python @ | 3 L CPT @ | 4 L PHP-CGM @ | 5 P CPT @ ")</f>
        <v xml:space="preserve">| 1 P Python @ | 3 L CPT @ | 4 L PHP-CGM @ | 5 P CPT @ </v>
      </c>
      <c r="BG402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BH402" s="4" t="str">
        <f ca="1">IFERROR(__xludf.DUMMYFUNCTION("""COMPUTED_VALUE"""),"| 1 L INE % | 3 P JAVA % | 5 L JAVA @ | 6 L NS @ ")</f>
        <v xml:space="preserve">| 1 L INE % | 3 P JAVA % | 5 L JAVA @ | 6 L NS @ </v>
      </c>
      <c r="BI402" s="4" t="str">
        <f ca="1">IFERROR(__xludf.DUMMYFUNCTION("""COMPUTED_VALUE"""),"| 1 P JAVA % | 3 P Python % | 5 L NS % | 6 L CPT % ")</f>
        <v xml:space="preserve">| 1 P JAVA % | 3 P Python % | 5 L NS % | 6 L CPT % </v>
      </c>
      <c r="BJ402" s="4" t="str">
        <f ca="1">IFERROR(__xludf.DUMMYFUNCTION("""COMPUTED_VALUE"""),"| 1 P Python % | 3 L CPT @ | 4 L PHP-CGM @ | 5 P CPT @ ")</f>
        <v xml:space="preserve">| 1 P Python % | 3 L CPT @ | 4 L PHP-CGM @ | 5 P CPT @ </v>
      </c>
      <c r="BK402" s="4" t="str">
        <f ca="1">IFERROR(__xludf.DUMMYFUNCTION("""COMPUTED_VALUE"""),"| 1 P PHP-CGM @ | 3 L PHP-CGM @ | 4 L JAVA @ | 5 P PRO @ ")</f>
        <v xml:space="preserve">| 1 P PHP-CGM @ | 3 L PHP-CGM @ | 4 L JAVA @ | 5 P PRO @ </v>
      </c>
      <c r="BL402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BM402" s="4" t="str">
        <f ca="1">IFERROR(__xludf.DUMMYFUNCTION("""COMPUTED_VALUE"""),"| 1 L INE % | 3 P JAVA % | 5 L JAVA % | 6 L NS % ")</f>
        <v xml:space="preserve">| 1 L INE % | 3 P JAVA % | 5 L JAVA % | 6 L NS % </v>
      </c>
      <c r="BN402" s="4" t="str">
        <f ca="1">IFERROR(__xludf.DUMMYFUNCTION("""COMPUTED_VALUE"""),"| 1 P JAVA % | 3 P Python % | 5 L NS % | 6 L CPT % ")</f>
        <v xml:space="preserve">| 1 P JAVA % | 3 P Python % | 5 L NS % | 6 L CPT % </v>
      </c>
      <c r="BO402" s="4" t="str">
        <f ca="1">IFERROR(__xludf.DUMMYFUNCTION("""COMPUTED_VALUE"""),"| 1 P Python % | 4 L PHP-CGM % | 3 L CPT % | 5 P CPT @ ")</f>
        <v xml:space="preserve">| 1 P Python % | 4 L PHP-CGM % | 3 L CPT % | 5 P CPT @ </v>
      </c>
      <c r="BP402" s="4" t="str">
        <f ca="1">IFERROR(__xludf.DUMMYFUNCTION("""COMPUTED_VALUE"""),"| 1 P PHP-CGM % | 3 L PHP-CGM % | 4 L JAVA % | 6 P PRO % ")</f>
        <v xml:space="preserve">| 1 P PHP-CGM % | 3 L PHP-CGM % | 4 L JAVA % | 6 P PRO % </v>
      </c>
      <c r="BQ402" s="4" t="str">
        <f ca="1">IFERROR(__xludf.DUMMYFUNCTION("""COMPUTED_VALUE"""),"| 6 L NS % | 5 L JAVA @ ")</f>
        <v xml:space="preserve">| 6 L NS % | 5 L JAVA @ </v>
      </c>
      <c r="BR402" s="4"/>
      <c r="BS402" s="4" t="str">
        <f ca="1">IFERROR(__xludf.DUMMYFUNCTION("""COMPUTED_VALUE"""),"| 4 L PHP-CGM % ")</f>
        <v xml:space="preserve">| 4 L PHP-CGM % </v>
      </c>
      <c r="BT402" s="4" t="str">
        <f ca="1">IFERROR(__xludf.DUMMYFUNCTION("""COMPUTED_VALUE"""),"| 1 P PHP-CGM % | 3 L PHP-CGM % ")</f>
        <v xml:space="preserve">| 1 P PHP-CGM % | 3 L PHP-CGM % </v>
      </c>
      <c r="BU402" s="4" t="str">
        <f ca="1">IFERROR(__xludf.DUMMYFUNCTION("""COMPUTED_VALUE"""),"| 1 L JAVA % | 2 L PHP-CGM % | 3 P NS % ")</f>
        <v xml:space="preserve">| 1 L JAVA % | 2 L PHP-CGM % | 3 P NS % </v>
      </c>
      <c r="BV402" s="4" t="str">
        <f ca="1">IFERROR(__xludf.DUMMYFUNCTION("""COMPUTED_VALUE"""),"| 1 P PHP-CGM % | 3 L PHP-CGM % | 4 L JAVA % | 5 P PRO % ")</f>
        <v xml:space="preserve">| 1 P PHP-CGM % | 3 L PHP-CGM % | 4 L JAVA % | 5 P PRO % </v>
      </c>
      <c r="BW402" s="4" t="str">
        <f ca="1">IFERROR(__xludf.DUMMYFUNCTION("""COMPUTED_VALUE"""),"| 1 L JAVA % | 2 L PHP-CGM % | 3 P NS % ")</f>
        <v xml:space="preserve">| 1 L JAVA % | 2 L PHP-CGM % | 3 P NS % </v>
      </c>
      <c r="BX402" s="4" t="str">
        <f ca="1">IFERROR(__xludf.DUMMYFUNCTION("""COMPUTED_VALUE"""),"| 1 L INE @ | 3 P JAVA % | 5 L JAVA % | 6 L NS % ")</f>
        <v xml:space="preserve">| 1 L INE @ | 3 P JAVA % | 5 L JAVA % | 6 L NS % </v>
      </c>
      <c r="BY402" s="4" t="str">
        <f ca="1">IFERROR(__xludf.DUMMYFUNCTION("""COMPUTED_VALUE"""),"| 1 P JAVA % | 3 P Python % | 5 L NS % | 6 L CPT % ")</f>
        <v xml:space="preserve">| 1 P JAVA % | 3 P Python % | 5 L NS % | 6 L CPT % </v>
      </c>
      <c r="BZ402" s="4" t="str">
        <f ca="1">IFERROR(__xludf.DUMMYFUNCTION("""COMPUTED_VALUE"""),"| 1 P Python % | 3 L CPT % | 4 L PHP-CGM % | 5 P CPT @ ")</f>
        <v xml:space="preserve">| 1 P Python % | 3 L CPT % | 4 L PHP-CGM % | 5 P CPT @ </v>
      </c>
      <c r="CA402" s="4" t="str">
        <f ca="1">IFERROR(__xludf.DUMMYFUNCTION("""COMPUTED_VALUE"""),"| 1 P PHP-CGM % | 3 L PHP-CGM % | 3 L JAVA % | 5 P PRO % ")</f>
        <v xml:space="preserve">| 1 P PHP-CGM % | 3 L PHP-CGM % | 3 L JAVA % | 5 P PRO % </v>
      </c>
      <c r="CB402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402" s="4" t="str">
        <f ca="1">IFERROR(__xludf.DUMMYFUNCTION("""COMPUTED_VALUE"""),"| 1 L INE % | 3 P JAVA @ | 5 L JAVA % | 6 L NS % ")</f>
        <v xml:space="preserve">| 1 L INE % | 3 P JAVA @ | 5 L JAVA % | 6 L NS % </v>
      </c>
      <c r="CD402" s="4" t="str">
        <f ca="1">IFERROR(__xludf.DUMMYFUNCTION("""COMPUTED_VALUE"""),"| 1 P JAVA % | 3 P Python % | 5 L NS @ | 6 L CPT @ ")</f>
        <v xml:space="preserve">| 1 P JAVA % | 3 P Python % | 5 L NS @ | 6 L CPT @ </v>
      </c>
      <c r="CE402" s="4" t="str">
        <f ca="1">IFERROR(__xludf.DUMMYFUNCTION("""COMPUTED_VALUE"""),"| 1 P Python @ | 3 L CPT @ | 4 L PHP-CGM @ | 5 P CPT @ ")</f>
        <v xml:space="preserve">| 1 P Python @ | 3 L CPT @ | 4 L PHP-CGM @ | 5 P CPT @ </v>
      </c>
      <c r="CF402" s="4" t="str">
        <f ca="1">IFERROR(__xludf.DUMMYFUNCTION("""COMPUTED_VALUE"""),"| 1 P PHP-CGM % | 4 L JAVA @ | 3 L PHP-CGM @ | 5 L PRO % ")</f>
        <v xml:space="preserve">| 1 P PHP-CGM % | 4 L JAVA @ | 3 L PHP-CGM @ | 5 L PRO % </v>
      </c>
      <c r="CG402" s="4" t="str">
        <f ca="1">IFERROR(__xludf.DUMMYFUNCTION("""COMPUTED_VALUE"""),"| 1 L JAVA % | 2 L PHP-CGM % | 3 P NS % | 6 L NS @ ")</f>
        <v xml:space="preserve">| 1 L JAVA % | 2 L PHP-CGM % | 3 P NS % | 6 L NS @ </v>
      </c>
      <c r="CH402" s="4" t="str">
        <f ca="1">IFERROR(__xludf.DUMMYFUNCTION("""COMPUTED_VALUE"""),"| 1 L INE @ | 3 P JAVA % | 5 L JAVA @ | 6 L NS @ ")</f>
        <v xml:space="preserve">| 1 L INE @ | 3 P JAVA % | 5 L JAVA @ | 6 L NS @ </v>
      </c>
      <c r="CI402" s="4" t="str">
        <f ca="1">IFERROR(__xludf.DUMMYFUNCTION("""COMPUTED_VALUE"""),"| 5 L NS @ | 6 L CPT % ")</f>
        <v xml:space="preserve">| 5 L NS @ | 6 L CPT % </v>
      </c>
      <c r="CJ402" s="4" t="str">
        <f ca="1">IFERROR(__xludf.DUMMYFUNCTION("""COMPUTED_VALUE"""),"| 3 L CPT @ | 5 P CPT @ ")</f>
        <v xml:space="preserve">| 3 L CPT @ | 5 P CPT @ </v>
      </c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</row>
    <row r="403" spans="1:102" ht="12.5" x14ac:dyDescent="0.25">
      <c r="A403" s="3">
        <f ca="1">IFERROR(__xludf.DUMMYFUNCTION("""COMPUTED_VALUE"""),3)</f>
        <v>3</v>
      </c>
      <c r="B403" s="3" t="str">
        <f ca="1">IFERROR(__xludf.DUMMYFUNCTION("""COMPUTED_VALUE"""),"ITA")</f>
        <v>ITA</v>
      </c>
      <c r="C403" s="32" t="str">
        <f ca="1">IFERROR(__xludf.DUMMYFUNCTION("""COMPUTED_VALUE"""),"23291371136")</f>
        <v>23291371136</v>
      </c>
      <c r="D403" s="4" t="str">
        <f ca="1">IFERROR(__xludf.DUMMYFUNCTION("""COMPUTED_VALUE"""),"SHEKH MAHAMMADTIF MAHAMMADARIF")</f>
        <v>SHEKH MAHAMMADTIF MAHAMMADARIF</v>
      </c>
      <c r="E403" s="3" t="str">
        <f ca="1">IFERROR(__xludf.DUMMYFUNCTION("""COMPUTED_VALUE"""),"Sweety - Mor")</f>
        <v>Sweety - Mor</v>
      </c>
      <c r="F403" s="3">
        <f ca="1">IFERROR(__xludf.DUMMYFUNCTION("""COMPUTED_VALUE"""),6355370057)</f>
        <v>6355370057</v>
      </c>
      <c r="G403" s="3">
        <f ca="1">IFERROR(__xludf.DUMMYFUNCTION("""COMPUTED_VALUE"""),9898402483)</f>
        <v>9898402483</v>
      </c>
      <c r="H403" s="33">
        <f ca="1">IFERROR(__xludf.DUMMYFUNCTION("""COMPUTED_VALUE"""),0.373493975903614)</f>
        <v>0.373493975903614</v>
      </c>
      <c r="I403" s="25">
        <f ca="1">IFERROR(__xludf.DUMMYFUNCTION("""COMPUTED_VALUE"""),0.285714285714285)</f>
        <v>0.28571428571428498</v>
      </c>
      <c r="J403" s="25">
        <f ca="1">IFERROR(__xludf.DUMMYFUNCTION("""COMPUTED_VALUE"""),0.166666666666666)</f>
        <v>0.16666666666666599</v>
      </c>
      <c r="K403" s="25">
        <f ca="1">IFERROR(__xludf.DUMMYFUNCTION("""COMPUTED_VALUE"""),0.222222222222222)</f>
        <v>0.22222222222222199</v>
      </c>
      <c r="L403" s="25">
        <f ca="1">IFERROR(__xludf.DUMMYFUNCTION("""COMPUTED_VALUE"""),0.769230769230769)</f>
        <v>0.76923076923076905</v>
      </c>
      <c r="M403" s="25">
        <f ca="1">IFERROR(__xludf.DUMMYFUNCTION("""COMPUTED_VALUE"""),0.526315789473684)</f>
        <v>0.52631578947368396</v>
      </c>
      <c r="N403" s="25">
        <f ca="1">IFERROR(__xludf.DUMMYFUNCTION("""COMPUTED_VALUE"""),0.615384615384615)</f>
        <v>0.61538461538461497</v>
      </c>
      <c r="O403" s="25">
        <f ca="1">IFERROR(__xludf.DUMMYFUNCTION("""COMPUTED_VALUE"""),0.416666666666666)</f>
        <v>0.41666666666666602</v>
      </c>
      <c r="P403" s="25">
        <f ca="1">IFERROR(__xludf.DUMMYFUNCTION("""COMPUTED_VALUE"""),0.304347826086956)</f>
        <v>0.30434782608695599</v>
      </c>
      <c r="Q403" s="25">
        <f ca="1">IFERROR(__xludf.DUMMYFUNCTION("""COMPUTED_VALUE"""),0)</f>
        <v>0</v>
      </c>
      <c r="R403" s="25">
        <f ca="1">IFERROR(__xludf.DUMMYFUNCTION("""COMPUTED_VALUE"""),0.434782608695652)</f>
        <v>0.434782608695652</v>
      </c>
      <c r="S403" s="25">
        <f ca="1">IFERROR(__xludf.DUMMYFUNCTION("""COMPUTED_VALUE"""),0.666666666666666)</f>
        <v>0.66666666666666596</v>
      </c>
      <c r="T403" s="25">
        <f ca="1">IFERROR(__xludf.DUMMYFUNCTION("""COMPUTED_VALUE"""),0)</f>
        <v>0</v>
      </c>
      <c r="U403" s="25">
        <f ca="1">IFERROR(__xludf.DUMMYFUNCTION("""COMPUTED_VALUE"""),0.125)</f>
        <v>0.125</v>
      </c>
      <c r="V403" s="25">
        <f ca="1">IFERROR(__xludf.DUMMYFUNCTION("""COMPUTED_VALUE"""),0)</f>
        <v>0</v>
      </c>
      <c r="W403" s="4"/>
      <c r="X403" s="4" t="str">
        <f ca="1">IFERROR(__xludf.DUMMYFUNCTION("""COMPUTED_VALUE"""),"| 4 L JAVA % | 1 P PHP-CGM % | 3 L PHP-CGM @ | 1 L PRO % ")</f>
        <v xml:space="preserve">| 4 L JAVA % | 1 P PHP-CGM % | 3 L PHP-CGM @ | 1 L PRO % </v>
      </c>
      <c r="Y40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03" s="4" t="str">
        <f ca="1">IFERROR(__xludf.DUMMYFUNCTION("""COMPUTED_VALUE"""),"| 3 P JAVA @ | 5 L JAVA @ | 6 L NS @ ")</f>
        <v xml:space="preserve">| 3 P JAVA @ | 5 L JAVA @ | 6 L NS @ </v>
      </c>
      <c r="AA403" s="4" t="str">
        <f ca="1">IFERROR(__xludf.DUMMYFUNCTION("""COMPUTED_VALUE"""),"| 1 P JAVA @ | 3 P Python @ | 5 L NS @ | 6 L CPT @ ")</f>
        <v xml:space="preserve">| 1 P JAVA @ | 3 P Python @ | 5 L NS @ | 6 L CPT @ </v>
      </c>
      <c r="AB403" s="4" t="str">
        <f ca="1">IFERROR(__xludf.DUMMYFUNCTION("""COMPUTED_VALUE"""),"| 1 P Python @ | 3 L CPT @ | 4 L PHP-CGM @ | 5 P CPT @ ")</f>
        <v xml:space="preserve">| 1 P Python @ | 3 L CPT @ | 4 L PHP-CGM @ | 5 P CPT @ </v>
      </c>
      <c r="AC403" s="4" t="str">
        <f ca="1">IFERROR(__xludf.DUMMYFUNCTION("""COMPUTED_VALUE"""),"| 1 P PHP-CGM @ | 3 L PHP-CGM @ | 5 P PRO @ ")</f>
        <v xml:space="preserve">| 1 P PHP-CGM @ | 3 L PHP-CGM @ | 5 P PRO @ </v>
      </c>
      <c r="AD403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AE403" s="4" t="str">
        <f ca="1">IFERROR(__xludf.DUMMYFUNCTION("""COMPUTED_VALUE"""),"| 3 P JAVA % | 5 L JAVA @ | 6 L NS @ ")</f>
        <v xml:space="preserve">| 3 P JAVA % | 5 L JAVA @ | 6 L NS @ </v>
      </c>
      <c r="AF403" s="4" t="str">
        <f ca="1">IFERROR(__xludf.DUMMYFUNCTION("""COMPUTED_VALUE"""),"| 1 P JAVA % | 3 P Python % | 5 L NS % | 6 L CPT % ")</f>
        <v xml:space="preserve">| 1 P JAVA % | 3 P Python % | 5 L NS % | 6 L CPT % </v>
      </c>
      <c r="AG403" s="4" t="str">
        <f ca="1">IFERROR(__xludf.DUMMYFUNCTION("""COMPUTED_VALUE"""),"| 1 P Python % | 3 L CPT % | 4 L PHP-CGM % | 5 P CPT @ ")</f>
        <v xml:space="preserve">| 1 P Python % | 3 L CPT % | 4 L PHP-CGM % | 5 P CPT @ </v>
      </c>
      <c r="AH403" s="4" t="str">
        <f ca="1">IFERROR(__xludf.DUMMYFUNCTION("""COMPUTED_VALUE"""),"| 1 P JAVA @ | 3 P Python % | 5 L NS @ | 6 L CPT @ ")</f>
        <v xml:space="preserve">| 1 P JAVA @ | 3 P Python % | 5 L NS @ | 6 L CPT @ </v>
      </c>
      <c r="AI403" s="4" t="str">
        <f ca="1">IFERROR(__xludf.DUMMYFUNCTION("""COMPUTED_VALUE"""),"| 1 P Python @ | 3 L CPT % | 4 L PHP-CGM % | 5 P CPT @ ")</f>
        <v xml:space="preserve">| 1 P Python @ | 3 L CPT % | 4 L PHP-CGM % | 5 P CPT @ </v>
      </c>
      <c r="AJ403" s="4" t="str">
        <f ca="1">IFERROR(__xludf.DUMMYFUNCTION("""COMPUTED_VALUE"""),"| 1 P PHP-CGM % | 3 L PHP-CGM % | 4 L JAVA % | 5 P PRO @ ")</f>
        <v xml:space="preserve">| 1 P PHP-CGM % | 3 L PHP-CGM % | 4 L JAVA % | 5 P PRO @ </v>
      </c>
      <c r="AK40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03" s="4" t="str">
        <f ca="1">IFERROR(__xludf.DUMMYFUNCTION("""COMPUTED_VALUE"""),"| 3 P JAVA % | 5 L JAVA % | 6 L NS % ")</f>
        <v xml:space="preserve">| 3 P JAVA % | 5 L JAVA % | 6 L NS % </v>
      </c>
      <c r="AM403" s="4" t="str">
        <f ca="1">IFERROR(__xludf.DUMMYFUNCTION("""COMPUTED_VALUE"""),"| 1 P JAVA % | 3 P Python @ | 5 L NS % | 6 L CPT % ")</f>
        <v xml:space="preserve">| 1 P JAVA % | 3 P Python @ | 5 L NS % | 6 L CPT % </v>
      </c>
      <c r="AN403" s="4" t="str">
        <f ca="1">IFERROR(__xludf.DUMMYFUNCTION("""COMPUTED_VALUE"""),"| 1 P Python @ | 4 L PHP-CGM @ | 5 P CPT @ ")</f>
        <v xml:space="preserve">| 1 P Python @ | 4 L PHP-CGM @ | 5 P CPT @ </v>
      </c>
      <c r="AO403" s="4" t="str">
        <f ca="1">IFERROR(__xludf.DUMMYFUNCTION("""COMPUTED_VALUE"""),"| 1 P PHP-CGM % | 3 L PHP-CGM % | 4 L JAVA % | 5 P PRO @ ")</f>
        <v xml:space="preserve">| 1 P PHP-CGM % | 3 L PHP-CGM % | 4 L JAVA % | 5 P PRO @ </v>
      </c>
      <c r="AP403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Q403" s="4" t="str">
        <f ca="1">IFERROR(__xludf.DUMMYFUNCTION("""COMPUTED_VALUE"""),"| 1 L INE @ | 3 P JAVA @ | 5 L JAVA @ | 6 L NS @ ")</f>
        <v xml:space="preserve">| 1 L INE @ | 3 P JAVA @ | 5 L JAVA @ | 6 L NS @ </v>
      </c>
      <c r="AR403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403" s="4" t="str">
        <f ca="1">IFERROR(__xludf.DUMMYFUNCTION("""COMPUTED_VALUE"""),"| 1 P PHP-CGM @ | 3 L PHP-CGM @ | 4 L JAVA @ | 5 P PRO @ ")</f>
        <v xml:space="preserve">| 1 P PHP-CGM @ | 3 L PHP-CGM @ | 4 L JAVA @ | 5 P PRO @ </v>
      </c>
      <c r="AT40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03" s="4" t="str">
        <f ca="1">IFERROR(__xludf.DUMMYFUNCTION("""COMPUTED_VALUE"""),"| 1 L INE % | 3 P JAVA % | 5 L JAVA @ | 6 L NS @ ")</f>
        <v xml:space="preserve">| 1 L INE % | 3 P JAVA % | 5 L JAVA @ | 6 L NS @ </v>
      </c>
      <c r="AV403" s="4" t="str">
        <f ca="1">IFERROR(__xludf.DUMMYFUNCTION("""COMPUTED_VALUE"""),"| 1 P JAVA @ | 3 P Python @ | 5 L NS @ | 6 L CPT @ ")</f>
        <v xml:space="preserve">| 1 P JAVA @ | 3 P Python @ | 5 L NS @ | 6 L CPT @ </v>
      </c>
      <c r="AW403" s="4" t="str">
        <f ca="1">IFERROR(__xludf.DUMMYFUNCTION("""COMPUTED_VALUE"""),"| 1 P Python % | 3 L CPT % | 4 L PHP-CGM % | 5 P CPT @ ")</f>
        <v xml:space="preserve">| 1 P Python % | 3 L CPT % | 4 L PHP-CGM % | 5 P CPT @ </v>
      </c>
      <c r="AX403" s="4" t="str">
        <f ca="1">IFERROR(__xludf.DUMMYFUNCTION("""COMPUTED_VALUE"""),"| 1 P PHP-CGM @ | 3 L JAVA @ | 4 L PHP-CGM @ | 5 P PRO @ ")</f>
        <v xml:space="preserve">| 1 P PHP-CGM @ | 3 L JAVA @ | 4 L PHP-CGM @ | 5 P PRO @ </v>
      </c>
      <c r="AY403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03" s="4" t="str">
        <f ca="1">IFERROR(__xludf.DUMMYFUNCTION("""COMPUTED_VALUE"""),"| 1 P JAVA @ | 3 P Python % | 5 L NS @ | 6 L CPT @ ")</f>
        <v xml:space="preserve">| 1 P JAVA @ | 3 P Python % | 5 L NS @ | 6 L CPT @ </v>
      </c>
      <c r="BA403" s="4" t="str">
        <f ca="1">IFERROR(__xludf.DUMMYFUNCTION("""COMPUTED_VALUE"""),"| 1 P Python @ | 3 L CPT @ | 4 L PHP-CGM @ | 5 P CPT @ ")</f>
        <v xml:space="preserve">| 1 P Python @ | 3 L CPT @ | 4 L PHP-CGM @ | 5 P CPT @ </v>
      </c>
      <c r="BB403" s="4" t="str">
        <f ca="1">IFERROR(__xludf.DUMMYFUNCTION("""COMPUTED_VALUE"""),"| 1 P PHP-CGM % | 3 L PHP-CGM % | 4 L JAVA @ | 5 L PRO @ ")</f>
        <v xml:space="preserve">| 1 P PHP-CGM % | 3 L PHP-CGM % | 4 L JAVA @ | 5 L PRO @ </v>
      </c>
      <c r="BC403" s="4" t="str">
        <f ca="1">IFERROR(__xludf.DUMMYFUNCTION("""COMPUTED_VALUE"""),"| 1 L JAVA % | 3 P NS @ | 2 L PHP-CGM % | 5 L CPT @ | 6 L NS @ ")</f>
        <v xml:space="preserve">| 1 L JAVA % | 3 P NS @ | 2 L PHP-CGM % | 5 L CPT @ | 6 L NS @ </v>
      </c>
      <c r="BD403" s="4" t="str">
        <f ca="1">IFERROR(__xludf.DUMMYFUNCTION("""COMPUTED_VALUE"""),"| 1 L INE @ | 3 P JAVA @ | 5 L JAVA @ | 6 L NS @ ")</f>
        <v xml:space="preserve">| 1 L INE @ | 3 P JAVA @ | 5 L JAVA @ | 6 L NS @ </v>
      </c>
      <c r="BE403" s="4" t="str">
        <f ca="1">IFERROR(__xludf.DUMMYFUNCTION("""COMPUTED_VALUE"""),"| 1 P JAVA @ | 3 P Python % | 5 L NS @ | 6 L CPT @ ")</f>
        <v xml:space="preserve">| 1 P JAVA @ | 3 P Python % | 5 L NS @ | 6 L CPT @ </v>
      </c>
      <c r="BF403" s="4" t="str">
        <f ca="1">IFERROR(__xludf.DUMMYFUNCTION("""COMPUTED_VALUE"""),"| 1 P Python @ | 3 L CPT @ | 4 L PHP-CGM @ | 5 P CPT @ ")</f>
        <v xml:space="preserve">| 1 P Python @ | 3 L CPT @ | 4 L PHP-CGM @ | 5 P CPT @ </v>
      </c>
      <c r="BG403" s="4" t="str">
        <f ca="1">IFERROR(__xludf.DUMMYFUNCTION("""COMPUTED_VALUE"""),"| 1 L JAVA @ | 2 L PHP-CGM @ | 3 P NS % | 5 L CPT @ | 6 L NS @ ")</f>
        <v xml:space="preserve">| 1 L JAVA @ | 2 L PHP-CGM @ | 3 P NS % | 5 L CPT @ | 6 L NS @ </v>
      </c>
      <c r="BH403" s="4" t="str">
        <f ca="1">IFERROR(__xludf.DUMMYFUNCTION("""COMPUTED_VALUE"""),"| 1 L INE @ | 3 P JAVA @ | 5 L JAVA @ | 6 L NS @ ")</f>
        <v xml:space="preserve">| 1 L INE @ | 3 P JAVA @ | 5 L JAVA @ | 6 L NS @ </v>
      </c>
      <c r="BI403" s="4" t="str">
        <f ca="1">IFERROR(__xludf.DUMMYFUNCTION("""COMPUTED_VALUE"""),"| 1 P JAVA % | 3 P Python % | 5 L NS @ | 6 L CPT @ ")</f>
        <v xml:space="preserve">| 1 P JAVA % | 3 P Python % | 5 L NS @ | 6 L CPT @ </v>
      </c>
      <c r="BJ403" s="4" t="str">
        <f ca="1">IFERROR(__xludf.DUMMYFUNCTION("""COMPUTED_VALUE"""),"| 1 P Python @ | 3 L CPT @ | 4 L PHP-CGM @ | 5 P CPT @ ")</f>
        <v xml:space="preserve">| 1 P Python @ | 3 L CPT @ | 4 L PHP-CGM @ | 5 P CPT @ </v>
      </c>
      <c r="BK403" s="4" t="str">
        <f ca="1">IFERROR(__xludf.DUMMYFUNCTION("""COMPUTED_VALUE"""),"| 1 P PHP-CGM @ | 3 L PHP-CGM @ | 4 L JAVA @ | 5 P PRO @ ")</f>
        <v xml:space="preserve">| 1 P PHP-CGM @ | 3 L PHP-CGM @ | 4 L JAVA @ | 5 P PRO @ </v>
      </c>
      <c r="BL403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03" s="4" t="str">
        <f ca="1">IFERROR(__xludf.DUMMYFUNCTION("""COMPUTED_VALUE"""),"| 1 L INE @ | 3 P JAVA @ | 5 L JAVA @ | 6 L NS @ ")</f>
        <v xml:space="preserve">| 1 L INE @ | 3 P JAVA @ | 5 L JAVA @ | 6 L NS @ </v>
      </c>
      <c r="BN403" s="4" t="str">
        <f ca="1">IFERROR(__xludf.DUMMYFUNCTION("""COMPUTED_VALUE"""),"| 1 P JAVA @ | 3 P Python @ | 5 L NS @ | 6 L CPT @ ")</f>
        <v xml:space="preserve">| 1 P JAVA @ | 3 P Python @ | 5 L NS @ | 6 L CPT @ </v>
      </c>
      <c r="BO403" s="4" t="str">
        <f ca="1">IFERROR(__xludf.DUMMYFUNCTION("""COMPUTED_VALUE"""),"| 1 P Python @ | 4 L PHP-CGM @ | 3 L CPT @ | 5 P CPT @ ")</f>
        <v xml:space="preserve">| 1 P Python @ | 4 L PHP-CGM @ | 3 L CPT @ | 5 P CPT @ </v>
      </c>
      <c r="BP403" s="4" t="str">
        <f ca="1">IFERROR(__xludf.DUMMYFUNCTION("""COMPUTED_VALUE"""),"| 1 P PHP-CGM % | 3 L PHP-CGM % | 4 L JAVA % | 6 P PRO @ ")</f>
        <v xml:space="preserve">| 1 P PHP-CGM % | 3 L PHP-CGM % | 4 L JAVA % | 6 P PRO @ </v>
      </c>
      <c r="BQ403" s="4" t="str">
        <f ca="1">IFERROR(__xludf.DUMMYFUNCTION("""COMPUTED_VALUE"""),"| 6 L NS % | 5 L JAVA @ ")</f>
        <v xml:space="preserve">| 6 L NS % | 5 L JAVA @ </v>
      </c>
      <c r="BR403" s="4"/>
      <c r="BS403" s="4" t="str">
        <f ca="1">IFERROR(__xludf.DUMMYFUNCTION("""COMPUTED_VALUE"""),"| 4 L PHP-CGM % ")</f>
        <v xml:space="preserve">| 4 L PHP-CGM % </v>
      </c>
      <c r="BT403" s="4" t="str">
        <f ca="1">IFERROR(__xludf.DUMMYFUNCTION("""COMPUTED_VALUE"""),"| 1 P PHP-CGM % | 3 L PHP-CGM % ")</f>
        <v xml:space="preserve">| 1 P PHP-CGM % | 3 L PHP-CGM % </v>
      </c>
      <c r="BU403" s="4" t="str">
        <f ca="1">IFERROR(__xludf.DUMMYFUNCTION("""COMPUTED_VALUE"""),"| 1 L JAVA % | 2 L PHP-CGM % | 3 P NS % ")</f>
        <v xml:space="preserve">| 1 L JAVA % | 2 L PHP-CGM % | 3 P NS % </v>
      </c>
      <c r="BV403" s="4" t="str">
        <f ca="1">IFERROR(__xludf.DUMMYFUNCTION("""COMPUTED_VALUE"""),"| 1 P PHP-CGM @ | 3 L PHP-CGM @ | 4 L JAVA @ | 5 P PRO @ ")</f>
        <v xml:space="preserve">| 1 P PHP-CGM @ | 3 L PHP-CGM @ | 4 L JAVA @ | 5 P PRO @ </v>
      </c>
      <c r="BW403" s="4" t="str">
        <f ca="1">IFERROR(__xludf.DUMMYFUNCTION("""COMPUTED_VALUE"""),"| 1 L JAVA @ | 2 L PHP-CGM @ | 3 P NS @ ")</f>
        <v xml:space="preserve">| 1 L JAVA @ | 2 L PHP-CGM @ | 3 P NS @ </v>
      </c>
      <c r="BX403" s="4" t="str">
        <f ca="1">IFERROR(__xludf.DUMMYFUNCTION("""COMPUTED_VALUE"""),"| 1 L INE @ | 3 P JAVA @ | 5 L JAVA @ | 6 L NS @ ")</f>
        <v xml:space="preserve">| 1 L INE @ | 3 P JAVA @ | 5 L JAVA @ | 6 L NS @ </v>
      </c>
      <c r="BY403" s="4" t="str">
        <f ca="1">IFERROR(__xludf.DUMMYFUNCTION("""COMPUTED_VALUE"""),"| 1 P JAVA @ | 3 P Python % | 5 L NS @ | 6 L CPT @ ")</f>
        <v xml:space="preserve">| 1 P JAVA @ | 3 P Python % | 5 L NS @ | 6 L CPT @ </v>
      </c>
      <c r="BZ403" s="4" t="str">
        <f ca="1">IFERROR(__xludf.DUMMYFUNCTION("""COMPUTED_VALUE"""),"| 1 P Python @ | 3 L CPT @ | 4 L PHP-CGM @ | 5 P CPT @ ")</f>
        <v xml:space="preserve">| 1 P Python @ | 3 L CPT @ | 4 L PHP-CGM @ | 5 P CPT @ </v>
      </c>
      <c r="CA403" s="4" t="str">
        <f ca="1">IFERROR(__xludf.DUMMYFUNCTION("""COMPUTED_VALUE"""),"| 1 P PHP-CGM % | 3 L PHP-CGM % | 3 L JAVA % | 5 P PRO @ ")</f>
        <v xml:space="preserve">| 1 P PHP-CGM % | 3 L PHP-CGM % | 3 L JAVA % | 5 P PRO @ </v>
      </c>
      <c r="CB403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403" s="4" t="str">
        <f ca="1">IFERROR(__xludf.DUMMYFUNCTION("""COMPUTED_VALUE"""),"| 1 L INE @ | 3 P JAVA % | 5 L JAVA @ | 6 L NS @ ")</f>
        <v xml:space="preserve">| 1 L INE @ | 3 P JAVA % | 5 L JAVA @ | 6 L NS @ </v>
      </c>
      <c r="CD403" s="4" t="str">
        <f ca="1">IFERROR(__xludf.DUMMYFUNCTION("""COMPUTED_VALUE"""),"| 1 P JAVA @ | 3 P Python % | 5 L NS @ | 6 L CPT @ ")</f>
        <v xml:space="preserve">| 1 P JAVA @ | 3 P Python % | 5 L NS @ | 6 L CPT @ </v>
      </c>
      <c r="CE403" s="4" t="str">
        <f ca="1">IFERROR(__xludf.DUMMYFUNCTION("""COMPUTED_VALUE"""),"| 1 P Python % | 3 L CPT @ | 4 L PHP-CGM @ | 5 P CPT % ")</f>
        <v xml:space="preserve">| 1 P Python % | 3 L CPT @ | 4 L PHP-CGM @ | 5 P CPT % </v>
      </c>
      <c r="CF403" s="4" t="str">
        <f ca="1">IFERROR(__xludf.DUMMYFUNCTION("""COMPUTED_VALUE"""),"| 1 P PHP-CGM % | 4 L JAVA @ | 3 L PHP-CGM @ | 5 L PRO % ")</f>
        <v xml:space="preserve">| 1 P PHP-CGM % | 4 L JAVA @ | 3 L PHP-CGM @ | 5 L PRO % </v>
      </c>
      <c r="CG403" s="4" t="str">
        <f ca="1">IFERROR(__xludf.DUMMYFUNCTION("""COMPUTED_VALUE"""),"| 1 L JAVA @ | 2 L PHP-CGM % | 3 P NS % | 6 L NS @ ")</f>
        <v xml:space="preserve">| 1 L JAVA @ | 2 L PHP-CGM % | 3 P NS % | 6 L NS @ </v>
      </c>
      <c r="CH403" s="4" t="str">
        <f ca="1">IFERROR(__xludf.DUMMYFUNCTION("""COMPUTED_VALUE"""),"| 1 L INE @ | 3 P JAVA @ | 5 L JAVA @ | 6 L NS @ ")</f>
        <v xml:space="preserve">| 1 L INE @ | 3 P JAVA @ | 5 L JAVA @ | 6 L NS @ </v>
      </c>
      <c r="CI403" s="4" t="str">
        <f ca="1">IFERROR(__xludf.DUMMYFUNCTION("""COMPUTED_VALUE"""),"| 5 L NS @ | 6 L CPT @ ")</f>
        <v xml:space="preserve">| 5 L NS @ | 6 L CPT @ </v>
      </c>
      <c r="CJ403" s="4" t="str">
        <f ca="1">IFERROR(__xludf.DUMMYFUNCTION("""COMPUTED_VALUE"""),"| 3 L CPT % | 5 P CPT % ")</f>
        <v xml:space="preserve">| 3 L CPT % | 5 P CPT % </v>
      </c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</row>
    <row r="404" spans="1:102" ht="12.5" x14ac:dyDescent="0.25">
      <c r="A404" s="3">
        <f ca="1">IFERROR(__xludf.DUMMYFUNCTION("""COMPUTED_VALUE"""),3)</f>
        <v>3</v>
      </c>
      <c r="B404" s="3" t="str">
        <f ca="1">IFERROR(__xludf.DUMMYFUNCTION("""COMPUTED_VALUE"""),"ITA")</f>
        <v>ITA</v>
      </c>
      <c r="C404" s="32" t="str">
        <f ca="1">IFERROR(__xludf.DUMMYFUNCTION("""COMPUTED_VALUE"""),"23291371139")</f>
        <v>23291371139</v>
      </c>
      <c r="D404" s="4" t="str">
        <f ca="1">IFERROR(__xludf.DUMMYFUNCTION("""COMPUTED_VALUE"""),"SHUKAL TIRTH SUNILBHAI")</f>
        <v>SHUKAL TIRTH SUNILBHAI</v>
      </c>
      <c r="E404" s="3" t="str">
        <f ca="1">IFERROR(__xludf.DUMMYFUNCTION("""COMPUTED_VALUE"""),"Sweety - Mor")</f>
        <v>Sweety - Mor</v>
      </c>
      <c r="F404" s="3">
        <f ca="1">IFERROR(__xludf.DUMMYFUNCTION("""COMPUTED_VALUE"""),9099617183)</f>
        <v>9099617183</v>
      </c>
      <c r="G404" s="3">
        <f ca="1">IFERROR(__xludf.DUMMYFUNCTION("""COMPUTED_VALUE"""),9978822129)</f>
        <v>9978822129</v>
      </c>
      <c r="H404" s="33">
        <f ca="1">IFERROR(__xludf.DUMMYFUNCTION("""COMPUTED_VALUE"""),0.759036144578313)</f>
        <v>0.75903614457831303</v>
      </c>
      <c r="I404" s="25">
        <f ca="1">IFERROR(__xludf.DUMMYFUNCTION("""COMPUTED_VALUE"""),0.685714285714285)</f>
        <v>0.68571428571428505</v>
      </c>
      <c r="J404" s="25">
        <f ca="1">IFERROR(__xludf.DUMMYFUNCTION("""COMPUTED_VALUE"""),0.583333333333333)</f>
        <v>0.58333333333333304</v>
      </c>
      <c r="K404" s="25">
        <f ca="1">IFERROR(__xludf.DUMMYFUNCTION("""COMPUTED_VALUE"""),0.666666666666666)</f>
        <v>0.66666666666666596</v>
      </c>
      <c r="L404" s="25">
        <f ca="1">IFERROR(__xludf.DUMMYFUNCTION("""COMPUTED_VALUE"""),0.923076923076923)</f>
        <v>0.92307692307692302</v>
      </c>
      <c r="M404" s="25">
        <f ca="1">IFERROR(__xludf.DUMMYFUNCTION("""COMPUTED_VALUE"""),0.81578947368421)</f>
        <v>0.81578947368420995</v>
      </c>
      <c r="N404" s="25">
        <f ca="1">IFERROR(__xludf.DUMMYFUNCTION("""COMPUTED_VALUE"""),0.846153846153846)</f>
        <v>0.84615384615384603</v>
      </c>
      <c r="O404" s="25">
        <f ca="1">IFERROR(__xludf.DUMMYFUNCTION("""COMPUTED_VALUE"""),0.722222222222222)</f>
        <v>0.72222222222222199</v>
      </c>
      <c r="P404" s="25">
        <f ca="1">IFERROR(__xludf.DUMMYFUNCTION("""COMPUTED_VALUE"""),0.826086956521739)</f>
        <v>0.82608695652173902</v>
      </c>
      <c r="Q404" s="25">
        <f ca="1">IFERROR(__xludf.DUMMYFUNCTION("""COMPUTED_VALUE"""),0)</f>
        <v>0</v>
      </c>
      <c r="R404" s="25">
        <f ca="1">IFERROR(__xludf.DUMMYFUNCTION("""COMPUTED_VALUE"""),0.869565217391304)</f>
        <v>0.86956521739130399</v>
      </c>
      <c r="S404" s="25">
        <f ca="1">IFERROR(__xludf.DUMMYFUNCTION("""COMPUTED_VALUE"""),1)</f>
        <v>1</v>
      </c>
      <c r="T404" s="25">
        <f ca="1">IFERROR(__xludf.DUMMYFUNCTION("""COMPUTED_VALUE"""),0.777777777777777)</f>
        <v>0.77777777777777701</v>
      </c>
      <c r="U404" s="25">
        <f ca="1">IFERROR(__xludf.DUMMYFUNCTION("""COMPUTED_VALUE"""),0.625)</f>
        <v>0.625</v>
      </c>
      <c r="V404" s="25">
        <f ca="1">IFERROR(__xludf.DUMMYFUNCTION("""COMPUTED_VALUE"""),0)</f>
        <v>0</v>
      </c>
      <c r="W404" s="4"/>
      <c r="X404" s="4" t="str">
        <f ca="1">IFERROR(__xludf.DUMMYFUNCTION("""COMPUTED_VALUE"""),"| 4 L JAVA % | 1 P PHP-CGM % | 3 L PHP-CGM % | 1 L PRO % ")</f>
        <v xml:space="preserve">| 4 L JAVA % | 1 P PHP-CGM % | 3 L PHP-CGM % | 1 L PRO % </v>
      </c>
      <c r="Y404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04" s="4" t="str">
        <f ca="1">IFERROR(__xludf.DUMMYFUNCTION("""COMPUTED_VALUE"""),"| 3 P JAVA % | 5 L JAVA % | 6 L NS % ")</f>
        <v xml:space="preserve">| 3 P JAVA % | 5 L JAVA % | 6 L NS % </v>
      </c>
      <c r="AA404" s="4" t="str">
        <f ca="1">IFERROR(__xludf.DUMMYFUNCTION("""COMPUTED_VALUE"""),"| 1 P JAVA % | 3 P Python % | 5 L NS % | 6 L CPT % ")</f>
        <v xml:space="preserve">| 1 P JAVA % | 3 P Python % | 5 L NS % | 6 L CPT % </v>
      </c>
      <c r="AB404" s="4" t="str">
        <f ca="1">IFERROR(__xludf.DUMMYFUNCTION("""COMPUTED_VALUE"""),"| 1 P Python % | 3 L CPT % | 4 L PHP-CGM % | 5 P CPT % ")</f>
        <v xml:space="preserve">| 1 P Python % | 3 L CPT % | 4 L PHP-CGM % | 5 P CPT % </v>
      </c>
      <c r="AC404" s="4" t="str">
        <f ca="1">IFERROR(__xludf.DUMMYFUNCTION("""COMPUTED_VALUE"""),"| 1 P PHP-CGM % | 3 L PHP-CGM % | 5 P PRO % ")</f>
        <v xml:space="preserve">| 1 P PHP-CGM % | 3 L PHP-CGM % | 5 P PRO % </v>
      </c>
      <c r="AD404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04" s="4" t="str">
        <f ca="1">IFERROR(__xludf.DUMMYFUNCTION("""COMPUTED_VALUE"""),"| 3 P JAVA % | 5 L JAVA % | 6 L NS % ")</f>
        <v xml:space="preserve">| 3 P JAVA % | 5 L JAVA % | 6 L NS % </v>
      </c>
      <c r="AF404" s="4" t="str">
        <f ca="1">IFERROR(__xludf.DUMMYFUNCTION("""COMPUTED_VALUE"""),"| 1 P JAVA % | 3 P Python % | 5 L NS % | 6 L CPT % ")</f>
        <v xml:space="preserve">| 1 P JAVA % | 3 P Python % | 5 L NS % | 6 L CPT % </v>
      </c>
      <c r="AG404" s="4" t="str">
        <f ca="1">IFERROR(__xludf.DUMMYFUNCTION("""COMPUTED_VALUE"""),"| 1 P Python % | 3 L CPT % | 4 L PHP-CGM % | 5 P CPT % ")</f>
        <v xml:space="preserve">| 1 P Python % | 3 L CPT % | 4 L PHP-CGM % | 5 P CPT % </v>
      </c>
      <c r="AH404" s="4" t="str">
        <f ca="1">IFERROR(__xludf.DUMMYFUNCTION("""COMPUTED_VALUE"""),"| 1 P JAVA % | 3 P Python % | 5 L NS % | 6 L CPT % ")</f>
        <v xml:space="preserve">| 1 P JAVA % | 3 P Python % | 5 L NS % | 6 L CPT % </v>
      </c>
      <c r="AI404" s="4" t="str">
        <f ca="1">IFERROR(__xludf.DUMMYFUNCTION("""COMPUTED_VALUE"""),"| 1 P Python % | 3 L CPT % | 4 L PHP-CGM % | 5 P CPT % ")</f>
        <v xml:space="preserve">| 1 P Python % | 3 L CPT % | 4 L PHP-CGM % | 5 P CPT % </v>
      </c>
      <c r="AJ404" s="4" t="str">
        <f ca="1">IFERROR(__xludf.DUMMYFUNCTION("""COMPUTED_VALUE"""),"| 1 P PHP-CGM % | 3 L PHP-CGM % | 4 L JAVA % | 5 P PRO % ")</f>
        <v xml:space="preserve">| 1 P PHP-CGM % | 3 L PHP-CGM % | 4 L JAVA % | 5 P PRO % </v>
      </c>
      <c r="AK404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04" s="4" t="str">
        <f ca="1">IFERROR(__xludf.DUMMYFUNCTION("""COMPUTED_VALUE"""),"| 3 P JAVA % | 5 L JAVA % | 6 L NS % ")</f>
        <v xml:space="preserve">| 3 P JAVA % | 5 L JAVA % | 6 L NS % </v>
      </c>
      <c r="AM404" s="4" t="str">
        <f ca="1">IFERROR(__xludf.DUMMYFUNCTION("""COMPUTED_VALUE"""),"| 1 P JAVA % | 3 P Python % | 5 L NS % | 6 L CPT % ")</f>
        <v xml:space="preserve">| 1 P JAVA % | 3 P Python % | 5 L NS % | 6 L CPT % </v>
      </c>
      <c r="AN404" s="4" t="str">
        <f ca="1">IFERROR(__xludf.DUMMYFUNCTION("""COMPUTED_VALUE"""),"| 1 P Python % | 4 L PHP-CGM % | 5 P CPT @ ")</f>
        <v xml:space="preserve">| 1 P Python % | 4 L PHP-CGM % | 5 P CPT @ </v>
      </c>
      <c r="AO404" s="4" t="str">
        <f ca="1">IFERROR(__xludf.DUMMYFUNCTION("""COMPUTED_VALUE"""),"| 1 P PHP-CGM % | 3 L PHP-CGM % | 4 L JAVA % | 5 P PRO % ")</f>
        <v xml:space="preserve">| 1 P PHP-CGM % | 3 L PHP-CGM % | 4 L JAVA % | 5 P PRO % </v>
      </c>
      <c r="AP404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04" s="4" t="str">
        <f ca="1">IFERROR(__xludf.DUMMYFUNCTION("""COMPUTED_VALUE"""),"| 1 L INE % | 3 P JAVA % | 5 L JAVA % | 6 L NS % ")</f>
        <v xml:space="preserve">| 1 L INE % | 3 P JAVA % | 5 L JAVA % | 6 L NS % </v>
      </c>
      <c r="AR404" s="4" t="str">
        <f ca="1">IFERROR(__xludf.DUMMYFUNCTION("""COMPUTED_VALUE"""),"| 1 P JAVA % | 3 L CPT % | 3 P Python % | 5 L NS % | 6 L CPT % ")</f>
        <v xml:space="preserve">| 1 P JAVA % | 3 L CPT % | 3 P Python % | 5 L NS % | 6 L CPT % </v>
      </c>
      <c r="AS404" s="4" t="str">
        <f ca="1">IFERROR(__xludf.DUMMYFUNCTION("""COMPUTED_VALUE"""),"| 1 P PHP-CGM % | 3 L PHP-CGM % | 4 L JAVA @ | 5 P PRO % ")</f>
        <v xml:space="preserve">| 1 P PHP-CGM % | 3 L PHP-CGM % | 4 L JAVA @ | 5 P PRO % </v>
      </c>
      <c r="AT404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04" s="4" t="str">
        <f ca="1">IFERROR(__xludf.DUMMYFUNCTION("""COMPUTED_VALUE"""),"| 1 L INE % | 3 P JAVA % | 5 L JAVA % | 6 L NS % ")</f>
        <v xml:space="preserve">| 1 L INE % | 3 P JAVA % | 5 L JAVA % | 6 L NS % </v>
      </c>
      <c r="AV404" s="4" t="str">
        <f ca="1">IFERROR(__xludf.DUMMYFUNCTION("""COMPUTED_VALUE"""),"| 1 P JAVA % | 3 P Python % | 5 L NS % | 6 L CPT % ")</f>
        <v xml:space="preserve">| 1 P JAVA % | 3 P Python % | 5 L NS % | 6 L CPT % </v>
      </c>
      <c r="AW404" s="4" t="str">
        <f ca="1">IFERROR(__xludf.DUMMYFUNCTION("""COMPUTED_VALUE"""),"| 1 P Python % | 3 L CPT % | 4 L PHP-CGM % | 5 P CPT % ")</f>
        <v xml:space="preserve">| 1 P Python % | 3 L CPT % | 4 L PHP-CGM % | 5 P CPT % </v>
      </c>
      <c r="AX404" s="4" t="str">
        <f ca="1">IFERROR(__xludf.DUMMYFUNCTION("""COMPUTED_VALUE"""),"| 1 P PHP-CGM % | 3 L JAVA % | 4 L PHP-CGM % | 5 P PRO % ")</f>
        <v xml:space="preserve">| 1 P PHP-CGM % | 3 L JAVA % | 4 L PHP-CGM % | 5 P PRO % </v>
      </c>
      <c r="AY404" s="4" t="str">
        <f ca="1">IFERROR(__xludf.DUMMYFUNCTION("""COMPUTED_VALUE"""),"| 2 L PHP-CGM % | 3 P NS % | 5 L CPT % | 6 L NS @ | 1 L JAVA % ")</f>
        <v xml:space="preserve">| 2 L PHP-CGM % | 3 P NS % | 5 L CPT % | 6 L NS @ | 1 L JAVA % </v>
      </c>
      <c r="AZ404" s="4" t="str">
        <f ca="1">IFERROR(__xludf.DUMMYFUNCTION("""COMPUTED_VALUE"""),"| 1 P JAVA % | 3 P Python % | 5 L NS % | 6 L CPT % ")</f>
        <v xml:space="preserve">| 1 P JAVA % | 3 P Python % | 5 L NS % | 6 L CPT % </v>
      </c>
      <c r="BA404" s="4" t="str">
        <f ca="1">IFERROR(__xludf.DUMMYFUNCTION("""COMPUTED_VALUE"""),"| 1 P Python % | 3 L CPT % | 4 L PHP-CGM % | 5 P CPT % ")</f>
        <v xml:space="preserve">| 1 P Python % | 3 L CPT % | 4 L PHP-CGM % | 5 P CPT % </v>
      </c>
      <c r="BB404" s="4" t="str">
        <f ca="1">IFERROR(__xludf.DUMMYFUNCTION("""COMPUTED_VALUE"""),"| 1 P PHP-CGM % | 3 L PHP-CGM % | 4 L JAVA % | 5 L PRO % ")</f>
        <v xml:space="preserve">| 1 P PHP-CGM % | 3 L PHP-CGM % | 4 L JAVA % | 5 L PRO % </v>
      </c>
      <c r="BC404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4" s="4" t="str">
        <f ca="1">IFERROR(__xludf.DUMMYFUNCTION("""COMPUTED_VALUE"""),"| 1 L INE @ | 3 P JAVA % | 5 L JAVA % | 6 L NS @ ")</f>
        <v xml:space="preserve">| 1 L INE @ | 3 P JAVA % | 5 L JAVA % | 6 L NS @ </v>
      </c>
      <c r="BE404" s="4" t="str">
        <f ca="1">IFERROR(__xludf.DUMMYFUNCTION("""COMPUTED_VALUE"""),"| 1 P JAVA % | 3 P Python % | 5 L NS @ | 6 L CPT % ")</f>
        <v xml:space="preserve">| 1 P JAVA % | 3 P Python % | 5 L NS @ | 6 L CPT % </v>
      </c>
      <c r="BF404" s="4" t="str">
        <f ca="1">IFERROR(__xludf.DUMMYFUNCTION("""COMPUTED_VALUE"""),"| 1 P Python % | 3 L CPT @ | 4 L PHP-CGM % | 5 P CPT @ ")</f>
        <v xml:space="preserve">| 1 P Python % | 3 L CPT @ | 4 L PHP-CGM % | 5 P CPT @ </v>
      </c>
      <c r="BG404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BH404" s="4" t="str">
        <f ca="1">IFERROR(__xludf.DUMMYFUNCTION("""COMPUTED_VALUE"""),"| 1 L INE % | 3 P JAVA % | 5 L JAVA % | 6 L NS % ")</f>
        <v xml:space="preserve">| 1 L INE % | 3 P JAVA % | 5 L JAVA % | 6 L NS % </v>
      </c>
      <c r="BI404" s="4" t="str">
        <f ca="1">IFERROR(__xludf.DUMMYFUNCTION("""COMPUTED_VALUE"""),"| 1 P JAVA % | 3 P Python % | 5 L NS % | 6 L CPT @ ")</f>
        <v xml:space="preserve">| 1 P JAVA % | 3 P Python % | 5 L NS % | 6 L CPT @ </v>
      </c>
      <c r="BJ404" s="4" t="str">
        <f ca="1">IFERROR(__xludf.DUMMYFUNCTION("""COMPUTED_VALUE"""),"| 1 P Python @ | 3 L CPT % | 4 L PHP-CGM @ | 5 P CPT @ ")</f>
        <v xml:space="preserve">| 1 P Python @ | 3 L CPT % | 4 L PHP-CGM @ | 5 P CPT @ </v>
      </c>
      <c r="BK404" s="4" t="str">
        <f ca="1">IFERROR(__xludf.DUMMYFUNCTION("""COMPUTED_VALUE"""),"| 1 P PHP-CGM @ | 3 L PHP-CGM @ | 4 L JAVA @ | 5 P PRO @ ")</f>
        <v xml:space="preserve">| 1 P PHP-CGM @ | 3 L PHP-CGM @ | 4 L JAVA @ | 5 P PRO @ </v>
      </c>
      <c r="BL404" s="4" t="str">
        <f ca="1">IFERROR(__xludf.DUMMYFUNCTION("""COMPUTED_VALUE"""),"| 1 L JAVA @ | 2 L PHP-CGM @ | 3 P NS % | 6 L NS % | 5 L CPT @ ")</f>
        <v xml:space="preserve">| 1 L JAVA @ | 2 L PHP-CGM @ | 3 P NS % | 6 L NS % | 5 L CPT @ </v>
      </c>
      <c r="BM404" s="4" t="str">
        <f ca="1">IFERROR(__xludf.DUMMYFUNCTION("""COMPUTED_VALUE"""),"| 1 L INE @ | 3 P JAVA @ | 5 L JAVA @ | 6 L NS % ")</f>
        <v xml:space="preserve">| 1 L INE @ | 3 P JAVA @ | 5 L JAVA @ | 6 L NS % </v>
      </c>
      <c r="BN404" s="4" t="str">
        <f ca="1">IFERROR(__xludf.DUMMYFUNCTION("""COMPUTED_VALUE"""),"| 1 P JAVA @ | 3 P Python @ | 5 L NS @ | 6 L CPT @ ")</f>
        <v xml:space="preserve">| 1 P JAVA @ | 3 P Python @ | 5 L NS @ | 6 L CPT @ </v>
      </c>
      <c r="BO404" s="4" t="str">
        <f ca="1">IFERROR(__xludf.DUMMYFUNCTION("""COMPUTED_VALUE"""),"| 1 P Python % | 4 L PHP-CGM % | 3 L CPT % | 5 P CPT % ")</f>
        <v xml:space="preserve">| 1 P Python % | 4 L PHP-CGM % | 3 L CPT % | 5 P CPT % </v>
      </c>
      <c r="BP404" s="4" t="str">
        <f ca="1">IFERROR(__xludf.DUMMYFUNCTION("""COMPUTED_VALUE"""),"| 1 P PHP-CGM % | 3 L PHP-CGM % | 4 L JAVA % | 6 P PRO % ")</f>
        <v xml:space="preserve">| 1 P PHP-CGM % | 3 L PHP-CGM % | 4 L JAVA % | 6 P PRO % </v>
      </c>
      <c r="BQ404" s="4" t="str">
        <f ca="1">IFERROR(__xludf.DUMMYFUNCTION("""COMPUTED_VALUE"""),"| 6 L NS % | 5 L JAVA @ ")</f>
        <v xml:space="preserve">| 6 L NS % | 5 L JAVA @ </v>
      </c>
      <c r="BR404" s="4"/>
      <c r="BS404" s="4" t="str">
        <f ca="1">IFERROR(__xludf.DUMMYFUNCTION("""COMPUTED_VALUE"""),"| 4 L PHP-CGM % ")</f>
        <v xml:space="preserve">| 4 L PHP-CGM % </v>
      </c>
      <c r="BT404" s="4" t="str">
        <f ca="1">IFERROR(__xludf.DUMMYFUNCTION("""COMPUTED_VALUE"""),"| 1 P PHP-CGM % | 3 L PHP-CGM % ")</f>
        <v xml:space="preserve">| 1 P PHP-CGM % | 3 L PHP-CGM % </v>
      </c>
      <c r="BU404" s="4" t="str">
        <f ca="1">IFERROR(__xludf.DUMMYFUNCTION("""COMPUTED_VALUE"""),"| 1 L JAVA @ | 2 L PHP-CGM @ | 3 P NS @ ")</f>
        <v xml:space="preserve">| 1 L JAVA @ | 2 L PHP-CGM @ | 3 P NS @ </v>
      </c>
      <c r="BV404" s="4" t="str">
        <f ca="1">IFERROR(__xludf.DUMMYFUNCTION("""COMPUTED_VALUE"""),"| 1 P PHP-CGM % | 3 L PHP-CGM % | 4 L JAVA % | 5 P PRO % ")</f>
        <v xml:space="preserve">| 1 P PHP-CGM % | 3 L PHP-CGM % | 4 L JAVA % | 5 P PRO % </v>
      </c>
      <c r="BW404" s="4" t="str">
        <f ca="1">IFERROR(__xludf.DUMMYFUNCTION("""COMPUTED_VALUE"""),"| 1 L JAVA % | 2 L PHP-CGM % | 3 P NS % ")</f>
        <v xml:space="preserve">| 1 L JAVA % | 2 L PHP-CGM % | 3 P NS % </v>
      </c>
      <c r="BX404" s="4" t="str">
        <f ca="1">IFERROR(__xludf.DUMMYFUNCTION("""COMPUTED_VALUE"""),"| 1 L INE % | 3 P JAVA % | 5 L JAVA % | 6 L NS % ")</f>
        <v xml:space="preserve">| 1 L INE % | 3 P JAVA % | 5 L JAVA % | 6 L NS % </v>
      </c>
      <c r="BY404" s="4" t="str">
        <f ca="1">IFERROR(__xludf.DUMMYFUNCTION("""COMPUTED_VALUE"""),"| 1 P JAVA % | 3 P Python % | 5 L NS @ | 6 L CPT @ ")</f>
        <v xml:space="preserve">| 1 P JAVA % | 3 P Python % | 5 L NS @ | 6 L CPT @ </v>
      </c>
      <c r="BZ404" s="4" t="str">
        <f ca="1">IFERROR(__xludf.DUMMYFUNCTION("""COMPUTED_VALUE"""),"| 1 P Python % | 3 L CPT % | 4 L PHP-CGM % | 5 P CPT @ ")</f>
        <v xml:space="preserve">| 1 P Python % | 3 L CPT % | 4 L PHP-CGM % | 5 P CPT @ </v>
      </c>
      <c r="CA404" s="4" t="str">
        <f ca="1">IFERROR(__xludf.DUMMYFUNCTION("""COMPUTED_VALUE"""),"| 1 P PHP-CGM @ | 3 L PHP-CGM @ | 3 L JAVA @ | 5 P PRO @ ")</f>
        <v xml:space="preserve">| 1 P PHP-CGM @ | 3 L PHP-CGM @ | 3 L JAVA @ | 5 P PRO @ </v>
      </c>
      <c r="CB404" s="4" t="str">
        <f ca="1">IFERROR(__xludf.DUMMYFUNCTION("""COMPUTED_VALUE"""),"| 1 L JAVA @ | 2 L PHP-CGM @ | 3 P NS % | 6 L NS @ | 5 L CPT @ ")</f>
        <v xml:space="preserve">| 1 L JAVA @ | 2 L PHP-CGM @ | 3 P NS % | 6 L NS @ | 5 L CPT @ </v>
      </c>
      <c r="CC404" s="4" t="str">
        <f ca="1">IFERROR(__xludf.DUMMYFUNCTION("""COMPUTED_VALUE"""),"| 1 L INE % | 3 P JAVA @ | 5 L JAVA @ | 6 L NS @ ")</f>
        <v xml:space="preserve">| 1 L INE % | 3 P JAVA @ | 5 L JAVA @ | 6 L NS @ </v>
      </c>
      <c r="CD404" s="4" t="str">
        <f ca="1">IFERROR(__xludf.DUMMYFUNCTION("""COMPUTED_VALUE"""),"| 1 P JAVA @ | 3 P Python @ | 5 L NS @ | 6 L CPT @ ")</f>
        <v xml:space="preserve">| 1 P JAVA @ | 3 P Python @ | 5 L NS @ | 6 L CPT @ </v>
      </c>
      <c r="CE404" s="4" t="str">
        <f ca="1">IFERROR(__xludf.DUMMYFUNCTION("""COMPUTED_VALUE"""),"| 1 P Python % | 3 L CPT @ | 4 L PHP-CGM @ | 5 P CPT % ")</f>
        <v xml:space="preserve">| 1 P Python % | 3 L CPT @ | 4 L PHP-CGM @ | 5 P CPT % </v>
      </c>
      <c r="CF404" s="4" t="str">
        <f ca="1">IFERROR(__xludf.DUMMYFUNCTION("""COMPUTED_VALUE"""),"| 1 P PHP-CGM % | 4 L JAVA % | 3 L PHP-CGM % | 5 L PRO % ")</f>
        <v xml:space="preserve">| 1 P PHP-CGM % | 4 L JAVA % | 3 L PHP-CGM % | 5 L PRO % </v>
      </c>
      <c r="CG404" s="4" t="str">
        <f ca="1">IFERROR(__xludf.DUMMYFUNCTION("""COMPUTED_VALUE"""),"| 1 L JAVA % | 2 L PHP-CGM % | 3 P NS % | 6 L NS @ ")</f>
        <v xml:space="preserve">| 1 L JAVA % | 2 L PHP-CGM % | 3 P NS % | 6 L NS @ </v>
      </c>
      <c r="CH404" s="4" t="str">
        <f ca="1">IFERROR(__xludf.DUMMYFUNCTION("""COMPUTED_VALUE"""),"| 1 L INE @ | 3 P JAVA % | 5 L JAVA @ | 6 L NS @ ")</f>
        <v xml:space="preserve">| 1 L INE @ | 3 P JAVA % | 5 L JAVA @ | 6 L NS @ </v>
      </c>
      <c r="CI404" s="4" t="str">
        <f ca="1">IFERROR(__xludf.DUMMYFUNCTION("""COMPUTED_VALUE"""),"| 5 L NS @ | 6 L CPT @ ")</f>
        <v xml:space="preserve">| 5 L NS @ | 6 L CPT @ </v>
      </c>
      <c r="CJ404" s="4" t="str">
        <f ca="1">IFERROR(__xludf.DUMMYFUNCTION("""COMPUTED_VALUE"""),"| 3 L CPT @ | 5 P CPT @ ")</f>
        <v xml:space="preserve">| 3 L CPT @ | 5 P CPT @ </v>
      </c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</row>
    <row r="405" spans="1:102" ht="12.5" x14ac:dyDescent="0.25">
      <c r="A405" s="3">
        <f ca="1">IFERROR(__xludf.DUMMYFUNCTION("""COMPUTED_VALUE"""),3)</f>
        <v>3</v>
      </c>
      <c r="B405" s="3" t="str">
        <f ca="1">IFERROR(__xludf.DUMMYFUNCTION("""COMPUTED_VALUE"""),"ITA")</f>
        <v>ITA</v>
      </c>
      <c r="C405" s="32" t="str">
        <f ca="1">IFERROR(__xludf.DUMMYFUNCTION("""COMPUTED_VALUE"""),"23291371143")</f>
        <v>23291371143</v>
      </c>
      <c r="D405" s="4" t="str">
        <f ca="1">IFERROR(__xludf.DUMMYFUNCTION("""COMPUTED_VALUE"""),"SONI CHAITANYA KALPESHKUMAR")</f>
        <v>SONI CHAITANYA KALPESHKUMAR</v>
      </c>
      <c r="E405" s="3" t="str">
        <f ca="1">IFERROR(__xludf.DUMMYFUNCTION("""COMPUTED_VALUE"""),"Sweety - Mor")</f>
        <v>Sweety - Mor</v>
      </c>
      <c r="F405" s="3">
        <f ca="1">IFERROR(__xludf.DUMMYFUNCTION("""COMPUTED_VALUE"""),9374590093)</f>
        <v>9374590093</v>
      </c>
      <c r="G405" s="3">
        <f ca="1">IFERROR(__xludf.DUMMYFUNCTION("""COMPUTED_VALUE"""),9913750093)</f>
        <v>9913750093</v>
      </c>
      <c r="H405" s="33">
        <f ca="1">IFERROR(__xludf.DUMMYFUNCTION("""COMPUTED_VALUE"""),0.771084337349397)</f>
        <v>0.77108433734939696</v>
      </c>
      <c r="I405" s="25">
        <f ca="1">IFERROR(__xludf.DUMMYFUNCTION("""COMPUTED_VALUE"""),0.657142857142857)</f>
        <v>0.65714285714285703</v>
      </c>
      <c r="J405" s="25">
        <f ca="1">IFERROR(__xludf.DUMMYFUNCTION("""COMPUTED_VALUE"""),0.5)</f>
        <v>0.5</v>
      </c>
      <c r="K405" s="25">
        <f ca="1">IFERROR(__xludf.DUMMYFUNCTION("""COMPUTED_VALUE"""),0.777777777777777)</f>
        <v>0.77777777777777701</v>
      </c>
      <c r="L405" s="25">
        <f ca="1">IFERROR(__xludf.DUMMYFUNCTION("""COMPUTED_VALUE"""),1)</f>
        <v>1</v>
      </c>
      <c r="M405" s="25">
        <f ca="1">IFERROR(__xludf.DUMMYFUNCTION("""COMPUTED_VALUE"""),0.842105263157894)</f>
        <v>0.84210526315789402</v>
      </c>
      <c r="N405" s="25">
        <f ca="1">IFERROR(__xludf.DUMMYFUNCTION("""COMPUTED_VALUE"""),1)</f>
        <v>1</v>
      </c>
      <c r="O405" s="25">
        <f ca="1">IFERROR(__xludf.DUMMYFUNCTION("""COMPUTED_VALUE"""),0.861111111111111)</f>
        <v>0.86111111111111105</v>
      </c>
      <c r="P405" s="25">
        <f ca="1">IFERROR(__xludf.DUMMYFUNCTION("""COMPUTED_VALUE"""),0.739130434782608)</f>
        <v>0.73913043478260798</v>
      </c>
      <c r="Q405" s="25">
        <f ca="1">IFERROR(__xludf.DUMMYFUNCTION("""COMPUTED_VALUE"""),0)</f>
        <v>0</v>
      </c>
      <c r="R405" s="25">
        <f ca="1">IFERROR(__xludf.DUMMYFUNCTION("""COMPUTED_VALUE"""),0.608695652173913)</f>
        <v>0.60869565217391297</v>
      </c>
      <c r="S405" s="25">
        <f ca="1">IFERROR(__xludf.DUMMYFUNCTION("""COMPUTED_VALUE"""),1)</f>
        <v>1</v>
      </c>
      <c r="T405" s="25">
        <f ca="1">IFERROR(__xludf.DUMMYFUNCTION("""COMPUTED_VALUE"""),0.666666666666666)</f>
        <v>0.66666666666666596</v>
      </c>
      <c r="U405" s="25">
        <f ca="1">IFERROR(__xludf.DUMMYFUNCTION("""COMPUTED_VALUE"""),0.75)</f>
        <v>0.75</v>
      </c>
      <c r="V405" s="25">
        <f ca="1">IFERROR(__xludf.DUMMYFUNCTION("""COMPUTED_VALUE"""),0)</f>
        <v>0</v>
      </c>
      <c r="W405" s="4"/>
      <c r="X405" s="4" t="str">
        <f ca="1">IFERROR(__xludf.DUMMYFUNCTION("""COMPUTED_VALUE"""),"| 4 L JAVA % | 1 P PHP-CGM % | 3 L PHP-CGM % | 1 L PRO % ")</f>
        <v xml:space="preserve">| 4 L JAVA % | 1 P PHP-CGM % | 3 L PHP-CGM % | 1 L PRO % </v>
      </c>
      <c r="Y40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05" s="4" t="str">
        <f ca="1">IFERROR(__xludf.DUMMYFUNCTION("""COMPUTED_VALUE"""),"| 3 P JAVA % | 5 L JAVA % | 6 L NS % ")</f>
        <v xml:space="preserve">| 3 P JAVA % | 5 L JAVA % | 6 L NS % </v>
      </c>
      <c r="AA405" s="4" t="str">
        <f ca="1">IFERROR(__xludf.DUMMYFUNCTION("""COMPUTED_VALUE"""),"| 1 P JAVA % | 3 P Python % | 5 L NS % | 6 L CPT % ")</f>
        <v xml:space="preserve">| 1 P JAVA % | 3 P Python % | 5 L NS % | 6 L CPT % </v>
      </c>
      <c r="AB405" s="4" t="str">
        <f ca="1">IFERROR(__xludf.DUMMYFUNCTION("""COMPUTED_VALUE"""),"| 1 P Python % | 3 L CPT % | 4 L PHP-CGM % | 5 P CPT % ")</f>
        <v xml:space="preserve">| 1 P Python % | 3 L CPT % | 4 L PHP-CGM % | 5 P CPT % </v>
      </c>
      <c r="AC405" s="4" t="str">
        <f ca="1">IFERROR(__xludf.DUMMYFUNCTION("""COMPUTED_VALUE"""),"| 1 P PHP-CGM % | 3 L PHP-CGM % | 5 P PRO % ")</f>
        <v xml:space="preserve">| 1 P PHP-CGM % | 3 L PHP-CGM % | 5 P PRO % </v>
      </c>
      <c r="AD405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05" s="4" t="str">
        <f ca="1">IFERROR(__xludf.DUMMYFUNCTION("""COMPUTED_VALUE"""),"| 3 P JAVA % | 5 L JAVA % | 6 L NS % ")</f>
        <v xml:space="preserve">| 3 P JAVA % | 5 L JAVA % | 6 L NS % </v>
      </c>
      <c r="AF405" s="4" t="str">
        <f ca="1">IFERROR(__xludf.DUMMYFUNCTION("""COMPUTED_VALUE"""),"| 1 P JAVA % | 3 P Python % | 5 L NS % | 6 L CPT % ")</f>
        <v xml:space="preserve">| 1 P JAVA % | 3 P Python % | 5 L NS % | 6 L CPT % </v>
      </c>
      <c r="AG405" s="4" t="str">
        <f ca="1">IFERROR(__xludf.DUMMYFUNCTION("""COMPUTED_VALUE"""),"| 1 P Python % | 3 L CPT % | 4 L PHP-CGM % | 5 P CPT % ")</f>
        <v xml:space="preserve">| 1 P Python % | 3 L CPT % | 4 L PHP-CGM % | 5 P CPT % </v>
      </c>
      <c r="AH405" s="4" t="str">
        <f ca="1">IFERROR(__xludf.DUMMYFUNCTION("""COMPUTED_VALUE"""),"| 1 P JAVA % | 3 P Python % | 5 L NS % | 6 L CPT % ")</f>
        <v xml:space="preserve">| 1 P JAVA % | 3 P Python % | 5 L NS % | 6 L CPT % </v>
      </c>
      <c r="AI405" s="4" t="str">
        <f ca="1">IFERROR(__xludf.DUMMYFUNCTION("""COMPUTED_VALUE"""),"| 1 P Python % | 3 L CPT % | 4 L PHP-CGM % | 5 P CPT % ")</f>
        <v xml:space="preserve">| 1 P Python % | 3 L CPT % | 4 L PHP-CGM % | 5 P CPT % </v>
      </c>
      <c r="AJ405" s="4" t="str">
        <f ca="1">IFERROR(__xludf.DUMMYFUNCTION("""COMPUTED_VALUE"""),"| 1 P PHP-CGM % | 3 L PHP-CGM % | 4 L JAVA % | 5 P PRO % ")</f>
        <v xml:space="preserve">| 1 P PHP-CGM % | 3 L PHP-CGM % | 4 L JAVA % | 5 P PRO % </v>
      </c>
      <c r="AK40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05" s="4" t="str">
        <f ca="1">IFERROR(__xludf.DUMMYFUNCTION("""COMPUTED_VALUE"""),"| 3 P JAVA % | 5 L JAVA % | 6 L NS % ")</f>
        <v xml:space="preserve">| 3 P JAVA % | 5 L JAVA % | 6 L NS % </v>
      </c>
      <c r="AM405" s="4" t="str">
        <f ca="1">IFERROR(__xludf.DUMMYFUNCTION("""COMPUTED_VALUE"""),"| 1 P JAVA % | 3 P Python % | 5 L NS % | 6 L CPT % ")</f>
        <v xml:space="preserve">| 1 P JAVA % | 3 P Python % | 5 L NS % | 6 L CPT % </v>
      </c>
      <c r="AN405" s="4" t="str">
        <f ca="1">IFERROR(__xludf.DUMMYFUNCTION("""COMPUTED_VALUE"""),"| 1 P Python @ | 4 L PHP-CGM @ | 5 P CPT @ ")</f>
        <v xml:space="preserve">| 1 P Python @ | 4 L PHP-CGM @ | 5 P CPT @ </v>
      </c>
      <c r="AO405" s="4" t="str">
        <f ca="1">IFERROR(__xludf.DUMMYFUNCTION("""COMPUTED_VALUE"""),"| 1 P PHP-CGM % | 3 L PHP-CGM % | 4 L JAVA % | 5 P PRO % ")</f>
        <v xml:space="preserve">| 1 P PHP-CGM % | 3 L PHP-CGM % | 4 L JAVA % | 5 P PRO % </v>
      </c>
      <c r="AP40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05" s="4" t="str">
        <f ca="1">IFERROR(__xludf.DUMMYFUNCTION("""COMPUTED_VALUE"""),"| 1 L INE % | 3 P JAVA % | 5 L JAVA % | 6 L NS % ")</f>
        <v xml:space="preserve">| 1 L INE % | 3 P JAVA % | 5 L JAVA % | 6 L NS % </v>
      </c>
      <c r="AR405" s="4" t="str">
        <f ca="1">IFERROR(__xludf.DUMMYFUNCTION("""COMPUTED_VALUE"""),"| 1 P JAVA % | 3 L CPT @ | 3 P Python % | 5 L NS % | 6 L CPT @ ")</f>
        <v xml:space="preserve">| 1 P JAVA % | 3 L CPT @ | 3 P Python % | 5 L NS % | 6 L CPT @ </v>
      </c>
      <c r="AS405" s="4" t="str">
        <f ca="1">IFERROR(__xludf.DUMMYFUNCTION("""COMPUTED_VALUE"""),"| 1 P PHP-CGM % | 3 L PHP-CGM % | 4 L JAVA % | 5 P PRO @ ")</f>
        <v xml:space="preserve">| 1 P PHP-CGM % | 3 L PHP-CGM % | 4 L JAVA % | 5 P PRO @ </v>
      </c>
      <c r="AT40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05" s="4" t="str">
        <f ca="1">IFERROR(__xludf.DUMMYFUNCTION("""COMPUTED_VALUE"""),"| 1 L INE % | 3 P JAVA % | 5 L JAVA % | 6 L NS % ")</f>
        <v xml:space="preserve">| 1 L INE % | 3 P JAVA % | 5 L JAVA % | 6 L NS % </v>
      </c>
      <c r="AV405" s="4" t="str">
        <f ca="1">IFERROR(__xludf.DUMMYFUNCTION("""COMPUTED_VALUE"""),"| 1 P JAVA % | 3 P Python % | 5 L NS % | 6 L CPT % ")</f>
        <v xml:space="preserve">| 1 P JAVA % | 3 P Python % | 5 L NS % | 6 L CPT % </v>
      </c>
      <c r="AW405" s="4" t="str">
        <f ca="1">IFERROR(__xludf.DUMMYFUNCTION("""COMPUTED_VALUE"""),"| 1 P Python % | 3 L CPT % | 4 L PHP-CGM % | 5 P CPT % ")</f>
        <v xml:space="preserve">| 1 P Python % | 3 L CPT % | 4 L PHP-CGM % | 5 P CPT % </v>
      </c>
      <c r="AX405" s="4" t="str">
        <f ca="1">IFERROR(__xludf.DUMMYFUNCTION("""COMPUTED_VALUE"""),"| 1 P PHP-CGM % | 3 L JAVA % | 4 L PHP-CGM % | 5 P PRO % ")</f>
        <v xml:space="preserve">| 1 P PHP-CGM % | 3 L JAVA % | 4 L PHP-CGM % | 5 P PRO % </v>
      </c>
      <c r="AY405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05" s="4" t="str">
        <f ca="1">IFERROR(__xludf.DUMMYFUNCTION("""COMPUTED_VALUE"""),"| 1 P JAVA % | 3 P Python % | 5 L NS % | 6 L CPT % ")</f>
        <v xml:space="preserve">| 1 P JAVA % | 3 P Python % | 5 L NS % | 6 L CPT % </v>
      </c>
      <c r="BA405" s="4" t="str">
        <f ca="1">IFERROR(__xludf.DUMMYFUNCTION("""COMPUTED_VALUE"""),"| 1 P Python % | 3 L CPT % | 4 L PHP-CGM % | 5 P CPT % ")</f>
        <v xml:space="preserve">| 1 P Python % | 3 L CPT % | 4 L PHP-CGM % | 5 P CPT % </v>
      </c>
      <c r="BB405" s="4" t="str">
        <f ca="1">IFERROR(__xludf.DUMMYFUNCTION("""COMPUTED_VALUE"""),"| 1 P PHP-CGM % | 3 L PHP-CGM % | 4 L JAVA % | 5 L PRO % ")</f>
        <v xml:space="preserve">| 1 P PHP-CGM % | 3 L PHP-CGM % | 4 L JAVA % | 5 L PRO % </v>
      </c>
      <c r="BC405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5" s="4" t="str">
        <f ca="1">IFERROR(__xludf.DUMMYFUNCTION("""COMPUTED_VALUE"""),"| 1 L INE % | 3 P JAVA % | 5 L JAVA % | 6 L NS % ")</f>
        <v xml:space="preserve">| 1 L INE % | 3 P JAVA % | 5 L JAVA % | 6 L NS % </v>
      </c>
      <c r="BE405" s="4" t="str">
        <f ca="1">IFERROR(__xludf.DUMMYFUNCTION("""COMPUTED_VALUE"""),"| 1 P JAVA @ | 3 P Python @ | 5 L NS @ | 6 L CPT @ ")</f>
        <v xml:space="preserve">| 1 P JAVA @ | 3 P Python @ | 5 L NS @ | 6 L CPT @ </v>
      </c>
      <c r="BF405" s="4" t="str">
        <f ca="1">IFERROR(__xludf.DUMMYFUNCTION("""COMPUTED_VALUE"""),"| 1 P Python @ | 3 L CPT @ | 4 L PHP-CGM @ | 5 P CPT @ ")</f>
        <v xml:space="preserve">| 1 P Python @ | 3 L CPT @ | 4 L PHP-CGM @ | 5 P CPT @ </v>
      </c>
      <c r="BG40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05" s="4" t="str">
        <f ca="1">IFERROR(__xludf.DUMMYFUNCTION("""COMPUTED_VALUE"""),"| 1 L INE % | 3 P JAVA % | 5 L JAVA % | 6 L NS % ")</f>
        <v xml:space="preserve">| 1 L INE % | 3 P JAVA % | 5 L JAVA % | 6 L NS % </v>
      </c>
      <c r="BI405" s="4" t="str">
        <f ca="1">IFERROR(__xludf.DUMMYFUNCTION("""COMPUTED_VALUE"""),"| 1 P JAVA % | 3 P Python % | 5 L NS % | 6 L CPT % ")</f>
        <v xml:space="preserve">| 1 P JAVA % | 3 P Python % | 5 L NS % | 6 L CPT % </v>
      </c>
      <c r="BJ405" s="4" t="str">
        <f ca="1">IFERROR(__xludf.DUMMYFUNCTION("""COMPUTED_VALUE"""),"| 1 P Python @ | 3 L CPT @ | 4 L PHP-CGM @ | 5 P CPT @ ")</f>
        <v xml:space="preserve">| 1 P Python @ | 3 L CPT @ | 4 L PHP-CGM @ | 5 P CPT @ </v>
      </c>
      <c r="BK405" s="4" t="str">
        <f ca="1">IFERROR(__xludf.DUMMYFUNCTION("""COMPUTED_VALUE"""),"| 1 P PHP-CGM % | 3 L PHP-CGM % | 4 L JAVA % | 5 P PRO % ")</f>
        <v xml:space="preserve">| 1 P PHP-CGM % | 3 L PHP-CGM % | 4 L JAVA % | 5 P PRO % </v>
      </c>
      <c r="BL405" s="4" t="str">
        <f ca="1">IFERROR(__xludf.DUMMYFUNCTION("""COMPUTED_VALUE"""),"| 1 L JAVA % | 2 L PHP-CGM % | 3 P NS % | 6 L NS % | 5 L CPT @ ")</f>
        <v xml:space="preserve">| 1 L JAVA % | 2 L PHP-CGM % | 3 P NS % | 6 L NS % | 5 L CPT @ </v>
      </c>
      <c r="BM405" s="4" t="str">
        <f ca="1">IFERROR(__xludf.DUMMYFUNCTION("""COMPUTED_VALUE"""),"| 1 L INE @ | 3 P JAVA @ | 5 L JAVA @ | 6 L NS @ ")</f>
        <v xml:space="preserve">| 1 L INE @ | 3 P JAVA @ | 5 L JAVA @ | 6 L NS @ </v>
      </c>
      <c r="BN405" s="4" t="str">
        <f ca="1">IFERROR(__xludf.DUMMYFUNCTION("""COMPUTED_VALUE"""),"| 1 P JAVA @ | 3 P Python @ | 5 L NS @ | 6 L CPT @ ")</f>
        <v xml:space="preserve">| 1 P JAVA @ | 3 P Python @ | 5 L NS @ | 6 L CPT @ </v>
      </c>
      <c r="BO405" s="4" t="str">
        <f ca="1">IFERROR(__xludf.DUMMYFUNCTION("""COMPUTED_VALUE"""),"| 1 P Python @ | 4 L PHP-CGM @ | 3 L CPT @ | 5 P CPT @ ")</f>
        <v xml:space="preserve">| 1 P Python @ | 4 L PHP-CGM @ | 3 L CPT @ | 5 P CPT @ </v>
      </c>
      <c r="BP405" s="4" t="str">
        <f ca="1">IFERROR(__xludf.DUMMYFUNCTION("""COMPUTED_VALUE"""),"| 1 P PHP-CGM % | 3 L PHP-CGM % | 4 L JAVA % | 6 P PRO @ ")</f>
        <v xml:space="preserve">| 1 P PHP-CGM % | 3 L PHP-CGM % | 4 L JAVA % | 6 P PRO @ </v>
      </c>
      <c r="BQ405" s="4" t="str">
        <f ca="1">IFERROR(__xludf.DUMMYFUNCTION("""COMPUTED_VALUE"""),"| 6 L NS % | 5 L JAVA @ ")</f>
        <v xml:space="preserve">| 6 L NS % | 5 L JAVA @ </v>
      </c>
      <c r="BR405" s="4"/>
      <c r="BS405" s="4" t="str">
        <f ca="1">IFERROR(__xludf.DUMMYFUNCTION("""COMPUTED_VALUE"""),"| 4 L PHP-CGM % ")</f>
        <v xml:space="preserve">| 4 L PHP-CGM % </v>
      </c>
      <c r="BT405" s="4" t="str">
        <f ca="1">IFERROR(__xludf.DUMMYFUNCTION("""COMPUTED_VALUE"""),"| 1 P PHP-CGM % | 3 L PHP-CGM % ")</f>
        <v xml:space="preserve">| 1 P PHP-CGM % | 3 L PHP-CGM % </v>
      </c>
      <c r="BU405" s="4" t="str">
        <f ca="1">IFERROR(__xludf.DUMMYFUNCTION("""COMPUTED_VALUE"""),"| 1 L JAVA % | 2 L PHP-CGM % | 3 P NS % ")</f>
        <v xml:space="preserve">| 1 L JAVA % | 2 L PHP-CGM % | 3 P NS % </v>
      </c>
      <c r="BV405" s="4" t="str">
        <f ca="1">IFERROR(__xludf.DUMMYFUNCTION("""COMPUTED_VALUE"""),"| 1 P PHP-CGM % | 3 L PHP-CGM % | 4 L JAVA % | 5 P PRO % ")</f>
        <v xml:space="preserve">| 1 P PHP-CGM % | 3 L PHP-CGM % | 4 L JAVA % | 5 P PRO % </v>
      </c>
      <c r="BW405" s="4" t="str">
        <f ca="1">IFERROR(__xludf.DUMMYFUNCTION("""COMPUTED_VALUE"""),"| 1 L JAVA % | 2 L PHP-CGM % | 3 P NS % ")</f>
        <v xml:space="preserve">| 1 L JAVA % | 2 L PHP-CGM % | 3 P NS % </v>
      </c>
      <c r="BX405" s="4" t="str">
        <f ca="1">IFERROR(__xludf.DUMMYFUNCTION("""COMPUTED_VALUE"""),"| 1 L INE % | 3 P JAVA % | 5 L JAVA % | 6 L NS % ")</f>
        <v xml:space="preserve">| 1 L INE % | 3 P JAVA % | 5 L JAVA % | 6 L NS % </v>
      </c>
      <c r="BY405" s="4" t="str">
        <f ca="1">IFERROR(__xludf.DUMMYFUNCTION("""COMPUTED_VALUE"""),"| 1 P JAVA @ | 3 P Python @ | 5 L NS @ | 6 L CPT @ ")</f>
        <v xml:space="preserve">| 1 P JAVA @ | 3 P Python @ | 5 L NS @ | 6 L CPT @ </v>
      </c>
      <c r="BZ405" s="4" t="str">
        <f ca="1">IFERROR(__xludf.DUMMYFUNCTION("""COMPUTED_VALUE"""),"| 1 P Python @ | 3 L CPT @ | 4 L PHP-CGM @ | 5 P CPT @ ")</f>
        <v xml:space="preserve">| 1 P Python @ | 3 L CPT @ | 4 L PHP-CGM @ | 5 P CPT @ </v>
      </c>
      <c r="CA405" s="4" t="str">
        <f ca="1">IFERROR(__xludf.DUMMYFUNCTION("""COMPUTED_VALUE"""),"| 1 P PHP-CGM % | 3 L PHP-CGM % | 3 L JAVA % | 5 P PRO @ ")</f>
        <v xml:space="preserve">| 1 P PHP-CGM % | 3 L PHP-CGM % | 3 L JAVA % | 5 P PRO @ </v>
      </c>
      <c r="CB405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405" s="4" t="str">
        <f ca="1">IFERROR(__xludf.DUMMYFUNCTION("""COMPUTED_VALUE"""),"| 1 L INE % | 3 P JAVA @ | 5 L JAVA @ | 6 L NS @ ")</f>
        <v xml:space="preserve">| 1 L INE % | 3 P JAVA @ | 5 L JAVA @ | 6 L NS @ </v>
      </c>
      <c r="CD405" s="4" t="str">
        <f ca="1">IFERROR(__xludf.DUMMYFUNCTION("""COMPUTED_VALUE"""),"| 1 P JAVA @ | 3 P Python @ | 5 L NS @ | 6 L CPT @ ")</f>
        <v xml:space="preserve">| 1 P JAVA @ | 3 P Python @ | 5 L NS @ | 6 L CPT @ </v>
      </c>
      <c r="CE405" s="4" t="str">
        <f ca="1">IFERROR(__xludf.DUMMYFUNCTION("""COMPUTED_VALUE"""),"| 1 P Python % | 3 L CPT % | 4 L PHP-CGM % | 5 P CPT % ")</f>
        <v xml:space="preserve">| 1 P Python % | 3 L CPT % | 4 L PHP-CGM % | 5 P CPT % </v>
      </c>
      <c r="CF405" s="4" t="str">
        <f ca="1">IFERROR(__xludf.DUMMYFUNCTION("""COMPUTED_VALUE"""),"| 1 P PHP-CGM % | 4 L JAVA @ | 3 L PHP-CGM @ | 5 L PRO % ")</f>
        <v xml:space="preserve">| 1 P PHP-CGM % | 4 L JAVA @ | 3 L PHP-CGM @ | 5 L PRO % </v>
      </c>
      <c r="CG405" s="4" t="str">
        <f ca="1">IFERROR(__xludf.DUMMYFUNCTION("""COMPUTED_VALUE"""),"| 1 L JAVA % | 2 L PHP-CGM % | 3 P NS % | 6 L NS % ")</f>
        <v xml:space="preserve">| 1 L JAVA % | 2 L PHP-CGM % | 3 P NS % | 6 L NS % </v>
      </c>
      <c r="CH405" s="4" t="str">
        <f ca="1">IFERROR(__xludf.DUMMYFUNCTION("""COMPUTED_VALUE"""),"| 1 L INE @ | 3 P JAVA % | 5 L JAVA @ | 6 L NS @ ")</f>
        <v xml:space="preserve">| 1 L INE @ | 3 P JAVA % | 5 L JAVA @ | 6 L NS @ </v>
      </c>
      <c r="CI405" s="4" t="str">
        <f ca="1">IFERROR(__xludf.DUMMYFUNCTION("""COMPUTED_VALUE"""),"| 5 L NS @ | 6 L CPT % ")</f>
        <v xml:space="preserve">| 5 L NS @ | 6 L CPT % </v>
      </c>
      <c r="CJ405" s="4" t="str">
        <f ca="1">IFERROR(__xludf.DUMMYFUNCTION("""COMPUTED_VALUE"""),"| 3 L CPT @ | 5 P CPT @ ")</f>
        <v xml:space="preserve">| 3 L CPT @ | 5 P CPT @ </v>
      </c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</row>
    <row r="406" spans="1:102" ht="12.5" x14ac:dyDescent="0.25">
      <c r="A406" s="3">
        <f ca="1">IFERROR(__xludf.DUMMYFUNCTION("""COMPUTED_VALUE"""),3)</f>
        <v>3</v>
      </c>
      <c r="B406" s="3" t="str">
        <f ca="1">IFERROR(__xludf.DUMMYFUNCTION("""COMPUTED_VALUE"""),"ITA")</f>
        <v>ITA</v>
      </c>
      <c r="C406" s="32" t="str">
        <f ca="1">IFERROR(__xludf.DUMMYFUNCTION("""COMPUTED_VALUE"""),"23291371144")</f>
        <v>23291371144</v>
      </c>
      <c r="D406" s="4" t="str">
        <f ca="1">IFERROR(__xludf.DUMMYFUNCTION("""COMPUTED_VALUE"""),"SUKHADIYA KRISHA KRUNALKUMAR")</f>
        <v>SUKHADIYA KRISHA KRUNALKUMAR</v>
      </c>
      <c r="E406" s="3" t="str">
        <f ca="1">IFERROR(__xludf.DUMMYFUNCTION("""COMPUTED_VALUE"""),"Sweety - Mor")</f>
        <v>Sweety - Mor</v>
      </c>
      <c r="F406" s="3">
        <f ca="1">IFERROR(__xludf.DUMMYFUNCTION("""COMPUTED_VALUE"""),9512512727)</f>
        <v>9512512727</v>
      </c>
      <c r="G406" s="3">
        <f ca="1">IFERROR(__xludf.DUMMYFUNCTION("""COMPUTED_VALUE"""),9376311315)</f>
        <v>9376311315</v>
      </c>
      <c r="H406" s="33">
        <f ca="1">IFERROR(__xludf.DUMMYFUNCTION("""COMPUTED_VALUE"""),0.662650602409638)</f>
        <v>0.66265060240963802</v>
      </c>
      <c r="I406" s="25">
        <f ca="1">IFERROR(__xludf.DUMMYFUNCTION("""COMPUTED_VALUE"""),0.6)</f>
        <v>0.6</v>
      </c>
      <c r="J406" s="25">
        <f ca="1">IFERROR(__xludf.DUMMYFUNCTION("""COMPUTED_VALUE"""),0.25)</f>
        <v>0.25</v>
      </c>
      <c r="K406" s="25">
        <f ca="1">IFERROR(__xludf.DUMMYFUNCTION("""COMPUTED_VALUE"""),0.638888888888888)</f>
        <v>0.63888888888888795</v>
      </c>
      <c r="L406" s="25">
        <f ca="1">IFERROR(__xludf.DUMMYFUNCTION("""COMPUTED_VALUE"""),0.923076923076923)</f>
        <v>0.92307692307692302</v>
      </c>
      <c r="M406" s="25">
        <f ca="1">IFERROR(__xludf.DUMMYFUNCTION("""COMPUTED_VALUE"""),0.710526315789473)</f>
        <v>0.71052631578947301</v>
      </c>
      <c r="N406" s="25">
        <f ca="1">IFERROR(__xludf.DUMMYFUNCTION("""COMPUTED_VALUE"""),0.769230769230769)</f>
        <v>0.76923076923076905</v>
      </c>
      <c r="O406" s="25">
        <f ca="1">IFERROR(__xludf.DUMMYFUNCTION("""COMPUTED_VALUE"""),0.722222222222222)</f>
        <v>0.72222222222222199</v>
      </c>
      <c r="P406" s="25">
        <f ca="1">IFERROR(__xludf.DUMMYFUNCTION("""COMPUTED_VALUE"""),0.739130434782608)</f>
        <v>0.73913043478260798</v>
      </c>
      <c r="Q406" s="25">
        <f ca="1">IFERROR(__xludf.DUMMYFUNCTION("""COMPUTED_VALUE"""),0)</f>
        <v>0</v>
      </c>
      <c r="R406" s="25">
        <f ca="1">IFERROR(__xludf.DUMMYFUNCTION("""COMPUTED_VALUE"""),0.652173913043478)</f>
        <v>0.65217391304347805</v>
      </c>
      <c r="S406" s="25">
        <f ca="1">IFERROR(__xludf.DUMMYFUNCTION("""COMPUTED_VALUE"""),0.666666666666666)</f>
        <v>0.66666666666666596</v>
      </c>
      <c r="T406" s="25">
        <f ca="1">IFERROR(__xludf.DUMMYFUNCTION("""COMPUTED_VALUE"""),0.444444444444444)</f>
        <v>0.44444444444444398</v>
      </c>
      <c r="U406" s="25">
        <f ca="1">IFERROR(__xludf.DUMMYFUNCTION("""COMPUTED_VALUE"""),0.625)</f>
        <v>0.625</v>
      </c>
      <c r="V406" s="25">
        <f ca="1">IFERROR(__xludf.DUMMYFUNCTION("""COMPUTED_VALUE"""),0)</f>
        <v>0</v>
      </c>
      <c r="W406" s="4"/>
      <c r="X406" s="4" t="str">
        <f ca="1">IFERROR(__xludf.DUMMYFUNCTION("""COMPUTED_VALUE"""),"| 4 L JAVA @ | 1 P PHP-CGM % | 3 L PHP-CGM @ | 1 L PRO @ ")</f>
        <v xml:space="preserve">| 4 L JAVA @ | 1 P PHP-CGM % | 3 L PHP-CGM @ | 1 L PRO @ </v>
      </c>
      <c r="Y406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06" s="4" t="str">
        <f ca="1">IFERROR(__xludf.DUMMYFUNCTION("""COMPUTED_VALUE"""),"| 3 P JAVA % | 5 L JAVA @ | 6 L NS @ ")</f>
        <v xml:space="preserve">| 3 P JAVA % | 5 L JAVA @ | 6 L NS @ </v>
      </c>
      <c r="AA406" s="4" t="str">
        <f ca="1">IFERROR(__xludf.DUMMYFUNCTION("""COMPUTED_VALUE"""),"| 1 P JAVA % | 3 P Python % | 5 L NS % | 6 L CPT % ")</f>
        <v xml:space="preserve">| 1 P JAVA % | 3 P Python % | 5 L NS % | 6 L CPT % </v>
      </c>
      <c r="AB406" s="4" t="str">
        <f ca="1">IFERROR(__xludf.DUMMYFUNCTION("""COMPUTED_VALUE"""),"| 1 P Python % | 3 L CPT % | 4 L PHP-CGM % | 5 P CPT % ")</f>
        <v xml:space="preserve">| 1 P Python % | 3 L CPT % | 4 L PHP-CGM % | 5 P CPT % </v>
      </c>
      <c r="AC406" s="4" t="str">
        <f ca="1">IFERROR(__xludf.DUMMYFUNCTION("""COMPUTED_VALUE"""),"| 1 P PHP-CGM @ | 3 L PHP-CGM @ | 5 P PRO @ ")</f>
        <v xml:space="preserve">| 1 P PHP-CGM @ | 3 L PHP-CGM @ | 5 P PRO @ </v>
      </c>
      <c r="AD406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06" s="4" t="str">
        <f ca="1">IFERROR(__xludf.DUMMYFUNCTION("""COMPUTED_VALUE"""),"| 3 P JAVA % | 5 L JAVA % | 6 L NS % ")</f>
        <v xml:space="preserve">| 3 P JAVA % | 5 L JAVA % | 6 L NS % </v>
      </c>
      <c r="AF406" s="4" t="str">
        <f ca="1">IFERROR(__xludf.DUMMYFUNCTION("""COMPUTED_VALUE"""),"| 1 P JAVA % | 3 P Python % | 5 L NS % | 6 L CPT % ")</f>
        <v xml:space="preserve">| 1 P JAVA % | 3 P Python % | 5 L NS % | 6 L CPT % </v>
      </c>
      <c r="AG406" s="4" t="str">
        <f ca="1">IFERROR(__xludf.DUMMYFUNCTION("""COMPUTED_VALUE"""),"| 1 P Python % | 3 L CPT % | 4 L PHP-CGM % | 5 P CPT @ ")</f>
        <v xml:space="preserve">| 1 P Python % | 3 L CPT % | 4 L PHP-CGM % | 5 P CPT @ </v>
      </c>
      <c r="AH406" s="4" t="str">
        <f ca="1">IFERROR(__xludf.DUMMYFUNCTION("""COMPUTED_VALUE"""),"| 1 P JAVA % | 3 P Python % | 5 L NS % | 6 L CPT % ")</f>
        <v xml:space="preserve">| 1 P JAVA % | 3 P Python % | 5 L NS % | 6 L CPT % </v>
      </c>
      <c r="AI406" s="4" t="str">
        <f ca="1">IFERROR(__xludf.DUMMYFUNCTION("""COMPUTED_VALUE"""),"| 1 P Python % | 3 L CPT % | 4 L PHP-CGM % | 5 P CPT % ")</f>
        <v xml:space="preserve">| 1 P Python % | 3 L CPT % | 4 L PHP-CGM % | 5 P CPT % </v>
      </c>
      <c r="AJ406" s="4" t="str">
        <f ca="1">IFERROR(__xludf.DUMMYFUNCTION("""COMPUTED_VALUE"""),"| 1 P PHP-CGM % | 3 L PHP-CGM % | 4 L JAVA % | 5 P PRO % ")</f>
        <v xml:space="preserve">| 1 P PHP-CGM % | 3 L PHP-CGM % | 4 L JAVA % | 5 P PRO % </v>
      </c>
      <c r="AK406" s="4" t="str">
        <f ca="1">IFERROR(__xludf.DUMMYFUNCTION("""COMPUTED_VALUE"""),"| 1 L JAVA % | 2 L PHP-CGM % | 3 P NS @ | 5 L CPT % | 6 L NS % ")</f>
        <v xml:space="preserve">| 1 L JAVA % | 2 L PHP-CGM % | 3 P NS @ | 5 L CPT % | 6 L NS % </v>
      </c>
      <c r="AL406" s="4" t="str">
        <f ca="1">IFERROR(__xludf.DUMMYFUNCTION("""COMPUTED_VALUE"""),"| 3 P JAVA % | 5 L JAVA % | 6 L NS % ")</f>
        <v xml:space="preserve">| 3 P JAVA % | 5 L JAVA % | 6 L NS % </v>
      </c>
      <c r="AM406" s="4" t="str">
        <f ca="1">IFERROR(__xludf.DUMMYFUNCTION("""COMPUTED_VALUE"""),"| 1 P JAVA % | 3 P Python % | 5 L NS % | 6 L CPT % ")</f>
        <v xml:space="preserve">| 1 P JAVA % | 3 P Python % | 5 L NS % | 6 L CPT % </v>
      </c>
      <c r="AN406" s="4" t="str">
        <f ca="1">IFERROR(__xludf.DUMMYFUNCTION("""COMPUTED_VALUE"""),"| 1 P Python % | 4 L PHP-CGM % | 5 P CPT @ ")</f>
        <v xml:space="preserve">| 1 P Python % | 4 L PHP-CGM % | 5 P CPT @ </v>
      </c>
      <c r="AO406" s="4" t="str">
        <f ca="1">IFERROR(__xludf.DUMMYFUNCTION("""COMPUTED_VALUE"""),"| 1 P PHP-CGM % | 3 L PHP-CGM % | 4 L JAVA % | 5 P PRO % ")</f>
        <v xml:space="preserve">| 1 P PHP-CGM % | 3 L PHP-CGM % | 4 L JAVA % | 5 P PRO % </v>
      </c>
      <c r="AP406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06" s="4" t="str">
        <f ca="1">IFERROR(__xludf.DUMMYFUNCTION("""COMPUTED_VALUE"""),"| 1 L INE % | 3 P JAVA % | 5 L JAVA @ | 6 L NS @ ")</f>
        <v xml:space="preserve">| 1 L INE % | 3 P JAVA % | 5 L JAVA @ | 6 L NS @ </v>
      </c>
      <c r="AR406" s="4" t="str">
        <f ca="1">IFERROR(__xludf.DUMMYFUNCTION("""COMPUTED_VALUE"""),"| 1 P JAVA @ | 3 L CPT % | 3 P Python @ | 5 L NS @ | 6 L CPT @ ")</f>
        <v xml:space="preserve">| 1 P JAVA @ | 3 L CPT % | 3 P Python @ | 5 L NS @ | 6 L CPT @ </v>
      </c>
      <c r="AS406" s="4" t="str">
        <f ca="1">IFERROR(__xludf.DUMMYFUNCTION("""COMPUTED_VALUE"""),"| 1 P PHP-CGM % | 3 L PHP-CGM % | 4 L JAVA % | 5 P PRO % ")</f>
        <v xml:space="preserve">| 1 P PHP-CGM % | 3 L PHP-CGM % | 4 L JAVA % | 5 P PRO % </v>
      </c>
      <c r="AT406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06" s="4" t="str">
        <f ca="1">IFERROR(__xludf.DUMMYFUNCTION("""COMPUTED_VALUE"""),"| 1 L INE % | 3 P JAVA % | 5 L JAVA % | 6 L NS % ")</f>
        <v xml:space="preserve">| 1 L INE % | 3 P JAVA % | 5 L JAVA % | 6 L NS % </v>
      </c>
      <c r="AV406" s="4" t="str">
        <f ca="1">IFERROR(__xludf.DUMMYFUNCTION("""COMPUTED_VALUE"""),"| 1 P JAVA % | 3 P Python % | 5 L NS % | 6 L CPT % ")</f>
        <v xml:space="preserve">| 1 P JAVA % | 3 P Python % | 5 L NS % | 6 L CPT % </v>
      </c>
      <c r="AW406" s="4" t="str">
        <f ca="1">IFERROR(__xludf.DUMMYFUNCTION("""COMPUTED_VALUE"""),"| 1 P Python % | 3 L CPT % | 4 L PHP-CGM % | 5 P CPT % ")</f>
        <v xml:space="preserve">| 1 P Python % | 3 L CPT % | 4 L PHP-CGM % | 5 P CPT % </v>
      </c>
      <c r="AX406" s="4" t="str">
        <f ca="1">IFERROR(__xludf.DUMMYFUNCTION("""COMPUTED_VALUE"""),"| 1 P PHP-CGM % | 3 L JAVA % | 4 L PHP-CGM % | 5 P PRO @ ")</f>
        <v xml:space="preserve">| 1 P PHP-CGM % | 3 L JAVA % | 4 L PHP-CGM % | 5 P PRO @ </v>
      </c>
      <c r="AY406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06" s="4" t="str">
        <f ca="1">IFERROR(__xludf.DUMMYFUNCTION("""COMPUTED_VALUE"""),"| 1 P JAVA % | 3 P Python % | 5 L NS % | 6 L CPT % ")</f>
        <v xml:space="preserve">| 1 P JAVA % | 3 P Python % | 5 L NS % | 6 L CPT % </v>
      </c>
      <c r="BA406" s="4" t="str">
        <f ca="1">IFERROR(__xludf.DUMMYFUNCTION("""COMPUTED_VALUE"""),"| 1 P Python % | 3 L CPT @ | 4 L PHP-CGM @ | 5 P CPT @ ")</f>
        <v xml:space="preserve">| 1 P Python % | 3 L CPT @ | 4 L PHP-CGM @ | 5 P CPT @ </v>
      </c>
      <c r="BB406" s="4" t="str">
        <f ca="1">IFERROR(__xludf.DUMMYFUNCTION("""COMPUTED_VALUE"""),"| 1 P PHP-CGM % | 3 L PHP-CGM % | 4 L JAVA % | 5 L PRO % ")</f>
        <v xml:space="preserve">| 1 P PHP-CGM % | 3 L PHP-CGM % | 4 L JAVA % | 5 L PRO % </v>
      </c>
      <c r="BC406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6" s="4" t="str">
        <f ca="1">IFERROR(__xludf.DUMMYFUNCTION("""COMPUTED_VALUE"""),"| 1 L INE @ | 3 P JAVA @ | 5 L JAVA @ | 6 L NS @ ")</f>
        <v xml:space="preserve">| 1 L INE @ | 3 P JAVA @ | 5 L JAVA @ | 6 L NS @ </v>
      </c>
      <c r="BE406" s="4" t="str">
        <f ca="1">IFERROR(__xludf.DUMMYFUNCTION("""COMPUTED_VALUE"""),"| 1 P JAVA @ | 3 P Python @ | 5 L NS @ | 6 L CPT @ ")</f>
        <v xml:space="preserve">| 1 P JAVA @ | 3 P Python @ | 5 L NS @ | 6 L CPT @ </v>
      </c>
      <c r="BF406" s="4" t="str">
        <f ca="1">IFERROR(__xludf.DUMMYFUNCTION("""COMPUTED_VALUE"""),"| 1 P Python @ | 3 L CPT @ | 4 L PHP-CGM @ | 5 P CPT @ ")</f>
        <v xml:space="preserve">| 1 P Python @ | 3 L CPT @ | 4 L PHP-CGM @ | 5 P CPT @ </v>
      </c>
      <c r="BG406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06" s="4" t="str">
        <f ca="1">IFERROR(__xludf.DUMMYFUNCTION("""COMPUTED_VALUE"""),"| 1 L INE % | 3 P JAVA % | 5 L JAVA @ | 6 L NS @ ")</f>
        <v xml:space="preserve">| 1 L INE % | 3 P JAVA % | 5 L JAVA @ | 6 L NS @ </v>
      </c>
      <c r="BI406" s="4" t="str">
        <f ca="1">IFERROR(__xludf.DUMMYFUNCTION("""COMPUTED_VALUE"""),"| 1 P JAVA % | 3 P Python % | 5 L NS % | 6 L CPT % ")</f>
        <v xml:space="preserve">| 1 P JAVA % | 3 P Python % | 5 L NS % | 6 L CPT % </v>
      </c>
      <c r="BJ406" s="4" t="str">
        <f ca="1">IFERROR(__xludf.DUMMYFUNCTION("""COMPUTED_VALUE"""),"| 1 P Python % | 3 L CPT @ | 4 L PHP-CGM @ | 5 P CPT @ ")</f>
        <v xml:space="preserve">| 1 P Python % | 3 L CPT @ | 4 L PHP-CGM @ | 5 P CPT @ </v>
      </c>
      <c r="BK406" s="4" t="str">
        <f ca="1">IFERROR(__xludf.DUMMYFUNCTION("""COMPUTED_VALUE"""),"| 1 P PHP-CGM @ | 3 L PHP-CGM @ | 4 L JAVA @ | 5 P PRO @ ")</f>
        <v xml:space="preserve">| 1 P PHP-CGM @ | 3 L PHP-CGM @ | 4 L JAVA @ | 5 P PRO @ </v>
      </c>
      <c r="BL406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BM406" s="4" t="str">
        <f ca="1">IFERROR(__xludf.DUMMYFUNCTION("""COMPUTED_VALUE"""),"| 1 L INE % | 3 P JAVA % | 5 L JAVA % | 6 L NS % ")</f>
        <v xml:space="preserve">| 1 L INE % | 3 P JAVA % | 5 L JAVA % | 6 L NS % </v>
      </c>
      <c r="BN406" s="4" t="str">
        <f ca="1">IFERROR(__xludf.DUMMYFUNCTION("""COMPUTED_VALUE"""),"| 1 P JAVA @ | 3 P Python @ | 5 L NS @ | 6 L CPT @ ")</f>
        <v xml:space="preserve">| 1 P JAVA @ | 3 P Python @ | 5 L NS @ | 6 L CPT @ </v>
      </c>
      <c r="BO406" s="4" t="str">
        <f ca="1">IFERROR(__xludf.DUMMYFUNCTION("""COMPUTED_VALUE"""),"| 1 P Python @ | 4 L PHP-CGM @ | 3 L CPT @ | 5 P CPT @ ")</f>
        <v xml:space="preserve">| 1 P Python @ | 4 L PHP-CGM @ | 3 L CPT @ | 5 P CPT @ </v>
      </c>
      <c r="BP406" s="4" t="str">
        <f ca="1">IFERROR(__xludf.DUMMYFUNCTION("""COMPUTED_VALUE"""),"| 1 P PHP-CGM % | 3 L PHP-CGM % | 4 L JAVA % | 6 P PRO % ")</f>
        <v xml:space="preserve">| 1 P PHP-CGM % | 3 L PHP-CGM % | 4 L JAVA % | 6 P PRO % </v>
      </c>
      <c r="BQ406" s="4" t="str">
        <f ca="1">IFERROR(__xludf.DUMMYFUNCTION("""COMPUTED_VALUE"""),"| 6 L NS % | 5 L JAVA @ ")</f>
        <v xml:space="preserve">| 6 L NS % | 5 L JAVA @ </v>
      </c>
      <c r="BR406" s="4"/>
      <c r="BS406" s="4" t="str">
        <f ca="1">IFERROR(__xludf.DUMMYFUNCTION("""COMPUTED_VALUE"""),"| 4 L PHP-CGM % ")</f>
        <v xml:space="preserve">| 4 L PHP-CGM % </v>
      </c>
      <c r="BT406" s="4" t="str">
        <f ca="1">IFERROR(__xludf.DUMMYFUNCTION("""COMPUTED_VALUE"""),"| 1 P PHP-CGM % | 3 L PHP-CGM % ")</f>
        <v xml:space="preserve">| 1 P PHP-CGM % | 3 L PHP-CGM % </v>
      </c>
      <c r="BU406" s="4" t="str">
        <f ca="1">IFERROR(__xludf.DUMMYFUNCTION("""COMPUTED_VALUE"""),"| 1 L JAVA % | 2 L PHP-CGM % | 3 P NS % ")</f>
        <v xml:space="preserve">| 1 L JAVA % | 2 L PHP-CGM % | 3 P NS % </v>
      </c>
      <c r="BV406" s="4" t="str">
        <f ca="1">IFERROR(__xludf.DUMMYFUNCTION("""COMPUTED_VALUE"""),"| 1 P PHP-CGM @ | 3 L PHP-CGM @ | 4 L JAVA @ | 5 P PRO @ ")</f>
        <v xml:space="preserve">| 1 P PHP-CGM @ | 3 L PHP-CGM @ | 4 L JAVA @ | 5 P PRO @ </v>
      </c>
      <c r="BW406" s="4" t="str">
        <f ca="1">IFERROR(__xludf.DUMMYFUNCTION("""COMPUTED_VALUE"""),"| 1 L JAVA % | 2 L PHP-CGM % | 3 P NS % ")</f>
        <v xml:space="preserve">| 1 L JAVA % | 2 L PHP-CGM % | 3 P NS % </v>
      </c>
      <c r="BX406" s="4" t="str">
        <f ca="1">IFERROR(__xludf.DUMMYFUNCTION("""COMPUTED_VALUE"""),"| 1 L INE @ | 3 P JAVA % | 5 L JAVA % | 6 L NS % ")</f>
        <v xml:space="preserve">| 1 L INE @ | 3 P JAVA % | 5 L JAVA % | 6 L NS % </v>
      </c>
      <c r="BY406" s="4" t="str">
        <f ca="1">IFERROR(__xludf.DUMMYFUNCTION("""COMPUTED_VALUE"""),"| 1 P JAVA % | 3 P Python % | 5 L NS @ | 6 L CPT @ ")</f>
        <v xml:space="preserve">| 1 P JAVA % | 3 P Python % | 5 L NS @ | 6 L CPT @ </v>
      </c>
      <c r="BZ406" s="4" t="str">
        <f ca="1">IFERROR(__xludf.DUMMYFUNCTION("""COMPUTED_VALUE"""),"| 1 P Python @ | 3 L CPT @ | 4 L PHP-CGM @ | 5 P CPT @ ")</f>
        <v xml:space="preserve">| 1 P Python @ | 3 L CPT @ | 4 L PHP-CGM @ | 5 P CPT @ </v>
      </c>
      <c r="CA406" s="4" t="str">
        <f ca="1">IFERROR(__xludf.DUMMYFUNCTION("""COMPUTED_VALUE"""),"| 1 P PHP-CGM % | 3 L PHP-CGM % | 3 L JAVA % | 5 P PRO @ ")</f>
        <v xml:space="preserve">| 1 P PHP-CGM % | 3 L PHP-CGM % | 3 L JAVA % | 5 P PRO @ </v>
      </c>
      <c r="CB406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406" s="4" t="str">
        <f ca="1">IFERROR(__xludf.DUMMYFUNCTION("""COMPUTED_VALUE"""),"| 1 L INE % | 3 P JAVA @ | 5 L JAVA % | 6 L NS % ")</f>
        <v xml:space="preserve">| 1 L INE % | 3 P JAVA @ | 5 L JAVA % | 6 L NS % </v>
      </c>
      <c r="CD406" s="4" t="str">
        <f ca="1">IFERROR(__xludf.DUMMYFUNCTION("""COMPUTED_VALUE"""),"| 1 P JAVA @ | 3 P Python @ | 5 L NS @ | 6 L CPT @ ")</f>
        <v xml:space="preserve">| 1 P JAVA @ | 3 P Python @ | 5 L NS @ | 6 L CPT @ </v>
      </c>
      <c r="CE406" s="4" t="str">
        <f ca="1">IFERROR(__xludf.DUMMYFUNCTION("""COMPUTED_VALUE"""),"| 1 P Python @ | 3 L CPT @ | 4 L PHP-CGM @ | 5 P CPT @ ")</f>
        <v xml:space="preserve">| 1 P Python @ | 3 L CPT @ | 4 L PHP-CGM @ | 5 P CPT @ </v>
      </c>
      <c r="CF406" s="4" t="str">
        <f ca="1">IFERROR(__xludf.DUMMYFUNCTION("""COMPUTED_VALUE"""),"| 1 P PHP-CGM % | 4 L JAVA @ | 3 L PHP-CGM @ | 5 L PRO % ")</f>
        <v xml:space="preserve">| 1 P PHP-CGM % | 4 L JAVA @ | 3 L PHP-CGM @ | 5 L PRO % </v>
      </c>
      <c r="CG406" s="4" t="str">
        <f ca="1">IFERROR(__xludf.DUMMYFUNCTION("""COMPUTED_VALUE"""),"| 1 L JAVA % | 2 L PHP-CGM % | 3 P NS % | 6 L NS @ ")</f>
        <v xml:space="preserve">| 1 L JAVA % | 2 L PHP-CGM % | 3 P NS % | 6 L NS @ </v>
      </c>
      <c r="CH406" s="4" t="str">
        <f ca="1">IFERROR(__xludf.DUMMYFUNCTION("""COMPUTED_VALUE"""),"| 1 L INE @ | 3 P JAVA % | 5 L JAVA @ | 6 L NS @ ")</f>
        <v xml:space="preserve">| 1 L INE @ | 3 P JAVA % | 5 L JAVA @ | 6 L NS @ </v>
      </c>
      <c r="CI406" s="4" t="str">
        <f ca="1">IFERROR(__xludf.DUMMYFUNCTION("""COMPUTED_VALUE"""),"| 5 L NS @ | 6 L CPT @ ")</f>
        <v xml:space="preserve">| 5 L NS @ | 6 L CPT @ </v>
      </c>
      <c r="CJ406" s="4" t="str">
        <f ca="1">IFERROR(__xludf.DUMMYFUNCTION("""COMPUTED_VALUE"""),"| 3 L CPT @ | 5 P CPT @ ")</f>
        <v xml:space="preserve">| 3 L CPT @ | 5 P CPT @ </v>
      </c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</row>
    <row r="407" spans="1:102" ht="12.5" x14ac:dyDescent="0.25">
      <c r="A407" s="3">
        <f ca="1">IFERROR(__xludf.DUMMYFUNCTION("""COMPUTED_VALUE"""),3)</f>
        <v>3</v>
      </c>
      <c r="B407" s="3" t="str">
        <f ca="1">IFERROR(__xludf.DUMMYFUNCTION("""COMPUTED_VALUE"""),"ITA")</f>
        <v>ITA</v>
      </c>
      <c r="C407" s="32" t="str">
        <f ca="1">IFERROR(__xludf.DUMMYFUNCTION("""COMPUTED_VALUE"""),"23291371146")</f>
        <v>23291371146</v>
      </c>
      <c r="D407" s="4" t="str">
        <f ca="1">IFERROR(__xludf.DUMMYFUNCTION("""COMPUTED_VALUE"""),"THAKER RUGVED TEJASKUMAR")</f>
        <v>THAKER RUGVED TEJASKUMAR</v>
      </c>
      <c r="E407" s="3" t="str">
        <f ca="1">IFERROR(__xludf.DUMMYFUNCTION("""COMPUTED_VALUE"""),"Sweety - Mor")</f>
        <v>Sweety - Mor</v>
      </c>
      <c r="F407" s="3">
        <f ca="1">IFERROR(__xludf.DUMMYFUNCTION("""COMPUTED_VALUE"""),8799048403)</f>
        <v>8799048403</v>
      </c>
      <c r="G407" s="3">
        <f ca="1">IFERROR(__xludf.DUMMYFUNCTION("""COMPUTED_VALUE"""),9727244646)</f>
        <v>9727244646</v>
      </c>
      <c r="H407" s="33">
        <f ca="1">IFERROR(__xludf.DUMMYFUNCTION("""COMPUTED_VALUE"""),0.417670682730923)</f>
        <v>0.417670682730923</v>
      </c>
      <c r="I407" s="25">
        <f ca="1">IFERROR(__xludf.DUMMYFUNCTION("""COMPUTED_VALUE"""),0.342857142857142)</f>
        <v>0.34285714285714203</v>
      </c>
      <c r="J407" s="25">
        <f ca="1">IFERROR(__xludf.DUMMYFUNCTION("""COMPUTED_VALUE"""),0.166666666666666)</f>
        <v>0.16666666666666599</v>
      </c>
      <c r="K407" s="25">
        <f ca="1">IFERROR(__xludf.DUMMYFUNCTION("""COMPUTED_VALUE"""),0.333333333333333)</f>
        <v>0.33333333333333298</v>
      </c>
      <c r="L407" s="25">
        <f ca="1">IFERROR(__xludf.DUMMYFUNCTION("""COMPUTED_VALUE"""),0.923076923076923)</f>
        <v>0.92307692307692302</v>
      </c>
      <c r="M407" s="25">
        <f ca="1">IFERROR(__xludf.DUMMYFUNCTION("""COMPUTED_VALUE"""),0.578947368421052)</f>
        <v>0.57894736842105199</v>
      </c>
      <c r="N407" s="25">
        <f ca="1">IFERROR(__xludf.DUMMYFUNCTION("""COMPUTED_VALUE"""),0.461538461538461)</f>
        <v>0.46153846153846101</v>
      </c>
      <c r="O407" s="25">
        <f ca="1">IFERROR(__xludf.DUMMYFUNCTION("""COMPUTED_VALUE"""),0.5)</f>
        <v>0.5</v>
      </c>
      <c r="P407" s="25">
        <f ca="1">IFERROR(__xludf.DUMMYFUNCTION("""COMPUTED_VALUE"""),0.391304347826087)</f>
        <v>0.39130434782608697</v>
      </c>
      <c r="Q407" s="25">
        <f ca="1">IFERROR(__xludf.DUMMYFUNCTION("""COMPUTED_VALUE"""),0)</f>
        <v>0</v>
      </c>
      <c r="R407" s="25">
        <f ca="1">IFERROR(__xludf.DUMMYFUNCTION("""COMPUTED_VALUE"""),0.391304347826087)</f>
        <v>0.39130434782608697</v>
      </c>
      <c r="S407" s="25">
        <f ca="1">IFERROR(__xludf.DUMMYFUNCTION("""COMPUTED_VALUE"""),0.333333333333333)</f>
        <v>0.33333333333333298</v>
      </c>
      <c r="T407" s="25">
        <f ca="1">IFERROR(__xludf.DUMMYFUNCTION("""COMPUTED_VALUE"""),0)</f>
        <v>0</v>
      </c>
      <c r="U407" s="25">
        <f ca="1">IFERROR(__xludf.DUMMYFUNCTION("""COMPUTED_VALUE"""),0.125)</f>
        <v>0.125</v>
      </c>
      <c r="V407" s="25">
        <f ca="1">IFERROR(__xludf.DUMMYFUNCTION("""COMPUTED_VALUE"""),0)</f>
        <v>0</v>
      </c>
      <c r="W407" s="4"/>
      <c r="X407" s="4" t="str">
        <f ca="1">IFERROR(__xludf.DUMMYFUNCTION("""COMPUTED_VALUE"""),"| 4 L JAVA @ | 1 P PHP-CGM @ | 3 L PHP-CGM % | 1 L PRO @ ")</f>
        <v xml:space="preserve">| 4 L JAVA @ | 1 P PHP-CGM @ | 3 L PHP-CGM % | 1 L PRO @ </v>
      </c>
      <c r="Y407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407" s="4" t="str">
        <f ca="1">IFERROR(__xludf.DUMMYFUNCTION("""COMPUTED_VALUE"""),"| 3 P JAVA @ | 5 L JAVA @ | 6 L NS @ ")</f>
        <v xml:space="preserve">| 3 P JAVA @ | 5 L JAVA @ | 6 L NS @ </v>
      </c>
      <c r="AA407" s="4" t="str">
        <f ca="1">IFERROR(__xludf.DUMMYFUNCTION("""COMPUTED_VALUE"""),"| 1 P JAVA @ | 3 P Python @ | 5 L NS @ | 6 L CPT @ ")</f>
        <v xml:space="preserve">| 1 P JAVA @ | 3 P Python @ | 5 L NS @ | 6 L CPT @ </v>
      </c>
      <c r="AB407" s="4" t="str">
        <f ca="1">IFERROR(__xludf.DUMMYFUNCTION("""COMPUTED_VALUE"""),"| 1 P Python @ | 3 L CPT @ | 4 L PHP-CGM @ | 5 P CPT @ ")</f>
        <v xml:space="preserve">| 1 P Python @ | 3 L CPT @ | 4 L PHP-CGM @ | 5 P CPT @ </v>
      </c>
      <c r="AC407" s="4" t="str">
        <f ca="1">IFERROR(__xludf.DUMMYFUNCTION("""COMPUTED_VALUE"""),"| 1 P PHP-CGM @ | 3 L PHP-CGM @ | 5 P PRO @ ")</f>
        <v xml:space="preserve">| 1 P PHP-CGM @ | 3 L PHP-CGM @ | 5 P PRO @ </v>
      </c>
      <c r="AD407" s="4" t="str">
        <f ca="1">IFERROR(__xludf.DUMMYFUNCTION("""COMPUTED_VALUE"""),"| 1 L JAVA @ | 2 L PHP-CGM @ | 3 P NS % | 6 L NS @ | 5 L CPT @ ")</f>
        <v xml:space="preserve">| 1 L JAVA @ | 2 L PHP-CGM @ | 3 P NS % | 6 L NS @ | 5 L CPT @ </v>
      </c>
      <c r="AE407" s="4" t="str">
        <f ca="1">IFERROR(__xludf.DUMMYFUNCTION("""COMPUTED_VALUE"""),"| 3 P JAVA % | 5 L JAVA @ | 6 L NS @ ")</f>
        <v xml:space="preserve">| 3 P JAVA % | 5 L JAVA @ | 6 L NS @ </v>
      </c>
      <c r="AF407" s="4" t="str">
        <f ca="1">IFERROR(__xludf.DUMMYFUNCTION("""COMPUTED_VALUE"""),"| 1 P JAVA % | 3 P Python @ | 5 L NS @ | 6 L CPT @ ")</f>
        <v xml:space="preserve">| 1 P JAVA % | 3 P Python @ | 5 L NS @ | 6 L CPT @ </v>
      </c>
      <c r="AG407" s="4" t="str">
        <f ca="1">IFERROR(__xludf.DUMMYFUNCTION("""COMPUTED_VALUE"""),"| 1 P Python @ | 3 L CPT @ | 4 L PHP-CGM @ | 5 P CPT @ ")</f>
        <v xml:space="preserve">| 1 P Python @ | 3 L CPT @ | 4 L PHP-CGM @ | 5 P CPT @ </v>
      </c>
      <c r="AH407" s="4" t="str">
        <f ca="1">IFERROR(__xludf.DUMMYFUNCTION("""COMPUTED_VALUE"""),"| 1 P JAVA % | 3 P Python @ | 5 L NS @ | 6 L CPT @ ")</f>
        <v xml:space="preserve">| 1 P JAVA % | 3 P Python @ | 5 L NS @ | 6 L CPT @ </v>
      </c>
      <c r="AI407" s="4" t="str">
        <f ca="1">IFERROR(__xludf.DUMMYFUNCTION("""COMPUTED_VALUE"""),"| 1 P Python @ | 3 L CPT @ | 4 L PHP-CGM % | 5 P CPT @ ")</f>
        <v xml:space="preserve">| 1 P Python @ | 3 L CPT @ | 4 L PHP-CGM % | 5 P CPT @ </v>
      </c>
      <c r="AJ407" s="4" t="str">
        <f ca="1">IFERROR(__xludf.DUMMYFUNCTION("""COMPUTED_VALUE"""),"| 1 P PHP-CGM % | 3 L PHP-CGM % | 4 L JAVA % | 5 P PRO @ ")</f>
        <v xml:space="preserve">| 1 P PHP-CGM % | 3 L PHP-CGM % | 4 L JAVA % | 5 P PRO @ </v>
      </c>
      <c r="AK407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07" s="4" t="str">
        <f ca="1">IFERROR(__xludf.DUMMYFUNCTION("""COMPUTED_VALUE"""),"| 3 P JAVA % | 5 L JAVA % | 6 L NS % ")</f>
        <v xml:space="preserve">| 3 P JAVA % | 5 L JAVA % | 6 L NS % </v>
      </c>
      <c r="AM407" s="4" t="str">
        <f ca="1">IFERROR(__xludf.DUMMYFUNCTION("""COMPUTED_VALUE"""),"| 1 P JAVA @ | 3 P Python % | 5 L NS % | 6 L CPT % ")</f>
        <v xml:space="preserve">| 1 P JAVA @ | 3 P Python % | 5 L NS % | 6 L CPT % </v>
      </c>
      <c r="AN407" s="4" t="str">
        <f ca="1">IFERROR(__xludf.DUMMYFUNCTION("""COMPUTED_VALUE"""),"| 1 P Python @ | 4 L PHP-CGM @ | 5 P CPT @ ")</f>
        <v xml:space="preserve">| 1 P Python @ | 4 L PHP-CGM @ | 5 P CPT @ </v>
      </c>
      <c r="AO407" s="4" t="str">
        <f ca="1">IFERROR(__xludf.DUMMYFUNCTION("""COMPUTED_VALUE"""),"| 1 P PHP-CGM @ | 3 L PHP-CGM % | 4 L JAVA % | 5 P PRO @ ")</f>
        <v xml:space="preserve">| 1 P PHP-CGM @ | 3 L PHP-CGM % | 4 L JAVA % | 5 P PRO @ </v>
      </c>
      <c r="AP407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Q407" s="4" t="str">
        <f ca="1">IFERROR(__xludf.DUMMYFUNCTION("""COMPUTED_VALUE"""),"| 1 L INE @ | 3 P JAVA @ | 5 L JAVA @ | 6 L NS @ ")</f>
        <v xml:space="preserve">| 1 L INE @ | 3 P JAVA @ | 5 L JAVA @ | 6 L NS @ </v>
      </c>
      <c r="AR407" s="4" t="str">
        <f ca="1">IFERROR(__xludf.DUMMYFUNCTION("""COMPUTED_VALUE"""),"| 1 P JAVA @ | 3 L CPT @ | 3 P Python % | 5 L NS % | 6 L CPT % ")</f>
        <v xml:space="preserve">| 1 P JAVA @ | 3 L CPT @ | 3 P Python % | 5 L NS % | 6 L CPT % </v>
      </c>
      <c r="AS407" s="4" t="str">
        <f ca="1">IFERROR(__xludf.DUMMYFUNCTION("""COMPUTED_VALUE"""),"| 1 P PHP-CGM @ | 3 L PHP-CGM @ | 4 L JAVA @ | 5 P PRO @ ")</f>
        <v xml:space="preserve">| 1 P PHP-CGM @ | 3 L PHP-CGM @ | 4 L JAVA @ | 5 P PRO @ </v>
      </c>
      <c r="AT407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U407" s="4" t="str">
        <f ca="1">IFERROR(__xludf.DUMMYFUNCTION("""COMPUTED_VALUE"""),"| 1 L INE @ | 3 P JAVA % | 5 L JAVA @ | 6 L NS @ ")</f>
        <v xml:space="preserve">| 1 L INE @ | 3 P JAVA % | 5 L JAVA @ | 6 L NS @ </v>
      </c>
      <c r="AV407" s="4" t="str">
        <f ca="1">IFERROR(__xludf.DUMMYFUNCTION("""COMPUTED_VALUE"""),"| 1 P JAVA % | 3 P Python % | 5 L NS % | 6 L CPT % ")</f>
        <v xml:space="preserve">| 1 P JAVA % | 3 P Python % | 5 L NS % | 6 L CPT % </v>
      </c>
      <c r="AW407" s="4" t="str">
        <f ca="1">IFERROR(__xludf.DUMMYFUNCTION("""COMPUTED_VALUE"""),"| 1 P Python @ | 3 L CPT @ | 4 L PHP-CGM @ | 5 P CPT @ ")</f>
        <v xml:space="preserve">| 1 P Python @ | 3 L CPT @ | 4 L PHP-CGM @ | 5 P CPT @ </v>
      </c>
      <c r="AX407" s="4" t="str">
        <f ca="1">IFERROR(__xludf.DUMMYFUNCTION("""COMPUTED_VALUE"""),"| 1 P PHP-CGM @ | 3 L JAVA @ | 4 L PHP-CGM @ | 5 P PRO @ ")</f>
        <v xml:space="preserve">| 1 P PHP-CGM @ | 3 L JAVA @ | 4 L PHP-CGM @ | 5 P PRO @ </v>
      </c>
      <c r="AY407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07" s="4" t="str">
        <f ca="1">IFERROR(__xludf.DUMMYFUNCTION("""COMPUTED_VALUE"""),"| 1 P JAVA @ | 3 P Python @ | 5 L NS @ | 6 L CPT @ ")</f>
        <v xml:space="preserve">| 1 P JAVA @ | 3 P Python @ | 5 L NS @ | 6 L CPT @ </v>
      </c>
      <c r="BA407" s="4" t="str">
        <f ca="1">IFERROR(__xludf.DUMMYFUNCTION("""COMPUTED_VALUE"""),"| 1 P Python @ | 3 L CPT % | 4 L PHP-CGM @ | 5 P CPT @ ")</f>
        <v xml:space="preserve">| 1 P Python @ | 3 L CPT % | 4 L PHP-CGM @ | 5 P CPT @ </v>
      </c>
      <c r="BB407" s="4" t="str">
        <f ca="1">IFERROR(__xludf.DUMMYFUNCTION("""COMPUTED_VALUE"""),"| 1 P PHP-CGM % | 3 L PHP-CGM % | 4 L JAVA % | 5 L PRO @ ")</f>
        <v xml:space="preserve">| 1 P PHP-CGM % | 3 L PHP-CGM % | 4 L JAVA % | 5 L PRO @ </v>
      </c>
      <c r="BC407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7" s="4" t="str">
        <f ca="1">IFERROR(__xludf.DUMMYFUNCTION("""COMPUTED_VALUE"""),"| 1 L INE @ | 3 P JAVA @ | 5 L JAVA @ | 6 L NS @ ")</f>
        <v xml:space="preserve">| 1 L INE @ | 3 P JAVA @ | 5 L JAVA @ | 6 L NS @ </v>
      </c>
      <c r="BE407" s="4" t="str">
        <f ca="1">IFERROR(__xludf.DUMMYFUNCTION("""COMPUTED_VALUE"""),"| 1 P JAVA @ | 3 P Python % | 5 L NS % | 6 L CPT @ ")</f>
        <v xml:space="preserve">| 1 P JAVA @ | 3 P Python % | 5 L NS % | 6 L CPT @ </v>
      </c>
      <c r="BF407" s="4" t="str">
        <f ca="1">IFERROR(__xludf.DUMMYFUNCTION("""COMPUTED_VALUE"""),"| 1 P Python % | 3 L CPT % | 4 L PHP-CGM % | 5 P CPT @ ")</f>
        <v xml:space="preserve">| 1 P Python % | 3 L CPT % | 4 L PHP-CGM % | 5 P CPT @ </v>
      </c>
      <c r="BG407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07" s="4" t="str">
        <f ca="1">IFERROR(__xludf.DUMMYFUNCTION("""COMPUTED_VALUE"""),"| 1 L INE @ | 3 P JAVA @ | 5 L JAVA @ | 6 L NS @ ")</f>
        <v xml:space="preserve">| 1 L INE @ | 3 P JAVA @ | 5 L JAVA @ | 6 L NS @ </v>
      </c>
      <c r="BI407" s="4" t="str">
        <f ca="1">IFERROR(__xludf.DUMMYFUNCTION("""COMPUTED_VALUE"""),"| 1 P JAVA @ | 3 P Python @ | 5 L NS @ | 6 L CPT @ ")</f>
        <v xml:space="preserve">| 1 P JAVA @ | 3 P Python @ | 5 L NS @ | 6 L CPT @ </v>
      </c>
      <c r="BJ407" s="4" t="str">
        <f ca="1">IFERROR(__xludf.DUMMYFUNCTION("""COMPUTED_VALUE"""),"| 1 P Python @ | 3 L CPT @ | 4 L PHP-CGM @ | 5 P CPT @ ")</f>
        <v xml:space="preserve">| 1 P Python @ | 3 L CPT @ | 4 L PHP-CGM @ | 5 P CPT @ </v>
      </c>
      <c r="BK407" s="4" t="str">
        <f ca="1">IFERROR(__xludf.DUMMYFUNCTION("""COMPUTED_VALUE"""),"| 1 P PHP-CGM @ | 3 L PHP-CGM @ | 4 L JAVA @ | 5 P PRO @ ")</f>
        <v xml:space="preserve">| 1 P PHP-CGM @ | 3 L PHP-CGM @ | 4 L JAVA @ | 5 P PRO @ </v>
      </c>
      <c r="BL407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BM407" s="4" t="str">
        <f ca="1">IFERROR(__xludf.DUMMYFUNCTION("""COMPUTED_VALUE"""),"| 1 L INE @ | 3 P JAVA @ | 5 L JAVA @ | 6 L NS @ ")</f>
        <v xml:space="preserve">| 1 L INE @ | 3 P JAVA @ | 5 L JAVA @ | 6 L NS @ </v>
      </c>
      <c r="BN407" s="4" t="str">
        <f ca="1">IFERROR(__xludf.DUMMYFUNCTION("""COMPUTED_VALUE"""),"| 1 P JAVA @ | 3 P Python % | 5 L NS @ | 6 L CPT @ ")</f>
        <v xml:space="preserve">| 1 P JAVA @ | 3 P Python % | 5 L NS @ | 6 L CPT @ </v>
      </c>
      <c r="BO407" s="4" t="str">
        <f ca="1">IFERROR(__xludf.DUMMYFUNCTION("""COMPUTED_VALUE"""),"| 1 P Python @ | 4 L PHP-CGM @ | 3 L CPT @ | 5 P CPT @ ")</f>
        <v xml:space="preserve">| 1 P Python @ | 4 L PHP-CGM @ | 3 L CPT @ | 5 P CPT @ </v>
      </c>
      <c r="BP407" s="4" t="str">
        <f ca="1">IFERROR(__xludf.DUMMYFUNCTION("""COMPUTED_VALUE"""),"| 1 P PHP-CGM @ | 3 L PHP-CGM % | 4 L JAVA % | 6 P PRO @ ")</f>
        <v xml:space="preserve">| 1 P PHP-CGM @ | 3 L PHP-CGM % | 4 L JAVA % | 6 P PRO @ </v>
      </c>
      <c r="BQ407" s="4" t="str">
        <f ca="1">IFERROR(__xludf.DUMMYFUNCTION("""COMPUTED_VALUE"""),"| 6 L NS % | 5 L JAVA @ ")</f>
        <v xml:space="preserve">| 6 L NS % | 5 L JAVA @ </v>
      </c>
      <c r="BR407" s="4"/>
      <c r="BS407" s="4" t="str">
        <f ca="1">IFERROR(__xludf.DUMMYFUNCTION("""COMPUTED_VALUE"""),"| 4 L PHP-CGM % ")</f>
        <v xml:space="preserve">| 4 L PHP-CGM % </v>
      </c>
      <c r="BT407" s="4" t="str">
        <f ca="1">IFERROR(__xludf.DUMMYFUNCTION("""COMPUTED_VALUE"""),"| 1 P PHP-CGM % | 3 L PHP-CGM @ ")</f>
        <v xml:space="preserve">| 1 P PHP-CGM % | 3 L PHP-CGM @ </v>
      </c>
      <c r="BU407" s="4" t="str">
        <f ca="1">IFERROR(__xludf.DUMMYFUNCTION("""COMPUTED_VALUE"""),"| 1 L JAVA % | 2 L PHP-CGM % | 3 P NS % ")</f>
        <v xml:space="preserve">| 1 L JAVA % | 2 L PHP-CGM % | 3 P NS % </v>
      </c>
      <c r="BV407" s="4" t="str">
        <f ca="1">IFERROR(__xludf.DUMMYFUNCTION("""COMPUTED_VALUE"""),"| 1 P PHP-CGM % | 3 L PHP-CGM % | 4 L JAVA % | 5 P PRO @ ")</f>
        <v xml:space="preserve">| 1 P PHP-CGM % | 3 L PHP-CGM % | 4 L JAVA % | 5 P PRO @ </v>
      </c>
      <c r="BW407" s="4" t="str">
        <f ca="1">IFERROR(__xludf.DUMMYFUNCTION("""COMPUTED_VALUE"""),"| 1 L JAVA % | 2 L PHP-CGM % | 3 P NS % ")</f>
        <v xml:space="preserve">| 1 L JAVA % | 2 L PHP-CGM % | 3 P NS % </v>
      </c>
      <c r="BX407" s="4" t="str">
        <f ca="1">IFERROR(__xludf.DUMMYFUNCTION("""COMPUTED_VALUE"""),"| 1 L INE @ | 3 P JAVA % | 5 L JAVA @ | 6 L NS @ ")</f>
        <v xml:space="preserve">| 1 L INE @ | 3 P JAVA % | 5 L JAVA @ | 6 L NS @ </v>
      </c>
      <c r="BY407" s="4" t="str">
        <f ca="1">IFERROR(__xludf.DUMMYFUNCTION("""COMPUTED_VALUE"""),"| 1 P JAVA @ | 3 P Python % | 5 L NS % | 6 L CPT @ ")</f>
        <v xml:space="preserve">| 1 P JAVA @ | 3 P Python % | 5 L NS % | 6 L CPT @ </v>
      </c>
      <c r="BZ407" s="4" t="str">
        <f ca="1">IFERROR(__xludf.DUMMYFUNCTION("""COMPUTED_VALUE"""),"| 1 P Python % | 3 L CPT % | 4 L PHP-CGM % | 5 P CPT @ ")</f>
        <v xml:space="preserve">| 1 P Python % | 3 L CPT % | 4 L PHP-CGM % | 5 P CPT @ </v>
      </c>
      <c r="CA407" s="4" t="str">
        <f ca="1">IFERROR(__xludf.DUMMYFUNCTION("""COMPUTED_VALUE"""),"| 1 P PHP-CGM % | 3 L PHP-CGM @ | 3 L JAVA @ | 5 P PRO @ ")</f>
        <v xml:space="preserve">| 1 P PHP-CGM % | 3 L PHP-CGM @ | 3 L JAVA @ | 5 P PRO @ </v>
      </c>
      <c r="CB407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407" s="4" t="str">
        <f ca="1">IFERROR(__xludf.DUMMYFUNCTION("""COMPUTED_VALUE"""),"| 1 L INE % | 3 P JAVA % | 5 L JAVA % | 6 L NS % ")</f>
        <v xml:space="preserve">| 1 L INE % | 3 P JAVA % | 5 L JAVA % | 6 L NS % </v>
      </c>
      <c r="CD407" s="4" t="str">
        <f ca="1">IFERROR(__xludf.DUMMYFUNCTION("""COMPUTED_VALUE"""),"| 1 P JAVA @ | 3 P Python @ | 5 L NS @ | 6 L CPT @ ")</f>
        <v xml:space="preserve">| 1 P JAVA @ | 3 P Python @ | 5 L NS @ | 6 L CPT @ </v>
      </c>
      <c r="CE407" s="4" t="str">
        <f ca="1">IFERROR(__xludf.DUMMYFUNCTION("""COMPUTED_VALUE"""),"| 1 P Python % | 3 L CPT % | 4 L PHP-CGM % | 5 P CPT % ")</f>
        <v xml:space="preserve">| 1 P Python % | 3 L CPT % | 4 L PHP-CGM % | 5 P CPT % </v>
      </c>
      <c r="CF407" s="4" t="str">
        <f ca="1">IFERROR(__xludf.DUMMYFUNCTION("""COMPUTED_VALUE"""),"| 1 P PHP-CGM % | 4 L JAVA @ | 3 L PHP-CGM @ | 5 L PRO % ")</f>
        <v xml:space="preserve">| 1 P PHP-CGM % | 4 L JAVA @ | 3 L PHP-CGM @ | 5 L PRO % </v>
      </c>
      <c r="CG407" s="4" t="str">
        <f ca="1">IFERROR(__xludf.DUMMYFUNCTION("""COMPUTED_VALUE"""),"| 1 L JAVA % | 2 L PHP-CGM % | 3 P NS % | 6 L NS @ ")</f>
        <v xml:space="preserve">| 1 L JAVA % | 2 L PHP-CGM % | 3 P NS % | 6 L NS @ </v>
      </c>
      <c r="CH407" s="4" t="str">
        <f ca="1">IFERROR(__xludf.DUMMYFUNCTION("""COMPUTED_VALUE"""),"| 1 L INE @ | 3 P JAVA % | 5 L JAVA @ | 6 L NS @ ")</f>
        <v xml:space="preserve">| 1 L INE @ | 3 P JAVA % | 5 L JAVA @ | 6 L NS @ </v>
      </c>
      <c r="CI407" s="4" t="str">
        <f ca="1">IFERROR(__xludf.DUMMYFUNCTION("""COMPUTED_VALUE"""),"| 5 L NS @ | 6 L CPT @ ")</f>
        <v xml:space="preserve">| 5 L NS @ | 6 L CPT @ </v>
      </c>
      <c r="CJ407" s="4" t="str">
        <f ca="1">IFERROR(__xludf.DUMMYFUNCTION("""COMPUTED_VALUE"""),"| 3 L CPT % | 5 P CPT % ")</f>
        <v xml:space="preserve">| 3 L CPT % | 5 P CPT % </v>
      </c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</row>
    <row r="408" spans="1:102" ht="12.5" x14ac:dyDescent="0.25">
      <c r="A408" s="3">
        <f ca="1">IFERROR(__xludf.DUMMYFUNCTION("""COMPUTED_VALUE"""),3)</f>
        <v>3</v>
      </c>
      <c r="B408" s="3" t="str">
        <f ca="1">IFERROR(__xludf.DUMMYFUNCTION("""COMPUTED_VALUE"""),"ITA")</f>
        <v>ITA</v>
      </c>
      <c r="C408" s="32" t="str">
        <f ca="1">IFERROR(__xludf.DUMMYFUNCTION("""COMPUTED_VALUE"""),"23291371147")</f>
        <v>23291371147</v>
      </c>
      <c r="D408" s="4" t="str">
        <f ca="1">IFERROR(__xludf.DUMMYFUNCTION("""COMPUTED_VALUE"""),"THAKOR RAVIKUMAR JAVANJI")</f>
        <v>THAKOR RAVIKUMAR JAVANJI</v>
      </c>
      <c r="E408" s="3" t="str">
        <f ca="1">IFERROR(__xludf.DUMMYFUNCTION("""COMPUTED_VALUE"""),"Sweety - Mor")</f>
        <v>Sweety - Mor</v>
      </c>
      <c r="F408" s="3">
        <f ca="1">IFERROR(__xludf.DUMMYFUNCTION("""COMPUTED_VALUE"""),9327948491)</f>
        <v>9327948491</v>
      </c>
      <c r="G408" s="3">
        <f ca="1">IFERROR(__xludf.DUMMYFUNCTION("""COMPUTED_VALUE"""),8401289850)</f>
        <v>8401289850</v>
      </c>
      <c r="H408" s="33">
        <f ca="1">IFERROR(__xludf.DUMMYFUNCTION("""COMPUTED_VALUE"""),0.682730923694779)</f>
        <v>0.68273092369477895</v>
      </c>
      <c r="I408" s="25">
        <f ca="1">IFERROR(__xludf.DUMMYFUNCTION("""COMPUTED_VALUE"""),0.628571428571428)</f>
        <v>0.628571428571428</v>
      </c>
      <c r="J408" s="25">
        <f ca="1">IFERROR(__xludf.DUMMYFUNCTION("""COMPUTED_VALUE"""),0.5)</f>
        <v>0.5</v>
      </c>
      <c r="K408" s="25">
        <f ca="1">IFERROR(__xludf.DUMMYFUNCTION("""COMPUTED_VALUE"""),0.694444444444444)</f>
        <v>0.69444444444444398</v>
      </c>
      <c r="L408" s="25">
        <f ca="1">IFERROR(__xludf.DUMMYFUNCTION("""COMPUTED_VALUE"""),0.846153846153846)</f>
        <v>0.84615384615384603</v>
      </c>
      <c r="M408" s="25">
        <f ca="1">IFERROR(__xludf.DUMMYFUNCTION("""COMPUTED_VALUE"""),0.631578947368421)</f>
        <v>0.63157894736842102</v>
      </c>
      <c r="N408" s="25">
        <f ca="1">IFERROR(__xludf.DUMMYFUNCTION("""COMPUTED_VALUE"""),0.692307692307692)</f>
        <v>0.69230769230769196</v>
      </c>
      <c r="O408" s="25">
        <f ca="1">IFERROR(__xludf.DUMMYFUNCTION("""COMPUTED_VALUE"""),0.666666666666666)</f>
        <v>0.66666666666666596</v>
      </c>
      <c r="P408" s="25">
        <f ca="1">IFERROR(__xludf.DUMMYFUNCTION("""COMPUTED_VALUE"""),0.869565217391304)</f>
        <v>0.86956521739130399</v>
      </c>
      <c r="Q408" s="25">
        <f ca="1">IFERROR(__xludf.DUMMYFUNCTION("""COMPUTED_VALUE"""),0)</f>
        <v>0</v>
      </c>
      <c r="R408" s="25">
        <f ca="1">IFERROR(__xludf.DUMMYFUNCTION("""COMPUTED_VALUE"""),0.739130434782608)</f>
        <v>0.73913043478260798</v>
      </c>
      <c r="S408" s="25">
        <f ca="1">IFERROR(__xludf.DUMMYFUNCTION("""COMPUTED_VALUE"""),0.666666666666666)</f>
        <v>0.66666666666666596</v>
      </c>
      <c r="T408" s="25">
        <f ca="1">IFERROR(__xludf.DUMMYFUNCTION("""COMPUTED_VALUE"""),0.666666666666666)</f>
        <v>0.66666666666666596</v>
      </c>
      <c r="U408" s="25">
        <f ca="1">IFERROR(__xludf.DUMMYFUNCTION("""COMPUTED_VALUE"""),0.5)</f>
        <v>0.5</v>
      </c>
      <c r="V408" s="25">
        <f ca="1">IFERROR(__xludf.DUMMYFUNCTION("""COMPUTED_VALUE"""),0)</f>
        <v>0</v>
      </c>
      <c r="W408" s="4"/>
      <c r="X408" s="4" t="str">
        <f ca="1">IFERROR(__xludf.DUMMYFUNCTION("""COMPUTED_VALUE"""),"| 4 L JAVA @ | 1 P PHP-CGM @ | 3 L PHP-CGM @ | 1 L PRO @ ")</f>
        <v xml:space="preserve">| 4 L JAVA @ | 1 P PHP-CGM @ | 3 L PHP-CGM @ | 1 L PRO @ </v>
      </c>
      <c r="Y40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08" s="4" t="str">
        <f ca="1">IFERROR(__xludf.DUMMYFUNCTION("""COMPUTED_VALUE"""),"| 3 P JAVA % | 5 L JAVA % | 6 L NS % ")</f>
        <v xml:space="preserve">| 3 P JAVA % | 5 L JAVA % | 6 L NS % </v>
      </c>
      <c r="AA408" s="4" t="str">
        <f ca="1">IFERROR(__xludf.DUMMYFUNCTION("""COMPUTED_VALUE"""),"| 1 P JAVA % | 3 P Python % | 5 L NS % | 6 L CPT % ")</f>
        <v xml:space="preserve">| 1 P JAVA % | 3 P Python % | 5 L NS % | 6 L CPT % </v>
      </c>
      <c r="AB408" s="4" t="str">
        <f ca="1">IFERROR(__xludf.DUMMYFUNCTION("""COMPUTED_VALUE"""),"| 1 P Python % | 3 L CPT % | 4 L PHP-CGM % | 5 P CPT % ")</f>
        <v xml:space="preserve">| 1 P Python % | 3 L CPT % | 4 L PHP-CGM % | 5 P CPT % </v>
      </c>
      <c r="AC408" s="4" t="str">
        <f ca="1">IFERROR(__xludf.DUMMYFUNCTION("""COMPUTED_VALUE"""),"| 1 P PHP-CGM % | 3 L PHP-CGM @ | 5 P PRO % ")</f>
        <v xml:space="preserve">| 1 P PHP-CGM % | 3 L PHP-CGM @ | 5 P PRO % </v>
      </c>
      <c r="AD408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08" s="4" t="str">
        <f ca="1">IFERROR(__xludf.DUMMYFUNCTION("""COMPUTED_VALUE"""),"| 3 P JAVA % | 5 L JAVA % | 6 L NS % ")</f>
        <v xml:space="preserve">| 3 P JAVA % | 5 L JAVA % | 6 L NS % </v>
      </c>
      <c r="AF408" s="4" t="str">
        <f ca="1">IFERROR(__xludf.DUMMYFUNCTION("""COMPUTED_VALUE"""),"| 1 P JAVA % | 3 P Python % | 5 L NS @ | 6 L CPT @ ")</f>
        <v xml:space="preserve">| 1 P JAVA % | 3 P Python % | 5 L NS @ | 6 L CPT @ </v>
      </c>
      <c r="AG408" s="4" t="str">
        <f ca="1">IFERROR(__xludf.DUMMYFUNCTION("""COMPUTED_VALUE"""),"| 1 P Python % | 3 L CPT % | 4 L PHP-CGM % | 5 P CPT % ")</f>
        <v xml:space="preserve">| 1 P Python % | 3 L CPT % | 4 L PHP-CGM % | 5 P CPT % </v>
      </c>
      <c r="AH408" s="4" t="str">
        <f ca="1">IFERROR(__xludf.DUMMYFUNCTION("""COMPUTED_VALUE"""),"| 1 P JAVA % | 3 P Python % | 5 L NS % | 6 L CPT % ")</f>
        <v xml:space="preserve">| 1 P JAVA % | 3 P Python % | 5 L NS % | 6 L CPT % </v>
      </c>
      <c r="AI408" s="4" t="str">
        <f ca="1">IFERROR(__xludf.DUMMYFUNCTION("""COMPUTED_VALUE"""),"| 1 P Python % | 3 L CPT % | 4 L PHP-CGM % | 5 P CPT % ")</f>
        <v xml:space="preserve">| 1 P Python % | 3 L CPT % | 4 L PHP-CGM % | 5 P CPT % </v>
      </c>
      <c r="AJ408" s="4" t="str">
        <f ca="1">IFERROR(__xludf.DUMMYFUNCTION("""COMPUTED_VALUE"""),"| 1 P PHP-CGM % | 3 L PHP-CGM % | 4 L JAVA % | 5 P PRO % ")</f>
        <v xml:space="preserve">| 1 P PHP-CGM % | 3 L PHP-CGM % | 4 L JAVA % | 5 P PRO % </v>
      </c>
      <c r="AK408" s="4" t="str">
        <f ca="1">IFERROR(__xludf.DUMMYFUNCTION("""COMPUTED_VALUE"""),"| 1 L JAVA @ | 2 L PHP-CGM @ | 3 P NS % | 5 L CPT % | 6 L NS % ")</f>
        <v xml:space="preserve">| 1 L JAVA @ | 2 L PHP-CGM @ | 3 P NS % | 5 L CPT % | 6 L NS % </v>
      </c>
      <c r="AL408" s="4" t="str">
        <f ca="1">IFERROR(__xludf.DUMMYFUNCTION("""COMPUTED_VALUE"""),"| 3 P JAVA % | 5 L JAVA % | 6 L NS % ")</f>
        <v xml:space="preserve">| 3 P JAVA % | 5 L JAVA % | 6 L NS % </v>
      </c>
      <c r="AM408" s="4" t="str">
        <f ca="1">IFERROR(__xludf.DUMMYFUNCTION("""COMPUTED_VALUE"""),"| 1 P JAVA % | 3 P Python % | 5 L NS % | 6 L CPT % ")</f>
        <v xml:space="preserve">| 1 P JAVA % | 3 P Python % | 5 L NS % | 6 L CPT % </v>
      </c>
      <c r="AN408" s="4" t="str">
        <f ca="1">IFERROR(__xludf.DUMMYFUNCTION("""COMPUTED_VALUE"""),"| 1 P Python @ | 4 L PHP-CGM @ | 5 P CPT @ ")</f>
        <v xml:space="preserve">| 1 P Python @ | 4 L PHP-CGM @ | 5 P CPT @ </v>
      </c>
      <c r="AO408" s="4" t="str">
        <f ca="1">IFERROR(__xludf.DUMMYFUNCTION("""COMPUTED_VALUE"""),"| 1 P PHP-CGM % | 3 L PHP-CGM % | 4 L JAVA % | 5 P PRO % ")</f>
        <v xml:space="preserve">| 1 P PHP-CGM % | 3 L PHP-CGM % | 4 L JAVA % | 5 P PRO % </v>
      </c>
      <c r="AP40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08" s="4" t="str">
        <f ca="1">IFERROR(__xludf.DUMMYFUNCTION("""COMPUTED_VALUE"""),"| 1 L INE @ | 3 P JAVA % | 5 L JAVA % | 6 L NS % ")</f>
        <v xml:space="preserve">| 1 L INE @ | 3 P JAVA % | 5 L JAVA % | 6 L NS % </v>
      </c>
      <c r="AR408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408" s="4" t="str">
        <f ca="1">IFERROR(__xludf.DUMMYFUNCTION("""COMPUTED_VALUE"""),"| 1 P PHP-CGM % | 3 L PHP-CGM % | 4 L JAVA % | 5 P PRO % ")</f>
        <v xml:space="preserve">| 1 P PHP-CGM % | 3 L PHP-CGM % | 4 L JAVA % | 5 P PRO % </v>
      </c>
      <c r="AT40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08" s="4" t="str">
        <f ca="1">IFERROR(__xludf.DUMMYFUNCTION("""COMPUTED_VALUE"""),"| 1 L INE % | 3 P JAVA % | 5 L JAVA % | 6 L NS % ")</f>
        <v xml:space="preserve">| 1 L INE % | 3 P JAVA % | 5 L JAVA % | 6 L NS % </v>
      </c>
      <c r="AV408" s="4" t="str">
        <f ca="1">IFERROR(__xludf.DUMMYFUNCTION("""COMPUTED_VALUE"""),"| 1 P JAVA % | 3 P Python % | 5 L NS % | 6 L CPT % ")</f>
        <v xml:space="preserve">| 1 P JAVA % | 3 P Python % | 5 L NS % | 6 L CPT % </v>
      </c>
      <c r="AW408" s="4" t="str">
        <f ca="1">IFERROR(__xludf.DUMMYFUNCTION("""COMPUTED_VALUE"""),"| 1 P Python % | 3 L CPT @ | 4 L PHP-CGM @ | 5 P CPT @ ")</f>
        <v xml:space="preserve">| 1 P Python % | 3 L CPT @ | 4 L PHP-CGM @ | 5 P CPT @ </v>
      </c>
      <c r="AX408" s="4" t="str">
        <f ca="1">IFERROR(__xludf.DUMMYFUNCTION("""COMPUTED_VALUE"""),"| 1 P PHP-CGM % | 3 L JAVA % | 4 L PHP-CGM % | 5 P PRO % ")</f>
        <v xml:space="preserve">| 1 P PHP-CGM % | 3 L JAVA % | 4 L PHP-CGM % | 5 P PRO % </v>
      </c>
      <c r="AY408" s="4" t="str">
        <f ca="1">IFERROR(__xludf.DUMMYFUNCTION("""COMPUTED_VALUE"""),"| 2 L PHP-CGM % | 3 P NS % | 5 L CPT @ | 6 L NS @ | 1 L JAVA % ")</f>
        <v xml:space="preserve">| 2 L PHP-CGM % | 3 P NS % | 5 L CPT @ | 6 L NS @ | 1 L JAVA % </v>
      </c>
      <c r="AZ408" s="4" t="str">
        <f ca="1">IFERROR(__xludf.DUMMYFUNCTION("""COMPUTED_VALUE"""),"| 1 P JAVA % | 3 P Python % | 5 L NS % | 6 L CPT % ")</f>
        <v xml:space="preserve">| 1 P JAVA % | 3 P Python % | 5 L NS % | 6 L CPT % </v>
      </c>
      <c r="BA408" s="4" t="str">
        <f ca="1">IFERROR(__xludf.DUMMYFUNCTION("""COMPUTED_VALUE"""),"| 1 P Python % | 3 L CPT % | 4 L PHP-CGM % | 5 P CPT % ")</f>
        <v xml:space="preserve">| 1 P Python % | 3 L CPT % | 4 L PHP-CGM % | 5 P CPT % </v>
      </c>
      <c r="BB408" s="4" t="str">
        <f ca="1">IFERROR(__xludf.DUMMYFUNCTION("""COMPUTED_VALUE"""),"| 1 P PHP-CGM % | 3 L PHP-CGM % | 4 L JAVA % | 5 L PRO % ")</f>
        <v xml:space="preserve">| 1 P PHP-CGM % | 3 L PHP-CGM % | 4 L JAVA % | 5 L PRO % </v>
      </c>
      <c r="BC408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8" s="4" t="str">
        <f ca="1">IFERROR(__xludf.DUMMYFUNCTION("""COMPUTED_VALUE"""),"| 1 L INE @ | 3 P JAVA % | 5 L JAVA % | 6 L NS % ")</f>
        <v xml:space="preserve">| 1 L INE @ | 3 P JAVA % | 5 L JAVA % | 6 L NS % </v>
      </c>
      <c r="BE408" s="4" t="str">
        <f ca="1">IFERROR(__xludf.DUMMYFUNCTION("""COMPUTED_VALUE"""),"| 1 P JAVA % | 3 P Python % | 5 L NS % | 6 L CPT @ ")</f>
        <v xml:space="preserve">| 1 P JAVA % | 3 P Python % | 5 L NS % | 6 L CPT @ </v>
      </c>
      <c r="BF408" s="4" t="str">
        <f ca="1">IFERROR(__xludf.DUMMYFUNCTION("""COMPUTED_VALUE"""),"| 1 P Python @ | 3 L CPT @ | 4 L PHP-CGM @ | 5 P CPT @ ")</f>
        <v xml:space="preserve">| 1 P Python @ | 3 L CPT @ | 4 L PHP-CGM @ | 5 P CPT @ </v>
      </c>
      <c r="BG40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08" s="4" t="str">
        <f ca="1">IFERROR(__xludf.DUMMYFUNCTION("""COMPUTED_VALUE"""),"| 1 L INE % | 3 P JAVA % | 5 L JAVA @ | 6 L NS @ ")</f>
        <v xml:space="preserve">| 1 L INE % | 3 P JAVA % | 5 L JAVA @ | 6 L NS @ </v>
      </c>
      <c r="BI408" s="4" t="str">
        <f ca="1">IFERROR(__xludf.DUMMYFUNCTION("""COMPUTED_VALUE"""),"| 1 P JAVA % | 3 P Python % | 5 L NS @ | 6 L CPT @ ")</f>
        <v xml:space="preserve">| 1 P JAVA % | 3 P Python % | 5 L NS @ | 6 L CPT @ </v>
      </c>
      <c r="BJ408" s="4" t="str">
        <f ca="1">IFERROR(__xludf.DUMMYFUNCTION("""COMPUTED_VALUE"""),"| 1 P Python % | 3 L CPT % | 4 L PHP-CGM % | 5 P CPT % ")</f>
        <v xml:space="preserve">| 1 P Python % | 3 L CPT % | 4 L PHP-CGM % | 5 P CPT % </v>
      </c>
      <c r="BK408" s="4" t="str">
        <f ca="1">IFERROR(__xludf.DUMMYFUNCTION("""COMPUTED_VALUE"""),"| 1 P PHP-CGM % | 3 L PHP-CGM % | 4 L JAVA % | 5 P PRO @ ")</f>
        <v xml:space="preserve">| 1 P PHP-CGM % | 3 L PHP-CGM % | 4 L JAVA % | 5 P PRO @ </v>
      </c>
      <c r="BL408" s="4" t="str">
        <f ca="1">IFERROR(__xludf.DUMMYFUNCTION("""COMPUTED_VALUE"""),"| 1 L JAVA @ | 2 L PHP-CGM @ | 3 P NS % | 6 L NS % | 5 L CPT @ ")</f>
        <v xml:space="preserve">| 1 L JAVA @ | 2 L PHP-CGM @ | 3 P NS % | 6 L NS % | 5 L CPT @ </v>
      </c>
      <c r="BM408" s="4" t="str">
        <f ca="1">IFERROR(__xludf.DUMMYFUNCTION("""COMPUTED_VALUE"""),"| 1 L INE % | 3 P JAVA % | 5 L JAVA % | 6 L NS % ")</f>
        <v xml:space="preserve">| 1 L INE % | 3 P JAVA % | 5 L JAVA % | 6 L NS % </v>
      </c>
      <c r="BN408" s="4" t="str">
        <f ca="1">IFERROR(__xludf.DUMMYFUNCTION("""COMPUTED_VALUE"""),"| 1 P JAVA % | 3 P Python % | 5 L NS % | 6 L CPT % ")</f>
        <v xml:space="preserve">| 1 P JAVA % | 3 P Python % | 5 L NS % | 6 L CPT % </v>
      </c>
      <c r="BO408" s="4" t="str">
        <f ca="1">IFERROR(__xludf.DUMMYFUNCTION("""COMPUTED_VALUE"""),"| 1 P Python @ | 4 L PHP-CGM @ | 3 L CPT @ | 5 P CPT @ ")</f>
        <v xml:space="preserve">| 1 P Python @ | 4 L PHP-CGM @ | 3 L CPT @ | 5 P CPT @ </v>
      </c>
      <c r="BP408" s="4" t="str">
        <f ca="1">IFERROR(__xludf.DUMMYFUNCTION("""COMPUTED_VALUE"""),"| 1 P PHP-CGM % | 3 L PHP-CGM % | 4 L JAVA % | 6 P PRO % ")</f>
        <v xml:space="preserve">| 1 P PHP-CGM % | 3 L PHP-CGM % | 4 L JAVA % | 6 P PRO % </v>
      </c>
      <c r="BQ408" s="4" t="str">
        <f ca="1">IFERROR(__xludf.DUMMYFUNCTION("""COMPUTED_VALUE"""),"| 6 L NS % | 5 L JAVA @ ")</f>
        <v xml:space="preserve">| 6 L NS % | 5 L JAVA @ </v>
      </c>
      <c r="BR408" s="4"/>
      <c r="BS408" s="4" t="str">
        <f ca="1">IFERROR(__xludf.DUMMYFUNCTION("""COMPUTED_VALUE"""),"| 4 L PHP-CGM % ")</f>
        <v xml:space="preserve">| 4 L PHP-CGM % </v>
      </c>
      <c r="BT408" s="4" t="str">
        <f ca="1">IFERROR(__xludf.DUMMYFUNCTION("""COMPUTED_VALUE"""),"| 1 P PHP-CGM @ | 3 L PHP-CGM @ ")</f>
        <v xml:space="preserve">| 1 P PHP-CGM @ | 3 L PHP-CGM @ </v>
      </c>
      <c r="BU408" s="4" t="str">
        <f ca="1">IFERROR(__xludf.DUMMYFUNCTION("""COMPUTED_VALUE"""),"| 1 L JAVA @ | 2 L PHP-CGM @ | 3 P NS @ ")</f>
        <v xml:space="preserve">| 1 L JAVA @ | 2 L PHP-CGM @ | 3 P NS @ </v>
      </c>
      <c r="BV408" s="4" t="str">
        <f ca="1">IFERROR(__xludf.DUMMYFUNCTION("""COMPUTED_VALUE"""),"| 1 P PHP-CGM @ | 3 L PHP-CGM @ | 4 L JAVA @ | 5 P PRO @ ")</f>
        <v xml:space="preserve">| 1 P PHP-CGM @ | 3 L PHP-CGM @ | 4 L JAVA @ | 5 P PRO @ </v>
      </c>
      <c r="BW408" s="4" t="str">
        <f ca="1">IFERROR(__xludf.DUMMYFUNCTION("""COMPUTED_VALUE"""),"| 1 L JAVA @ | 2 L PHP-CGM @ | 3 P NS @ ")</f>
        <v xml:space="preserve">| 1 L JAVA @ | 2 L PHP-CGM @ | 3 P NS @ </v>
      </c>
      <c r="BX408" s="4" t="str">
        <f ca="1">IFERROR(__xludf.DUMMYFUNCTION("""COMPUTED_VALUE"""),"| 1 L INE @ | 3 P JAVA @ | 5 L JAVA @ | 6 L NS @ ")</f>
        <v xml:space="preserve">| 1 L INE @ | 3 P JAVA @ | 5 L JAVA @ | 6 L NS @ </v>
      </c>
      <c r="BY408" s="4" t="str">
        <f ca="1">IFERROR(__xludf.DUMMYFUNCTION("""COMPUTED_VALUE"""),"| 1 P JAVA @ | 3 P Python @ | 5 L NS @ | 6 L CPT @ ")</f>
        <v xml:space="preserve">| 1 P JAVA @ | 3 P Python @ | 5 L NS @ | 6 L CPT @ </v>
      </c>
      <c r="BZ408" s="4" t="str">
        <f ca="1">IFERROR(__xludf.DUMMYFUNCTION("""COMPUTED_VALUE"""),"| 1 P Python @ | 3 L CPT @ | 4 L PHP-CGM @ | 5 P CPT @ ")</f>
        <v xml:space="preserve">| 1 P Python @ | 3 L CPT @ | 4 L PHP-CGM @ | 5 P CPT @ </v>
      </c>
      <c r="CA408" s="4" t="str">
        <f ca="1">IFERROR(__xludf.DUMMYFUNCTION("""COMPUTED_VALUE"""),"| 1 P PHP-CGM @ | 3 L PHP-CGM @ | 3 L JAVA @ | 5 P PRO @ ")</f>
        <v xml:space="preserve">| 1 P PHP-CGM @ | 3 L PHP-CGM @ | 3 L JAVA @ | 5 P PRO @ </v>
      </c>
      <c r="CB408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408" s="4" t="str">
        <f ca="1">IFERROR(__xludf.DUMMYFUNCTION("""COMPUTED_VALUE"""),"| 1 L INE % | 3 P JAVA % | 5 L JAVA @ | 6 L NS @ ")</f>
        <v xml:space="preserve">| 1 L INE % | 3 P JAVA % | 5 L JAVA @ | 6 L NS @ </v>
      </c>
      <c r="CD408" s="4" t="str">
        <f ca="1">IFERROR(__xludf.DUMMYFUNCTION("""COMPUTED_VALUE"""),"| 1 P JAVA % | 3 P Python % | 5 L NS % | 6 L CPT % ")</f>
        <v xml:space="preserve">| 1 P JAVA % | 3 P Python % | 5 L NS % | 6 L CPT % </v>
      </c>
      <c r="CE408" s="4" t="str">
        <f ca="1">IFERROR(__xludf.DUMMYFUNCTION("""COMPUTED_VALUE"""),"| 1 P Python % | 3 L CPT % | 4 L PHP-CGM % | 5 P CPT @ ")</f>
        <v xml:space="preserve">| 1 P Python % | 3 L CPT % | 4 L PHP-CGM % | 5 P CPT @ </v>
      </c>
      <c r="CF408" s="4" t="str">
        <f ca="1">IFERROR(__xludf.DUMMYFUNCTION("""COMPUTED_VALUE"""),"| 1 P PHP-CGM % | 4 L JAVA % | 3 L PHP-CGM % | 5 L PRO % ")</f>
        <v xml:space="preserve">| 1 P PHP-CGM % | 4 L JAVA % | 3 L PHP-CGM % | 5 L PRO % </v>
      </c>
      <c r="CG408" s="4" t="str">
        <f ca="1">IFERROR(__xludf.DUMMYFUNCTION("""COMPUTED_VALUE"""),"| 1 L JAVA % | 2 L PHP-CGM % | 3 P NS % | 6 L NS @ ")</f>
        <v xml:space="preserve">| 1 L JAVA % | 2 L PHP-CGM % | 3 P NS % | 6 L NS @ </v>
      </c>
      <c r="CH408" s="4" t="str">
        <f ca="1">IFERROR(__xludf.DUMMYFUNCTION("""COMPUTED_VALUE"""),"| 1 L INE @ | 3 P JAVA % | 5 L JAVA @ | 6 L NS @ ")</f>
        <v xml:space="preserve">| 1 L INE @ | 3 P JAVA % | 5 L JAVA @ | 6 L NS @ </v>
      </c>
      <c r="CI408" s="4" t="str">
        <f ca="1">IFERROR(__xludf.DUMMYFUNCTION("""COMPUTED_VALUE"""),"| 5 L NS @ | 6 L CPT @ ")</f>
        <v xml:space="preserve">| 5 L NS @ | 6 L CPT @ </v>
      </c>
      <c r="CJ408" s="4" t="str">
        <f ca="1">IFERROR(__xludf.DUMMYFUNCTION("""COMPUTED_VALUE"""),"| 3 L CPT % | 5 P CPT % ")</f>
        <v xml:space="preserve">| 3 L CPT % | 5 P CPT % </v>
      </c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</row>
    <row r="409" spans="1:102" ht="12.5" x14ac:dyDescent="0.25">
      <c r="A409" s="3">
        <f ca="1">IFERROR(__xludf.DUMMYFUNCTION("""COMPUTED_VALUE"""),3)</f>
        <v>3</v>
      </c>
      <c r="B409" s="3" t="str">
        <f ca="1">IFERROR(__xludf.DUMMYFUNCTION("""COMPUTED_VALUE"""),"ITA")</f>
        <v>ITA</v>
      </c>
      <c r="C409" s="32" t="str">
        <f ca="1">IFERROR(__xludf.DUMMYFUNCTION("""COMPUTED_VALUE"""),"23291371149")</f>
        <v>23291371149</v>
      </c>
      <c r="D409" s="4" t="str">
        <f ca="1">IFERROR(__xludf.DUMMYFUNCTION("""COMPUTED_VALUE"""),"THAKOR URVESHJI LALUJI")</f>
        <v>THAKOR URVESHJI LALUJI</v>
      </c>
      <c r="E409" s="3" t="str">
        <f ca="1">IFERROR(__xludf.DUMMYFUNCTION("""COMPUTED_VALUE"""),"Sweety - Mor")</f>
        <v>Sweety - Mor</v>
      </c>
      <c r="F409" s="3">
        <f ca="1">IFERROR(__xludf.DUMMYFUNCTION("""COMPUTED_VALUE"""),8320575250)</f>
        <v>8320575250</v>
      </c>
      <c r="G409" s="3">
        <f ca="1">IFERROR(__xludf.DUMMYFUNCTION("""COMPUTED_VALUE"""),7433878257)</f>
        <v>7433878257</v>
      </c>
      <c r="H409" s="33">
        <f ca="1">IFERROR(__xludf.DUMMYFUNCTION("""COMPUTED_VALUE"""),0.7429718875502)</f>
        <v>0.74297188755020005</v>
      </c>
      <c r="I409" s="25">
        <f ca="1">IFERROR(__xludf.DUMMYFUNCTION("""COMPUTED_VALUE"""),0.742857142857142)</f>
        <v>0.74285714285714199</v>
      </c>
      <c r="J409" s="25">
        <f ca="1">IFERROR(__xludf.DUMMYFUNCTION("""COMPUTED_VALUE"""),0.25)</f>
        <v>0.25</v>
      </c>
      <c r="K409" s="25">
        <f ca="1">IFERROR(__xludf.DUMMYFUNCTION("""COMPUTED_VALUE"""),0.75)</f>
        <v>0.75</v>
      </c>
      <c r="L409" s="25">
        <f ca="1">IFERROR(__xludf.DUMMYFUNCTION("""COMPUTED_VALUE"""),0.923076923076923)</f>
        <v>0.92307692307692302</v>
      </c>
      <c r="M409" s="25">
        <f ca="1">IFERROR(__xludf.DUMMYFUNCTION("""COMPUTED_VALUE"""),0.894736842105263)</f>
        <v>0.89473684210526305</v>
      </c>
      <c r="N409" s="25">
        <f ca="1">IFERROR(__xludf.DUMMYFUNCTION("""COMPUTED_VALUE"""),0.769230769230769)</f>
        <v>0.76923076923076905</v>
      </c>
      <c r="O409" s="25">
        <f ca="1">IFERROR(__xludf.DUMMYFUNCTION("""COMPUTED_VALUE"""),0.75)</f>
        <v>0.75</v>
      </c>
      <c r="P409" s="25">
        <f ca="1">IFERROR(__xludf.DUMMYFUNCTION("""COMPUTED_VALUE"""),0.695652173913043)</f>
        <v>0.69565217391304301</v>
      </c>
      <c r="Q409" s="25">
        <f ca="1">IFERROR(__xludf.DUMMYFUNCTION("""COMPUTED_VALUE"""),0)</f>
        <v>0</v>
      </c>
      <c r="R409" s="25">
        <f ca="1">IFERROR(__xludf.DUMMYFUNCTION("""COMPUTED_VALUE"""),0.826086956521739)</f>
        <v>0.82608695652173902</v>
      </c>
      <c r="S409" s="25">
        <f ca="1">IFERROR(__xludf.DUMMYFUNCTION("""COMPUTED_VALUE"""),0.666666666666666)</f>
        <v>0.66666666666666596</v>
      </c>
      <c r="T409" s="25">
        <f ca="1">IFERROR(__xludf.DUMMYFUNCTION("""COMPUTED_VALUE"""),0.555555555555555)</f>
        <v>0.55555555555555503</v>
      </c>
      <c r="U409" s="25">
        <f ca="1">IFERROR(__xludf.DUMMYFUNCTION("""COMPUTED_VALUE"""),0.5)</f>
        <v>0.5</v>
      </c>
      <c r="V409" s="25">
        <f ca="1">IFERROR(__xludf.DUMMYFUNCTION("""COMPUTED_VALUE"""),0)</f>
        <v>0</v>
      </c>
      <c r="W409" s="4"/>
      <c r="X409" s="4" t="str">
        <f ca="1">IFERROR(__xludf.DUMMYFUNCTION("""COMPUTED_VALUE"""),"| 4 L JAVA % | 1 P PHP-CGM % | 3 L PHP-CGM % | 1 L PRO @ ")</f>
        <v xml:space="preserve">| 4 L JAVA % | 1 P PHP-CGM % | 3 L PHP-CGM % | 1 L PRO @ </v>
      </c>
      <c r="Y409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Z409" s="4" t="str">
        <f ca="1">IFERROR(__xludf.DUMMYFUNCTION("""COMPUTED_VALUE"""),"| 3 P JAVA % | 5 L JAVA @ | 6 L NS % ")</f>
        <v xml:space="preserve">| 3 P JAVA % | 5 L JAVA @ | 6 L NS % </v>
      </c>
      <c r="AA409" s="4" t="str">
        <f ca="1">IFERROR(__xludf.DUMMYFUNCTION("""COMPUTED_VALUE"""),"| 1 P JAVA % | 3 P Python % | 5 L NS % | 6 L CPT % ")</f>
        <v xml:space="preserve">| 1 P JAVA % | 3 P Python % | 5 L NS % | 6 L CPT % </v>
      </c>
      <c r="AB409" s="4" t="str">
        <f ca="1">IFERROR(__xludf.DUMMYFUNCTION("""COMPUTED_VALUE"""),"| 1 P Python % | 3 L CPT % | 4 L PHP-CGM % | 5 P CPT @ ")</f>
        <v xml:space="preserve">| 1 P Python % | 3 L CPT % | 4 L PHP-CGM % | 5 P CPT @ </v>
      </c>
      <c r="AC409" s="4" t="str">
        <f ca="1">IFERROR(__xludf.DUMMYFUNCTION("""COMPUTED_VALUE"""),"| 1 P PHP-CGM % | 3 L PHP-CGM % | 5 P PRO % ")</f>
        <v xml:space="preserve">| 1 P PHP-CGM % | 3 L PHP-CGM % | 5 P PRO % </v>
      </c>
      <c r="AD409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09" s="4" t="str">
        <f ca="1">IFERROR(__xludf.DUMMYFUNCTION("""COMPUTED_VALUE"""),"| 3 P JAVA % | 5 L JAVA % | 6 L NS % ")</f>
        <v xml:space="preserve">| 3 P JAVA % | 5 L JAVA % | 6 L NS % </v>
      </c>
      <c r="AF409" s="4" t="str">
        <f ca="1">IFERROR(__xludf.DUMMYFUNCTION("""COMPUTED_VALUE"""),"| 1 P JAVA % | 3 P Python % | 5 L NS % | 6 L CPT % ")</f>
        <v xml:space="preserve">| 1 P JAVA % | 3 P Python % | 5 L NS % | 6 L CPT % </v>
      </c>
      <c r="AG409" s="4" t="str">
        <f ca="1">IFERROR(__xludf.DUMMYFUNCTION("""COMPUTED_VALUE"""),"| 1 P Python % | 3 L CPT % | 4 L PHP-CGM % | 5 P CPT @ ")</f>
        <v xml:space="preserve">| 1 P Python % | 3 L CPT % | 4 L PHP-CGM % | 5 P CPT @ </v>
      </c>
      <c r="AH409" s="4" t="str">
        <f ca="1">IFERROR(__xludf.DUMMYFUNCTION("""COMPUTED_VALUE"""),"| 1 P JAVA % | 3 P Python % | 5 L NS % | 6 L CPT % ")</f>
        <v xml:space="preserve">| 1 P JAVA % | 3 P Python % | 5 L NS % | 6 L CPT % </v>
      </c>
      <c r="AI409" s="4" t="str">
        <f ca="1">IFERROR(__xludf.DUMMYFUNCTION("""COMPUTED_VALUE"""),"| 1 P Python % | 3 L CPT % | 4 L PHP-CGM % | 5 P CPT % ")</f>
        <v xml:space="preserve">| 1 P Python % | 3 L CPT % | 4 L PHP-CGM % | 5 P CPT % </v>
      </c>
      <c r="AJ409" s="4" t="str">
        <f ca="1">IFERROR(__xludf.DUMMYFUNCTION("""COMPUTED_VALUE"""),"| 1 P PHP-CGM % | 3 L PHP-CGM % | 4 L JAVA % | 5 P PRO % ")</f>
        <v xml:space="preserve">| 1 P PHP-CGM % | 3 L PHP-CGM % | 4 L JAVA % | 5 P PRO % </v>
      </c>
      <c r="AK40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09" s="4" t="str">
        <f ca="1">IFERROR(__xludf.DUMMYFUNCTION("""COMPUTED_VALUE"""),"| 3 P JAVA % | 5 L JAVA % | 6 L NS % ")</f>
        <v xml:space="preserve">| 3 P JAVA % | 5 L JAVA % | 6 L NS % </v>
      </c>
      <c r="AM409" s="4" t="str">
        <f ca="1">IFERROR(__xludf.DUMMYFUNCTION("""COMPUTED_VALUE"""),"| 1 P JAVA % | 3 P Python % | 5 L NS % | 6 L CPT % ")</f>
        <v xml:space="preserve">| 1 P JAVA % | 3 P Python % | 5 L NS % | 6 L CPT % </v>
      </c>
      <c r="AN409" s="4" t="str">
        <f ca="1">IFERROR(__xludf.DUMMYFUNCTION("""COMPUTED_VALUE"""),"| 1 P Python % | 4 L PHP-CGM % | 5 P CPT @ ")</f>
        <v xml:space="preserve">| 1 P Python % | 4 L PHP-CGM % | 5 P CPT @ </v>
      </c>
      <c r="AO409" s="4" t="str">
        <f ca="1">IFERROR(__xludf.DUMMYFUNCTION("""COMPUTED_VALUE"""),"| 1 P PHP-CGM % | 3 L PHP-CGM % | 4 L JAVA % | 5 P PRO % ")</f>
        <v xml:space="preserve">| 1 P PHP-CGM % | 3 L PHP-CGM % | 4 L JAVA % | 5 P PRO % </v>
      </c>
      <c r="AP40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09" s="4" t="str">
        <f ca="1">IFERROR(__xludf.DUMMYFUNCTION("""COMPUTED_VALUE"""),"| 1 L INE % | 3 P JAVA % | 5 L JAVA % | 6 L NS % ")</f>
        <v xml:space="preserve">| 1 L INE % | 3 P JAVA % | 5 L JAVA % | 6 L NS % </v>
      </c>
      <c r="AR409" s="4" t="str">
        <f ca="1">IFERROR(__xludf.DUMMYFUNCTION("""COMPUTED_VALUE"""),"| 1 P JAVA @ | 3 L CPT % | 3 P Python @ | 5 L NS @ | 6 L CPT @ ")</f>
        <v xml:space="preserve">| 1 P JAVA @ | 3 L CPT % | 3 P Python @ | 5 L NS @ | 6 L CPT @ </v>
      </c>
      <c r="AS409" s="4" t="str">
        <f ca="1">IFERROR(__xludf.DUMMYFUNCTION("""COMPUTED_VALUE"""),"| 1 P PHP-CGM % | 3 L PHP-CGM % | 4 L JAVA @ | 5 P PRO % ")</f>
        <v xml:space="preserve">| 1 P PHP-CGM % | 3 L PHP-CGM % | 4 L JAVA @ | 5 P PRO % </v>
      </c>
      <c r="AT40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09" s="4" t="str">
        <f ca="1">IFERROR(__xludf.DUMMYFUNCTION("""COMPUTED_VALUE"""),"| 1 L INE % | 3 P JAVA % | 5 L JAVA % | 6 L NS % ")</f>
        <v xml:space="preserve">| 1 L INE % | 3 P JAVA % | 5 L JAVA % | 6 L NS % </v>
      </c>
      <c r="AV409" s="4" t="str">
        <f ca="1">IFERROR(__xludf.DUMMYFUNCTION("""COMPUTED_VALUE"""),"| 1 P JAVA % | 3 P Python % | 5 L NS % | 6 L CPT % ")</f>
        <v xml:space="preserve">| 1 P JAVA % | 3 P Python % | 5 L NS % | 6 L CPT % </v>
      </c>
      <c r="AW409" s="4" t="str">
        <f ca="1">IFERROR(__xludf.DUMMYFUNCTION("""COMPUTED_VALUE"""),"| 1 P Python % | 3 L CPT % | 4 L PHP-CGM % | 5 P CPT @ ")</f>
        <v xml:space="preserve">| 1 P Python % | 3 L CPT % | 4 L PHP-CGM % | 5 P CPT @ </v>
      </c>
      <c r="AX409" s="4" t="str">
        <f ca="1">IFERROR(__xludf.DUMMYFUNCTION("""COMPUTED_VALUE"""),"| 1 P PHP-CGM % | 3 L JAVA % | 4 L PHP-CGM % | 5 P PRO % ")</f>
        <v xml:space="preserve">| 1 P PHP-CGM % | 3 L JAVA % | 4 L PHP-CGM % | 5 P PRO % </v>
      </c>
      <c r="AY409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09" s="4" t="str">
        <f ca="1">IFERROR(__xludf.DUMMYFUNCTION("""COMPUTED_VALUE"""),"| 1 P JAVA % | 3 P Python % | 5 L NS % | 6 L CPT % ")</f>
        <v xml:space="preserve">| 1 P JAVA % | 3 P Python % | 5 L NS % | 6 L CPT % </v>
      </c>
      <c r="BA409" s="4" t="str">
        <f ca="1">IFERROR(__xludf.DUMMYFUNCTION("""COMPUTED_VALUE"""),"| 1 P Python % | 3 L CPT % | 4 L PHP-CGM % | 5 P CPT @ ")</f>
        <v xml:space="preserve">| 1 P Python % | 3 L CPT % | 4 L PHP-CGM % | 5 P CPT @ </v>
      </c>
      <c r="BB409" s="4" t="str">
        <f ca="1">IFERROR(__xludf.DUMMYFUNCTION("""COMPUTED_VALUE"""),"| 1 P PHP-CGM @ | 3 L PHP-CGM % | 4 L JAVA % | 5 L PRO % ")</f>
        <v xml:space="preserve">| 1 P PHP-CGM @ | 3 L PHP-CGM % | 4 L JAVA % | 5 L PRO % </v>
      </c>
      <c r="BC409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09" s="4" t="str">
        <f ca="1">IFERROR(__xludf.DUMMYFUNCTION("""COMPUTED_VALUE"""),"| 1 L INE @ | 3 P JAVA @ | 5 L JAVA @ | 6 L NS @ ")</f>
        <v xml:space="preserve">| 1 L INE @ | 3 P JAVA @ | 5 L JAVA @ | 6 L NS @ </v>
      </c>
      <c r="BE409" s="4" t="str">
        <f ca="1">IFERROR(__xludf.DUMMYFUNCTION("""COMPUTED_VALUE"""),"| 1 P JAVA @ | 3 P Python % | 5 L NS % | 6 L CPT @ ")</f>
        <v xml:space="preserve">| 1 P JAVA @ | 3 P Python % | 5 L NS % | 6 L CPT @ </v>
      </c>
      <c r="BF409" s="4" t="str">
        <f ca="1">IFERROR(__xludf.DUMMYFUNCTION("""COMPUTED_VALUE"""),"| 1 P Python % | 3 L CPT % | 4 L PHP-CGM % | 5 P CPT @ ")</f>
        <v xml:space="preserve">| 1 P Python % | 3 L CPT % | 4 L PHP-CGM % | 5 P CPT @ </v>
      </c>
      <c r="BG409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09" s="4" t="str">
        <f ca="1">IFERROR(__xludf.DUMMYFUNCTION("""COMPUTED_VALUE"""),"| 1 L INE % | 3 P JAVA @ | 5 L JAVA % | 6 L NS % ")</f>
        <v xml:space="preserve">| 1 L INE % | 3 P JAVA @ | 5 L JAVA % | 6 L NS % </v>
      </c>
      <c r="BI409" s="4" t="str">
        <f ca="1">IFERROR(__xludf.DUMMYFUNCTION("""COMPUTED_VALUE"""),"| 1 P JAVA % | 3 P Python % | 5 L NS % | 6 L CPT % ")</f>
        <v xml:space="preserve">| 1 P JAVA % | 3 P Python % | 5 L NS % | 6 L CPT % </v>
      </c>
      <c r="BJ409" s="4" t="str">
        <f ca="1">IFERROR(__xludf.DUMMYFUNCTION("""COMPUTED_VALUE"""),"| 1 P Python % | 3 L CPT % | 4 L PHP-CGM % | 5 P CPT @ ")</f>
        <v xml:space="preserve">| 1 P Python % | 3 L CPT % | 4 L PHP-CGM % | 5 P CPT @ </v>
      </c>
      <c r="BK409" s="4" t="str">
        <f ca="1">IFERROR(__xludf.DUMMYFUNCTION("""COMPUTED_VALUE"""),"| 1 P PHP-CGM @ | 3 L PHP-CGM @ | 4 L JAVA @ | 5 P PRO @ ")</f>
        <v xml:space="preserve">| 1 P PHP-CGM @ | 3 L PHP-CGM @ | 4 L JAVA @ | 5 P PRO @ </v>
      </c>
      <c r="BL409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09" s="4" t="str">
        <f ca="1">IFERROR(__xludf.DUMMYFUNCTION("""COMPUTED_VALUE"""),"| 1 L INE @ | 3 P JAVA @ | 5 L JAVA @ | 6 L NS @ ")</f>
        <v xml:space="preserve">| 1 L INE @ | 3 P JAVA @ | 5 L JAVA @ | 6 L NS @ </v>
      </c>
      <c r="BN409" s="4" t="str">
        <f ca="1">IFERROR(__xludf.DUMMYFUNCTION("""COMPUTED_VALUE"""),"| 1 P JAVA @ | 3 P Python @ | 5 L NS @ | 6 L CPT @ ")</f>
        <v xml:space="preserve">| 1 P JAVA @ | 3 P Python @ | 5 L NS @ | 6 L CPT @ </v>
      </c>
      <c r="BO409" s="4" t="str">
        <f ca="1">IFERROR(__xludf.DUMMYFUNCTION("""COMPUTED_VALUE"""),"| 1 P Python @ | 4 L PHP-CGM @ | 3 L CPT @ | 5 P CPT @ ")</f>
        <v xml:space="preserve">| 1 P Python @ | 4 L PHP-CGM @ | 3 L CPT @ | 5 P CPT @ </v>
      </c>
      <c r="BP409" s="4" t="str">
        <f ca="1">IFERROR(__xludf.DUMMYFUNCTION("""COMPUTED_VALUE"""),"| 1 P PHP-CGM % | 3 L PHP-CGM % | 4 L JAVA % | 6 P PRO @ ")</f>
        <v xml:space="preserve">| 1 P PHP-CGM % | 3 L PHP-CGM % | 4 L JAVA % | 6 P PRO @ </v>
      </c>
      <c r="BQ409" s="4" t="str">
        <f ca="1">IFERROR(__xludf.DUMMYFUNCTION("""COMPUTED_VALUE"""),"| 6 L NS % | 5 L JAVA @ ")</f>
        <v xml:space="preserve">| 6 L NS % | 5 L JAVA @ </v>
      </c>
      <c r="BR409" s="4"/>
      <c r="BS409" s="4" t="str">
        <f ca="1">IFERROR(__xludf.DUMMYFUNCTION("""COMPUTED_VALUE"""),"| 4 L PHP-CGM % ")</f>
        <v xml:space="preserve">| 4 L PHP-CGM % </v>
      </c>
      <c r="BT409" s="4" t="str">
        <f ca="1">IFERROR(__xludf.DUMMYFUNCTION("""COMPUTED_VALUE"""),"| 1 P PHP-CGM @ | 3 L PHP-CGM % ")</f>
        <v xml:space="preserve">| 1 P PHP-CGM @ | 3 L PHP-CGM % </v>
      </c>
      <c r="BU409" s="4" t="str">
        <f ca="1">IFERROR(__xludf.DUMMYFUNCTION("""COMPUTED_VALUE"""),"| 1 L JAVA % | 2 L PHP-CGM % | 3 P NS % ")</f>
        <v xml:space="preserve">| 1 L JAVA % | 2 L PHP-CGM % | 3 P NS % </v>
      </c>
      <c r="BV409" s="4" t="str">
        <f ca="1">IFERROR(__xludf.DUMMYFUNCTION("""COMPUTED_VALUE"""),"| 1 P PHP-CGM % | 3 L PHP-CGM % | 4 L JAVA % | 5 P PRO @ ")</f>
        <v xml:space="preserve">| 1 P PHP-CGM % | 3 L PHP-CGM % | 4 L JAVA % | 5 P PRO @ </v>
      </c>
      <c r="BW409" s="4" t="str">
        <f ca="1">IFERROR(__xludf.DUMMYFUNCTION("""COMPUTED_VALUE"""),"| 1 L JAVA % | 2 L PHP-CGM % | 3 P NS % ")</f>
        <v xml:space="preserve">| 1 L JAVA % | 2 L PHP-CGM % | 3 P NS % </v>
      </c>
      <c r="BX409" s="4" t="str">
        <f ca="1">IFERROR(__xludf.DUMMYFUNCTION("""COMPUTED_VALUE"""),"| 1 L INE @ | 3 P JAVA % | 5 L JAVA % | 6 L NS % ")</f>
        <v xml:space="preserve">| 1 L INE @ | 3 P JAVA % | 5 L JAVA % | 6 L NS % </v>
      </c>
      <c r="BY409" s="4" t="str">
        <f ca="1">IFERROR(__xludf.DUMMYFUNCTION("""COMPUTED_VALUE"""),"| 1 P JAVA @ | 3 P Python % | 5 L NS % | 6 L CPT @ ")</f>
        <v xml:space="preserve">| 1 P JAVA @ | 3 P Python % | 5 L NS % | 6 L CPT @ </v>
      </c>
      <c r="BZ409" s="4" t="str">
        <f ca="1">IFERROR(__xludf.DUMMYFUNCTION("""COMPUTED_VALUE"""),"| 1 P Python % | 3 L CPT % | 4 L PHP-CGM % | 5 P CPT @ ")</f>
        <v xml:space="preserve">| 1 P Python % | 3 L CPT % | 4 L PHP-CGM % | 5 P CPT @ </v>
      </c>
      <c r="CA409" s="4" t="str">
        <f ca="1">IFERROR(__xludf.DUMMYFUNCTION("""COMPUTED_VALUE"""),"| 1 P PHP-CGM % | 3 L PHP-CGM @ | 3 L JAVA @ | 5 P PRO @ ")</f>
        <v xml:space="preserve">| 1 P PHP-CGM % | 3 L PHP-CGM @ | 3 L JAVA @ | 5 P PRO @ </v>
      </c>
      <c r="CB409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409" s="4" t="str">
        <f ca="1">IFERROR(__xludf.DUMMYFUNCTION("""COMPUTED_VALUE"""),"| 1 L INE % | 3 P JAVA % | 5 L JAVA % | 6 L NS % ")</f>
        <v xml:space="preserve">| 1 L INE % | 3 P JAVA % | 5 L JAVA % | 6 L NS % </v>
      </c>
      <c r="CD409" s="4" t="str">
        <f ca="1">IFERROR(__xludf.DUMMYFUNCTION("""COMPUTED_VALUE"""),"| 1 P JAVA % | 3 P Python % | 5 L NS % | 6 L CPT % ")</f>
        <v xml:space="preserve">| 1 P JAVA % | 3 P Python % | 5 L NS % | 6 L CPT % </v>
      </c>
      <c r="CE409" s="4" t="str">
        <f ca="1">IFERROR(__xludf.DUMMYFUNCTION("""COMPUTED_VALUE"""),"| 1 P Python @ | 3 L CPT % | 4 L PHP-CGM % | 5 P CPT % ")</f>
        <v xml:space="preserve">| 1 P Python @ | 3 L CPT % | 4 L PHP-CGM % | 5 P CPT % </v>
      </c>
      <c r="CF409" s="4" t="str">
        <f ca="1">IFERROR(__xludf.DUMMYFUNCTION("""COMPUTED_VALUE"""),"| 1 P PHP-CGM % | 4 L JAVA % | 3 L PHP-CGM % | 5 L PRO % ")</f>
        <v xml:space="preserve">| 1 P PHP-CGM % | 4 L JAVA % | 3 L PHP-CGM % | 5 L PRO % </v>
      </c>
      <c r="CG409" s="4" t="str">
        <f ca="1">IFERROR(__xludf.DUMMYFUNCTION("""COMPUTED_VALUE"""),"| 1 L JAVA % | 2 L PHP-CGM % | 3 P NS % | 6 L NS @ ")</f>
        <v xml:space="preserve">| 1 L JAVA % | 2 L PHP-CGM % | 3 P NS % | 6 L NS @ </v>
      </c>
      <c r="CH409" s="4" t="str">
        <f ca="1">IFERROR(__xludf.DUMMYFUNCTION("""COMPUTED_VALUE"""),"| 1 L INE @ | 3 P JAVA % | 5 L JAVA @ | 6 L NS % ")</f>
        <v xml:space="preserve">| 1 L INE @ | 3 P JAVA % | 5 L JAVA @ | 6 L NS % </v>
      </c>
      <c r="CI409" s="4" t="str">
        <f ca="1">IFERROR(__xludf.DUMMYFUNCTION("""COMPUTED_VALUE"""),"| 5 L NS @ | 6 L CPT @ ")</f>
        <v xml:space="preserve">| 5 L NS @ | 6 L CPT @ </v>
      </c>
      <c r="CJ409" s="4" t="str">
        <f ca="1">IFERROR(__xludf.DUMMYFUNCTION("""COMPUTED_VALUE"""),"| 3 L CPT % | 5 P CPT % ")</f>
        <v xml:space="preserve">| 3 L CPT % | 5 P CPT % </v>
      </c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</row>
    <row r="410" spans="1:102" ht="12.5" x14ac:dyDescent="0.25">
      <c r="A410" s="3">
        <f ca="1">IFERROR(__xludf.DUMMYFUNCTION("""COMPUTED_VALUE"""),3)</f>
        <v>3</v>
      </c>
      <c r="B410" s="3" t="str">
        <f ca="1">IFERROR(__xludf.DUMMYFUNCTION("""COMPUTED_VALUE"""),"ITA")</f>
        <v>ITA</v>
      </c>
      <c r="C410" s="32" t="str">
        <f ca="1">IFERROR(__xludf.DUMMYFUNCTION("""COMPUTED_VALUE"""),"23291371150")</f>
        <v>23291371150</v>
      </c>
      <c r="D410" s="4" t="str">
        <f ca="1">IFERROR(__xludf.DUMMYFUNCTION("""COMPUTED_VALUE"""),"UTPAL PATEL")</f>
        <v>UTPAL PATEL</v>
      </c>
      <c r="E410" s="3" t="str">
        <f ca="1">IFERROR(__xludf.DUMMYFUNCTION("""COMPUTED_VALUE"""),"Sweety - Mor")</f>
        <v>Sweety - Mor</v>
      </c>
      <c r="F410" s="3">
        <f ca="1">IFERROR(__xludf.DUMMYFUNCTION("""COMPUTED_VALUE"""),9879231161)</f>
        <v>9879231161</v>
      </c>
      <c r="G410" s="3">
        <f ca="1">IFERROR(__xludf.DUMMYFUNCTION("""COMPUTED_VALUE"""),9879231161)</f>
        <v>9879231161</v>
      </c>
      <c r="H410" s="33">
        <f ca="1">IFERROR(__xludf.DUMMYFUNCTION("""COMPUTED_VALUE"""),0.421686746987951)</f>
        <v>0.421686746987951</v>
      </c>
      <c r="I410" s="25">
        <f ca="1">IFERROR(__xludf.DUMMYFUNCTION("""COMPUTED_VALUE"""),0.514285714285714)</f>
        <v>0.51428571428571401</v>
      </c>
      <c r="J410" s="25">
        <f ca="1">IFERROR(__xludf.DUMMYFUNCTION("""COMPUTED_VALUE"""),0.166666666666666)</f>
        <v>0.16666666666666599</v>
      </c>
      <c r="K410" s="25">
        <f ca="1">IFERROR(__xludf.DUMMYFUNCTION("""COMPUTED_VALUE"""),0.444444444444444)</f>
        <v>0.44444444444444398</v>
      </c>
      <c r="L410" s="25">
        <f ca="1">IFERROR(__xludf.DUMMYFUNCTION("""COMPUTED_VALUE"""),0.769230769230769)</f>
        <v>0.76923076923076905</v>
      </c>
      <c r="M410" s="25">
        <f ca="1">IFERROR(__xludf.DUMMYFUNCTION("""COMPUTED_VALUE"""),0.447368421052631)</f>
        <v>0.44736842105263103</v>
      </c>
      <c r="N410" s="25">
        <f ca="1">IFERROR(__xludf.DUMMYFUNCTION("""COMPUTED_VALUE"""),0.307692307692307)</f>
        <v>0.30769230769230699</v>
      </c>
      <c r="O410" s="25">
        <f ca="1">IFERROR(__xludf.DUMMYFUNCTION("""COMPUTED_VALUE"""),0.361111111111111)</f>
        <v>0.36111111111111099</v>
      </c>
      <c r="P410" s="25">
        <f ca="1">IFERROR(__xludf.DUMMYFUNCTION("""COMPUTED_VALUE"""),0.347826086956521)</f>
        <v>0.34782608695652101</v>
      </c>
      <c r="Q410" s="25">
        <f ca="1">IFERROR(__xludf.DUMMYFUNCTION("""COMPUTED_VALUE"""),0)</f>
        <v>0</v>
      </c>
      <c r="R410" s="25">
        <f ca="1">IFERROR(__xludf.DUMMYFUNCTION("""COMPUTED_VALUE"""),0.565217391304347)</f>
        <v>0.56521739130434701</v>
      </c>
      <c r="S410" s="25">
        <f ca="1">IFERROR(__xludf.DUMMYFUNCTION("""COMPUTED_VALUE"""),0.333333333333333)</f>
        <v>0.33333333333333298</v>
      </c>
      <c r="T410" s="25">
        <f ca="1">IFERROR(__xludf.DUMMYFUNCTION("""COMPUTED_VALUE"""),0.222222222222222)</f>
        <v>0.22222222222222199</v>
      </c>
      <c r="U410" s="25">
        <f ca="1">IFERROR(__xludf.DUMMYFUNCTION("""COMPUTED_VALUE"""),0.125)</f>
        <v>0.125</v>
      </c>
      <c r="V410" s="25">
        <f ca="1">IFERROR(__xludf.DUMMYFUNCTION("""COMPUTED_VALUE"""),0)</f>
        <v>0</v>
      </c>
      <c r="W410" s="4"/>
      <c r="X410" s="4" t="str">
        <f ca="1">IFERROR(__xludf.DUMMYFUNCTION("""COMPUTED_VALUE"""),"| 4 L JAVA @ | 1 P PHP-CGM % | 3 L PHP-CGM @ | 1 L PRO @ ")</f>
        <v xml:space="preserve">| 4 L JAVA @ | 1 P PHP-CGM % | 3 L PHP-CGM @ | 1 L PRO @ </v>
      </c>
      <c r="Y410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410" s="4" t="str">
        <f ca="1">IFERROR(__xludf.DUMMYFUNCTION("""COMPUTED_VALUE"""),"| 3 P JAVA % | 5 L JAVA @ | 6 L NS @ ")</f>
        <v xml:space="preserve">| 3 P JAVA % | 5 L JAVA @ | 6 L NS @ </v>
      </c>
      <c r="AA410" s="4" t="str">
        <f ca="1">IFERROR(__xludf.DUMMYFUNCTION("""COMPUTED_VALUE"""),"| 1 P JAVA % | 3 P Python % | 5 L NS @ | 6 L CPT @ ")</f>
        <v xml:space="preserve">| 1 P JAVA % | 3 P Python % | 5 L NS @ | 6 L CPT @ </v>
      </c>
      <c r="AB410" s="4" t="str">
        <f ca="1">IFERROR(__xludf.DUMMYFUNCTION("""COMPUTED_VALUE"""),"| 1 P Python % | 3 L CPT % | 4 L PHP-CGM % | 5 P CPT @ ")</f>
        <v xml:space="preserve">| 1 P Python % | 3 L CPT % | 4 L PHP-CGM % | 5 P CPT @ </v>
      </c>
      <c r="AC410" s="4" t="str">
        <f ca="1">IFERROR(__xludf.DUMMYFUNCTION("""COMPUTED_VALUE"""),"| 1 P PHP-CGM % | 3 L PHP-CGM % | 5 P PRO % ")</f>
        <v xml:space="preserve">| 1 P PHP-CGM % | 3 L PHP-CGM % | 5 P PRO % </v>
      </c>
      <c r="AD410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10" s="4" t="str">
        <f ca="1">IFERROR(__xludf.DUMMYFUNCTION("""COMPUTED_VALUE"""),"| 3 P JAVA % | 5 L JAVA % | 6 L NS % ")</f>
        <v xml:space="preserve">| 3 P JAVA % | 5 L JAVA % | 6 L NS % </v>
      </c>
      <c r="AF410" s="4" t="str">
        <f ca="1">IFERROR(__xludf.DUMMYFUNCTION("""COMPUTED_VALUE"""),"| 1 P JAVA % | 3 P Python % | 5 L NS @ | 6 L CPT @ ")</f>
        <v xml:space="preserve">| 1 P JAVA % | 3 P Python % | 5 L NS @ | 6 L CPT @ </v>
      </c>
      <c r="AG410" s="4" t="str">
        <f ca="1">IFERROR(__xludf.DUMMYFUNCTION("""COMPUTED_VALUE"""),"| 1 P Python @ | 3 L CPT @ | 4 L PHP-CGM @ | 5 P CPT @ ")</f>
        <v xml:space="preserve">| 1 P Python @ | 3 L CPT @ | 4 L PHP-CGM @ | 5 P CPT @ </v>
      </c>
      <c r="AH410" s="4" t="str">
        <f ca="1">IFERROR(__xludf.DUMMYFUNCTION("""COMPUTED_VALUE"""),"| 1 P JAVA % | 3 P Python % | 5 L NS % | 6 L CPT % ")</f>
        <v xml:space="preserve">| 1 P JAVA % | 3 P Python % | 5 L NS % | 6 L CPT % </v>
      </c>
      <c r="AI410" s="4" t="str">
        <f ca="1">IFERROR(__xludf.DUMMYFUNCTION("""COMPUTED_VALUE"""),"| 1 P Python % | 3 L CPT % | 4 L PHP-CGM % | 5 P CPT @ ")</f>
        <v xml:space="preserve">| 1 P Python % | 3 L CPT % | 4 L PHP-CGM % | 5 P CPT @ </v>
      </c>
      <c r="AJ410" s="4" t="str">
        <f ca="1">IFERROR(__xludf.DUMMYFUNCTION("""COMPUTED_VALUE"""),"| 1 P PHP-CGM % | 3 L PHP-CGM % | 4 L JAVA % | 5 P PRO % ")</f>
        <v xml:space="preserve">| 1 P PHP-CGM % | 3 L PHP-CGM % | 4 L JAVA % | 5 P PRO % </v>
      </c>
      <c r="AK410" s="4" t="str">
        <f ca="1">IFERROR(__xludf.DUMMYFUNCTION("""COMPUTED_VALUE"""),"| 1 L JAVA @ | 2 L PHP-CGM @ | 3 P NS % | 5 L CPT % | 6 L NS % ")</f>
        <v xml:space="preserve">| 1 L JAVA @ | 2 L PHP-CGM @ | 3 P NS % | 5 L CPT % | 6 L NS % </v>
      </c>
      <c r="AL410" s="4" t="str">
        <f ca="1">IFERROR(__xludf.DUMMYFUNCTION("""COMPUTED_VALUE"""),"| 3 P JAVA @ | 5 L JAVA % | 6 L NS % ")</f>
        <v xml:space="preserve">| 3 P JAVA @ | 5 L JAVA % | 6 L NS % </v>
      </c>
      <c r="AM410" s="4" t="str">
        <f ca="1">IFERROR(__xludf.DUMMYFUNCTION("""COMPUTED_VALUE"""),"| 1 P JAVA @ | 3 P Python @ | 5 L NS % | 6 L CPT % ")</f>
        <v xml:space="preserve">| 1 P JAVA @ | 3 P Python @ | 5 L NS % | 6 L CPT % </v>
      </c>
      <c r="AN410" s="4" t="str">
        <f ca="1">IFERROR(__xludf.DUMMYFUNCTION("""COMPUTED_VALUE"""),"| 1 P Python % | 4 L PHP-CGM % | 5 P CPT @ ")</f>
        <v xml:space="preserve">| 1 P Python % | 4 L PHP-CGM % | 5 P CPT @ </v>
      </c>
      <c r="AO410" s="4" t="str">
        <f ca="1">IFERROR(__xludf.DUMMYFUNCTION("""COMPUTED_VALUE"""),"| 1 P PHP-CGM @ | 3 L PHP-CGM % | 4 L JAVA % | 5 P PRO @ ")</f>
        <v xml:space="preserve">| 1 P PHP-CGM @ | 3 L PHP-CGM % | 4 L JAVA % | 5 P PRO @ </v>
      </c>
      <c r="AP410" s="4" t="str">
        <f ca="1">IFERROR(__xludf.DUMMYFUNCTION("""COMPUTED_VALUE"""),"| 1 L JAVA @ | 2 L PHP-CGM @ | 3 P NS @ | 5 L CPT % | 6 L NS % ")</f>
        <v xml:space="preserve">| 1 L JAVA @ | 2 L PHP-CGM @ | 3 P NS @ | 5 L CPT % | 6 L NS % </v>
      </c>
      <c r="AQ410" s="4" t="str">
        <f ca="1">IFERROR(__xludf.DUMMYFUNCTION("""COMPUTED_VALUE"""),"| 1 L INE @ | 3 P JAVA @ | 5 L JAVA @ | 6 L NS @ ")</f>
        <v xml:space="preserve">| 1 L INE @ | 3 P JAVA @ | 5 L JAVA @ | 6 L NS @ </v>
      </c>
      <c r="AR410" s="4" t="str">
        <f ca="1">IFERROR(__xludf.DUMMYFUNCTION("""COMPUTED_VALUE"""),"| 1 P JAVA @ | 3 L CPT % | 3 P Python @ | 5 L NS @ | 6 L CPT @ ")</f>
        <v xml:space="preserve">| 1 P JAVA @ | 3 L CPT % | 3 P Python @ | 5 L NS @ | 6 L CPT @ </v>
      </c>
      <c r="AS410" s="4" t="str">
        <f ca="1">IFERROR(__xludf.DUMMYFUNCTION("""COMPUTED_VALUE"""),"| 1 P PHP-CGM @ | 3 L PHP-CGM @ | 4 L JAVA @ | 5 P PRO @ ")</f>
        <v xml:space="preserve">| 1 P PHP-CGM @ | 3 L PHP-CGM @ | 4 L JAVA @ | 5 P PRO @ </v>
      </c>
      <c r="AT410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10" s="4" t="str">
        <f ca="1">IFERROR(__xludf.DUMMYFUNCTION("""COMPUTED_VALUE"""),"| 1 L INE @ | 3 P JAVA @ | 5 L JAVA @ | 6 L NS @ ")</f>
        <v xml:space="preserve">| 1 L INE @ | 3 P JAVA @ | 5 L JAVA @ | 6 L NS @ </v>
      </c>
      <c r="AV410" s="4" t="str">
        <f ca="1">IFERROR(__xludf.DUMMYFUNCTION("""COMPUTED_VALUE"""),"| 1 P JAVA @ | 3 P Python % | 5 L NS % | 6 L CPT % ")</f>
        <v xml:space="preserve">| 1 P JAVA @ | 3 P Python % | 5 L NS % | 6 L CPT % </v>
      </c>
      <c r="AW410" s="4" t="str">
        <f ca="1">IFERROR(__xludf.DUMMYFUNCTION("""COMPUTED_VALUE"""),"| 1 P Python % | 3 L CPT % | 4 L PHP-CGM % | 5 P CPT @ ")</f>
        <v xml:space="preserve">| 1 P Python % | 3 L CPT % | 4 L PHP-CGM % | 5 P CPT @ </v>
      </c>
      <c r="AX410" s="4" t="str">
        <f ca="1">IFERROR(__xludf.DUMMYFUNCTION("""COMPUTED_VALUE"""),"| 1 P PHP-CGM @ | 3 L JAVA @ | 4 L PHP-CGM @ | 5 P PRO @ ")</f>
        <v xml:space="preserve">| 1 P PHP-CGM @ | 3 L JAVA @ | 4 L PHP-CGM @ | 5 P PRO @ </v>
      </c>
      <c r="AY410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10" s="4" t="str">
        <f ca="1">IFERROR(__xludf.DUMMYFUNCTION("""COMPUTED_VALUE"""),"| 1 P JAVA @ | 3 P Python @ | 5 L NS @ | 6 L CPT @ ")</f>
        <v xml:space="preserve">| 1 P JAVA @ | 3 P Python @ | 5 L NS @ | 6 L CPT @ </v>
      </c>
      <c r="BA410" s="4" t="str">
        <f ca="1">IFERROR(__xludf.DUMMYFUNCTION("""COMPUTED_VALUE"""),"| 1 P Python @ | 3 L CPT @ | 4 L PHP-CGM @ | 5 P CPT @ ")</f>
        <v xml:space="preserve">| 1 P Python @ | 3 L CPT @ | 4 L PHP-CGM @ | 5 P CPT @ </v>
      </c>
      <c r="BB410" s="4" t="str">
        <f ca="1">IFERROR(__xludf.DUMMYFUNCTION("""COMPUTED_VALUE"""),"| 1 P PHP-CGM @ | 3 L PHP-CGM @ | 4 L JAVA @ | 5 L PRO @ ")</f>
        <v xml:space="preserve">| 1 P PHP-CGM @ | 3 L PHP-CGM @ | 4 L JAVA @ | 5 L PRO @ </v>
      </c>
      <c r="BC410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10" s="4" t="str">
        <f ca="1">IFERROR(__xludf.DUMMYFUNCTION("""COMPUTED_VALUE"""),"| 1 L INE @ | 3 P JAVA @ | 5 L JAVA @ | 6 L NS @ ")</f>
        <v xml:space="preserve">| 1 L INE @ | 3 P JAVA @ | 5 L JAVA @ | 6 L NS @ </v>
      </c>
      <c r="BE410" s="4" t="str">
        <f ca="1">IFERROR(__xludf.DUMMYFUNCTION("""COMPUTED_VALUE"""),"| 1 P JAVA @ | 3 P Python % | 5 L NS % | 6 L CPT @ ")</f>
        <v xml:space="preserve">| 1 P JAVA @ | 3 P Python % | 5 L NS % | 6 L CPT @ </v>
      </c>
      <c r="BF410" s="4" t="str">
        <f ca="1">IFERROR(__xludf.DUMMYFUNCTION("""COMPUTED_VALUE"""),"| 1 P Python @ | 3 L CPT % | 4 L PHP-CGM @ | 5 P CPT @ ")</f>
        <v xml:space="preserve">| 1 P Python @ | 3 L CPT % | 4 L PHP-CGM @ | 5 P CPT @ </v>
      </c>
      <c r="BG410" s="4" t="str">
        <f ca="1">IFERROR(__xludf.DUMMYFUNCTION("""COMPUTED_VALUE"""),"| 1 L JAVA @ | 2 L PHP-CGM @ | 3 P NS % | 5 L CPT % | 6 L NS % ")</f>
        <v xml:space="preserve">| 1 L JAVA @ | 2 L PHP-CGM @ | 3 P NS % | 5 L CPT % | 6 L NS % </v>
      </c>
      <c r="BH410" s="4" t="str">
        <f ca="1">IFERROR(__xludf.DUMMYFUNCTION("""COMPUTED_VALUE"""),"| 1 L INE @ | 3 P JAVA @ | 5 L JAVA @ | 6 L NS @ ")</f>
        <v xml:space="preserve">| 1 L INE @ | 3 P JAVA @ | 5 L JAVA @ | 6 L NS @ </v>
      </c>
      <c r="BI410" s="4" t="str">
        <f ca="1">IFERROR(__xludf.DUMMYFUNCTION("""COMPUTED_VALUE"""),"| 1 P JAVA @ | 3 P Python % | 5 L NS @ | 6 L CPT @ ")</f>
        <v xml:space="preserve">| 1 P JAVA @ | 3 P Python % | 5 L NS @ | 6 L CPT @ </v>
      </c>
      <c r="BJ410" s="4" t="str">
        <f ca="1">IFERROR(__xludf.DUMMYFUNCTION("""COMPUTED_VALUE"""),"| 1 P Python @ | 3 L CPT @ | 4 L PHP-CGM @ | 5 P CPT @ ")</f>
        <v xml:space="preserve">| 1 P Python @ | 3 L CPT @ | 4 L PHP-CGM @ | 5 P CPT @ </v>
      </c>
      <c r="BK410" s="4" t="str">
        <f ca="1">IFERROR(__xludf.DUMMYFUNCTION("""COMPUTED_VALUE"""),"| 1 P PHP-CGM @ | 3 L PHP-CGM @ | 4 L JAVA @ | 5 P PRO @ ")</f>
        <v xml:space="preserve">| 1 P PHP-CGM @ | 3 L PHP-CGM @ | 4 L JAVA @ | 5 P PRO @ </v>
      </c>
      <c r="BL410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10" s="4" t="str">
        <f ca="1">IFERROR(__xludf.DUMMYFUNCTION("""COMPUTED_VALUE"""),"| 1 L INE @ | 3 P JAVA @ | 5 L JAVA @ | 6 L NS @ ")</f>
        <v xml:space="preserve">| 1 L INE @ | 3 P JAVA @ | 5 L JAVA @ | 6 L NS @ </v>
      </c>
      <c r="BN410" s="4" t="str">
        <f ca="1">IFERROR(__xludf.DUMMYFUNCTION("""COMPUTED_VALUE"""),"| 1 P JAVA @ | 3 P Python @ | 5 L NS @ | 6 L CPT @ ")</f>
        <v xml:space="preserve">| 1 P JAVA @ | 3 P Python @ | 5 L NS @ | 6 L CPT @ </v>
      </c>
      <c r="BO410" s="4" t="str">
        <f ca="1">IFERROR(__xludf.DUMMYFUNCTION("""COMPUTED_VALUE"""),"| 1 P Python @ | 4 L PHP-CGM @ | 3 L CPT @ | 5 P CPT @ ")</f>
        <v xml:space="preserve">| 1 P Python @ | 4 L PHP-CGM @ | 3 L CPT @ | 5 P CPT @ </v>
      </c>
      <c r="BP410" s="4" t="str">
        <f ca="1">IFERROR(__xludf.DUMMYFUNCTION("""COMPUTED_VALUE"""),"| 1 P PHP-CGM @ | 3 L PHP-CGM @ | 4 L JAVA @ | 6 P PRO @ ")</f>
        <v xml:space="preserve">| 1 P PHP-CGM @ | 3 L PHP-CGM @ | 4 L JAVA @ | 6 P PRO @ </v>
      </c>
      <c r="BQ410" s="4" t="str">
        <f ca="1">IFERROR(__xludf.DUMMYFUNCTION("""COMPUTED_VALUE"""),"| 6 L NS % | 5 L JAVA % ")</f>
        <v xml:space="preserve">| 6 L NS % | 5 L JAVA % </v>
      </c>
      <c r="BR410" s="4"/>
      <c r="BS410" s="4" t="str">
        <f ca="1">IFERROR(__xludf.DUMMYFUNCTION("""COMPUTED_VALUE"""),"| 4 L PHP-CGM % ")</f>
        <v xml:space="preserve">| 4 L PHP-CGM % </v>
      </c>
      <c r="BT410" s="4" t="str">
        <f ca="1">IFERROR(__xludf.DUMMYFUNCTION("""COMPUTED_VALUE"""),"| 1 P PHP-CGM @ | 3 L PHP-CGM @ ")</f>
        <v xml:space="preserve">| 1 P PHP-CGM @ | 3 L PHP-CGM @ </v>
      </c>
      <c r="BU410" s="4" t="str">
        <f ca="1">IFERROR(__xludf.DUMMYFUNCTION("""COMPUTED_VALUE"""),"| 1 L JAVA % | 2 L PHP-CGM % | 3 P NS % ")</f>
        <v xml:space="preserve">| 1 L JAVA % | 2 L PHP-CGM % | 3 P NS % </v>
      </c>
      <c r="BV410" s="4" t="str">
        <f ca="1">IFERROR(__xludf.DUMMYFUNCTION("""COMPUTED_VALUE"""),"| 1 P PHP-CGM @ | 3 L PHP-CGM @ | 4 L JAVA @ | 5 P PRO @ ")</f>
        <v xml:space="preserve">| 1 P PHP-CGM @ | 3 L PHP-CGM @ | 4 L JAVA @ | 5 P PRO @ </v>
      </c>
      <c r="BW410" s="4" t="str">
        <f ca="1">IFERROR(__xludf.DUMMYFUNCTION("""COMPUTED_VALUE"""),"| 1 L JAVA % | 2 L PHP-CGM % | 3 P NS % ")</f>
        <v xml:space="preserve">| 1 L JAVA % | 2 L PHP-CGM % | 3 P NS % </v>
      </c>
      <c r="BX410" s="4" t="str">
        <f ca="1">IFERROR(__xludf.DUMMYFUNCTION("""COMPUTED_VALUE"""),"| 1 L INE @ | 3 P JAVA % | 5 L JAVA @ | 6 L NS @ ")</f>
        <v xml:space="preserve">| 1 L INE @ | 3 P JAVA % | 5 L JAVA @ | 6 L NS @ </v>
      </c>
      <c r="BY410" s="4" t="str">
        <f ca="1">IFERROR(__xludf.DUMMYFUNCTION("""COMPUTED_VALUE"""),"| 1 P JAVA @ | 3 P Python % | 5 L NS % | 6 L CPT @ ")</f>
        <v xml:space="preserve">| 1 P JAVA @ | 3 P Python % | 5 L NS % | 6 L CPT @ </v>
      </c>
      <c r="BZ410" s="4" t="str">
        <f ca="1">IFERROR(__xludf.DUMMYFUNCTION("""COMPUTED_VALUE"""),"| 1 P Python % | 3 L CPT % | 4 L PHP-CGM % | 5 P CPT @ ")</f>
        <v xml:space="preserve">| 1 P Python % | 3 L CPT % | 4 L PHP-CGM % | 5 P CPT @ </v>
      </c>
      <c r="CA410" s="4" t="str">
        <f ca="1">IFERROR(__xludf.DUMMYFUNCTION("""COMPUTED_VALUE"""),"| 1 P PHP-CGM @ | 3 L PHP-CGM @ | 3 L JAVA @ | 5 P PRO @ ")</f>
        <v xml:space="preserve">| 1 P PHP-CGM @ | 3 L PHP-CGM @ | 3 L JAVA @ | 5 P PRO @ </v>
      </c>
      <c r="CB410" s="4" t="str">
        <f ca="1">IFERROR(__xludf.DUMMYFUNCTION("""COMPUTED_VALUE"""),"| 1 L JAVA @ | 2 L PHP-CGM @ | 3 P NS % | 6 L NS @ | 5 L CPT @ ")</f>
        <v xml:space="preserve">| 1 L JAVA @ | 2 L PHP-CGM @ | 3 P NS % | 6 L NS @ | 5 L CPT @ </v>
      </c>
      <c r="CC410" s="4" t="str">
        <f ca="1">IFERROR(__xludf.DUMMYFUNCTION("""COMPUTED_VALUE"""),"| 1 L INE % | 3 P JAVA % | 5 L JAVA % | 6 L NS % ")</f>
        <v xml:space="preserve">| 1 L INE % | 3 P JAVA % | 5 L JAVA % | 6 L NS % </v>
      </c>
      <c r="CD410" s="4" t="str">
        <f ca="1">IFERROR(__xludf.DUMMYFUNCTION("""COMPUTED_VALUE"""),"| 1 P JAVA @ | 3 P Python @ | 5 L NS @ | 6 L CPT @ ")</f>
        <v xml:space="preserve">| 1 P JAVA @ | 3 P Python @ | 5 L NS @ | 6 L CPT @ </v>
      </c>
      <c r="CE410" s="4" t="str">
        <f ca="1">IFERROR(__xludf.DUMMYFUNCTION("""COMPUTED_VALUE"""),"| 1 P Python % | 3 L CPT % | 4 L PHP-CGM % | 5 P CPT % ")</f>
        <v xml:space="preserve">| 1 P Python % | 3 L CPT % | 4 L PHP-CGM % | 5 P CPT % </v>
      </c>
      <c r="CF410" s="4" t="str">
        <f ca="1">IFERROR(__xludf.DUMMYFUNCTION("""COMPUTED_VALUE"""),"| 1 P PHP-CGM % | 4 L JAVA @ | 3 L PHP-CGM @ | 5 L PRO % ")</f>
        <v xml:space="preserve">| 1 P PHP-CGM % | 4 L JAVA @ | 3 L PHP-CGM @ | 5 L PRO % </v>
      </c>
      <c r="CG410" s="4" t="str">
        <f ca="1">IFERROR(__xludf.DUMMYFUNCTION("""COMPUTED_VALUE"""),"| 1 L JAVA % | 2 L PHP-CGM % | 3 P NS % | 6 L NS @ ")</f>
        <v xml:space="preserve">| 1 L JAVA % | 2 L PHP-CGM % | 3 P NS % | 6 L NS @ </v>
      </c>
      <c r="CH410" s="4" t="str">
        <f ca="1">IFERROR(__xludf.DUMMYFUNCTION("""COMPUTED_VALUE"""),"| 1 L INE @ | 3 P JAVA % | 5 L JAVA @ | 6 L NS @ ")</f>
        <v xml:space="preserve">| 1 L INE @ | 3 P JAVA % | 5 L JAVA @ | 6 L NS @ </v>
      </c>
      <c r="CI410" s="4" t="str">
        <f ca="1">IFERROR(__xludf.DUMMYFUNCTION("""COMPUTED_VALUE"""),"| 5 L NS @ | 6 L CPT @ ")</f>
        <v xml:space="preserve">| 5 L NS @ | 6 L CPT @ </v>
      </c>
      <c r="CJ410" s="4" t="str">
        <f ca="1">IFERROR(__xludf.DUMMYFUNCTION("""COMPUTED_VALUE"""),"| 3 L CPT % | 5 P CPT % ")</f>
        <v xml:space="preserve">| 3 L CPT % | 5 P CPT % </v>
      </c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</row>
    <row r="411" spans="1:102" ht="12.5" x14ac:dyDescent="0.25">
      <c r="A411" s="3">
        <f ca="1">IFERROR(__xludf.DUMMYFUNCTION("""COMPUTED_VALUE"""),3)</f>
        <v>3</v>
      </c>
      <c r="B411" s="3" t="str">
        <f ca="1">IFERROR(__xludf.DUMMYFUNCTION("""COMPUTED_VALUE"""),"ITA")</f>
        <v>ITA</v>
      </c>
      <c r="C411" s="32" t="str">
        <f ca="1">IFERROR(__xludf.DUMMYFUNCTION("""COMPUTED_VALUE"""),"23291371151")</f>
        <v>23291371151</v>
      </c>
      <c r="D411" s="4" t="str">
        <f ca="1">IFERROR(__xludf.DUMMYFUNCTION("""COMPUTED_VALUE"""),"VAGHELA KAUSHIK MADHAVBHAI")</f>
        <v>VAGHELA KAUSHIK MADHAVBHAI</v>
      </c>
      <c r="E411" s="3" t="str">
        <f ca="1">IFERROR(__xludf.DUMMYFUNCTION("""COMPUTED_VALUE"""),"Sweety - Mor")</f>
        <v>Sweety - Mor</v>
      </c>
      <c r="F411" s="3">
        <f ca="1">IFERROR(__xludf.DUMMYFUNCTION("""COMPUTED_VALUE"""),9879268570)</f>
        <v>9879268570</v>
      </c>
      <c r="G411" s="3">
        <f ca="1">IFERROR(__xludf.DUMMYFUNCTION("""COMPUTED_VALUE"""),6351548850)</f>
        <v>6351548850</v>
      </c>
      <c r="H411" s="33">
        <f ca="1">IFERROR(__xludf.DUMMYFUNCTION("""COMPUTED_VALUE"""),0.755020080321285)</f>
        <v>0.75502008032128498</v>
      </c>
      <c r="I411" s="25">
        <f ca="1">IFERROR(__xludf.DUMMYFUNCTION("""COMPUTED_VALUE"""),0.657142857142857)</f>
        <v>0.65714285714285703</v>
      </c>
      <c r="J411" s="25">
        <f ca="1">IFERROR(__xludf.DUMMYFUNCTION("""COMPUTED_VALUE"""),0.583333333333333)</f>
        <v>0.58333333333333304</v>
      </c>
      <c r="K411" s="25">
        <f ca="1">IFERROR(__xludf.DUMMYFUNCTION("""COMPUTED_VALUE"""),0.666666666666666)</f>
        <v>0.66666666666666596</v>
      </c>
      <c r="L411" s="25">
        <f ca="1">IFERROR(__xludf.DUMMYFUNCTION("""COMPUTED_VALUE"""),1)</f>
        <v>1</v>
      </c>
      <c r="M411" s="25">
        <f ca="1">IFERROR(__xludf.DUMMYFUNCTION("""COMPUTED_VALUE"""),0.763157894736842)</f>
        <v>0.76315789473684204</v>
      </c>
      <c r="N411" s="25">
        <f ca="1">IFERROR(__xludf.DUMMYFUNCTION("""COMPUTED_VALUE"""),0.846153846153846)</f>
        <v>0.84615384615384603</v>
      </c>
      <c r="O411" s="25">
        <f ca="1">IFERROR(__xludf.DUMMYFUNCTION("""COMPUTED_VALUE"""),0.777777777777777)</f>
        <v>0.77777777777777701</v>
      </c>
      <c r="P411" s="25">
        <f ca="1">IFERROR(__xludf.DUMMYFUNCTION("""COMPUTED_VALUE"""),0.869565217391304)</f>
        <v>0.86956521739130399</v>
      </c>
      <c r="Q411" s="25">
        <f ca="1">IFERROR(__xludf.DUMMYFUNCTION("""COMPUTED_VALUE"""),0)</f>
        <v>0</v>
      </c>
      <c r="R411" s="25">
        <f ca="1">IFERROR(__xludf.DUMMYFUNCTION("""COMPUTED_VALUE"""),0.782608695652174)</f>
        <v>0.78260869565217395</v>
      </c>
      <c r="S411" s="25">
        <f ca="1">IFERROR(__xludf.DUMMYFUNCTION("""COMPUTED_VALUE"""),0.666666666666666)</f>
        <v>0.66666666666666596</v>
      </c>
      <c r="T411" s="25">
        <f ca="1">IFERROR(__xludf.DUMMYFUNCTION("""COMPUTED_VALUE"""),0.777777777777777)</f>
        <v>0.77777777777777701</v>
      </c>
      <c r="U411" s="25">
        <f ca="1">IFERROR(__xludf.DUMMYFUNCTION("""COMPUTED_VALUE"""),0.75)</f>
        <v>0.75</v>
      </c>
      <c r="V411" s="25">
        <f ca="1">IFERROR(__xludf.DUMMYFUNCTION("""COMPUTED_VALUE"""),0)</f>
        <v>0</v>
      </c>
      <c r="W411" s="4"/>
      <c r="X411" s="4" t="str">
        <f ca="1">IFERROR(__xludf.DUMMYFUNCTION("""COMPUTED_VALUE"""),"| 4 L JAVA @ | 1 P PHP-CGM @ | 3 L PHP-CGM @ | 1 L PRO @ ")</f>
        <v xml:space="preserve">| 4 L JAVA @ | 1 P PHP-CGM @ | 3 L PHP-CGM @ | 1 L PRO @ </v>
      </c>
      <c r="Y411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11" s="4" t="str">
        <f ca="1">IFERROR(__xludf.DUMMYFUNCTION("""COMPUTED_VALUE"""),"| 3 P JAVA % | 5 L JAVA % | 6 L NS % ")</f>
        <v xml:space="preserve">| 3 P JAVA % | 5 L JAVA % | 6 L NS % </v>
      </c>
      <c r="AA411" s="4" t="str">
        <f ca="1">IFERROR(__xludf.DUMMYFUNCTION("""COMPUTED_VALUE"""),"| 1 P JAVA % | 3 P Python % | 5 L NS % | 6 L CPT % ")</f>
        <v xml:space="preserve">| 1 P JAVA % | 3 P Python % | 5 L NS % | 6 L CPT % </v>
      </c>
      <c r="AB411" s="4" t="str">
        <f ca="1">IFERROR(__xludf.DUMMYFUNCTION("""COMPUTED_VALUE"""),"| 1 P Python % | 3 L CPT % | 4 L PHP-CGM % | 5 P CPT % ")</f>
        <v xml:space="preserve">| 1 P Python % | 3 L CPT % | 4 L PHP-CGM % | 5 P CPT % </v>
      </c>
      <c r="AC411" s="4" t="str">
        <f ca="1">IFERROR(__xludf.DUMMYFUNCTION("""COMPUTED_VALUE"""),"| 1 P PHP-CGM % | 3 L PHP-CGM @ | 5 P PRO % ")</f>
        <v xml:space="preserve">| 1 P PHP-CGM % | 3 L PHP-CGM @ | 5 P PRO % </v>
      </c>
      <c r="AD411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11" s="4" t="str">
        <f ca="1">IFERROR(__xludf.DUMMYFUNCTION("""COMPUTED_VALUE"""),"| 3 P JAVA % | 5 L JAVA % | 6 L NS % ")</f>
        <v xml:space="preserve">| 3 P JAVA % | 5 L JAVA % | 6 L NS % </v>
      </c>
      <c r="AF411" s="4" t="str">
        <f ca="1">IFERROR(__xludf.DUMMYFUNCTION("""COMPUTED_VALUE"""),"| 1 P JAVA % | 3 P Python % | 5 L NS @ | 6 L CPT @ ")</f>
        <v xml:space="preserve">| 1 P JAVA % | 3 P Python % | 5 L NS @ | 6 L CPT @ </v>
      </c>
      <c r="AG411" s="4" t="str">
        <f ca="1">IFERROR(__xludf.DUMMYFUNCTION("""COMPUTED_VALUE"""),"| 1 P Python % | 3 L CPT % | 4 L PHP-CGM % | 5 P CPT % ")</f>
        <v xml:space="preserve">| 1 P Python % | 3 L CPT % | 4 L PHP-CGM % | 5 P CPT % </v>
      </c>
      <c r="AH411" s="4" t="str">
        <f ca="1">IFERROR(__xludf.DUMMYFUNCTION("""COMPUTED_VALUE"""),"| 1 P JAVA % | 3 P Python % | 5 L NS % | 6 L CPT % ")</f>
        <v xml:space="preserve">| 1 P JAVA % | 3 P Python % | 5 L NS % | 6 L CPT % </v>
      </c>
      <c r="AI411" s="4" t="str">
        <f ca="1">IFERROR(__xludf.DUMMYFUNCTION("""COMPUTED_VALUE"""),"| 1 P Python % | 3 L CPT % | 4 L PHP-CGM @ | 5 P CPT % ")</f>
        <v xml:space="preserve">| 1 P Python % | 3 L CPT % | 4 L PHP-CGM @ | 5 P CPT % </v>
      </c>
      <c r="AJ411" s="4" t="str">
        <f ca="1">IFERROR(__xludf.DUMMYFUNCTION("""COMPUTED_VALUE"""),"| 1 P PHP-CGM % | 3 L PHP-CGM % | 4 L JAVA % | 5 P PRO % ")</f>
        <v xml:space="preserve">| 1 P PHP-CGM % | 3 L PHP-CGM % | 4 L JAVA % | 5 P PRO % </v>
      </c>
      <c r="AK411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11" s="4" t="str">
        <f ca="1">IFERROR(__xludf.DUMMYFUNCTION("""COMPUTED_VALUE"""),"| 3 P JAVA % | 5 L JAVA % | 6 L NS % ")</f>
        <v xml:space="preserve">| 3 P JAVA % | 5 L JAVA % | 6 L NS % </v>
      </c>
      <c r="AM411" s="4" t="str">
        <f ca="1">IFERROR(__xludf.DUMMYFUNCTION("""COMPUTED_VALUE"""),"| 1 P JAVA % | 3 P Python % | 5 L NS % | 6 L CPT % ")</f>
        <v xml:space="preserve">| 1 P JAVA % | 3 P Python % | 5 L NS % | 6 L CPT % </v>
      </c>
      <c r="AN411" s="4" t="str">
        <f ca="1">IFERROR(__xludf.DUMMYFUNCTION("""COMPUTED_VALUE"""),"| 1 P Python @ | 4 L PHP-CGM @ | 5 P CPT @ ")</f>
        <v xml:space="preserve">| 1 P Python @ | 4 L PHP-CGM @ | 5 P CPT @ </v>
      </c>
      <c r="AO411" s="4" t="str">
        <f ca="1">IFERROR(__xludf.DUMMYFUNCTION("""COMPUTED_VALUE"""),"| 1 P PHP-CGM % | 3 L PHP-CGM % | 4 L JAVA % | 5 P PRO % ")</f>
        <v xml:space="preserve">| 1 P PHP-CGM % | 3 L PHP-CGM % | 4 L JAVA % | 5 P PRO % </v>
      </c>
      <c r="AP411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11" s="4" t="str">
        <f ca="1">IFERROR(__xludf.DUMMYFUNCTION("""COMPUTED_VALUE"""),"| 1 L INE % | 3 P JAVA % | 5 L JAVA % | 6 L NS % ")</f>
        <v xml:space="preserve">| 1 L INE % | 3 P JAVA % | 5 L JAVA % | 6 L NS % </v>
      </c>
      <c r="AR411" s="4" t="str">
        <f ca="1">IFERROR(__xludf.DUMMYFUNCTION("""COMPUTED_VALUE"""),"| 1 P JAVA % | 3 L CPT @ | 3 P Python % | 5 L NS @ | 6 L CPT @ ")</f>
        <v xml:space="preserve">| 1 P JAVA % | 3 L CPT @ | 3 P Python % | 5 L NS @ | 6 L CPT @ </v>
      </c>
      <c r="AS411" s="4" t="str">
        <f ca="1">IFERROR(__xludf.DUMMYFUNCTION("""COMPUTED_VALUE"""),"| 1 P PHP-CGM % | 3 L PHP-CGM % | 4 L JAVA % | 5 P PRO % ")</f>
        <v xml:space="preserve">| 1 P PHP-CGM % | 3 L PHP-CGM % | 4 L JAVA % | 5 P PRO % </v>
      </c>
      <c r="AT411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11" s="4" t="str">
        <f ca="1">IFERROR(__xludf.DUMMYFUNCTION("""COMPUTED_VALUE"""),"| 1 L INE % | 3 P JAVA % | 5 L JAVA % | 6 L NS % ")</f>
        <v xml:space="preserve">| 1 L INE % | 3 P JAVA % | 5 L JAVA % | 6 L NS % </v>
      </c>
      <c r="AV411" s="4" t="str">
        <f ca="1">IFERROR(__xludf.DUMMYFUNCTION("""COMPUTED_VALUE"""),"| 1 P JAVA % | 3 P Python % | 5 L NS % | 6 L CPT % ")</f>
        <v xml:space="preserve">| 1 P JAVA % | 3 P Python % | 5 L NS % | 6 L CPT % </v>
      </c>
      <c r="AW411" s="4" t="str">
        <f ca="1">IFERROR(__xludf.DUMMYFUNCTION("""COMPUTED_VALUE"""),"| 1 P Python % | 3 L CPT @ | 4 L PHP-CGM @ | 5 P CPT % ")</f>
        <v xml:space="preserve">| 1 P Python % | 3 L CPT @ | 4 L PHP-CGM @ | 5 P CPT % </v>
      </c>
      <c r="AX411" s="4" t="str">
        <f ca="1">IFERROR(__xludf.DUMMYFUNCTION("""COMPUTED_VALUE"""),"| 1 P PHP-CGM % | 3 L JAVA % | 4 L PHP-CGM % | 5 P PRO % ")</f>
        <v xml:space="preserve">| 1 P PHP-CGM % | 3 L JAVA % | 4 L PHP-CGM % | 5 P PRO % </v>
      </c>
      <c r="AY411" s="4" t="str">
        <f ca="1">IFERROR(__xludf.DUMMYFUNCTION("""COMPUTED_VALUE"""),"| 2 L PHP-CGM % | 3 P NS % | 5 L CPT @ | 6 L NS % | 1 L JAVA % ")</f>
        <v xml:space="preserve">| 2 L PHP-CGM % | 3 P NS % | 5 L CPT @ | 6 L NS % | 1 L JAVA % </v>
      </c>
      <c r="AZ411" s="4" t="str">
        <f ca="1">IFERROR(__xludf.DUMMYFUNCTION("""COMPUTED_VALUE"""),"| 1 P JAVA % | 3 P Python % | 5 L NS % | 6 L CPT % ")</f>
        <v xml:space="preserve">| 1 P JAVA % | 3 P Python % | 5 L NS % | 6 L CPT % </v>
      </c>
      <c r="BA411" s="4" t="str">
        <f ca="1">IFERROR(__xludf.DUMMYFUNCTION("""COMPUTED_VALUE"""),"| 1 P Python % | 3 L CPT % | 4 L PHP-CGM % | 5 P CPT % ")</f>
        <v xml:space="preserve">| 1 P Python % | 3 L CPT % | 4 L PHP-CGM % | 5 P CPT % </v>
      </c>
      <c r="BB411" s="4" t="str">
        <f ca="1">IFERROR(__xludf.DUMMYFUNCTION("""COMPUTED_VALUE"""),"| 1 P PHP-CGM % | 3 L PHP-CGM % | 4 L JAVA % | 5 L PRO % ")</f>
        <v xml:space="preserve">| 1 P PHP-CGM % | 3 L PHP-CGM % | 4 L JAVA % | 5 L PRO % </v>
      </c>
      <c r="BC411" s="4" t="str">
        <f ca="1">IFERROR(__xludf.DUMMYFUNCTION("""COMPUTED_VALUE"""),"| 1 L JAVA % | 3 P NS % | 2 L PHP-CGM % | 5 L CPT @ | 6 L NS @ ")</f>
        <v xml:space="preserve">| 1 L JAVA % | 3 P NS % | 2 L PHP-CGM % | 5 L CPT @ | 6 L NS @ </v>
      </c>
      <c r="BD411" s="4" t="str">
        <f ca="1">IFERROR(__xludf.DUMMYFUNCTION("""COMPUTED_VALUE"""),"| 1 L INE @ | 3 P JAVA @ | 5 L JAVA @ | 6 L NS @ ")</f>
        <v xml:space="preserve">| 1 L INE @ | 3 P JAVA @ | 5 L JAVA @ | 6 L NS @ </v>
      </c>
      <c r="BE411" s="4" t="str">
        <f ca="1">IFERROR(__xludf.DUMMYFUNCTION("""COMPUTED_VALUE"""),"| 1 P JAVA @ | 3 P Python @ | 5 L NS @ | 6 L CPT @ ")</f>
        <v xml:space="preserve">| 1 P JAVA @ | 3 P Python @ | 5 L NS @ | 6 L CPT @ </v>
      </c>
      <c r="BF411" s="4" t="str">
        <f ca="1">IFERROR(__xludf.DUMMYFUNCTION("""COMPUTED_VALUE"""),"| 1 P Python @ | 3 L CPT @ | 4 L PHP-CGM @ | 5 P CPT @ ")</f>
        <v xml:space="preserve">| 1 P Python @ | 3 L CPT @ | 4 L PHP-CGM @ | 5 P CPT @ </v>
      </c>
      <c r="BG411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11" s="4" t="str">
        <f ca="1">IFERROR(__xludf.DUMMYFUNCTION("""COMPUTED_VALUE"""),"| 1 L INE % | 3 P JAVA % | 5 L JAVA % | 6 L NS % ")</f>
        <v xml:space="preserve">| 1 L INE % | 3 P JAVA % | 5 L JAVA % | 6 L NS % </v>
      </c>
      <c r="BI411" s="4" t="str">
        <f ca="1">IFERROR(__xludf.DUMMYFUNCTION("""COMPUTED_VALUE"""),"| 1 P JAVA @ | 3 P Python @ | 5 L NS @ | 6 L CPT @ ")</f>
        <v xml:space="preserve">| 1 P JAVA @ | 3 P Python @ | 5 L NS @ | 6 L CPT @ </v>
      </c>
      <c r="BJ411" s="4" t="str">
        <f ca="1">IFERROR(__xludf.DUMMYFUNCTION("""COMPUTED_VALUE"""),"| 1 P Python @ | 3 L CPT @ | 4 L PHP-CGM @ | 5 P CPT @ ")</f>
        <v xml:space="preserve">| 1 P Python @ | 3 L CPT @ | 4 L PHP-CGM @ | 5 P CPT @ </v>
      </c>
      <c r="BK411" s="4" t="str">
        <f ca="1">IFERROR(__xludf.DUMMYFUNCTION("""COMPUTED_VALUE"""),"| 1 P PHP-CGM % | 3 L PHP-CGM % | 4 L JAVA % | 5 P PRO @ ")</f>
        <v xml:space="preserve">| 1 P PHP-CGM % | 3 L PHP-CGM % | 4 L JAVA % | 5 P PRO @ </v>
      </c>
      <c r="BL411" s="4" t="str">
        <f ca="1">IFERROR(__xludf.DUMMYFUNCTION("""COMPUTED_VALUE"""),"| 1 L JAVA @ | 2 L PHP-CGM @ | 3 P NS % | 6 L NS % | 5 L CPT % ")</f>
        <v xml:space="preserve">| 1 L JAVA @ | 2 L PHP-CGM @ | 3 P NS % | 6 L NS % | 5 L CPT % </v>
      </c>
      <c r="BM411" s="4" t="str">
        <f ca="1">IFERROR(__xludf.DUMMYFUNCTION("""COMPUTED_VALUE"""),"| 1 L INE % | 3 P JAVA % | 5 L JAVA % | 6 L NS % ")</f>
        <v xml:space="preserve">| 1 L INE % | 3 P JAVA % | 5 L JAVA % | 6 L NS % </v>
      </c>
      <c r="BN411" s="4" t="str">
        <f ca="1">IFERROR(__xludf.DUMMYFUNCTION("""COMPUTED_VALUE"""),"| 1 P JAVA % | 3 P Python % | 5 L NS % | 6 L CPT % ")</f>
        <v xml:space="preserve">| 1 P JAVA % | 3 P Python % | 5 L NS % | 6 L CPT % </v>
      </c>
      <c r="BO411" s="4" t="str">
        <f ca="1">IFERROR(__xludf.DUMMYFUNCTION("""COMPUTED_VALUE"""),"| 1 P Python % | 4 L PHP-CGM % | 3 L CPT % | 5 P CPT % ")</f>
        <v xml:space="preserve">| 1 P Python % | 4 L PHP-CGM % | 3 L CPT % | 5 P CPT % </v>
      </c>
      <c r="BP411" s="4" t="str">
        <f ca="1">IFERROR(__xludf.DUMMYFUNCTION("""COMPUTED_VALUE"""),"| 1 P PHP-CGM % | 3 L PHP-CGM % | 4 L JAVA % | 6 P PRO % ")</f>
        <v xml:space="preserve">| 1 P PHP-CGM % | 3 L PHP-CGM % | 4 L JAVA % | 6 P PRO % </v>
      </c>
      <c r="BQ411" s="4" t="str">
        <f ca="1">IFERROR(__xludf.DUMMYFUNCTION("""COMPUTED_VALUE"""),"| 6 L NS % | 5 L JAVA @ ")</f>
        <v xml:space="preserve">| 6 L NS % | 5 L JAVA @ </v>
      </c>
      <c r="BR411" s="4"/>
      <c r="BS411" s="4" t="str">
        <f ca="1">IFERROR(__xludf.DUMMYFUNCTION("""COMPUTED_VALUE"""),"| 4 L PHP-CGM % ")</f>
        <v xml:space="preserve">| 4 L PHP-CGM % </v>
      </c>
      <c r="BT411" s="4" t="str">
        <f ca="1">IFERROR(__xludf.DUMMYFUNCTION("""COMPUTED_VALUE"""),"| 1 P PHP-CGM % | 3 L PHP-CGM % ")</f>
        <v xml:space="preserve">| 1 P PHP-CGM % | 3 L PHP-CGM % </v>
      </c>
      <c r="BU411" s="4" t="str">
        <f ca="1">IFERROR(__xludf.DUMMYFUNCTION("""COMPUTED_VALUE"""),"| 1 L JAVA @ | 2 L PHP-CGM @ | 3 P NS % ")</f>
        <v xml:space="preserve">| 1 L JAVA @ | 2 L PHP-CGM @ | 3 P NS % </v>
      </c>
      <c r="BV411" s="4" t="str">
        <f ca="1">IFERROR(__xludf.DUMMYFUNCTION("""COMPUTED_VALUE"""),"| 1 P PHP-CGM % | 3 L PHP-CGM % | 4 L JAVA % | 5 P PRO @ ")</f>
        <v xml:space="preserve">| 1 P PHP-CGM % | 3 L PHP-CGM % | 4 L JAVA % | 5 P PRO @ </v>
      </c>
      <c r="BW411" s="4" t="str">
        <f ca="1">IFERROR(__xludf.DUMMYFUNCTION("""COMPUTED_VALUE"""),"| 1 L JAVA % | 2 L PHP-CGM % | 3 P NS % ")</f>
        <v xml:space="preserve">| 1 L JAVA % | 2 L PHP-CGM % | 3 P NS % </v>
      </c>
      <c r="BX411" s="4" t="str">
        <f ca="1">IFERROR(__xludf.DUMMYFUNCTION("""COMPUTED_VALUE"""),"| 1 L INE % | 3 P JAVA % | 5 L JAVA @ | 6 L NS @ ")</f>
        <v xml:space="preserve">| 1 L INE % | 3 P JAVA % | 5 L JAVA @ | 6 L NS @ </v>
      </c>
      <c r="BY411" s="4" t="str">
        <f ca="1">IFERROR(__xludf.DUMMYFUNCTION("""COMPUTED_VALUE"""),"| 1 P JAVA % | 3 P Python % | 5 L NS @ | 6 L CPT @ ")</f>
        <v xml:space="preserve">| 1 P JAVA % | 3 P Python % | 5 L NS @ | 6 L CPT @ </v>
      </c>
      <c r="BZ411" s="4" t="str">
        <f ca="1">IFERROR(__xludf.DUMMYFUNCTION("""COMPUTED_VALUE"""),"| 1 P Python % | 3 L CPT % | 4 L PHP-CGM % | 5 P CPT @ ")</f>
        <v xml:space="preserve">| 1 P Python % | 3 L CPT % | 4 L PHP-CGM % | 5 P CPT @ </v>
      </c>
      <c r="CA411" s="4" t="str">
        <f ca="1">IFERROR(__xludf.DUMMYFUNCTION("""COMPUTED_VALUE"""),"| 1 P PHP-CGM @ | 3 L PHP-CGM % | 3 L JAVA % | 5 P PRO % ")</f>
        <v xml:space="preserve">| 1 P PHP-CGM @ | 3 L PHP-CGM % | 3 L JAVA % | 5 P PRO % </v>
      </c>
      <c r="CB411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411" s="4" t="str">
        <f ca="1">IFERROR(__xludf.DUMMYFUNCTION("""COMPUTED_VALUE"""),"| 1 L INE % | 3 P JAVA % | 5 L JAVA @ | 6 L NS @ ")</f>
        <v xml:space="preserve">| 1 L INE % | 3 P JAVA % | 5 L JAVA @ | 6 L NS @ </v>
      </c>
      <c r="CD411" s="4" t="str">
        <f ca="1">IFERROR(__xludf.DUMMYFUNCTION("""COMPUTED_VALUE"""),"| 1 P JAVA % | 3 P Python % | 5 L NS % | 6 L CPT % ")</f>
        <v xml:space="preserve">| 1 P JAVA % | 3 P Python % | 5 L NS % | 6 L CPT % </v>
      </c>
      <c r="CE411" s="4" t="str">
        <f ca="1">IFERROR(__xludf.DUMMYFUNCTION("""COMPUTED_VALUE"""),"| 1 P Python % | 3 L CPT % | 4 L PHP-CGM % | 5 P CPT @ ")</f>
        <v xml:space="preserve">| 1 P Python % | 3 L CPT % | 4 L PHP-CGM % | 5 P CPT @ </v>
      </c>
      <c r="CF411" s="4" t="str">
        <f ca="1">IFERROR(__xludf.DUMMYFUNCTION("""COMPUTED_VALUE"""),"| 1 P PHP-CGM % | 4 L JAVA % | 3 L PHP-CGM % | 5 L PRO % ")</f>
        <v xml:space="preserve">| 1 P PHP-CGM % | 4 L JAVA % | 3 L PHP-CGM % | 5 L PRO % </v>
      </c>
      <c r="CG411" s="4" t="str">
        <f ca="1">IFERROR(__xludf.DUMMYFUNCTION("""COMPUTED_VALUE"""),"| 1 L JAVA % | 2 L PHP-CGM % | 3 P NS % | 6 L NS @ ")</f>
        <v xml:space="preserve">| 1 L JAVA % | 2 L PHP-CGM % | 3 P NS % | 6 L NS @ </v>
      </c>
      <c r="CH411" s="4" t="str">
        <f ca="1">IFERROR(__xludf.DUMMYFUNCTION("""COMPUTED_VALUE"""),"| 1 L INE @ | 3 P JAVA % | 5 L JAVA @ | 6 L NS @ ")</f>
        <v xml:space="preserve">| 1 L INE @ | 3 P JAVA % | 5 L JAVA @ | 6 L NS @ </v>
      </c>
      <c r="CI411" s="4" t="str">
        <f ca="1">IFERROR(__xludf.DUMMYFUNCTION("""COMPUTED_VALUE"""),"| 5 L NS @ | 6 L CPT @ ")</f>
        <v xml:space="preserve">| 5 L NS @ | 6 L CPT @ </v>
      </c>
      <c r="CJ411" s="4" t="str">
        <f ca="1">IFERROR(__xludf.DUMMYFUNCTION("""COMPUTED_VALUE"""),"| 3 L CPT % | 5 P CPT % ")</f>
        <v xml:space="preserve">| 3 L CPT % | 5 P CPT % </v>
      </c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</row>
    <row r="412" spans="1:102" ht="12.5" x14ac:dyDescent="0.25">
      <c r="A412" s="3">
        <f ca="1">IFERROR(__xludf.DUMMYFUNCTION("""COMPUTED_VALUE"""),3)</f>
        <v>3</v>
      </c>
      <c r="B412" s="3" t="str">
        <f ca="1">IFERROR(__xludf.DUMMYFUNCTION("""COMPUTED_VALUE"""),"ITA")</f>
        <v>ITA</v>
      </c>
      <c r="C412" s="32" t="str">
        <f ca="1">IFERROR(__xludf.DUMMYFUNCTION("""COMPUTED_VALUE"""),"23291371153")</f>
        <v>23291371153</v>
      </c>
      <c r="D412" s="4" t="str">
        <f ca="1">IFERROR(__xludf.DUMMYFUNCTION("""COMPUTED_VALUE"""),"VYAS KAVYA UTPALKUMAR")</f>
        <v>VYAS KAVYA UTPALKUMAR</v>
      </c>
      <c r="E412" s="3" t="str">
        <f ca="1">IFERROR(__xludf.DUMMYFUNCTION("""COMPUTED_VALUE"""),"Sweety - Mor")</f>
        <v>Sweety - Mor</v>
      </c>
      <c r="F412" s="3">
        <f ca="1">IFERROR(__xludf.DUMMYFUNCTION("""COMPUTED_VALUE"""),9023426410)</f>
        <v>9023426410</v>
      </c>
      <c r="G412" s="3" t="str">
        <f ca="1">IFERROR(__xludf.DUMMYFUNCTION("""COMPUTED_VALUE"""),"9328578005, 9712672976")</f>
        <v>9328578005, 9712672976</v>
      </c>
      <c r="H412" s="33">
        <f ca="1">IFERROR(__xludf.DUMMYFUNCTION("""COMPUTED_VALUE"""),0.104838709677419)</f>
        <v>0.104838709677419</v>
      </c>
      <c r="I412" s="25">
        <f ca="1">IFERROR(__xludf.DUMMYFUNCTION("""COMPUTED_VALUE"""),0.138888888888888)</f>
        <v>0.13888888888888801</v>
      </c>
      <c r="J412" s="25">
        <f ca="1">IFERROR(__xludf.DUMMYFUNCTION("""COMPUTED_VALUE"""),0.181818181818181)</f>
        <v>0.18181818181818099</v>
      </c>
      <c r="K412" s="25">
        <f ca="1">IFERROR(__xludf.DUMMYFUNCTION("""COMPUTED_VALUE"""),0.114285714285714)</f>
        <v>0.114285714285714</v>
      </c>
      <c r="L412" s="25">
        <f ca="1">IFERROR(__xludf.DUMMYFUNCTION("""COMPUTED_VALUE"""),0.153846153846153)</f>
        <v>0.15384615384615299</v>
      </c>
      <c r="M412" s="25">
        <f ca="1">IFERROR(__xludf.DUMMYFUNCTION("""COMPUTED_VALUE"""),0.105263157894736)</f>
        <v>0.105263157894736</v>
      </c>
      <c r="N412" s="25">
        <f ca="1">IFERROR(__xludf.DUMMYFUNCTION("""COMPUTED_VALUE"""),0)</f>
        <v>0</v>
      </c>
      <c r="O412" s="25">
        <f ca="1">IFERROR(__xludf.DUMMYFUNCTION("""COMPUTED_VALUE"""),0.0789473684210526)</f>
        <v>7.8947368421052599E-2</v>
      </c>
      <c r="P412" s="25">
        <f ca="1">IFERROR(__xludf.DUMMYFUNCTION("""COMPUTED_VALUE"""),0.0869565217391304)</f>
        <v>8.6956521739130405E-2</v>
      </c>
      <c r="Q412" s="25">
        <f ca="1">IFERROR(__xludf.DUMMYFUNCTION("""COMPUTED_VALUE"""),0)</f>
        <v>0</v>
      </c>
      <c r="R412" s="25">
        <f ca="1">IFERROR(__xludf.DUMMYFUNCTION("""COMPUTED_VALUE"""),0.142857142857142)</f>
        <v>0.14285714285714199</v>
      </c>
      <c r="S412" s="25">
        <f ca="1">IFERROR(__xludf.DUMMYFUNCTION("""COMPUTED_VALUE"""),0.5)</f>
        <v>0.5</v>
      </c>
      <c r="T412" s="25">
        <f ca="1">IFERROR(__xludf.DUMMYFUNCTION("""COMPUTED_VALUE"""),0)</f>
        <v>0</v>
      </c>
      <c r="U412" s="25">
        <f ca="1">IFERROR(__xludf.DUMMYFUNCTION("""COMPUTED_VALUE"""),0)</f>
        <v>0</v>
      </c>
      <c r="V412" s="25">
        <f ca="1">IFERROR(__xludf.DUMMYFUNCTION("""COMPUTED_VALUE"""),0)</f>
        <v>0</v>
      </c>
      <c r="W412" s="4"/>
      <c r="X412" s="4" t="str">
        <f ca="1">IFERROR(__xludf.DUMMYFUNCTION("""COMPUTED_VALUE"""),"| 5 L PHP-CGM @ | 6 L NS @ | 7 P JAVA @ | 9 P Python @ ")</f>
        <v xml:space="preserve">| 5 L PHP-CGM @ | 6 L NS @ | 7 P JAVA @ | 9 P Python @ </v>
      </c>
      <c r="Y412" s="4" t="str">
        <f ca="1">IFERROR(__xludf.DUMMYFUNCTION("""COMPUTED_VALUE"""),"| 5 L NS @ | 6 L PHP-CGM @ | 7 L JAVA @ | 8 L CPT @ ")</f>
        <v xml:space="preserve">| 5 L NS @ | 6 L PHP-CGM @ | 7 L JAVA @ | 8 L CPT @ </v>
      </c>
      <c r="Z412" s="4" t="str">
        <f ca="1">IFERROR(__xludf.DUMMYFUNCTION("""COMPUTED_VALUE"""),"| 5 L JAVA @ | 6 L NS @ | 7 P Python @ | 9 P NS @ ")</f>
        <v xml:space="preserve">| 5 L JAVA @ | 6 L NS @ | 7 P Python @ | 9 P NS @ </v>
      </c>
      <c r="AA412" s="4" t="str">
        <f ca="1">IFERROR(__xludf.DUMMYFUNCTION("""COMPUTED_VALUE"""),"| 5 L CPT @ | 6 L JAVA @ | 7 P JAVA @ | 9 P PRO @ ")</f>
        <v xml:space="preserve">| 5 L CPT @ | 6 L JAVA @ | 7 P JAVA @ | 9 P PRO @ </v>
      </c>
      <c r="AB412" s="4" t="str">
        <f ca="1">IFERROR(__xludf.DUMMYFUNCTION("""COMPUTED_VALUE"""),"| 5 L PHP-CGM @ | 6 L CPT @ | 7 P CPT @ ")</f>
        <v xml:space="preserve">| 5 L PHP-CGM @ | 6 L CPT @ | 7 P CPT @ </v>
      </c>
      <c r="AC412" s="4" t="str">
        <f ca="1">IFERROR(__xludf.DUMMYFUNCTION("""COMPUTED_VALUE"""),"| 5 L PHP-CGM @ | 6 L NS @ | 7 P JAVA @ | 9 P Python @ ")</f>
        <v xml:space="preserve">| 5 L PHP-CGM @ | 6 L NS @ | 7 P JAVA @ | 9 P Python @ </v>
      </c>
      <c r="AD412" s="4" t="str">
        <f ca="1">IFERROR(__xludf.DUMMYFUNCTION("""COMPUTED_VALUE"""),"| 5 L NS @ | 7 L JAVA @ | 8 L CPT @ | 9 P PHP-CGM @ | 6 L PHP-CGM @ ")</f>
        <v xml:space="preserve">| 5 L NS @ | 7 L JAVA @ | 8 L CPT @ | 9 P PHP-CGM @ | 6 L PHP-CGM @ </v>
      </c>
      <c r="AE412" s="4" t="str">
        <f ca="1">IFERROR(__xludf.DUMMYFUNCTION("""COMPUTED_VALUE"""),"| 5 L JAVA @ | 6 L NS @ | 7 P Python @ | 9 P NS @ ")</f>
        <v xml:space="preserve">| 5 L JAVA @ | 6 L NS @ | 7 P Python @ | 9 P NS @ </v>
      </c>
      <c r="AF412" s="4" t="str">
        <f ca="1">IFERROR(__xludf.DUMMYFUNCTION("""COMPUTED_VALUE"""),"| 5 L CPT @ | 6 L JAVA @ | 7 P JAVA @ | 9 P PRO @ ")</f>
        <v xml:space="preserve">| 5 L CPT @ | 6 L JAVA @ | 7 P JAVA @ | 9 P PRO @ </v>
      </c>
      <c r="AG412" s="4" t="str">
        <f ca="1">IFERROR(__xludf.DUMMYFUNCTION("""COMPUTED_VALUE"""),"| 5 L PHP-CGM @ | 6 L CPT @ | 8 P CPT @ ")</f>
        <v xml:space="preserve">| 5 L PHP-CGM @ | 6 L CPT @ | 8 P CPT @ </v>
      </c>
      <c r="AH412" s="4" t="str">
        <f ca="1">IFERROR(__xludf.DUMMYFUNCTION("""COMPUTED_VALUE"""),"| 5 L CPT @ | 6 L JAVA @ | 7 P JAVA @ | 9 P PRO @ ")</f>
        <v xml:space="preserve">| 5 L CPT @ | 6 L JAVA @ | 7 P JAVA @ | 9 P PRO @ </v>
      </c>
      <c r="AI412" s="4" t="str">
        <f ca="1">IFERROR(__xludf.DUMMYFUNCTION("""COMPUTED_VALUE"""),"| 5 L PHP-CGM % | 6 L CPT % | 7 P CPT @ ")</f>
        <v xml:space="preserve">| 5 L PHP-CGM % | 6 L CPT % | 7 P CPT @ </v>
      </c>
      <c r="AJ412" s="4" t="str">
        <f ca="1">IFERROR(__xludf.DUMMYFUNCTION("""COMPUTED_VALUE"""),"| 5 L PHP-CGM @ | 6 L NS @ | 7 P JAVA @ | 9 P Python @ ")</f>
        <v xml:space="preserve">| 5 L PHP-CGM @ | 6 L NS @ | 7 P JAVA @ | 9 P Python @ </v>
      </c>
      <c r="AK412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L412" s="4" t="str">
        <f ca="1">IFERROR(__xludf.DUMMYFUNCTION("""COMPUTED_VALUE"""),"| 5 L JAVA @ | 6 L NS @ | 7 P Python @ | 9 P NS @ ")</f>
        <v xml:space="preserve">| 5 L JAVA @ | 6 L NS @ | 7 P Python @ | 9 P NS @ </v>
      </c>
      <c r="AM412" s="4" t="str">
        <f ca="1">IFERROR(__xludf.DUMMYFUNCTION("""COMPUTED_VALUE"""),"| 5 L CPT @ | 6 L JAVA @ | 7 P JAVA @ | 9 P PRO @ ")</f>
        <v xml:space="preserve">| 5 L CPT @ | 6 L JAVA @ | 7 P JAVA @ | 9 P PRO @ </v>
      </c>
      <c r="AN412" s="4" t="str">
        <f ca="1">IFERROR(__xludf.DUMMYFUNCTION("""COMPUTED_VALUE"""),"| 5 L PHP-CGM @ | 6 L CPT @ ")</f>
        <v xml:space="preserve">| 5 L PHP-CGM @ | 6 L CPT @ </v>
      </c>
      <c r="AO412" s="4" t="str">
        <f ca="1">IFERROR(__xludf.DUMMYFUNCTION("""COMPUTED_VALUE"""),"| 1 P PHP-CGM @ | 3 L PHP-CGM @ | 4 L JAVA @ | 5 P PRO @ ")</f>
        <v xml:space="preserve">| 1 P PHP-CGM @ | 3 L PHP-CGM @ | 4 L JAVA @ | 5 P PRO @ </v>
      </c>
      <c r="AP412" s="4" t="str">
        <f ca="1">IFERROR(__xludf.DUMMYFUNCTION("""COMPUTED_VALUE"""),"| 1 L JAVA @ | 2 L PHP-CGM @ | 3 P NS % | 5 L CPT % | 6 L NS % ")</f>
        <v xml:space="preserve">| 1 L JAVA @ | 2 L PHP-CGM @ | 3 P NS % | 5 L CPT % | 6 L NS % </v>
      </c>
      <c r="AQ412" s="4" t="str">
        <f ca="1">IFERROR(__xludf.DUMMYFUNCTION("""COMPUTED_VALUE"""),"| 1 L INE @ | 3 P JAVA @ | 5 L JAVA @ | 6 L NS @ ")</f>
        <v xml:space="preserve">| 1 L INE @ | 3 P JAVA @ | 5 L JAVA @ | 6 L NS @ </v>
      </c>
      <c r="AR412" s="4" t="str">
        <f ca="1">IFERROR(__xludf.DUMMYFUNCTION("""COMPUTED_VALUE"""),"| 1 P JAVA @ | 3 L CPT @ | 3 P Python % | 5 L NS @ | 6 L CPT % ")</f>
        <v xml:space="preserve">| 1 P JAVA @ | 3 L CPT @ | 3 P Python % | 5 L NS @ | 6 L CPT % </v>
      </c>
      <c r="AS412" s="4" t="str">
        <f ca="1">IFERROR(__xludf.DUMMYFUNCTION("""COMPUTED_VALUE"""),"| 1 P PHP-CGM @ | 3 L PHP-CGM @ | 4 L JAVA @ | 5 P PRO @ ")</f>
        <v xml:space="preserve">| 1 P PHP-CGM @ | 3 L PHP-CGM @ | 4 L JAVA @ | 5 P PRO @ </v>
      </c>
      <c r="AT412" s="4" t="str">
        <f ca="1">IFERROR(__xludf.DUMMYFUNCTION("""COMPUTED_VALUE"""),"| 1 L JAVA @ | 2 L PHP-CGM @ | 3 P NS @ | 5 L CPT % | 6 L NS @ ")</f>
        <v xml:space="preserve">| 1 L JAVA @ | 2 L PHP-CGM @ | 3 P NS @ | 5 L CPT % | 6 L NS @ </v>
      </c>
      <c r="AU412" s="4" t="str">
        <f ca="1">IFERROR(__xludf.DUMMYFUNCTION("""COMPUTED_VALUE"""),"| 1 L INE @ | 3 P JAVA % | 5 L JAVA % | 6 L NS % ")</f>
        <v xml:space="preserve">| 1 L INE @ | 3 P JAVA % | 5 L JAVA % | 6 L NS % </v>
      </c>
      <c r="AV412" s="4" t="str">
        <f ca="1">IFERROR(__xludf.DUMMYFUNCTION("""COMPUTED_VALUE"""),"| 1 P JAVA % | 3 P Python % | 5 L NS @ | 6 L CPT @ ")</f>
        <v xml:space="preserve">| 1 P JAVA % | 3 P Python % | 5 L NS @ | 6 L CPT @ </v>
      </c>
      <c r="AW412" s="4" t="str">
        <f ca="1">IFERROR(__xludf.DUMMYFUNCTION("""COMPUTED_VALUE"""),"| 1 P Python % | 3 L CPT @ | 4 L PHP-CGM @ | 5 P CPT @ ")</f>
        <v xml:space="preserve">| 1 P Python % | 3 L CPT @ | 4 L PHP-CGM @ | 5 P CPT @ </v>
      </c>
      <c r="AX412" s="4" t="str">
        <f ca="1">IFERROR(__xludf.DUMMYFUNCTION("""COMPUTED_VALUE"""),"| 1 P PHP-CGM @ | 3 L JAVA % | 4 L PHP-CGM % | 5 P PRO @ ")</f>
        <v xml:space="preserve">| 1 P PHP-CGM @ | 3 L JAVA % | 4 L PHP-CGM % | 5 P PRO @ </v>
      </c>
      <c r="AY412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12" s="4" t="str">
        <f ca="1">IFERROR(__xludf.DUMMYFUNCTION("""COMPUTED_VALUE"""),"| 1 P JAVA @ | 3 P Python @ | 5 L NS @ | 6 L CPT @ ")</f>
        <v xml:space="preserve">| 1 P JAVA @ | 3 P Python @ | 5 L NS @ | 6 L CPT @ </v>
      </c>
      <c r="BA412" s="4" t="str">
        <f ca="1">IFERROR(__xludf.DUMMYFUNCTION("""COMPUTED_VALUE"""),"| 1 P Python @ | 3 L CPT @ | 4 L PHP-CGM @ | 5 P CPT @ ")</f>
        <v xml:space="preserve">| 1 P Python @ | 3 L CPT @ | 4 L PHP-CGM @ | 5 P CPT @ </v>
      </c>
      <c r="BB412" s="4" t="str">
        <f ca="1">IFERROR(__xludf.DUMMYFUNCTION("""COMPUTED_VALUE"""),"| 1 P PHP-CGM @ | 3 L PHP-CGM @ | 4 L JAVA @ | 5 L PRO @ ")</f>
        <v xml:space="preserve">| 1 P PHP-CGM @ | 3 L PHP-CGM @ | 4 L JAVA @ | 5 L PRO @ </v>
      </c>
      <c r="BC412" s="4" t="str">
        <f ca="1">IFERROR(__xludf.DUMMYFUNCTION("""COMPUTED_VALUE"""),"| 1 L JAVA @ | 3 P NS @ | 2 L PHP-CGM @ | 5 L CPT @ | 6 L NS @ ")</f>
        <v xml:space="preserve">| 1 L JAVA @ | 3 P NS @ | 2 L PHP-CGM @ | 5 L CPT @ | 6 L NS @ </v>
      </c>
      <c r="BD412" s="4" t="str">
        <f ca="1">IFERROR(__xludf.DUMMYFUNCTION("""COMPUTED_VALUE"""),"| 1 L INE @ | 3 P JAVA @ | 5 L JAVA @ | 6 L NS @ ")</f>
        <v xml:space="preserve">| 1 L INE @ | 3 P JAVA @ | 5 L JAVA @ | 6 L NS @ </v>
      </c>
      <c r="BE412" s="4" t="str">
        <f ca="1">IFERROR(__xludf.DUMMYFUNCTION("""COMPUTED_VALUE"""),"| 1 P JAVA @ | 3 P Python @ | 5 L NS @ | 6 L CPT @ ")</f>
        <v xml:space="preserve">| 1 P JAVA @ | 3 P Python @ | 5 L NS @ | 6 L CPT @ </v>
      </c>
      <c r="BF412" s="4" t="str">
        <f ca="1">IFERROR(__xludf.DUMMYFUNCTION("""COMPUTED_VALUE"""),"| 1 P Python @ | 3 L CPT @ | 4 L PHP-CGM @ | 5 P CPT @ ")</f>
        <v xml:space="preserve">| 1 P Python @ | 3 L CPT @ | 4 L PHP-CGM @ | 5 P CPT @ </v>
      </c>
      <c r="BG412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BH412" s="4" t="str">
        <f ca="1">IFERROR(__xludf.DUMMYFUNCTION("""COMPUTED_VALUE"""),"| 1 L INE @ | 3 P JAVA @ | 5 L JAVA @ | 6 L NS @ ")</f>
        <v xml:space="preserve">| 1 L INE @ | 3 P JAVA @ | 5 L JAVA @ | 6 L NS @ </v>
      </c>
      <c r="BI412" s="4" t="str">
        <f ca="1">IFERROR(__xludf.DUMMYFUNCTION("""COMPUTED_VALUE"""),"| 1 P JAVA @ | 3 P Python @ | 5 L NS @ | 6 L CPT @ ")</f>
        <v xml:space="preserve">| 1 P JAVA @ | 3 P Python @ | 5 L NS @ | 6 L CPT @ </v>
      </c>
      <c r="BJ412" s="4" t="str">
        <f ca="1">IFERROR(__xludf.DUMMYFUNCTION("""COMPUTED_VALUE"""),"| 1 P Python @ | 3 L CPT @ | 4 L PHP-CGM @ | 5 P CPT @ ")</f>
        <v xml:space="preserve">| 1 P Python @ | 3 L CPT @ | 4 L PHP-CGM @ | 5 P CPT @ </v>
      </c>
      <c r="BK412" s="4" t="str">
        <f ca="1">IFERROR(__xludf.DUMMYFUNCTION("""COMPUTED_VALUE"""),"| 1 P PHP-CGM @ | 3 L PHP-CGM @ | 4 L JAVA @ | 5 P PRO @ ")</f>
        <v xml:space="preserve">| 1 P PHP-CGM @ | 3 L PHP-CGM @ | 4 L JAVA @ | 5 P PRO @ </v>
      </c>
      <c r="BL412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12" s="4" t="str">
        <f ca="1">IFERROR(__xludf.DUMMYFUNCTION("""COMPUTED_VALUE"""),"| 1 L INE @ | 3 P JAVA @ | 5 L JAVA @ | 6 L NS @ ")</f>
        <v xml:space="preserve">| 1 L INE @ | 3 P JAVA @ | 5 L JAVA @ | 6 L NS @ </v>
      </c>
      <c r="BN412" s="4" t="str">
        <f ca="1">IFERROR(__xludf.DUMMYFUNCTION("""COMPUTED_VALUE"""),"| 1 P JAVA @ | 3 P Python @ | 5 L NS % | 6 L CPT @ ")</f>
        <v xml:space="preserve">| 1 P JAVA @ | 3 P Python @ | 5 L NS % | 6 L CPT @ </v>
      </c>
      <c r="BO412" s="4" t="str">
        <f ca="1">IFERROR(__xludf.DUMMYFUNCTION("""COMPUTED_VALUE"""),"| 1 P Python @ | 4 L PHP-CGM @ | 3 L CPT @ | 5 P CPT @ ")</f>
        <v xml:space="preserve">| 1 P Python @ | 4 L PHP-CGM @ | 3 L CPT @ | 5 P CPT @ </v>
      </c>
      <c r="BP412" s="4" t="str">
        <f ca="1">IFERROR(__xludf.DUMMYFUNCTION("""COMPUTED_VALUE"""),"| 1 P PHP-CGM @ | 3 L PHP-CGM @ | 4 L JAVA @ | 6 P PRO @ ")</f>
        <v xml:space="preserve">| 1 P PHP-CGM @ | 3 L PHP-CGM @ | 4 L JAVA @ | 6 P PRO @ </v>
      </c>
      <c r="BQ412" s="4" t="str">
        <f ca="1">IFERROR(__xludf.DUMMYFUNCTION("""COMPUTED_VALUE"""),"| 6 L NS @ | 5 L JAVA @ ")</f>
        <v xml:space="preserve">| 6 L NS @ | 5 L JAVA @ </v>
      </c>
      <c r="BR412" s="4"/>
      <c r="BS412" s="4" t="str">
        <f ca="1">IFERROR(__xludf.DUMMYFUNCTION("""COMPUTED_VALUE"""),"| 4 L PHP-CGM % ")</f>
        <v xml:space="preserve">| 4 L PHP-CGM % </v>
      </c>
      <c r="BT412" s="4" t="str">
        <f ca="1">IFERROR(__xludf.DUMMYFUNCTION("""COMPUTED_VALUE"""),"| 1 P PHP-CGM @ | 3 L PHP-CGM @ ")</f>
        <v xml:space="preserve">| 1 P PHP-CGM @ | 3 L PHP-CGM @ </v>
      </c>
      <c r="BU412" s="4" t="str">
        <f ca="1">IFERROR(__xludf.DUMMYFUNCTION("""COMPUTED_VALUE"""),"| 1 L JAVA @ | 2 L PHP-CGM @ | 3 P NS @ ")</f>
        <v xml:space="preserve">| 1 L JAVA @ | 2 L PHP-CGM @ | 3 P NS @ </v>
      </c>
      <c r="BV412" s="4" t="str">
        <f ca="1">IFERROR(__xludf.DUMMYFUNCTION("""COMPUTED_VALUE"""),"| 1 P PHP-CGM @ | 3 L PHP-CGM @ | 4 L JAVA @ | 5 P PRO @ ")</f>
        <v xml:space="preserve">| 1 P PHP-CGM @ | 3 L PHP-CGM @ | 4 L JAVA @ | 5 P PRO @ </v>
      </c>
      <c r="BW412" s="4" t="str">
        <f ca="1">IFERROR(__xludf.DUMMYFUNCTION("""COMPUTED_VALUE"""),"| 1 L JAVA @ | 2 L PHP-CGM @ | 3 P NS @ ")</f>
        <v xml:space="preserve">| 1 L JAVA @ | 2 L PHP-CGM @ | 3 P NS @ </v>
      </c>
      <c r="BX412" s="4" t="str">
        <f ca="1">IFERROR(__xludf.DUMMYFUNCTION("""COMPUTED_VALUE"""),"| 1 L INE @ | 3 P JAVA @ | 5 L JAVA @ | 6 L NS @ ")</f>
        <v xml:space="preserve">| 1 L INE @ | 3 P JAVA @ | 5 L JAVA @ | 6 L NS @ </v>
      </c>
      <c r="BY412" s="4" t="str">
        <f ca="1">IFERROR(__xludf.DUMMYFUNCTION("""COMPUTED_VALUE"""),"| 1 P JAVA @ | 3 P Python @ | 5 L NS @ | 6 L CPT @ ")</f>
        <v xml:space="preserve">| 1 P JAVA @ | 3 P Python @ | 5 L NS @ | 6 L CPT @ </v>
      </c>
      <c r="BZ412" s="4" t="str">
        <f ca="1">IFERROR(__xludf.DUMMYFUNCTION("""COMPUTED_VALUE"""),"| 1 P Python @ | 3 L CPT @ | 4 L PHP-CGM @ | 5 P CPT % ")</f>
        <v xml:space="preserve">| 1 P Python @ | 3 L CPT @ | 4 L PHP-CGM @ | 5 P CPT % </v>
      </c>
      <c r="CA412" s="4" t="str">
        <f ca="1">IFERROR(__xludf.DUMMYFUNCTION("""COMPUTED_VALUE"""),"| 1 P PHP-CGM @ | 3 L PHP-CGM @ | 3 L JAVA @ | 5 P PRO @ ")</f>
        <v xml:space="preserve">| 1 P PHP-CGM @ | 3 L PHP-CGM @ | 3 L JAVA @ | 5 P PRO @ </v>
      </c>
      <c r="CB412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CC412" s="4" t="str">
        <f ca="1">IFERROR(__xludf.DUMMYFUNCTION("""COMPUTED_VALUE"""),"| 1 L INE @ | 3 P JAVA @ | 5 L JAVA @ | 6 L NS @ ")</f>
        <v xml:space="preserve">| 1 L INE @ | 3 P JAVA @ | 5 L JAVA @ | 6 L NS @ </v>
      </c>
      <c r="CD412" s="4" t="str">
        <f ca="1">IFERROR(__xludf.DUMMYFUNCTION("""COMPUTED_VALUE"""),"| 1 P JAVA @ | 3 P Python @ | 5 L NS @ | 6 L CPT @ ")</f>
        <v xml:space="preserve">| 1 P JAVA @ | 3 P Python @ | 5 L NS @ | 6 L CPT @ </v>
      </c>
      <c r="CE412" s="4" t="str">
        <f ca="1">IFERROR(__xludf.DUMMYFUNCTION("""COMPUTED_VALUE"""),"| 1 P Python @ | 3 L CPT @ | 4 L PHP-CGM @ | 5 P CPT @ ")</f>
        <v xml:space="preserve">| 1 P Python @ | 3 L CPT @ | 4 L PHP-CGM @ | 5 P CPT @ </v>
      </c>
      <c r="CF412" s="4" t="str">
        <f ca="1">IFERROR(__xludf.DUMMYFUNCTION("""COMPUTED_VALUE"""),"| 1 P PHP-CGM @ | 4 L JAVA @ | 3 L PHP-CGM @ | 5 L PRO % ")</f>
        <v xml:space="preserve">| 1 P PHP-CGM @ | 4 L JAVA @ | 3 L PHP-CGM @ | 5 L PRO % </v>
      </c>
      <c r="CG412" s="4" t="str">
        <f ca="1">IFERROR(__xludf.DUMMYFUNCTION("""COMPUTED_VALUE"""),"| 1 L JAVA @ | 2 L PHP-CGM @ | 3 P NS @ | 6 L NS @ ")</f>
        <v xml:space="preserve">| 1 L JAVA @ | 2 L PHP-CGM @ | 3 P NS @ | 6 L NS @ </v>
      </c>
      <c r="CH412" s="4" t="str">
        <f ca="1">IFERROR(__xludf.DUMMYFUNCTION("""COMPUTED_VALUE"""),"| 1 L INE @ | 3 P JAVA @ | 5 L JAVA @ | 6 L NS @ ")</f>
        <v xml:space="preserve">| 1 L INE @ | 3 P JAVA @ | 5 L JAVA @ | 6 L NS @ </v>
      </c>
      <c r="CI412" s="4" t="str">
        <f ca="1">IFERROR(__xludf.DUMMYFUNCTION("""COMPUTED_VALUE"""),"| 5 L NS @ | 6 L CPT @ ")</f>
        <v xml:space="preserve">| 5 L NS @ | 6 L CPT @ </v>
      </c>
      <c r="CJ412" s="4" t="str">
        <f ca="1">IFERROR(__xludf.DUMMYFUNCTION("""COMPUTED_VALUE"""),"| 3 L CPT @ | 5 P CPT % ")</f>
        <v xml:space="preserve">| 3 L CPT @ | 5 P CPT % </v>
      </c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</row>
    <row r="413" spans="1:102" ht="12.5" x14ac:dyDescent="0.25">
      <c r="A413" s="3">
        <f ca="1">IFERROR(__xludf.DUMMYFUNCTION("""COMPUTED_VALUE"""),3)</f>
        <v>3</v>
      </c>
      <c r="B413" s="3" t="str">
        <f ca="1">IFERROR(__xludf.DUMMYFUNCTION("""COMPUTED_VALUE"""),"ITA")</f>
        <v>ITA</v>
      </c>
      <c r="C413" s="32" t="str">
        <f ca="1">IFERROR(__xludf.DUMMYFUNCTION("""COMPUTED_VALUE"""),"23291371155")</f>
        <v>23291371155</v>
      </c>
      <c r="D413" s="4" t="str">
        <f ca="1">IFERROR(__xludf.DUMMYFUNCTION("""COMPUTED_VALUE"""),"CHANDRA  KANT YADAV")</f>
        <v>CHANDRA  KANT YADAV</v>
      </c>
      <c r="E413" s="3" t="str">
        <f ca="1">IFERROR(__xludf.DUMMYFUNCTION("""COMPUTED_VALUE"""),"Sweety - Mor")</f>
        <v>Sweety - Mor</v>
      </c>
      <c r="F413" s="3"/>
      <c r="G413" s="3"/>
      <c r="H413" s="33">
        <f ca="1">IFERROR(__xludf.DUMMYFUNCTION("""COMPUTED_VALUE"""),0.558232931726907)</f>
        <v>0.55823293172690702</v>
      </c>
      <c r="I413" s="25">
        <f ca="1">IFERROR(__xludf.DUMMYFUNCTION("""COMPUTED_VALUE"""),0.542857142857142)</f>
        <v>0.54285714285714204</v>
      </c>
      <c r="J413" s="25">
        <f ca="1">IFERROR(__xludf.DUMMYFUNCTION("""COMPUTED_VALUE"""),0.5)</f>
        <v>0.5</v>
      </c>
      <c r="K413" s="25">
        <f ca="1">IFERROR(__xludf.DUMMYFUNCTION("""COMPUTED_VALUE"""),0.5)</f>
        <v>0.5</v>
      </c>
      <c r="L413" s="25">
        <f ca="1">IFERROR(__xludf.DUMMYFUNCTION("""COMPUTED_VALUE"""),0.769230769230769)</f>
        <v>0.76923076923076905</v>
      </c>
      <c r="M413" s="25">
        <f ca="1">IFERROR(__xludf.DUMMYFUNCTION("""COMPUTED_VALUE"""),0.657894736842105)</f>
        <v>0.65789473684210498</v>
      </c>
      <c r="N413" s="25">
        <f ca="1">IFERROR(__xludf.DUMMYFUNCTION("""COMPUTED_VALUE"""),0.846153846153846)</f>
        <v>0.84615384615384603</v>
      </c>
      <c r="O413" s="25">
        <f ca="1">IFERROR(__xludf.DUMMYFUNCTION("""COMPUTED_VALUE"""),0.583333333333333)</f>
        <v>0.58333333333333304</v>
      </c>
      <c r="P413" s="25">
        <f ca="1">IFERROR(__xludf.DUMMYFUNCTION("""COMPUTED_VALUE"""),0.434782608695652)</f>
        <v>0.434782608695652</v>
      </c>
      <c r="Q413" s="25">
        <f ca="1">IFERROR(__xludf.DUMMYFUNCTION("""COMPUTED_VALUE"""),0)</f>
        <v>0</v>
      </c>
      <c r="R413" s="25">
        <f ca="1">IFERROR(__xludf.DUMMYFUNCTION("""COMPUTED_VALUE"""),0.391304347826087)</f>
        <v>0.39130434782608697</v>
      </c>
      <c r="S413" s="25">
        <f ca="1">IFERROR(__xludf.DUMMYFUNCTION("""COMPUTED_VALUE"""),0.666666666666666)</f>
        <v>0.66666666666666596</v>
      </c>
      <c r="T413" s="25">
        <f ca="1">IFERROR(__xludf.DUMMYFUNCTION("""COMPUTED_VALUE"""),0.444444444444444)</f>
        <v>0.44444444444444398</v>
      </c>
      <c r="U413" s="25">
        <f ca="1">IFERROR(__xludf.DUMMYFUNCTION("""COMPUTED_VALUE"""),0.5)</f>
        <v>0.5</v>
      </c>
      <c r="V413" s="25">
        <f ca="1">IFERROR(__xludf.DUMMYFUNCTION("""COMPUTED_VALUE"""),0)</f>
        <v>0</v>
      </c>
      <c r="W413" s="4"/>
      <c r="X413" s="4" t="str">
        <f ca="1">IFERROR(__xludf.DUMMYFUNCTION("""COMPUTED_VALUE"""),"| 4 L JAVA @ | 1 P PHP-CGM @ | 3 L PHP-CGM @ | 1 L PRO @ ")</f>
        <v xml:space="preserve">| 4 L JAVA @ | 1 P PHP-CGM @ | 3 L PHP-CGM @ | 1 L PRO @ </v>
      </c>
      <c r="Y413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413" s="4" t="str">
        <f ca="1">IFERROR(__xludf.DUMMYFUNCTION("""COMPUTED_VALUE"""),"| 3 P JAVA @ | 5 L JAVA @ | 6 L NS @ ")</f>
        <v xml:space="preserve">| 3 P JAVA @ | 5 L JAVA @ | 6 L NS @ </v>
      </c>
      <c r="AA413" s="4" t="str">
        <f ca="1">IFERROR(__xludf.DUMMYFUNCTION("""COMPUTED_VALUE"""),"| 1 P JAVA @ | 3 P Python @ | 5 L NS @ | 6 L CPT @ ")</f>
        <v xml:space="preserve">| 1 P JAVA @ | 3 P Python @ | 5 L NS @ | 6 L CPT @ </v>
      </c>
      <c r="AB413" s="4" t="str">
        <f ca="1">IFERROR(__xludf.DUMMYFUNCTION("""COMPUTED_VALUE"""),"| 1 P Python @ | 3 L CPT @ | 4 L PHP-CGM @ | 5 P CPT @ ")</f>
        <v xml:space="preserve">| 1 P Python @ | 3 L CPT @ | 4 L PHP-CGM @ | 5 P CPT @ </v>
      </c>
      <c r="AC413" s="4" t="str">
        <f ca="1">IFERROR(__xludf.DUMMYFUNCTION("""COMPUTED_VALUE"""),"| 1 P PHP-CGM @ | 3 L PHP-CGM @ | 5 P PRO @ ")</f>
        <v xml:space="preserve">| 1 P PHP-CGM @ | 3 L PHP-CGM @ | 5 P PRO @ </v>
      </c>
      <c r="AD413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AE413" s="4" t="str">
        <f ca="1">IFERROR(__xludf.DUMMYFUNCTION("""COMPUTED_VALUE"""),"| 3 P JAVA @ | 5 L JAVA @ | 6 L NS @ ")</f>
        <v xml:space="preserve">| 3 P JAVA @ | 5 L JAVA @ | 6 L NS @ </v>
      </c>
      <c r="AF413" s="4" t="str">
        <f ca="1">IFERROR(__xludf.DUMMYFUNCTION("""COMPUTED_VALUE"""),"| 1 P JAVA @ | 3 P Python @ | 5 L NS @ | 6 L CPT @ ")</f>
        <v xml:space="preserve">| 1 P JAVA @ | 3 P Python @ | 5 L NS @ | 6 L CPT @ </v>
      </c>
      <c r="AG413" s="4" t="str">
        <f ca="1">IFERROR(__xludf.DUMMYFUNCTION("""COMPUTED_VALUE"""),"| 1 P Python @ | 3 L CPT @ | 4 L PHP-CGM @ | 5 P CPT @ ")</f>
        <v xml:space="preserve">| 1 P Python @ | 3 L CPT @ | 4 L PHP-CGM @ | 5 P CPT @ </v>
      </c>
      <c r="AH413" s="4" t="str">
        <f ca="1">IFERROR(__xludf.DUMMYFUNCTION("""COMPUTED_VALUE"""),"| 1 P JAVA @ | 3 P Python @ | 5 L NS @ | 6 L CPT @ ")</f>
        <v xml:space="preserve">| 1 P JAVA @ | 3 P Python @ | 5 L NS @ | 6 L CPT @ </v>
      </c>
      <c r="AI413" s="4" t="str">
        <f ca="1">IFERROR(__xludf.DUMMYFUNCTION("""COMPUTED_VALUE"""),"| 1 P Python @ | 3 L CPT @ | 4 L PHP-CGM @ | 5 P CPT @ ")</f>
        <v xml:space="preserve">| 1 P Python @ | 3 L CPT @ | 4 L PHP-CGM @ | 5 P CPT @ </v>
      </c>
      <c r="AJ413" s="4" t="str">
        <f ca="1">IFERROR(__xludf.DUMMYFUNCTION("""COMPUTED_VALUE"""),"| 1 P PHP-CGM % | 3 L PHP-CGM % | 4 L JAVA % | 5 P PRO % ")</f>
        <v xml:space="preserve">| 1 P PHP-CGM % | 3 L PHP-CGM % | 4 L JAVA % | 5 P PRO % </v>
      </c>
      <c r="AK413" s="4" t="str">
        <f ca="1">IFERROR(__xludf.DUMMYFUNCTION("""COMPUTED_VALUE"""),"| 1 L JAVA % | 2 L PHP-CGM % | 3 P NS % | 5 L CPT @ | 6 L NS % ")</f>
        <v xml:space="preserve">| 1 L JAVA % | 2 L PHP-CGM % | 3 P NS % | 5 L CPT @ | 6 L NS % </v>
      </c>
      <c r="AL413" s="4" t="str">
        <f ca="1">IFERROR(__xludf.DUMMYFUNCTION("""COMPUTED_VALUE"""),"| 3 P JAVA @ | 5 L JAVA @ | 6 L NS @ ")</f>
        <v xml:space="preserve">| 3 P JAVA @ | 5 L JAVA @ | 6 L NS @ </v>
      </c>
      <c r="AM413" s="4" t="str">
        <f ca="1">IFERROR(__xludf.DUMMYFUNCTION("""COMPUTED_VALUE"""),"| 1 P JAVA @ | 3 P Python @ | 5 L NS @ | 6 L CPT @ ")</f>
        <v xml:space="preserve">| 1 P JAVA @ | 3 P Python @ | 5 L NS @ | 6 L CPT @ </v>
      </c>
      <c r="AN413" s="4" t="str">
        <f ca="1">IFERROR(__xludf.DUMMYFUNCTION("""COMPUTED_VALUE"""),"| 1 P Python @ | 4 L PHP-CGM @ | 5 P CPT @ ")</f>
        <v xml:space="preserve">| 1 P Python @ | 4 L PHP-CGM @ | 5 P CPT @ </v>
      </c>
      <c r="AO413" s="4" t="str">
        <f ca="1">IFERROR(__xludf.DUMMYFUNCTION("""COMPUTED_VALUE"""),"| 1 P PHP-CGM % | 3 L PHP-CGM @ | 4 L JAVA @ | 5 P PRO @ ")</f>
        <v xml:space="preserve">| 1 P PHP-CGM % | 3 L PHP-CGM @ | 4 L JAVA @ | 5 P PRO @ </v>
      </c>
      <c r="AP413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Q413" s="4" t="str">
        <f ca="1">IFERROR(__xludf.DUMMYFUNCTION("""COMPUTED_VALUE"""),"| 1 L INE @ | 3 P JAVA @ | 5 L JAVA @ | 6 L NS @ ")</f>
        <v xml:space="preserve">| 1 L INE @ | 3 P JAVA @ | 5 L JAVA @ | 6 L NS @ </v>
      </c>
      <c r="AR413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413" s="4" t="str">
        <f ca="1">IFERROR(__xludf.DUMMYFUNCTION("""COMPUTED_VALUE"""),"| 1 P PHP-CGM % | 3 L PHP-CGM % | 4 L JAVA % | 5 P PRO % ")</f>
        <v xml:space="preserve">| 1 P PHP-CGM % | 3 L PHP-CGM % | 4 L JAVA % | 5 P PRO % </v>
      </c>
      <c r="AT41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U413" s="4" t="str">
        <f ca="1">IFERROR(__xludf.DUMMYFUNCTION("""COMPUTED_VALUE"""),"| 1 L INE % | 3 P JAVA % | 5 L JAVA % | 6 L NS % ")</f>
        <v xml:space="preserve">| 1 L INE % | 3 P JAVA % | 5 L JAVA % | 6 L NS % </v>
      </c>
      <c r="AV413" s="4" t="str">
        <f ca="1">IFERROR(__xludf.DUMMYFUNCTION("""COMPUTED_VALUE"""),"| 1 P JAVA % | 3 P Python % | 5 L NS % | 6 L CPT % ")</f>
        <v xml:space="preserve">| 1 P JAVA % | 3 P Python % | 5 L NS % | 6 L CPT % </v>
      </c>
      <c r="AW413" s="4" t="str">
        <f ca="1">IFERROR(__xludf.DUMMYFUNCTION("""COMPUTED_VALUE"""),"| 1 P Python % | 3 L CPT % | 4 L PHP-CGM % | 5 P CPT % ")</f>
        <v xml:space="preserve">| 1 P Python % | 3 L CPT % | 4 L PHP-CGM % | 5 P CPT % </v>
      </c>
      <c r="AX413" s="4" t="str">
        <f ca="1">IFERROR(__xludf.DUMMYFUNCTION("""COMPUTED_VALUE"""),"| 1 P PHP-CGM % | 3 L JAVA @ | 4 L PHP-CGM @ | 5 P PRO @ ")</f>
        <v xml:space="preserve">| 1 P PHP-CGM % | 3 L JAVA @ | 4 L PHP-CGM @ | 5 P PRO @ </v>
      </c>
      <c r="AY413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13" s="4" t="str">
        <f ca="1">IFERROR(__xludf.DUMMYFUNCTION("""COMPUTED_VALUE"""),"| 1 P JAVA % | 3 P Python % | 5 L NS % | 6 L CPT % ")</f>
        <v xml:space="preserve">| 1 P JAVA % | 3 P Python % | 5 L NS % | 6 L CPT % </v>
      </c>
      <c r="BA413" s="4" t="str">
        <f ca="1">IFERROR(__xludf.DUMMYFUNCTION("""COMPUTED_VALUE"""),"| 1 P Python % | 3 L CPT % | 4 L PHP-CGM % | 5 P CPT % ")</f>
        <v xml:space="preserve">| 1 P Python % | 3 L CPT % | 4 L PHP-CGM % | 5 P CPT % </v>
      </c>
      <c r="BB413" s="4" t="str">
        <f ca="1">IFERROR(__xludf.DUMMYFUNCTION("""COMPUTED_VALUE"""),"| 1 P PHP-CGM % | 3 L PHP-CGM % | 4 L JAVA % | 5 L PRO % ")</f>
        <v xml:space="preserve">| 1 P PHP-CGM % | 3 L PHP-CGM % | 4 L JAVA % | 5 L PRO % </v>
      </c>
      <c r="BC413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13" s="4" t="str">
        <f ca="1">IFERROR(__xludf.DUMMYFUNCTION("""COMPUTED_VALUE"""),"| 1 L INE % | 3 P JAVA % | 5 L JAVA % | 6 L NS % ")</f>
        <v xml:space="preserve">| 1 L INE % | 3 P JAVA % | 5 L JAVA % | 6 L NS % </v>
      </c>
      <c r="BE413" s="4" t="str">
        <f ca="1">IFERROR(__xludf.DUMMYFUNCTION("""COMPUTED_VALUE"""),"| 1 P JAVA % | 3 P Python % | 5 L NS % | 6 L CPT % ")</f>
        <v xml:space="preserve">| 1 P JAVA % | 3 P Python % | 5 L NS % | 6 L CPT % </v>
      </c>
      <c r="BF413" s="4" t="str">
        <f ca="1">IFERROR(__xludf.DUMMYFUNCTION("""COMPUTED_VALUE"""),"| 1 P Python @ | 3 L CPT @ | 4 L PHP-CGM @ | 5 P CPT @ ")</f>
        <v xml:space="preserve">| 1 P Python @ | 3 L CPT @ | 4 L PHP-CGM @ | 5 P CPT @ </v>
      </c>
      <c r="BG413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13" s="4" t="str">
        <f ca="1">IFERROR(__xludf.DUMMYFUNCTION("""COMPUTED_VALUE"""),"| 1 L INE @ | 3 P JAVA % | 5 L JAVA % | 6 L NS % ")</f>
        <v xml:space="preserve">| 1 L INE @ | 3 P JAVA % | 5 L JAVA % | 6 L NS % </v>
      </c>
      <c r="BI413" s="4" t="str">
        <f ca="1">IFERROR(__xludf.DUMMYFUNCTION("""COMPUTED_VALUE"""),"| 1 P JAVA % | 3 P Python % | 5 L NS % | 6 L CPT % ")</f>
        <v xml:space="preserve">| 1 P JAVA % | 3 P Python % | 5 L NS % | 6 L CPT % </v>
      </c>
      <c r="BJ413" s="4" t="str">
        <f ca="1">IFERROR(__xludf.DUMMYFUNCTION("""COMPUTED_VALUE"""),"| 1 P Python @ | 3 L CPT % | 4 L PHP-CGM % | 5 P CPT @ ")</f>
        <v xml:space="preserve">| 1 P Python @ | 3 L CPT % | 4 L PHP-CGM % | 5 P CPT @ </v>
      </c>
      <c r="BK413" s="4" t="str">
        <f ca="1">IFERROR(__xludf.DUMMYFUNCTION("""COMPUTED_VALUE"""),"| 1 P PHP-CGM % | 3 L PHP-CGM % | 4 L JAVA % | 5 P PRO % ")</f>
        <v xml:space="preserve">| 1 P PHP-CGM % | 3 L PHP-CGM % | 4 L JAVA % | 5 P PRO % </v>
      </c>
      <c r="BL413" s="4" t="str">
        <f ca="1">IFERROR(__xludf.DUMMYFUNCTION("""COMPUTED_VALUE"""),"| 1 L JAVA % | 2 L PHP-CGM % | 3 P NS % | 6 L NS % | 5 L CPT @ ")</f>
        <v xml:space="preserve">| 1 L JAVA % | 2 L PHP-CGM % | 3 P NS % | 6 L NS % | 5 L CPT @ </v>
      </c>
      <c r="BM413" s="4" t="str">
        <f ca="1">IFERROR(__xludf.DUMMYFUNCTION("""COMPUTED_VALUE"""),"| 1 L INE % | 3 P JAVA % | 5 L JAVA % | 6 L NS % ")</f>
        <v xml:space="preserve">| 1 L INE % | 3 P JAVA % | 5 L JAVA % | 6 L NS % </v>
      </c>
      <c r="BN413" s="4" t="str">
        <f ca="1">IFERROR(__xludf.DUMMYFUNCTION("""COMPUTED_VALUE"""),"| 1 P JAVA @ | 3 P Python @ | 5 L NS % | 6 L CPT % ")</f>
        <v xml:space="preserve">| 1 P JAVA @ | 3 P Python @ | 5 L NS % | 6 L CPT % </v>
      </c>
      <c r="BO413" s="4" t="str">
        <f ca="1">IFERROR(__xludf.DUMMYFUNCTION("""COMPUTED_VALUE"""),"| 1 P Python % | 4 L PHP-CGM % | 3 L CPT % | 5 P CPT % ")</f>
        <v xml:space="preserve">| 1 P Python % | 4 L PHP-CGM % | 3 L CPT % | 5 P CPT % </v>
      </c>
      <c r="BP413" s="4" t="str">
        <f ca="1">IFERROR(__xludf.DUMMYFUNCTION("""COMPUTED_VALUE"""),"| 1 P PHP-CGM % | 3 L PHP-CGM % | 4 L JAVA % | 6 P PRO @ ")</f>
        <v xml:space="preserve">| 1 P PHP-CGM % | 3 L PHP-CGM % | 4 L JAVA % | 6 P PRO @ </v>
      </c>
      <c r="BQ413" s="4" t="str">
        <f ca="1">IFERROR(__xludf.DUMMYFUNCTION("""COMPUTED_VALUE"""),"| 6 L NS % | 5 L JAVA @ ")</f>
        <v xml:space="preserve">| 6 L NS % | 5 L JAVA @ </v>
      </c>
      <c r="BR413" s="4"/>
      <c r="BS413" s="4" t="str">
        <f ca="1">IFERROR(__xludf.DUMMYFUNCTION("""COMPUTED_VALUE"""),"| 4 L PHP-CGM % ")</f>
        <v xml:space="preserve">| 4 L PHP-CGM % </v>
      </c>
      <c r="BT413" s="4" t="str">
        <f ca="1">IFERROR(__xludf.DUMMYFUNCTION("""COMPUTED_VALUE"""),"| 1 P PHP-CGM % | 3 L PHP-CGM % ")</f>
        <v xml:space="preserve">| 1 P PHP-CGM % | 3 L PHP-CGM % </v>
      </c>
      <c r="BU413" s="4" t="str">
        <f ca="1">IFERROR(__xludf.DUMMYFUNCTION("""COMPUTED_VALUE"""),"| 1 L JAVA % | 2 L PHP-CGM % | 3 P NS % ")</f>
        <v xml:space="preserve">| 1 L JAVA % | 2 L PHP-CGM % | 3 P NS % </v>
      </c>
      <c r="BV413" s="4" t="str">
        <f ca="1">IFERROR(__xludf.DUMMYFUNCTION("""COMPUTED_VALUE"""),"| 1 P PHP-CGM % | 3 L PHP-CGM % | 4 L JAVA % | 5 P PRO % ")</f>
        <v xml:space="preserve">| 1 P PHP-CGM % | 3 L PHP-CGM % | 4 L JAVA % | 5 P PRO % </v>
      </c>
      <c r="BW413" s="4" t="str">
        <f ca="1">IFERROR(__xludf.DUMMYFUNCTION("""COMPUTED_VALUE"""),"| 1 L JAVA % | 2 L PHP-CGM % | 3 P NS % ")</f>
        <v xml:space="preserve">| 1 L JAVA % | 2 L PHP-CGM % | 3 P NS % </v>
      </c>
      <c r="BX413" s="4" t="str">
        <f ca="1">IFERROR(__xludf.DUMMYFUNCTION("""COMPUTED_VALUE"""),"| 1 L INE @ | 3 P JAVA @ | 5 L JAVA @ | 6 L NS @ ")</f>
        <v xml:space="preserve">| 1 L INE @ | 3 P JAVA @ | 5 L JAVA @ | 6 L NS @ </v>
      </c>
      <c r="BY413" s="4" t="str">
        <f ca="1">IFERROR(__xludf.DUMMYFUNCTION("""COMPUTED_VALUE"""),"| 1 P JAVA @ | 3 P Python % | 5 L NS % | 6 L CPT % ")</f>
        <v xml:space="preserve">| 1 P JAVA @ | 3 P Python % | 5 L NS % | 6 L CPT % </v>
      </c>
      <c r="BZ413" s="4" t="str">
        <f ca="1">IFERROR(__xludf.DUMMYFUNCTION("""COMPUTED_VALUE"""),"| 1 P Python @ | 3 L CPT % | 4 L PHP-CGM % | 5 P CPT % ")</f>
        <v xml:space="preserve">| 1 P Python @ | 3 L CPT % | 4 L PHP-CGM % | 5 P CPT % </v>
      </c>
      <c r="CA413" s="4" t="str">
        <f ca="1">IFERROR(__xludf.DUMMYFUNCTION("""COMPUTED_VALUE"""),"| 1 P PHP-CGM % | 3 L PHP-CGM % | 3 L JAVA % | 5 P PRO @ ")</f>
        <v xml:space="preserve">| 1 P PHP-CGM % | 3 L PHP-CGM % | 3 L JAVA % | 5 P PRO @ </v>
      </c>
      <c r="CB413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413" s="4" t="str">
        <f ca="1">IFERROR(__xludf.DUMMYFUNCTION("""COMPUTED_VALUE"""),"| 1 L INE @ | 3 P JAVA @ | 5 L JAVA @ | 6 L NS @ ")</f>
        <v xml:space="preserve">| 1 L INE @ | 3 P JAVA @ | 5 L JAVA @ | 6 L NS @ </v>
      </c>
      <c r="CD413" s="4" t="str">
        <f ca="1">IFERROR(__xludf.DUMMYFUNCTION("""COMPUTED_VALUE"""),"| 1 P JAVA % | 3 P Python @ | 5 L NS @ | 6 L CPT @ ")</f>
        <v xml:space="preserve">| 1 P JAVA % | 3 P Python @ | 5 L NS @ | 6 L CPT @ </v>
      </c>
      <c r="CE413" s="4" t="str">
        <f ca="1">IFERROR(__xludf.DUMMYFUNCTION("""COMPUTED_VALUE"""),"| 1 P Python % | 3 L CPT % | 4 L PHP-CGM % | 5 P CPT % ")</f>
        <v xml:space="preserve">| 1 P Python % | 3 L CPT % | 4 L PHP-CGM % | 5 P CPT % </v>
      </c>
      <c r="CF413" s="4" t="str">
        <f ca="1">IFERROR(__xludf.DUMMYFUNCTION("""COMPUTED_VALUE"""),"| 1 P PHP-CGM % | 4 L JAVA @ | 3 L PHP-CGM @ | 5 L PRO % ")</f>
        <v xml:space="preserve">| 1 P PHP-CGM % | 4 L JAVA @ | 3 L PHP-CGM @ | 5 L PRO % </v>
      </c>
      <c r="CG413" s="4" t="str">
        <f ca="1">IFERROR(__xludf.DUMMYFUNCTION("""COMPUTED_VALUE"""),"| 1 L JAVA % | 2 L PHP-CGM % | 3 P NS % | 6 L NS @ ")</f>
        <v xml:space="preserve">| 1 L JAVA % | 2 L PHP-CGM % | 3 P NS % | 6 L NS @ </v>
      </c>
      <c r="CH413" s="4" t="str">
        <f ca="1">IFERROR(__xludf.DUMMYFUNCTION("""COMPUTED_VALUE"""),"| 1 L INE % | 3 P JAVA % | 5 L JAVA @ | 6 L NS @ ")</f>
        <v xml:space="preserve">| 1 L INE % | 3 P JAVA % | 5 L JAVA @ | 6 L NS @ </v>
      </c>
      <c r="CI413" s="4" t="str">
        <f ca="1">IFERROR(__xludf.DUMMYFUNCTION("""COMPUTED_VALUE"""),"| 5 L NS @ | 6 L CPT % ")</f>
        <v xml:space="preserve">| 5 L NS @ | 6 L CPT % </v>
      </c>
      <c r="CJ413" s="4" t="str">
        <f ca="1">IFERROR(__xludf.DUMMYFUNCTION("""COMPUTED_VALUE"""),"| 3 L CPT % | 5 P CPT % ")</f>
        <v xml:space="preserve">| 3 L CPT % | 5 P CPT % </v>
      </c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</row>
    <row r="414" spans="1:102" ht="12.5" x14ac:dyDescent="0.25">
      <c r="A414" s="3">
        <f ca="1">IFERROR(__xludf.DUMMYFUNCTION("""COMPUTED_VALUE"""),3)</f>
        <v>3</v>
      </c>
      <c r="B414" s="3" t="str">
        <f ca="1">IFERROR(__xludf.DUMMYFUNCTION("""COMPUTED_VALUE"""),"ITA")</f>
        <v>ITA</v>
      </c>
      <c r="C414" s="32" t="str">
        <f ca="1">IFERROR(__xludf.DUMMYFUNCTION("""COMPUTED_VALUE"""),"23291371157")</f>
        <v>23291371157</v>
      </c>
      <c r="D414" s="4" t="str">
        <f ca="1">IFERROR(__xludf.DUMMYFUNCTION("""COMPUTED_VALUE"""),"MEMAN MOSHAHIL MAHAMMAD HANIF")</f>
        <v>MEMAN MOSHAHIL MAHAMMAD HANIF</v>
      </c>
      <c r="E414" s="3" t="str">
        <f ca="1">IFERROR(__xludf.DUMMYFUNCTION("""COMPUTED_VALUE"""),"Sweety - Mor")</f>
        <v>Sweety - Mor</v>
      </c>
      <c r="F414" s="3">
        <f ca="1">IFERROR(__xludf.DUMMYFUNCTION("""COMPUTED_VALUE"""),6355680394)</f>
        <v>6355680394</v>
      </c>
      <c r="G414" s="3">
        <f ca="1">IFERROR(__xludf.DUMMYFUNCTION("""COMPUTED_VALUE"""),9723835700)</f>
        <v>9723835700</v>
      </c>
      <c r="H414" s="33">
        <f ca="1">IFERROR(__xludf.DUMMYFUNCTION("""COMPUTED_VALUE"""),0.289156626506024)</f>
        <v>0.28915662650602397</v>
      </c>
      <c r="I414" s="25">
        <f ca="1">IFERROR(__xludf.DUMMYFUNCTION("""COMPUTED_VALUE"""),0.114285714285714)</f>
        <v>0.114285714285714</v>
      </c>
      <c r="J414" s="25">
        <f ca="1">IFERROR(__xludf.DUMMYFUNCTION("""COMPUTED_VALUE"""),0.0833333333333333)</f>
        <v>8.3333333333333301E-2</v>
      </c>
      <c r="K414" s="25">
        <f ca="1">IFERROR(__xludf.DUMMYFUNCTION("""COMPUTED_VALUE"""),0.277777777777777)</f>
        <v>0.27777777777777701</v>
      </c>
      <c r="L414" s="25">
        <f ca="1">IFERROR(__xludf.DUMMYFUNCTION("""COMPUTED_VALUE"""),0.23076923076923)</f>
        <v>0.23076923076923</v>
      </c>
      <c r="M414" s="25">
        <f ca="1">IFERROR(__xludf.DUMMYFUNCTION("""COMPUTED_VALUE"""),0.368421052631578)</f>
        <v>0.36842105263157798</v>
      </c>
      <c r="N414" s="25">
        <f ca="1">IFERROR(__xludf.DUMMYFUNCTION("""COMPUTED_VALUE"""),0.615384615384615)</f>
        <v>0.61538461538461497</v>
      </c>
      <c r="O414" s="25">
        <f ca="1">IFERROR(__xludf.DUMMYFUNCTION("""COMPUTED_VALUE"""),0.388888888888888)</f>
        <v>0.38888888888888801</v>
      </c>
      <c r="P414" s="25">
        <f ca="1">IFERROR(__xludf.DUMMYFUNCTION("""COMPUTED_VALUE"""),0.347826086956521)</f>
        <v>0.34782608695652101</v>
      </c>
      <c r="Q414" s="25">
        <f ca="1">IFERROR(__xludf.DUMMYFUNCTION("""COMPUTED_VALUE"""),0)</f>
        <v>0</v>
      </c>
      <c r="R414" s="25">
        <f ca="1">IFERROR(__xludf.DUMMYFUNCTION("""COMPUTED_VALUE"""),0.0869565217391304)</f>
        <v>8.6956521739130405E-2</v>
      </c>
      <c r="S414" s="25">
        <f ca="1">IFERROR(__xludf.DUMMYFUNCTION("""COMPUTED_VALUE"""),0.666666666666666)</f>
        <v>0.66666666666666596</v>
      </c>
      <c r="T414" s="25">
        <f ca="1">IFERROR(__xludf.DUMMYFUNCTION("""COMPUTED_VALUE"""),0.555555555555555)</f>
        <v>0.55555555555555503</v>
      </c>
      <c r="U414" s="25">
        <f ca="1">IFERROR(__xludf.DUMMYFUNCTION("""COMPUTED_VALUE"""),0.125)</f>
        <v>0.125</v>
      </c>
      <c r="V414" s="25">
        <f ca="1">IFERROR(__xludf.DUMMYFUNCTION("""COMPUTED_VALUE"""),0)</f>
        <v>0</v>
      </c>
      <c r="W414" s="4"/>
      <c r="X414" s="4" t="str">
        <f ca="1">IFERROR(__xludf.DUMMYFUNCTION("""COMPUTED_VALUE"""),"| 4 L JAVA % | 1 P PHP-CGM % | 3 L PHP-CGM % | 1 L PRO % ")</f>
        <v xml:space="preserve">| 4 L JAVA % | 1 P PHP-CGM % | 3 L PHP-CGM % | 1 L PRO % </v>
      </c>
      <c r="Y41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414" s="4" t="str">
        <f ca="1">IFERROR(__xludf.DUMMYFUNCTION("""COMPUTED_VALUE"""),"| 3 P JAVA % | 5 L JAVA % | 6 L NS % ")</f>
        <v xml:space="preserve">| 3 P JAVA % | 5 L JAVA % | 6 L NS % </v>
      </c>
      <c r="AA414" s="4" t="str">
        <f ca="1">IFERROR(__xludf.DUMMYFUNCTION("""COMPUTED_VALUE"""),"| 1 P JAVA @ | 3 P Python @ | 5 L NS @ | 6 L CPT @ ")</f>
        <v xml:space="preserve">| 1 P JAVA @ | 3 P Python @ | 5 L NS @ | 6 L CPT @ </v>
      </c>
      <c r="AB414" s="4" t="str">
        <f ca="1">IFERROR(__xludf.DUMMYFUNCTION("""COMPUTED_VALUE"""),"| 1 P Python @ | 3 L CPT @ | 4 L PHP-CGM @ | 5 P CPT @ ")</f>
        <v xml:space="preserve">| 1 P Python @ | 3 L CPT @ | 4 L PHP-CGM @ | 5 P CPT @ </v>
      </c>
      <c r="AC414" s="4" t="str">
        <f ca="1">IFERROR(__xludf.DUMMYFUNCTION("""COMPUTED_VALUE"""),"| 1 P PHP-CGM % | 3 L PHP-CGM % | 5 P PRO % ")</f>
        <v xml:space="preserve">| 1 P PHP-CGM % | 3 L PHP-CGM % | 5 P PRO % </v>
      </c>
      <c r="AD414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AE414" s="4" t="str">
        <f ca="1">IFERROR(__xludf.DUMMYFUNCTION("""COMPUTED_VALUE"""),"| 3 P JAVA @ | 5 L JAVA @ | 6 L NS @ ")</f>
        <v xml:space="preserve">| 3 P JAVA @ | 5 L JAVA @ | 6 L NS @ </v>
      </c>
      <c r="AF414" s="4" t="str">
        <f ca="1">IFERROR(__xludf.DUMMYFUNCTION("""COMPUTED_VALUE"""),"| 1 P JAVA @ | 3 P Python @ | 5 L NS @ | 6 L CPT @ ")</f>
        <v xml:space="preserve">| 1 P JAVA @ | 3 P Python @ | 5 L NS @ | 6 L CPT @ </v>
      </c>
      <c r="AG414" s="4" t="str">
        <f ca="1">IFERROR(__xludf.DUMMYFUNCTION("""COMPUTED_VALUE"""),"| 1 P Python @ | 3 L CPT @ | 4 L PHP-CGM @ | 5 P CPT @ ")</f>
        <v xml:space="preserve">| 1 P Python @ | 3 L CPT @ | 4 L PHP-CGM @ | 5 P CPT @ </v>
      </c>
      <c r="AH414" s="4" t="str">
        <f ca="1">IFERROR(__xludf.DUMMYFUNCTION("""COMPUTED_VALUE"""),"| 1 P JAVA % | 3 P Python % | 5 L NS % | 6 L CPT % ")</f>
        <v xml:space="preserve">| 1 P JAVA % | 3 P Python % | 5 L NS % | 6 L CPT % </v>
      </c>
      <c r="AI414" s="4" t="str">
        <f ca="1">IFERROR(__xludf.DUMMYFUNCTION("""COMPUTED_VALUE"""),"| 1 P Python @ | 3 L CPT @ | 4 L PHP-CGM @ | 5 P CPT @ ")</f>
        <v xml:space="preserve">| 1 P Python @ | 3 L CPT @ | 4 L PHP-CGM @ | 5 P CPT @ </v>
      </c>
      <c r="AJ414" s="4" t="str">
        <f ca="1">IFERROR(__xludf.DUMMYFUNCTION("""COMPUTED_VALUE"""),"| 1 P PHP-CGM % | 3 L PHP-CGM % | 4 L JAVA % | 5 P PRO % ")</f>
        <v xml:space="preserve">| 1 P PHP-CGM % | 3 L PHP-CGM % | 4 L JAVA % | 5 P PRO % </v>
      </c>
      <c r="AK41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L414" s="4" t="str">
        <f ca="1">IFERROR(__xludf.DUMMYFUNCTION("""COMPUTED_VALUE"""),"| 3 P JAVA % | 5 L JAVA % | 6 L NS % ")</f>
        <v xml:space="preserve">| 3 P JAVA % | 5 L JAVA % | 6 L NS % </v>
      </c>
      <c r="AM414" s="4" t="str">
        <f ca="1">IFERROR(__xludf.DUMMYFUNCTION("""COMPUTED_VALUE"""),"| 1 P JAVA % | 3 P Python % | 5 L NS % | 6 L CPT % ")</f>
        <v xml:space="preserve">| 1 P JAVA % | 3 P Python % | 5 L NS % | 6 L CPT % </v>
      </c>
      <c r="AN414" s="4" t="str">
        <f ca="1">IFERROR(__xludf.DUMMYFUNCTION("""COMPUTED_VALUE"""),"| 1 P Python @ | 4 L PHP-CGM @ | 5 P CPT @ ")</f>
        <v xml:space="preserve">| 1 P Python @ | 4 L PHP-CGM @ | 5 P CPT @ </v>
      </c>
      <c r="AO414" s="4" t="str">
        <f ca="1">IFERROR(__xludf.DUMMYFUNCTION("""COMPUTED_VALUE"""),"| 1 P PHP-CGM @ | 3 L PHP-CGM @ | 4 L JAVA @ | 5 P PRO @ ")</f>
        <v xml:space="preserve">| 1 P PHP-CGM @ | 3 L PHP-CGM @ | 4 L JAVA @ | 5 P PRO @ </v>
      </c>
      <c r="AP414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14" s="4" t="str">
        <f ca="1">IFERROR(__xludf.DUMMYFUNCTION("""COMPUTED_VALUE"""),"| 1 L INE % | 3 P JAVA % | 5 L JAVA @ | 6 L NS @ ")</f>
        <v xml:space="preserve">| 1 L INE % | 3 P JAVA % | 5 L JAVA @ | 6 L NS @ </v>
      </c>
      <c r="AR414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414" s="4" t="str">
        <f ca="1">IFERROR(__xludf.DUMMYFUNCTION("""COMPUTED_VALUE"""),"| 1 P PHP-CGM @ | 3 L PHP-CGM @ | 4 L JAVA @ | 5 P PRO @ ")</f>
        <v xml:space="preserve">| 1 P PHP-CGM @ | 3 L PHP-CGM @ | 4 L JAVA @ | 5 P PRO @ </v>
      </c>
      <c r="AT41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U414" s="4" t="str">
        <f ca="1">IFERROR(__xludf.DUMMYFUNCTION("""COMPUTED_VALUE"""),"| 1 L INE @ | 3 P JAVA % | 5 L JAVA % | 6 L NS % ")</f>
        <v xml:space="preserve">| 1 L INE @ | 3 P JAVA % | 5 L JAVA % | 6 L NS % </v>
      </c>
      <c r="AV414" s="4" t="str">
        <f ca="1">IFERROR(__xludf.DUMMYFUNCTION("""COMPUTED_VALUE"""),"| 1 P JAVA @ | 3 P Python @ | 5 L NS @ | 6 L CPT @ ")</f>
        <v xml:space="preserve">| 1 P JAVA @ | 3 P Python @ | 5 L NS @ | 6 L CPT @ </v>
      </c>
      <c r="AW414" s="4" t="str">
        <f ca="1">IFERROR(__xludf.DUMMYFUNCTION("""COMPUTED_VALUE"""),"| 1 P Python @ | 3 L CPT @ | 4 L PHP-CGM @ | 5 P CPT @ ")</f>
        <v xml:space="preserve">| 1 P Python @ | 3 L CPT @ | 4 L PHP-CGM @ | 5 P CPT @ </v>
      </c>
      <c r="AX414" s="4" t="str">
        <f ca="1">IFERROR(__xludf.DUMMYFUNCTION("""COMPUTED_VALUE"""),"| 1 P PHP-CGM % | 3 L JAVA % | 4 L PHP-CGM % | 5 P PRO % ")</f>
        <v xml:space="preserve">| 1 P PHP-CGM % | 3 L JAVA % | 4 L PHP-CGM % | 5 P PRO % </v>
      </c>
      <c r="AY414" s="4" t="str">
        <f ca="1">IFERROR(__xludf.DUMMYFUNCTION("""COMPUTED_VALUE"""),"| 2 L PHP-CGM % | 3 P NS @ | 5 L CPT @ | 6 L NS @ | 1 L JAVA % ")</f>
        <v xml:space="preserve">| 2 L PHP-CGM % | 3 P NS @ | 5 L CPT @ | 6 L NS @ | 1 L JAVA % </v>
      </c>
      <c r="AZ414" s="4" t="str">
        <f ca="1">IFERROR(__xludf.DUMMYFUNCTION("""COMPUTED_VALUE"""),"| 1 P JAVA @ | 3 P Python @ | 5 L NS @ | 6 L CPT @ ")</f>
        <v xml:space="preserve">| 1 P JAVA @ | 3 P Python @ | 5 L NS @ | 6 L CPT @ </v>
      </c>
      <c r="BA414" s="4" t="str">
        <f ca="1">IFERROR(__xludf.DUMMYFUNCTION("""COMPUTED_VALUE"""),"| 1 P Python @ | 3 L CPT @ | 4 L PHP-CGM @ | 5 P CPT @ ")</f>
        <v xml:space="preserve">| 1 P Python @ | 3 L CPT @ | 4 L PHP-CGM @ | 5 P CPT @ </v>
      </c>
      <c r="BB414" s="4" t="str">
        <f ca="1">IFERROR(__xludf.DUMMYFUNCTION("""COMPUTED_VALUE"""),"| 1 P PHP-CGM @ | 3 L PHP-CGM % | 4 L JAVA @ | 5 L PRO @ ")</f>
        <v xml:space="preserve">| 1 P PHP-CGM @ | 3 L PHP-CGM % | 4 L JAVA @ | 5 L PRO @ </v>
      </c>
      <c r="BC414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14" s="4" t="str">
        <f ca="1">IFERROR(__xludf.DUMMYFUNCTION("""COMPUTED_VALUE"""),"| 1 L INE @ | 3 P JAVA % | 5 L JAVA @ | 6 L NS @ ")</f>
        <v xml:space="preserve">| 1 L INE @ | 3 P JAVA % | 5 L JAVA @ | 6 L NS @ </v>
      </c>
      <c r="BE414" s="4" t="str">
        <f ca="1">IFERROR(__xludf.DUMMYFUNCTION("""COMPUTED_VALUE"""),"| 1 P JAVA @ | 3 P Python @ | 5 L NS @ | 6 L CPT @ ")</f>
        <v xml:space="preserve">| 1 P JAVA @ | 3 P Python @ | 5 L NS @ | 6 L CPT @ </v>
      </c>
      <c r="BF414" s="4" t="str">
        <f ca="1">IFERROR(__xludf.DUMMYFUNCTION("""COMPUTED_VALUE"""),"| 1 P Python @ | 3 L CPT @ | 4 L PHP-CGM @ | 5 P CPT @ ")</f>
        <v xml:space="preserve">| 1 P Python @ | 3 L CPT @ | 4 L PHP-CGM @ | 5 P CPT @ </v>
      </c>
      <c r="BG414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BH414" s="4" t="str">
        <f ca="1">IFERROR(__xludf.DUMMYFUNCTION("""COMPUTED_VALUE"""),"| 1 L INE @ | 3 P JAVA @ | 5 L JAVA @ | 6 L NS % ")</f>
        <v xml:space="preserve">| 1 L INE @ | 3 P JAVA @ | 5 L JAVA @ | 6 L NS % </v>
      </c>
      <c r="BI414" s="4" t="str">
        <f ca="1">IFERROR(__xludf.DUMMYFUNCTION("""COMPUTED_VALUE"""),"| 1 P JAVA @ | 3 P Python @ | 5 L NS @ | 6 L CPT @ ")</f>
        <v xml:space="preserve">| 1 P JAVA @ | 3 P Python @ | 5 L NS @ | 6 L CPT @ </v>
      </c>
      <c r="BJ414" s="4" t="str">
        <f ca="1">IFERROR(__xludf.DUMMYFUNCTION("""COMPUTED_VALUE"""),"| 1 P Python @ | 3 L CPT @ | 4 L PHP-CGM @ | 5 P CPT @ ")</f>
        <v xml:space="preserve">| 1 P Python @ | 3 L CPT @ | 4 L PHP-CGM @ | 5 P CPT @ </v>
      </c>
      <c r="BK414" s="4" t="str">
        <f ca="1">IFERROR(__xludf.DUMMYFUNCTION("""COMPUTED_VALUE"""),"| 1 P PHP-CGM % | 3 L PHP-CGM % | 4 L JAVA % | 5 P PRO % ")</f>
        <v xml:space="preserve">| 1 P PHP-CGM % | 3 L PHP-CGM % | 4 L JAVA % | 5 P PRO % </v>
      </c>
      <c r="BL414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14" s="4" t="str">
        <f ca="1">IFERROR(__xludf.DUMMYFUNCTION("""COMPUTED_VALUE"""),"| 1 L INE @ | 3 P JAVA @ | 5 L JAVA @ | 6 L NS @ ")</f>
        <v xml:space="preserve">| 1 L INE @ | 3 P JAVA @ | 5 L JAVA @ | 6 L NS @ </v>
      </c>
      <c r="BN414" s="4" t="str">
        <f ca="1">IFERROR(__xludf.DUMMYFUNCTION("""COMPUTED_VALUE"""),"| 1 P JAVA @ | 3 P Python @ | 5 L NS @ | 6 L CPT @ ")</f>
        <v xml:space="preserve">| 1 P JAVA @ | 3 P Python @ | 5 L NS @ | 6 L CPT @ </v>
      </c>
      <c r="BO414" s="4" t="str">
        <f ca="1">IFERROR(__xludf.DUMMYFUNCTION("""COMPUTED_VALUE"""),"| 1 P Python @ | 4 L PHP-CGM @ | 3 L CPT @ | 5 P CPT @ ")</f>
        <v xml:space="preserve">| 1 P Python @ | 4 L PHP-CGM @ | 3 L CPT @ | 5 P CPT @ </v>
      </c>
      <c r="BP414" s="4" t="str">
        <f ca="1">IFERROR(__xludf.DUMMYFUNCTION("""COMPUTED_VALUE"""),"| 1 P PHP-CGM % | 3 L PHP-CGM % | 4 L JAVA % | 6 P PRO @ ")</f>
        <v xml:space="preserve">| 1 P PHP-CGM % | 3 L PHP-CGM % | 4 L JAVA % | 6 P PRO @ </v>
      </c>
      <c r="BQ414" s="4" t="str">
        <f ca="1">IFERROR(__xludf.DUMMYFUNCTION("""COMPUTED_VALUE"""),"| 6 L NS % | 5 L JAVA @ ")</f>
        <v xml:space="preserve">| 6 L NS % | 5 L JAVA @ </v>
      </c>
      <c r="BR414" s="4"/>
      <c r="BS414" s="4" t="str">
        <f ca="1">IFERROR(__xludf.DUMMYFUNCTION("""COMPUTED_VALUE"""),"| 4 L PHP-CGM % ")</f>
        <v xml:space="preserve">| 4 L PHP-CGM % </v>
      </c>
      <c r="BT414" s="4" t="str">
        <f ca="1">IFERROR(__xludf.DUMMYFUNCTION("""COMPUTED_VALUE"""),"| 1 P PHP-CGM @ | 3 L PHP-CGM @ ")</f>
        <v xml:space="preserve">| 1 P PHP-CGM @ | 3 L PHP-CGM @ </v>
      </c>
      <c r="BU414" s="4" t="str">
        <f ca="1">IFERROR(__xludf.DUMMYFUNCTION("""COMPUTED_VALUE"""),"| 1 L JAVA @ | 2 L PHP-CGM @ | 3 P NS @ ")</f>
        <v xml:space="preserve">| 1 L JAVA @ | 2 L PHP-CGM @ | 3 P NS @ </v>
      </c>
      <c r="BV414" s="4" t="str">
        <f ca="1">IFERROR(__xludf.DUMMYFUNCTION("""COMPUTED_VALUE"""),"| 1 P PHP-CGM @ | 3 L PHP-CGM @ | 4 L JAVA @ | 5 P PRO @ ")</f>
        <v xml:space="preserve">| 1 P PHP-CGM @ | 3 L PHP-CGM @ | 4 L JAVA @ | 5 P PRO @ </v>
      </c>
      <c r="BW414" s="4" t="str">
        <f ca="1">IFERROR(__xludf.DUMMYFUNCTION("""COMPUTED_VALUE"""),"| 1 L JAVA @ | 2 L PHP-CGM @ | 3 P NS @ ")</f>
        <v xml:space="preserve">| 1 L JAVA @ | 2 L PHP-CGM @ | 3 P NS @ </v>
      </c>
      <c r="BX414" s="4" t="str">
        <f ca="1">IFERROR(__xludf.DUMMYFUNCTION("""COMPUTED_VALUE"""),"| 1 L INE @ | 3 P JAVA @ | 5 L JAVA @ | 6 L NS @ ")</f>
        <v xml:space="preserve">| 1 L INE @ | 3 P JAVA @ | 5 L JAVA @ | 6 L NS @ </v>
      </c>
      <c r="BY414" s="4" t="str">
        <f ca="1">IFERROR(__xludf.DUMMYFUNCTION("""COMPUTED_VALUE"""),"| 1 P JAVA @ | 3 P Python @ | 5 L NS @ | 6 L CPT @ ")</f>
        <v xml:space="preserve">| 1 P JAVA @ | 3 P Python @ | 5 L NS @ | 6 L CPT @ </v>
      </c>
      <c r="BZ414" s="4" t="str">
        <f ca="1">IFERROR(__xludf.DUMMYFUNCTION("""COMPUTED_VALUE"""),"| 1 P Python @ | 3 L CPT @ | 4 L PHP-CGM @ | 5 P CPT @ ")</f>
        <v xml:space="preserve">| 1 P Python @ | 3 L CPT @ | 4 L PHP-CGM @ | 5 P CPT @ </v>
      </c>
      <c r="CA414" s="4" t="str">
        <f ca="1">IFERROR(__xludf.DUMMYFUNCTION("""COMPUTED_VALUE"""),"| 1 P PHP-CGM % | 3 L PHP-CGM @ | 3 L JAVA @ | 5 P PRO % ")</f>
        <v xml:space="preserve">| 1 P PHP-CGM % | 3 L PHP-CGM @ | 3 L JAVA @ | 5 P PRO % </v>
      </c>
      <c r="CB414" s="4" t="str">
        <f ca="1">IFERROR(__xludf.DUMMYFUNCTION("""COMPUTED_VALUE"""),"| 1 L JAVA % | 2 L PHP-CGM % | 3 P NS @ | 6 L NS @ | 5 L CPT @ ")</f>
        <v xml:space="preserve">| 1 L JAVA % | 2 L PHP-CGM % | 3 P NS @ | 6 L NS @ | 5 L CPT @ </v>
      </c>
      <c r="CC414" s="4" t="str">
        <f ca="1">IFERROR(__xludf.DUMMYFUNCTION("""COMPUTED_VALUE"""),"| 1 L INE @ | 3 P JAVA @ | 5 L JAVA @ | 6 L NS @ ")</f>
        <v xml:space="preserve">| 1 L INE @ | 3 P JAVA @ | 5 L JAVA @ | 6 L NS @ </v>
      </c>
      <c r="CD414" s="4" t="str">
        <f ca="1">IFERROR(__xludf.DUMMYFUNCTION("""COMPUTED_VALUE"""),"| 1 P JAVA % | 3 P Python @ | 5 L NS @ | 6 L CPT @ ")</f>
        <v xml:space="preserve">| 1 P JAVA % | 3 P Python @ | 5 L NS @ | 6 L CPT @ </v>
      </c>
      <c r="CE414" s="4" t="str">
        <f ca="1">IFERROR(__xludf.DUMMYFUNCTION("""COMPUTED_VALUE"""),"| 1 P Python @ | 3 L CPT @ | 4 L PHP-CGM @ | 5 P CPT @ ")</f>
        <v xml:space="preserve">| 1 P Python @ | 3 L CPT @ | 4 L PHP-CGM @ | 5 P CPT @ </v>
      </c>
      <c r="CF414" s="4" t="str">
        <f ca="1">IFERROR(__xludf.DUMMYFUNCTION("""COMPUTED_VALUE"""),"| 1 P PHP-CGM % | 4 L JAVA % | 3 L PHP-CGM % | 5 L PRO % ")</f>
        <v xml:space="preserve">| 1 P PHP-CGM % | 4 L JAVA % | 3 L PHP-CGM % | 5 L PRO % </v>
      </c>
      <c r="CG414" s="4" t="str">
        <f ca="1">IFERROR(__xludf.DUMMYFUNCTION("""COMPUTED_VALUE"""),"| 1 L JAVA % | 2 L PHP-CGM % | 3 P NS % | 6 L NS % ")</f>
        <v xml:space="preserve">| 1 L JAVA % | 2 L PHP-CGM % | 3 P NS % | 6 L NS % </v>
      </c>
      <c r="CH414" s="4" t="str">
        <f ca="1">IFERROR(__xludf.DUMMYFUNCTION("""COMPUTED_VALUE"""),"| 1 L INE @ | 3 P JAVA @ | 5 L JAVA @ | 6 L NS @ ")</f>
        <v xml:space="preserve">| 1 L INE @ | 3 P JAVA @ | 5 L JAVA @ | 6 L NS @ </v>
      </c>
      <c r="CI414" s="4" t="str">
        <f ca="1">IFERROR(__xludf.DUMMYFUNCTION("""COMPUTED_VALUE"""),"| 5 L NS @ | 6 L CPT @ ")</f>
        <v xml:space="preserve">| 5 L NS @ | 6 L CPT @ </v>
      </c>
      <c r="CJ414" s="4" t="str">
        <f ca="1">IFERROR(__xludf.DUMMYFUNCTION("""COMPUTED_VALUE"""),"| 3 L CPT @ | 5 P CPT % ")</f>
        <v xml:space="preserve">| 3 L CPT @ | 5 P CPT % </v>
      </c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</row>
    <row r="415" spans="1:102" ht="12.5" x14ac:dyDescent="0.25">
      <c r="A415" s="3">
        <f ca="1">IFERROR(__xludf.DUMMYFUNCTION("""COMPUTED_VALUE"""),3)</f>
        <v>3</v>
      </c>
      <c r="B415" s="3" t="str">
        <f ca="1">IFERROR(__xludf.DUMMYFUNCTION("""COMPUTED_VALUE"""),"ITA")</f>
        <v>ITA</v>
      </c>
      <c r="C415" s="32" t="str">
        <f ca="1">IFERROR(__xludf.DUMMYFUNCTION("""COMPUTED_VALUE"""),"23291371159")</f>
        <v>23291371159</v>
      </c>
      <c r="D415" s="4" t="str">
        <f ca="1">IFERROR(__xludf.DUMMYFUNCTION("""COMPUTED_VALUE"""),"PATEL ABHI NAYANKUMAR")</f>
        <v>PATEL ABHI NAYANKUMAR</v>
      </c>
      <c r="E415" s="3" t="str">
        <f ca="1">IFERROR(__xludf.DUMMYFUNCTION("""COMPUTED_VALUE"""),"Sweety - Mor")</f>
        <v>Sweety - Mor</v>
      </c>
      <c r="F415" s="3">
        <f ca="1">IFERROR(__xludf.DUMMYFUNCTION("""COMPUTED_VALUE"""),9979664710)</f>
        <v>9979664710</v>
      </c>
      <c r="G415" s="3">
        <f ca="1">IFERROR(__xludf.DUMMYFUNCTION("""COMPUTED_VALUE"""),9979664710)</f>
        <v>9979664710</v>
      </c>
      <c r="H415" s="33">
        <f ca="1">IFERROR(__xludf.DUMMYFUNCTION("""COMPUTED_VALUE"""),0.53012048192771)</f>
        <v>0.53012048192771</v>
      </c>
      <c r="I415" s="25">
        <f ca="1">IFERROR(__xludf.DUMMYFUNCTION("""COMPUTED_VALUE"""),0.485714285714285)</f>
        <v>0.48571428571428499</v>
      </c>
      <c r="J415" s="25">
        <f ca="1">IFERROR(__xludf.DUMMYFUNCTION("""COMPUTED_VALUE"""),0.166666666666666)</f>
        <v>0.16666666666666599</v>
      </c>
      <c r="K415" s="25">
        <f ca="1">IFERROR(__xludf.DUMMYFUNCTION("""COMPUTED_VALUE"""),0.666666666666666)</f>
        <v>0.66666666666666596</v>
      </c>
      <c r="L415" s="25">
        <f ca="1">IFERROR(__xludf.DUMMYFUNCTION("""COMPUTED_VALUE"""),0.307692307692307)</f>
        <v>0.30769230769230699</v>
      </c>
      <c r="M415" s="25">
        <f ca="1">IFERROR(__xludf.DUMMYFUNCTION("""COMPUTED_VALUE"""),0.736842105263157)</f>
        <v>0.73684210526315697</v>
      </c>
      <c r="N415" s="25">
        <f ca="1">IFERROR(__xludf.DUMMYFUNCTION("""COMPUTED_VALUE"""),0.538461538461538)</f>
        <v>0.53846153846153799</v>
      </c>
      <c r="O415" s="25">
        <f ca="1">IFERROR(__xludf.DUMMYFUNCTION("""COMPUTED_VALUE"""),0.722222222222222)</f>
        <v>0.72222222222222199</v>
      </c>
      <c r="P415" s="25">
        <f ca="1">IFERROR(__xludf.DUMMYFUNCTION("""COMPUTED_VALUE"""),0.347826086956521)</f>
        <v>0.34782608695652101</v>
      </c>
      <c r="Q415" s="25">
        <f ca="1">IFERROR(__xludf.DUMMYFUNCTION("""COMPUTED_VALUE"""),0)</f>
        <v>0</v>
      </c>
      <c r="R415" s="25">
        <f ca="1">IFERROR(__xludf.DUMMYFUNCTION("""COMPUTED_VALUE"""),0.347826086956521)</f>
        <v>0.34782608695652101</v>
      </c>
      <c r="S415" s="25">
        <f ca="1">IFERROR(__xludf.DUMMYFUNCTION("""COMPUTED_VALUE"""),0.666666666666666)</f>
        <v>0.66666666666666596</v>
      </c>
      <c r="T415" s="25">
        <f ca="1">IFERROR(__xludf.DUMMYFUNCTION("""COMPUTED_VALUE"""),0.444444444444444)</f>
        <v>0.44444444444444398</v>
      </c>
      <c r="U415" s="25">
        <f ca="1">IFERROR(__xludf.DUMMYFUNCTION("""COMPUTED_VALUE"""),0.25)</f>
        <v>0.25</v>
      </c>
      <c r="V415" s="25">
        <f ca="1">IFERROR(__xludf.DUMMYFUNCTION("""COMPUTED_VALUE"""),0)</f>
        <v>0</v>
      </c>
      <c r="W415" s="4"/>
      <c r="X415" s="4" t="str">
        <f ca="1">IFERROR(__xludf.DUMMYFUNCTION("""COMPUTED_VALUE"""),"| 4 L JAVA % | 1 P PHP-CGM % | 3 L PHP-CGM % | 1 L PRO % ")</f>
        <v xml:space="preserve">| 4 L JAVA % | 1 P PHP-CGM % | 3 L PHP-CGM % | 1 L PRO % </v>
      </c>
      <c r="Y415" s="4" t="str">
        <f ca="1">IFERROR(__xludf.DUMMYFUNCTION("""COMPUTED_VALUE"""),"| 1 L JAVA % | 2 L PHP-CGM % | 3 P NS @ | 5 L CPT % | 6 L NS % ")</f>
        <v xml:space="preserve">| 1 L JAVA % | 2 L PHP-CGM % | 3 P NS @ | 5 L CPT % | 6 L NS % </v>
      </c>
      <c r="Z415" s="4" t="str">
        <f ca="1">IFERROR(__xludf.DUMMYFUNCTION("""COMPUTED_VALUE"""),"| 3 P JAVA % | 5 L JAVA % | 6 L NS % ")</f>
        <v xml:space="preserve">| 3 P JAVA % | 5 L JAVA % | 6 L NS % </v>
      </c>
      <c r="AA415" s="4" t="str">
        <f ca="1">IFERROR(__xludf.DUMMYFUNCTION("""COMPUTED_VALUE"""),"| 1 P JAVA % | 3 P Python % | 5 L NS % | 6 L CPT % ")</f>
        <v xml:space="preserve">| 1 P JAVA % | 3 P Python % | 5 L NS % | 6 L CPT % </v>
      </c>
      <c r="AB415" s="4" t="str">
        <f ca="1">IFERROR(__xludf.DUMMYFUNCTION("""COMPUTED_VALUE"""),"| 1 P Python @ | 3 L CPT @ | 4 L PHP-CGM @ | 5 P CPT @ ")</f>
        <v xml:space="preserve">| 1 P Python @ | 3 L CPT @ | 4 L PHP-CGM @ | 5 P CPT @ </v>
      </c>
      <c r="AC415" s="4" t="str">
        <f ca="1">IFERROR(__xludf.DUMMYFUNCTION("""COMPUTED_VALUE"""),"| 1 P PHP-CGM @ | 3 L PHP-CGM % | 5 P PRO % ")</f>
        <v xml:space="preserve">| 1 P PHP-CGM @ | 3 L PHP-CGM % | 5 P PRO % </v>
      </c>
      <c r="AD415" s="4" t="str">
        <f ca="1">IFERROR(__xludf.DUMMYFUNCTION("""COMPUTED_VALUE"""),"| 1 L JAVA % | 2 L PHP-CGM % | 3 P NS @ | 6 L NS % | 5 L CPT % ")</f>
        <v xml:space="preserve">| 1 L JAVA % | 2 L PHP-CGM % | 3 P NS @ | 6 L NS % | 5 L CPT % </v>
      </c>
      <c r="AE415" s="4" t="str">
        <f ca="1">IFERROR(__xludf.DUMMYFUNCTION("""COMPUTED_VALUE"""),"| 3 P JAVA @ | 5 L JAVA % | 6 L NS % ")</f>
        <v xml:space="preserve">| 3 P JAVA @ | 5 L JAVA % | 6 L NS % </v>
      </c>
      <c r="AF415" s="4" t="str">
        <f ca="1">IFERROR(__xludf.DUMMYFUNCTION("""COMPUTED_VALUE"""),"| 1 P JAVA @ | 3 P Python @ | 5 L NS @ | 6 L CPT @ ")</f>
        <v xml:space="preserve">| 1 P JAVA @ | 3 P Python @ | 5 L NS @ | 6 L CPT @ </v>
      </c>
      <c r="AG415" s="4" t="str">
        <f ca="1">IFERROR(__xludf.DUMMYFUNCTION("""COMPUTED_VALUE"""),"| 1 P Python % | 3 L CPT % | 4 L PHP-CGM % | 5 P CPT @ ")</f>
        <v xml:space="preserve">| 1 P Python % | 3 L CPT % | 4 L PHP-CGM % | 5 P CPT @ </v>
      </c>
      <c r="AH415" s="4" t="str">
        <f ca="1">IFERROR(__xludf.DUMMYFUNCTION("""COMPUTED_VALUE"""),"| 1 P JAVA @ | 3 P Python @ | 5 L NS @ | 6 L CPT @ ")</f>
        <v xml:space="preserve">| 1 P JAVA @ | 3 P Python @ | 5 L NS @ | 6 L CPT @ </v>
      </c>
      <c r="AI415" s="4" t="str">
        <f ca="1">IFERROR(__xludf.DUMMYFUNCTION("""COMPUTED_VALUE"""),"| 1 P Python @ | 3 L CPT @ | 4 L PHP-CGM % | 5 P CPT @ ")</f>
        <v xml:space="preserve">| 1 P Python @ | 3 L CPT @ | 4 L PHP-CGM % | 5 P CPT @ </v>
      </c>
      <c r="AJ415" s="4" t="str">
        <f ca="1">IFERROR(__xludf.DUMMYFUNCTION("""COMPUTED_VALUE"""),"| 1 P PHP-CGM @ | 3 L PHP-CGM % | 4 L JAVA % | 5 P PRO @ ")</f>
        <v xml:space="preserve">| 1 P PHP-CGM @ | 3 L PHP-CGM % | 4 L JAVA % | 5 P PRO @ </v>
      </c>
      <c r="AK415" s="4" t="str">
        <f ca="1">IFERROR(__xludf.DUMMYFUNCTION("""COMPUTED_VALUE"""),"| 1 L JAVA % | 2 L PHP-CGM % | 3 P NS @ | 5 L CPT % | 6 L NS % ")</f>
        <v xml:space="preserve">| 1 L JAVA % | 2 L PHP-CGM % | 3 P NS @ | 5 L CPT % | 6 L NS % </v>
      </c>
      <c r="AL415" s="4" t="str">
        <f ca="1">IFERROR(__xludf.DUMMYFUNCTION("""COMPUTED_VALUE"""),"| 3 P JAVA % | 5 L JAVA % | 6 L NS % ")</f>
        <v xml:space="preserve">| 3 P JAVA % | 5 L JAVA % | 6 L NS % </v>
      </c>
      <c r="AM415" s="4" t="str">
        <f ca="1">IFERROR(__xludf.DUMMYFUNCTION("""COMPUTED_VALUE"""),"| 1 P JAVA @ | 3 P Python @ | 5 L NS % | 6 L CPT % ")</f>
        <v xml:space="preserve">| 1 P JAVA @ | 3 P Python @ | 5 L NS % | 6 L CPT % </v>
      </c>
      <c r="AN415" s="4" t="str">
        <f ca="1">IFERROR(__xludf.DUMMYFUNCTION("""COMPUTED_VALUE"""),"| 1 P Python @ | 4 L PHP-CGM @ | 5 P CPT @ ")</f>
        <v xml:space="preserve">| 1 P Python @ | 4 L PHP-CGM @ | 5 P CPT @ </v>
      </c>
      <c r="AO415" s="4" t="str">
        <f ca="1">IFERROR(__xludf.DUMMYFUNCTION("""COMPUTED_VALUE"""),"| 1 P PHP-CGM % | 3 L PHP-CGM % | 4 L JAVA % | 5 P PRO @ ")</f>
        <v xml:space="preserve">| 1 P PHP-CGM % | 3 L PHP-CGM % | 4 L JAVA % | 5 P PRO @ </v>
      </c>
      <c r="AP415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15" s="4" t="str">
        <f ca="1">IFERROR(__xludf.DUMMYFUNCTION("""COMPUTED_VALUE"""),"| 1 L INE @ | 3 P JAVA @ | 5 L JAVA @ | 6 L NS @ ")</f>
        <v xml:space="preserve">| 1 L INE @ | 3 P JAVA @ | 5 L JAVA @ | 6 L NS @ </v>
      </c>
      <c r="AR415" s="4" t="str">
        <f ca="1">IFERROR(__xludf.DUMMYFUNCTION("""COMPUTED_VALUE"""),"| 1 P JAVA @ | 3 L CPT @ | 3 P Python @ | 5 L NS @ | 6 L CPT @ ")</f>
        <v xml:space="preserve">| 1 P JAVA @ | 3 L CPT @ | 3 P Python @ | 5 L NS @ | 6 L CPT @ </v>
      </c>
      <c r="AS415" s="4" t="str">
        <f ca="1">IFERROR(__xludf.DUMMYFUNCTION("""COMPUTED_VALUE"""),"| 1 P PHP-CGM % | 3 L PHP-CGM % | 4 L JAVA % | 5 P PRO % ")</f>
        <v xml:space="preserve">| 1 P PHP-CGM % | 3 L PHP-CGM % | 4 L JAVA % | 5 P PRO % </v>
      </c>
      <c r="AT415" s="4" t="str">
        <f ca="1">IFERROR(__xludf.DUMMYFUNCTION("""COMPUTED_VALUE"""),"| 1 L JAVA % | 2 L PHP-CGM % | 3 P NS @ | 5 L CPT % | 6 L NS @ ")</f>
        <v xml:space="preserve">| 1 L JAVA % | 2 L PHP-CGM % | 3 P NS @ | 5 L CPT % | 6 L NS @ </v>
      </c>
      <c r="AU415" s="4" t="str">
        <f ca="1">IFERROR(__xludf.DUMMYFUNCTION("""COMPUTED_VALUE"""),"| 1 L INE % | 3 P JAVA % | 5 L JAVA % | 6 L NS % ")</f>
        <v xml:space="preserve">| 1 L INE % | 3 P JAVA % | 5 L JAVA % | 6 L NS % </v>
      </c>
      <c r="AV415" s="4" t="str">
        <f ca="1">IFERROR(__xludf.DUMMYFUNCTION("""COMPUTED_VALUE"""),"| 1 P JAVA @ | 3 P Python @ | 5 L NS % | 6 L CPT @ ")</f>
        <v xml:space="preserve">| 1 P JAVA @ | 3 P Python @ | 5 L NS % | 6 L CPT @ </v>
      </c>
      <c r="AW415" s="4" t="str">
        <f ca="1">IFERROR(__xludf.DUMMYFUNCTION("""COMPUTED_VALUE"""),"| 1 P Python % | 3 L CPT % | 4 L PHP-CGM % | 5 P CPT @ ")</f>
        <v xml:space="preserve">| 1 P Python % | 3 L CPT % | 4 L PHP-CGM % | 5 P CPT @ </v>
      </c>
      <c r="AX415" s="4" t="str">
        <f ca="1">IFERROR(__xludf.DUMMYFUNCTION("""COMPUTED_VALUE"""),"| 1 P PHP-CGM % | 3 L JAVA % | 4 L PHP-CGM % | 5 P PRO % ")</f>
        <v xml:space="preserve">| 1 P PHP-CGM % | 3 L JAVA % | 4 L PHP-CGM % | 5 P PRO % </v>
      </c>
      <c r="AY415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15" s="4" t="str">
        <f ca="1">IFERROR(__xludf.DUMMYFUNCTION("""COMPUTED_VALUE"""),"| 1 P JAVA % | 3 P Python @ | 5 L NS % | 6 L CPT @ ")</f>
        <v xml:space="preserve">| 1 P JAVA % | 3 P Python @ | 5 L NS % | 6 L CPT @ </v>
      </c>
      <c r="BA415" s="4" t="str">
        <f ca="1">IFERROR(__xludf.DUMMYFUNCTION("""COMPUTED_VALUE"""),"| 1 P Python % | 3 L CPT @ | 4 L PHP-CGM @ | 5 P CPT @ ")</f>
        <v xml:space="preserve">| 1 P Python % | 3 L CPT @ | 4 L PHP-CGM @ | 5 P CPT @ </v>
      </c>
      <c r="BB415" s="4" t="str">
        <f ca="1">IFERROR(__xludf.DUMMYFUNCTION("""COMPUTED_VALUE"""),"| 1 P PHP-CGM @ | 3 L PHP-CGM % | 4 L JAVA % | 5 L PRO @ ")</f>
        <v xml:space="preserve">| 1 P PHP-CGM @ | 3 L PHP-CGM % | 4 L JAVA % | 5 L PRO @ </v>
      </c>
      <c r="BC415" s="4" t="str">
        <f ca="1">IFERROR(__xludf.DUMMYFUNCTION("""COMPUTED_VALUE"""),"| 1 L JAVA @ | 3 P NS @ | 2 L PHP-CGM @ | 5 L CPT @ | 6 L NS @ ")</f>
        <v xml:space="preserve">| 1 L JAVA @ | 3 P NS @ | 2 L PHP-CGM @ | 5 L CPT @ | 6 L NS @ </v>
      </c>
      <c r="BD415" s="4" t="str">
        <f ca="1">IFERROR(__xludf.DUMMYFUNCTION("""COMPUTED_VALUE"""),"| 1 L INE @ | 3 P JAVA @ | 5 L JAVA @ | 6 L NS @ ")</f>
        <v xml:space="preserve">| 1 L INE @ | 3 P JAVA @ | 5 L JAVA @ | 6 L NS @ </v>
      </c>
      <c r="BE415" s="4" t="str">
        <f ca="1">IFERROR(__xludf.DUMMYFUNCTION("""COMPUTED_VALUE"""),"| 1 P JAVA @ | 3 P Python @ | 5 L NS % | 6 L CPT @ ")</f>
        <v xml:space="preserve">| 1 P JAVA @ | 3 P Python @ | 5 L NS % | 6 L CPT @ </v>
      </c>
      <c r="BF415" s="4" t="str">
        <f ca="1">IFERROR(__xludf.DUMMYFUNCTION("""COMPUTED_VALUE"""),"| 1 P Python @ | 3 L CPT @ | 4 L PHP-CGM @ | 5 P CPT @ ")</f>
        <v xml:space="preserve">| 1 P Python @ | 3 L CPT @ | 4 L PHP-CGM @ | 5 P CPT @ </v>
      </c>
      <c r="BG415" s="4" t="str">
        <f ca="1">IFERROR(__xludf.DUMMYFUNCTION("""COMPUTED_VALUE"""),"| 1 L JAVA % | 2 L PHP-CGM % | 3 P NS @ | 5 L CPT % | 6 L NS % ")</f>
        <v xml:space="preserve">| 1 L JAVA % | 2 L PHP-CGM % | 3 P NS @ | 5 L CPT % | 6 L NS % </v>
      </c>
      <c r="BH415" s="4" t="str">
        <f ca="1">IFERROR(__xludf.DUMMYFUNCTION("""COMPUTED_VALUE"""),"| 1 L INE @ | 3 P JAVA @ | 5 L JAVA % | 6 L NS % ")</f>
        <v xml:space="preserve">| 1 L INE @ | 3 P JAVA @ | 5 L JAVA % | 6 L NS % </v>
      </c>
      <c r="BI415" s="4" t="str">
        <f ca="1">IFERROR(__xludf.DUMMYFUNCTION("""COMPUTED_VALUE"""),"| 1 P JAVA @ | 3 P Python % | 5 L NS % | 6 L CPT % ")</f>
        <v xml:space="preserve">| 1 P JAVA @ | 3 P Python % | 5 L NS % | 6 L CPT % </v>
      </c>
      <c r="BJ415" s="4" t="str">
        <f ca="1">IFERROR(__xludf.DUMMYFUNCTION("""COMPUTED_VALUE"""),"| 1 P Python @ | 3 L CPT % | 4 L PHP-CGM % | 5 P CPT @ ")</f>
        <v xml:space="preserve">| 1 P Python @ | 3 L CPT % | 4 L PHP-CGM % | 5 P CPT @ </v>
      </c>
      <c r="BK415" s="4" t="str">
        <f ca="1">IFERROR(__xludf.DUMMYFUNCTION("""COMPUTED_VALUE"""),"| 1 P PHP-CGM @ | 3 L PHP-CGM @ | 4 L JAVA @ | 5 P PRO % ")</f>
        <v xml:space="preserve">| 1 P PHP-CGM @ | 3 L PHP-CGM @ | 4 L JAVA @ | 5 P PRO % </v>
      </c>
      <c r="BL415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15" s="4" t="str">
        <f ca="1">IFERROR(__xludf.DUMMYFUNCTION("""COMPUTED_VALUE"""),"| 1 L INE @ | 3 P JAVA @ | 5 L JAVA @ | 6 L NS @ ")</f>
        <v xml:space="preserve">| 1 L INE @ | 3 P JAVA @ | 5 L JAVA @ | 6 L NS @ </v>
      </c>
      <c r="BN415" s="4" t="str">
        <f ca="1">IFERROR(__xludf.DUMMYFUNCTION("""COMPUTED_VALUE"""),"| 1 P JAVA @ | 3 P Python @ | 5 L NS @ | 6 L CPT @ ")</f>
        <v xml:space="preserve">| 1 P JAVA @ | 3 P Python @ | 5 L NS @ | 6 L CPT @ </v>
      </c>
      <c r="BO415" s="4" t="str">
        <f ca="1">IFERROR(__xludf.DUMMYFUNCTION("""COMPUTED_VALUE"""),"| 1 P Python @ | 4 L PHP-CGM @ | 3 L CPT @ | 5 P CPT @ ")</f>
        <v xml:space="preserve">| 1 P Python @ | 4 L PHP-CGM @ | 3 L CPT @ | 5 P CPT @ </v>
      </c>
      <c r="BP415" s="4" t="str">
        <f ca="1">IFERROR(__xludf.DUMMYFUNCTION("""COMPUTED_VALUE"""),"| 1 P PHP-CGM @ | 3 L PHP-CGM @ | 4 L JAVA @ | 6 P PRO @ ")</f>
        <v xml:space="preserve">| 1 P PHP-CGM @ | 3 L PHP-CGM @ | 4 L JAVA @ | 6 P PRO @ </v>
      </c>
      <c r="BQ415" s="4" t="str">
        <f ca="1">IFERROR(__xludf.DUMMYFUNCTION("""COMPUTED_VALUE"""),"| 6 L NS % | 5 L JAVA % ")</f>
        <v xml:space="preserve">| 6 L NS % | 5 L JAVA % </v>
      </c>
      <c r="BR415" s="4"/>
      <c r="BS415" s="4" t="str">
        <f ca="1">IFERROR(__xludf.DUMMYFUNCTION("""COMPUTED_VALUE"""),"| 4 L PHP-CGM % ")</f>
        <v xml:space="preserve">| 4 L PHP-CGM % </v>
      </c>
      <c r="BT415" s="4" t="str">
        <f ca="1">IFERROR(__xludf.DUMMYFUNCTION("""COMPUTED_VALUE"""),"| 1 P PHP-CGM % | 3 L PHP-CGM % ")</f>
        <v xml:space="preserve">| 1 P PHP-CGM % | 3 L PHP-CGM % </v>
      </c>
      <c r="BU415" s="4" t="str">
        <f ca="1">IFERROR(__xludf.DUMMYFUNCTION("""COMPUTED_VALUE"""),"| 1 L JAVA % | 2 L PHP-CGM % | 3 P NS @ ")</f>
        <v xml:space="preserve">| 1 L JAVA % | 2 L PHP-CGM % | 3 P NS @ </v>
      </c>
      <c r="BV415" s="4" t="str">
        <f ca="1">IFERROR(__xludf.DUMMYFUNCTION("""COMPUTED_VALUE"""),"| 1 P PHP-CGM @ | 3 L PHP-CGM @ | 4 L JAVA @ | 5 P PRO @ ")</f>
        <v xml:space="preserve">| 1 P PHP-CGM @ | 3 L PHP-CGM @ | 4 L JAVA @ | 5 P PRO @ </v>
      </c>
      <c r="BW415" s="4" t="str">
        <f ca="1">IFERROR(__xludf.DUMMYFUNCTION("""COMPUTED_VALUE"""),"| 1 L JAVA % | 2 L PHP-CGM % | 3 P NS @ ")</f>
        <v xml:space="preserve">| 1 L JAVA % | 2 L PHP-CGM % | 3 P NS @ </v>
      </c>
      <c r="BX415" s="4" t="str">
        <f ca="1">IFERROR(__xludf.DUMMYFUNCTION("""COMPUTED_VALUE"""),"| 1 L INE @ | 3 P JAVA @ | 5 L JAVA % | 6 L NS % ")</f>
        <v xml:space="preserve">| 1 L INE @ | 3 P JAVA @ | 5 L JAVA % | 6 L NS % </v>
      </c>
      <c r="BY415" s="4" t="str">
        <f ca="1">IFERROR(__xludf.DUMMYFUNCTION("""COMPUTED_VALUE"""),"| 1 P JAVA @ | 3 P Python @ | 5 L NS % | 6 L CPT @ ")</f>
        <v xml:space="preserve">| 1 P JAVA @ | 3 P Python @ | 5 L NS % | 6 L CPT @ </v>
      </c>
      <c r="BZ415" s="4" t="str">
        <f ca="1">IFERROR(__xludf.DUMMYFUNCTION("""COMPUTED_VALUE"""),"| 1 P Python % | 3 L CPT @ | 4 L PHP-CGM % | 5 P CPT @ ")</f>
        <v xml:space="preserve">| 1 P Python % | 3 L CPT @ | 4 L PHP-CGM % | 5 P CPT @ </v>
      </c>
      <c r="CA415" s="4" t="str">
        <f ca="1">IFERROR(__xludf.DUMMYFUNCTION("""COMPUTED_VALUE"""),"| 1 P PHP-CGM % | 3 L PHP-CGM % | 3 L JAVA % | 5 P PRO @ ")</f>
        <v xml:space="preserve">| 1 P PHP-CGM % | 3 L PHP-CGM % | 3 L JAVA % | 5 P PRO @ </v>
      </c>
      <c r="CB415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CC415" s="4" t="str">
        <f ca="1">IFERROR(__xludf.DUMMYFUNCTION("""COMPUTED_VALUE"""),"| 1 L INE % | 3 P JAVA % | 5 L JAVA % | 6 L NS % ")</f>
        <v xml:space="preserve">| 1 L INE % | 3 P JAVA % | 5 L JAVA % | 6 L NS % </v>
      </c>
      <c r="CD415" s="4" t="str">
        <f ca="1">IFERROR(__xludf.DUMMYFUNCTION("""COMPUTED_VALUE"""),"| 1 P JAVA % | 3 P Python % | 5 L NS % | 6 L CPT % ")</f>
        <v xml:space="preserve">| 1 P JAVA % | 3 P Python % | 5 L NS % | 6 L CPT % </v>
      </c>
      <c r="CE415" s="4" t="str">
        <f ca="1">IFERROR(__xludf.DUMMYFUNCTION("""COMPUTED_VALUE"""),"| 1 P Python % | 3 L CPT % | 4 L PHP-CGM % | 5 P CPT % ")</f>
        <v xml:space="preserve">| 1 P Python % | 3 L CPT % | 4 L PHP-CGM % | 5 P CPT % </v>
      </c>
      <c r="CF415" s="4" t="str">
        <f ca="1">IFERROR(__xludf.DUMMYFUNCTION("""COMPUTED_VALUE"""),"| 1 P PHP-CGM % | 4 L JAVA % | 3 L PHP-CGM % | 5 L PRO % ")</f>
        <v xml:space="preserve">| 1 P PHP-CGM % | 4 L JAVA % | 3 L PHP-CGM % | 5 L PRO % </v>
      </c>
      <c r="CG415" s="4" t="str">
        <f ca="1">IFERROR(__xludf.DUMMYFUNCTION("""COMPUTED_VALUE"""),"| 1 L JAVA @ | 2 L PHP-CGM % | 3 P NS % | 6 L NS % ")</f>
        <v xml:space="preserve">| 1 L JAVA @ | 2 L PHP-CGM % | 3 P NS % | 6 L NS % </v>
      </c>
      <c r="CH415" s="4" t="str">
        <f ca="1">IFERROR(__xludf.DUMMYFUNCTION("""COMPUTED_VALUE"""),"| 1 L INE @ | 3 P JAVA % | 5 L JAVA @ | 6 L NS @ ")</f>
        <v xml:space="preserve">| 1 L INE @ | 3 P JAVA % | 5 L JAVA @ | 6 L NS @ </v>
      </c>
      <c r="CI415" s="4" t="str">
        <f ca="1">IFERROR(__xludf.DUMMYFUNCTION("""COMPUTED_VALUE"""),"| 5 L NS @ | 6 L CPT @ ")</f>
        <v xml:space="preserve">| 5 L NS @ | 6 L CPT @ </v>
      </c>
      <c r="CJ415" s="4" t="str">
        <f ca="1">IFERROR(__xludf.DUMMYFUNCTION("""COMPUTED_VALUE"""),"| 3 L CPT % | 5 P CPT % ")</f>
        <v xml:space="preserve">| 3 L CPT % | 5 P CPT % </v>
      </c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</row>
    <row r="416" spans="1:102" ht="12.5" x14ac:dyDescent="0.25">
      <c r="A416" s="3">
        <f ca="1">IFERROR(__xludf.DUMMYFUNCTION("""COMPUTED_VALUE"""),3)</f>
        <v>3</v>
      </c>
      <c r="B416" s="3" t="str">
        <f ca="1">IFERROR(__xludf.DUMMYFUNCTION("""COMPUTED_VALUE"""),"ITA")</f>
        <v>ITA</v>
      </c>
      <c r="C416" s="32" t="str">
        <f ca="1">IFERROR(__xludf.DUMMYFUNCTION("""COMPUTED_VALUE"""),"23291371161")</f>
        <v>23291371161</v>
      </c>
      <c r="D416" s="4" t="str">
        <f ca="1">IFERROR(__xludf.DUMMYFUNCTION("""COMPUTED_VALUE"""),"PATEL DHVANIT PRAKASHKUMAR")</f>
        <v>PATEL DHVANIT PRAKASHKUMAR</v>
      </c>
      <c r="E416" s="3" t="str">
        <f ca="1">IFERROR(__xludf.DUMMYFUNCTION("""COMPUTED_VALUE"""),"Sweety - Mor")</f>
        <v>Sweety - Mor</v>
      </c>
      <c r="F416" s="3">
        <f ca="1">IFERROR(__xludf.DUMMYFUNCTION("""COMPUTED_VALUE"""),8866324076)</f>
        <v>8866324076</v>
      </c>
      <c r="G416" s="3">
        <f ca="1">IFERROR(__xludf.DUMMYFUNCTION("""COMPUTED_VALUE"""),9913424076)</f>
        <v>9913424076</v>
      </c>
      <c r="H416" s="33">
        <f ca="1">IFERROR(__xludf.DUMMYFUNCTION("""COMPUTED_VALUE"""),0.256097560975609)</f>
        <v>0.25609756097560898</v>
      </c>
      <c r="I416" s="25">
        <f ca="1">IFERROR(__xludf.DUMMYFUNCTION("""COMPUTED_VALUE"""),0.0555555555555555)</f>
        <v>5.5555555555555497E-2</v>
      </c>
      <c r="J416" s="25">
        <f ca="1">IFERROR(__xludf.DUMMYFUNCTION("""COMPUTED_VALUE"""),0.0833333333333333)</f>
        <v>8.3333333333333301E-2</v>
      </c>
      <c r="K416" s="25">
        <f ca="1">IFERROR(__xludf.DUMMYFUNCTION("""COMPUTED_VALUE"""),0.194444444444444)</f>
        <v>0.194444444444444</v>
      </c>
      <c r="L416" s="25">
        <f ca="1">IFERROR(__xludf.DUMMYFUNCTION("""COMPUTED_VALUE"""),0.583333333333333)</f>
        <v>0.58333333333333304</v>
      </c>
      <c r="M416" s="25">
        <f ca="1">IFERROR(__xludf.DUMMYFUNCTION("""COMPUTED_VALUE"""),0.351351351351351)</f>
        <v>0.35135135135135098</v>
      </c>
      <c r="N416" s="25">
        <f ca="1">IFERROR(__xludf.DUMMYFUNCTION("""COMPUTED_VALUE"""),0.545454545454545)</f>
        <v>0.54545454545454497</v>
      </c>
      <c r="O416" s="25">
        <f ca="1">IFERROR(__xludf.DUMMYFUNCTION("""COMPUTED_VALUE"""),0.324324324324324)</f>
        <v>0.32432432432432401</v>
      </c>
      <c r="P416" s="25">
        <f ca="1">IFERROR(__xludf.DUMMYFUNCTION("""COMPUTED_VALUE"""),0.125)</f>
        <v>0.125</v>
      </c>
      <c r="Q416" s="25">
        <f ca="1">IFERROR(__xludf.DUMMYFUNCTION("""COMPUTED_VALUE"""),0)</f>
        <v>0</v>
      </c>
      <c r="R416" s="25">
        <f ca="1">IFERROR(__xludf.DUMMYFUNCTION("""COMPUTED_VALUE"""),0.19047619047619)</f>
        <v>0.19047619047618999</v>
      </c>
      <c r="S416" s="25">
        <f ca="1">IFERROR(__xludf.DUMMYFUNCTION("""COMPUTED_VALUE"""),1)</f>
        <v>1</v>
      </c>
      <c r="T416" s="25">
        <f ca="1">IFERROR(__xludf.DUMMYFUNCTION("""COMPUTED_VALUE"""),0.3)</f>
        <v>0.3</v>
      </c>
      <c r="U416" s="25">
        <f ca="1">IFERROR(__xludf.DUMMYFUNCTION("""COMPUTED_VALUE"""),0.375)</f>
        <v>0.375</v>
      </c>
      <c r="V416" s="25">
        <f ca="1">IFERROR(__xludf.DUMMYFUNCTION("""COMPUTED_VALUE"""),0)</f>
        <v>0</v>
      </c>
      <c r="W416" s="4"/>
      <c r="X416" s="4" t="str">
        <f ca="1">IFERROR(__xludf.DUMMYFUNCTION("""COMPUTED_VALUE"""),"| 5 L PHP-CGM @ | 6 L NS @ | 7 P JAVA @ | 9 P Python @ ")</f>
        <v xml:space="preserve">| 5 L PHP-CGM @ | 6 L NS @ | 7 P JAVA @ | 9 P Python @ </v>
      </c>
      <c r="Y416" s="4" t="str">
        <f ca="1">IFERROR(__xludf.DUMMYFUNCTION("""COMPUTED_VALUE"""),"| 5 L NS @ | 6 L PHP-CGM @ | 7 L JAVA @ | 8 L CPT @ ")</f>
        <v xml:space="preserve">| 5 L NS @ | 6 L PHP-CGM @ | 7 L JAVA @ | 8 L CPT @ </v>
      </c>
      <c r="Z416" s="4" t="str">
        <f ca="1">IFERROR(__xludf.DUMMYFUNCTION("""COMPUTED_VALUE"""),"| 5 L JAVA @ | 6 L NS @ | 7 P Python @ | 9 P NS @ ")</f>
        <v xml:space="preserve">| 5 L JAVA @ | 6 L NS @ | 7 P Python @ | 9 P NS @ </v>
      </c>
      <c r="AA416" s="4" t="str">
        <f ca="1">IFERROR(__xludf.DUMMYFUNCTION("""COMPUTED_VALUE"""),"| 5 L CPT @ | 6 L JAVA @ | 7 P JAVA @ | 9 P PRO @ ")</f>
        <v xml:space="preserve">| 5 L CPT @ | 6 L JAVA @ | 7 P JAVA @ | 9 P PRO @ </v>
      </c>
      <c r="AB416" s="4" t="str">
        <f ca="1">IFERROR(__xludf.DUMMYFUNCTION("""COMPUTED_VALUE"""),"| 5 L PHP-CGM @ | 6 L CPT @ | 7 P CPT @ ")</f>
        <v xml:space="preserve">| 5 L PHP-CGM @ | 6 L CPT @ | 7 P CPT @ </v>
      </c>
      <c r="AC416" s="4" t="str">
        <f ca="1">IFERROR(__xludf.DUMMYFUNCTION("""COMPUTED_VALUE"""),"| 5 L PHP-CGM @ | 6 L NS @ | 7 P JAVA @ | 9 P Python @ ")</f>
        <v xml:space="preserve">| 5 L PHP-CGM @ | 6 L NS @ | 7 P JAVA @ | 9 P Python @ </v>
      </c>
      <c r="AD416" s="4" t="str">
        <f ca="1">IFERROR(__xludf.DUMMYFUNCTION("""COMPUTED_VALUE"""),"| 5 L NS @ | 7 L JAVA @ | 8 L CPT @ | 9 P PHP-CGM @ | 6 L PHP-CGM @ ")</f>
        <v xml:space="preserve">| 5 L NS @ | 7 L JAVA @ | 8 L CPT @ | 9 P PHP-CGM @ | 6 L PHP-CGM @ </v>
      </c>
      <c r="AE416" s="4" t="str">
        <f ca="1">IFERROR(__xludf.DUMMYFUNCTION("""COMPUTED_VALUE"""),"| 5 L JAVA @ | 6 L NS @ | 7 P Python @ | 9 P NS @ ")</f>
        <v xml:space="preserve">| 5 L JAVA @ | 6 L NS @ | 7 P Python @ | 9 P NS @ </v>
      </c>
      <c r="AF416" s="4" t="str">
        <f ca="1">IFERROR(__xludf.DUMMYFUNCTION("""COMPUTED_VALUE"""),"| 5 L CPT @ | 6 L JAVA @ | 7 P JAVA @ | 9 P PRO @ ")</f>
        <v xml:space="preserve">| 5 L CPT @ | 6 L JAVA @ | 7 P JAVA @ | 9 P PRO @ </v>
      </c>
      <c r="AG416" s="4" t="str">
        <f ca="1">IFERROR(__xludf.DUMMYFUNCTION("""COMPUTED_VALUE"""),"| 5 L PHP-CGM @ | 6 L CPT @ | 8 P CPT @ ")</f>
        <v xml:space="preserve">| 5 L PHP-CGM @ | 6 L CPT @ | 8 P CPT @ </v>
      </c>
      <c r="AH416" s="4" t="str">
        <f ca="1">IFERROR(__xludf.DUMMYFUNCTION("""COMPUTED_VALUE"""),"| 5 L CPT @ | 6 L JAVA @ | 7 P JAVA @ | 9 P PRO @ ")</f>
        <v xml:space="preserve">| 5 L CPT @ | 6 L JAVA @ | 7 P JAVA @ | 9 P PRO @ </v>
      </c>
      <c r="AI416" s="4" t="str">
        <f ca="1">IFERROR(__xludf.DUMMYFUNCTION("""COMPUTED_VALUE"""),"| 5 L PHP-CGM @ | 6 L CPT @ | 7 P CPT @ ")</f>
        <v xml:space="preserve">| 5 L PHP-CGM @ | 6 L CPT @ | 7 P CPT @ </v>
      </c>
      <c r="AJ416" s="4" t="str">
        <f ca="1">IFERROR(__xludf.DUMMYFUNCTION("""COMPUTED_VALUE"""),"| 5 L PHP-CGM @ | 6 L NS @ | 7 P JAVA @ | 9 P Python @ ")</f>
        <v xml:space="preserve">| 5 L PHP-CGM @ | 6 L NS @ | 7 P JAVA @ | 9 P Python @ </v>
      </c>
      <c r="AK416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L416" s="4" t="str">
        <f ca="1">IFERROR(__xludf.DUMMYFUNCTION("""COMPUTED_VALUE"""),"| 5 L JAVA @ | 6 L NS @ | 7 P Python @ | 9 P NS @ ")</f>
        <v xml:space="preserve">| 5 L JAVA @ | 6 L NS @ | 7 P Python @ | 9 P NS @ </v>
      </c>
      <c r="AM416" s="4" t="str">
        <f ca="1">IFERROR(__xludf.DUMMYFUNCTION("""COMPUTED_VALUE"""),"| 5 L CPT @ | 6 L JAVA @ | 7 P JAVA @ | 9 P PRO @ ")</f>
        <v xml:space="preserve">| 5 L CPT @ | 6 L JAVA @ | 7 P JAVA @ | 9 P PRO @ </v>
      </c>
      <c r="AN416" s="4" t="str">
        <f ca="1">IFERROR(__xludf.DUMMYFUNCTION("""COMPUTED_VALUE"""),"| 5 L PHP-CGM @ | 6 L CPT @ | 7 P CPT @ ")</f>
        <v xml:space="preserve">| 5 L PHP-CGM @ | 6 L CPT @ | 7 P CPT @ </v>
      </c>
      <c r="AO416" s="4" t="str">
        <f ca="1">IFERROR(__xludf.DUMMYFUNCTION("""COMPUTED_VALUE"""),"| 5 L PHP-CGM @ | 6 L NS @ | 7 P JAVA @ ")</f>
        <v xml:space="preserve">| 5 L PHP-CGM @ | 6 L NS @ | 7 P JAVA @ </v>
      </c>
      <c r="AP416" s="4" t="str">
        <f ca="1">IFERROR(__xludf.DUMMYFUNCTION("""COMPUTED_VALUE"""),"| 5 L NS @ | 7 L JAVA @ | 8 L CPT @ ")</f>
        <v xml:space="preserve">| 5 L NS @ | 7 L JAVA @ | 8 L CPT @ </v>
      </c>
      <c r="AQ416" s="4" t="str">
        <f ca="1">IFERROR(__xludf.DUMMYFUNCTION("""COMPUTED_VALUE"""),"| 1 L INE % | 3 P JAVA % | 5 L JAVA @ | 6 L NS @ ")</f>
        <v xml:space="preserve">| 1 L INE % | 3 P JAVA % | 5 L JAVA @ | 6 L NS @ </v>
      </c>
      <c r="AR416" s="4" t="str">
        <f ca="1">IFERROR(__xludf.DUMMYFUNCTION("""COMPUTED_VALUE"""),"| 1 P JAVA % | 3 L CPT @ | 3 P Python @ | 5 L NS % | 6 L CPT @ ")</f>
        <v xml:space="preserve">| 1 P JAVA % | 3 L CPT @ | 3 P Python @ | 5 L NS % | 6 L CPT @ </v>
      </c>
      <c r="AS416" s="4" t="str">
        <f ca="1">IFERROR(__xludf.DUMMYFUNCTION("""COMPUTED_VALUE"""),"| 1 P PHP-CGM % | 3 L PHP-CGM % | 4 L JAVA % | 5 P PRO % ")</f>
        <v xml:space="preserve">| 1 P PHP-CGM % | 3 L PHP-CGM % | 4 L JAVA % | 5 P PRO % </v>
      </c>
      <c r="AT416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U416" s="4" t="str">
        <f ca="1">IFERROR(__xludf.DUMMYFUNCTION("""COMPUTED_VALUE"""),"| 1 L INE % | 3 P JAVA % | 5 L JAVA @ | 6 L NS % ")</f>
        <v xml:space="preserve">| 1 L INE % | 3 P JAVA % | 5 L JAVA @ | 6 L NS % </v>
      </c>
      <c r="AV416" s="4" t="str">
        <f ca="1">IFERROR(__xludf.DUMMYFUNCTION("""COMPUTED_VALUE"""),"| 1 P JAVA @ | 3 P Python @ | 5 L NS @ | 6 L CPT @ ")</f>
        <v xml:space="preserve">| 1 P JAVA @ | 3 P Python @ | 5 L NS @ | 6 L CPT @ </v>
      </c>
      <c r="AW416" s="4" t="str">
        <f ca="1">IFERROR(__xludf.DUMMYFUNCTION("""COMPUTED_VALUE"""),"| 1 P Python % | 3 L CPT @ | 4 L PHP-CGM @ | 5 P CPT @ ")</f>
        <v xml:space="preserve">| 1 P Python % | 3 L CPT @ | 4 L PHP-CGM @ | 5 P CPT @ </v>
      </c>
      <c r="AX416" s="4" t="str">
        <f ca="1">IFERROR(__xludf.DUMMYFUNCTION("""COMPUTED_VALUE"""),"| 1 P PHP-CGM % | 3 L JAVA % | 4 L PHP-CGM % | 5 P PRO % ")</f>
        <v xml:space="preserve">| 1 P PHP-CGM % | 3 L JAVA % | 4 L PHP-CGM % | 5 P PRO % </v>
      </c>
      <c r="AY416" s="4" t="str">
        <f ca="1">IFERROR(__xludf.DUMMYFUNCTION("""COMPUTED_VALUE"""),"| 2 L PHP-CGM % | 3 P NS % | 5 L CPT @ | 6 L NS % | 1 L JAVA % ")</f>
        <v xml:space="preserve">| 2 L PHP-CGM % | 3 P NS % | 5 L CPT @ | 6 L NS % | 1 L JAVA % </v>
      </c>
      <c r="AZ416" s="4" t="str">
        <f ca="1">IFERROR(__xludf.DUMMYFUNCTION("""COMPUTED_VALUE"""),"| 1 P JAVA @ | 3 P Python % | 5 L NS % | 6 L CPT % ")</f>
        <v xml:space="preserve">| 1 P JAVA @ | 3 P Python % | 5 L NS % | 6 L CPT % </v>
      </c>
      <c r="BA416" s="4" t="str">
        <f ca="1">IFERROR(__xludf.DUMMYFUNCTION("""COMPUTED_VALUE"""),"| 1 P Python @ | 3 L CPT @ | 4 L PHP-CGM @ | 5 P CPT @ ")</f>
        <v xml:space="preserve">| 1 P Python @ | 3 L CPT @ | 4 L PHP-CGM @ | 5 P CPT @ </v>
      </c>
      <c r="BB416" s="4" t="str">
        <f ca="1">IFERROR(__xludf.DUMMYFUNCTION("""COMPUTED_VALUE"""),"| 1 P PHP-CGM @ | 3 L PHP-CGM % | 4 L JAVA % | 5 L PRO % ")</f>
        <v xml:space="preserve">| 1 P PHP-CGM @ | 3 L PHP-CGM % | 4 L JAVA % | 5 L PRO % </v>
      </c>
      <c r="BC416" s="4" t="str">
        <f ca="1">IFERROR(__xludf.DUMMYFUNCTION("""COMPUTED_VALUE"""),"| 1 L JAVA @ | 3 P NS @ | 2 L PHP-CGM @ | 5 L CPT @ | 6 L NS @ ")</f>
        <v xml:space="preserve">| 1 L JAVA @ | 3 P NS @ | 2 L PHP-CGM @ | 5 L CPT @ | 6 L NS @ </v>
      </c>
      <c r="BD416" s="4" t="str">
        <f ca="1">IFERROR(__xludf.DUMMYFUNCTION("""COMPUTED_VALUE"""),"| 1 L INE @ | 3 P JAVA @ | 5 L JAVA @ | 6 L NS @ ")</f>
        <v xml:space="preserve">| 1 L INE @ | 3 P JAVA @ | 5 L JAVA @ | 6 L NS @ </v>
      </c>
      <c r="BE416" s="4" t="str">
        <f ca="1">IFERROR(__xludf.DUMMYFUNCTION("""COMPUTED_VALUE"""),"| 1 P JAVA @ | 3 P Python @ | 5 L NS @ | 6 L CPT @ ")</f>
        <v xml:space="preserve">| 1 P JAVA @ | 3 P Python @ | 5 L NS @ | 6 L CPT @ </v>
      </c>
      <c r="BF416" s="4" t="str">
        <f ca="1">IFERROR(__xludf.DUMMYFUNCTION("""COMPUTED_VALUE"""),"| 1 P Python @ | 3 L CPT @ | 4 L PHP-CGM @ | 5 P CPT @ ")</f>
        <v xml:space="preserve">| 1 P Python @ | 3 L CPT @ | 4 L PHP-CGM @ | 5 P CPT @ </v>
      </c>
      <c r="BG416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BH416" s="4" t="str">
        <f ca="1">IFERROR(__xludf.DUMMYFUNCTION("""COMPUTED_VALUE"""),"| 1 L INE @ | 3 P JAVA @ | 5 L JAVA @ | 6 L NS @ ")</f>
        <v xml:space="preserve">| 1 L INE @ | 3 P JAVA @ | 5 L JAVA @ | 6 L NS @ </v>
      </c>
      <c r="BI416" s="4" t="str">
        <f ca="1">IFERROR(__xludf.DUMMYFUNCTION("""COMPUTED_VALUE"""),"| 1 P JAVA @ | 3 P Python @ | 5 L NS % | 6 L CPT % ")</f>
        <v xml:space="preserve">| 1 P JAVA @ | 3 P Python @ | 5 L NS % | 6 L CPT % </v>
      </c>
      <c r="BJ416" s="4" t="str">
        <f ca="1">IFERROR(__xludf.DUMMYFUNCTION("""COMPUTED_VALUE"""),"| 1 P Python % | 3 L CPT @ | 4 L PHP-CGM @ | 5 P CPT @ ")</f>
        <v xml:space="preserve">| 1 P Python % | 3 L CPT @ | 4 L PHP-CGM @ | 5 P CPT @ </v>
      </c>
      <c r="BK416" s="4" t="str">
        <f ca="1">IFERROR(__xludf.DUMMYFUNCTION("""COMPUTED_VALUE"""),"| 1 P PHP-CGM @ | 3 L PHP-CGM @ | 4 L JAVA @ | 5 P PRO @ ")</f>
        <v xml:space="preserve">| 1 P PHP-CGM @ | 3 L PHP-CGM @ | 4 L JAVA @ | 5 P PRO @ </v>
      </c>
      <c r="BL416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BM416" s="4" t="str">
        <f ca="1">IFERROR(__xludf.DUMMYFUNCTION("""COMPUTED_VALUE"""),"| 1 L INE @ | 3 P JAVA @ | 5 L JAVA @ | 6 L NS @ ")</f>
        <v xml:space="preserve">| 1 L INE @ | 3 P JAVA @ | 5 L JAVA @ | 6 L NS @ </v>
      </c>
      <c r="BN416" s="4" t="str">
        <f ca="1">IFERROR(__xludf.DUMMYFUNCTION("""COMPUTED_VALUE"""),"| 1 P JAVA @ | 3 P Python @ | 5 L NS @ | 6 L CPT @ ")</f>
        <v xml:space="preserve">| 1 P JAVA @ | 3 P Python @ | 5 L NS @ | 6 L CPT @ </v>
      </c>
      <c r="BO416" s="4" t="str">
        <f ca="1">IFERROR(__xludf.DUMMYFUNCTION("""COMPUTED_VALUE"""),"| 1 P Python @ | 4 L PHP-CGM @ | 3 L CPT @ | 5 P CPT @ ")</f>
        <v xml:space="preserve">| 1 P Python @ | 4 L PHP-CGM @ | 3 L CPT @ | 5 P CPT @ </v>
      </c>
      <c r="BP416" s="4" t="str">
        <f ca="1">IFERROR(__xludf.DUMMYFUNCTION("""COMPUTED_VALUE"""),"| 1 P PHP-CGM % | 3 L PHP-CGM % | 4 L JAVA % | 6 P PRO @ ")</f>
        <v xml:space="preserve">| 1 P PHP-CGM % | 3 L PHP-CGM % | 4 L JAVA % | 6 P PRO @ </v>
      </c>
      <c r="BQ416" s="4" t="str">
        <f ca="1">IFERROR(__xludf.DUMMYFUNCTION("""COMPUTED_VALUE"""),"| 6 L NS % | 5 L JAVA @ ")</f>
        <v xml:space="preserve">| 6 L NS % | 5 L JAVA @ </v>
      </c>
      <c r="BR416" s="4"/>
      <c r="BS416" s="4" t="str">
        <f ca="1">IFERROR(__xludf.DUMMYFUNCTION("""COMPUTED_VALUE"""),"| 4 L PHP-CGM % ")</f>
        <v xml:space="preserve">| 4 L PHP-CGM % </v>
      </c>
      <c r="BT416" s="4" t="str">
        <f ca="1">IFERROR(__xludf.DUMMYFUNCTION("""COMPUTED_VALUE"""),"| 1 P PHP-CGM % | 3 L PHP-CGM % ")</f>
        <v xml:space="preserve">| 1 P PHP-CGM % | 3 L PHP-CGM % </v>
      </c>
      <c r="BU416" s="4" t="str">
        <f ca="1">IFERROR(__xludf.DUMMYFUNCTION("""COMPUTED_VALUE"""),"| 1 L JAVA @ | 2 L PHP-CGM @ | 3 P NS @ ")</f>
        <v xml:space="preserve">| 1 L JAVA @ | 2 L PHP-CGM @ | 3 P NS @ </v>
      </c>
      <c r="BV416" s="4" t="str">
        <f ca="1">IFERROR(__xludf.DUMMYFUNCTION("""COMPUTED_VALUE"""),"| 1 P PHP-CGM @ | 3 L PHP-CGM @ | 4 L JAVA @ | 5 P PRO @ ")</f>
        <v xml:space="preserve">| 1 P PHP-CGM @ | 3 L PHP-CGM @ | 4 L JAVA @ | 5 P PRO @ </v>
      </c>
      <c r="BW416" s="4" t="str">
        <f ca="1">IFERROR(__xludf.DUMMYFUNCTION("""COMPUTED_VALUE"""),"| 1 L JAVA % | 2 L PHP-CGM @ | 3 P NS % ")</f>
        <v xml:space="preserve">| 1 L JAVA % | 2 L PHP-CGM @ | 3 P NS % </v>
      </c>
      <c r="BX416" s="4" t="str">
        <f ca="1">IFERROR(__xludf.DUMMYFUNCTION("""COMPUTED_VALUE"""),"| 1 L INE @ | 3 P JAVA @ | 5 L JAVA @ | 6 L NS @ ")</f>
        <v xml:space="preserve">| 1 L INE @ | 3 P JAVA @ | 5 L JAVA @ | 6 L NS @ </v>
      </c>
      <c r="BY416" s="4" t="str">
        <f ca="1">IFERROR(__xludf.DUMMYFUNCTION("""COMPUTED_VALUE"""),"| 1 P JAVA @ | 3 P Python @ | 5 L NS @ | 6 L CPT @ ")</f>
        <v xml:space="preserve">| 1 P JAVA @ | 3 P Python @ | 5 L NS @ | 6 L CPT @ </v>
      </c>
      <c r="BZ416" s="4" t="str">
        <f ca="1">IFERROR(__xludf.DUMMYFUNCTION("""COMPUTED_VALUE"""),"| 1 P Python % | 3 L CPT @ | 4 L PHP-CGM @ | 5 P CPT @ ")</f>
        <v xml:space="preserve">| 1 P Python % | 3 L CPT @ | 4 L PHP-CGM @ | 5 P CPT @ </v>
      </c>
      <c r="CA416" s="4" t="str">
        <f ca="1">IFERROR(__xludf.DUMMYFUNCTION("""COMPUTED_VALUE"""),"| 1 P PHP-CGM % | 3 L PHP-CGM % | 3 L JAVA % | 5 P PRO % ")</f>
        <v xml:space="preserve">| 1 P PHP-CGM % | 3 L PHP-CGM % | 3 L JAVA % | 5 P PRO % </v>
      </c>
      <c r="CB416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416" s="4" t="str">
        <f ca="1">IFERROR(__xludf.DUMMYFUNCTION("""COMPUTED_VALUE"""),"| 1 L INE % | 3 P JAVA @ | 5 L JAVA @ | 6 L NS @ ")</f>
        <v xml:space="preserve">| 1 L INE % | 3 P JAVA @ | 5 L JAVA @ | 6 L NS @ </v>
      </c>
      <c r="CD416" s="4" t="str">
        <f ca="1">IFERROR(__xludf.DUMMYFUNCTION("""COMPUTED_VALUE"""),"| 1 P JAVA @ | 3 P Python @ | 5 L NS @ | 6 L CPT @ ")</f>
        <v xml:space="preserve">| 1 P JAVA @ | 3 P Python @ | 5 L NS @ | 6 L CPT @ </v>
      </c>
      <c r="CE416" s="4" t="str">
        <f ca="1">IFERROR(__xludf.DUMMYFUNCTION("""COMPUTED_VALUE"""),"| 1 P Python @ | 3 L CPT @ | 4 L PHP-CGM @ | 5 P CPT @ ")</f>
        <v xml:space="preserve">| 1 P Python @ | 3 L CPT @ | 4 L PHP-CGM @ | 5 P CPT @ </v>
      </c>
      <c r="CF416" s="4" t="str">
        <f ca="1">IFERROR(__xludf.DUMMYFUNCTION("""COMPUTED_VALUE"""),"| 1 P PHP-CGM % | 4 L JAVA @ | 3 L PHP-CGM @ | 5 L PRO % ")</f>
        <v xml:space="preserve">| 1 P PHP-CGM % | 4 L JAVA @ | 3 L PHP-CGM @ | 5 L PRO % </v>
      </c>
      <c r="CG416" s="4" t="str">
        <f ca="1">IFERROR(__xludf.DUMMYFUNCTION("""COMPUTED_VALUE"""),"| 1 L JAVA @ | 2 L PHP-CGM % | 3 P NS % | 6 L NS % ")</f>
        <v xml:space="preserve">| 1 L JAVA @ | 2 L PHP-CGM % | 3 P NS % | 6 L NS % </v>
      </c>
      <c r="CH416" s="4" t="str">
        <f ca="1">IFERROR(__xludf.DUMMYFUNCTION("""COMPUTED_VALUE"""),"| 1 L INE @ | 3 P JAVA @ | 5 L JAVA % | 6 L NS @ ")</f>
        <v xml:space="preserve">| 1 L INE @ | 3 P JAVA @ | 5 L JAVA % | 6 L NS @ </v>
      </c>
      <c r="CI416" s="4" t="str">
        <f ca="1">IFERROR(__xludf.DUMMYFUNCTION("""COMPUTED_VALUE"""),"| 5 L NS @ | 6 L CPT @ ")</f>
        <v xml:space="preserve">| 5 L NS @ | 6 L CPT @ </v>
      </c>
      <c r="CJ416" s="4" t="str">
        <f ca="1">IFERROR(__xludf.DUMMYFUNCTION("""COMPUTED_VALUE"""),"| 3 L CPT @ | 5 P CPT % ")</f>
        <v xml:space="preserve">| 3 L CPT @ | 5 P CPT % </v>
      </c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</row>
    <row r="417" spans="1:102" ht="12.5" x14ac:dyDescent="0.25">
      <c r="A417" s="3">
        <f ca="1">IFERROR(__xludf.DUMMYFUNCTION("""COMPUTED_VALUE"""),3)</f>
        <v>3</v>
      </c>
      <c r="B417" s="3" t="str">
        <f ca="1">IFERROR(__xludf.DUMMYFUNCTION("""COMPUTED_VALUE"""),"ITA")</f>
        <v>ITA</v>
      </c>
      <c r="C417" s="32" t="str">
        <f ca="1">IFERROR(__xludf.DUMMYFUNCTION("""COMPUTED_VALUE"""),"23291371162")</f>
        <v>23291371162</v>
      </c>
      <c r="D417" s="4" t="str">
        <f ca="1">IFERROR(__xludf.DUMMYFUNCTION("""COMPUTED_VALUE"""),"PATEL MAHIR JIGARBHAI")</f>
        <v>PATEL MAHIR JIGARBHAI</v>
      </c>
      <c r="E417" s="3" t="str">
        <f ca="1">IFERROR(__xludf.DUMMYFUNCTION("""COMPUTED_VALUE"""),"Sweety - Mor")</f>
        <v>Sweety - Mor</v>
      </c>
      <c r="F417" s="3">
        <f ca="1">IFERROR(__xludf.DUMMYFUNCTION("""COMPUTED_VALUE"""),9824576927)</f>
        <v>9824576927</v>
      </c>
      <c r="G417" s="3">
        <f ca="1">IFERROR(__xludf.DUMMYFUNCTION("""COMPUTED_VALUE"""),9824476927)</f>
        <v>9824476927</v>
      </c>
      <c r="H417" s="33">
        <f ca="1">IFERROR(__xludf.DUMMYFUNCTION("""COMPUTED_VALUE"""),0.546184738955823)</f>
        <v>0.54618473895582298</v>
      </c>
      <c r="I417" s="25">
        <f ca="1">IFERROR(__xludf.DUMMYFUNCTION("""COMPUTED_VALUE"""),0.428571428571428)</f>
        <v>0.42857142857142799</v>
      </c>
      <c r="J417" s="25">
        <f ca="1">IFERROR(__xludf.DUMMYFUNCTION("""COMPUTED_VALUE"""),0.333333333333333)</f>
        <v>0.33333333333333298</v>
      </c>
      <c r="K417" s="25">
        <f ca="1">IFERROR(__xludf.DUMMYFUNCTION("""COMPUTED_VALUE"""),0.5)</f>
        <v>0.5</v>
      </c>
      <c r="L417" s="25">
        <f ca="1">IFERROR(__xludf.DUMMYFUNCTION("""COMPUTED_VALUE"""),0.769230769230769)</f>
        <v>0.76923076923076905</v>
      </c>
      <c r="M417" s="25">
        <f ca="1">IFERROR(__xludf.DUMMYFUNCTION("""COMPUTED_VALUE"""),0.631578947368421)</f>
        <v>0.63157894736842102</v>
      </c>
      <c r="N417" s="25">
        <f ca="1">IFERROR(__xludf.DUMMYFUNCTION("""COMPUTED_VALUE"""),0.846153846153846)</f>
        <v>0.84615384615384603</v>
      </c>
      <c r="O417" s="25">
        <f ca="1">IFERROR(__xludf.DUMMYFUNCTION("""COMPUTED_VALUE"""),0.555555555555555)</f>
        <v>0.55555555555555503</v>
      </c>
      <c r="P417" s="25">
        <f ca="1">IFERROR(__xludf.DUMMYFUNCTION("""COMPUTED_VALUE"""),0.565217391304347)</f>
        <v>0.56521739130434701</v>
      </c>
      <c r="Q417" s="25">
        <f ca="1">IFERROR(__xludf.DUMMYFUNCTION("""COMPUTED_VALUE"""),0)</f>
        <v>0</v>
      </c>
      <c r="R417" s="25">
        <f ca="1">IFERROR(__xludf.DUMMYFUNCTION("""COMPUTED_VALUE"""),0.608695652173913)</f>
        <v>0.60869565217391297</v>
      </c>
      <c r="S417" s="25">
        <f ca="1">IFERROR(__xludf.DUMMYFUNCTION("""COMPUTED_VALUE"""),0.333333333333333)</f>
        <v>0.33333333333333298</v>
      </c>
      <c r="T417" s="25">
        <f ca="1">IFERROR(__xludf.DUMMYFUNCTION("""COMPUTED_VALUE"""),0.333333333333333)</f>
        <v>0.33333333333333298</v>
      </c>
      <c r="U417" s="25">
        <f ca="1">IFERROR(__xludf.DUMMYFUNCTION("""COMPUTED_VALUE"""),0.375)</f>
        <v>0.375</v>
      </c>
      <c r="V417" s="25">
        <f ca="1">IFERROR(__xludf.DUMMYFUNCTION("""COMPUTED_VALUE"""),0)</f>
        <v>0</v>
      </c>
      <c r="W417" s="4"/>
      <c r="X417" s="4" t="str">
        <f ca="1">IFERROR(__xludf.DUMMYFUNCTION("""COMPUTED_VALUE"""),"| 4 L JAVA @ | 1 P PHP-CGM % | 3 L PHP-CGM % | 1 L PRO @ ")</f>
        <v xml:space="preserve">| 4 L JAVA @ | 1 P PHP-CGM % | 3 L PHP-CGM % | 1 L PRO @ </v>
      </c>
      <c r="Y417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Z417" s="4" t="str">
        <f ca="1">IFERROR(__xludf.DUMMYFUNCTION("""COMPUTED_VALUE"""),"| 3 P JAVA % | 5 L JAVA % | 6 L NS % ")</f>
        <v xml:space="preserve">| 3 P JAVA % | 5 L JAVA % | 6 L NS % </v>
      </c>
      <c r="AA417" s="4" t="str">
        <f ca="1">IFERROR(__xludf.DUMMYFUNCTION("""COMPUTED_VALUE"""),"| 1 P JAVA % | 3 P Python % | 5 L NS @ | 6 L CPT @ ")</f>
        <v xml:space="preserve">| 1 P JAVA % | 3 P Python % | 5 L NS @ | 6 L CPT @ </v>
      </c>
      <c r="AB417" s="4" t="str">
        <f ca="1">IFERROR(__xludf.DUMMYFUNCTION("""COMPUTED_VALUE"""),"| 1 P Python % | 3 L CPT % | 4 L PHP-CGM % | 5 P CPT % ")</f>
        <v xml:space="preserve">| 1 P Python % | 3 L CPT % | 4 L PHP-CGM % | 5 P CPT % </v>
      </c>
      <c r="AC417" s="4" t="str">
        <f ca="1">IFERROR(__xludf.DUMMYFUNCTION("""COMPUTED_VALUE"""),"| 1 P PHP-CGM % | 3 L PHP-CGM % | 5 P PRO % ")</f>
        <v xml:space="preserve">| 1 P PHP-CGM % | 3 L PHP-CGM % | 5 P PRO % </v>
      </c>
      <c r="AD417" s="4" t="str">
        <f ca="1">IFERROR(__xludf.DUMMYFUNCTION("""COMPUTED_VALUE"""),"| 1 L JAVA % | 2 L PHP-CGM % | 3 P NS % | 6 L NS % | 5 L CPT % ")</f>
        <v xml:space="preserve">| 1 L JAVA % | 2 L PHP-CGM % | 3 P NS % | 6 L NS % | 5 L CPT % </v>
      </c>
      <c r="AE417" s="4" t="str">
        <f ca="1">IFERROR(__xludf.DUMMYFUNCTION("""COMPUTED_VALUE"""),"| 3 P JAVA @ | 5 L JAVA @ | 6 L NS @ ")</f>
        <v xml:space="preserve">| 3 P JAVA @ | 5 L JAVA @ | 6 L NS @ </v>
      </c>
      <c r="AF417" s="4" t="str">
        <f ca="1">IFERROR(__xludf.DUMMYFUNCTION("""COMPUTED_VALUE"""),"| 1 P JAVA % | 3 P Python % | 5 L NS % | 6 L CPT % ")</f>
        <v xml:space="preserve">| 1 P JAVA % | 3 P Python % | 5 L NS % | 6 L CPT % </v>
      </c>
      <c r="AG417" s="4" t="str">
        <f ca="1">IFERROR(__xludf.DUMMYFUNCTION("""COMPUTED_VALUE"""),"| 1 P Python @ | 3 L CPT @ | 4 L PHP-CGM @ | 5 P CPT @ ")</f>
        <v xml:space="preserve">| 1 P Python @ | 3 L CPT @ | 4 L PHP-CGM @ | 5 P CPT @ </v>
      </c>
      <c r="AH417" s="4" t="str">
        <f ca="1">IFERROR(__xludf.DUMMYFUNCTION("""COMPUTED_VALUE"""),"| 1 P JAVA % | 3 P Python % | 5 L NS % | 6 L CPT % ")</f>
        <v xml:space="preserve">| 1 P JAVA % | 3 P Python % | 5 L NS % | 6 L CPT % </v>
      </c>
      <c r="AI417" s="4" t="str">
        <f ca="1">IFERROR(__xludf.DUMMYFUNCTION("""COMPUTED_VALUE"""),"| 1 P Python % | 3 L CPT % | 4 L PHP-CGM % | 5 P CPT % ")</f>
        <v xml:space="preserve">| 1 P Python % | 3 L CPT % | 4 L PHP-CGM % | 5 P CPT % </v>
      </c>
      <c r="AJ417" s="4" t="str">
        <f ca="1">IFERROR(__xludf.DUMMYFUNCTION("""COMPUTED_VALUE"""),"| 1 P PHP-CGM % | 3 L PHP-CGM % | 4 L JAVA % | 5 P PRO @ ")</f>
        <v xml:space="preserve">| 1 P PHP-CGM % | 3 L PHP-CGM % | 4 L JAVA % | 5 P PRO @ </v>
      </c>
      <c r="AK417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17" s="4" t="str">
        <f ca="1">IFERROR(__xludf.DUMMYFUNCTION("""COMPUTED_VALUE"""),"| 3 P JAVA % | 5 L JAVA % | 6 L NS % ")</f>
        <v xml:space="preserve">| 3 P JAVA % | 5 L JAVA % | 6 L NS % </v>
      </c>
      <c r="AM417" s="4" t="str">
        <f ca="1">IFERROR(__xludf.DUMMYFUNCTION("""COMPUTED_VALUE"""),"| 1 P JAVA % | 3 P Python % | 5 L NS % | 6 L CPT % ")</f>
        <v xml:space="preserve">| 1 P JAVA % | 3 P Python % | 5 L NS % | 6 L CPT % </v>
      </c>
      <c r="AN417" s="4" t="str">
        <f ca="1">IFERROR(__xludf.DUMMYFUNCTION("""COMPUTED_VALUE"""),"| 1 P Python % | 4 L PHP-CGM % | 5 P CPT % ")</f>
        <v xml:space="preserve">| 1 P Python % | 4 L PHP-CGM % | 5 P CPT % </v>
      </c>
      <c r="AO417" s="4" t="str">
        <f ca="1">IFERROR(__xludf.DUMMYFUNCTION("""COMPUTED_VALUE"""),"| 1 P PHP-CGM % | 3 L PHP-CGM % | 4 L JAVA % | 5 P PRO @ ")</f>
        <v xml:space="preserve">| 1 P PHP-CGM % | 3 L PHP-CGM % | 4 L JAVA % | 5 P PRO @ </v>
      </c>
      <c r="AP417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17" s="4" t="str">
        <f ca="1">IFERROR(__xludf.DUMMYFUNCTION("""COMPUTED_VALUE"""),"| 1 L INE @ | 3 P JAVA @ | 5 L JAVA @ | 6 L NS @ ")</f>
        <v xml:space="preserve">| 1 L INE @ | 3 P JAVA @ | 5 L JAVA @ | 6 L NS @ </v>
      </c>
      <c r="AR417" s="4" t="str">
        <f ca="1">IFERROR(__xludf.DUMMYFUNCTION("""COMPUTED_VALUE"""),"| 1 P JAVA % | 3 L CPT % | 3 P Python % | 5 L NS % | 6 L CPT @ ")</f>
        <v xml:space="preserve">| 1 P JAVA % | 3 L CPT % | 3 P Python % | 5 L NS % | 6 L CPT @ </v>
      </c>
      <c r="AS417" s="4" t="str">
        <f ca="1">IFERROR(__xludf.DUMMYFUNCTION("""COMPUTED_VALUE"""),"| 1 P PHP-CGM % | 3 L PHP-CGM % | 4 L JAVA % | 5 P PRO @ ")</f>
        <v xml:space="preserve">| 1 P PHP-CGM % | 3 L PHP-CGM % | 4 L JAVA % | 5 P PRO @ </v>
      </c>
      <c r="AT417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AU417" s="4" t="str">
        <f ca="1">IFERROR(__xludf.DUMMYFUNCTION("""COMPUTED_VALUE"""),"| 1 L INE % | 3 P JAVA % | 5 L JAVA @ | 6 L NS % ")</f>
        <v xml:space="preserve">| 1 L INE % | 3 P JAVA % | 5 L JAVA @ | 6 L NS % </v>
      </c>
      <c r="AV417" s="4" t="str">
        <f ca="1">IFERROR(__xludf.DUMMYFUNCTION("""COMPUTED_VALUE"""),"| 1 P JAVA % | 3 P Python % | 5 L NS % | 6 L CPT % ")</f>
        <v xml:space="preserve">| 1 P JAVA % | 3 P Python % | 5 L NS % | 6 L CPT % </v>
      </c>
      <c r="AW417" s="4" t="str">
        <f ca="1">IFERROR(__xludf.DUMMYFUNCTION("""COMPUTED_VALUE"""),"| 1 P Python @ | 3 L CPT @ | 4 L PHP-CGM @ | 5 P CPT @ ")</f>
        <v xml:space="preserve">| 1 P Python @ | 3 L CPT @ | 4 L PHP-CGM @ | 5 P CPT @ </v>
      </c>
      <c r="AX417" s="4" t="str">
        <f ca="1">IFERROR(__xludf.DUMMYFUNCTION("""COMPUTED_VALUE"""),"| 1 P PHP-CGM % | 3 L JAVA % | 4 L PHP-CGM % | 5 P PRO % ")</f>
        <v xml:space="preserve">| 1 P PHP-CGM % | 3 L JAVA % | 4 L PHP-CGM % | 5 P PRO % </v>
      </c>
      <c r="AY417" s="4" t="str">
        <f ca="1">IFERROR(__xludf.DUMMYFUNCTION("""COMPUTED_VALUE"""),"| 2 L PHP-CGM % | 3 P NS % | 5 L CPT @ | 6 L NS % | 1 L JAVA % ")</f>
        <v xml:space="preserve">| 2 L PHP-CGM % | 3 P NS % | 5 L CPT @ | 6 L NS % | 1 L JAVA % </v>
      </c>
      <c r="AZ417" s="4" t="str">
        <f ca="1">IFERROR(__xludf.DUMMYFUNCTION("""COMPUTED_VALUE"""),"| 1 P JAVA % | 3 P Python % | 5 L NS % | 6 L CPT % ")</f>
        <v xml:space="preserve">| 1 P JAVA % | 3 P Python % | 5 L NS % | 6 L CPT % </v>
      </c>
      <c r="BA417" s="4" t="str">
        <f ca="1">IFERROR(__xludf.DUMMYFUNCTION("""COMPUTED_VALUE"""),"| 1 P Python @ | 3 L CPT @ | 4 L PHP-CGM @ | 5 P CPT @ ")</f>
        <v xml:space="preserve">| 1 P Python @ | 3 L CPT @ | 4 L PHP-CGM @ | 5 P CPT @ </v>
      </c>
      <c r="BB417" s="4" t="str">
        <f ca="1">IFERROR(__xludf.DUMMYFUNCTION("""COMPUTED_VALUE"""),"| 1 P PHP-CGM @ | 3 L PHP-CGM @ | 4 L JAVA @ | 5 L PRO @ ")</f>
        <v xml:space="preserve">| 1 P PHP-CGM @ | 3 L PHP-CGM @ | 4 L JAVA @ | 5 L PRO @ </v>
      </c>
      <c r="BC417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17" s="4" t="str">
        <f ca="1">IFERROR(__xludf.DUMMYFUNCTION("""COMPUTED_VALUE"""),"| 1 L INE @ | 3 P JAVA @ | 5 L JAVA @ | 6 L NS @ ")</f>
        <v xml:space="preserve">| 1 L INE @ | 3 P JAVA @ | 5 L JAVA @ | 6 L NS @ </v>
      </c>
      <c r="BE417" s="4" t="str">
        <f ca="1">IFERROR(__xludf.DUMMYFUNCTION("""COMPUTED_VALUE"""),"| 1 P JAVA @ | 3 P Python @ | 5 L NS @ | 6 L CPT @ ")</f>
        <v xml:space="preserve">| 1 P JAVA @ | 3 P Python @ | 5 L NS @ | 6 L CPT @ </v>
      </c>
      <c r="BF417" s="4" t="str">
        <f ca="1">IFERROR(__xludf.DUMMYFUNCTION("""COMPUTED_VALUE"""),"| 1 P Python @ | 3 L CPT @ | 4 L PHP-CGM @ | 5 P CPT @ ")</f>
        <v xml:space="preserve">| 1 P Python @ | 3 L CPT @ | 4 L PHP-CGM @ | 5 P CPT @ </v>
      </c>
      <c r="BG417" s="4" t="str">
        <f ca="1">IFERROR(__xludf.DUMMYFUNCTION("""COMPUTED_VALUE"""),"| 1 L JAVA % | 2 L PHP-CGM % | 3 P NS % | 5 L CPT @ | 6 L NS @ ")</f>
        <v xml:space="preserve">| 1 L JAVA % | 2 L PHP-CGM % | 3 P NS % | 5 L CPT @ | 6 L NS @ </v>
      </c>
      <c r="BH417" s="4" t="str">
        <f ca="1">IFERROR(__xludf.DUMMYFUNCTION("""COMPUTED_VALUE"""),"| 1 L INE % | 3 P JAVA % | 5 L JAVA % | 6 L NS % ")</f>
        <v xml:space="preserve">| 1 L INE % | 3 P JAVA % | 5 L JAVA % | 6 L NS % </v>
      </c>
      <c r="BI417" s="4" t="str">
        <f ca="1">IFERROR(__xludf.DUMMYFUNCTION("""COMPUTED_VALUE"""),"| 1 P JAVA % | 3 P Python @ | 5 L NS % | 6 L CPT % ")</f>
        <v xml:space="preserve">| 1 P JAVA % | 3 P Python @ | 5 L NS % | 6 L CPT % </v>
      </c>
      <c r="BJ417" s="4" t="str">
        <f ca="1">IFERROR(__xludf.DUMMYFUNCTION("""COMPUTED_VALUE"""),"| 1 P Python % | 3 L CPT @ | 4 L PHP-CGM @ | 5 P CPT @ ")</f>
        <v xml:space="preserve">| 1 P Python % | 3 L CPT @ | 4 L PHP-CGM @ | 5 P CPT @ </v>
      </c>
      <c r="BK417" s="4" t="str">
        <f ca="1">IFERROR(__xludf.DUMMYFUNCTION("""COMPUTED_VALUE"""),"| 1 P PHP-CGM % | 3 L PHP-CGM % | 4 L JAVA % | 5 P PRO @ ")</f>
        <v xml:space="preserve">| 1 P PHP-CGM % | 3 L PHP-CGM % | 4 L JAVA % | 5 P PRO @ </v>
      </c>
      <c r="BL417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17" s="4" t="str">
        <f ca="1">IFERROR(__xludf.DUMMYFUNCTION("""COMPUTED_VALUE"""),"| 1 L INE @ | 3 P JAVA @ | 5 L JAVA @ | 6 L NS @ ")</f>
        <v xml:space="preserve">| 1 L INE @ | 3 P JAVA @ | 5 L JAVA @ | 6 L NS @ </v>
      </c>
      <c r="BN417" s="4" t="str">
        <f ca="1">IFERROR(__xludf.DUMMYFUNCTION("""COMPUTED_VALUE"""),"| 1 P JAVA @ | 3 P Python @ | 5 L NS @ | 6 L CPT @ ")</f>
        <v xml:space="preserve">| 1 P JAVA @ | 3 P Python @ | 5 L NS @ | 6 L CPT @ </v>
      </c>
      <c r="BO417" s="4" t="str">
        <f ca="1">IFERROR(__xludf.DUMMYFUNCTION("""COMPUTED_VALUE"""),"| 1 P Python % | 4 L PHP-CGM % | 3 L CPT % | 5 P CPT @ ")</f>
        <v xml:space="preserve">| 1 P Python % | 4 L PHP-CGM % | 3 L CPT % | 5 P CPT @ </v>
      </c>
      <c r="BP417" s="4" t="str">
        <f ca="1">IFERROR(__xludf.DUMMYFUNCTION("""COMPUTED_VALUE"""),"| 1 P PHP-CGM % | 3 L PHP-CGM % | 4 L JAVA % | 6 P PRO @ ")</f>
        <v xml:space="preserve">| 1 P PHP-CGM % | 3 L PHP-CGM % | 4 L JAVA % | 6 P PRO @ </v>
      </c>
      <c r="BQ417" s="4" t="str">
        <f ca="1">IFERROR(__xludf.DUMMYFUNCTION("""COMPUTED_VALUE"""),"| 6 L NS % | 5 L JAVA @ ")</f>
        <v xml:space="preserve">| 6 L NS % | 5 L JAVA @ </v>
      </c>
      <c r="BR417" s="4"/>
      <c r="BS417" s="4" t="str">
        <f ca="1">IFERROR(__xludf.DUMMYFUNCTION("""COMPUTED_VALUE"""),"| 4 L PHP-CGM % ")</f>
        <v xml:space="preserve">| 4 L PHP-CGM % </v>
      </c>
      <c r="BT417" s="4" t="str">
        <f ca="1">IFERROR(__xludf.DUMMYFUNCTION("""COMPUTED_VALUE"""),"| 1 P PHP-CGM % | 3 L PHP-CGM % ")</f>
        <v xml:space="preserve">| 1 P PHP-CGM % | 3 L PHP-CGM % </v>
      </c>
      <c r="BU417" s="4" t="str">
        <f ca="1">IFERROR(__xludf.DUMMYFUNCTION("""COMPUTED_VALUE"""),"| 1 L JAVA @ | 2 L PHP-CGM @ | 3 P NS @ ")</f>
        <v xml:space="preserve">| 1 L JAVA @ | 2 L PHP-CGM @ | 3 P NS @ </v>
      </c>
      <c r="BV417" s="4" t="str">
        <f ca="1">IFERROR(__xludf.DUMMYFUNCTION("""COMPUTED_VALUE"""),"| 1 P PHP-CGM @ | 3 L PHP-CGM @ | 4 L JAVA @ | 5 P PRO @ ")</f>
        <v xml:space="preserve">| 1 P PHP-CGM @ | 3 L PHP-CGM @ | 4 L JAVA @ | 5 P PRO @ </v>
      </c>
      <c r="BW417" s="4" t="str">
        <f ca="1">IFERROR(__xludf.DUMMYFUNCTION("""COMPUTED_VALUE"""),"| 1 L JAVA % | 2 L PHP-CGM @ | 3 P NS % ")</f>
        <v xml:space="preserve">| 1 L JAVA % | 2 L PHP-CGM @ | 3 P NS % </v>
      </c>
      <c r="BX417" s="4" t="str">
        <f ca="1">IFERROR(__xludf.DUMMYFUNCTION("""COMPUTED_VALUE"""),"| 1 L INE @ | 3 P JAVA @ | 5 L JAVA @ | 6 L NS @ ")</f>
        <v xml:space="preserve">| 1 L INE @ | 3 P JAVA @ | 5 L JAVA @ | 6 L NS @ </v>
      </c>
      <c r="BY417" s="4" t="str">
        <f ca="1">IFERROR(__xludf.DUMMYFUNCTION("""COMPUTED_VALUE"""),"| 1 P JAVA @ | 3 P Python @ | 5 L NS @ | 6 L CPT @ ")</f>
        <v xml:space="preserve">| 1 P JAVA @ | 3 P Python @ | 5 L NS @ | 6 L CPT @ </v>
      </c>
      <c r="BZ417" s="4" t="str">
        <f ca="1">IFERROR(__xludf.DUMMYFUNCTION("""COMPUTED_VALUE"""),"| 1 P Python % | 3 L CPT @ | 4 L PHP-CGM @ | 5 P CPT @ ")</f>
        <v xml:space="preserve">| 1 P Python % | 3 L CPT @ | 4 L PHP-CGM @ | 5 P CPT @ </v>
      </c>
      <c r="CA417" s="4" t="str">
        <f ca="1">IFERROR(__xludf.DUMMYFUNCTION("""COMPUTED_VALUE"""),"| 1 P PHP-CGM % | 3 L PHP-CGM % | 3 L JAVA % | 5 P PRO % ")</f>
        <v xml:space="preserve">| 1 P PHP-CGM % | 3 L PHP-CGM % | 3 L JAVA % | 5 P PRO % </v>
      </c>
      <c r="CB417" s="4" t="str">
        <f ca="1">IFERROR(__xludf.DUMMYFUNCTION("""COMPUTED_VALUE"""),"| 1 L JAVA % | 2 L PHP-CGM % | 3 P NS % | 6 L NS @ | 5 L CPT @ ")</f>
        <v xml:space="preserve">| 1 L JAVA % | 2 L PHP-CGM % | 3 P NS % | 6 L NS @ | 5 L CPT @ </v>
      </c>
      <c r="CC417" s="4" t="str">
        <f ca="1">IFERROR(__xludf.DUMMYFUNCTION("""COMPUTED_VALUE"""),"| 1 L INE % | 3 P JAVA @ | 5 L JAVA @ | 6 L NS @ ")</f>
        <v xml:space="preserve">| 1 L INE % | 3 P JAVA @ | 5 L JAVA @ | 6 L NS @ </v>
      </c>
      <c r="CD417" s="4" t="str">
        <f ca="1">IFERROR(__xludf.DUMMYFUNCTION("""COMPUTED_VALUE"""),"| 1 P JAVA @ | 3 P Python @ | 5 L NS @ | 6 L CPT @ ")</f>
        <v xml:space="preserve">| 1 P JAVA @ | 3 P Python @ | 5 L NS @ | 6 L CPT @ </v>
      </c>
      <c r="CE417" s="4" t="str">
        <f ca="1">IFERROR(__xludf.DUMMYFUNCTION("""COMPUTED_VALUE"""),"| 1 P Python % | 3 L CPT @ | 4 L PHP-CGM @ | 5 P CPT @ ")</f>
        <v xml:space="preserve">| 1 P Python % | 3 L CPT @ | 4 L PHP-CGM @ | 5 P CPT @ </v>
      </c>
      <c r="CF417" s="4" t="str">
        <f ca="1">IFERROR(__xludf.DUMMYFUNCTION("""COMPUTED_VALUE"""),"| 1 P PHP-CGM % | 4 L JAVA @ | 3 L PHP-CGM @ | 5 L PRO % ")</f>
        <v xml:space="preserve">| 1 P PHP-CGM % | 4 L JAVA @ | 3 L PHP-CGM @ | 5 L PRO % </v>
      </c>
      <c r="CG417" s="4" t="str">
        <f ca="1">IFERROR(__xludf.DUMMYFUNCTION("""COMPUTED_VALUE"""),"| 1 L JAVA @ | 2 L PHP-CGM % | 3 P NS % | 6 L NS % ")</f>
        <v xml:space="preserve">| 1 L JAVA @ | 2 L PHP-CGM % | 3 P NS % | 6 L NS % </v>
      </c>
      <c r="CH417" s="4" t="str">
        <f ca="1">IFERROR(__xludf.DUMMYFUNCTION("""COMPUTED_VALUE"""),"| 1 L INE @ | 3 P JAVA % | 5 L JAVA % | 6 L NS @ ")</f>
        <v xml:space="preserve">| 1 L INE @ | 3 P JAVA % | 5 L JAVA % | 6 L NS @ </v>
      </c>
      <c r="CI417" s="4" t="str">
        <f ca="1">IFERROR(__xludf.DUMMYFUNCTION("""COMPUTED_VALUE"""),"| 5 L NS @ | 6 L CPT @ ")</f>
        <v xml:space="preserve">| 5 L NS @ | 6 L CPT @ </v>
      </c>
      <c r="CJ417" s="4" t="str">
        <f ca="1">IFERROR(__xludf.DUMMYFUNCTION("""COMPUTED_VALUE"""),"| 3 L CPT % | 5 P CPT % ")</f>
        <v xml:space="preserve">| 3 L CPT % | 5 P CPT % </v>
      </c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</row>
    <row r="418" spans="1:102" ht="12.5" x14ac:dyDescent="0.25">
      <c r="A418" s="3">
        <f ca="1">IFERROR(__xludf.DUMMYFUNCTION("""COMPUTED_VALUE"""),3)</f>
        <v>3</v>
      </c>
      <c r="B418" s="3" t="str">
        <f ca="1">IFERROR(__xludf.DUMMYFUNCTION("""COMPUTED_VALUE"""),"ITA")</f>
        <v>ITA</v>
      </c>
      <c r="C418" s="32" t="str">
        <f ca="1">IFERROR(__xludf.DUMMYFUNCTION("""COMPUTED_VALUE"""),"23291371163")</f>
        <v>23291371163</v>
      </c>
      <c r="D418" s="4" t="str">
        <f ca="1">IFERROR(__xludf.DUMMYFUNCTION("""COMPUTED_VALUE"""),"PATEL VARSHIL CHETANKUMAR")</f>
        <v>PATEL VARSHIL CHETANKUMAR</v>
      </c>
      <c r="E418" s="3" t="str">
        <f ca="1">IFERROR(__xludf.DUMMYFUNCTION("""COMPUTED_VALUE"""),"Sweety - Mor")</f>
        <v>Sweety - Mor</v>
      </c>
      <c r="F418" s="3">
        <f ca="1">IFERROR(__xludf.DUMMYFUNCTION("""COMPUTED_VALUE"""),9898047241)</f>
        <v>9898047241</v>
      </c>
      <c r="G418" s="3" t="str">
        <f ca="1">IFERROR(__xludf.DUMMYFUNCTION("""COMPUTED_VALUE"""),"--")</f>
        <v>--</v>
      </c>
      <c r="H418" s="33">
        <f ca="1">IFERROR(__xludf.DUMMYFUNCTION("""COMPUTED_VALUE"""),0.493975903614457)</f>
        <v>0.49397590361445698</v>
      </c>
      <c r="I418" s="25">
        <f ca="1">IFERROR(__xludf.DUMMYFUNCTION("""COMPUTED_VALUE"""),0.485714285714285)</f>
        <v>0.48571428571428499</v>
      </c>
      <c r="J418" s="25">
        <f ca="1">IFERROR(__xludf.DUMMYFUNCTION("""COMPUTED_VALUE"""),0.583333333333333)</f>
        <v>0.58333333333333304</v>
      </c>
      <c r="K418" s="25">
        <f ca="1">IFERROR(__xludf.DUMMYFUNCTION("""COMPUTED_VALUE"""),0.388888888888888)</f>
        <v>0.38888888888888801</v>
      </c>
      <c r="L418" s="25">
        <f ca="1">IFERROR(__xludf.DUMMYFUNCTION("""COMPUTED_VALUE"""),0.538461538461538)</f>
        <v>0.53846153846153799</v>
      </c>
      <c r="M418" s="25">
        <f ca="1">IFERROR(__xludf.DUMMYFUNCTION("""COMPUTED_VALUE"""),0.526315789473684)</f>
        <v>0.52631578947368396</v>
      </c>
      <c r="N418" s="25">
        <f ca="1">IFERROR(__xludf.DUMMYFUNCTION("""COMPUTED_VALUE"""),0.692307692307692)</f>
        <v>0.69230769230769196</v>
      </c>
      <c r="O418" s="25">
        <f ca="1">IFERROR(__xludf.DUMMYFUNCTION("""COMPUTED_VALUE"""),0.416666666666666)</f>
        <v>0.41666666666666602</v>
      </c>
      <c r="P418" s="25">
        <f ca="1">IFERROR(__xludf.DUMMYFUNCTION("""COMPUTED_VALUE"""),0.478260869565217)</f>
        <v>0.47826086956521702</v>
      </c>
      <c r="Q418" s="25">
        <f ca="1">IFERROR(__xludf.DUMMYFUNCTION("""COMPUTED_VALUE"""),0)</f>
        <v>0</v>
      </c>
      <c r="R418" s="25">
        <f ca="1">IFERROR(__xludf.DUMMYFUNCTION("""COMPUTED_VALUE"""),0.695652173913043)</f>
        <v>0.69565217391304301</v>
      </c>
      <c r="S418" s="25">
        <f ca="1">IFERROR(__xludf.DUMMYFUNCTION("""COMPUTED_VALUE"""),1)</f>
        <v>1</v>
      </c>
      <c r="T418" s="25">
        <f ca="1">IFERROR(__xludf.DUMMYFUNCTION("""COMPUTED_VALUE"""),0.444444444444444)</f>
        <v>0.44444444444444398</v>
      </c>
      <c r="U418" s="25">
        <f ca="1">IFERROR(__xludf.DUMMYFUNCTION("""COMPUTED_VALUE"""),0)</f>
        <v>0</v>
      </c>
      <c r="V418" s="25">
        <f ca="1">IFERROR(__xludf.DUMMYFUNCTION("""COMPUTED_VALUE"""),0)</f>
        <v>0</v>
      </c>
      <c r="W418" s="4"/>
      <c r="X418" s="4" t="str">
        <f ca="1">IFERROR(__xludf.DUMMYFUNCTION("""COMPUTED_VALUE"""),"| 4 L JAVA % | 1 P PHP-CGM % | 3 L PHP-CGM % | 1 L PRO % ")</f>
        <v xml:space="preserve">| 4 L JAVA % | 1 P PHP-CGM % | 3 L PHP-CGM % | 1 L PRO % </v>
      </c>
      <c r="Y41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Z418" s="4" t="str">
        <f ca="1">IFERROR(__xludf.DUMMYFUNCTION("""COMPUTED_VALUE"""),"| 3 P JAVA % | 5 L JAVA @ | 6 L NS @ ")</f>
        <v xml:space="preserve">| 3 P JAVA % | 5 L JAVA @ | 6 L NS @ </v>
      </c>
      <c r="AA418" s="4" t="str">
        <f ca="1">IFERROR(__xludf.DUMMYFUNCTION("""COMPUTED_VALUE"""),"| 1 P JAVA % | 3 P Python % | 5 L NS % | 6 L CPT % ")</f>
        <v xml:space="preserve">| 1 P JAVA % | 3 P Python % | 5 L NS % | 6 L CPT % </v>
      </c>
      <c r="AB418" s="4" t="str">
        <f ca="1">IFERROR(__xludf.DUMMYFUNCTION("""COMPUTED_VALUE"""),"| 1 P Python % | 3 L CPT % | 4 L PHP-CGM % | 5 P CPT % ")</f>
        <v xml:space="preserve">| 1 P Python % | 3 L CPT % | 4 L PHP-CGM % | 5 P CPT % </v>
      </c>
      <c r="AC418" s="4" t="str">
        <f ca="1">IFERROR(__xludf.DUMMYFUNCTION("""COMPUTED_VALUE"""),"| 1 P PHP-CGM % | 3 L PHP-CGM % | 5 P PRO % ")</f>
        <v xml:space="preserve">| 1 P PHP-CGM % | 3 L PHP-CGM % | 5 P PRO % </v>
      </c>
      <c r="AD41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AE418" s="4" t="str">
        <f ca="1">IFERROR(__xludf.DUMMYFUNCTION("""COMPUTED_VALUE"""),"| 3 P JAVA % | 5 L JAVA % | 6 L NS % ")</f>
        <v xml:space="preserve">| 3 P JAVA % | 5 L JAVA % | 6 L NS % </v>
      </c>
      <c r="AF418" s="4" t="str">
        <f ca="1">IFERROR(__xludf.DUMMYFUNCTION("""COMPUTED_VALUE"""),"| 1 P JAVA % | 3 P Python % | 5 L NS % | 6 L CPT % ")</f>
        <v xml:space="preserve">| 1 P JAVA % | 3 P Python % | 5 L NS % | 6 L CPT % </v>
      </c>
      <c r="AG418" s="4" t="str">
        <f ca="1">IFERROR(__xludf.DUMMYFUNCTION("""COMPUTED_VALUE"""),"| 1 P Python % | 3 L CPT % | 4 L PHP-CGM % | 5 P CPT % ")</f>
        <v xml:space="preserve">| 1 P Python % | 3 L CPT % | 4 L PHP-CGM % | 5 P CPT % </v>
      </c>
      <c r="AH418" s="4" t="str">
        <f ca="1">IFERROR(__xludf.DUMMYFUNCTION("""COMPUTED_VALUE"""),"| 1 P JAVA % | 3 P Python % | 5 L NS @ | 6 L CPT @ ")</f>
        <v xml:space="preserve">| 1 P JAVA % | 3 P Python % | 5 L NS @ | 6 L CPT @ </v>
      </c>
      <c r="AI418" s="4" t="str">
        <f ca="1">IFERROR(__xludf.DUMMYFUNCTION("""COMPUTED_VALUE"""),"| 1 P Python % | 3 L CPT % | 4 L PHP-CGM % | 5 P CPT @ ")</f>
        <v xml:space="preserve">| 1 P Python % | 3 L CPT % | 4 L PHP-CGM % | 5 P CPT @ </v>
      </c>
      <c r="AJ418" s="4" t="str">
        <f ca="1">IFERROR(__xludf.DUMMYFUNCTION("""COMPUTED_VALUE"""),"| 1 P PHP-CGM % | 3 L PHP-CGM % | 4 L JAVA % | 5 P PRO % ")</f>
        <v xml:space="preserve">| 1 P PHP-CGM % | 3 L PHP-CGM % | 4 L JAVA % | 5 P PRO % </v>
      </c>
      <c r="AK41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L418" s="4" t="str">
        <f ca="1">IFERROR(__xludf.DUMMYFUNCTION("""COMPUTED_VALUE"""),"| 3 P JAVA % | 5 L JAVA % | 6 L NS % ")</f>
        <v xml:space="preserve">| 3 P JAVA % | 5 L JAVA % | 6 L NS % </v>
      </c>
      <c r="AM418" s="4" t="str">
        <f ca="1">IFERROR(__xludf.DUMMYFUNCTION("""COMPUTED_VALUE"""),"| 1 P JAVA @ | 3 P Python % | 5 L NS % | 6 L CPT @ ")</f>
        <v xml:space="preserve">| 1 P JAVA @ | 3 P Python % | 5 L NS % | 6 L CPT @ </v>
      </c>
      <c r="AN418" s="4" t="str">
        <f ca="1">IFERROR(__xludf.DUMMYFUNCTION("""COMPUTED_VALUE"""),"| 1 P Python % | 4 L PHP-CGM % | 5 P CPT % ")</f>
        <v xml:space="preserve">| 1 P Python % | 4 L PHP-CGM % | 5 P CPT % </v>
      </c>
      <c r="AO418" s="4" t="str">
        <f ca="1">IFERROR(__xludf.DUMMYFUNCTION("""COMPUTED_VALUE"""),"| 1 P PHP-CGM % | 3 L PHP-CGM % | 4 L JAVA % | 5 P PRO @ ")</f>
        <v xml:space="preserve">| 1 P PHP-CGM % | 3 L PHP-CGM % | 4 L JAVA % | 5 P PRO @ </v>
      </c>
      <c r="AP41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AQ418" s="4" t="str">
        <f ca="1">IFERROR(__xludf.DUMMYFUNCTION("""COMPUTED_VALUE"""),"| 1 L INE @ | 3 P JAVA @ | 5 L JAVA @ | 6 L NS @ ")</f>
        <v xml:space="preserve">| 1 L INE @ | 3 P JAVA @ | 5 L JAVA @ | 6 L NS @ </v>
      </c>
      <c r="AR418" s="4" t="str">
        <f ca="1">IFERROR(__xludf.DUMMYFUNCTION("""COMPUTED_VALUE"""),"| 1 P JAVA % | 3 L CPT % | 3 P Python % | 5 L NS @ | 6 L CPT @ ")</f>
        <v xml:space="preserve">| 1 P JAVA % | 3 L CPT % | 3 P Python % | 5 L NS @ | 6 L CPT @ </v>
      </c>
      <c r="AS418" s="4" t="str">
        <f ca="1">IFERROR(__xludf.DUMMYFUNCTION("""COMPUTED_VALUE"""),"| 1 P PHP-CGM % | 3 L PHP-CGM % | 4 L JAVA % | 5 P PRO % ")</f>
        <v xml:space="preserve">| 1 P PHP-CGM % | 3 L PHP-CGM % | 4 L JAVA % | 5 P PRO % </v>
      </c>
      <c r="AT418" s="4" t="str">
        <f ca="1">IFERROR(__xludf.DUMMYFUNCTION("""COMPUTED_VALUE"""),"| 1 L JAVA @ | 2 L PHP-CGM @ | 3 P NS @ | 5 L CPT @ | 6 L NS @ ")</f>
        <v xml:space="preserve">| 1 L JAVA @ | 2 L PHP-CGM @ | 3 P NS @ | 5 L CPT @ | 6 L NS @ </v>
      </c>
      <c r="AU418" s="4" t="str">
        <f ca="1">IFERROR(__xludf.DUMMYFUNCTION("""COMPUTED_VALUE"""),"| 1 L INE @ | 3 P JAVA @ | 5 L JAVA @ | 6 L NS @ ")</f>
        <v xml:space="preserve">| 1 L INE @ | 3 P JAVA @ | 5 L JAVA @ | 6 L NS @ </v>
      </c>
      <c r="AV418" s="4" t="str">
        <f ca="1">IFERROR(__xludf.DUMMYFUNCTION("""COMPUTED_VALUE"""),"| 1 P JAVA % | 3 P Python % | 5 L NS % | 6 L CPT % ")</f>
        <v xml:space="preserve">| 1 P JAVA % | 3 P Python % | 5 L NS % | 6 L CPT % </v>
      </c>
      <c r="AW418" s="4" t="str">
        <f ca="1">IFERROR(__xludf.DUMMYFUNCTION("""COMPUTED_VALUE"""),"| 1 P Python % | 3 L CPT % | 4 L PHP-CGM % | 5 P CPT % ")</f>
        <v xml:space="preserve">| 1 P Python % | 3 L CPT % | 4 L PHP-CGM % | 5 P CPT % </v>
      </c>
      <c r="AX418" s="4" t="str">
        <f ca="1">IFERROR(__xludf.DUMMYFUNCTION("""COMPUTED_VALUE"""),"| 1 P PHP-CGM % | 3 L JAVA % | 4 L PHP-CGM % | 5 P PRO % ")</f>
        <v xml:space="preserve">| 1 P PHP-CGM % | 3 L JAVA % | 4 L PHP-CGM % | 5 P PRO % </v>
      </c>
      <c r="AY418" s="4" t="str">
        <f ca="1">IFERROR(__xludf.DUMMYFUNCTION("""COMPUTED_VALUE"""),"| 2 L PHP-CGM % | 3 P NS % | 5 L CPT % | 6 L NS % | 1 L JAVA % ")</f>
        <v xml:space="preserve">| 2 L PHP-CGM % | 3 P NS % | 5 L CPT % | 6 L NS % | 1 L JAVA % </v>
      </c>
      <c r="AZ418" s="4" t="str">
        <f ca="1">IFERROR(__xludf.DUMMYFUNCTION("""COMPUTED_VALUE"""),"| 1 P JAVA % | 3 P Python % | 5 L NS @ | 6 L CPT @ ")</f>
        <v xml:space="preserve">| 1 P JAVA % | 3 P Python % | 5 L NS @ | 6 L CPT @ </v>
      </c>
      <c r="BA418" s="4" t="str">
        <f ca="1">IFERROR(__xludf.DUMMYFUNCTION("""COMPUTED_VALUE"""),"| 1 P Python @ | 3 L CPT @ | 4 L PHP-CGM @ | 5 P CPT @ ")</f>
        <v xml:space="preserve">| 1 P Python @ | 3 L CPT @ | 4 L PHP-CGM @ | 5 P CPT @ </v>
      </c>
      <c r="BB418" s="4" t="str">
        <f ca="1">IFERROR(__xludf.DUMMYFUNCTION("""COMPUTED_VALUE"""),"| 1 P PHP-CGM % | 3 L PHP-CGM % | 4 L JAVA % | 5 L PRO % ")</f>
        <v xml:space="preserve">| 1 P PHP-CGM % | 3 L PHP-CGM % | 4 L JAVA % | 5 L PRO % </v>
      </c>
      <c r="BC418" s="4" t="str">
        <f ca="1">IFERROR(__xludf.DUMMYFUNCTION("""COMPUTED_VALUE"""),"| 1 L JAVA % | 3 P NS % | 2 L PHP-CGM % | 5 L CPT % | 6 L NS % ")</f>
        <v xml:space="preserve">| 1 L JAVA % | 3 P NS % | 2 L PHP-CGM % | 5 L CPT % | 6 L NS % </v>
      </c>
      <c r="BD418" s="4" t="str">
        <f ca="1">IFERROR(__xludf.DUMMYFUNCTION("""COMPUTED_VALUE"""),"| 1 L INE @ | 3 P JAVA @ | 5 L JAVA @ | 6 L NS @ ")</f>
        <v xml:space="preserve">| 1 L INE @ | 3 P JAVA @ | 5 L JAVA @ | 6 L NS @ </v>
      </c>
      <c r="BE418" s="4" t="str">
        <f ca="1">IFERROR(__xludf.DUMMYFUNCTION("""COMPUTED_VALUE"""),"| 1 P JAVA @ | 3 P Python % | 5 L NS @ | 6 L CPT @ ")</f>
        <v xml:space="preserve">| 1 P JAVA @ | 3 P Python % | 5 L NS @ | 6 L CPT @ </v>
      </c>
      <c r="BF418" s="4" t="str">
        <f ca="1">IFERROR(__xludf.DUMMYFUNCTION("""COMPUTED_VALUE"""),"| 1 P Python @ | 3 L CPT @ | 4 L PHP-CGM @ | 5 P CPT @ ")</f>
        <v xml:space="preserve">| 1 P Python @ | 3 L CPT @ | 4 L PHP-CGM @ | 5 P CPT @ </v>
      </c>
      <c r="BG418" s="4" t="str">
        <f ca="1">IFERROR(__xludf.DUMMYFUNCTION("""COMPUTED_VALUE"""),"| 1 L JAVA % | 2 L PHP-CGM % | 3 P NS % | 5 L CPT % | 6 L NS % ")</f>
        <v xml:space="preserve">| 1 L JAVA % | 2 L PHP-CGM % | 3 P NS % | 5 L CPT % | 6 L NS % </v>
      </c>
      <c r="BH418" s="4" t="str">
        <f ca="1">IFERROR(__xludf.DUMMYFUNCTION("""COMPUTED_VALUE"""),"| 1 L INE @ | 3 P JAVA @ | 5 L JAVA @ | 6 L NS @ ")</f>
        <v xml:space="preserve">| 1 L INE @ | 3 P JAVA @ | 5 L JAVA @ | 6 L NS @ </v>
      </c>
      <c r="BI418" s="4" t="str">
        <f ca="1">IFERROR(__xludf.DUMMYFUNCTION("""COMPUTED_VALUE"""),"| 1 P JAVA % | 3 P Python % | 5 L NS % | 6 L CPT % ")</f>
        <v xml:space="preserve">| 1 P JAVA % | 3 P Python % | 5 L NS % | 6 L CPT % </v>
      </c>
      <c r="BJ418" s="4" t="str">
        <f ca="1">IFERROR(__xludf.DUMMYFUNCTION("""COMPUTED_VALUE"""),"| 1 P Python % | 3 L CPT % | 4 L PHP-CGM @ | 5 P CPT % ")</f>
        <v xml:space="preserve">| 1 P Python % | 3 L CPT % | 4 L PHP-CGM @ | 5 P CPT % </v>
      </c>
      <c r="BK418" s="4" t="str">
        <f ca="1">IFERROR(__xludf.DUMMYFUNCTION("""COMPUTED_VALUE"""),"| 1 P PHP-CGM @ | 3 L PHP-CGM @ | 4 L JAVA @ | 5 P PRO @ ")</f>
        <v xml:space="preserve">| 1 P PHP-CGM @ | 3 L PHP-CGM @ | 4 L JAVA @ | 5 P PRO @ </v>
      </c>
      <c r="BL41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BM418" s="4" t="str">
        <f ca="1">IFERROR(__xludf.DUMMYFUNCTION("""COMPUTED_VALUE"""),"| 1 L INE @ | 3 P JAVA @ | 5 L JAVA @ | 6 L NS @ ")</f>
        <v xml:space="preserve">| 1 L INE @ | 3 P JAVA @ | 5 L JAVA @ | 6 L NS @ </v>
      </c>
      <c r="BN418" s="4" t="str">
        <f ca="1">IFERROR(__xludf.DUMMYFUNCTION("""COMPUTED_VALUE"""),"| 1 P JAVA @ | 3 P Python @ | 5 L NS @ | 6 L CPT @ ")</f>
        <v xml:space="preserve">| 1 P JAVA @ | 3 P Python @ | 5 L NS @ | 6 L CPT @ </v>
      </c>
      <c r="BO418" s="4" t="str">
        <f ca="1">IFERROR(__xludf.DUMMYFUNCTION("""COMPUTED_VALUE"""),"| 1 P Python @ | 4 L PHP-CGM @ | 3 L CPT @ | 5 P CPT % ")</f>
        <v xml:space="preserve">| 1 P Python @ | 4 L PHP-CGM @ | 3 L CPT @ | 5 P CPT % </v>
      </c>
      <c r="BP418" s="4" t="str">
        <f ca="1">IFERROR(__xludf.DUMMYFUNCTION("""COMPUTED_VALUE"""),"| 1 P PHP-CGM % | 3 L PHP-CGM @ | 4 L JAVA @ | 6 P PRO @ ")</f>
        <v xml:space="preserve">| 1 P PHP-CGM % | 3 L PHP-CGM @ | 4 L JAVA @ | 6 P PRO @ </v>
      </c>
      <c r="BQ418" s="4" t="str">
        <f ca="1">IFERROR(__xludf.DUMMYFUNCTION("""COMPUTED_VALUE"""),"| 6 L NS % | 5 L JAVA % ")</f>
        <v xml:space="preserve">| 6 L NS % | 5 L JAVA % </v>
      </c>
      <c r="BR418" s="4"/>
      <c r="BS418" s="4" t="str">
        <f ca="1">IFERROR(__xludf.DUMMYFUNCTION("""COMPUTED_VALUE"""),"| 4 L PHP-CGM % ")</f>
        <v xml:space="preserve">| 4 L PHP-CGM % </v>
      </c>
      <c r="BT418" s="4" t="str">
        <f ca="1">IFERROR(__xludf.DUMMYFUNCTION("""COMPUTED_VALUE"""),"| 1 P PHP-CGM @ | 3 L PHP-CGM @ ")</f>
        <v xml:space="preserve">| 1 P PHP-CGM @ | 3 L PHP-CGM @ </v>
      </c>
      <c r="BU418" s="4" t="str">
        <f ca="1">IFERROR(__xludf.DUMMYFUNCTION("""COMPUTED_VALUE"""),"| 1 L JAVA @ | 2 L PHP-CGM @ | 3 P NS @ ")</f>
        <v xml:space="preserve">| 1 L JAVA @ | 2 L PHP-CGM @ | 3 P NS @ </v>
      </c>
      <c r="BV418" s="4" t="str">
        <f ca="1">IFERROR(__xludf.DUMMYFUNCTION("""COMPUTED_VALUE"""),"| 1 P PHP-CGM @ | 3 L PHP-CGM @ | 4 L JAVA @ | 5 P PRO @ ")</f>
        <v xml:space="preserve">| 1 P PHP-CGM @ | 3 L PHP-CGM @ | 4 L JAVA @ | 5 P PRO @ </v>
      </c>
      <c r="BW418" s="4" t="str">
        <f ca="1">IFERROR(__xludf.DUMMYFUNCTION("""COMPUTED_VALUE"""),"| 1 L JAVA @ | 2 L PHP-CGM @ | 3 P NS @ ")</f>
        <v xml:space="preserve">| 1 L JAVA @ | 2 L PHP-CGM @ | 3 P NS @ </v>
      </c>
      <c r="BX418" s="4" t="str">
        <f ca="1">IFERROR(__xludf.DUMMYFUNCTION("""COMPUTED_VALUE"""),"| 1 L INE @ | 3 P JAVA @ | 5 L JAVA @ | 6 L NS @ ")</f>
        <v xml:space="preserve">| 1 L INE @ | 3 P JAVA @ | 5 L JAVA @ | 6 L NS @ </v>
      </c>
      <c r="BY418" s="4" t="str">
        <f ca="1">IFERROR(__xludf.DUMMYFUNCTION("""COMPUTED_VALUE"""),"| 1 P JAVA @ | 3 P Python @ | 5 L NS @ | 6 L CPT @ ")</f>
        <v xml:space="preserve">| 1 P JAVA @ | 3 P Python @ | 5 L NS @ | 6 L CPT @ </v>
      </c>
      <c r="BZ418" s="4" t="str">
        <f ca="1">IFERROR(__xludf.DUMMYFUNCTION("""COMPUTED_VALUE"""),"| 1 P Python @ | 3 L CPT @ | 4 L PHP-CGM @ | 5 P CPT @ ")</f>
        <v xml:space="preserve">| 1 P Python @ | 3 L CPT @ | 4 L PHP-CGM @ | 5 P CPT @ </v>
      </c>
      <c r="CA418" s="4" t="str">
        <f ca="1">IFERROR(__xludf.DUMMYFUNCTION("""COMPUTED_VALUE"""),"| 1 P PHP-CGM @ | 3 L PHP-CGM @ | 3 L JAVA @ | 5 P PRO @ ")</f>
        <v xml:space="preserve">| 1 P PHP-CGM @ | 3 L PHP-CGM @ | 3 L JAVA @ | 5 P PRO @ </v>
      </c>
      <c r="CB418" s="4" t="str">
        <f ca="1">IFERROR(__xludf.DUMMYFUNCTION("""COMPUTED_VALUE"""),"| 1 L JAVA @ | 2 L PHP-CGM @ | 3 P NS @ | 6 L NS @ | 5 L CPT @ ")</f>
        <v xml:space="preserve">| 1 L JAVA @ | 2 L PHP-CGM @ | 3 P NS @ | 6 L NS @ | 5 L CPT @ </v>
      </c>
      <c r="CC418" s="4" t="str">
        <f ca="1">IFERROR(__xludf.DUMMYFUNCTION("""COMPUTED_VALUE"""),"| 1 L INE @ | 3 P JAVA @ | 5 L JAVA @ | 6 L NS @ ")</f>
        <v xml:space="preserve">| 1 L INE @ | 3 P JAVA @ | 5 L JAVA @ | 6 L NS @ </v>
      </c>
      <c r="CD418" s="4" t="str">
        <f ca="1">IFERROR(__xludf.DUMMYFUNCTION("""COMPUTED_VALUE"""),"| 1 P JAVA @ | 3 P Python @ | 5 L NS @ | 6 L CPT @ ")</f>
        <v xml:space="preserve">| 1 P JAVA @ | 3 P Python @ | 5 L NS @ | 6 L CPT @ </v>
      </c>
      <c r="CE418" s="4" t="str">
        <f ca="1">IFERROR(__xludf.DUMMYFUNCTION("""COMPUTED_VALUE"""),"| 1 P Python % | 3 L CPT @ | 4 L PHP-CGM @ | 5 P CPT @ ")</f>
        <v xml:space="preserve">| 1 P Python % | 3 L CPT @ | 4 L PHP-CGM @ | 5 P CPT @ </v>
      </c>
      <c r="CF418" s="4" t="str">
        <f ca="1">IFERROR(__xludf.DUMMYFUNCTION("""COMPUTED_VALUE"""),"| 1 P PHP-CGM % | 4 L JAVA @ | 3 L PHP-CGM % | 5 L PRO % ")</f>
        <v xml:space="preserve">| 1 P PHP-CGM % | 4 L JAVA @ | 3 L PHP-CGM % | 5 L PRO % </v>
      </c>
      <c r="CG418" s="4" t="str">
        <f ca="1">IFERROR(__xludf.DUMMYFUNCTION("""COMPUTED_VALUE"""),"| 1 L JAVA @ | 2 L PHP-CGM @ | 3 P NS % | 6 L NS @ ")</f>
        <v xml:space="preserve">| 1 L JAVA @ | 2 L PHP-CGM @ | 3 P NS % | 6 L NS @ </v>
      </c>
      <c r="CH418" s="4" t="str">
        <f ca="1">IFERROR(__xludf.DUMMYFUNCTION("""COMPUTED_VALUE"""),"| 1 L INE @ | 3 P JAVA % | 5 L JAVA @ | 6 L NS @ ")</f>
        <v xml:space="preserve">| 1 L INE @ | 3 P JAVA % | 5 L JAVA @ | 6 L NS @ </v>
      </c>
      <c r="CI418" s="4" t="str">
        <f ca="1">IFERROR(__xludf.DUMMYFUNCTION("""COMPUTED_VALUE"""),"| 5 L NS @ | 6 L CPT @ ")</f>
        <v xml:space="preserve">| 5 L NS @ | 6 L CPT @ </v>
      </c>
      <c r="CJ418" s="4" t="str">
        <f ca="1">IFERROR(__xludf.DUMMYFUNCTION("""COMPUTED_VALUE"""),"| 3 L CPT % | 5 P CPT % ")</f>
        <v xml:space="preserve">| 3 L CPT % | 5 P CPT % </v>
      </c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</row>
    <row r="419" spans="1:102" ht="12.5" x14ac:dyDescent="0.25">
      <c r="A419" s="3">
        <f ca="1">IFERROR(__xludf.DUMMYFUNCTION("""COMPUTED_VALUE"""),1)</f>
        <v>1</v>
      </c>
      <c r="B419" s="3" t="str">
        <f ca="1">IFERROR(__xludf.DUMMYFUNCTION("""COMPUTED_VALUE"""),"ITB")</f>
        <v>ITB</v>
      </c>
      <c r="C419" s="32" t="str">
        <f ca="1">IFERROR(__xludf.DUMMYFUNCTION("""COMPUTED_VALUE"""),"22291371094")</f>
        <v>22291371094</v>
      </c>
      <c r="D419" s="4" t="str">
        <f ca="1">IFERROR(__xludf.DUMMYFUNCTION("""COMPUTED_VALUE"""),"PATEL SHIVAM DINESHKUMAR")</f>
        <v>PATEL SHIVAM DINESHKUMAR</v>
      </c>
      <c r="E419" s="3" t="str">
        <f ca="1">IFERROR(__xludf.DUMMYFUNCTION("""COMPUTED_VALUE"""),"VSP - Eve")</f>
        <v>VSP - Eve</v>
      </c>
      <c r="F419" s="3">
        <f ca="1">IFERROR(__xludf.DUMMYFUNCTION("""COMPUTED_VALUE"""),9426148649)</f>
        <v>9426148649</v>
      </c>
      <c r="G419" s="3">
        <f ca="1">IFERROR(__xludf.DUMMYFUNCTION("""COMPUTED_VALUE"""),9898074945)</f>
        <v>9898074945</v>
      </c>
      <c r="H419" s="33">
        <f ca="1">IFERROR(__xludf.DUMMYFUNCTION("""COMPUTED_VALUE"""),0.502202643171806)</f>
        <v>0.50220264317180596</v>
      </c>
      <c r="I419" s="25">
        <f ca="1">IFERROR(__xludf.DUMMYFUNCTION("""COMPUTED_VALUE"""),0.555555555555555)</f>
        <v>0.55555555555555503</v>
      </c>
      <c r="J419" s="25">
        <f ca="1">IFERROR(__xludf.DUMMYFUNCTION("""COMPUTED_VALUE"""),0.6)</f>
        <v>0.6</v>
      </c>
      <c r="K419" s="25">
        <f ca="1">IFERROR(__xludf.DUMMYFUNCTION("""COMPUTED_VALUE"""),0.666666666666666)</f>
        <v>0.66666666666666596</v>
      </c>
      <c r="L419" s="25">
        <f ca="1">IFERROR(__xludf.DUMMYFUNCTION("""COMPUTED_VALUE"""),0.6)</f>
        <v>0.6</v>
      </c>
      <c r="M419" s="25">
        <f ca="1">IFERROR(__xludf.DUMMYFUNCTION("""COMPUTED_VALUE"""),0.5)</f>
        <v>0.5</v>
      </c>
      <c r="N419" s="25">
        <f ca="1">IFERROR(__xludf.DUMMYFUNCTION("""COMPUTED_VALUE"""),0.181818181818181)</f>
        <v>0.18181818181818099</v>
      </c>
      <c r="O419" s="25">
        <f ca="1">IFERROR(__xludf.DUMMYFUNCTION("""COMPUTED_VALUE"""),0.692307692307692)</f>
        <v>0.69230769230769196</v>
      </c>
      <c r="P419" s="25">
        <f ca="1">IFERROR(__xludf.DUMMYFUNCTION("""COMPUTED_VALUE"""),0.105263157894736)</f>
        <v>0.105263157894736</v>
      </c>
      <c r="Q419" s="25">
        <f ca="1">IFERROR(__xludf.DUMMYFUNCTION("""COMPUTED_VALUE"""),0)</f>
        <v>0</v>
      </c>
      <c r="R419" s="25">
        <f ca="1">IFERROR(__xludf.DUMMYFUNCTION("""COMPUTED_VALUE"""),0.4)</f>
        <v>0.4</v>
      </c>
      <c r="S419" s="25">
        <f ca="1">IFERROR(__xludf.DUMMYFUNCTION("""COMPUTED_VALUE"""),0)</f>
        <v>0</v>
      </c>
      <c r="T419" s="25">
        <f ca="1">IFERROR(__xludf.DUMMYFUNCTION("""COMPUTED_VALUE"""),0.444444444444444)</f>
        <v>0.44444444444444398</v>
      </c>
      <c r="U419" s="25">
        <f ca="1">IFERROR(__xludf.DUMMYFUNCTION("""COMPUTED_VALUE"""),0)</f>
        <v>0</v>
      </c>
      <c r="V419" s="25">
        <f ca="1">IFERROR(__xludf.DUMMYFUNCTION("""COMPUTED_VALUE"""),0)</f>
        <v>0</v>
      </c>
      <c r="W419" s="4"/>
      <c r="X419" s="4" t="str">
        <f ca="1">IFERROR(__xludf.DUMMYFUNCTION("""COMPUTED_VALUE"""),"| 1 P PHP-CGM % | 5 L PHP-CGM @ | 6 L NS @ | 7 P NS @ ")</f>
        <v xml:space="preserve">| 1 P PHP-CGM % | 5 L PHP-CGM @ | 6 L NS @ | 7 P NS @ </v>
      </c>
      <c r="Y419" s="4" t="str">
        <f ca="1">IFERROR(__xludf.DUMMYFUNCTION("""COMPUTED_VALUE"""),"| 5 L NS % | 6 L PHP-CGM % | 7 L JAVA % | 8 L CPT % ")</f>
        <v xml:space="preserve">| 5 L NS % | 6 L PHP-CGM % | 7 L JAVA % | 8 L CPT % </v>
      </c>
      <c r="Z419" s="4" t="str">
        <f ca="1">IFERROR(__xludf.DUMMYFUNCTION("""COMPUTED_VALUE"""),"| 5 L JAVA % | 6 L NS % | 7 P CPT % | 9 P JAVA % ")</f>
        <v xml:space="preserve">| 5 L JAVA % | 6 L NS % | 7 P CPT % | 9 P JAVA % </v>
      </c>
      <c r="AA419" s="4" t="str">
        <f ca="1">IFERROR(__xludf.DUMMYFUNCTION("""COMPUTED_VALUE"""),"| 5 L CPT % | 6 L JAVA % | 7 P Python % | 9 P PRO % ")</f>
        <v xml:space="preserve">| 5 L CPT % | 6 L JAVA % | 7 P Python % | 9 P PRO % </v>
      </c>
      <c r="AB419" s="4" t="str">
        <f ca="1">IFERROR(__xludf.DUMMYFUNCTION("""COMPUTED_VALUE"""),"| 5 L PHP-CGM @ | 6 L CPT @ | 7 P JAVA @ ")</f>
        <v xml:space="preserve">| 5 L PHP-CGM @ | 6 L CPT @ | 7 P JAVA @ </v>
      </c>
      <c r="AC419" s="4" t="str">
        <f ca="1">IFERROR(__xludf.DUMMYFUNCTION("""COMPUTED_VALUE"""),"| 5 L PHP-CGM % | 6 L NS % | 7 P NS % | 9 P PHP-CGM % ")</f>
        <v xml:space="preserve">| 5 L PHP-CGM % | 6 L NS % | 7 P NS % | 9 P PHP-CGM % </v>
      </c>
      <c r="AD419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19" s="4" t="str">
        <f ca="1">IFERROR(__xludf.DUMMYFUNCTION("""COMPUTED_VALUE"""),"| 5 L JAVA % | 6 L NS % | 7 P CPT % | 9 P JAVA % ")</f>
        <v xml:space="preserve">| 5 L JAVA % | 6 L NS % | 7 P CPT % | 9 P JAVA % </v>
      </c>
      <c r="AF419" s="4" t="str">
        <f ca="1">IFERROR(__xludf.DUMMYFUNCTION("""COMPUTED_VALUE"""),"| 5 L CPT % | 6 L JAVA % | 7 P Python @ | 9 P PRO @ ")</f>
        <v xml:space="preserve">| 5 L CPT % | 6 L JAVA % | 7 P Python @ | 9 P PRO @ </v>
      </c>
      <c r="AG419" s="4" t="str">
        <f ca="1">IFERROR(__xludf.DUMMYFUNCTION("""COMPUTED_VALUE"""),"| 5 L PHP-CGM @ | 6 L CPT @ | 7 P JAVA @ ")</f>
        <v xml:space="preserve">| 5 L PHP-CGM @ | 6 L CPT @ | 7 P JAVA @ </v>
      </c>
      <c r="AH419" s="4" t="str">
        <f ca="1">IFERROR(__xludf.DUMMYFUNCTION("""COMPUTED_VALUE"""),"| 5 L CPT % | 6 L JAVA % | 7 P Python % | 9 P PRO @ ")</f>
        <v xml:space="preserve">| 5 L CPT % | 6 L JAVA % | 7 P Python % | 9 P PRO @ </v>
      </c>
      <c r="AI419" s="4" t="str">
        <f ca="1">IFERROR(__xludf.DUMMYFUNCTION("""COMPUTED_VALUE"""),"| 5 L PHP-CGM % | 6 L CPT % | 7 P JAVA @ ")</f>
        <v xml:space="preserve">| 5 L PHP-CGM % | 6 L CPT % | 7 P JAVA @ </v>
      </c>
      <c r="AJ419" s="4" t="str">
        <f ca="1">IFERROR(__xludf.DUMMYFUNCTION("""COMPUTED_VALUE"""),"| 5 L PHP-CGM % | 6 L NS % | 7 P NS % | 9 P PHP-CGM @ ")</f>
        <v xml:space="preserve">| 5 L PHP-CGM % | 6 L NS % | 7 P NS % | 9 P PHP-CGM @ </v>
      </c>
      <c r="AK419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L419" s="4" t="str">
        <f ca="1">IFERROR(__xludf.DUMMYFUNCTION("""COMPUTED_VALUE"""),"| 5 L JAVA % | 6 L NS % | 7 P CPT % | 9 P JAVA @ ")</f>
        <v xml:space="preserve">| 5 L JAVA % | 6 L NS % | 7 P CPT % | 9 P JAVA @ </v>
      </c>
      <c r="AM419" s="4" t="str">
        <f ca="1">IFERROR(__xludf.DUMMYFUNCTION("""COMPUTED_VALUE"""),"| 5 L CPT @ | 6 L JAVA @ | 7 P Python @ | 9 P PRO @ ")</f>
        <v xml:space="preserve">| 5 L CPT @ | 6 L JAVA @ | 7 P Python @ | 9 P PRO @ </v>
      </c>
      <c r="AN419" s="4" t="str">
        <f ca="1">IFERROR(__xludf.DUMMYFUNCTION("""COMPUTED_VALUE"""),"| 5 L PHP-CGM @ | 6 L CPT @ | 7 P JAVA @ ")</f>
        <v xml:space="preserve">| 5 L PHP-CGM @ | 6 L CPT @ | 7 P JAVA @ </v>
      </c>
      <c r="AO419" s="4" t="str">
        <f ca="1">IFERROR(__xludf.DUMMYFUNCTION("""COMPUTED_VALUE"""),"| 5 L PHP-CGM @ | 6 L NS @ | 7 P NS @ | 9 P PHP-CGM @ ")</f>
        <v xml:space="preserve">| 5 L PHP-CGM @ | 6 L NS @ | 7 P NS @ | 9 P PHP-CGM @ </v>
      </c>
      <c r="AP419" s="4" t="str">
        <f ca="1">IFERROR(__xludf.DUMMYFUNCTION("""COMPUTED_VALUE"""),"| 5 L NS % | 7 L JAVA % | 8 L CPT @ ")</f>
        <v xml:space="preserve">| 5 L NS % | 7 L JAVA % | 8 L CPT @ </v>
      </c>
      <c r="AQ419" s="4" t="str">
        <f ca="1">IFERROR(__xludf.DUMMYFUNCTION("""COMPUTED_VALUE"""),"| 5 L CPT @ | 6 L NS @ | 7 P CPT @ | 9 P JAVA @ ")</f>
        <v xml:space="preserve">| 5 L CPT @ | 6 L NS @ | 7 P CPT @ | 9 P JAVA @ </v>
      </c>
      <c r="AR419" s="4" t="str">
        <f ca="1">IFERROR(__xludf.DUMMYFUNCTION("""COMPUTED_VALUE"""),"| 5 L JAVA @ | 6 L JAVA @ | 5 L CPT @ | 7 P Python @ ")</f>
        <v xml:space="preserve">| 5 L JAVA @ | 6 L JAVA @ | 5 L CPT @ | 7 P Python @ </v>
      </c>
      <c r="AS419" s="4" t="str">
        <f ca="1">IFERROR(__xludf.DUMMYFUNCTION("""COMPUTED_VALUE"""),"| 5 L PHP-CGM @ | 6 L NS @ | 9 P PHP-CGM @ ")</f>
        <v xml:space="preserve">| 5 L PHP-CGM @ | 6 L NS @ | 9 P PHP-CGM @ </v>
      </c>
      <c r="AT419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U419" s="4" t="str">
        <f ca="1">IFERROR(__xludf.DUMMYFUNCTION("""COMPUTED_VALUE"""),"| 5 L CPT % | 6 L NS % | 7 P CPT % | 9 P JAVA @ ")</f>
        <v xml:space="preserve">| 5 L CPT % | 6 L NS % | 7 P CPT % | 9 P JAVA @ </v>
      </c>
      <c r="AV419" s="4" t="str">
        <f ca="1">IFERROR(__xludf.DUMMYFUNCTION("""COMPUTED_VALUE"""),"| 5 L JAVA % | 6 L JAVA % | 7 P Python % | 9 P PRO % ")</f>
        <v xml:space="preserve">| 5 L JAVA % | 6 L JAVA % | 7 P Python % | 9 P PRO % </v>
      </c>
      <c r="AW419" s="4" t="str">
        <f ca="1">IFERROR(__xludf.DUMMYFUNCTION("""COMPUTED_VALUE"""),"| 5 L PHP-CGM % | 6 L CPT % | 7 P JAVA @ | 9 L INE @ ")</f>
        <v xml:space="preserve">| 5 L PHP-CGM % | 6 L CPT % | 7 P JAVA @ | 9 L INE @ </v>
      </c>
      <c r="AX419" s="4" t="str">
        <f ca="1">IFERROR(__xludf.DUMMYFUNCTION("""COMPUTED_VALUE"""),"| 5 L PHP-CGM % | 6 L NS % | 7 P NS % | 9 P PHP-CGM @ ")</f>
        <v xml:space="preserve">| 5 L PHP-CGM % | 6 L NS % | 7 P NS % | 9 P PHP-CGM @ </v>
      </c>
      <c r="AY419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Z419" s="4" t="str">
        <f ca="1">IFERROR(__xludf.DUMMYFUNCTION("""COMPUTED_VALUE"""),"| 5 L JAVA % | 6 L JAVA % | 7 P Python % ")</f>
        <v xml:space="preserve">| 5 L JAVA % | 6 L JAVA % | 7 P Python % </v>
      </c>
      <c r="BA419" s="4" t="str">
        <f ca="1">IFERROR(__xludf.DUMMYFUNCTION("""COMPUTED_VALUE"""),"| 5 L PHP-CGM @ | 6 L CPT @ | 7 P JAVA @ | 9 L INE @ ")</f>
        <v xml:space="preserve">| 5 L PHP-CGM @ | 6 L CPT @ | 7 P JAVA @ | 9 L INE @ </v>
      </c>
      <c r="BB419" s="4" t="str">
        <f ca="1">IFERROR(__xludf.DUMMYFUNCTION("""COMPUTED_VALUE"""),"| 5 L PHP-CGM % | 6 L NS % | 7 P NS % | 9 P PHP-CGM @ ")</f>
        <v xml:space="preserve">| 5 L PHP-CGM % | 6 L NS % | 7 P NS % | 9 P PHP-CGM @ </v>
      </c>
      <c r="BC419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D419" s="4" t="str">
        <f ca="1">IFERROR(__xludf.DUMMYFUNCTION("""COMPUTED_VALUE"""),"| 5 L CPT % | 6 L NS % | 7 P CPT % ")</f>
        <v xml:space="preserve">| 5 L CPT % | 6 L NS % | 7 P CPT % </v>
      </c>
      <c r="BE419" s="4" t="str">
        <f ca="1">IFERROR(__xludf.DUMMYFUNCTION("""COMPUTED_VALUE"""),"| 5 L JAVA % | 6 L JAVA % | 7 P Python % | 9 P PRO % ")</f>
        <v xml:space="preserve">| 5 L JAVA % | 6 L JAVA % | 7 P Python % | 9 P PRO % </v>
      </c>
      <c r="BF419" s="4" t="str">
        <f ca="1">IFERROR(__xludf.DUMMYFUNCTION("""COMPUTED_VALUE"""),"| 5 L PHP-CGM @ | 6 L CPT @ | 7 P JAVA @ ")</f>
        <v xml:space="preserve">| 5 L PHP-CGM @ | 6 L CPT @ | 7 P JAVA @ </v>
      </c>
      <c r="BG419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H419" s="4" t="str">
        <f ca="1">IFERROR(__xludf.DUMMYFUNCTION("""COMPUTED_VALUE"""),"| 5 L CPT % | 6 L NS % | 7 P CPT % | 9 P JAVA @ ")</f>
        <v xml:space="preserve">| 5 L CPT % | 6 L NS % | 7 P CPT % | 9 P JAVA @ </v>
      </c>
      <c r="BI419" s="4" t="str">
        <f ca="1">IFERROR(__xludf.DUMMYFUNCTION("""COMPUTED_VALUE"""),"| 5 L JAVA % | 6 L JAVA % | 7 P Python % | 9 P PRO @ ")</f>
        <v xml:space="preserve">| 5 L JAVA % | 6 L JAVA % | 7 P Python % | 9 P PRO @ </v>
      </c>
      <c r="BJ419" s="4" t="str">
        <f ca="1">IFERROR(__xludf.DUMMYFUNCTION("""COMPUTED_VALUE"""),"| 5 L PHP-CGM % | 6 L CPT % | 7 P JAVA @ | 9 L INE @ ")</f>
        <v xml:space="preserve">| 5 L PHP-CGM % | 6 L CPT % | 7 P JAVA @ | 9 L INE @ </v>
      </c>
      <c r="BK419" s="4" t="str">
        <f ca="1">IFERROR(__xludf.DUMMYFUNCTION("""COMPUTED_VALUE"""),"| 5 L PHP-CGM @ | 6 L NS @ | 9 P PHP-CGM @ ")</f>
        <v xml:space="preserve">| 5 L PHP-CGM @ | 6 L NS @ | 9 P PHP-CGM @ </v>
      </c>
      <c r="BL419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19" s="4" t="str">
        <f ca="1">IFERROR(__xludf.DUMMYFUNCTION("""COMPUTED_VALUE"""),"| 5 L CPT @ | 6 L NS @ | 7 P CPT @ | 9 P JAVA @ ")</f>
        <v xml:space="preserve">| 5 L CPT @ | 6 L NS @ | 7 P CPT @ | 9 P JAVA @ </v>
      </c>
      <c r="BN419" s="4" t="str">
        <f ca="1">IFERROR(__xludf.DUMMYFUNCTION("""COMPUTED_VALUE"""),"| 5 L JAVA @ | 6 L JAVA @ ")</f>
        <v xml:space="preserve">| 5 L JAVA @ | 6 L JAVA @ </v>
      </c>
      <c r="BO419" s="4" t="str">
        <f ca="1">IFERROR(__xludf.DUMMYFUNCTION("""COMPUTED_VALUE"""),"| 5 L PHP-CGM @ | 9 L INE @ | 6 L CPT @ ")</f>
        <v xml:space="preserve">| 5 L PHP-CGM @ | 9 L INE @ | 6 L CPT @ </v>
      </c>
      <c r="BP419" s="4" t="str">
        <f ca="1">IFERROR(__xludf.DUMMYFUNCTION("""COMPUTED_VALUE"""),"| 5 L PHP-CGM % | 6 L NS % | 7 P NS % | 9 P PHP-CGM @ ")</f>
        <v xml:space="preserve">| 5 L PHP-CGM % | 6 L NS % | 7 P NS % | 9 P PHP-CGM @ </v>
      </c>
      <c r="BQ419" s="4" t="str">
        <f ca="1">IFERROR(__xludf.DUMMYFUNCTION("""COMPUTED_VALUE"""),"| 5 L CPT @ ")</f>
        <v xml:space="preserve">| 5 L CPT @ </v>
      </c>
      <c r="BR419" s="4" t="str">
        <f ca="1">IFERROR(__xludf.DUMMYFUNCTION("""COMPUTED_VALUE"""),"| 5 L JAVA % | 6 L JAVA % ")</f>
        <v xml:space="preserve">| 5 L JAVA % | 6 L JAVA % </v>
      </c>
      <c r="BS419" s="4"/>
      <c r="BT419" s="4" t="str">
        <f ca="1">IFERROR(__xludf.DUMMYFUNCTION("""COMPUTED_VALUE"""),"| 7 P NS @ ")</f>
        <v xml:space="preserve">| 7 P NS @ </v>
      </c>
      <c r="BU419" s="4" t="str">
        <f ca="1">IFERROR(__xludf.DUMMYFUNCTION("""COMPUTED_VALUE"""),"| 7 L JAVA @ ")</f>
        <v xml:space="preserve">| 7 L JAVA @ </v>
      </c>
      <c r="BV419" s="4" t="str">
        <f ca="1">IFERROR(__xludf.DUMMYFUNCTION("""COMPUTED_VALUE"""),"| 5 L PHP-CGM @ | 6 L NS @ ")</f>
        <v xml:space="preserve">| 5 L PHP-CGM @ | 6 L NS @ </v>
      </c>
      <c r="BW419" s="4"/>
      <c r="BX419" s="4" t="str">
        <f ca="1">IFERROR(__xludf.DUMMYFUNCTION("""COMPUTED_VALUE"""),"| 5 L CPT % | 6 L NS % | 7 P CPT @ ")</f>
        <v xml:space="preserve">| 5 L CPT % | 6 L NS % | 7 P CPT @ </v>
      </c>
      <c r="BY419" s="4" t="str">
        <f ca="1">IFERROR(__xludf.DUMMYFUNCTION("""COMPUTED_VALUE"""),"| 5 L JAVA @ | 6 L JAVA @ | 7 P Python @ ")</f>
        <v xml:space="preserve">| 5 L JAVA @ | 6 L JAVA @ | 7 P Python @ </v>
      </c>
      <c r="BZ419" s="4" t="str">
        <f ca="1">IFERROR(__xludf.DUMMYFUNCTION("""COMPUTED_VALUE"""),"| 5 L PHP-CGM @ | 6 L CPT @ | 7 P JAVA @ ")</f>
        <v xml:space="preserve">| 5 L PHP-CGM @ | 6 L CPT @ | 7 P JAVA @ </v>
      </c>
      <c r="CA419" s="4" t="str">
        <f ca="1">IFERROR(__xludf.DUMMYFUNCTION("""COMPUTED_VALUE"""),"| 5 L PHP-CGM @ | 6 L NS @ | 7 P NS @ | 9 P PHP-CGM @ ")</f>
        <v xml:space="preserve">| 5 L PHP-CGM @ | 6 L NS @ | 7 P NS @ | 9 P PHP-CGM @ </v>
      </c>
      <c r="CB419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CC419" s="4" t="str">
        <f ca="1">IFERROR(__xludf.DUMMYFUNCTION("""COMPUTED_VALUE"""),"| 6 L NS % | 5 L CPT % | 7 P CPT @ | 9 P JAVA @ ")</f>
        <v xml:space="preserve">| 6 L NS % | 5 L CPT % | 7 P CPT @ | 9 P JAVA @ </v>
      </c>
      <c r="CD419" s="4" t="str">
        <f ca="1">IFERROR(__xludf.DUMMYFUNCTION("""COMPUTED_VALUE"""),"| 5 L JAVA @ | 6 L JAVA @ | 7 P Python @ | 9 P PRO @ ")</f>
        <v xml:space="preserve">| 5 L JAVA @ | 6 L JAVA @ | 7 P Python @ | 9 P PRO @ </v>
      </c>
      <c r="CE419" s="4" t="str">
        <f ca="1">IFERROR(__xludf.DUMMYFUNCTION("""COMPUTED_VALUE"""),"| 5 L PHP-CGM @ | 6 L CPT @ | 7 P JAVA @ | 9 L INE @ ")</f>
        <v xml:space="preserve">| 5 L PHP-CGM @ | 6 L CPT @ | 7 P JAVA @ | 9 L INE @ </v>
      </c>
      <c r="CF419" s="4" t="str">
        <f ca="1">IFERROR(__xludf.DUMMYFUNCTION("""COMPUTED_VALUE"""),"| 5 L PHP-CGM @ | 6 L NS @ | 7 P NS % | 9 P PHP-CGM @ ")</f>
        <v xml:space="preserve">| 5 L PHP-CGM @ | 6 L NS @ | 7 P NS % | 9 P PHP-CGM @ </v>
      </c>
      <c r="CG419" s="4" t="str">
        <f ca="1">IFERROR(__xludf.DUMMYFUNCTION("""COMPUTED_VALUE"""),"| 6 L PHP-CGM @ | 7 L JAVA @ | 8 L CPT % | 9 P Python % ")</f>
        <v xml:space="preserve">| 6 L PHP-CGM @ | 7 L JAVA @ | 8 L CPT % | 9 P Python % </v>
      </c>
      <c r="CH419" s="4" t="str">
        <f ca="1">IFERROR(__xludf.DUMMYFUNCTION("""COMPUTED_VALUE"""),"| 5 L CPT @ | 6 L NS @ | 9 P JAVA @ ")</f>
        <v xml:space="preserve">| 5 L CPT @ | 6 L NS @ | 9 P JAVA @ </v>
      </c>
      <c r="CI419" s="4" t="str">
        <f ca="1">IFERROR(__xludf.DUMMYFUNCTION("""COMPUTED_VALUE"""),"| 5 L JAVA % | 6 L JAVA % | 9 P PRO % ")</f>
        <v xml:space="preserve">| 5 L JAVA % | 6 L JAVA % | 9 P PRO % </v>
      </c>
      <c r="CJ419" s="4" t="str">
        <f ca="1">IFERROR(__xludf.DUMMYFUNCTION("""COMPUTED_VALUE"""),"| 5 L PHP-CGM % | 9 L INE @ ")</f>
        <v xml:space="preserve">| 5 L PHP-CGM % | 9 L INE @ </v>
      </c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</row>
    <row r="420" spans="1:102" ht="12.5" x14ac:dyDescent="0.25">
      <c r="A420" s="3">
        <f ca="1">IFERROR(__xludf.DUMMYFUNCTION("""COMPUTED_VALUE"""),1)</f>
        <v>1</v>
      </c>
      <c r="B420" s="3" t="str">
        <f ca="1">IFERROR(__xludf.DUMMYFUNCTION("""COMPUTED_VALUE"""),"ITB")</f>
        <v>ITB</v>
      </c>
      <c r="C420" s="32" t="str">
        <f ca="1">IFERROR(__xludf.DUMMYFUNCTION("""COMPUTED_VALUE"""),"22291371107")</f>
        <v>22291371107</v>
      </c>
      <c r="D420" s="4" t="str">
        <f ca="1">IFERROR(__xludf.DUMMYFUNCTION("""COMPUTED_VALUE"""),"PATEL YASHKUMAR MUKESHBHAI")</f>
        <v>PATEL YASHKUMAR MUKESHBHAI</v>
      </c>
      <c r="E420" s="3" t="str">
        <f ca="1">IFERROR(__xludf.DUMMYFUNCTION("""COMPUTED_VALUE"""),"VSP - Eve")</f>
        <v>VSP - Eve</v>
      </c>
      <c r="F420" s="3">
        <f ca="1">IFERROR(__xludf.DUMMYFUNCTION("""COMPUTED_VALUE"""),9157935391)</f>
        <v>9157935391</v>
      </c>
      <c r="G420" s="3"/>
      <c r="H420" s="33">
        <f ca="1">IFERROR(__xludf.DUMMYFUNCTION("""COMPUTED_VALUE"""),0.5)</f>
        <v>0.5</v>
      </c>
      <c r="I420" s="25">
        <f ca="1">IFERROR(__xludf.DUMMYFUNCTION("""COMPUTED_VALUE"""),0.611111111111111)</f>
        <v>0.61111111111111105</v>
      </c>
      <c r="J420" s="25">
        <f ca="1">IFERROR(__xludf.DUMMYFUNCTION("""COMPUTED_VALUE"""),0.6)</f>
        <v>0.6</v>
      </c>
      <c r="K420" s="25">
        <f ca="1">IFERROR(__xludf.DUMMYFUNCTION("""COMPUTED_VALUE"""),0.636363636363636)</f>
        <v>0.63636363636363602</v>
      </c>
      <c r="L420" s="25">
        <f ca="1">IFERROR(__xludf.DUMMYFUNCTION("""COMPUTED_VALUE"""),0.5)</f>
        <v>0.5</v>
      </c>
      <c r="M420" s="25">
        <f ca="1">IFERROR(__xludf.DUMMYFUNCTION("""COMPUTED_VALUE"""),0.470588235294117)</f>
        <v>0.47058823529411697</v>
      </c>
      <c r="N420" s="25">
        <f ca="1">IFERROR(__xludf.DUMMYFUNCTION("""COMPUTED_VALUE"""),0.1)</f>
        <v>0.1</v>
      </c>
      <c r="O420" s="25">
        <f ca="1">IFERROR(__xludf.DUMMYFUNCTION("""COMPUTED_VALUE"""),0.743589743589743)</f>
        <v>0.74358974358974295</v>
      </c>
      <c r="P420" s="25">
        <f ca="1">IFERROR(__xludf.DUMMYFUNCTION("""COMPUTED_VALUE"""),0.105263157894736)</f>
        <v>0.105263157894736</v>
      </c>
      <c r="Q420" s="25">
        <f ca="1">IFERROR(__xludf.DUMMYFUNCTION("""COMPUTED_VALUE"""),0)</f>
        <v>0</v>
      </c>
      <c r="R420" s="25">
        <f ca="1">IFERROR(__xludf.DUMMYFUNCTION("""COMPUTED_VALUE"""),0.4)</f>
        <v>0.4</v>
      </c>
      <c r="S420" s="25">
        <f ca="1">IFERROR(__xludf.DUMMYFUNCTION("""COMPUTED_VALUE"""),0)</f>
        <v>0</v>
      </c>
      <c r="T420" s="25">
        <f ca="1">IFERROR(__xludf.DUMMYFUNCTION("""COMPUTED_VALUE"""),0.333333333333333)</f>
        <v>0.33333333333333298</v>
      </c>
      <c r="U420" s="25">
        <f ca="1">IFERROR(__xludf.DUMMYFUNCTION("""COMPUTED_VALUE"""),0)</f>
        <v>0</v>
      </c>
      <c r="V420" s="25">
        <f ca="1">IFERROR(__xludf.DUMMYFUNCTION("""COMPUTED_VALUE"""),0)</f>
        <v>0</v>
      </c>
      <c r="W420" s="4"/>
      <c r="X420" s="4" t="str">
        <f ca="1">IFERROR(__xludf.DUMMYFUNCTION("""COMPUTED_VALUE"""),"| 5 L PHP-CGM @ | 6 L NS @ | 7 P NS @ ")</f>
        <v xml:space="preserve">| 5 L PHP-CGM @ | 6 L NS @ | 7 P NS @ </v>
      </c>
      <c r="Y420" s="4" t="str">
        <f ca="1">IFERROR(__xludf.DUMMYFUNCTION("""COMPUTED_VALUE"""),"| 5 L NS % | 6 L PHP-CGM % | 7 L JAVA % | 8 L CPT % ")</f>
        <v xml:space="preserve">| 5 L NS % | 6 L PHP-CGM % | 7 L JAVA % | 8 L CPT % </v>
      </c>
      <c r="Z420" s="4" t="str">
        <f ca="1">IFERROR(__xludf.DUMMYFUNCTION("""COMPUTED_VALUE"""),"| 5 L JAVA % | 6 L NS % | 7 P CPT % | 9 P JAVA % ")</f>
        <v xml:space="preserve">| 5 L JAVA % | 6 L NS % | 7 P CPT % | 9 P JAVA % </v>
      </c>
      <c r="AA420" s="4" t="str">
        <f ca="1">IFERROR(__xludf.DUMMYFUNCTION("""COMPUTED_VALUE"""),"| 5 L CPT % | 6 L JAVA % | 7 P Python % | 9 P PRO @ ")</f>
        <v xml:space="preserve">| 5 L CPT % | 6 L JAVA % | 7 P Python % | 9 P PRO @ </v>
      </c>
      <c r="AB420" s="4" t="str">
        <f ca="1">IFERROR(__xludf.DUMMYFUNCTION("""COMPUTED_VALUE"""),"| 5 L PHP-CGM % | 6 L CPT % | 7 P JAVA @ ")</f>
        <v xml:space="preserve">| 5 L PHP-CGM % | 6 L CPT % | 7 P JAVA @ </v>
      </c>
      <c r="AC420" s="4" t="str">
        <f ca="1">IFERROR(__xludf.DUMMYFUNCTION("""COMPUTED_VALUE"""),"| 5 L PHP-CGM % | 6 L NS % | 7 P NS % | 9 P PHP-CGM % ")</f>
        <v xml:space="preserve">| 5 L PHP-CGM % | 6 L NS % | 7 P NS % | 9 P PHP-CGM % </v>
      </c>
      <c r="AD420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20" s="4" t="str">
        <f ca="1">IFERROR(__xludf.DUMMYFUNCTION("""COMPUTED_VALUE"""),"| 5 L JAVA % | 6 L NS % | 7 P CPT % | 9 P JAVA % ")</f>
        <v xml:space="preserve">| 5 L JAVA % | 6 L NS % | 7 P CPT % | 9 P JAVA % </v>
      </c>
      <c r="AF420" s="4" t="str">
        <f ca="1">IFERROR(__xludf.DUMMYFUNCTION("""COMPUTED_VALUE"""),"| 5 L CPT % | 6 L JAVA % | 7 P Python @ | 9 P PRO @ ")</f>
        <v xml:space="preserve">| 5 L CPT % | 6 L JAVA % | 7 P Python @ | 9 P PRO @ </v>
      </c>
      <c r="AG420" s="4" t="str">
        <f ca="1">IFERROR(__xludf.DUMMYFUNCTION("""COMPUTED_VALUE"""),"| 5 L PHP-CGM @ | 6 L CPT @ | 7 P JAVA @ ")</f>
        <v xml:space="preserve">| 5 L PHP-CGM @ | 6 L CPT @ | 7 P JAVA @ </v>
      </c>
      <c r="AH420" s="4" t="str">
        <f ca="1">IFERROR(__xludf.DUMMYFUNCTION("""COMPUTED_VALUE"""),"| 5 L CPT % | 6 L JAVA % | 7 P Python % | 9 P PRO @ ")</f>
        <v xml:space="preserve">| 5 L CPT % | 6 L JAVA % | 7 P Python % | 9 P PRO @ </v>
      </c>
      <c r="AI420" s="4" t="str">
        <f ca="1">IFERROR(__xludf.DUMMYFUNCTION("""COMPUTED_VALUE"""),"| 5 L PHP-CGM % | 6 L CPT % | 7 P JAVA @ ")</f>
        <v xml:space="preserve">| 5 L PHP-CGM % | 6 L CPT % | 7 P JAVA @ </v>
      </c>
      <c r="AJ420" s="4" t="str">
        <f ca="1">IFERROR(__xludf.DUMMYFUNCTION("""COMPUTED_VALUE"""),"| 5 L PHP-CGM % | 6 L NS % | 7 P NS % | 9 P PHP-CGM @ ")</f>
        <v xml:space="preserve">| 5 L PHP-CGM % | 6 L NS % | 7 P NS % | 9 P PHP-CGM @ </v>
      </c>
      <c r="AK420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L420" s="4" t="str">
        <f ca="1">IFERROR(__xludf.DUMMYFUNCTION("""COMPUTED_VALUE"""),"| 5 L JAVA % | 6 L NS % | 7 P CPT % | 9 P JAVA @ ")</f>
        <v xml:space="preserve">| 5 L JAVA % | 6 L NS % | 7 P CPT % | 9 P JAVA @ </v>
      </c>
      <c r="AM420" s="4" t="str">
        <f ca="1">IFERROR(__xludf.DUMMYFUNCTION("""COMPUTED_VALUE"""),"| 5 L CPT @ | 6 L JAVA @ | 7 P Python @ | 9 P PRO @ ")</f>
        <v xml:space="preserve">| 5 L CPT @ | 6 L JAVA @ | 7 P Python @ | 9 P PRO @ </v>
      </c>
      <c r="AN420" s="4" t="str">
        <f ca="1">IFERROR(__xludf.DUMMYFUNCTION("""COMPUTED_VALUE"""),"| 5 L PHP-CGM @ | 6 L CPT @ | 7 P JAVA @ ")</f>
        <v xml:space="preserve">| 5 L PHP-CGM @ | 6 L CPT @ | 7 P JAVA @ </v>
      </c>
      <c r="AO420" s="4" t="str">
        <f ca="1">IFERROR(__xludf.DUMMYFUNCTION("""COMPUTED_VALUE"""),"| 5 L PHP-CGM @ | 6 L NS @ | 7 P NS @ | 9 P PHP-CGM @ ")</f>
        <v xml:space="preserve">| 5 L PHP-CGM @ | 6 L NS @ | 7 P NS @ | 9 P PHP-CGM @ </v>
      </c>
      <c r="AP420" s="4" t="str">
        <f ca="1">IFERROR(__xludf.DUMMYFUNCTION("""COMPUTED_VALUE"""),"| 5 L NS % | 7 L JAVA % | 8 L CPT @ ")</f>
        <v xml:space="preserve">| 5 L NS % | 7 L JAVA % | 8 L CPT @ </v>
      </c>
      <c r="AQ420" s="4" t="str">
        <f ca="1">IFERROR(__xludf.DUMMYFUNCTION("""COMPUTED_VALUE"""),"| 5 L CPT @ | 6 L NS @ | 7 P CPT @ | 9 P JAVA @ ")</f>
        <v xml:space="preserve">| 5 L CPT @ | 6 L NS @ | 7 P CPT @ | 9 P JAVA @ </v>
      </c>
      <c r="AR420" s="4" t="str">
        <f ca="1">IFERROR(__xludf.DUMMYFUNCTION("""COMPUTED_VALUE"""),"| 5 L JAVA @ | 6 L JAVA @ | 5 L CPT @ | 7 P Python @ ")</f>
        <v xml:space="preserve">| 5 L JAVA @ | 6 L JAVA @ | 5 L CPT @ | 7 P Python @ </v>
      </c>
      <c r="AS420" s="4" t="str">
        <f ca="1">IFERROR(__xludf.DUMMYFUNCTION("""COMPUTED_VALUE"""),"| 5 L PHP-CGM @ | 6 L NS @ | 9 P PHP-CGM @ ")</f>
        <v xml:space="preserve">| 5 L PHP-CGM @ | 6 L NS @ | 9 P PHP-CGM @ </v>
      </c>
      <c r="AT420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U420" s="4" t="str">
        <f ca="1">IFERROR(__xludf.DUMMYFUNCTION("""COMPUTED_VALUE"""),"| 5 L CPT % | 6 L NS % | 7 P CPT % | 9 P JAVA @ ")</f>
        <v xml:space="preserve">| 5 L CPT % | 6 L NS % | 7 P CPT % | 9 P JAVA @ </v>
      </c>
      <c r="AV420" s="4" t="str">
        <f ca="1">IFERROR(__xludf.DUMMYFUNCTION("""COMPUTED_VALUE"""),"| 5 L JAVA % | 6 L JAVA % | 7 P Python % | 9 P PRO % ")</f>
        <v xml:space="preserve">| 5 L JAVA % | 6 L JAVA % | 7 P Python % | 9 P PRO % </v>
      </c>
      <c r="AW420" s="4" t="str">
        <f ca="1">IFERROR(__xludf.DUMMYFUNCTION("""COMPUTED_VALUE"""),"| 5 L PHP-CGM % | 6 L CPT % | 7 P JAVA @ | 9 L INE @ ")</f>
        <v xml:space="preserve">| 5 L PHP-CGM % | 6 L CPT % | 7 P JAVA @ | 9 L INE @ </v>
      </c>
      <c r="AX420" s="4" t="str">
        <f ca="1">IFERROR(__xludf.DUMMYFUNCTION("""COMPUTED_VALUE"""),"| 5 L PHP-CGM % | 6 L NS % | 7 P NS % | 9 P PHP-CGM @ ")</f>
        <v xml:space="preserve">| 5 L PHP-CGM % | 6 L NS % | 7 P NS % | 9 P PHP-CGM @ </v>
      </c>
      <c r="AY420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Z420" s="4" t="str">
        <f ca="1">IFERROR(__xludf.DUMMYFUNCTION("""COMPUTED_VALUE"""),"| 5 L JAVA % | 6 L JAVA % | 7 P Python % ")</f>
        <v xml:space="preserve">| 5 L JAVA % | 6 L JAVA % | 7 P Python % </v>
      </c>
      <c r="BA420" s="4" t="str">
        <f ca="1">IFERROR(__xludf.DUMMYFUNCTION("""COMPUTED_VALUE"""),"| 5 L PHP-CGM @ | 6 L CPT @ | 7 P JAVA @ | 9 L INE @ ")</f>
        <v xml:space="preserve">| 5 L PHP-CGM @ | 6 L CPT @ | 7 P JAVA @ | 9 L INE @ </v>
      </c>
      <c r="BB420" s="4" t="str">
        <f ca="1">IFERROR(__xludf.DUMMYFUNCTION("""COMPUTED_VALUE"""),"| 5 L PHP-CGM @ | 6 L NS @ | 7 P NS % | 9 P PHP-CGM @ ")</f>
        <v xml:space="preserve">| 5 L PHP-CGM @ | 6 L NS @ | 7 P NS % | 9 P PHP-CGM @ </v>
      </c>
      <c r="BC420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D420" s="4" t="str">
        <f ca="1">IFERROR(__xludf.DUMMYFUNCTION("""COMPUTED_VALUE"""),"| 5 L CPT % | 6 L NS % | 7 P CPT % ")</f>
        <v xml:space="preserve">| 5 L CPT % | 6 L NS % | 7 P CPT % </v>
      </c>
      <c r="BE420" s="4" t="str">
        <f ca="1">IFERROR(__xludf.DUMMYFUNCTION("""COMPUTED_VALUE"""),"| 5 L JAVA % | 6 L JAVA % | 7 P Python % | 9 P PRO % ")</f>
        <v xml:space="preserve">| 5 L JAVA % | 6 L JAVA % | 7 P Python % | 9 P PRO % </v>
      </c>
      <c r="BF420" s="4" t="str">
        <f ca="1">IFERROR(__xludf.DUMMYFUNCTION("""COMPUTED_VALUE"""),"| 5 L PHP-CGM @ | 6 L CPT @ | 7 P JAVA @ ")</f>
        <v xml:space="preserve">| 5 L PHP-CGM @ | 6 L CPT @ | 7 P JAVA @ </v>
      </c>
      <c r="BG420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H420" s="4" t="str">
        <f ca="1">IFERROR(__xludf.DUMMYFUNCTION("""COMPUTED_VALUE"""),"| 5 L CPT % | 6 L NS % | 7 P CPT % | 9 P JAVA @ ")</f>
        <v xml:space="preserve">| 5 L CPT % | 6 L NS % | 7 P CPT % | 9 P JAVA @ </v>
      </c>
      <c r="BI420" s="4" t="str">
        <f ca="1">IFERROR(__xludf.DUMMYFUNCTION("""COMPUTED_VALUE"""),"| 5 L JAVA % | 6 L JAVA % | 7 P Python % | 9 P PRO @ ")</f>
        <v xml:space="preserve">| 5 L JAVA % | 6 L JAVA % | 7 P Python % | 9 P PRO @ </v>
      </c>
      <c r="BJ420" s="4" t="str">
        <f ca="1">IFERROR(__xludf.DUMMYFUNCTION("""COMPUTED_VALUE"""),"| 5 L PHP-CGM % | 6 L CPT % | 7 P JAVA @ | 9 L INE @ ")</f>
        <v xml:space="preserve">| 5 L PHP-CGM % | 6 L CPT % | 7 P JAVA @ | 9 L INE @ </v>
      </c>
      <c r="BK420" s="4" t="str">
        <f ca="1">IFERROR(__xludf.DUMMYFUNCTION("""COMPUTED_VALUE"""),"| 5 L PHP-CGM @ | 6 L NS @ | 9 P PHP-CGM @ ")</f>
        <v xml:space="preserve">| 5 L PHP-CGM @ | 6 L NS @ | 9 P PHP-CGM @ </v>
      </c>
      <c r="BL420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0" s="4" t="str">
        <f ca="1">IFERROR(__xludf.DUMMYFUNCTION("""COMPUTED_VALUE"""),"| 5 L CPT @ | 6 L NS @ | 7 P CPT @ | 9 P JAVA @ ")</f>
        <v xml:space="preserve">| 5 L CPT @ | 6 L NS @ | 7 P CPT @ | 9 P JAVA @ </v>
      </c>
      <c r="BN420" s="4" t="str">
        <f ca="1">IFERROR(__xludf.DUMMYFUNCTION("""COMPUTED_VALUE"""),"| 5 L JAVA @ | 6 L JAVA @ ")</f>
        <v xml:space="preserve">| 5 L JAVA @ | 6 L JAVA @ </v>
      </c>
      <c r="BO420" s="4" t="str">
        <f ca="1">IFERROR(__xludf.DUMMYFUNCTION("""COMPUTED_VALUE"""),"| 5 L PHP-CGM @ | 9 L INE @ | 6 L CPT @ ")</f>
        <v xml:space="preserve">| 5 L PHP-CGM @ | 9 L INE @ | 6 L CPT @ </v>
      </c>
      <c r="BP420" s="4" t="str">
        <f ca="1">IFERROR(__xludf.DUMMYFUNCTION("""COMPUTED_VALUE"""),"| 5 L PHP-CGM @ | 6 L NS @ | 7 P NS @ | 9 P PHP-CGM @ ")</f>
        <v xml:space="preserve">| 5 L PHP-CGM @ | 6 L NS @ | 7 P NS @ | 9 P PHP-CGM @ </v>
      </c>
      <c r="BQ420" s="4" t="str">
        <f ca="1">IFERROR(__xludf.DUMMYFUNCTION("""COMPUTED_VALUE"""),"| 5 L CPT @ ")</f>
        <v xml:space="preserve">| 5 L CPT @ </v>
      </c>
      <c r="BR420" s="4" t="str">
        <f ca="1">IFERROR(__xludf.DUMMYFUNCTION("""COMPUTED_VALUE"""),"| 5 L JAVA % | 6 L JAVA % ")</f>
        <v xml:space="preserve">| 5 L JAVA % | 6 L JAVA % </v>
      </c>
      <c r="BS420" s="4"/>
      <c r="BT420" s="4" t="str">
        <f ca="1">IFERROR(__xludf.DUMMYFUNCTION("""COMPUTED_VALUE"""),"| 7 P NS @ ")</f>
        <v xml:space="preserve">| 7 P NS @ </v>
      </c>
      <c r="BU420" s="4" t="str">
        <f ca="1">IFERROR(__xludf.DUMMYFUNCTION("""COMPUTED_VALUE"""),"| 7 L JAVA @ ")</f>
        <v xml:space="preserve">| 7 L JAVA @ </v>
      </c>
      <c r="BV420" s="4" t="str">
        <f ca="1">IFERROR(__xludf.DUMMYFUNCTION("""COMPUTED_VALUE"""),"| 5 L PHP-CGM @ | 6 L NS @ ")</f>
        <v xml:space="preserve">| 5 L PHP-CGM @ | 6 L NS @ </v>
      </c>
      <c r="BW420" s="4"/>
      <c r="BX420" s="4" t="str">
        <f ca="1">IFERROR(__xludf.DUMMYFUNCTION("""COMPUTED_VALUE"""),"| 5 L CPT % | 6 L NS % | 7 P CPT @ ")</f>
        <v xml:space="preserve">| 5 L CPT % | 6 L NS % | 7 P CPT @ </v>
      </c>
      <c r="BY420" s="4" t="str">
        <f ca="1">IFERROR(__xludf.DUMMYFUNCTION("""COMPUTED_VALUE"""),"| 5 L JAVA % | 6 L JAVA % | 7 P Python @ ")</f>
        <v xml:space="preserve">| 5 L JAVA % | 6 L JAVA % | 7 P Python @ </v>
      </c>
      <c r="BZ420" s="4" t="str">
        <f ca="1">IFERROR(__xludf.DUMMYFUNCTION("""COMPUTED_VALUE"""),"| 5 L PHP-CGM @ | 6 L CPT @ | 7 P JAVA @ ")</f>
        <v xml:space="preserve">| 5 L PHP-CGM @ | 6 L CPT @ | 7 P JAVA @ </v>
      </c>
      <c r="CA420" s="4" t="str">
        <f ca="1">IFERROR(__xludf.DUMMYFUNCTION("""COMPUTED_VALUE"""),"| 5 L PHP-CGM @ | 6 L NS @ | 7 P NS @ | 9 P PHP-CGM @ ")</f>
        <v xml:space="preserve">| 5 L PHP-CGM @ | 6 L NS @ | 7 P NS @ | 9 P PHP-CGM @ </v>
      </c>
      <c r="CB420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CC420" s="4" t="str">
        <f ca="1">IFERROR(__xludf.DUMMYFUNCTION("""COMPUTED_VALUE"""),"| 6 L NS % | 5 L CPT % | 7 P CPT @ | 9 P JAVA @ ")</f>
        <v xml:space="preserve">| 6 L NS % | 5 L CPT % | 7 P CPT @ | 9 P JAVA @ </v>
      </c>
      <c r="CD420" s="4" t="str">
        <f ca="1">IFERROR(__xludf.DUMMYFUNCTION("""COMPUTED_VALUE"""),"| 5 L JAVA @ | 6 L JAVA @ | 7 P Python @ | 9 P PRO @ ")</f>
        <v xml:space="preserve">| 5 L JAVA @ | 6 L JAVA @ | 7 P Python @ | 9 P PRO @ </v>
      </c>
      <c r="CE420" s="4" t="str">
        <f ca="1">IFERROR(__xludf.DUMMYFUNCTION("""COMPUTED_VALUE"""),"| 5 L PHP-CGM @ | 6 L CPT @ | 7 P JAVA @ | 9 L INE @ ")</f>
        <v xml:space="preserve">| 5 L PHP-CGM @ | 6 L CPT @ | 7 P JAVA @ | 9 L INE @ </v>
      </c>
      <c r="CF420" s="4" t="str">
        <f ca="1">IFERROR(__xludf.DUMMYFUNCTION("""COMPUTED_VALUE"""),"| 5 L PHP-CGM @ | 6 L NS @ | 7 P NS % | 9 P PHP-CGM @ ")</f>
        <v xml:space="preserve">| 5 L PHP-CGM @ | 6 L NS @ | 7 P NS % | 9 P PHP-CGM @ </v>
      </c>
      <c r="CG420" s="4" t="str">
        <f ca="1">IFERROR(__xludf.DUMMYFUNCTION("""COMPUTED_VALUE"""),"| 6 L PHP-CGM @ | 7 L JAVA @ | 8 L CPT % | 9 P Python % ")</f>
        <v xml:space="preserve">| 6 L PHP-CGM @ | 7 L JAVA @ | 8 L CPT % | 9 P Python % </v>
      </c>
      <c r="CH420" s="4" t="str">
        <f ca="1">IFERROR(__xludf.DUMMYFUNCTION("""COMPUTED_VALUE"""),"| 5 L CPT % | 6 L NS % | 9 P JAVA @ ")</f>
        <v xml:space="preserve">| 5 L CPT % | 6 L NS % | 9 P JAVA @ </v>
      </c>
      <c r="CI420" s="4" t="str">
        <f ca="1">IFERROR(__xludf.DUMMYFUNCTION("""COMPUTED_VALUE"""),"| 5 L JAVA % | 6 L JAVA % | 9 P PRO % ")</f>
        <v xml:space="preserve">| 5 L JAVA % | 6 L JAVA % | 9 P PRO % </v>
      </c>
      <c r="CJ420" s="4" t="str">
        <f ca="1">IFERROR(__xludf.DUMMYFUNCTION("""COMPUTED_VALUE"""),"| 5 L PHP-CGM % | 9 L INE @ ")</f>
        <v xml:space="preserve">| 5 L PHP-CGM % | 9 L INE @ </v>
      </c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</row>
    <row r="421" spans="1:102" ht="12.5" x14ac:dyDescent="0.25">
      <c r="A421" s="3">
        <f ca="1">IFERROR(__xludf.DUMMYFUNCTION("""COMPUTED_VALUE"""),1)</f>
        <v>1</v>
      </c>
      <c r="B421" s="3" t="str">
        <f ca="1">IFERROR(__xludf.DUMMYFUNCTION("""COMPUTED_VALUE"""),"ITB")</f>
        <v>ITB</v>
      </c>
      <c r="C421" s="32" t="str">
        <f ca="1">IFERROR(__xludf.DUMMYFUNCTION("""COMPUTED_VALUE"""),"23291371002")</f>
        <v>23291371002</v>
      </c>
      <c r="D421" s="4" t="str">
        <f ca="1">IFERROR(__xludf.DUMMYFUNCTION("""COMPUTED_VALUE"""),"BAROT HARI VIKRAMBHAI")</f>
        <v>BAROT HARI VIKRAMBHAI</v>
      </c>
      <c r="E421" s="3" t="str">
        <f ca="1">IFERROR(__xludf.DUMMYFUNCTION("""COMPUTED_VALUE"""),"VSP - Eve")</f>
        <v>VSP - Eve</v>
      </c>
      <c r="F421" s="3">
        <f ca="1">IFERROR(__xludf.DUMMYFUNCTION("""COMPUTED_VALUE"""),9428224387)</f>
        <v>9428224387</v>
      </c>
      <c r="G421" s="3">
        <f ca="1">IFERROR(__xludf.DUMMYFUNCTION("""COMPUTED_VALUE"""),9374175480)</f>
        <v>9374175480</v>
      </c>
      <c r="H421" s="33">
        <f ca="1">IFERROR(__xludf.DUMMYFUNCTION("""COMPUTED_VALUE"""),0.690265486725663)</f>
        <v>0.69026548672566301</v>
      </c>
      <c r="I421" s="25">
        <f ca="1">IFERROR(__xludf.DUMMYFUNCTION("""COMPUTED_VALUE"""),0.722222222222222)</f>
        <v>0.72222222222222199</v>
      </c>
      <c r="J421" s="25">
        <f ca="1">IFERROR(__xludf.DUMMYFUNCTION("""COMPUTED_VALUE"""),0.7)</f>
        <v>0.7</v>
      </c>
      <c r="K421" s="25">
        <f ca="1">IFERROR(__xludf.DUMMYFUNCTION("""COMPUTED_VALUE"""),0.787878787878787)</f>
        <v>0.78787878787878696</v>
      </c>
      <c r="L421" s="25">
        <f ca="1">IFERROR(__xludf.DUMMYFUNCTION("""COMPUTED_VALUE"""),0.7)</f>
        <v>0.7</v>
      </c>
      <c r="M421" s="25">
        <f ca="1">IFERROR(__xludf.DUMMYFUNCTION("""COMPUTED_VALUE"""),0.617647058823529)</f>
        <v>0.61764705882352899</v>
      </c>
      <c r="N421" s="25">
        <f ca="1">IFERROR(__xludf.DUMMYFUNCTION("""COMPUTED_VALUE"""),0.5)</f>
        <v>0.5</v>
      </c>
      <c r="O421" s="25">
        <f ca="1">IFERROR(__xludf.DUMMYFUNCTION("""COMPUTED_VALUE"""),0.82051282051282)</f>
        <v>0.82051282051282004</v>
      </c>
      <c r="P421" s="25">
        <f ca="1">IFERROR(__xludf.DUMMYFUNCTION("""COMPUTED_VALUE"""),0.473684210526315)</f>
        <v>0.47368421052631499</v>
      </c>
      <c r="Q421" s="25">
        <f ca="1">IFERROR(__xludf.DUMMYFUNCTION("""COMPUTED_VALUE"""),0)</f>
        <v>0</v>
      </c>
      <c r="R421" s="25">
        <f ca="1">IFERROR(__xludf.DUMMYFUNCTION("""COMPUTED_VALUE"""),0.85)</f>
        <v>0.85</v>
      </c>
      <c r="S421" s="25">
        <f ca="1">IFERROR(__xludf.DUMMYFUNCTION("""COMPUTED_VALUE"""),0)</f>
        <v>0</v>
      </c>
      <c r="T421" s="25">
        <f ca="1">IFERROR(__xludf.DUMMYFUNCTION("""COMPUTED_VALUE"""),0.555555555555555)</f>
        <v>0.55555555555555503</v>
      </c>
      <c r="U421" s="25">
        <f ca="1">IFERROR(__xludf.DUMMYFUNCTION("""COMPUTED_VALUE"""),0.166666666666666)</f>
        <v>0.16666666666666599</v>
      </c>
      <c r="V421" s="25">
        <f ca="1">IFERROR(__xludf.DUMMYFUNCTION("""COMPUTED_VALUE"""),0)</f>
        <v>0</v>
      </c>
      <c r="W421" s="4"/>
      <c r="X421" s="4" t="str">
        <f ca="1">IFERROR(__xludf.DUMMYFUNCTION("""COMPUTED_VALUE"""),"| 5 L PHP-CGM % | 6 L NS % | 7 P NS % ")</f>
        <v xml:space="preserve">| 5 L PHP-CGM % | 6 L NS % | 7 P NS % </v>
      </c>
      <c r="Y421" s="4" t="str">
        <f ca="1">IFERROR(__xludf.DUMMYFUNCTION("""COMPUTED_VALUE"""),"| 5 L NS % | 6 L PHP-CGM % | 7 L JAVA % | 8 L CPT % ")</f>
        <v xml:space="preserve">| 5 L NS % | 6 L PHP-CGM % | 7 L JAVA % | 8 L CPT % </v>
      </c>
      <c r="Z421" s="4" t="str">
        <f ca="1">IFERROR(__xludf.DUMMYFUNCTION("""COMPUTED_VALUE"""),"| 5 L JAVA % | 6 L NS % | 7 P CPT % | 9 P JAVA % ")</f>
        <v xml:space="preserve">| 5 L JAVA % | 6 L NS % | 7 P CPT % | 9 P JAVA % </v>
      </c>
      <c r="AA421" s="4" t="str">
        <f ca="1">IFERROR(__xludf.DUMMYFUNCTION("""COMPUTED_VALUE"""),"| 5 L CPT % | 6 L JAVA % | 7 P Python % | 9 P PRO % ")</f>
        <v xml:space="preserve">| 5 L CPT % | 6 L JAVA % | 7 P Python % | 9 P PRO % </v>
      </c>
      <c r="AB421" s="4" t="str">
        <f ca="1">IFERROR(__xludf.DUMMYFUNCTION("""COMPUTED_VALUE"""),"| 5 L PHP-CGM % | 6 L CPT % | 7 P JAVA @ ")</f>
        <v xml:space="preserve">| 5 L PHP-CGM % | 6 L CPT % | 7 P JAVA @ </v>
      </c>
      <c r="AC421" s="4" t="str">
        <f ca="1">IFERROR(__xludf.DUMMYFUNCTION("""COMPUTED_VALUE"""),"| 5 L PHP-CGM % | 6 L NS % | 7 P NS % | 9 P PHP-CGM % ")</f>
        <v xml:space="preserve">| 5 L PHP-CGM % | 6 L NS % | 7 P NS % | 9 P PHP-CGM % </v>
      </c>
      <c r="AD421" s="4" t="str">
        <f ca="1">IFERROR(__xludf.DUMMYFUNCTION("""COMPUTED_VALUE"""),"| 5 L NS @ | 7 L JAVA @ | 8 L CPT @ | 9 P Python @ | 6 L PHP-CGM @ ")</f>
        <v xml:space="preserve">| 5 L NS @ | 7 L JAVA @ | 8 L CPT @ | 9 P Python @ | 6 L PHP-CGM @ </v>
      </c>
      <c r="AE421" s="4" t="str">
        <f ca="1">IFERROR(__xludf.DUMMYFUNCTION("""COMPUTED_VALUE"""),"| 5 L JAVA % | 6 L NS % | 7 P CPT % | 9 P JAVA % ")</f>
        <v xml:space="preserve">| 5 L JAVA % | 6 L NS % | 7 P CPT % | 9 P JAVA % </v>
      </c>
      <c r="AF421" s="4" t="str">
        <f ca="1">IFERROR(__xludf.DUMMYFUNCTION("""COMPUTED_VALUE"""),"| 5 L CPT % | 6 L JAVA % | 7 P Python % | 9 P PRO % ")</f>
        <v xml:space="preserve">| 5 L CPT % | 6 L JAVA % | 7 P Python % | 9 P PRO % </v>
      </c>
      <c r="AG421" s="4" t="str">
        <f ca="1">IFERROR(__xludf.DUMMYFUNCTION("""COMPUTED_VALUE"""),"| 5 L PHP-CGM % | 6 L CPT % | 7 P JAVA % ")</f>
        <v xml:space="preserve">| 5 L PHP-CGM % | 6 L CPT % | 7 P JAVA % </v>
      </c>
      <c r="AH421" s="4" t="str">
        <f ca="1">IFERROR(__xludf.DUMMYFUNCTION("""COMPUTED_VALUE"""),"| 5 L CPT % | 6 L JAVA % | 7 P Python % | 9 P PRO % ")</f>
        <v xml:space="preserve">| 5 L CPT % | 6 L JAVA % | 7 P Python % | 9 P PRO % </v>
      </c>
      <c r="AI421" s="4" t="str">
        <f ca="1">IFERROR(__xludf.DUMMYFUNCTION("""COMPUTED_VALUE"""),"| 5 L PHP-CGM @ | 6 L CPT @ | 7 P JAVA @ ")</f>
        <v xml:space="preserve">| 5 L PHP-CGM @ | 6 L CPT @ | 7 P JAVA @ </v>
      </c>
      <c r="AJ421" s="4" t="str">
        <f ca="1">IFERROR(__xludf.DUMMYFUNCTION("""COMPUTED_VALUE"""),"| 5 L PHP-CGM % | 6 L NS % | 7 P NS % | 9 P PHP-CGM % ")</f>
        <v xml:space="preserve">| 5 L PHP-CGM % | 6 L NS % | 7 P NS % | 9 P PHP-CGM % </v>
      </c>
      <c r="AK42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21" s="4" t="str">
        <f ca="1">IFERROR(__xludf.DUMMYFUNCTION("""COMPUTED_VALUE"""),"| 5 L JAVA % | 6 L NS % | 7 P CPT % | 9 P JAVA % ")</f>
        <v xml:space="preserve">| 5 L JAVA % | 6 L NS % | 7 P CPT % | 9 P JAVA % </v>
      </c>
      <c r="AM421" s="4" t="str">
        <f ca="1">IFERROR(__xludf.DUMMYFUNCTION("""COMPUTED_VALUE"""),"| 5 L CPT % | 6 L JAVA % | 7 P Python % | 9 P PRO @ ")</f>
        <v xml:space="preserve">| 5 L CPT % | 6 L JAVA % | 7 P Python % | 9 P PRO @ </v>
      </c>
      <c r="AN421" s="4" t="str">
        <f ca="1">IFERROR(__xludf.DUMMYFUNCTION("""COMPUTED_VALUE"""),"| 5 L PHP-CGM @ | 6 L CPT % | 7 P JAVA @ ")</f>
        <v xml:space="preserve">| 5 L PHP-CGM @ | 6 L CPT % | 7 P JAVA @ </v>
      </c>
      <c r="AO421" s="4" t="str">
        <f ca="1">IFERROR(__xludf.DUMMYFUNCTION("""COMPUTED_VALUE"""),"| 5 L PHP-CGM % | 6 L NS % | 7 P NS % | 9 P PHP-CGM % ")</f>
        <v xml:space="preserve">| 5 L PHP-CGM % | 6 L NS % | 7 P NS % | 9 P PHP-CGM % </v>
      </c>
      <c r="AP421" s="4" t="str">
        <f ca="1">IFERROR(__xludf.DUMMYFUNCTION("""COMPUTED_VALUE"""),"| 5 L NS % | 7 L JAVA % | 8 L CPT % ")</f>
        <v xml:space="preserve">| 5 L NS % | 7 L JAVA % | 8 L CPT % </v>
      </c>
      <c r="AQ421" s="4" t="str">
        <f ca="1">IFERROR(__xludf.DUMMYFUNCTION("""COMPUTED_VALUE"""),"| 5 L CPT % | 6 L NS % | 7 P CPT % | 9 P JAVA % ")</f>
        <v xml:space="preserve">| 5 L CPT % | 6 L NS % | 7 P CPT % | 9 P JAVA % </v>
      </c>
      <c r="AR421" s="4" t="str">
        <f ca="1">IFERROR(__xludf.DUMMYFUNCTION("""COMPUTED_VALUE"""),"| 5 L JAVA % | 6 L JAVA % | 5 L CPT @ | 7 P Python % ")</f>
        <v xml:space="preserve">| 5 L JAVA % | 6 L JAVA % | 5 L CPT @ | 7 P Python % </v>
      </c>
      <c r="AS421" s="4" t="str">
        <f ca="1">IFERROR(__xludf.DUMMYFUNCTION("""COMPUTED_VALUE"""),"| 5 L PHP-CGM % | 6 L NS % | 9 P PHP-CGM @ ")</f>
        <v xml:space="preserve">| 5 L PHP-CGM % | 6 L NS % | 9 P PHP-CGM @ </v>
      </c>
      <c r="AT42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21" s="4" t="str">
        <f ca="1">IFERROR(__xludf.DUMMYFUNCTION("""COMPUTED_VALUE"""),"| 5 L CPT @ | 6 L NS % | 7 P CPT @ | 9 P JAVA @ ")</f>
        <v xml:space="preserve">| 5 L CPT @ | 6 L NS % | 7 P CPT @ | 9 P JAVA @ </v>
      </c>
      <c r="AV421" s="4" t="str">
        <f ca="1">IFERROR(__xludf.DUMMYFUNCTION("""COMPUTED_VALUE"""),"| 5 L JAVA % | 6 L JAVA % | 7 P Python % | 9 P PRO % ")</f>
        <v xml:space="preserve">| 5 L JAVA % | 6 L JAVA % | 7 P Python % | 9 P PRO % </v>
      </c>
      <c r="AW421" s="4" t="str">
        <f ca="1">IFERROR(__xludf.DUMMYFUNCTION("""COMPUTED_VALUE"""),"| 5 L PHP-CGM % | 6 L CPT % | 7 P JAVA % | 9 L INE % ")</f>
        <v xml:space="preserve">| 5 L PHP-CGM % | 6 L CPT % | 7 P JAVA % | 9 L INE % </v>
      </c>
      <c r="AX421" s="4" t="str">
        <f ca="1">IFERROR(__xludf.DUMMYFUNCTION("""COMPUTED_VALUE"""),"| 5 L PHP-CGM @ | 6 L NS @ | 7 P NS @ | 9 P PHP-CGM @ ")</f>
        <v xml:space="preserve">| 5 L PHP-CGM @ | 6 L NS @ | 7 P NS @ | 9 P PHP-CGM @ </v>
      </c>
      <c r="AY42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21" s="4" t="str">
        <f ca="1">IFERROR(__xludf.DUMMYFUNCTION("""COMPUTED_VALUE"""),"| 5 L JAVA @ | 6 L JAVA @ | 7 P Python % ")</f>
        <v xml:space="preserve">| 5 L JAVA @ | 6 L JAVA @ | 7 P Python % </v>
      </c>
      <c r="BA421" s="4" t="str">
        <f ca="1">IFERROR(__xludf.DUMMYFUNCTION("""COMPUTED_VALUE"""),"| 5 L PHP-CGM % | 6 L CPT % | 7 P JAVA @ | 9 L INE @ ")</f>
        <v xml:space="preserve">| 5 L PHP-CGM % | 6 L CPT % | 7 P JAVA @ | 9 L INE @ </v>
      </c>
      <c r="BB421" s="4" t="str">
        <f ca="1">IFERROR(__xludf.DUMMYFUNCTION("""COMPUTED_VALUE"""),"| 5 L PHP-CGM % | 6 L NS % | 7 P NS % | 9 P PHP-CGM % ")</f>
        <v xml:space="preserve">| 5 L PHP-CGM % | 6 L NS % | 7 P NS % | 9 P PHP-CGM % </v>
      </c>
      <c r="BC42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D421" s="4" t="str">
        <f ca="1">IFERROR(__xludf.DUMMYFUNCTION("""COMPUTED_VALUE"""),"| 5 L CPT % | 6 L NS % | 7 P CPT % ")</f>
        <v xml:space="preserve">| 5 L CPT % | 6 L NS % | 7 P CPT % </v>
      </c>
      <c r="BE421" s="4" t="str">
        <f ca="1">IFERROR(__xludf.DUMMYFUNCTION("""COMPUTED_VALUE"""),"| 5 L JAVA % | 6 L JAVA % | 7 P Python % | 9 P PRO % ")</f>
        <v xml:space="preserve">| 5 L JAVA % | 6 L JAVA % | 7 P Python % | 9 P PRO % </v>
      </c>
      <c r="BF421" s="4" t="str">
        <f ca="1">IFERROR(__xludf.DUMMYFUNCTION("""COMPUTED_VALUE"""),"| 5 L PHP-CGM @ | 6 L CPT @ | 7 P JAVA @ ")</f>
        <v xml:space="preserve">| 5 L PHP-CGM @ | 6 L CPT @ | 7 P JAVA @ </v>
      </c>
      <c r="BG421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H421" s="4" t="str">
        <f ca="1">IFERROR(__xludf.DUMMYFUNCTION("""COMPUTED_VALUE"""),"| 5 L CPT % | 6 L NS % | 7 P CPT % | 9 P JAVA @ ")</f>
        <v xml:space="preserve">| 5 L CPT % | 6 L NS % | 7 P CPT % | 9 P JAVA @ </v>
      </c>
      <c r="BI421" s="4" t="str">
        <f ca="1">IFERROR(__xludf.DUMMYFUNCTION("""COMPUTED_VALUE"""),"| 5 L JAVA % | 6 L JAVA % | 7 P Python % | 9 P PRO @ ")</f>
        <v xml:space="preserve">| 5 L JAVA % | 6 L JAVA % | 7 P Python % | 9 P PRO @ </v>
      </c>
      <c r="BJ421" s="4" t="str">
        <f ca="1">IFERROR(__xludf.DUMMYFUNCTION("""COMPUTED_VALUE"""),"| 5 L PHP-CGM @ | 6 L CPT @ | 7 P JAVA @ | 9 L INE @ ")</f>
        <v xml:space="preserve">| 5 L PHP-CGM @ | 6 L CPT @ | 7 P JAVA @ | 9 L INE @ </v>
      </c>
      <c r="BK421" s="4" t="str">
        <f ca="1">IFERROR(__xludf.DUMMYFUNCTION("""COMPUTED_VALUE"""),"| 5 L PHP-CGM @ | 6 L NS @ | 9 P PHP-CGM @ ")</f>
        <v xml:space="preserve">| 5 L PHP-CGM @ | 6 L NS @ | 9 P PHP-CGM @ </v>
      </c>
      <c r="BL421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1" s="4" t="str">
        <f ca="1">IFERROR(__xludf.DUMMYFUNCTION("""COMPUTED_VALUE"""),"| 5 L CPT % | 6 L NS % | 7 P CPT % | 9 P JAVA @ ")</f>
        <v xml:space="preserve">| 5 L CPT % | 6 L NS % | 7 P CPT % | 9 P JAVA @ </v>
      </c>
      <c r="BN421" s="4" t="str">
        <f ca="1">IFERROR(__xludf.DUMMYFUNCTION("""COMPUTED_VALUE"""),"| 5 L JAVA % | 6 L JAVA % ")</f>
        <v xml:space="preserve">| 5 L JAVA % | 6 L JAVA % </v>
      </c>
      <c r="BO421" s="4" t="str">
        <f ca="1">IFERROR(__xludf.DUMMYFUNCTION("""COMPUTED_VALUE"""),"| 5 L PHP-CGM @ | 9 L INE @ | 6 L CPT @ ")</f>
        <v xml:space="preserve">| 5 L PHP-CGM @ | 9 L INE @ | 6 L CPT @ </v>
      </c>
      <c r="BP421" s="4" t="str">
        <f ca="1">IFERROR(__xludf.DUMMYFUNCTION("""COMPUTED_VALUE"""),"| 5 L PHP-CGM @ | 6 L NS @ | 7 P NS @ | 9 P PHP-CGM @ ")</f>
        <v xml:space="preserve">| 5 L PHP-CGM @ | 6 L NS @ | 7 P NS @ | 9 P PHP-CGM @ </v>
      </c>
      <c r="BQ421" s="4" t="str">
        <f ca="1">IFERROR(__xludf.DUMMYFUNCTION("""COMPUTED_VALUE"""),"| 5 L CPT @ ")</f>
        <v xml:space="preserve">| 5 L CPT @ </v>
      </c>
      <c r="BR421" s="4" t="str">
        <f ca="1">IFERROR(__xludf.DUMMYFUNCTION("""COMPUTED_VALUE"""),"| 5 L JAVA % | 6 L JAVA % ")</f>
        <v xml:space="preserve">| 5 L JAVA % | 6 L JAVA % </v>
      </c>
      <c r="BS421" s="4"/>
      <c r="BT421" s="4" t="str">
        <f ca="1">IFERROR(__xludf.DUMMYFUNCTION("""COMPUTED_VALUE"""),"| 7 P NS @ ")</f>
        <v xml:space="preserve">| 7 P NS @ </v>
      </c>
      <c r="BU421" s="4" t="str">
        <f ca="1">IFERROR(__xludf.DUMMYFUNCTION("""COMPUTED_VALUE"""),"| 7 L JAVA @ ")</f>
        <v xml:space="preserve">| 7 L JAVA @ </v>
      </c>
      <c r="BV421" s="4" t="str">
        <f ca="1">IFERROR(__xludf.DUMMYFUNCTION("""COMPUTED_VALUE"""),"| 5 L PHP-CGM @ | 6 L NS @ ")</f>
        <v xml:space="preserve">| 5 L PHP-CGM @ | 6 L NS @ </v>
      </c>
      <c r="BW421" s="4"/>
      <c r="BX421" s="4" t="str">
        <f ca="1">IFERROR(__xludf.DUMMYFUNCTION("""COMPUTED_VALUE"""),"| 5 L CPT @ | 6 L NS @ | 7 P CPT @ ")</f>
        <v xml:space="preserve">| 5 L CPT @ | 6 L NS @ | 7 P CPT @ </v>
      </c>
      <c r="BY421" s="4" t="str">
        <f ca="1">IFERROR(__xludf.DUMMYFUNCTION("""COMPUTED_VALUE"""),"| 5 L JAVA % | 6 L JAVA % | 7 P Python % ")</f>
        <v xml:space="preserve">| 5 L JAVA % | 6 L JAVA % | 7 P Python % </v>
      </c>
      <c r="BZ421" s="4" t="str">
        <f ca="1">IFERROR(__xludf.DUMMYFUNCTION("""COMPUTED_VALUE"""),"| 5 L PHP-CGM % | 6 L CPT % | 7 P JAVA % ")</f>
        <v xml:space="preserve">| 5 L PHP-CGM % | 6 L CPT % | 7 P JAVA % </v>
      </c>
      <c r="CA421" s="4" t="str">
        <f ca="1">IFERROR(__xludf.DUMMYFUNCTION("""COMPUTED_VALUE"""),"| 5 L PHP-CGM % | 6 L NS % | 7 P NS % | 9 P PHP-CGM % ")</f>
        <v xml:space="preserve">| 5 L PHP-CGM % | 6 L NS % | 7 P NS % | 9 P PHP-CGM % </v>
      </c>
      <c r="CB42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CC421" s="4" t="str">
        <f ca="1">IFERROR(__xludf.DUMMYFUNCTION("""COMPUTED_VALUE"""),"| 6 L NS % | 5 L CPT % | 7 P CPT @ | 9 P JAVA % ")</f>
        <v xml:space="preserve">| 6 L NS % | 5 L CPT % | 7 P CPT @ | 9 P JAVA % </v>
      </c>
      <c r="CD421" s="4" t="str">
        <f ca="1">IFERROR(__xludf.DUMMYFUNCTION("""COMPUTED_VALUE"""),"| 5 L JAVA @ | 6 L JAVA @ | 7 P Python % | 9 P PRO @ ")</f>
        <v xml:space="preserve">| 5 L JAVA @ | 6 L JAVA @ | 7 P Python % | 9 P PRO @ </v>
      </c>
      <c r="CE421" s="4" t="str">
        <f ca="1">IFERROR(__xludf.DUMMYFUNCTION("""COMPUTED_VALUE"""),"| 5 L PHP-CGM @ | 6 L CPT % | 7 P JAVA @ | 9 L INE @ ")</f>
        <v xml:space="preserve">| 5 L PHP-CGM @ | 6 L CPT % | 7 P JAVA @ | 9 L INE @ </v>
      </c>
      <c r="CF421" s="4" t="str">
        <f ca="1">IFERROR(__xludf.DUMMYFUNCTION("""COMPUTED_VALUE"""),"| 5 L PHP-CGM % | 6 L NS % | 7 P NS % | 9 P PHP-CGM @ ")</f>
        <v xml:space="preserve">| 5 L PHP-CGM % | 6 L NS % | 7 P NS % | 9 P PHP-CGM @ </v>
      </c>
      <c r="CG421" s="4" t="str">
        <f ca="1">IFERROR(__xludf.DUMMYFUNCTION("""COMPUTED_VALUE"""),"| 6 L PHP-CGM % | 7 L JAVA % | 8 L CPT % | 9 P Python % ")</f>
        <v xml:space="preserve">| 6 L PHP-CGM % | 7 L JAVA % | 8 L CPT % | 9 P Python % </v>
      </c>
      <c r="CH421" s="4" t="str">
        <f ca="1">IFERROR(__xludf.DUMMYFUNCTION("""COMPUTED_VALUE"""),"| 5 L CPT % | 6 L NS % | 9 P JAVA % ")</f>
        <v xml:space="preserve">| 5 L CPT % | 6 L NS % | 9 P JAVA % </v>
      </c>
      <c r="CI421" s="4" t="str">
        <f ca="1">IFERROR(__xludf.DUMMYFUNCTION("""COMPUTED_VALUE"""),"| 5 L JAVA % | 6 L JAVA % | 9 P PRO @ ")</f>
        <v xml:space="preserve">| 5 L JAVA % | 6 L JAVA % | 9 P PRO @ </v>
      </c>
      <c r="CJ421" s="4" t="str">
        <f ca="1">IFERROR(__xludf.DUMMYFUNCTION("""COMPUTED_VALUE"""),"| 5 L PHP-CGM @ | 9 L INE @ ")</f>
        <v xml:space="preserve">| 5 L PHP-CGM @ | 9 L INE @ </v>
      </c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</row>
    <row r="422" spans="1:102" ht="12.5" x14ac:dyDescent="0.25">
      <c r="A422" s="3">
        <f ca="1">IFERROR(__xludf.DUMMYFUNCTION("""COMPUTED_VALUE"""),1)</f>
        <v>1</v>
      </c>
      <c r="B422" s="3" t="str">
        <f ca="1">IFERROR(__xludf.DUMMYFUNCTION("""COMPUTED_VALUE"""),"ITB")</f>
        <v>ITB</v>
      </c>
      <c r="C422" s="32" t="str">
        <f ca="1">IFERROR(__xludf.DUMMYFUNCTION("""COMPUTED_VALUE"""),"23291371003")</f>
        <v>23291371003</v>
      </c>
      <c r="D422" s="4" t="str">
        <f ca="1">IFERROR(__xludf.DUMMYFUNCTION("""COMPUTED_VALUE"""),"BAROT SHUBHAM JAYESHKUMAR")</f>
        <v>BAROT SHUBHAM JAYESHKUMAR</v>
      </c>
      <c r="E422" s="3" t="str">
        <f ca="1">IFERROR(__xludf.DUMMYFUNCTION("""COMPUTED_VALUE"""),"VSP - Eve")</f>
        <v>VSP - Eve</v>
      </c>
      <c r="F422" s="3">
        <f ca="1">IFERROR(__xludf.DUMMYFUNCTION("""COMPUTED_VALUE"""),8866820647)</f>
        <v>8866820647</v>
      </c>
      <c r="G422" s="3">
        <f ca="1">IFERROR(__xludf.DUMMYFUNCTION("""COMPUTED_VALUE"""),9023056606)</f>
        <v>9023056606</v>
      </c>
      <c r="H422" s="33">
        <f ca="1">IFERROR(__xludf.DUMMYFUNCTION("""COMPUTED_VALUE"""),0.460176991150442)</f>
        <v>0.46017699115044203</v>
      </c>
      <c r="I422" s="25">
        <f ca="1">IFERROR(__xludf.DUMMYFUNCTION("""COMPUTED_VALUE"""),0.527777777777777)</f>
        <v>0.52777777777777701</v>
      </c>
      <c r="J422" s="25">
        <f ca="1">IFERROR(__xludf.DUMMYFUNCTION("""COMPUTED_VALUE"""),0.5)</f>
        <v>0.5</v>
      </c>
      <c r="K422" s="25">
        <f ca="1">IFERROR(__xludf.DUMMYFUNCTION("""COMPUTED_VALUE"""),0.515151515151515)</f>
        <v>0.51515151515151503</v>
      </c>
      <c r="L422" s="25">
        <f ca="1">IFERROR(__xludf.DUMMYFUNCTION("""COMPUTED_VALUE"""),0.6)</f>
        <v>0.6</v>
      </c>
      <c r="M422" s="25">
        <f ca="1">IFERROR(__xludf.DUMMYFUNCTION("""COMPUTED_VALUE"""),0.5)</f>
        <v>0.5</v>
      </c>
      <c r="N422" s="25">
        <f ca="1">IFERROR(__xludf.DUMMYFUNCTION("""COMPUTED_VALUE"""),0.3)</f>
        <v>0.3</v>
      </c>
      <c r="O422" s="25">
        <f ca="1">IFERROR(__xludf.DUMMYFUNCTION("""COMPUTED_VALUE"""),0.487179487179487)</f>
        <v>0.487179487179487</v>
      </c>
      <c r="P422" s="25">
        <f ca="1">IFERROR(__xludf.DUMMYFUNCTION("""COMPUTED_VALUE"""),0.31578947368421)</f>
        <v>0.31578947368421001</v>
      </c>
      <c r="Q422" s="25">
        <f ca="1">IFERROR(__xludf.DUMMYFUNCTION("""COMPUTED_VALUE"""),0)</f>
        <v>0</v>
      </c>
      <c r="R422" s="25">
        <f ca="1">IFERROR(__xludf.DUMMYFUNCTION("""COMPUTED_VALUE"""),0.4)</f>
        <v>0.4</v>
      </c>
      <c r="S422" s="25">
        <f ca="1">IFERROR(__xludf.DUMMYFUNCTION("""COMPUTED_VALUE"""),0)</f>
        <v>0</v>
      </c>
      <c r="T422" s="25">
        <f ca="1">IFERROR(__xludf.DUMMYFUNCTION("""COMPUTED_VALUE"""),0.444444444444444)</f>
        <v>0.44444444444444398</v>
      </c>
      <c r="U422" s="25">
        <f ca="1">IFERROR(__xludf.DUMMYFUNCTION("""COMPUTED_VALUE"""),0)</f>
        <v>0</v>
      </c>
      <c r="V422" s="25">
        <f ca="1">IFERROR(__xludf.DUMMYFUNCTION("""COMPUTED_VALUE"""),0)</f>
        <v>0</v>
      </c>
      <c r="W422" s="4"/>
      <c r="X422" s="4" t="str">
        <f ca="1">IFERROR(__xludf.DUMMYFUNCTION("""COMPUTED_VALUE"""),"| 5 L PHP-CGM @ | 6 L NS @ | 7 P NS @ ")</f>
        <v xml:space="preserve">| 5 L PHP-CGM @ | 6 L NS @ | 7 P NS @ </v>
      </c>
      <c r="Y422" s="4" t="str">
        <f ca="1">IFERROR(__xludf.DUMMYFUNCTION("""COMPUTED_VALUE"""),"| 5 L NS % | 6 L PHP-CGM % | 7 L JAVA % | 8 L CPT % ")</f>
        <v xml:space="preserve">| 5 L NS % | 6 L PHP-CGM % | 7 L JAVA % | 8 L CPT % </v>
      </c>
      <c r="Z422" s="4" t="str">
        <f ca="1">IFERROR(__xludf.DUMMYFUNCTION("""COMPUTED_VALUE"""),"| 5 L JAVA % | 6 L NS % | 7 P CPT % | 9 P JAVA @ ")</f>
        <v xml:space="preserve">| 5 L JAVA % | 6 L NS % | 7 P CPT % | 9 P JAVA @ </v>
      </c>
      <c r="AA422" s="4" t="str">
        <f ca="1">IFERROR(__xludf.DUMMYFUNCTION("""COMPUTED_VALUE"""),"| 5 L CPT @ | 6 L JAVA @ | 7 P Python @ | 9 P PRO @ ")</f>
        <v xml:space="preserve">| 5 L CPT @ | 6 L JAVA @ | 7 P Python @ | 9 P PRO @ </v>
      </c>
      <c r="AB422" s="4" t="str">
        <f ca="1">IFERROR(__xludf.DUMMYFUNCTION("""COMPUTED_VALUE"""),"| 5 L PHP-CGM % | 6 L CPT % | 7 P JAVA % ")</f>
        <v xml:space="preserve">| 5 L PHP-CGM % | 6 L CPT % | 7 P JAVA % </v>
      </c>
      <c r="AC422" s="4" t="str">
        <f ca="1">IFERROR(__xludf.DUMMYFUNCTION("""COMPUTED_VALUE"""),"| 5 L PHP-CGM % | 6 L NS % | 7 P NS % | 9 P PHP-CGM @ ")</f>
        <v xml:space="preserve">| 5 L PHP-CGM % | 6 L NS % | 7 P NS % | 9 P PHP-CGM @ </v>
      </c>
      <c r="AD422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22" s="4" t="str">
        <f ca="1">IFERROR(__xludf.DUMMYFUNCTION("""COMPUTED_VALUE"""),"| 5 L JAVA % | 6 L NS % | 7 P CPT % | 9 P JAVA % ")</f>
        <v xml:space="preserve">| 5 L JAVA % | 6 L NS % | 7 P CPT % | 9 P JAVA % </v>
      </c>
      <c r="AF422" s="4" t="str">
        <f ca="1">IFERROR(__xludf.DUMMYFUNCTION("""COMPUTED_VALUE"""),"| 5 L CPT % | 6 L JAVA % | 7 P Python % | 9 P PRO % ")</f>
        <v xml:space="preserve">| 5 L CPT % | 6 L JAVA % | 7 P Python % | 9 P PRO % </v>
      </c>
      <c r="AG422" s="4" t="str">
        <f ca="1">IFERROR(__xludf.DUMMYFUNCTION("""COMPUTED_VALUE"""),"| 5 L PHP-CGM % | 6 L CPT % | 7 P JAVA % ")</f>
        <v xml:space="preserve">| 5 L PHP-CGM % | 6 L CPT % | 7 P JAVA % </v>
      </c>
      <c r="AH422" s="4" t="str">
        <f ca="1">IFERROR(__xludf.DUMMYFUNCTION("""COMPUTED_VALUE"""),"| 5 L CPT % | 6 L JAVA % | 7 P Python % | 9 P PRO % ")</f>
        <v xml:space="preserve">| 5 L CPT % | 6 L JAVA % | 7 P Python % | 9 P PRO % </v>
      </c>
      <c r="AI422" s="4" t="str">
        <f ca="1">IFERROR(__xludf.DUMMYFUNCTION("""COMPUTED_VALUE"""),"| 5 L PHP-CGM % | 6 L CPT % | 7 P JAVA % ")</f>
        <v xml:space="preserve">| 5 L PHP-CGM % | 6 L CPT % | 7 P JAVA % </v>
      </c>
      <c r="AJ422" s="4" t="str">
        <f ca="1">IFERROR(__xludf.DUMMYFUNCTION("""COMPUTED_VALUE"""),"| 5 L PHP-CGM % | 6 L NS % | 7 P NS % | 9 P PHP-CGM % ")</f>
        <v xml:space="preserve">| 5 L PHP-CGM % | 6 L NS % | 7 P NS % | 9 P PHP-CGM % </v>
      </c>
      <c r="AK422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L422" s="4" t="str">
        <f ca="1">IFERROR(__xludf.DUMMYFUNCTION("""COMPUTED_VALUE"""),"| 5 L JAVA @ | 6 L NS @ | 7 P CPT @ | 9 P JAVA @ ")</f>
        <v xml:space="preserve">| 5 L JAVA @ | 6 L NS @ | 7 P CPT @ | 9 P JAVA @ </v>
      </c>
      <c r="AM422" s="4" t="str">
        <f ca="1">IFERROR(__xludf.DUMMYFUNCTION("""COMPUTED_VALUE"""),"| 5 L CPT @ | 6 L JAVA @ | 7 P Python % | 9 P PRO % ")</f>
        <v xml:space="preserve">| 5 L CPT @ | 6 L JAVA @ | 7 P Python % | 9 P PRO % </v>
      </c>
      <c r="AN422" s="4" t="str">
        <f ca="1">IFERROR(__xludf.DUMMYFUNCTION("""COMPUTED_VALUE"""),"| 5 L PHP-CGM @ | 6 L CPT @ | 7 P JAVA @ ")</f>
        <v xml:space="preserve">| 5 L PHP-CGM @ | 6 L CPT @ | 7 P JAVA @ </v>
      </c>
      <c r="AO422" s="4" t="str">
        <f ca="1">IFERROR(__xludf.DUMMYFUNCTION("""COMPUTED_VALUE"""),"| 5 L PHP-CGM @ | 6 L NS @ | 7 P NS @ | 9 P PHP-CGM @ ")</f>
        <v xml:space="preserve">| 5 L PHP-CGM @ | 6 L NS @ | 7 P NS @ | 9 P PHP-CGM @ </v>
      </c>
      <c r="AP422" s="4" t="str">
        <f ca="1">IFERROR(__xludf.DUMMYFUNCTION("""COMPUTED_VALUE"""),"| 5 L NS @ | 7 L JAVA @ | 8 L CPT @ ")</f>
        <v xml:space="preserve">| 5 L NS @ | 7 L JAVA @ | 8 L CPT @ </v>
      </c>
      <c r="AQ422" s="4" t="str">
        <f ca="1">IFERROR(__xludf.DUMMYFUNCTION("""COMPUTED_VALUE"""),"| 5 L CPT % | 6 L NS % | 7 P CPT % | 9 P JAVA @ ")</f>
        <v xml:space="preserve">| 5 L CPT % | 6 L NS % | 7 P CPT % | 9 P JAVA @ </v>
      </c>
      <c r="AR422" s="4" t="str">
        <f ca="1">IFERROR(__xludf.DUMMYFUNCTION("""COMPUTED_VALUE"""),"| 5 L JAVA @ | 6 L JAVA @ | 5 L CPT @ | 7 P Python @ ")</f>
        <v xml:space="preserve">| 5 L JAVA @ | 6 L JAVA @ | 5 L CPT @ | 7 P Python @ </v>
      </c>
      <c r="AS422" s="4" t="str">
        <f ca="1">IFERROR(__xludf.DUMMYFUNCTION("""COMPUTED_VALUE"""),"| 5 L PHP-CGM @ | 6 L NS @ | 9 P PHP-CGM @ ")</f>
        <v xml:space="preserve">| 5 L PHP-CGM @ | 6 L NS @ | 9 P PHP-CGM @ </v>
      </c>
      <c r="AT422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22" s="4" t="str">
        <f ca="1">IFERROR(__xludf.DUMMYFUNCTION("""COMPUTED_VALUE"""),"| 5 L CPT % | 6 L NS % | 7 P CPT % | 9 P JAVA @ ")</f>
        <v xml:space="preserve">| 5 L CPT % | 6 L NS % | 7 P CPT % | 9 P JAVA @ </v>
      </c>
      <c r="AV422" s="4" t="str">
        <f ca="1">IFERROR(__xludf.DUMMYFUNCTION("""COMPUTED_VALUE"""),"| 5 L JAVA % | 6 L JAVA % | 7 P Python % | 9 P PRO % ")</f>
        <v xml:space="preserve">| 5 L JAVA % | 6 L JAVA % | 7 P Python % | 9 P PRO % </v>
      </c>
      <c r="AW422" s="4" t="str">
        <f ca="1">IFERROR(__xludf.DUMMYFUNCTION("""COMPUTED_VALUE"""),"| 5 L PHP-CGM @ | 6 L CPT % | 7 P JAVA % | 9 L INE @ ")</f>
        <v xml:space="preserve">| 5 L PHP-CGM @ | 6 L CPT % | 7 P JAVA % | 9 L INE @ </v>
      </c>
      <c r="AX422" s="4" t="str">
        <f ca="1">IFERROR(__xludf.DUMMYFUNCTION("""COMPUTED_VALUE"""),"| 5 L PHP-CGM % | 6 L NS % | 7 P NS % | 9 P PHP-CGM % ")</f>
        <v xml:space="preserve">| 5 L PHP-CGM % | 6 L NS % | 7 P NS % | 9 P PHP-CGM % </v>
      </c>
      <c r="AY422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Z422" s="4" t="str">
        <f ca="1">IFERROR(__xludf.DUMMYFUNCTION("""COMPUTED_VALUE"""),"| 5 L JAVA % | 6 L JAVA % | 7 P Python % ")</f>
        <v xml:space="preserve">| 5 L JAVA % | 6 L JAVA % | 7 P Python % </v>
      </c>
      <c r="BA422" s="4" t="str">
        <f ca="1">IFERROR(__xludf.DUMMYFUNCTION("""COMPUTED_VALUE"""),"| 5 L PHP-CGM @ | 6 L CPT @ | 7 P JAVA @ | 9 L INE @ ")</f>
        <v xml:space="preserve">| 5 L PHP-CGM @ | 6 L CPT @ | 7 P JAVA @ | 9 L INE @ </v>
      </c>
      <c r="BB422" s="4" t="str">
        <f ca="1">IFERROR(__xludf.DUMMYFUNCTION("""COMPUTED_VALUE"""),"| 5 L PHP-CGM @ | 6 L NS @ | 7 P NS % | 9 P PHP-CGM @ ")</f>
        <v xml:space="preserve">| 5 L PHP-CGM @ | 6 L NS @ | 7 P NS % | 9 P PHP-CGM @ </v>
      </c>
      <c r="BC422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D422" s="4" t="str">
        <f ca="1">IFERROR(__xludf.DUMMYFUNCTION("""COMPUTED_VALUE"""),"| 5 L CPT @ | 6 L NS @ | 7 P CPT @ ")</f>
        <v xml:space="preserve">| 5 L CPT @ | 6 L NS @ | 7 P CPT @ </v>
      </c>
      <c r="BE422" s="4" t="str">
        <f ca="1">IFERROR(__xludf.DUMMYFUNCTION("""COMPUTED_VALUE"""),"| 5 L JAVA @ | 6 L JAVA @ | 7 P Python @ | 9 P PRO @ ")</f>
        <v xml:space="preserve">| 5 L JAVA @ | 6 L JAVA @ | 7 P Python @ | 9 P PRO @ </v>
      </c>
      <c r="BF422" s="4" t="str">
        <f ca="1">IFERROR(__xludf.DUMMYFUNCTION("""COMPUTED_VALUE"""),"| 5 L PHP-CGM @ | 6 L CPT @ | 7 P JAVA @ ")</f>
        <v xml:space="preserve">| 5 L PHP-CGM @ | 6 L CPT @ | 7 P JAVA @ </v>
      </c>
      <c r="BG422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H422" s="4" t="str">
        <f ca="1">IFERROR(__xludf.DUMMYFUNCTION("""COMPUTED_VALUE"""),"| 5 L CPT @ | 6 L NS @ | 7 P CPT @ | 9 P JAVA @ ")</f>
        <v xml:space="preserve">| 5 L CPT @ | 6 L NS @ | 7 P CPT @ | 9 P JAVA @ </v>
      </c>
      <c r="BI422" s="4" t="str">
        <f ca="1">IFERROR(__xludf.DUMMYFUNCTION("""COMPUTED_VALUE"""),"| 5 L JAVA @ | 6 L JAVA @ | 7 P Python @ | 9 P PRO @ ")</f>
        <v xml:space="preserve">| 5 L JAVA @ | 6 L JAVA @ | 7 P Python @ | 9 P PRO @ </v>
      </c>
      <c r="BJ422" s="4" t="str">
        <f ca="1">IFERROR(__xludf.DUMMYFUNCTION("""COMPUTED_VALUE"""),"| 5 L PHP-CGM @ | 6 L CPT @ | 7 P JAVA @ | 9 L INE @ ")</f>
        <v xml:space="preserve">| 5 L PHP-CGM @ | 6 L CPT @ | 7 P JAVA @ | 9 L INE @ </v>
      </c>
      <c r="BK422" s="4" t="str">
        <f ca="1">IFERROR(__xludf.DUMMYFUNCTION("""COMPUTED_VALUE"""),"| 5 L PHP-CGM @ | 6 L NS @ | 9 P PHP-CGM @ ")</f>
        <v xml:space="preserve">| 5 L PHP-CGM @ | 6 L NS @ | 9 P PHP-CGM @ </v>
      </c>
      <c r="BL422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2" s="4" t="str">
        <f ca="1">IFERROR(__xludf.DUMMYFUNCTION("""COMPUTED_VALUE"""),"| 5 L CPT % | 6 L NS % | 7 P CPT % | 9 P JAVA @ ")</f>
        <v xml:space="preserve">| 5 L CPT % | 6 L NS % | 7 P CPT % | 9 P JAVA @ </v>
      </c>
      <c r="BN422" s="4" t="str">
        <f ca="1">IFERROR(__xludf.DUMMYFUNCTION("""COMPUTED_VALUE"""),"| 5 L JAVA @ | 6 L JAVA @ ")</f>
        <v xml:space="preserve">| 5 L JAVA @ | 6 L JAVA @ </v>
      </c>
      <c r="BO422" s="4" t="str">
        <f ca="1">IFERROR(__xludf.DUMMYFUNCTION("""COMPUTED_VALUE"""),"| 5 L PHP-CGM @ | 9 L INE @ | 6 L CPT @ ")</f>
        <v xml:space="preserve">| 5 L PHP-CGM @ | 9 L INE @ | 6 L CPT @ </v>
      </c>
      <c r="BP422" s="4" t="str">
        <f ca="1">IFERROR(__xludf.DUMMYFUNCTION("""COMPUTED_VALUE"""),"| 5 L PHP-CGM % | 6 L NS % | 7 P NS % | 9 P PHP-CGM % ")</f>
        <v xml:space="preserve">| 5 L PHP-CGM % | 6 L NS % | 7 P NS % | 9 P PHP-CGM % </v>
      </c>
      <c r="BQ422" s="4" t="str">
        <f ca="1">IFERROR(__xludf.DUMMYFUNCTION("""COMPUTED_VALUE"""),"| 5 L CPT @ ")</f>
        <v xml:space="preserve">| 5 L CPT @ </v>
      </c>
      <c r="BR422" s="4" t="str">
        <f ca="1">IFERROR(__xludf.DUMMYFUNCTION("""COMPUTED_VALUE"""),"| 5 L JAVA % | 6 L JAVA % ")</f>
        <v xml:space="preserve">| 5 L JAVA % | 6 L JAVA % </v>
      </c>
      <c r="BS422" s="4"/>
      <c r="BT422" s="4" t="str">
        <f ca="1">IFERROR(__xludf.DUMMYFUNCTION("""COMPUTED_VALUE"""),"| 7 P NS @ ")</f>
        <v xml:space="preserve">| 7 P NS @ </v>
      </c>
      <c r="BU422" s="4" t="str">
        <f ca="1">IFERROR(__xludf.DUMMYFUNCTION("""COMPUTED_VALUE"""),"| 7 L JAVA @ ")</f>
        <v xml:space="preserve">| 7 L JAVA @ </v>
      </c>
      <c r="BV422" s="4" t="str">
        <f ca="1">IFERROR(__xludf.DUMMYFUNCTION("""COMPUTED_VALUE"""),"| 5 L PHP-CGM @ | 6 L NS @ ")</f>
        <v xml:space="preserve">| 5 L PHP-CGM @ | 6 L NS @ </v>
      </c>
      <c r="BW422" s="4"/>
      <c r="BX422" s="4" t="str">
        <f ca="1">IFERROR(__xludf.DUMMYFUNCTION("""COMPUTED_VALUE"""),"| 5 L CPT @ | 6 L NS @ | 7 P CPT @ ")</f>
        <v xml:space="preserve">| 5 L CPT @ | 6 L NS @ | 7 P CPT @ </v>
      </c>
      <c r="BY422" s="4" t="str">
        <f ca="1">IFERROR(__xludf.DUMMYFUNCTION("""COMPUTED_VALUE"""),"| 5 L JAVA @ | 6 L JAVA @ | 7 P Python @ ")</f>
        <v xml:space="preserve">| 5 L JAVA @ | 6 L JAVA @ | 7 P Python @ </v>
      </c>
      <c r="BZ422" s="4" t="str">
        <f ca="1">IFERROR(__xludf.DUMMYFUNCTION("""COMPUTED_VALUE"""),"| 5 L PHP-CGM % | 6 L CPT % | 7 P JAVA % ")</f>
        <v xml:space="preserve">| 5 L PHP-CGM % | 6 L CPT % | 7 P JAVA % </v>
      </c>
      <c r="CA422" s="4" t="str">
        <f ca="1">IFERROR(__xludf.DUMMYFUNCTION("""COMPUTED_VALUE"""),"| 5 L PHP-CGM @ | 6 L NS @ | 7 P NS @ | 9 P PHP-CGM @ ")</f>
        <v xml:space="preserve">| 5 L PHP-CGM @ | 6 L NS @ | 7 P NS @ | 9 P PHP-CGM @ </v>
      </c>
      <c r="CB422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CC422" s="4" t="str">
        <f ca="1">IFERROR(__xludf.DUMMYFUNCTION("""COMPUTED_VALUE"""),"| 6 L NS @ | 5 L CPT @ | 7 P CPT @ | 9 P JAVA @ ")</f>
        <v xml:space="preserve">| 6 L NS @ | 5 L CPT @ | 7 P CPT @ | 9 P JAVA @ </v>
      </c>
      <c r="CD422" s="4" t="str">
        <f ca="1">IFERROR(__xludf.DUMMYFUNCTION("""COMPUTED_VALUE"""),"| 5 L JAVA % | 6 L JAVA % | 7 P Python % | 9 P PRO @ ")</f>
        <v xml:space="preserve">| 5 L JAVA % | 6 L JAVA % | 7 P Python % | 9 P PRO @ </v>
      </c>
      <c r="CE422" s="4" t="str">
        <f ca="1">IFERROR(__xludf.DUMMYFUNCTION("""COMPUTED_VALUE"""),"| 5 L PHP-CGM % | 6 L CPT % | 7 P JAVA @ | 9 L INE @ ")</f>
        <v xml:space="preserve">| 5 L PHP-CGM % | 6 L CPT % | 7 P JAVA @ | 9 L INE @ </v>
      </c>
      <c r="CF422" s="4" t="str">
        <f ca="1">IFERROR(__xludf.DUMMYFUNCTION("""COMPUTED_VALUE"""),"| 5 L PHP-CGM % | 6 L NS % | 7 P NS % | 9 P PHP-CGM @ ")</f>
        <v xml:space="preserve">| 5 L PHP-CGM % | 6 L NS % | 7 P NS % | 9 P PHP-CGM @ </v>
      </c>
      <c r="CG422" s="4" t="str">
        <f ca="1">IFERROR(__xludf.DUMMYFUNCTION("""COMPUTED_VALUE"""),"| 6 L PHP-CGM @ | 7 L JAVA % | 8 L CPT % | 9 P Python @ ")</f>
        <v xml:space="preserve">| 6 L PHP-CGM @ | 7 L JAVA % | 8 L CPT % | 9 P Python @ </v>
      </c>
      <c r="CH422" s="4" t="str">
        <f ca="1">IFERROR(__xludf.DUMMYFUNCTION("""COMPUTED_VALUE"""),"| 5 L CPT % | 6 L NS % | 9 P JAVA @ ")</f>
        <v xml:space="preserve">| 5 L CPT % | 6 L NS % | 9 P JAVA @ </v>
      </c>
      <c r="CI422" s="4" t="str">
        <f ca="1">IFERROR(__xludf.DUMMYFUNCTION("""COMPUTED_VALUE"""),"| 5 L JAVA @ | 6 L JAVA @ | 9 P PRO @ ")</f>
        <v xml:space="preserve">| 5 L JAVA @ | 6 L JAVA @ | 9 P PRO @ </v>
      </c>
      <c r="CJ422" s="4" t="str">
        <f ca="1">IFERROR(__xludf.DUMMYFUNCTION("""COMPUTED_VALUE"""),"| 5 L PHP-CGM % | 9 L INE @ ")</f>
        <v xml:space="preserve">| 5 L PHP-CGM % | 9 L INE @ </v>
      </c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</row>
    <row r="423" spans="1:102" ht="12.5" x14ac:dyDescent="0.25">
      <c r="A423" s="3">
        <f ca="1">IFERROR(__xludf.DUMMYFUNCTION("""COMPUTED_VALUE"""),1)</f>
        <v>1</v>
      </c>
      <c r="B423" s="3" t="str">
        <f ca="1">IFERROR(__xludf.DUMMYFUNCTION("""COMPUTED_VALUE"""),"ITB")</f>
        <v>ITB</v>
      </c>
      <c r="C423" s="32" t="str">
        <f ca="1">IFERROR(__xludf.DUMMYFUNCTION("""COMPUTED_VALUE"""),"23291371005")</f>
        <v>23291371005</v>
      </c>
      <c r="D423" s="4" t="str">
        <f ca="1">IFERROR(__xludf.DUMMYFUNCTION("""COMPUTED_VALUE"""),"BHALODIYA YUG DINESHBHAI")</f>
        <v>BHALODIYA YUG DINESHBHAI</v>
      </c>
      <c r="E423" s="3" t="str">
        <f ca="1">IFERROR(__xludf.DUMMYFUNCTION("""COMPUTED_VALUE"""),"VSP - Eve")</f>
        <v>VSP - Eve</v>
      </c>
      <c r="F423" s="3">
        <f ca="1">IFERROR(__xludf.DUMMYFUNCTION("""COMPUTED_VALUE"""),9313302857)</f>
        <v>9313302857</v>
      </c>
      <c r="G423" s="3">
        <f ca="1">IFERROR(__xludf.DUMMYFUNCTION("""COMPUTED_VALUE"""),9426782159)</f>
        <v>9426782159</v>
      </c>
      <c r="H423" s="33">
        <f ca="1">IFERROR(__xludf.DUMMYFUNCTION("""COMPUTED_VALUE"""),0.168141592920354)</f>
        <v>0.16814159292035399</v>
      </c>
      <c r="I423" s="25">
        <f ca="1">IFERROR(__xludf.DUMMYFUNCTION("""COMPUTED_VALUE"""),0.138888888888888)</f>
        <v>0.13888888888888801</v>
      </c>
      <c r="J423" s="25">
        <f ca="1">IFERROR(__xludf.DUMMYFUNCTION("""COMPUTED_VALUE"""),0.1)</f>
        <v>0.1</v>
      </c>
      <c r="K423" s="25">
        <f ca="1">IFERROR(__xludf.DUMMYFUNCTION("""COMPUTED_VALUE"""),0.242424242424242)</f>
        <v>0.24242424242424199</v>
      </c>
      <c r="L423" s="25">
        <f ca="1">IFERROR(__xludf.DUMMYFUNCTION("""COMPUTED_VALUE"""),0.3)</f>
        <v>0.3</v>
      </c>
      <c r="M423" s="25">
        <f ca="1">IFERROR(__xludf.DUMMYFUNCTION("""COMPUTED_VALUE"""),0.176470588235294)</f>
        <v>0.17647058823529399</v>
      </c>
      <c r="N423" s="25">
        <f ca="1">IFERROR(__xludf.DUMMYFUNCTION("""COMPUTED_VALUE"""),0.1)</f>
        <v>0.1</v>
      </c>
      <c r="O423" s="25">
        <f ca="1">IFERROR(__xludf.DUMMYFUNCTION("""COMPUTED_VALUE"""),0.23076923076923)</f>
        <v>0.23076923076923</v>
      </c>
      <c r="P423" s="25">
        <f ca="1">IFERROR(__xludf.DUMMYFUNCTION("""COMPUTED_VALUE"""),0)</f>
        <v>0</v>
      </c>
      <c r="Q423" s="25">
        <f ca="1">IFERROR(__xludf.DUMMYFUNCTION("""COMPUTED_VALUE"""),0)</f>
        <v>0</v>
      </c>
      <c r="R423" s="25">
        <f ca="1">IFERROR(__xludf.DUMMYFUNCTION("""COMPUTED_VALUE"""),0.2)</f>
        <v>0.2</v>
      </c>
      <c r="S423" s="25">
        <f ca="1">IFERROR(__xludf.DUMMYFUNCTION("""COMPUTED_VALUE"""),0)</f>
        <v>0</v>
      </c>
      <c r="T423" s="25">
        <f ca="1">IFERROR(__xludf.DUMMYFUNCTION("""COMPUTED_VALUE"""),0)</f>
        <v>0</v>
      </c>
      <c r="U423" s="25">
        <f ca="1">IFERROR(__xludf.DUMMYFUNCTION("""COMPUTED_VALUE"""),0.166666666666666)</f>
        <v>0.16666666666666599</v>
      </c>
      <c r="V423" s="25">
        <f ca="1">IFERROR(__xludf.DUMMYFUNCTION("""COMPUTED_VALUE"""),0)</f>
        <v>0</v>
      </c>
      <c r="W423" s="4"/>
      <c r="X423" s="4" t="str">
        <f ca="1">IFERROR(__xludf.DUMMYFUNCTION("""COMPUTED_VALUE"""),"| 5 L PHP-CGM @ | 6 L NS @ | 7 P NS @ ")</f>
        <v xml:space="preserve">| 5 L PHP-CGM @ | 6 L NS @ | 7 P NS @ </v>
      </c>
      <c r="Y423" s="4" t="str">
        <f ca="1">IFERROR(__xludf.DUMMYFUNCTION("""COMPUTED_VALUE"""),"| 5 L NS @ | 6 L PHP-CGM @ | 7 L JAVA @ | 8 L CPT @ ")</f>
        <v xml:space="preserve">| 5 L NS @ | 6 L PHP-CGM @ | 7 L JAVA @ | 8 L CPT @ </v>
      </c>
      <c r="Z423" s="4" t="str">
        <f ca="1">IFERROR(__xludf.DUMMYFUNCTION("""COMPUTED_VALUE"""),"| 5 L JAVA @ | 6 L NS @ | 7 P CPT @ | 9 P JAVA @ ")</f>
        <v xml:space="preserve">| 5 L JAVA @ | 6 L NS @ | 7 P CPT @ | 9 P JAVA @ </v>
      </c>
      <c r="AA423" s="4" t="str">
        <f ca="1">IFERROR(__xludf.DUMMYFUNCTION("""COMPUTED_VALUE"""),"| 5 L CPT @ | 6 L JAVA @ | 7 P Python @ | 9 P PRO @ ")</f>
        <v xml:space="preserve">| 5 L CPT @ | 6 L JAVA @ | 7 P Python @ | 9 P PRO @ </v>
      </c>
      <c r="AB423" s="4" t="str">
        <f ca="1">IFERROR(__xludf.DUMMYFUNCTION("""COMPUTED_VALUE"""),"| 5 L PHP-CGM @ | 6 L CPT @ | 7 P JAVA @ ")</f>
        <v xml:space="preserve">| 5 L PHP-CGM @ | 6 L CPT @ | 7 P JAVA @ </v>
      </c>
      <c r="AC423" s="4" t="str">
        <f ca="1">IFERROR(__xludf.DUMMYFUNCTION("""COMPUTED_VALUE"""),"| 5 L PHP-CGM @ | 6 L NS @ | 7 P NS @ | 9 P PHP-CGM @ ")</f>
        <v xml:space="preserve">| 5 L PHP-CGM @ | 6 L NS @ | 7 P NS @ | 9 P PHP-CGM @ </v>
      </c>
      <c r="AD423" s="4" t="str">
        <f ca="1">IFERROR(__xludf.DUMMYFUNCTION("""COMPUTED_VALUE"""),"| 5 L NS @ | 7 L JAVA % | 8 L CPT @ | 9 P Python @ | 6 L PHP-CGM @ ")</f>
        <v xml:space="preserve">| 5 L NS @ | 7 L JAVA % | 8 L CPT @ | 9 P Python @ | 6 L PHP-CGM @ </v>
      </c>
      <c r="AE423" s="4" t="str">
        <f ca="1">IFERROR(__xludf.DUMMYFUNCTION("""COMPUTED_VALUE"""),"| 5 L JAVA @ | 6 L NS @ | 7 P CPT @ | 9 P JAVA @ ")</f>
        <v xml:space="preserve">| 5 L JAVA @ | 6 L NS @ | 7 P CPT @ | 9 P JAVA @ </v>
      </c>
      <c r="AF423" s="4" t="str">
        <f ca="1">IFERROR(__xludf.DUMMYFUNCTION("""COMPUTED_VALUE"""),"| 5 L CPT @ | 6 L JAVA @ | 7 P Python @ | 9 P PRO @ ")</f>
        <v xml:space="preserve">| 5 L CPT @ | 6 L JAVA @ | 7 P Python @ | 9 P PRO @ </v>
      </c>
      <c r="AG423" s="4" t="str">
        <f ca="1">IFERROR(__xludf.DUMMYFUNCTION("""COMPUTED_VALUE"""),"| 5 L PHP-CGM @ | 6 L CPT @ | 7 P JAVA @ ")</f>
        <v xml:space="preserve">| 5 L PHP-CGM @ | 6 L CPT @ | 7 P JAVA @ </v>
      </c>
      <c r="AH423" s="4" t="str">
        <f ca="1">IFERROR(__xludf.DUMMYFUNCTION("""COMPUTED_VALUE"""),"| 5 L CPT @ | 6 L JAVA @ | 7 P Python @ | 9 P PRO @ ")</f>
        <v xml:space="preserve">| 5 L CPT @ | 6 L JAVA @ | 7 P Python @ | 9 P PRO @ </v>
      </c>
      <c r="AI423" s="4" t="str">
        <f ca="1">IFERROR(__xludf.DUMMYFUNCTION("""COMPUTED_VALUE"""),"| 5 L PHP-CGM @ | 6 L CPT @ | 7 P JAVA @ ")</f>
        <v xml:space="preserve">| 5 L PHP-CGM @ | 6 L CPT @ | 7 P JAVA @ </v>
      </c>
      <c r="AJ423" s="4" t="str">
        <f ca="1">IFERROR(__xludf.DUMMYFUNCTION("""COMPUTED_VALUE"""),"| 5 L PHP-CGM @ | 6 L NS @ | 7 P NS @ | 9 P PHP-CGM @ ")</f>
        <v xml:space="preserve">| 5 L PHP-CGM @ | 6 L NS @ | 7 P NS @ | 9 P PHP-CGM @ </v>
      </c>
      <c r="AK423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AL423" s="4" t="str">
        <f ca="1">IFERROR(__xludf.DUMMYFUNCTION("""COMPUTED_VALUE"""),"| 5 L JAVA @ | 6 L NS @ | 7 P CPT @ | 9 P JAVA @ ")</f>
        <v xml:space="preserve">| 5 L JAVA @ | 6 L NS @ | 7 P CPT @ | 9 P JAVA @ </v>
      </c>
      <c r="AM423" s="4" t="str">
        <f ca="1">IFERROR(__xludf.DUMMYFUNCTION("""COMPUTED_VALUE"""),"| 5 L CPT @ | 6 L JAVA @ | 7 P Python @ | 9 P PRO @ ")</f>
        <v xml:space="preserve">| 5 L CPT @ | 6 L JAVA @ | 7 P Python @ | 9 P PRO @ </v>
      </c>
      <c r="AN423" s="4" t="str">
        <f ca="1">IFERROR(__xludf.DUMMYFUNCTION("""COMPUTED_VALUE"""),"| 5 L PHP-CGM @ | 6 L CPT @ | 7 P JAVA @ ")</f>
        <v xml:space="preserve">| 5 L PHP-CGM @ | 6 L CPT @ | 7 P JAVA @ </v>
      </c>
      <c r="AO423" s="4" t="str">
        <f ca="1">IFERROR(__xludf.DUMMYFUNCTION("""COMPUTED_VALUE"""),"| 5 L PHP-CGM @ | 6 L NS @ | 7 P NS @ | 9 P PHP-CGM @ ")</f>
        <v xml:space="preserve">| 5 L PHP-CGM @ | 6 L NS @ | 7 P NS @ | 9 P PHP-CGM @ </v>
      </c>
      <c r="AP423" s="4" t="str">
        <f ca="1">IFERROR(__xludf.DUMMYFUNCTION("""COMPUTED_VALUE"""),"| 5 L NS @ | 7 L JAVA @ | 8 L CPT @ ")</f>
        <v xml:space="preserve">| 5 L NS @ | 7 L JAVA @ | 8 L CPT @ </v>
      </c>
      <c r="AQ423" s="4" t="str">
        <f ca="1">IFERROR(__xludf.DUMMYFUNCTION("""COMPUTED_VALUE"""),"| 5 L CPT @ | 6 L NS @ | 7 P CPT @ | 9 P JAVA @ ")</f>
        <v xml:space="preserve">| 5 L CPT @ | 6 L NS @ | 7 P CPT @ | 9 P JAVA @ </v>
      </c>
      <c r="AR423" s="4" t="str">
        <f ca="1">IFERROR(__xludf.DUMMYFUNCTION("""COMPUTED_VALUE"""),"| 5 L JAVA @ | 6 L JAVA @ | 5 L CPT @ | 7 P Python @ ")</f>
        <v xml:space="preserve">| 5 L JAVA @ | 6 L JAVA @ | 5 L CPT @ | 7 P Python @ </v>
      </c>
      <c r="AS423" s="4" t="str">
        <f ca="1">IFERROR(__xludf.DUMMYFUNCTION("""COMPUTED_VALUE"""),"| 5 L PHP-CGM @ | 6 L NS @ | 9 P PHP-CGM @ ")</f>
        <v xml:space="preserve">| 5 L PHP-CGM @ | 6 L NS @ | 9 P PHP-CGM @ </v>
      </c>
      <c r="AT423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AU423" s="4" t="str">
        <f ca="1">IFERROR(__xludf.DUMMYFUNCTION("""COMPUTED_VALUE"""),"| 5 L CPT @ | 6 L NS @ | 7 P CPT @ | 9 P JAVA @ ")</f>
        <v xml:space="preserve">| 5 L CPT @ | 6 L NS @ | 7 P CPT @ | 9 P JAVA @ </v>
      </c>
      <c r="AV423" s="4" t="str">
        <f ca="1">IFERROR(__xludf.DUMMYFUNCTION("""COMPUTED_VALUE"""),"| 5 L JAVA @ | 6 L JAVA @ | 7 P Python @ | 9 P PRO @ ")</f>
        <v xml:space="preserve">| 5 L JAVA @ | 6 L JAVA @ | 7 P Python @ | 9 P PRO @ </v>
      </c>
      <c r="AW423" s="4" t="str">
        <f ca="1">IFERROR(__xludf.DUMMYFUNCTION("""COMPUTED_VALUE"""),"| 5 L PHP-CGM @ | 6 L CPT @ | 7 P JAVA @ | 9 L INE @ ")</f>
        <v xml:space="preserve">| 5 L PHP-CGM @ | 6 L CPT @ | 7 P JAVA @ | 9 L INE @ </v>
      </c>
      <c r="AX423" s="4" t="str">
        <f ca="1">IFERROR(__xludf.DUMMYFUNCTION("""COMPUTED_VALUE"""),"| 5 L PHP-CGM % | 6 L NS % | 7 P NS % | 9 P PHP-CGM @ ")</f>
        <v xml:space="preserve">| 5 L PHP-CGM % | 6 L NS % | 7 P NS % | 9 P PHP-CGM @ </v>
      </c>
      <c r="AY423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23" s="4" t="str">
        <f ca="1">IFERROR(__xludf.DUMMYFUNCTION("""COMPUTED_VALUE"""),"| 5 L JAVA % | 6 L JAVA % | 7 P Python % ")</f>
        <v xml:space="preserve">| 5 L JAVA % | 6 L JAVA % | 7 P Python % </v>
      </c>
      <c r="BA423" s="4" t="str">
        <f ca="1">IFERROR(__xludf.DUMMYFUNCTION("""COMPUTED_VALUE"""),"| 5 L PHP-CGM @ | 6 L CPT @ | 7 P JAVA @ | 9 L INE @ ")</f>
        <v xml:space="preserve">| 5 L PHP-CGM @ | 6 L CPT @ | 7 P JAVA @ | 9 L INE @ </v>
      </c>
      <c r="BB423" s="4" t="str">
        <f ca="1">IFERROR(__xludf.DUMMYFUNCTION("""COMPUTED_VALUE"""),"| 5 L PHP-CGM % | 6 L NS % | 7 P NS % | 9 P PHP-CGM @ ")</f>
        <v xml:space="preserve">| 5 L PHP-CGM % | 6 L NS % | 7 P NS % | 9 P PHP-CGM @ </v>
      </c>
      <c r="BC423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D423" s="4" t="str">
        <f ca="1">IFERROR(__xludf.DUMMYFUNCTION("""COMPUTED_VALUE"""),"| 5 L CPT % | 6 L NS % | 7 P CPT % ")</f>
        <v xml:space="preserve">| 5 L CPT % | 6 L NS % | 7 P CPT % </v>
      </c>
      <c r="BE423" s="4" t="str">
        <f ca="1">IFERROR(__xludf.DUMMYFUNCTION("""COMPUTED_VALUE"""),"| 5 L JAVA % | 6 L JAVA % | 7 P Python % | 9 P PRO @ ")</f>
        <v xml:space="preserve">| 5 L JAVA % | 6 L JAVA % | 7 P Python % | 9 P PRO @ </v>
      </c>
      <c r="BF423" s="4" t="str">
        <f ca="1">IFERROR(__xludf.DUMMYFUNCTION("""COMPUTED_VALUE"""),"| 5 L PHP-CGM @ | 6 L CPT @ | 7 P JAVA @ ")</f>
        <v xml:space="preserve">| 5 L PHP-CGM @ | 6 L CPT @ | 7 P JAVA @ </v>
      </c>
      <c r="BG423" s="4" t="str">
        <f ca="1">IFERROR(__xludf.DUMMYFUNCTION("""COMPUTED_VALUE"""),"| 5 L NS % | 6 L PHP-CGM % | 7 L JAVA @ | 8 L CPT @ | 9 P Python @ ")</f>
        <v xml:space="preserve">| 5 L NS % | 6 L PHP-CGM % | 7 L JAVA @ | 8 L CPT @ | 9 P Python @ </v>
      </c>
      <c r="BH423" s="4" t="str">
        <f ca="1">IFERROR(__xludf.DUMMYFUNCTION("""COMPUTED_VALUE"""),"| 5 L CPT @ | 6 L NS @ | 7 P CPT @ | 9 P JAVA @ ")</f>
        <v xml:space="preserve">| 5 L CPT @ | 6 L NS @ | 7 P CPT @ | 9 P JAVA @ </v>
      </c>
      <c r="BI423" s="4" t="str">
        <f ca="1">IFERROR(__xludf.DUMMYFUNCTION("""COMPUTED_VALUE"""),"| 5 L JAVA @ | 6 L JAVA @ | 7 P Python @ | 9 P PRO @ ")</f>
        <v xml:space="preserve">| 5 L JAVA @ | 6 L JAVA @ | 7 P Python @ | 9 P PRO @ </v>
      </c>
      <c r="BJ423" s="4" t="str">
        <f ca="1">IFERROR(__xludf.DUMMYFUNCTION("""COMPUTED_VALUE"""),"| 5 L PHP-CGM @ | 6 L CPT @ | 7 P JAVA @ | 9 L INE @ ")</f>
        <v xml:space="preserve">| 5 L PHP-CGM @ | 6 L CPT @ | 7 P JAVA @ | 9 L INE @ </v>
      </c>
      <c r="BK423" s="4" t="str">
        <f ca="1">IFERROR(__xludf.DUMMYFUNCTION("""COMPUTED_VALUE"""),"| 5 L PHP-CGM @ | 6 L NS @ | 9 P PHP-CGM @ ")</f>
        <v xml:space="preserve">| 5 L PHP-CGM @ | 6 L NS @ | 9 P PHP-CGM @ </v>
      </c>
      <c r="BL423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3" s="4" t="str">
        <f ca="1">IFERROR(__xludf.DUMMYFUNCTION("""COMPUTED_VALUE"""),"| 5 L CPT @ | 6 L NS @ | 7 P CPT @ | 9 P JAVA @ ")</f>
        <v xml:space="preserve">| 5 L CPT @ | 6 L NS @ | 7 P CPT @ | 9 P JAVA @ </v>
      </c>
      <c r="BN423" s="4" t="str">
        <f ca="1">IFERROR(__xludf.DUMMYFUNCTION("""COMPUTED_VALUE"""),"| 5 L JAVA @ | 6 L JAVA @ ")</f>
        <v xml:space="preserve">| 5 L JAVA @ | 6 L JAVA @ </v>
      </c>
      <c r="BO423" s="4" t="str">
        <f ca="1">IFERROR(__xludf.DUMMYFUNCTION("""COMPUTED_VALUE"""),"| 5 L PHP-CGM @ | 9 L INE @ | 6 L CPT @ ")</f>
        <v xml:space="preserve">| 5 L PHP-CGM @ | 9 L INE @ | 6 L CPT @ </v>
      </c>
      <c r="BP423" s="4" t="str">
        <f ca="1">IFERROR(__xludf.DUMMYFUNCTION("""COMPUTED_VALUE"""),"| 5 L PHP-CGM @ | 6 L NS @ | 7 P NS @ | 9 P PHP-CGM @ ")</f>
        <v xml:space="preserve">| 5 L PHP-CGM @ | 6 L NS @ | 7 P NS @ | 9 P PHP-CGM @ </v>
      </c>
      <c r="BQ423" s="4" t="str">
        <f ca="1">IFERROR(__xludf.DUMMYFUNCTION("""COMPUTED_VALUE"""),"| 5 L CPT @ ")</f>
        <v xml:space="preserve">| 5 L CPT @ </v>
      </c>
      <c r="BR423" s="4" t="str">
        <f ca="1">IFERROR(__xludf.DUMMYFUNCTION("""COMPUTED_VALUE"""),"| 5 L JAVA % | 6 L JAVA % ")</f>
        <v xml:space="preserve">| 5 L JAVA % | 6 L JAVA % </v>
      </c>
      <c r="BS423" s="4"/>
      <c r="BT423" s="4" t="str">
        <f ca="1">IFERROR(__xludf.DUMMYFUNCTION("""COMPUTED_VALUE"""),"| 7 P NS @ ")</f>
        <v xml:space="preserve">| 7 P NS @ </v>
      </c>
      <c r="BU423" s="4" t="str">
        <f ca="1">IFERROR(__xludf.DUMMYFUNCTION("""COMPUTED_VALUE"""),"| 7 L JAVA @ ")</f>
        <v xml:space="preserve">| 7 L JAVA @ </v>
      </c>
      <c r="BV423" s="4" t="str">
        <f ca="1">IFERROR(__xludf.DUMMYFUNCTION("""COMPUTED_VALUE"""),"| 5 L PHP-CGM @ | 6 L NS @ ")</f>
        <v xml:space="preserve">| 5 L PHP-CGM @ | 6 L NS @ </v>
      </c>
      <c r="BW423" s="4"/>
      <c r="BX423" s="4" t="str">
        <f ca="1">IFERROR(__xludf.DUMMYFUNCTION("""COMPUTED_VALUE"""),"| 5 L CPT @ | 6 L NS @ | 7 P CPT @ ")</f>
        <v xml:space="preserve">| 5 L CPT @ | 6 L NS @ | 7 P CPT @ </v>
      </c>
      <c r="BY423" s="4" t="str">
        <f ca="1">IFERROR(__xludf.DUMMYFUNCTION("""COMPUTED_VALUE"""),"| 5 L JAVA @ | 6 L JAVA @ | 7 P Python @ ")</f>
        <v xml:space="preserve">| 5 L JAVA @ | 6 L JAVA @ | 7 P Python @ </v>
      </c>
      <c r="BZ423" s="4" t="str">
        <f ca="1">IFERROR(__xludf.DUMMYFUNCTION("""COMPUTED_VALUE"""),"| 5 L PHP-CGM @ | 6 L CPT @ | 7 P JAVA @ ")</f>
        <v xml:space="preserve">| 5 L PHP-CGM @ | 6 L CPT @ | 7 P JAVA @ </v>
      </c>
      <c r="CA423" s="4" t="str">
        <f ca="1">IFERROR(__xludf.DUMMYFUNCTION("""COMPUTED_VALUE"""),"| 5 L PHP-CGM @ | 6 L NS @ | 7 P NS @ | 9 P PHP-CGM @ ")</f>
        <v xml:space="preserve">| 5 L PHP-CGM @ | 6 L NS @ | 7 P NS @ | 9 P PHP-CGM @ </v>
      </c>
      <c r="CB423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CC423" s="4" t="str">
        <f ca="1">IFERROR(__xludf.DUMMYFUNCTION("""COMPUTED_VALUE"""),"| 6 L NS % | 5 L CPT % | 7 P CPT @ | 9 P JAVA @ ")</f>
        <v xml:space="preserve">| 6 L NS % | 5 L CPT % | 7 P CPT @ | 9 P JAVA @ </v>
      </c>
      <c r="CD423" s="4" t="str">
        <f ca="1">IFERROR(__xludf.DUMMYFUNCTION("""COMPUTED_VALUE"""),"| 5 L JAVA @ | 6 L JAVA @ | 7 P Python @ | 9 P PRO @ ")</f>
        <v xml:space="preserve">| 5 L JAVA @ | 6 L JAVA @ | 7 P Python @ | 9 P PRO @ </v>
      </c>
      <c r="CE423" s="4" t="str">
        <f ca="1">IFERROR(__xludf.DUMMYFUNCTION("""COMPUTED_VALUE"""),"| 5 L PHP-CGM @ | 6 L CPT @ | 7 P JAVA @ | 9 L INE % ")</f>
        <v xml:space="preserve">| 5 L PHP-CGM @ | 6 L CPT @ | 7 P JAVA @ | 9 L INE % </v>
      </c>
      <c r="CF423" s="4" t="str">
        <f ca="1">IFERROR(__xludf.DUMMYFUNCTION("""COMPUTED_VALUE"""),"| 5 L PHP-CGM % | 6 L NS % | 7 P NS % | 9 P PHP-CGM % ")</f>
        <v xml:space="preserve">| 5 L PHP-CGM % | 6 L NS % | 7 P NS % | 9 P PHP-CGM % </v>
      </c>
      <c r="CG423" s="4" t="str">
        <f ca="1">IFERROR(__xludf.DUMMYFUNCTION("""COMPUTED_VALUE"""),"| 6 L PHP-CGM @ | 7 L JAVA @ | 8 L CPT % | 9 P Python % ")</f>
        <v xml:space="preserve">| 6 L PHP-CGM @ | 7 L JAVA @ | 8 L CPT % | 9 P Python % </v>
      </c>
      <c r="CH423" s="4" t="str">
        <f ca="1">IFERROR(__xludf.DUMMYFUNCTION("""COMPUTED_VALUE"""),"| 5 L CPT @ | 6 L NS @ | 9 P JAVA @ ")</f>
        <v xml:space="preserve">| 5 L CPT @ | 6 L NS @ | 9 P JAVA @ </v>
      </c>
      <c r="CI423" s="4" t="str">
        <f ca="1">IFERROR(__xludf.DUMMYFUNCTION("""COMPUTED_VALUE"""),"| 5 L JAVA @ | 6 L JAVA @ | 9 P PRO @ ")</f>
        <v xml:space="preserve">| 5 L JAVA @ | 6 L JAVA @ | 9 P PRO @ </v>
      </c>
      <c r="CJ423" s="4" t="str">
        <f ca="1">IFERROR(__xludf.DUMMYFUNCTION("""COMPUTED_VALUE"""),"| 5 L PHP-CGM @ | 9 L INE @ ")</f>
        <v xml:space="preserve">| 5 L PHP-CGM @ | 9 L INE @ </v>
      </c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</row>
    <row r="424" spans="1:102" ht="12.5" x14ac:dyDescent="0.25">
      <c r="A424" s="3">
        <f ca="1">IFERROR(__xludf.DUMMYFUNCTION("""COMPUTED_VALUE"""),1)</f>
        <v>1</v>
      </c>
      <c r="B424" s="3" t="str">
        <f ca="1">IFERROR(__xludf.DUMMYFUNCTION("""COMPUTED_VALUE"""),"ITB")</f>
        <v>ITB</v>
      </c>
      <c r="C424" s="32" t="str">
        <f ca="1">IFERROR(__xludf.DUMMYFUNCTION("""COMPUTED_VALUE"""),"23291371012")</f>
        <v>23291371012</v>
      </c>
      <c r="D424" s="4" t="str">
        <f ca="1">IFERROR(__xludf.DUMMYFUNCTION("""COMPUTED_VALUE"""),"CHAUDHARY ARYAN JITENDRABHAI")</f>
        <v>CHAUDHARY ARYAN JITENDRABHAI</v>
      </c>
      <c r="E424" s="3" t="str">
        <f ca="1">IFERROR(__xludf.DUMMYFUNCTION("""COMPUTED_VALUE"""),"VSP - Eve")</f>
        <v>VSP - Eve</v>
      </c>
      <c r="F424" s="3">
        <f ca="1">IFERROR(__xludf.DUMMYFUNCTION("""COMPUTED_VALUE"""),9427951973)</f>
        <v>9427951973</v>
      </c>
      <c r="G424" s="3">
        <f ca="1">IFERROR(__xludf.DUMMYFUNCTION("""COMPUTED_VALUE"""),9409692638)</f>
        <v>9409692638</v>
      </c>
      <c r="H424" s="33">
        <f ca="1">IFERROR(__xludf.DUMMYFUNCTION("""COMPUTED_VALUE"""),0.0132743362831858)</f>
        <v>1.3274336283185801E-2</v>
      </c>
      <c r="I424" s="25">
        <f ca="1">IFERROR(__xludf.DUMMYFUNCTION("""COMPUTED_VALUE"""),0)</f>
        <v>0</v>
      </c>
      <c r="J424" s="25">
        <f ca="1">IFERROR(__xludf.DUMMYFUNCTION("""COMPUTED_VALUE"""),0)</f>
        <v>0</v>
      </c>
      <c r="K424" s="25">
        <f ca="1">IFERROR(__xludf.DUMMYFUNCTION("""COMPUTED_VALUE"""),0)</f>
        <v>0</v>
      </c>
      <c r="L424" s="25">
        <f ca="1">IFERROR(__xludf.DUMMYFUNCTION("""COMPUTED_VALUE"""),0.1)</f>
        <v>0.1</v>
      </c>
      <c r="M424" s="25">
        <f ca="1">IFERROR(__xludf.DUMMYFUNCTION("""COMPUTED_VALUE"""),0)</f>
        <v>0</v>
      </c>
      <c r="N424" s="25">
        <f ca="1">IFERROR(__xludf.DUMMYFUNCTION("""COMPUTED_VALUE"""),0)</f>
        <v>0</v>
      </c>
      <c r="O424" s="25">
        <f ca="1">IFERROR(__xludf.DUMMYFUNCTION("""COMPUTED_VALUE"""),0.0256410256410256)</f>
        <v>2.5641025641025599E-2</v>
      </c>
      <c r="P424" s="25">
        <f ca="1">IFERROR(__xludf.DUMMYFUNCTION("""COMPUTED_VALUE"""),0.0526315789473684)</f>
        <v>5.2631578947368397E-2</v>
      </c>
      <c r="Q424" s="25">
        <f ca="1">IFERROR(__xludf.DUMMYFUNCTION("""COMPUTED_VALUE"""),0)</f>
        <v>0</v>
      </c>
      <c r="R424" s="25">
        <f ca="1">IFERROR(__xludf.DUMMYFUNCTION("""COMPUTED_VALUE"""),0)</f>
        <v>0</v>
      </c>
      <c r="S424" s="25">
        <f ca="1">IFERROR(__xludf.DUMMYFUNCTION("""COMPUTED_VALUE"""),0)</f>
        <v>0</v>
      </c>
      <c r="T424" s="25">
        <f ca="1">IFERROR(__xludf.DUMMYFUNCTION("""COMPUTED_VALUE"""),0)</f>
        <v>0</v>
      </c>
      <c r="U424" s="25">
        <f ca="1">IFERROR(__xludf.DUMMYFUNCTION("""COMPUTED_VALUE"""),0)</f>
        <v>0</v>
      </c>
      <c r="V424" s="25">
        <f ca="1">IFERROR(__xludf.DUMMYFUNCTION("""COMPUTED_VALUE"""),0)</f>
        <v>0</v>
      </c>
      <c r="W424" s="4"/>
      <c r="X424" s="4" t="str">
        <f ca="1">IFERROR(__xludf.DUMMYFUNCTION("""COMPUTED_VALUE"""),"| 5 L PHP-CGM @ | 6 L NS @ | 7 P NS @ ")</f>
        <v xml:space="preserve">| 5 L PHP-CGM @ | 6 L NS @ | 7 P NS @ </v>
      </c>
      <c r="Y424" s="4" t="str">
        <f ca="1">IFERROR(__xludf.DUMMYFUNCTION("""COMPUTED_VALUE"""),"| 5 L NS @ | 6 L PHP-CGM @ | 7 L JAVA @ | 8 L CPT @ ")</f>
        <v xml:space="preserve">| 5 L NS @ | 6 L PHP-CGM @ | 7 L JAVA @ | 8 L CPT @ </v>
      </c>
      <c r="Z424" s="4" t="str">
        <f ca="1">IFERROR(__xludf.DUMMYFUNCTION("""COMPUTED_VALUE"""),"| 5 L JAVA @ | 6 L NS @ | 7 P CPT @ | 9 P JAVA @ ")</f>
        <v xml:space="preserve">| 5 L JAVA @ | 6 L NS @ | 7 P CPT @ | 9 P JAVA @ </v>
      </c>
      <c r="AA424" s="4" t="str">
        <f ca="1">IFERROR(__xludf.DUMMYFUNCTION("""COMPUTED_VALUE"""),"| 5 L CPT @ | 6 L JAVA @ | 7 P Python @ | 9 P PRO @ ")</f>
        <v xml:space="preserve">| 5 L CPT @ | 6 L JAVA @ | 7 P Python @ | 9 P PRO @ </v>
      </c>
      <c r="AB424" s="4" t="str">
        <f ca="1">IFERROR(__xludf.DUMMYFUNCTION("""COMPUTED_VALUE"""),"| 5 L PHP-CGM @ | 6 L CPT @ | 7 P JAVA % ")</f>
        <v xml:space="preserve">| 5 L PHP-CGM @ | 6 L CPT @ | 7 P JAVA % </v>
      </c>
      <c r="AC424" s="4" t="str">
        <f ca="1">IFERROR(__xludf.DUMMYFUNCTION("""COMPUTED_VALUE"""),"| 5 L PHP-CGM @ | 6 L NS @ | 7 P NS @ | 9 P PHP-CGM @ ")</f>
        <v xml:space="preserve">| 5 L PHP-CGM @ | 6 L NS @ | 7 P NS @ | 9 P PHP-CGM @ </v>
      </c>
      <c r="AD424" s="4" t="str">
        <f ca="1">IFERROR(__xludf.DUMMYFUNCTION("""COMPUTED_VALUE"""),"| 5 L NS @ | 7 L JAVA @ | 8 L CPT @ | 9 P Python @ | 6 L PHP-CGM @ ")</f>
        <v xml:space="preserve">| 5 L NS @ | 7 L JAVA @ | 8 L CPT @ | 9 P Python @ | 6 L PHP-CGM @ </v>
      </c>
      <c r="AE424" s="4" t="str">
        <f ca="1">IFERROR(__xludf.DUMMYFUNCTION("""COMPUTED_VALUE"""),"| 5 L JAVA @ | 6 L NS @ | 7 P CPT @ | 9 P JAVA @ ")</f>
        <v xml:space="preserve">| 5 L JAVA @ | 6 L NS @ | 7 P CPT @ | 9 P JAVA @ </v>
      </c>
      <c r="AF424" s="4" t="str">
        <f ca="1">IFERROR(__xludf.DUMMYFUNCTION("""COMPUTED_VALUE"""),"| 5 L CPT @ | 6 L JAVA @ | 7 P Python @ | 9 P PRO @ ")</f>
        <v xml:space="preserve">| 5 L CPT @ | 6 L JAVA @ | 7 P Python @ | 9 P PRO @ </v>
      </c>
      <c r="AG424" s="4" t="str">
        <f ca="1">IFERROR(__xludf.DUMMYFUNCTION("""COMPUTED_VALUE"""),"| 5 L PHP-CGM @ | 6 L CPT @ | 7 P JAVA @ ")</f>
        <v xml:space="preserve">| 5 L PHP-CGM @ | 6 L CPT @ | 7 P JAVA @ </v>
      </c>
      <c r="AH424" s="4" t="str">
        <f ca="1">IFERROR(__xludf.DUMMYFUNCTION("""COMPUTED_VALUE"""),"| 5 L CPT @ | 6 L JAVA @ | 7 P Python @ | 9 P PRO @ ")</f>
        <v xml:space="preserve">| 5 L CPT @ | 6 L JAVA @ | 7 P Python @ | 9 P PRO @ </v>
      </c>
      <c r="AI424" s="4" t="str">
        <f ca="1">IFERROR(__xludf.DUMMYFUNCTION("""COMPUTED_VALUE"""),"| 5 L PHP-CGM @ | 6 L CPT @ | 7 P JAVA @ ")</f>
        <v xml:space="preserve">| 5 L PHP-CGM @ | 6 L CPT @ | 7 P JAVA @ </v>
      </c>
      <c r="AJ424" s="4" t="str">
        <f ca="1">IFERROR(__xludf.DUMMYFUNCTION("""COMPUTED_VALUE"""),"| 5 L PHP-CGM @ | 6 L NS @ | 7 P NS @ | 9 P PHP-CGM @ ")</f>
        <v xml:space="preserve">| 5 L PHP-CGM @ | 6 L NS @ | 7 P NS @ | 9 P PHP-CGM @ </v>
      </c>
      <c r="AK424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AL424" s="4" t="str">
        <f ca="1">IFERROR(__xludf.DUMMYFUNCTION("""COMPUTED_VALUE"""),"| 5 L JAVA % | 6 L NS @ | 7 P CPT @ | 9 P JAVA @ ")</f>
        <v xml:space="preserve">| 5 L JAVA % | 6 L NS @ | 7 P CPT @ | 9 P JAVA @ </v>
      </c>
      <c r="AM424" s="4" t="str">
        <f ca="1">IFERROR(__xludf.DUMMYFUNCTION("""COMPUTED_VALUE"""),"| 5 L CPT @ | 6 L JAVA @ | 7 P Python @ | 9 P PRO @ ")</f>
        <v xml:space="preserve">| 5 L CPT @ | 6 L JAVA @ | 7 P Python @ | 9 P PRO @ </v>
      </c>
      <c r="AN424" s="4" t="str">
        <f ca="1">IFERROR(__xludf.DUMMYFUNCTION("""COMPUTED_VALUE"""),"| 5 L PHP-CGM @ | 6 L CPT @ | 7 P JAVA @ ")</f>
        <v xml:space="preserve">| 5 L PHP-CGM @ | 6 L CPT @ | 7 P JAVA @ </v>
      </c>
      <c r="AO424" s="4" t="str">
        <f ca="1">IFERROR(__xludf.DUMMYFUNCTION("""COMPUTED_VALUE"""),"| 5 L PHP-CGM @ | 6 L NS @ | 7 P NS @ | 9 P PHP-CGM @ ")</f>
        <v xml:space="preserve">| 5 L PHP-CGM @ | 6 L NS @ | 7 P NS @ | 9 P PHP-CGM @ </v>
      </c>
      <c r="AP424" s="4" t="str">
        <f ca="1">IFERROR(__xludf.DUMMYFUNCTION("""COMPUTED_VALUE"""),"| 5 L NS @ | 7 L JAVA @ | 8 L CPT @ ")</f>
        <v xml:space="preserve">| 5 L NS @ | 7 L JAVA @ | 8 L CPT @ </v>
      </c>
      <c r="AQ424" s="4" t="str">
        <f ca="1">IFERROR(__xludf.DUMMYFUNCTION("""COMPUTED_VALUE"""),"| 5 L CPT @ | 6 L NS @ | 7 P CPT @ | 9 P JAVA @ ")</f>
        <v xml:space="preserve">| 5 L CPT @ | 6 L NS @ | 7 P CPT @ | 9 P JAVA @ </v>
      </c>
      <c r="AR424" s="4" t="str">
        <f ca="1">IFERROR(__xludf.DUMMYFUNCTION("""COMPUTED_VALUE"""),"| 5 L JAVA @ | 6 L JAVA @ | 5 L CPT @ | 7 P Python @ ")</f>
        <v xml:space="preserve">| 5 L JAVA @ | 6 L JAVA @ | 5 L CPT @ | 7 P Python @ </v>
      </c>
      <c r="AS424" s="4" t="str">
        <f ca="1">IFERROR(__xludf.DUMMYFUNCTION("""COMPUTED_VALUE"""),"| 5 L PHP-CGM @ | 6 L NS @ | 9 P PHP-CGM @ ")</f>
        <v xml:space="preserve">| 5 L PHP-CGM @ | 6 L NS @ | 9 P PHP-CGM @ </v>
      </c>
      <c r="AT424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AU424" s="4" t="str">
        <f ca="1">IFERROR(__xludf.DUMMYFUNCTION("""COMPUTED_VALUE"""),"| 5 L CPT @ | 6 L NS @ | 7 P CPT @ | 9 P JAVA @ ")</f>
        <v xml:space="preserve">| 5 L CPT @ | 6 L NS @ | 7 P CPT @ | 9 P JAVA @ </v>
      </c>
      <c r="AV424" s="4" t="str">
        <f ca="1">IFERROR(__xludf.DUMMYFUNCTION("""COMPUTED_VALUE"""),"| 5 L JAVA @ | 6 L JAVA @ | 7 P Python @ | 9 P PRO @ ")</f>
        <v xml:space="preserve">| 5 L JAVA @ | 6 L JAVA @ | 7 P Python @ | 9 P PRO @ </v>
      </c>
      <c r="AW424" s="4" t="str">
        <f ca="1">IFERROR(__xludf.DUMMYFUNCTION("""COMPUTED_VALUE"""),"| 5 L PHP-CGM @ | 6 L CPT @ | 7 P JAVA @ | 9 L INE @ ")</f>
        <v xml:space="preserve">| 5 L PHP-CGM @ | 6 L CPT @ | 7 P JAVA @ | 9 L INE @ </v>
      </c>
      <c r="AX424" s="4" t="str">
        <f ca="1">IFERROR(__xludf.DUMMYFUNCTION("""COMPUTED_VALUE"""),"| 5 L PHP-CGM @ | 6 L NS @ | 7 P NS @ | 9 P PHP-CGM @ ")</f>
        <v xml:space="preserve">| 5 L PHP-CGM @ | 6 L NS @ | 7 P NS @ | 9 P PHP-CGM @ </v>
      </c>
      <c r="AY424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AZ424" s="4" t="str">
        <f ca="1">IFERROR(__xludf.DUMMYFUNCTION("""COMPUTED_VALUE"""),"| 5 L JAVA @ | 6 L JAVA @ | 7 P Python @ ")</f>
        <v xml:space="preserve">| 5 L JAVA @ | 6 L JAVA @ | 7 P Python @ </v>
      </c>
      <c r="BA424" s="4" t="str">
        <f ca="1">IFERROR(__xludf.DUMMYFUNCTION("""COMPUTED_VALUE"""),"| 5 L PHP-CGM @ | 6 L CPT @ | 7 P JAVA @ | 9 L INE @ ")</f>
        <v xml:space="preserve">| 5 L PHP-CGM @ | 6 L CPT @ | 7 P JAVA @ | 9 L INE @ </v>
      </c>
      <c r="BB424" s="4" t="str">
        <f ca="1">IFERROR(__xludf.DUMMYFUNCTION("""COMPUTED_VALUE"""),"| 5 L PHP-CGM @ | 6 L NS @ | 7 P NS % | 9 P PHP-CGM @ ")</f>
        <v xml:space="preserve">| 5 L PHP-CGM @ | 6 L NS @ | 7 P NS % | 9 P PHP-CGM @ </v>
      </c>
      <c r="BC424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D424" s="4" t="str">
        <f ca="1">IFERROR(__xludf.DUMMYFUNCTION("""COMPUTED_VALUE"""),"| 5 L CPT @ | 6 L NS @ | 7 P CPT @ ")</f>
        <v xml:space="preserve">| 5 L CPT @ | 6 L NS @ | 7 P CPT @ </v>
      </c>
      <c r="BE424" s="4" t="str">
        <f ca="1">IFERROR(__xludf.DUMMYFUNCTION("""COMPUTED_VALUE"""),"| 5 L JAVA @ | 6 L JAVA @ | 7 P Python @ | 9 P PRO @ ")</f>
        <v xml:space="preserve">| 5 L JAVA @ | 6 L JAVA @ | 7 P Python @ | 9 P PRO @ </v>
      </c>
      <c r="BF424" s="4" t="str">
        <f ca="1">IFERROR(__xludf.DUMMYFUNCTION("""COMPUTED_VALUE"""),"| 5 L PHP-CGM @ | 6 L CPT @ | 7 P JAVA @ ")</f>
        <v xml:space="preserve">| 5 L PHP-CGM @ | 6 L CPT @ | 7 P JAVA @ </v>
      </c>
      <c r="BG424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H424" s="4" t="str">
        <f ca="1">IFERROR(__xludf.DUMMYFUNCTION("""COMPUTED_VALUE"""),"| 5 L CPT @ | 6 L NS @ | 7 P CPT @ | 9 P JAVA @ ")</f>
        <v xml:space="preserve">| 5 L CPT @ | 6 L NS @ | 7 P CPT @ | 9 P JAVA @ </v>
      </c>
      <c r="BI424" s="4" t="str">
        <f ca="1">IFERROR(__xludf.DUMMYFUNCTION("""COMPUTED_VALUE"""),"| 5 L JAVA @ | 6 L JAVA @ | 7 P Python @ | 9 P PRO @ ")</f>
        <v xml:space="preserve">| 5 L JAVA @ | 6 L JAVA @ | 7 P Python @ | 9 P PRO @ </v>
      </c>
      <c r="BJ424" s="4" t="str">
        <f ca="1">IFERROR(__xludf.DUMMYFUNCTION("""COMPUTED_VALUE"""),"| 5 L PHP-CGM @ | 6 L CPT @ | 7 P JAVA @ | 9 L INE @ ")</f>
        <v xml:space="preserve">| 5 L PHP-CGM @ | 6 L CPT @ | 7 P JAVA @ | 9 L INE @ </v>
      </c>
      <c r="BK424" s="4" t="str">
        <f ca="1">IFERROR(__xludf.DUMMYFUNCTION("""COMPUTED_VALUE"""),"| 5 L PHP-CGM @ | 6 L NS @ | 9 P PHP-CGM @ ")</f>
        <v xml:space="preserve">| 5 L PHP-CGM @ | 6 L NS @ | 9 P PHP-CGM @ </v>
      </c>
      <c r="BL424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4" s="4" t="str">
        <f ca="1">IFERROR(__xludf.DUMMYFUNCTION("""COMPUTED_VALUE"""),"| 5 L CPT @ | 6 L NS @ | 7 P CPT @ | 9 P JAVA @ ")</f>
        <v xml:space="preserve">| 5 L CPT @ | 6 L NS @ | 7 P CPT @ | 9 P JAVA @ </v>
      </c>
      <c r="BN424" s="4" t="str">
        <f ca="1">IFERROR(__xludf.DUMMYFUNCTION("""COMPUTED_VALUE"""),"| 5 L JAVA @ | 6 L JAVA @ ")</f>
        <v xml:space="preserve">| 5 L JAVA @ | 6 L JAVA @ </v>
      </c>
      <c r="BO424" s="4" t="str">
        <f ca="1">IFERROR(__xludf.DUMMYFUNCTION("""COMPUTED_VALUE"""),"| 5 L PHP-CGM @ | 9 L INE @ | 6 L CPT @ ")</f>
        <v xml:space="preserve">| 5 L PHP-CGM @ | 9 L INE @ | 6 L CPT @ </v>
      </c>
      <c r="BP424" s="4" t="str">
        <f ca="1">IFERROR(__xludf.DUMMYFUNCTION("""COMPUTED_VALUE"""),"| 5 L PHP-CGM @ | 6 L NS @ | 7 P NS @ | 9 P PHP-CGM @ ")</f>
        <v xml:space="preserve">| 5 L PHP-CGM @ | 6 L NS @ | 7 P NS @ | 9 P PHP-CGM @ </v>
      </c>
      <c r="BQ424" s="4" t="str">
        <f ca="1">IFERROR(__xludf.DUMMYFUNCTION("""COMPUTED_VALUE"""),"| 5 L CPT @ ")</f>
        <v xml:space="preserve">| 5 L CPT @ </v>
      </c>
      <c r="BR424" s="4" t="str">
        <f ca="1">IFERROR(__xludf.DUMMYFUNCTION("""COMPUTED_VALUE"""),"| 5 L JAVA @ | 6 L JAVA @ ")</f>
        <v xml:space="preserve">| 5 L JAVA @ | 6 L JAVA @ </v>
      </c>
      <c r="BS424" s="4"/>
      <c r="BT424" s="4" t="str">
        <f ca="1">IFERROR(__xludf.DUMMYFUNCTION("""COMPUTED_VALUE"""),"| 7 P NS @ ")</f>
        <v xml:space="preserve">| 7 P NS @ </v>
      </c>
      <c r="BU424" s="4" t="str">
        <f ca="1">IFERROR(__xludf.DUMMYFUNCTION("""COMPUTED_VALUE"""),"| 7 L JAVA @ ")</f>
        <v xml:space="preserve">| 7 L JAVA @ </v>
      </c>
      <c r="BV424" s="4" t="str">
        <f ca="1">IFERROR(__xludf.DUMMYFUNCTION("""COMPUTED_VALUE"""),"| 5 L PHP-CGM @ | 6 L NS @ ")</f>
        <v xml:space="preserve">| 5 L PHP-CGM @ | 6 L NS @ </v>
      </c>
      <c r="BW424" s="4"/>
      <c r="BX424" s="4" t="str">
        <f ca="1">IFERROR(__xludf.DUMMYFUNCTION("""COMPUTED_VALUE"""),"| 5 L CPT @ | 6 L NS @ | 7 P CPT @ ")</f>
        <v xml:space="preserve">| 5 L CPT @ | 6 L NS @ | 7 P CPT @ </v>
      </c>
      <c r="BY424" s="4" t="str">
        <f ca="1">IFERROR(__xludf.DUMMYFUNCTION("""COMPUTED_VALUE"""),"| 5 L JAVA @ | 6 L JAVA @ | 7 P Python @ ")</f>
        <v xml:space="preserve">| 5 L JAVA @ | 6 L JAVA @ | 7 P Python @ </v>
      </c>
      <c r="BZ424" s="4" t="str">
        <f ca="1">IFERROR(__xludf.DUMMYFUNCTION("""COMPUTED_VALUE"""),"| 5 L PHP-CGM @ | 6 L CPT @ | 7 P JAVA @ ")</f>
        <v xml:space="preserve">| 5 L PHP-CGM @ | 6 L CPT @ | 7 P JAVA @ </v>
      </c>
      <c r="CA424" s="4" t="str">
        <f ca="1">IFERROR(__xludf.DUMMYFUNCTION("""COMPUTED_VALUE"""),"| 5 L PHP-CGM @ | 6 L NS @ | 7 P NS @ | 9 P PHP-CGM @ ")</f>
        <v xml:space="preserve">| 5 L PHP-CGM @ | 6 L NS @ | 7 P NS @ | 9 P PHP-CGM @ </v>
      </c>
      <c r="CB424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CC424" s="4" t="str">
        <f ca="1">IFERROR(__xludf.DUMMYFUNCTION("""COMPUTED_VALUE"""),"| 6 L NS @ | 5 L CPT @ | 7 P CPT @ | 9 P JAVA @ ")</f>
        <v xml:space="preserve">| 6 L NS @ | 5 L CPT @ | 7 P CPT @ | 9 P JAVA @ </v>
      </c>
      <c r="CD424" s="4" t="str">
        <f ca="1">IFERROR(__xludf.DUMMYFUNCTION("""COMPUTED_VALUE"""),"| 5 L JAVA @ | 6 L JAVA @ | 7 P Python @ | 9 P PRO @ ")</f>
        <v xml:space="preserve">| 5 L JAVA @ | 6 L JAVA @ | 7 P Python @ | 9 P PRO @ </v>
      </c>
      <c r="CE424" s="4" t="str">
        <f ca="1">IFERROR(__xludf.DUMMYFUNCTION("""COMPUTED_VALUE"""),"| 5 L PHP-CGM @ | 6 L CPT @ | 7 P JAVA @ | 9 L INE @ ")</f>
        <v xml:space="preserve">| 5 L PHP-CGM @ | 6 L CPT @ | 7 P JAVA @ | 9 L INE @ </v>
      </c>
      <c r="CF424" s="4" t="str">
        <f ca="1">IFERROR(__xludf.DUMMYFUNCTION("""COMPUTED_VALUE"""),"| 5 L PHP-CGM @ | 6 L NS @ | 7 P NS @ | 9 P PHP-CGM @ ")</f>
        <v xml:space="preserve">| 5 L PHP-CGM @ | 6 L NS @ | 7 P NS @ | 9 P PHP-CGM @ </v>
      </c>
      <c r="CG424" s="4" t="str">
        <f ca="1">IFERROR(__xludf.DUMMYFUNCTION("""COMPUTED_VALUE"""),"| 6 L PHP-CGM @ | 7 L JAVA @ | 8 L CPT @ | 9 P Python @ ")</f>
        <v xml:space="preserve">| 6 L PHP-CGM @ | 7 L JAVA @ | 8 L CPT @ | 9 P Python @ </v>
      </c>
      <c r="CH424" s="4" t="str">
        <f ca="1">IFERROR(__xludf.DUMMYFUNCTION("""COMPUTED_VALUE"""),"| 5 L CPT @ | 6 L NS @ | 9 P JAVA @ ")</f>
        <v xml:space="preserve">| 5 L CPT @ | 6 L NS @ | 9 P JAVA @ </v>
      </c>
      <c r="CI424" s="4" t="str">
        <f ca="1">IFERROR(__xludf.DUMMYFUNCTION("""COMPUTED_VALUE"""),"| 5 L JAVA @ | 6 L JAVA @ | 9 P PRO @ ")</f>
        <v xml:space="preserve">| 5 L JAVA @ | 6 L JAVA @ | 9 P PRO @ </v>
      </c>
      <c r="CJ424" s="4" t="str">
        <f ca="1">IFERROR(__xludf.DUMMYFUNCTION("""COMPUTED_VALUE"""),"| 5 L PHP-CGM @ | 9 L INE @ ")</f>
        <v xml:space="preserve">| 5 L PHP-CGM @ | 9 L INE @ </v>
      </c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</row>
    <row r="425" spans="1:102" ht="12.5" x14ac:dyDescent="0.25">
      <c r="A425" s="3">
        <f ca="1">IFERROR(__xludf.DUMMYFUNCTION("""COMPUTED_VALUE"""),1)</f>
        <v>1</v>
      </c>
      <c r="B425" s="3" t="str">
        <f ca="1">IFERROR(__xludf.DUMMYFUNCTION("""COMPUTED_VALUE"""),"ITB")</f>
        <v>ITB</v>
      </c>
      <c r="C425" s="32" t="str">
        <f ca="1">IFERROR(__xludf.DUMMYFUNCTION("""COMPUTED_VALUE"""),"23291371013")</f>
        <v>23291371013</v>
      </c>
      <c r="D425" s="4" t="str">
        <f ca="1">IFERROR(__xludf.DUMMYFUNCTION("""COMPUTED_VALUE"""),"CHAUDHARY NEEV TARESHBHAI")</f>
        <v>CHAUDHARY NEEV TARESHBHAI</v>
      </c>
      <c r="E425" s="3" t="str">
        <f ca="1">IFERROR(__xludf.DUMMYFUNCTION("""COMPUTED_VALUE"""),"VSP - Eve")</f>
        <v>VSP - Eve</v>
      </c>
      <c r="F425" s="3">
        <f ca="1">IFERROR(__xludf.DUMMYFUNCTION("""COMPUTED_VALUE"""),8200335835)</f>
        <v>8200335835</v>
      </c>
      <c r="G425" s="3">
        <f ca="1">IFERROR(__xludf.DUMMYFUNCTION("""COMPUTED_VALUE"""),8200335835)</f>
        <v>8200335835</v>
      </c>
      <c r="H425" s="33">
        <f ca="1">IFERROR(__xludf.DUMMYFUNCTION("""COMPUTED_VALUE"""),0.650442477876106)</f>
        <v>0.65044247787610598</v>
      </c>
      <c r="I425" s="25">
        <f ca="1">IFERROR(__xludf.DUMMYFUNCTION("""COMPUTED_VALUE"""),0.611111111111111)</f>
        <v>0.61111111111111105</v>
      </c>
      <c r="J425" s="25">
        <f ca="1">IFERROR(__xludf.DUMMYFUNCTION("""COMPUTED_VALUE"""),0.8)</f>
        <v>0.8</v>
      </c>
      <c r="K425" s="25">
        <f ca="1">IFERROR(__xludf.DUMMYFUNCTION("""COMPUTED_VALUE"""),0.696969696969697)</f>
        <v>0.69696969696969702</v>
      </c>
      <c r="L425" s="25">
        <f ca="1">IFERROR(__xludf.DUMMYFUNCTION("""COMPUTED_VALUE"""),0.7)</f>
        <v>0.7</v>
      </c>
      <c r="M425" s="25">
        <f ca="1">IFERROR(__xludf.DUMMYFUNCTION("""COMPUTED_VALUE"""),0.558823529411764)</f>
        <v>0.55882352941176405</v>
      </c>
      <c r="N425" s="25">
        <f ca="1">IFERROR(__xludf.DUMMYFUNCTION("""COMPUTED_VALUE"""),0.7)</f>
        <v>0.7</v>
      </c>
      <c r="O425" s="25">
        <f ca="1">IFERROR(__xludf.DUMMYFUNCTION("""COMPUTED_VALUE"""),0.692307692307692)</f>
        <v>0.69230769230769196</v>
      </c>
      <c r="P425" s="25">
        <f ca="1">IFERROR(__xludf.DUMMYFUNCTION("""COMPUTED_VALUE"""),0.631578947368421)</f>
        <v>0.63157894736842102</v>
      </c>
      <c r="Q425" s="25">
        <f ca="1">IFERROR(__xludf.DUMMYFUNCTION("""COMPUTED_VALUE"""),0)</f>
        <v>0</v>
      </c>
      <c r="R425" s="25">
        <f ca="1">IFERROR(__xludf.DUMMYFUNCTION("""COMPUTED_VALUE"""),0.7)</f>
        <v>0.7</v>
      </c>
      <c r="S425" s="25">
        <f ca="1">IFERROR(__xludf.DUMMYFUNCTION("""COMPUTED_VALUE"""),0)</f>
        <v>0</v>
      </c>
      <c r="T425" s="25">
        <f ca="1">IFERROR(__xludf.DUMMYFUNCTION("""COMPUTED_VALUE"""),0.666666666666666)</f>
        <v>0.66666666666666596</v>
      </c>
      <c r="U425" s="25">
        <f ca="1">IFERROR(__xludf.DUMMYFUNCTION("""COMPUTED_VALUE"""),0.333333333333333)</f>
        <v>0.33333333333333298</v>
      </c>
      <c r="V425" s="25">
        <f ca="1">IFERROR(__xludf.DUMMYFUNCTION("""COMPUTED_VALUE"""),0)</f>
        <v>0</v>
      </c>
      <c r="W425" s="4"/>
      <c r="X425" s="4" t="str">
        <f ca="1">IFERROR(__xludf.DUMMYFUNCTION("""COMPUTED_VALUE"""),"| 5 L PHP-CGM @ | 6 L NS @ | 7 P NS @ ")</f>
        <v xml:space="preserve">| 5 L PHP-CGM @ | 6 L NS @ | 7 P NS @ </v>
      </c>
      <c r="Y425" s="4" t="str">
        <f ca="1">IFERROR(__xludf.DUMMYFUNCTION("""COMPUTED_VALUE"""),"| 5 L NS @ | 6 L PHP-CGM @ | 7 L JAVA @ | 8 L CPT @ ")</f>
        <v xml:space="preserve">| 5 L NS @ | 6 L PHP-CGM @ | 7 L JAVA @ | 8 L CPT @ </v>
      </c>
      <c r="Z425" s="4" t="str">
        <f ca="1">IFERROR(__xludf.DUMMYFUNCTION("""COMPUTED_VALUE"""),"| 5 L JAVA @ | 6 L NS @ | 7 P CPT @ | 9 P JAVA @ ")</f>
        <v xml:space="preserve">| 5 L JAVA @ | 6 L NS @ | 7 P CPT @ | 9 P JAVA @ </v>
      </c>
      <c r="AA425" s="4" t="str">
        <f ca="1">IFERROR(__xludf.DUMMYFUNCTION("""COMPUTED_VALUE"""),"| 5 L CPT @ | 6 L JAVA @ | 7 P Python @ | 9 P PRO @ ")</f>
        <v xml:space="preserve">| 5 L CPT @ | 6 L JAVA @ | 7 P Python @ | 9 P PRO @ </v>
      </c>
      <c r="AB425" s="4" t="str">
        <f ca="1">IFERROR(__xludf.DUMMYFUNCTION("""COMPUTED_VALUE"""),"| 5 L PHP-CGM @ | 6 L CPT @ | 7 P JAVA @ ")</f>
        <v xml:space="preserve">| 5 L PHP-CGM @ | 6 L CPT @ | 7 P JAVA @ </v>
      </c>
      <c r="AC425" s="4" t="str">
        <f ca="1">IFERROR(__xludf.DUMMYFUNCTION("""COMPUTED_VALUE"""),"| 5 L PHP-CGM % | 6 L NS % | 7 P NS % | 9 P PHP-CGM % ")</f>
        <v xml:space="preserve">| 5 L PHP-CGM % | 6 L NS % | 7 P NS % | 9 P PHP-CGM % </v>
      </c>
      <c r="AD425" s="4" t="str">
        <f ca="1">IFERROR(__xludf.DUMMYFUNCTION("""COMPUTED_VALUE"""),"| 5 L NS @ | 7 L JAVA @ | 8 L CPT @ | 9 P Python @ | 6 L PHP-CGM @ ")</f>
        <v xml:space="preserve">| 5 L NS @ | 7 L JAVA @ | 8 L CPT @ | 9 P Python @ | 6 L PHP-CGM @ </v>
      </c>
      <c r="AE425" s="4" t="str">
        <f ca="1">IFERROR(__xludf.DUMMYFUNCTION("""COMPUTED_VALUE"""),"| 5 L JAVA % | 6 L NS % | 7 P CPT % | 9 P JAVA % ")</f>
        <v xml:space="preserve">| 5 L JAVA % | 6 L NS % | 7 P CPT % | 9 P JAVA % </v>
      </c>
      <c r="AF425" s="4" t="str">
        <f ca="1">IFERROR(__xludf.DUMMYFUNCTION("""COMPUTED_VALUE"""),"| 5 L CPT % | 6 L JAVA % | 7 P Python % | 9 P PRO % ")</f>
        <v xml:space="preserve">| 5 L CPT % | 6 L JAVA % | 7 P Python % | 9 P PRO % </v>
      </c>
      <c r="AG425" s="4" t="str">
        <f ca="1">IFERROR(__xludf.DUMMYFUNCTION("""COMPUTED_VALUE"""),"| 5 L PHP-CGM @ | 6 L CPT @ | 7 P JAVA @ ")</f>
        <v xml:space="preserve">| 5 L PHP-CGM @ | 6 L CPT @ | 7 P JAVA @ </v>
      </c>
      <c r="AH425" s="4" t="str">
        <f ca="1">IFERROR(__xludf.DUMMYFUNCTION("""COMPUTED_VALUE"""),"| 5 L CPT @ | 6 L JAVA @ | 7 P Python @ | 9 P PRO @ ")</f>
        <v xml:space="preserve">| 5 L CPT @ | 6 L JAVA @ | 7 P Python @ | 9 P PRO @ </v>
      </c>
      <c r="AI425" s="4" t="str">
        <f ca="1">IFERROR(__xludf.DUMMYFUNCTION("""COMPUTED_VALUE"""),"| 5 L PHP-CGM % | 6 L CPT % | 7 P JAVA % ")</f>
        <v xml:space="preserve">| 5 L PHP-CGM % | 6 L CPT % | 7 P JAVA % </v>
      </c>
      <c r="AJ425" s="4" t="str">
        <f ca="1">IFERROR(__xludf.DUMMYFUNCTION("""COMPUTED_VALUE"""),"| 5 L PHP-CGM @ | 6 L NS @ | 7 P NS @ | 9 P PHP-CGM @ ")</f>
        <v xml:space="preserve">| 5 L PHP-CGM @ | 6 L NS @ | 7 P NS @ | 9 P PHP-CGM @ </v>
      </c>
      <c r="AK425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25" s="4" t="str">
        <f ca="1">IFERROR(__xludf.DUMMYFUNCTION("""COMPUTED_VALUE"""),"| 5 L JAVA % | 6 L NS % | 7 P CPT % | 9 P JAVA % ")</f>
        <v xml:space="preserve">| 5 L JAVA % | 6 L NS % | 7 P CPT % | 9 P JAVA % </v>
      </c>
      <c r="AM425" s="4" t="str">
        <f ca="1">IFERROR(__xludf.DUMMYFUNCTION("""COMPUTED_VALUE"""),"| 5 L CPT % | 6 L JAVA % | 7 P Python % | 9 P PRO % ")</f>
        <v xml:space="preserve">| 5 L CPT % | 6 L JAVA % | 7 P Python % | 9 P PRO % </v>
      </c>
      <c r="AN425" s="4" t="str">
        <f ca="1">IFERROR(__xludf.DUMMYFUNCTION("""COMPUTED_VALUE"""),"| 5 L PHP-CGM % | 6 L CPT % | 7 P JAVA % ")</f>
        <v xml:space="preserve">| 5 L PHP-CGM % | 6 L CPT % | 7 P JAVA % </v>
      </c>
      <c r="AO425" s="4" t="str">
        <f ca="1">IFERROR(__xludf.DUMMYFUNCTION("""COMPUTED_VALUE"""),"| 5 L PHP-CGM % | 6 L NS % | 7 P NS % | 9 P PHP-CGM % ")</f>
        <v xml:space="preserve">| 5 L PHP-CGM % | 6 L NS % | 7 P NS % | 9 P PHP-CGM % </v>
      </c>
      <c r="AP425" s="4" t="str">
        <f ca="1">IFERROR(__xludf.DUMMYFUNCTION("""COMPUTED_VALUE"""),"| 5 L NS % | 7 L JAVA % | 8 L CPT % ")</f>
        <v xml:space="preserve">| 5 L NS % | 7 L JAVA % | 8 L CPT % </v>
      </c>
      <c r="AQ425" s="4" t="str">
        <f ca="1">IFERROR(__xludf.DUMMYFUNCTION("""COMPUTED_VALUE"""),"| 5 L CPT % | 6 L NS % | 7 P CPT % | 9 P JAVA % ")</f>
        <v xml:space="preserve">| 5 L CPT % | 6 L NS % | 7 P CPT % | 9 P JAVA % </v>
      </c>
      <c r="AR425" s="4" t="str">
        <f ca="1">IFERROR(__xludf.DUMMYFUNCTION("""COMPUTED_VALUE"""),"| 5 L JAVA % | 6 L JAVA % | 5 L CPT @ | 7 P Python % ")</f>
        <v xml:space="preserve">| 5 L JAVA % | 6 L JAVA % | 5 L CPT @ | 7 P Python % </v>
      </c>
      <c r="AS425" s="4" t="str">
        <f ca="1">IFERROR(__xludf.DUMMYFUNCTION("""COMPUTED_VALUE"""),"| 5 L PHP-CGM % | 6 L NS % | 9 P PHP-CGM % ")</f>
        <v xml:space="preserve">| 5 L PHP-CGM % | 6 L NS % | 9 P PHP-CGM % </v>
      </c>
      <c r="AT425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25" s="4" t="str">
        <f ca="1">IFERROR(__xludf.DUMMYFUNCTION("""COMPUTED_VALUE"""),"| 5 L CPT % | 6 L NS % | 7 P CPT % | 9 P JAVA % ")</f>
        <v xml:space="preserve">| 5 L CPT % | 6 L NS % | 7 P CPT % | 9 P JAVA % </v>
      </c>
      <c r="AV425" s="4" t="str">
        <f ca="1">IFERROR(__xludf.DUMMYFUNCTION("""COMPUTED_VALUE"""),"| 5 L JAVA % | 6 L JAVA % | 7 P Python % | 9 P PRO % ")</f>
        <v xml:space="preserve">| 5 L JAVA % | 6 L JAVA % | 7 P Python % | 9 P PRO % </v>
      </c>
      <c r="AW425" s="4" t="str">
        <f ca="1">IFERROR(__xludf.DUMMYFUNCTION("""COMPUTED_VALUE"""),"| 5 L PHP-CGM % | 6 L CPT % | 7 P JAVA % | 9 L INE % ")</f>
        <v xml:space="preserve">| 5 L PHP-CGM % | 6 L CPT % | 7 P JAVA % | 9 L INE % </v>
      </c>
      <c r="AX425" s="4" t="str">
        <f ca="1">IFERROR(__xludf.DUMMYFUNCTION("""COMPUTED_VALUE"""),"| 5 L PHP-CGM % | 6 L NS % | 7 P NS % | 9 P PHP-CGM % ")</f>
        <v xml:space="preserve">| 5 L PHP-CGM % | 6 L NS % | 7 P NS % | 9 P PHP-CGM % </v>
      </c>
      <c r="AY425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25" s="4" t="str">
        <f ca="1">IFERROR(__xludf.DUMMYFUNCTION("""COMPUTED_VALUE"""),"| 5 L JAVA % | 6 L JAVA % | 7 P Python % ")</f>
        <v xml:space="preserve">| 5 L JAVA % | 6 L JAVA % | 7 P Python % </v>
      </c>
      <c r="BA425" s="4" t="str">
        <f ca="1">IFERROR(__xludf.DUMMYFUNCTION("""COMPUTED_VALUE"""),"| 5 L PHP-CGM @ | 6 L CPT @ | 7 P JAVA @ | 9 L INE @ ")</f>
        <v xml:space="preserve">| 5 L PHP-CGM @ | 6 L CPT @ | 7 P JAVA @ | 9 L INE @ </v>
      </c>
      <c r="BB425" s="4" t="str">
        <f ca="1">IFERROR(__xludf.DUMMYFUNCTION("""COMPUTED_VALUE"""),"| 5 L PHP-CGM % | 6 L NS % | 7 P NS % | 9 P PHP-CGM % ")</f>
        <v xml:space="preserve">| 5 L PHP-CGM % | 6 L NS % | 7 P NS % | 9 P PHP-CGM % </v>
      </c>
      <c r="BC425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D425" s="4" t="str">
        <f ca="1">IFERROR(__xludf.DUMMYFUNCTION("""COMPUTED_VALUE"""),"| 5 L CPT % | 6 L NS % | 7 P CPT % ")</f>
        <v xml:space="preserve">| 5 L CPT % | 6 L NS % | 7 P CPT % </v>
      </c>
      <c r="BE425" s="4" t="str">
        <f ca="1">IFERROR(__xludf.DUMMYFUNCTION("""COMPUTED_VALUE"""),"| 5 L JAVA % | 6 L JAVA % | 7 P Python % | 9 P PRO % ")</f>
        <v xml:space="preserve">| 5 L JAVA % | 6 L JAVA % | 7 P Python % | 9 P PRO % </v>
      </c>
      <c r="BF425" s="4" t="str">
        <f ca="1">IFERROR(__xludf.DUMMYFUNCTION("""COMPUTED_VALUE"""),"| 5 L PHP-CGM @ | 6 L CPT @ | 7 P JAVA @ ")</f>
        <v xml:space="preserve">| 5 L PHP-CGM @ | 6 L CPT @ | 7 P JAVA @ </v>
      </c>
      <c r="BG425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H425" s="4" t="str">
        <f ca="1">IFERROR(__xludf.DUMMYFUNCTION("""COMPUTED_VALUE"""),"| 5 L CPT % | 6 L NS % | 7 P CPT % | 9 P JAVA % ")</f>
        <v xml:space="preserve">| 5 L CPT % | 6 L NS % | 7 P CPT % | 9 P JAVA % </v>
      </c>
      <c r="BI425" s="4" t="str">
        <f ca="1">IFERROR(__xludf.DUMMYFUNCTION("""COMPUTED_VALUE"""),"| 5 L JAVA % | 6 L JAVA % | 7 P Python % | 9 P PRO % ")</f>
        <v xml:space="preserve">| 5 L JAVA % | 6 L JAVA % | 7 P Python % | 9 P PRO % </v>
      </c>
      <c r="BJ425" s="4" t="str">
        <f ca="1">IFERROR(__xludf.DUMMYFUNCTION("""COMPUTED_VALUE"""),"| 5 L PHP-CGM % | 6 L CPT % | 7 P JAVA % | 9 L INE @ ")</f>
        <v xml:space="preserve">| 5 L PHP-CGM % | 6 L CPT % | 7 P JAVA % | 9 L INE @ </v>
      </c>
      <c r="BK425" s="4" t="str">
        <f ca="1">IFERROR(__xludf.DUMMYFUNCTION("""COMPUTED_VALUE"""),"| 5 L PHP-CGM @ | 6 L NS @ | 9 P PHP-CGM @ ")</f>
        <v xml:space="preserve">| 5 L PHP-CGM @ | 6 L NS @ | 9 P PHP-CGM @ </v>
      </c>
      <c r="BL425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5" s="4" t="str">
        <f ca="1">IFERROR(__xludf.DUMMYFUNCTION("""COMPUTED_VALUE"""),"| 5 L CPT @ | 6 L NS @ | 7 P CPT @ | 9 P JAVA @ ")</f>
        <v xml:space="preserve">| 5 L CPT @ | 6 L NS @ | 7 P CPT @ | 9 P JAVA @ </v>
      </c>
      <c r="BN425" s="4" t="str">
        <f ca="1">IFERROR(__xludf.DUMMYFUNCTION("""COMPUTED_VALUE"""),"| 5 L JAVA @ | 6 L JAVA @ ")</f>
        <v xml:space="preserve">| 5 L JAVA @ | 6 L JAVA @ </v>
      </c>
      <c r="BO425" s="4" t="str">
        <f ca="1">IFERROR(__xludf.DUMMYFUNCTION("""COMPUTED_VALUE"""),"| 5 L PHP-CGM @ | 9 L INE @ | 6 L CPT @ ")</f>
        <v xml:space="preserve">| 5 L PHP-CGM @ | 9 L INE @ | 6 L CPT @ </v>
      </c>
      <c r="BP425" s="4" t="str">
        <f ca="1">IFERROR(__xludf.DUMMYFUNCTION("""COMPUTED_VALUE"""),"| 5 L PHP-CGM % | 6 L NS % | 7 P NS % | 9 P PHP-CGM % ")</f>
        <v xml:space="preserve">| 5 L PHP-CGM % | 6 L NS % | 7 P NS % | 9 P PHP-CGM % </v>
      </c>
      <c r="BQ425" s="4" t="str">
        <f ca="1">IFERROR(__xludf.DUMMYFUNCTION("""COMPUTED_VALUE"""),"| 5 L CPT @ ")</f>
        <v xml:space="preserve">| 5 L CPT @ </v>
      </c>
      <c r="BR425" s="4" t="str">
        <f ca="1">IFERROR(__xludf.DUMMYFUNCTION("""COMPUTED_VALUE"""),"| 5 L JAVA % | 6 L JAVA % ")</f>
        <v xml:space="preserve">| 5 L JAVA % | 6 L JAVA % </v>
      </c>
      <c r="BS425" s="4"/>
      <c r="BT425" s="4" t="str">
        <f ca="1">IFERROR(__xludf.DUMMYFUNCTION("""COMPUTED_VALUE"""),"| 7 P NS % ")</f>
        <v xml:space="preserve">| 7 P NS % </v>
      </c>
      <c r="BU425" s="4" t="str">
        <f ca="1">IFERROR(__xludf.DUMMYFUNCTION("""COMPUTED_VALUE"""),"| 7 L JAVA @ ")</f>
        <v xml:space="preserve">| 7 L JAVA @ </v>
      </c>
      <c r="BV425" s="4" t="str">
        <f ca="1">IFERROR(__xludf.DUMMYFUNCTION("""COMPUTED_VALUE"""),"| 5 L PHP-CGM % | 6 L NS % ")</f>
        <v xml:space="preserve">| 5 L PHP-CGM % | 6 L NS % </v>
      </c>
      <c r="BW425" s="4"/>
      <c r="BX425" s="4" t="str">
        <f ca="1">IFERROR(__xludf.DUMMYFUNCTION("""COMPUTED_VALUE"""),"| 5 L CPT % | 6 L NS % | 7 P CPT % ")</f>
        <v xml:space="preserve">| 5 L CPT % | 6 L NS % | 7 P CPT % </v>
      </c>
      <c r="BY425" s="4" t="str">
        <f ca="1">IFERROR(__xludf.DUMMYFUNCTION("""COMPUTED_VALUE"""),"| 5 L JAVA % | 6 L JAVA % | 7 P Python % ")</f>
        <v xml:space="preserve">| 5 L JAVA % | 6 L JAVA % | 7 P Python % </v>
      </c>
      <c r="BZ425" s="4" t="str">
        <f ca="1">IFERROR(__xludf.DUMMYFUNCTION("""COMPUTED_VALUE"""),"| 5 L PHP-CGM % | 6 L CPT % | 7 P JAVA % ")</f>
        <v xml:space="preserve">| 5 L PHP-CGM % | 6 L CPT % | 7 P JAVA % </v>
      </c>
      <c r="CA425" s="4" t="str">
        <f ca="1">IFERROR(__xludf.DUMMYFUNCTION("""COMPUTED_VALUE"""),"| 5 L PHP-CGM @ | 6 L NS % | 7 P NS % | 9 P PHP-CGM % ")</f>
        <v xml:space="preserve">| 5 L PHP-CGM @ | 6 L NS % | 7 P NS % | 9 P PHP-CGM % </v>
      </c>
      <c r="CB425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CC425" s="4" t="str">
        <f ca="1">IFERROR(__xludf.DUMMYFUNCTION("""COMPUTED_VALUE"""),"| 6 L NS % | 5 L CPT % | 7 P CPT % | 9 P JAVA % ")</f>
        <v xml:space="preserve">| 6 L NS % | 5 L CPT % | 7 P CPT % | 9 P JAVA % </v>
      </c>
      <c r="CD425" s="4" t="str">
        <f ca="1">IFERROR(__xludf.DUMMYFUNCTION("""COMPUTED_VALUE"""),"| 5 L JAVA @ | 6 L JAVA @ | 7 P Python % | 9 P PRO % ")</f>
        <v xml:space="preserve">| 5 L JAVA @ | 6 L JAVA @ | 7 P Python % | 9 P PRO % </v>
      </c>
      <c r="CE425" s="4" t="str">
        <f ca="1">IFERROR(__xludf.DUMMYFUNCTION("""COMPUTED_VALUE"""),"| 5 L PHP-CGM % | 6 L CPT % | 7 P JAVA @ | 9 L INE % ")</f>
        <v xml:space="preserve">| 5 L PHP-CGM % | 6 L CPT % | 7 P JAVA @ | 9 L INE % </v>
      </c>
      <c r="CF425" s="4" t="str">
        <f ca="1">IFERROR(__xludf.DUMMYFUNCTION("""COMPUTED_VALUE"""),"| 5 L PHP-CGM @ | 6 L NS @ | 7 P NS @ | 9 P PHP-CGM @ ")</f>
        <v xml:space="preserve">| 5 L PHP-CGM @ | 6 L NS @ | 7 P NS @ | 9 P PHP-CGM @ </v>
      </c>
      <c r="CG425" s="4" t="str">
        <f ca="1">IFERROR(__xludf.DUMMYFUNCTION("""COMPUTED_VALUE"""),"| 6 L PHP-CGM % | 7 L JAVA % | 8 L CPT % | 9 P Python % ")</f>
        <v xml:space="preserve">| 6 L PHP-CGM % | 7 L JAVA % | 8 L CPT % | 9 P Python % </v>
      </c>
      <c r="CH425" s="4" t="str">
        <f ca="1">IFERROR(__xludf.DUMMYFUNCTION("""COMPUTED_VALUE"""),"| 5 L CPT % | 6 L NS % | 9 P JAVA % ")</f>
        <v xml:space="preserve">| 5 L CPT % | 6 L NS % | 9 P JAVA % </v>
      </c>
      <c r="CI425" s="4" t="str">
        <f ca="1">IFERROR(__xludf.DUMMYFUNCTION("""COMPUTED_VALUE"""),"| 5 L JAVA % | 6 L JAVA % | 9 P PRO @ ")</f>
        <v xml:space="preserve">| 5 L JAVA % | 6 L JAVA % | 9 P PRO @ </v>
      </c>
      <c r="CJ425" s="4" t="str">
        <f ca="1">IFERROR(__xludf.DUMMYFUNCTION("""COMPUTED_VALUE"""),"| 5 L PHP-CGM @ | 9 L INE @ ")</f>
        <v xml:space="preserve">| 5 L PHP-CGM @ | 9 L INE @ </v>
      </c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</row>
    <row r="426" spans="1:102" ht="12.5" x14ac:dyDescent="0.25">
      <c r="A426" s="3">
        <f ca="1">IFERROR(__xludf.DUMMYFUNCTION("""COMPUTED_VALUE"""),1)</f>
        <v>1</v>
      </c>
      <c r="B426" s="3" t="str">
        <f ca="1">IFERROR(__xludf.DUMMYFUNCTION("""COMPUTED_VALUE"""),"ITB")</f>
        <v>ITB</v>
      </c>
      <c r="C426" s="32" t="str">
        <f ca="1">IFERROR(__xludf.DUMMYFUNCTION("""COMPUTED_VALUE"""),"23291371017")</f>
        <v>23291371017</v>
      </c>
      <c r="D426" s="4" t="str">
        <f ca="1">IFERROR(__xludf.DUMMYFUNCTION("""COMPUTED_VALUE"""),"CHAUHAN RUDRASINH SANJAYSINH")</f>
        <v>CHAUHAN RUDRASINH SANJAYSINH</v>
      </c>
      <c r="E426" s="3" t="str">
        <f ca="1">IFERROR(__xludf.DUMMYFUNCTION("""COMPUTED_VALUE"""),"VSP - Eve")</f>
        <v>VSP - Eve</v>
      </c>
      <c r="F426" s="3">
        <f ca="1">IFERROR(__xludf.DUMMYFUNCTION("""COMPUTED_VALUE"""),9429540446)</f>
        <v>9429540446</v>
      </c>
      <c r="G426" s="3">
        <f ca="1">IFERROR(__xludf.DUMMYFUNCTION("""COMPUTED_VALUE"""),9924280446)</f>
        <v>9924280446</v>
      </c>
      <c r="H426" s="33">
        <f ca="1">IFERROR(__xludf.DUMMYFUNCTION("""COMPUTED_VALUE"""),0.424778761061946)</f>
        <v>0.42477876106194601</v>
      </c>
      <c r="I426" s="25">
        <f ca="1">IFERROR(__xludf.DUMMYFUNCTION("""COMPUTED_VALUE"""),0.555555555555555)</f>
        <v>0.55555555555555503</v>
      </c>
      <c r="J426" s="25">
        <f ca="1">IFERROR(__xludf.DUMMYFUNCTION("""COMPUTED_VALUE"""),0.6)</f>
        <v>0.6</v>
      </c>
      <c r="K426" s="25">
        <f ca="1">IFERROR(__xludf.DUMMYFUNCTION("""COMPUTED_VALUE"""),0.575757575757575)</f>
        <v>0.57575757575757502</v>
      </c>
      <c r="L426" s="25">
        <f ca="1">IFERROR(__xludf.DUMMYFUNCTION("""COMPUTED_VALUE"""),0.3)</f>
        <v>0.3</v>
      </c>
      <c r="M426" s="25">
        <f ca="1">IFERROR(__xludf.DUMMYFUNCTION("""COMPUTED_VALUE"""),0.5)</f>
        <v>0.5</v>
      </c>
      <c r="N426" s="25">
        <f ca="1">IFERROR(__xludf.DUMMYFUNCTION("""COMPUTED_VALUE"""),0.2)</f>
        <v>0.2</v>
      </c>
      <c r="O426" s="25">
        <f ca="1">IFERROR(__xludf.DUMMYFUNCTION("""COMPUTED_VALUE"""),0.487179487179487)</f>
        <v>0.487179487179487</v>
      </c>
      <c r="P426" s="25">
        <f ca="1">IFERROR(__xludf.DUMMYFUNCTION("""COMPUTED_VALUE"""),0.210526315789473)</f>
        <v>0.21052631578947301</v>
      </c>
      <c r="Q426" s="25">
        <f ca="1">IFERROR(__xludf.DUMMYFUNCTION("""COMPUTED_VALUE"""),0)</f>
        <v>0</v>
      </c>
      <c r="R426" s="25">
        <f ca="1">IFERROR(__xludf.DUMMYFUNCTION("""COMPUTED_VALUE"""),0.25)</f>
        <v>0.25</v>
      </c>
      <c r="S426" s="25">
        <f ca="1">IFERROR(__xludf.DUMMYFUNCTION("""COMPUTED_VALUE"""),0)</f>
        <v>0</v>
      </c>
      <c r="T426" s="25">
        <f ca="1">IFERROR(__xludf.DUMMYFUNCTION("""COMPUTED_VALUE"""),0.111111111111111)</f>
        <v>0.11111111111111099</v>
      </c>
      <c r="U426" s="25">
        <f ca="1">IFERROR(__xludf.DUMMYFUNCTION("""COMPUTED_VALUE"""),0)</f>
        <v>0</v>
      </c>
      <c r="V426" s="25">
        <f ca="1">IFERROR(__xludf.DUMMYFUNCTION("""COMPUTED_VALUE"""),0)</f>
        <v>0</v>
      </c>
      <c r="W426" s="4"/>
      <c r="X426" s="4" t="str">
        <f ca="1">IFERROR(__xludf.DUMMYFUNCTION("""COMPUTED_VALUE"""),"| 5 L PHP-CGM @ | 6 L NS @ | 7 P NS @ ")</f>
        <v xml:space="preserve">| 5 L PHP-CGM @ | 6 L NS @ | 7 P NS @ </v>
      </c>
      <c r="Y426" s="4" t="str">
        <f ca="1">IFERROR(__xludf.DUMMYFUNCTION("""COMPUTED_VALUE"""),"| 5 L NS @ | 6 L PHP-CGM @ | 7 L JAVA @ | 8 L CPT @ ")</f>
        <v xml:space="preserve">| 5 L NS @ | 6 L PHP-CGM @ | 7 L JAVA @ | 8 L CPT @ </v>
      </c>
      <c r="Z426" s="4" t="str">
        <f ca="1">IFERROR(__xludf.DUMMYFUNCTION("""COMPUTED_VALUE"""),"| 5 L JAVA @ | 6 L NS @ | 7 P CPT @ | 9 P JAVA @ ")</f>
        <v xml:space="preserve">| 5 L JAVA @ | 6 L NS @ | 7 P CPT @ | 9 P JAVA @ </v>
      </c>
      <c r="AA426" s="4" t="str">
        <f ca="1">IFERROR(__xludf.DUMMYFUNCTION("""COMPUTED_VALUE"""),"| 5 L CPT % | 6 L JAVA % | 7 P Python % | 9 P PRO @ ")</f>
        <v xml:space="preserve">| 5 L CPT % | 6 L JAVA % | 7 P Python % | 9 P PRO @ </v>
      </c>
      <c r="AB426" s="4" t="str">
        <f ca="1">IFERROR(__xludf.DUMMYFUNCTION("""COMPUTED_VALUE"""),"| 5 L PHP-CGM % | 6 L CPT % | 7 P JAVA % ")</f>
        <v xml:space="preserve">| 5 L PHP-CGM % | 6 L CPT % | 7 P JAVA % </v>
      </c>
      <c r="AC426" s="4" t="str">
        <f ca="1">IFERROR(__xludf.DUMMYFUNCTION("""COMPUTED_VALUE"""),"| 5 L PHP-CGM % | 6 L NS % | 7 P NS % | 9 P PHP-CGM % ")</f>
        <v xml:space="preserve">| 5 L PHP-CGM % | 6 L NS % | 7 P NS % | 9 P PHP-CGM % </v>
      </c>
      <c r="AD426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26" s="4" t="str">
        <f ca="1">IFERROR(__xludf.DUMMYFUNCTION("""COMPUTED_VALUE"""),"| 5 L JAVA % | 6 L NS % | 7 P CPT % | 9 P JAVA @ ")</f>
        <v xml:space="preserve">| 5 L JAVA % | 6 L NS % | 7 P CPT % | 9 P JAVA @ </v>
      </c>
      <c r="AF426" s="4" t="str">
        <f ca="1">IFERROR(__xludf.DUMMYFUNCTION("""COMPUTED_VALUE"""),"| 5 L CPT % | 6 L JAVA % | 7 P Python % | 9 P PRO @ ")</f>
        <v xml:space="preserve">| 5 L CPT % | 6 L JAVA % | 7 P Python % | 9 P PRO @ </v>
      </c>
      <c r="AG426" s="4" t="str">
        <f ca="1">IFERROR(__xludf.DUMMYFUNCTION("""COMPUTED_VALUE"""),"| 5 L PHP-CGM @ | 6 L CPT @ | 7 P JAVA @ ")</f>
        <v xml:space="preserve">| 5 L PHP-CGM @ | 6 L CPT @ | 7 P JAVA @ </v>
      </c>
      <c r="AH426" s="4" t="str">
        <f ca="1">IFERROR(__xludf.DUMMYFUNCTION("""COMPUTED_VALUE"""),"| 5 L CPT % | 6 L JAVA % | 7 P Python % | 9 P PRO % ")</f>
        <v xml:space="preserve">| 5 L CPT % | 6 L JAVA % | 7 P Python % | 9 P PRO % </v>
      </c>
      <c r="AI426" s="4" t="str">
        <f ca="1">IFERROR(__xludf.DUMMYFUNCTION("""COMPUTED_VALUE"""),"| 5 L PHP-CGM % | 6 L CPT % | 7 P JAVA % ")</f>
        <v xml:space="preserve">| 5 L PHP-CGM % | 6 L CPT % | 7 P JAVA % </v>
      </c>
      <c r="AJ426" s="4" t="str">
        <f ca="1">IFERROR(__xludf.DUMMYFUNCTION("""COMPUTED_VALUE"""),"| 5 L PHP-CGM % | 6 L NS % | 7 P NS % | 9 P PHP-CGM % ")</f>
        <v xml:space="preserve">| 5 L PHP-CGM % | 6 L NS % | 7 P NS % | 9 P PHP-CGM % </v>
      </c>
      <c r="AK426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L426" s="4" t="str">
        <f ca="1">IFERROR(__xludf.DUMMYFUNCTION("""COMPUTED_VALUE"""),"| 5 L JAVA % | 6 L NS % | 7 P CPT % | 9 P JAVA % ")</f>
        <v xml:space="preserve">| 5 L JAVA % | 6 L NS % | 7 P CPT % | 9 P JAVA % </v>
      </c>
      <c r="AM426" s="4" t="str">
        <f ca="1">IFERROR(__xludf.DUMMYFUNCTION("""COMPUTED_VALUE"""),"| 5 L CPT % | 6 L JAVA % | 7 P Python % | 9 P PRO @ ")</f>
        <v xml:space="preserve">| 5 L CPT % | 6 L JAVA % | 7 P Python % | 9 P PRO @ </v>
      </c>
      <c r="AN426" s="4" t="str">
        <f ca="1">IFERROR(__xludf.DUMMYFUNCTION("""COMPUTED_VALUE"""),"| 5 L PHP-CGM % | 6 L CPT % | 7 P JAVA % ")</f>
        <v xml:space="preserve">| 5 L PHP-CGM % | 6 L CPT % | 7 P JAVA % </v>
      </c>
      <c r="AO426" s="4" t="str">
        <f ca="1">IFERROR(__xludf.DUMMYFUNCTION("""COMPUTED_VALUE"""),"| 5 L PHP-CGM % | 6 L NS % | 7 P NS @ | 9 P PHP-CGM @ ")</f>
        <v xml:space="preserve">| 5 L PHP-CGM % | 6 L NS % | 7 P NS @ | 9 P PHP-CGM @ </v>
      </c>
      <c r="AP426" s="4" t="str">
        <f ca="1">IFERROR(__xludf.DUMMYFUNCTION("""COMPUTED_VALUE"""),"| 5 L NS % | 7 L JAVA % | 8 L CPT % ")</f>
        <v xml:space="preserve">| 5 L NS % | 7 L JAVA % | 8 L CPT % </v>
      </c>
      <c r="AQ426" s="4" t="str">
        <f ca="1">IFERROR(__xludf.DUMMYFUNCTION("""COMPUTED_VALUE"""),"| 5 L CPT % | 6 L NS % | 7 P CPT % | 9 P JAVA @ ")</f>
        <v xml:space="preserve">| 5 L CPT % | 6 L NS % | 7 P CPT % | 9 P JAVA @ </v>
      </c>
      <c r="AR426" s="4" t="str">
        <f ca="1">IFERROR(__xludf.DUMMYFUNCTION("""COMPUTED_VALUE"""),"| 5 L JAVA @ | 6 L JAVA @ | 5 L CPT @ | 7 P Python @ ")</f>
        <v xml:space="preserve">| 5 L JAVA @ | 6 L JAVA @ | 5 L CPT @ | 7 P Python @ </v>
      </c>
      <c r="AS426" s="4" t="str">
        <f ca="1">IFERROR(__xludf.DUMMYFUNCTION("""COMPUTED_VALUE"""),"| 5 L PHP-CGM % | 6 L NS % | 9 P PHP-CGM @ ")</f>
        <v xml:space="preserve">| 5 L PHP-CGM % | 6 L NS % | 9 P PHP-CGM @ </v>
      </c>
      <c r="AT426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U426" s="4" t="str">
        <f ca="1">IFERROR(__xludf.DUMMYFUNCTION("""COMPUTED_VALUE"""),"| 5 L CPT % | 6 L NS % | 7 P CPT % | 9 P JAVA @ ")</f>
        <v xml:space="preserve">| 5 L CPT % | 6 L NS % | 7 P CPT % | 9 P JAVA @ </v>
      </c>
      <c r="AV426" s="4" t="str">
        <f ca="1">IFERROR(__xludf.DUMMYFUNCTION("""COMPUTED_VALUE"""),"| 5 L JAVA @ | 6 L JAVA @ | 7 P Python @ | 9 P PRO @ ")</f>
        <v xml:space="preserve">| 5 L JAVA @ | 6 L JAVA @ | 7 P Python @ | 9 P PRO @ </v>
      </c>
      <c r="AW426" s="4" t="str">
        <f ca="1">IFERROR(__xludf.DUMMYFUNCTION("""COMPUTED_VALUE"""),"| 5 L PHP-CGM % | 6 L CPT % | 7 P JAVA @ | 9 L INE @ ")</f>
        <v xml:space="preserve">| 5 L PHP-CGM % | 6 L CPT % | 7 P JAVA @ | 9 L INE @ </v>
      </c>
      <c r="AX426" s="4" t="str">
        <f ca="1">IFERROR(__xludf.DUMMYFUNCTION("""COMPUTED_VALUE"""),"| 5 L PHP-CGM % | 6 L NS % | 7 P NS @ | 9 P PHP-CGM @ ")</f>
        <v xml:space="preserve">| 5 L PHP-CGM % | 6 L NS % | 7 P NS @ | 9 P PHP-CGM @ </v>
      </c>
      <c r="AY426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AZ426" s="4" t="str">
        <f ca="1">IFERROR(__xludf.DUMMYFUNCTION("""COMPUTED_VALUE"""),"| 5 L JAVA % | 6 L JAVA % | 7 P Python @ ")</f>
        <v xml:space="preserve">| 5 L JAVA % | 6 L JAVA % | 7 P Python @ </v>
      </c>
      <c r="BA426" s="4" t="str">
        <f ca="1">IFERROR(__xludf.DUMMYFUNCTION("""COMPUTED_VALUE"""),"| 5 L PHP-CGM @ | 6 L CPT @ | 7 P JAVA @ | 9 L INE @ ")</f>
        <v xml:space="preserve">| 5 L PHP-CGM @ | 6 L CPT @ | 7 P JAVA @ | 9 L INE @ </v>
      </c>
      <c r="BB426" s="4" t="str">
        <f ca="1">IFERROR(__xludf.DUMMYFUNCTION("""COMPUTED_VALUE"""),"| 5 L PHP-CGM % | 6 L NS % | 7 P NS % | 9 P PHP-CGM @ ")</f>
        <v xml:space="preserve">| 5 L PHP-CGM % | 6 L NS % | 7 P NS % | 9 P PHP-CGM @ </v>
      </c>
      <c r="BC426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D426" s="4" t="str">
        <f ca="1">IFERROR(__xludf.DUMMYFUNCTION("""COMPUTED_VALUE"""),"| 5 L CPT % | 6 L NS % | 7 P CPT % ")</f>
        <v xml:space="preserve">| 5 L CPT % | 6 L NS % | 7 P CPT % </v>
      </c>
      <c r="BE426" s="4" t="str">
        <f ca="1">IFERROR(__xludf.DUMMYFUNCTION("""COMPUTED_VALUE"""),"| 5 L JAVA % | 6 L JAVA % | 7 P Python @ | 9 P PRO @ ")</f>
        <v xml:space="preserve">| 5 L JAVA % | 6 L JAVA % | 7 P Python @ | 9 P PRO @ </v>
      </c>
      <c r="BF426" s="4" t="str">
        <f ca="1">IFERROR(__xludf.DUMMYFUNCTION("""COMPUTED_VALUE"""),"| 5 L PHP-CGM % | 6 L CPT % | 7 P JAVA @ ")</f>
        <v xml:space="preserve">| 5 L PHP-CGM % | 6 L CPT % | 7 P JAVA @ </v>
      </c>
      <c r="BG426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H426" s="4" t="str">
        <f ca="1">IFERROR(__xludf.DUMMYFUNCTION("""COMPUTED_VALUE"""),"| 5 L CPT % | 6 L NS % | 7 P CPT % | 9 P JAVA @ ")</f>
        <v xml:space="preserve">| 5 L CPT % | 6 L NS % | 7 P CPT % | 9 P JAVA @ </v>
      </c>
      <c r="BI426" s="4" t="str">
        <f ca="1">IFERROR(__xludf.DUMMYFUNCTION("""COMPUTED_VALUE"""),"| 5 L JAVA @ | 6 L JAVA @ | 7 P Python @ | 9 P PRO @ ")</f>
        <v xml:space="preserve">| 5 L JAVA @ | 6 L JAVA @ | 7 P Python @ | 9 P PRO @ </v>
      </c>
      <c r="BJ426" s="4" t="str">
        <f ca="1">IFERROR(__xludf.DUMMYFUNCTION("""COMPUTED_VALUE"""),"| 5 L PHP-CGM @ | 6 L CPT @ | 7 P JAVA @ | 9 L INE @ ")</f>
        <v xml:space="preserve">| 5 L PHP-CGM @ | 6 L CPT @ | 7 P JAVA @ | 9 L INE @ </v>
      </c>
      <c r="BK426" s="4" t="str">
        <f ca="1">IFERROR(__xludf.DUMMYFUNCTION("""COMPUTED_VALUE"""),"| 5 L PHP-CGM @ | 6 L NS @ | 9 P PHP-CGM @ ")</f>
        <v xml:space="preserve">| 5 L PHP-CGM @ | 6 L NS @ | 9 P PHP-CGM @ </v>
      </c>
      <c r="BL426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6" s="4" t="str">
        <f ca="1">IFERROR(__xludf.DUMMYFUNCTION("""COMPUTED_VALUE"""),"| 5 L CPT @ | 6 L NS @ | 7 P CPT @ | 9 P JAVA @ ")</f>
        <v xml:space="preserve">| 5 L CPT @ | 6 L NS @ | 7 P CPT @ | 9 P JAVA @ </v>
      </c>
      <c r="BN426" s="4" t="str">
        <f ca="1">IFERROR(__xludf.DUMMYFUNCTION("""COMPUTED_VALUE"""),"| 5 L JAVA @ | 6 L JAVA @ ")</f>
        <v xml:space="preserve">| 5 L JAVA @ | 6 L JAVA @ </v>
      </c>
      <c r="BO426" s="4" t="str">
        <f ca="1">IFERROR(__xludf.DUMMYFUNCTION("""COMPUTED_VALUE"""),"| 5 L PHP-CGM @ | 9 L INE @ | 6 L CPT @ ")</f>
        <v xml:space="preserve">| 5 L PHP-CGM @ | 9 L INE @ | 6 L CPT @ </v>
      </c>
      <c r="BP426" s="4" t="str">
        <f ca="1">IFERROR(__xludf.DUMMYFUNCTION("""COMPUTED_VALUE"""),"| 5 L PHP-CGM @ | 6 L NS @ | 7 P NS @ | 9 P PHP-CGM @ ")</f>
        <v xml:space="preserve">| 5 L PHP-CGM @ | 6 L NS @ | 7 P NS @ | 9 P PHP-CGM @ </v>
      </c>
      <c r="BQ426" s="4" t="str">
        <f ca="1">IFERROR(__xludf.DUMMYFUNCTION("""COMPUTED_VALUE"""),"| 5 L CPT @ ")</f>
        <v xml:space="preserve">| 5 L CPT @ </v>
      </c>
      <c r="BR426" s="4" t="str">
        <f ca="1">IFERROR(__xludf.DUMMYFUNCTION("""COMPUTED_VALUE"""),"| 5 L JAVA % | 6 L JAVA % ")</f>
        <v xml:space="preserve">| 5 L JAVA % | 6 L JAVA % </v>
      </c>
      <c r="BS426" s="4"/>
      <c r="BT426" s="4" t="str">
        <f ca="1">IFERROR(__xludf.DUMMYFUNCTION("""COMPUTED_VALUE"""),"| 7 P NS @ ")</f>
        <v xml:space="preserve">| 7 P NS @ </v>
      </c>
      <c r="BU426" s="4" t="str">
        <f ca="1">IFERROR(__xludf.DUMMYFUNCTION("""COMPUTED_VALUE"""),"| 7 L JAVA @ ")</f>
        <v xml:space="preserve">| 7 L JAVA @ </v>
      </c>
      <c r="BV426" s="4" t="str">
        <f ca="1">IFERROR(__xludf.DUMMYFUNCTION("""COMPUTED_VALUE"""),"| 5 L PHP-CGM @ | 6 L NS @ ")</f>
        <v xml:space="preserve">| 5 L PHP-CGM @ | 6 L NS @ </v>
      </c>
      <c r="BW426" s="4"/>
      <c r="BX426" s="4" t="str">
        <f ca="1">IFERROR(__xludf.DUMMYFUNCTION("""COMPUTED_VALUE"""),"| 5 L CPT @ | 6 L NS @ | 7 P CPT @ ")</f>
        <v xml:space="preserve">| 5 L CPT @ | 6 L NS @ | 7 P CPT @ </v>
      </c>
      <c r="BY426" s="4" t="str">
        <f ca="1">IFERROR(__xludf.DUMMYFUNCTION("""COMPUTED_VALUE"""),"| 5 L JAVA @ | 6 L JAVA @ | 7 P Python @ ")</f>
        <v xml:space="preserve">| 5 L JAVA @ | 6 L JAVA @ | 7 P Python @ </v>
      </c>
      <c r="BZ426" s="4" t="str">
        <f ca="1">IFERROR(__xludf.DUMMYFUNCTION("""COMPUTED_VALUE"""),"| 5 L PHP-CGM @ | 6 L CPT @ | 7 P JAVA @ ")</f>
        <v xml:space="preserve">| 5 L PHP-CGM @ | 6 L CPT @ | 7 P JAVA @ </v>
      </c>
      <c r="CA426" s="4" t="str">
        <f ca="1">IFERROR(__xludf.DUMMYFUNCTION("""COMPUTED_VALUE"""),"| 5 L PHP-CGM @ | 6 L NS @ | 7 P NS @ | 9 P PHP-CGM @ ")</f>
        <v xml:space="preserve">| 5 L PHP-CGM @ | 6 L NS @ | 7 P NS @ | 9 P PHP-CGM @ </v>
      </c>
      <c r="CB426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CC426" s="4" t="str">
        <f ca="1">IFERROR(__xludf.DUMMYFUNCTION("""COMPUTED_VALUE"""),"| 6 L NS @ | 5 L CPT @ | 7 P CPT @ | 9 P JAVA @ ")</f>
        <v xml:space="preserve">| 6 L NS @ | 5 L CPT @ | 7 P CPT @ | 9 P JAVA @ </v>
      </c>
      <c r="CD426" s="4" t="str">
        <f ca="1">IFERROR(__xludf.DUMMYFUNCTION("""COMPUTED_VALUE"""),"| 5 L JAVA @ | 6 L JAVA @ | 7 P Python @ | 9 P PRO @ ")</f>
        <v xml:space="preserve">| 5 L JAVA @ | 6 L JAVA @ | 7 P Python @ | 9 P PRO @ </v>
      </c>
      <c r="CE426" s="4" t="str">
        <f ca="1">IFERROR(__xludf.DUMMYFUNCTION("""COMPUTED_VALUE"""),"| 5 L PHP-CGM @ | 6 L CPT @ | 7 P JAVA @ | 9 L INE @ ")</f>
        <v xml:space="preserve">| 5 L PHP-CGM @ | 6 L CPT @ | 7 P JAVA @ | 9 L INE @ </v>
      </c>
      <c r="CF426" s="4" t="str">
        <f ca="1">IFERROR(__xludf.DUMMYFUNCTION("""COMPUTED_VALUE"""),"| 5 L PHP-CGM @ | 6 L NS @ | 7 P NS @ | 9 P PHP-CGM @ ")</f>
        <v xml:space="preserve">| 5 L PHP-CGM @ | 6 L NS @ | 7 P NS @ | 9 P PHP-CGM @ </v>
      </c>
      <c r="CG426" s="4" t="str">
        <f ca="1">IFERROR(__xludf.DUMMYFUNCTION("""COMPUTED_VALUE"""),"| 6 L PHP-CGM @ | 7 L JAVA @ | 8 L CPT @ | 9 P Python @ ")</f>
        <v xml:space="preserve">| 6 L PHP-CGM @ | 7 L JAVA @ | 8 L CPT @ | 9 P Python @ </v>
      </c>
      <c r="CH426" s="4" t="str">
        <f ca="1">IFERROR(__xludf.DUMMYFUNCTION("""COMPUTED_VALUE"""),"| 5 L CPT @ | 6 L NS @ | 9 P JAVA @ ")</f>
        <v xml:space="preserve">| 5 L CPT @ | 6 L NS @ | 9 P JAVA @ </v>
      </c>
      <c r="CI426" s="4" t="str">
        <f ca="1">IFERROR(__xludf.DUMMYFUNCTION("""COMPUTED_VALUE"""),"| 5 L JAVA @ | 6 L JAVA @ | 9 P PRO @ ")</f>
        <v xml:space="preserve">| 5 L JAVA @ | 6 L JAVA @ | 9 P PRO @ </v>
      </c>
      <c r="CJ426" s="4" t="str">
        <f ca="1">IFERROR(__xludf.DUMMYFUNCTION("""COMPUTED_VALUE"""),"| 5 L PHP-CGM @ | 9 L INE @ ")</f>
        <v xml:space="preserve">| 5 L PHP-CGM @ | 9 L INE @ </v>
      </c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</row>
    <row r="427" spans="1:102" ht="12.5" x14ac:dyDescent="0.25">
      <c r="A427" s="3">
        <f ca="1">IFERROR(__xludf.DUMMYFUNCTION("""COMPUTED_VALUE"""),1)</f>
        <v>1</v>
      </c>
      <c r="B427" s="3" t="str">
        <f ca="1">IFERROR(__xludf.DUMMYFUNCTION("""COMPUTED_VALUE"""),"ITB")</f>
        <v>ITB</v>
      </c>
      <c r="C427" s="32" t="str">
        <f ca="1">IFERROR(__xludf.DUMMYFUNCTION("""COMPUTED_VALUE"""),"23291371024")</f>
        <v>23291371024</v>
      </c>
      <c r="D427" s="4" t="str">
        <f ca="1">IFERROR(__xludf.DUMMYFUNCTION("""COMPUTED_VALUE"""),"DESHMUKH RUTUJA SANTOSH")</f>
        <v>DESHMUKH RUTUJA SANTOSH</v>
      </c>
      <c r="E427" s="3" t="str">
        <f ca="1">IFERROR(__xludf.DUMMYFUNCTION("""COMPUTED_VALUE"""),"VSP - Eve")</f>
        <v>VSP - Eve</v>
      </c>
      <c r="F427" s="3">
        <f ca="1">IFERROR(__xludf.DUMMYFUNCTION("""COMPUTED_VALUE"""),8780758657)</f>
        <v>8780758657</v>
      </c>
      <c r="G427" s="3">
        <f ca="1">IFERROR(__xludf.DUMMYFUNCTION("""COMPUTED_VALUE"""),9016785685)</f>
        <v>9016785685</v>
      </c>
      <c r="H427" s="33">
        <f ca="1">IFERROR(__xludf.DUMMYFUNCTION("""COMPUTED_VALUE"""),0.601769911504424)</f>
        <v>0.60176991150442405</v>
      </c>
      <c r="I427" s="25">
        <f ca="1">IFERROR(__xludf.DUMMYFUNCTION("""COMPUTED_VALUE"""),0.666666666666666)</f>
        <v>0.66666666666666596</v>
      </c>
      <c r="J427" s="25">
        <f ca="1">IFERROR(__xludf.DUMMYFUNCTION("""COMPUTED_VALUE"""),0.5)</f>
        <v>0.5</v>
      </c>
      <c r="K427" s="25">
        <f ca="1">IFERROR(__xludf.DUMMYFUNCTION("""COMPUTED_VALUE"""),0.575757575757575)</f>
        <v>0.57575757575757502</v>
      </c>
      <c r="L427" s="25">
        <f ca="1">IFERROR(__xludf.DUMMYFUNCTION("""COMPUTED_VALUE"""),0.5)</f>
        <v>0.5</v>
      </c>
      <c r="M427" s="25">
        <f ca="1">IFERROR(__xludf.DUMMYFUNCTION("""COMPUTED_VALUE"""),0.617647058823529)</f>
        <v>0.61764705882352899</v>
      </c>
      <c r="N427" s="25">
        <f ca="1">IFERROR(__xludf.DUMMYFUNCTION("""COMPUTED_VALUE"""),0.5)</f>
        <v>0.5</v>
      </c>
      <c r="O427" s="25">
        <f ca="1">IFERROR(__xludf.DUMMYFUNCTION("""COMPUTED_VALUE"""),0.666666666666666)</f>
        <v>0.66666666666666596</v>
      </c>
      <c r="P427" s="25">
        <f ca="1">IFERROR(__xludf.DUMMYFUNCTION("""COMPUTED_VALUE"""),0.526315789473684)</f>
        <v>0.52631578947368396</v>
      </c>
      <c r="Q427" s="25">
        <f ca="1">IFERROR(__xludf.DUMMYFUNCTION("""COMPUTED_VALUE"""),0)</f>
        <v>0</v>
      </c>
      <c r="R427" s="25">
        <f ca="1">IFERROR(__xludf.DUMMYFUNCTION("""COMPUTED_VALUE"""),0.7)</f>
        <v>0.7</v>
      </c>
      <c r="S427" s="25">
        <f ca="1">IFERROR(__xludf.DUMMYFUNCTION("""COMPUTED_VALUE"""),0)</f>
        <v>0</v>
      </c>
      <c r="T427" s="25">
        <f ca="1">IFERROR(__xludf.DUMMYFUNCTION("""COMPUTED_VALUE"""),0.666666666666666)</f>
        <v>0.66666666666666596</v>
      </c>
      <c r="U427" s="25">
        <f ca="1">IFERROR(__xludf.DUMMYFUNCTION("""COMPUTED_VALUE"""),0.166666666666666)</f>
        <v>0.16666666666666599</v>
      </c>
      <c r="V427" s="25">
        <f ca="1">IFERROR(__xludf.DUMMYFUNCTION("""COMPUTED_VALUE"""),0)</f>
        <v>0</v>
      </c>
      <c r="W427" s="4"/>
      <c r="X427" s="4" t="str">
        <f ca="1">IFERROR(__xludf.DUMMYFUNCTION("""COMPUTED_VALUE"""),"| 5 L PHP-CGM @ | 6 L NS @ | 7 P NS @ ")</f>
        <v xml:space="preserve">| 5 L PHP-CGM @ | 6 L NS @ | 7 P NS @ </v>
      </c>
      <c r="Y427" s="4" t="str">
        <f ca="1">IFERROR(__xludf.DUMMYFUNCTION("""COMPUTED_VALUE"""),"| 5 L NS % | 6 L PHP-CGM % | 7 L JAVA % | 8 L CPT % ")</f>
        <v xml:space="preserve">| 5 L NS % | 6 L PHP-CGM % | 7 L JAVA % | 8 L CPT % </v>
      </c>
      <c r="Z427" s="4" t="str">
        <f ca="1">IFERROR(__xludf.DUMMYFUNCTION("""COMPUTED_VALUE"""),"| 5 L JAVA % | 6 L NS % | 7 P CPT % | 9 P JAVA % ")</f>
        <v xml:space="preserve">| 5 L JAVA % | 6 L NS % | 7 P CPT % | 9 P JAVA % </v>
      </c>
      <c r="AA427" s="4" t="str">
        <f ca="1">IFERROR(__xludf.DUMMYFUNCTION("""COMPUTED_VALUE"""),"| 5 L CPT % | 6 L JAVA % | 7 P Python % | 9 P PRO % ")</f>
        <v xml:space="preserve">| 5 L CPT % | 6 L JAVA % | 7 P Python % | 9 P PRO % </v>
      </c>
      <c r="AB427" s="4" t="str">
        <f ca="1">IFERROR(__xludf.DUMMYFUNCTION("""COMPUTED_VALUE"""),"| 5 L PHP-CGM % | 6 L CPT % | 7 P JAVA % ")</f>
        <v xml:space="preserve">| 5 L PHP-CGM % | 6 L CPT % | 7 P JAVA % </v>
      </c>
      <c r="AC427" s="4" t="str">
        <f ca="1">IFERROR(__xludf.DUMMYFUNCTION("""COMPUTED_VALUE"""),"| 5 L PHP-CGM % | 6 L NS % | 7 P NS % | 9 P PHP-CGM % ")</f>
        <v xml:space="preserve">| 5 L PHP-CGM % | 6 L NS % | 7 P NS % | 9 P PHP-CGM % </v>
      </c>
      <c r="AD427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27" s="4" t="str">
        <f ca="1">IFERROR(__xludf.DUMMYFUNCTION("""COMPUTED_VALUE"""),"| 5 L JAVA @ | 6 L NS @ | 7 P CPT @ | 9 P JAVA @ ")</f>
        <v xml:space="preserve">| 5 L JAVA @ | 6 L NS @ | 7 P CPT @ | 9 P JAVA @ </v>
      </c>
      <c r="AF427" s="4" t="str">
        <f ca="1">IFERROR(__xludf.DUMMYFUNCTION("""COMPUTED_VALUE"""),"| 5 L CPT % | 6 L JAVA % | 7 P Python % | 9 P PRO % ")</f>
        <v xml:space="preserve">| 5 L CPT % | 6 L JAVA % | 7 P Python % | 9 P PRO % </v>
      </c>
      <c r="AG427" s="4" t="str">
        <f ca="1">IFERROR(__xludf.DUMMYFUNCTION("""COMPUTED_VALUE"""),"| 5 L PHP-CGM % | 6 L CPT % | 7 P JAVA @ ")</f>
        <v xml:space="preserve">| 5 L PHP-CGM % | 6 L CPT % | 7 P JAVA @ </v>
      </c>
      <c r="AH427" s="4" t="str">
        <f ca="1">IFERROR(__xludf.DUMMYFUNCTION("""COMPUTED_VALUE"""),"| 5 L CPT % | 6 L JAVA % | 7 P Python % | 9 P PRO % ")</f>
        <v xml:space="preserve">| 5 L CPT % | 6 L JAVA % | 7 P Python % | 9 P PRO % </v>
      </c>
      <c r="AI427" s="4" t="str">
        <f ca="1">IFERROR(__xludf.DUMMYFUNCTION("""COMPUTED_VALUE"""),"| 5 L PHP-CGM % | 6 L CPT % | 7 P JAVA % ")</f>
        <v xml:space="preserve">| 5 L PHP-CGM % | 6 L CPT % | 7 P JAVA % </v>
      </c>
      <c r="AJ427" s="4" t="str">
        <f ca="1">IFERROR(__xludf.DUMMYFUNCTION("""COMPUTED_VALUE"""),"| 5 L PHP-CGM % | 6 L NS % | 7 P NS % | 9 P PHP-CGM % ")</f>
        <v xml:space="preserve">| 5 L PHP-CGM % | 6 L NS % | 7 P NS % | 9 P PHP-CGM % </v>
      </c>
      <c r="AK427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AL427" s="4" t="str">
        <f ca="1">IFERROR(__xludf.DUMMYFUNCTION("""COMPUTED_VALUE"""),"| 5 L JAVA % | 6 L NS % | 7 P CPT % | 9 P JAVA % ")</f>
        <v xml:space="preserve">| 5 L JAVA % | 6 L NS % | 7 P CPT % | 9 P JAVA % </v>
      </c>
      <c r="AM427" s="4" t="str">
        <f ca="1">IFERROR(__xludf.DUMMYFUNCTION("""COMPUTED_VALUE"""),"| 5 L CPT % | 6 L JAVA % | 7 P Python % | 9 P PRO % ")</f>
        <v xml:space="preserve">| 5 L CPT % | 6 L JAVA % | 7 P Python % | 9 P PRO % </v>
      </c>
      <c r="AN427" s="4" t="str">
        <f ca="1">IFERROR(__xludf.DUMMYFUNCTION("""COMPUTED_VALUE"""),"| 5 L PHP-CGM % | 6 L CPT % | 7 P JAVA % ")</f>
        <v xml:space="preserve">| 5 L PHP-CGM % | 6 L CPT % | 7 P JAVA % </v>
      </c>
      <c r="AO427" s="4" t="str">
        <f ca="1">IFERROR(__xludf.DUMMYFUNCTION("""COMPUTED_VALUE"""),"| 5 L PHP-CGM @ | 6 L NS @ | 7 P NS @ | 9 P PHP-CGM @ ")</f>
        <v xml:space="preserve">| 5 L PHP-CGM @ | 6 L NS @ | 7 P NS @ | 9 P PHP-CGM @ </v>
      </c>
      <c r="AP427" s="4" t="str">
        <f ca="1">IFERROR(__xludf.DUMMYFUNCTION("""COMPUTED_VALUE"""),"| 5 L NS % | 7 L JAVA % | 8 L CPT % ")</f>
        <v xml:space="preserve">| 5 L NS % | 7 L JAVA % | 8 L CPT % </v>
      </c>
      <c r="AQ427" s="4" t="str">
        <f ca="1">IFERROR(__xludf.DUMMYFUNCTION("""COMPUTED_VALUE"""),"| 5 L CPT % | 6 L NS % | 7 P CPT % | 9 P JAVA % ")</f>
        <v xml:space="preserve">| 5 L CPT % | 6 L NS % | 7 P CPT % | 9 P JAVA % </v>
      </c>
      <c r="AR427" s="4" t="str">
        <f ca="1">IFERROR(__xludf.DUMMYFUNCTION("""COMPUTED_VALUE"""),"| 5 L JAVA % | 6 L JAVA % | 5 L CPT @ | 7 P Python % ")</f>
        <v xml:space="preserve">| 5 L JAVA % | 6 L JAVA % | 5 L CPT @ | 7 P Python % </v>
      </c>
      <c r="AS427" s="4" t="str">
        <f ca="1">IFERROR(__xludf.DUMMYFUNCTION("""COMPUTED_VALUE"""),"| 5 L PHP-CGM % | 6 L NS % | 9 P PHP-CGM % ")</f>
        <v xml:space="preserve">| 5 L PHP-CGM % | 6 L NS % | 9 P PHP-CGM % </v>
      </c>
      <c r="AT427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27" s="4" t="str">
        <f ca="1">IFERROR(__xludf.DUMMYFUNCTION("""COMPUTED_VALUE"""),"| 5 L CPT @ | 6 L NS @ | 7 P CPT @ | 9 P JAVA @ ")</f>
        <v xml:space="preserve">| 5 L CPT @ | 6 L NS @ | 7 P CPT @ | 9 P JAVA @ </v>
      </c>
      <c r="AV427" s="4" t="str">
        <f ca="1">IFERROR(__xludf.DUMMYFUNCTION("""COMPUTED_VALUE"""),"| 5 L JAVA % | 6 L JAVA % | 7 P Python % | 9 P PRO % ")</f>
        <v xml:space="preserve">| 5 L JAVA % | 6 L JAVA % | 7 P Python % | 9 P PRO % </v>
      </c>
      <c r="AW427" s="4" t="str">
        <f ca="1">IFERROR(__xludf.DUMMYFUNCTION("""COMPUTED_VALUE"""),"| 5 L PHP-CGM % | 6 L CPT % | 7 P JAVA % | 9 L INE % ")</f>
        <v xml:space="preserve">| 5 L PHP-CGM % | 6 L CPT % | 7 P JAVA % | 9 L INE % </v>
      </c>
      <c r="AX427" s="4" t="str">
        <f ca="1">IFERROR(__xludf.DUMMYFUNCTION("""COMPUTED_VALUE"""),"| 5 L PHP-CGM @ | 6 L NS @ | 7 P NS @ | 9 P PHP-CGM @ ")</f>
        <v xml:space="preserve">| 5 L PHP-CGM @ | 6 L NS @ | 7 P NS @ | 9 P PHP-CGM @ </v>
      </c>
      <c r="AY427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27" s="4" t="str">
        <f ca="1">IFERROR(__xludf.DUMMYFUNCTION("""COMPUTED_VALUE"""),"| 5 L JAVA % | 6 L JAVA % | 7 P Python % ")</f>
        <v xml:space="preserve">| 5 L JAVA % | 6 L JAVA % | 7 P Python % </v>
      </c>
      <c r="BA427" s="4" t="str">
        <f ca="1">IFERROR(__xludf.DUMMYFUNCTION("""COMPUTED_VALUE"""),"| 5 L PHP-CGM @ | 6 L CPT @ | 7 P JAVA @ | 9 L INE @ ")</f>
        <v xml:space="preserve">| 5 L PHP-CGM @ | 6 L CPT @ | 7 P JAVA @ | 9 L INE @ </v>
      </c>
      <c r="BB427" s="4" t="str">
        <f ca="1">IFERROR(__xludf.DUMMYFUNCTION("""COMPUTED_VALUE"""),"| 5 L PHP-CGM @ | 6 L NS @ | 7 P NS % | 9 P PHP-CGM @ ")</f>
        <v xml:space="preserve">| 5 L PHP-CGM @ | 6 L NS @ | 7 P NS % | 9 P PHP-CGM @ </v>
      </c>
      <c r="BC427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D427" s="4" t="str">
        <f ca="1">IFERROR(__xludf.DUMMYFUNCTION("""COMPUTED_VALUE"""),"| 5 L CPT @ | 6 L NS @ | 7 P CPT @ ")</f>
        <v xml:space="preserve">| 5 L CPT @ | 6 L NS @ | 7 P CPT @ </v>
      </c>
      <c r="BE427" s="4" t="str">
        <f ca="1">IFERROR(__xludf.DUMMYFUNCTION("""COMPUTED_VALUE"""),"| 5 L JAVA @ | 6 L JAVA @ | 7 P Python @ | 9 P PRO @ ")</f>
        <v xml:space="preserve">| 5 L JAVA @ | 6 L JAVA @ | 7 P Python @ | 9 P PRO @ </v>
      </c>
      <c r="BF427" s="4" t="str">
        <f ca="1">IFERROR(__xludf.DUMMYFUNCTION("""COMPUTED_VALUE"""),"| 5 L PHP-CGM @ | 6 L CPT @ | 7 P JAVA @ ")</f>
        <v xml:space="preserve">| 5 L PHP-CGM @ | 6 L CPT @ | 7 P JAVA @ </v>
      </c>
      <c r="BG427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H427" s="4" t="str">
        <f ca="1">IFERROR(__xludf.DUMMYFUNCTION("""COMPUTED_VALUE"""),"| 5 L CPT % | 6 L NS % | 7 P CPT % | 9 P JAVA % ")</f>
        <v xml:space="preserve">| 5 L CPT % | 6 L NS % | 7 P CPT % | 9 P JAVA % </v>
      </c>
      <c r="BI427" s="4" t="str">
        <f ca="1">IFERROR(__xludf.DUMMYFUNCTION("""COMPUTED_VALUE"""),"| 5 L JAVA % | 6 L JAVA % | 7 P Python % | 9 P PRO @ ")</f>
        <v xml:space="preserve">| 5 L JAVA % | 6 L JAVA % | 7 P Python % | 9 P PRO @ </v>
      </c>
      <c r="BJ427" s="4" t="str">
        <f ca="1">IFERROR(__xludf.DUMMYFUNCTION("""COMPUTED_VALUE"""),"| 5 L PHP-CGM % | 6 L CPT % | 7 P JAVA % | 9 L INE @ ")</f>
        <v xml:space="preserve">| 5 L PHP-CGM % | 6 L CPT % | 7 P JAVA % | 9 L INE @ </v>
      </c>
      <c r="BK427" s="4" t="str">
        <f ca="1">IFERROR(__xludf.DUMMYFUNCTION("""COMPUTED_VALUE"""),"| 5 L PHP-CGM @ | 6 L NS @ | 9 P PHP-CGM @ ")</f>
        <v xml:space="preserve">| 5 L PHP-CGM @ | 6 L NS @ | 9 P PHP-CGM @ </v>
      </c>
      <c r="BL427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M427" s="4" t="str">
        <f ca="1">IFERROR(__xludf.DUMMYFUNCTION("""COMPUTED_VALUE"""),"| 5 L CPT @ | 6 L NS @ | 7 P CPT @ | 9 P JAVA @ ")</f>
        <v xml:space="preserve">| 5 L CPT @ | 6 L NS @ | 7 P CPT @ | 9 P JAVA @ </v>
      </c>
      <c r="BN427" s="4" t="str">
        <f ca="1">IFERROR(__xludf.DUMMYFUNCTION("""COMPUTED_VALUE"""),"| 5 L JAVA @ | 6 L JAVA @ ")</f>
        <v xml:space="preserve">| 5 L JAVA @ | 6 L JAVA @ </v>
      </c>
      <c r="BO427" s="4" t="str">
        <f ca="1">IFERROR(__xludf.DUMMYFUNCTION("""COMPUTED_VALUE"""),"| 5 L PHP-CGM @ | 9 L INE @ | 6 L CPT @ ")</f>
        <v xml:space="preserve">| 5 L PHP-CGM @ | 9 L INE @ | 6 L CPT @ </v>
      </c>
      <c r="BP427" s="4" t="str">
        <f ca="1">IFERROR(__xludf.DUMMYFUNCTION("""COMPUTED_VALUE"""),"| 5 L PHP-CGM % | 6 L NS % | 7 P NS % | 9 P PHP-CGM % ")</f>
        <v xml:space="preserve">| 5 L PHP-CGM % | 6 L NS % | 7 P NS % | 9 P PHP-CGM % </v>
      </c>
      <c r="BQ427" s="4" t="str">
        <f ca="1">IFERROR(__xludf.DUMMYFUNCTION("""COMPUTED_VALUE"""),"| 5 L CPT % ")</f>
        <v xml:space="preserve">| 5 L CPT % </v>
      </c>
      <c r="BR427" s="4" t="str">
        <f ca="1">IFERROR(__xludf.DUMMYFUNCTION("""COMPUTED_VALUE"""),"| 5 L JAVA % | 6 L JAVA % ")</f>
        <v xml:space="preserve">| 5 L JAVA % | 6 L JAVA % </v>
      </c>
      <c r="BS427" s="4"/>
      <c r="BT427" s="4" t="str">
        <f ca="1">IFERROR(__xludf.DUMMYFUNCTION("""COMPUTED_VALUE"""),"| 7 P NS @ ")</f>
        <v xml:space="preserve">| 7 P NS @ </v>
      </c>
      <c r="BU427" s="4" t="str">
        <f ca="1">IFERROR(__xludf.DUMMYFUNCTION("""COMPUTED_VALUE"""),"| 7 L JAVA @ ")</f>
        <v xml:space="preserve">| 7 L JAVA @ </v>
      </c>
      <c r="BV427" s="4" t="str">
        <f ca="1">IFERROR(__xludf.DUMMYFUNCTION("""COMPUTED_VALUE"""),"| 5 L PHP-CGM % | 6 L NS % ")</f>
        <v xml:space="preserve">| 5 L PHP-CGM % | 6 L NS % </v>
      </c>
      <c r="BW427" s="4"/>
      <c r="BX427" s="4" t="str">
        <f ca="1">IFERROR(__xludf.DUMMYFUNCTION("""COMPUTED_VALUE"""),"| 5 L CPT @ | 6 L NS @ | 7 P CPT @ ")</f>
        <v xml:space="preserve">| 5 L CPT @ | 6 L NS @ | 7 P CPT @ </v>
      </c>
      <c r="BY427" s="4" t="str">
        <f ca="1">IFERROR(__xludf.DUMMYFUNCTION("""COMPUTED_VALUE"""),"| 5 L JAVA @ | 6 L JAVA @ | 7 P Python @ ")</f>
        <v xml:space="preserve">| 5 L JAVA @ | 6 L JAVA @ | 7 P Python @ </v>
      </c>
      <c r="BZ427" s="4" t="str">
        <f ca="1">IFERROR(__xludf.DUMMYFUNCTION("""COMPUTED_VALUE"""),"| 5 L PHP-CGM % | 6 L CPT % | 7 P JAVA % ")</f>
        <v xml:space="preserve">| 5 L PHP-CGM % | 6 L CPT % | 7 P JAVA % </v>
      </c>
      <c r="CA427" s="4" t="str">
        <f ca="1">IFERROR(__xludf.DUMMYFUNCTION("""COMPUTED_VALUE"""),"| 5 L PHP-CGM % | 6 L NS % | 7 P NS % | 9 P PHP-CGM % ")</f>
        <v xml:space="preserve">| 5 L PHP-CGM % | 6 L NS % | 7 P NS % | 9 P PHP-CGM % </v>
      </c>
      <c r="CB427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CC427" s="4" t="str">
        <f ca="1">IFERROR(__xludf.DUMMYFUNCTION("""COMPUTED_VALUE"""),"| 6 L NS % | 5 L CPT % | 7 P CPT % | 9 P JAVA @ ")</f>
        <v xml:space="preserve">| 6 L NS % | 5 L CPT % | 7 P CPT % | 9 P JAVA @ </v>
      </c>
      <c r="CD427" s="4" t="str">
        <f ca="1">IFERROR(__xludf.DUMMYFUNCTION("""COMPUTED_VALUE"""),"| 5 L JAVA % | 6 L JAVA % | 7 P Python % | 9 P PRO % ")</f>
        <v xml:space="preserve">| 5 L JAVA % | 6 L JAVA % | 7 P Python % | 9 P PRO % </v>
      </c>
      <c r="CE427" s="4" t="str">
        <f ca="1">IFERROR(__xludf.DUMMYFUNCTION("""COMPUTED_VALUE"""),"| 5 L PHP-CGM % | 6 L CPT % | 7 P JAVA @ | 9 L INE @ ")</f>
        <v xml:space="preserve">| 5 L PHP-CGM % | 6 L CPT % | 7 P JAVA @ | 9 L INE @ </v>
      </c>
      <c r="CF427" s="4" t="str">
        <f ca="1">IFERROR(__xludf.DUMMYFUNCTION("""COMPUTED_VALUE"""),"| 5 L PHP-CGM @ | 6 L NS @ | 7 P NS @ | 9 P PHP-CGM @ ")</f>
        <v xml:space="preserve">| 5 L PHP-CGM @ | 6 L NS @ | 7 P NS @ | 9 P PHP-CGM @ </v>
      </c>
      <c r="CG427" s="4" t="str">
        <f ca="1">IFERROR(__xludf.DUMMYFUNCTION("""COMPUTED_VALUE"""),"| 6 L PHP-CGM @ | 7 L JAVA @ | 8 L CPT @ | 9 P Python @ ")</f>
        <v xml:space="preserve">| 6 L PHP-CGM @ | 7 L JAVA @ | 8 L CPT @ | 9 P Python @ </v>
      </c>
      <c r="CH427" s="4" t="str">
        <f ca="1">IFERROR(__xludf.DUMMYFUNCTION("""COMPUTED_VALUE"""),"| 5 L CPT @ | 6 L NS @ | 9 P JAVA @ ")</f>
        <v xml:space="preserve">| 5 L CPT @ | 6 L NS @ | 9 P JAVA @ </v>
      </c>
      <c r="CI427" s="4" t="str">
        <f ca="1">IFERROR(__xludf.DUMMYFUNCTION("""COMPUTED_VALUE"""),"| 5 L JAVA @ | 6 L JAVA @ | 9 P PRO @ ")</f>
        <v xml:space="preserve">| 5 L JAVA @ | 6 L JAVA @ | 9 P PRO @ </v>
      </c>
      <c r="CJ427" s="4" t="str">
        <f ca="1">IFERROR(__xludf.DUMMYFUNCTION("""COMPUTED_VALUE"""),"| 5 L PHP-CGM @ | 9 L INE @ ")</f>
        <v xml:space="preserve">| 5 L PHP-CGM @ | 9 L INE @ </v>
      </c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</row>
    <row r="428" spans="1:102" ht="12.5" x14ac:dyDescent="0.25">
      <c r="A428" s="3">
        <f ca="1">IFERROR(__xludf.DUMMYFUNCTION("""COMPUTED_VALUE"""),1)</f>
        <v>1</v>
      </c>
      <c r="B428" s="3" t="str">
        <f ca="1">IFERROR(__xludf.DUMMYFUNCTION("""COMPUTED_VALUE"""),"ITB")</f>
        <v>ITB</v>
      </c>
      <c r="C428" s="32" t="str">
        <f ca="1">IFERROR(__xludf.DUMMYFUNCTION("""COMPUTED_VALUE"""),"23291371026")</f>
        <v>23291371026</v>
      </c>
      <c r="D428" s="4" t="str">
        <f ca="1">IFERROR(__xludf.DUMMYFUNCTION("""COMPUTED_VALUE"""),"GADHAVI MAYANKDAN RANJITDAN")</f>
        <v>GADHAVI MAYANKDAN RANJITDAN</v>
      </c>
      <c r="E428" s="3" t="str">
        <f ca="1">IFERROR(__xludf.DUMMYFUNCTION("""COMPUTED_VALUE"""),"VSP - Eve")</f>
        <v>VSP - Eve</v>
      </c>
      <c r="F428" s="3">
        <f ca="1">IFERROR(__xludf.DUMMYFUNCTION("""COMPUTED_VALUE"""),7984120445)</f>
        <v>7984120445</v>
      </c>
      <c r="G428" s="3">
        <f ca="1">IFERROR(__xludf.DUMMYFUNCTION("""COMPUTED_VALUE"""),9925731380)</f>
        <v>9925731380</v>
      </c>
      <c r="H428" s="33">
        <f ca="1">IFERROR(__xludf.DUMMYFUNCTION("""COMPUTED_VALUE"""),0.676991150442477)</f>
        <v>0.67699115044247704</v>
      </c>
      <c r="I428" s="25">
        <f ca="1">IFERROR(__xludf.DUMMYFUNCTION("""COMPUTED_VALUE"""),0.694444444444444)</f>
        <v>0.69444444444444398</v>
      </c>
      <c r="J428" s="25">
        <f ca="1">IFERROR(__xludf.DUMMYFUNCTION("""COMPUTED_VALUE"""),0.7)</f>
        <v>0.7</v>
      </c>
      <c r="K428" s="25">
        <f ca="1">IFERROR(__xludf.DUMMYFUNCTION("""COMPUTED_VALUE"""),0.757575757575757)</f>
        <v>0.75757575757575701</v>
      </c>
      <c r="L428" s="25">
        <f ca="1">IFERROR(__xludf.DUMMYFUNCTION("""COMPUTED_VALUE"""),0.6)</f>
        <v>0.6</v>
      </c>
      <c r="M428" s="25">
        <f ca="1">IFERROR(__xludf.DUMMYFUNCTION("""COMPUTED_VALUE"""),0.617647058823529)</f>
        <v>0.61764705882352899</v>
      </c>
      <c r="N428" s="25">
        <f ca="1">IFERROR(__xludf.DUMMYFUNCTION("""COMPUTED_VALUE"""),0.5)</f>
        <v>0.5</v>
      </c>
      <c r="O428" s="25">
        <f ca="1">IFERROR(__xludf.DUMMYFUNCTION("""COMPUTED_VALUE"""),0.82051282051282)</f>
        <v>0.82051282051282004</v>
      </c>
      <c r="P428" s="25">
        <f ca="1">IFERROR(__xludf.DUMMYFUNCTION("""COMPUTED_VALUE"""),0.578947368421052)</f>
        <v>0.57894736842105199</v>
      </c>
      <c r="Q428" s="25">
        <f ca="1">IFERROR(__xludf.DUMMYFUNCTION("""COMPUTED_VALUE"""),0)</f>
        <v>0</v>
      </c>
      <c r="R428" s="25">
        <f ca="1">IFERROR(__xludf.DUMMYFUNCTION("""COMPUTED_VALUE"""),0.8)</f>
        <v>0.8</v>
      </c>
      <c r="S428" s="25">
        <f ca="1">IFERROR(__xludf.DUMMYFUNCTION("""COMPUTED_VALUE"""),0)</f>
        <v>0</v>
      </c>
      <c r="T428" s="25">
        <f ca="1">IFERROR(__xludf.DUMMYFUNCTION("""COMPUTED_VALUE"""),0.555555555555555)</f>
        <v>0.55555555555555503</v>
      </c>
      <c r="U428" s="25">
        <f ca="1">IFERROR(__xludf.DUMMYFUNCTION("""COMPUTED_VALUE"""),0)</f>
        <v>0</v>
      </c>
      <c r="V428" s="25">
        <f ca="1">IFERROR(__xludf.DUMMYFUNCTION("""COMPUTED_VALUE"""),0)</f>
        <v>0</v>
      </c>
      <c r="W428" s="4"/>
      <c r="X428" s="4" t="str">
        <f ca="1">IFERROR(__xludf.DUMMYFUNCTION("""COMPUTED_VALUE"""),"| 5 L PHP-CGM @ | 6 L NS @ | 7 P NS @ ")</f>
        <v xml:space="preserve">| 5 L PHP-CGM @ | 6 L NS @ | 7 P NS @ </v>
      </c>
      <c r="Y428" s="4" t="str">
        <f ca="1">IFERROR(__xludf.DUMMYFUNCTION("""COMPUTED_VALUE"""),"| 5 L NS % | 6 L PHP-CGM % | 7 L JAVA % | 8 L CPT % ")</f>
        <v xml:space="preserve">| 5 L NS % | 6 L PHP-CGM % | 7 L JAVA % | 8 L CPT % </v>
      </c>
      <c r="Z428" s="4" t="str">
        <f ca="1">IFERROR(__xludf.DUMMYFUNCTION("""COMPUTED_VALUE"""),"| 5 L JAVA % | 6 L NS % | 7 P CPT % | 9 P JAVA % ")</f>
        <v xml:space="preserve">| 5 L JAVA % | 6 L NS % | 7 P CPT % | 9 P JAVA % </v>
      </c>
      <c r="AA428" s="4" t="str">
        <f ca="1">IFERROR(__xludf.DUMMYFUNCTION("""COMPUTED_VALUE"""),"| 5 L CPT % | 6 L JAVA % | 7 P Python % | 9 P PRO % ")</f>
        <v xml:space="preserve">| 5 L CPT % | 6 L JAVA % | 7 P Python % | 9 P PRO % </v>
      </c>
      <c r="AB428" s="4" t="str">
        <f ca="1">IFERROR(__xludf.DUMMYFUNCTION("""COMPUTED_VALUE"""),"| 5 L PHP-CGM % | 6 L CPT % | 7 P JAVA % ")</f>
        <v xml:space="preserve">| 5 L PHP-CGM % | 6 L CPT % | 7 P JAVA % </v>
      </c>
      <c r="AC428" s="4" t="str">
        <f ca="1">IFERROR(__xludf.DUMMYFUNCTION("""COMPUTED_VALUE"""),"| 5 L PHP-CGM % | 6 L NS % | 7 P NS % | 9 P PHP-CGM % ")</f>
        <v xml:space="preserve">| 5 L PHP-CGM % | 6 L NS % | 7 P NS % | 9 P PHP-CGM % </v>
      </c>
      <c r="AD428" s="4" t="str">
        <f ca="1">IFERROR(__xludf.DUMMYFUNCTION("""COMPUTED_VALUE"""),"| 5 L NS % | 7 L JAVA % | 8 L CPT % | 9 P Python @ | 6 L PHP-CGM % ")</f>
        <v xml:space="preserve">| 5 L NS % | 7 L JAVA % | 8 L CPT % | 9 P Python @ | 6 L PHP-CGM % </v>
      </c>
      <c r="AE428" s="4" t="str">
        <f ca="1">IFERROR(__xludf.DUMMYFUNCTION("""COMPUTED_VALUE"""),"| 5 L JAVA % | 6 L NS % | 7 P CPT % | 9 P JAVA % ")</f>
        <v xml:space="preserve">| 5 L JAVA % | 6 L NS % | 7 P CPT % | 9 P JAVA % </v>
      </c>
      <c r="AF428" s="4" t="str">
        <f ca="1">IFERROR(__xludf.DUMMYFUNCTION("""COMPUTED_VALUE"""),"| 5 L CPT % | 6 L JAVA % | 7 P Python % | 9 P PRO % ")</f>
        <v xml:space="preserve">| 5 L CPT % | 6 L JAVA % | 7 P Python % | 9 P PRO % </v>
      </c>
      <c r="AG428" s="4" t="str">
        <f ca="1">IFERROR(__xludf.DUMMYFUNCTION("""COMPUTED_VALUE"""),"| 5 L PHP-CGM @ | 6 L CPT @ | 7 P JAVA % ")</f>
        <v xml:space="preserve">| 5 L PHP-CGM @ | 6 L CPT @ | 7 P JAVA % </v>
      </c>
      <c r="AH428" s="4" t="str">
        <f ca="1">IFERROR(__xludf.DUMMYFUNCTION("""COMPUTED_VALUE"""),"| 5 L CPT % | 6 L JAVA % | 7 P Python % | 9 P PRO % ")</f>
        <v xml:space="preserve">| 5 L CPT % | 6 L JAVA % | 7 P Python % | 9 P PRO % </v>
      </c>
      <c r="AI428" s="4" t="str">
        <f ca="1">IFERROR(__xludf.DUMMYFUNCTION("""COMPUTED_VALUE"""),"| 5 L PHP-CGM @ | 6 L CPT @ | 7 P JAVA @ ")</f>
        <v xml:space="preserve">| 5 L PHP-CGM @ | 6 L CPT @ | 7 P JAVA @ </v>
      </c>
      <c r="AJ428" s="4" t="str">
        <f ca="1">IFERROR(__xludf.DUMMYFUNCTION("""COMPUTED_VALUE"""),"| 5 L PHP-CGM @ | 6 L NS @ | 7 P NS @ | 9 P PHP-CGM @ ")</f>
        <v xml:space="preserve">| 5 L PHP-CGM @ | 6 L NS @ | 7 P NS @ | 9 P PHP-CGM @ </v>
      </c>
      <c r="AK428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28" s="4" t="str">
        <f ca="1">IFERROR(__xludf.DUMMYFUNCTION("""COMPUTED_VALUE"""),"| 5 L JAVA % | 6 L NS % | 7 P CPT % | 9 P JAVA % ")</f>
        <v xml:space="preserve">| 5 L JAVA % | 6 L NS % | 7 P CPT % | 9 P JAVA % </v>
      </c>
      <c r="AM428" s="4" t="str">
        <f ca="1">IFERROR(__xludf.DUMMYFUNCTION("""COMPUTED_VALUE"""),"| 5 L CPT % | 6 L JAVA % | 7 P Python % | 9 P PRO % ")</f>
        <v xml:space="preserve">| 5 L CPT % | 6 L JAVA % | 7 P Python % | 9 P PRO % </v>
      </c>
      <c r="AN428" s="4" t="str">
        <f ca="1">IFERROR(__xludf.DUMMYFUNCTION("""COMPUTED_VALUE"""),"| 5 L PHP-CGM % | 6 L CPT % | 7 P JAVA % ")</f>
        <v xml:space="preserve">| 5 L PHP-CGM % | 6 L CPT % | 7 P JAVA % </v>
      </c>
      <c r="AO428" s="4" t="str">
        <f ca="1">IFERROR(__xludf.DUMMYFUNCTION("""COMPUTED_VALUE"""),"| 5 L PHP-CGM % | 6 L NS % | 7 P NS % | 9 P PHP-CGM % ")</f>
        <v xml:space="preserve">| 5 L PHP-CGM % | 6 L NS % | 7 P NS % | 9 P PHP-CGM % </v>
      </c>
      <c r="AP428" s="4" t="str">
        <f ca="1">IFERROR(__xludf.DUMMYFUNCTION("""COMPUTED_VALUE"""),"| 5 L NS % | 7 L JAVA % | 8 L CPT % ")</f>
        <v xml:space="preserve">| 5 L NS % | 7 L JAVA % | 8 L CPT % </v>
      </c>
      <c r="AQ428" s="4" t="str">
        <f ca="1">IFERROR(__xludf.DUMMYFUNCTION("""COMPUTED_VALUE"""),"| 5 L CPT @ | 6 L NS @ | 7 P CPT @ | 9 P JAVA @ ")</f>
        <v xml:space="preserve">| 5 L CPT @ | 6 L NS @ | 7 P CPT @ | 9 P JAVA @ </v>
      </c>
      <c r="AR428" s="4" t="str">
        <f ca="1">IFERROR(__xludf.DUMMYFUNCTION("""COMPUTED_VALUE"""),"| 5 L JAVA @ | 6 L JAVA @ | 5 L CPT @ | 7 P Python @ ")</f>
        <v xml:space="preserve">| 5 L JAVA @ | 6 L JAVA @ | 5 L CPT @ | 7 P Python @ </v>
      </c>
      <c r="AS428" s="4" t="str">
        <f ca="1">IFERROR(__xludf.DUMMYFUNCTION("""COMPUTED_VALUE"""),"| 5 L PHP-CGM % | 6 L NS % | 9 P PHP-CGM @ ")</f>
        <v xml:space="preserve">| 5 L PHP-CGM % | 6 L NS % | 9 P PHP-CGM @ </v>
      </c>
      <c r="AT428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28" s="4" t="str">
        <f ca="1">IFERROR(__xludf.DUMMYFUNCTION("""COMPUTED_VALUE"""),"| 5 L CPT % | 6 L NS % | 7 P CPT % | 9 P JAVA % ")</f>
        <v xml:space="preserve">| 5 L CPT % | 6 L NS % | 7 P CPT % | 9 P JAVA % </v>
      </c>
      <c r="AV428" s="4" t="str">
        <f ca="1">IFERROR(__xludf.DUMMYFUNCTION("""COMPUTED_VALUE"""),"| 5 L JAVA % | 6 L JAVA % | 7 P Python % | 9 P PRO @ ")</f>
        <v xml:space="preserve">| 5 L JAVA % | 6 L JAVA % | 7 P Python % | 9 P PRO @ </v>
      </c>
      <c r="AW428" s="4" t="str">
        <f ca="1">IFERROR(__xludf.DUMMYFUNCTION("""COMPUTED_VALUE"""),"| 5 L PHP-CGM % | 6 L CPT % | 7 P JAVA % | 9 L INE @ ")</f>
        <v xml:space="preserve">| 5 L PHP-CGM % | 6 L CPT % | 7 P JAVA % | 9 L INE @ </v>
      </c>
      <c r="AX428" s="4" t="str">
        <f ca="1">IFERROR(__xludf.DUMMYFUNCTION("""COMPUTED_VALUE"""),"| 5 L PHP-CGM @ | 6 L NS @ | 7 P NS @ | 9 P PHP-CGM @ ")</f>
        <v xml:space="preserve">| 5 L PHP-CGM @ | 6 L NS @ | 7 P NS @ | 9 P PHP-CGM @ </v>
      </c>
      <c r="AY428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28" s="4" t="str">
        <f ca="1">IFERROR(__xludf.DUMMYFUNCTION("""COMPUTED_VALUE"""),"| 5 L JAVA % | 6 L JAVA @ | 7 P Python % ")</f>
        <v xml:space="preserve">| 5 L JAVA % | 6 L JAVA @ | 7 P Python % </v>
      </c>
      <c r="BA428" s="4" t="str">
        <f ca="1">IFERROR(__xludf.DUMMYFUNCTION("""COMPUTED_VALUE"""),"| 5 L PHP-CGM % | 6 L CPT % | 7 P JAVA @ | 9 L INE @ ")</f>
        <v xml:space="preserve">| 5 L PHP-CGM % | 6 L CPT % | 7 P JAVA @ | 9 L INE @ </v>
      </c>
      <c r="BB428" s="4" t="str">
        <f ca="1">IFERROR(__xludf.DUMMYFUNCTION("""COMPUTED_VALUE"""),"| 5 L PHP-CGM % | 6 L NS % | 7 P NS % | 9 P PHP-CGM % ")</f>
        <v xml:space="preserve">| 5 L PHP-CGM % | 6 L NS % | 7 P NS % | 9 P PHP-CGM % </v>
      </c>
      <c r="BC428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D428" s="4" t="str">
        <f ca="1">IFERROR(__xludf.DUMMYFUNCTION("""COMPUTED_VALUE"""),"| 5 L CPT % | 6 L NS % | 7 P CPT % ")</f>
        <v xml:space="preserve">| 5 L CPT % | 6 L NS % | 7 P CPT % </v>
      </c>
      <c r="BE428" s="4" t="str">
        <f ca="1">IFERROR(__xludf.DUMMYFUNCTION("""COMPUTED_VALUE"""),"| 5 L JAVA % | 6 L JAVA % | 7 P Python % | 9 P PRO % ")</f>
        <v xml:space="preserve">| 5 L JAVA % | 6 L JAVA % | 7 P Python % | 9 P PRO % </v>
      </c>
      <c r="BF428" s="4" t="str">
        <f ca="1">IFERROR(__xludf.DUMMYFUNCTION("""COMPUTED_VALUE"""),"| 5 L PHP-CGM % | 6 L CPT % | 7 P JAVA % ")</f>
        <v xml:space="preserve">| 5 L PHP-CGM % | 6 L CPT % | 7 P JAVA % </v>
      </c>
      <c r="BG428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H428" s="4" t="str">
        <f ca="1">IFERROR(__xludf.DUMMYFUNCTION("""COMPUTED_VALUE"""),"| 5 L CPT % | 6 L NS % | 7 P CPT % | 9 P JAVA @ ")</f>
        <v xml:space="preserve">| 5 L CPT % | 6 L NS % | 7 P CPT % | 9 P JAVA @ </v>
      </c>
      <c r="BI428" s="4" t="str">
        <f ca="1">IFERROR(__xludf.DUMMYFUNCTION("""COMPUTED_VALUE"""),"| 5 L JAVA % | 6 L JAVA % | 7 P Python % | 9 P PRO @ ")</f>
        <v xml:space="preserve">| 5 L JAVA % | 6 L JAVA % | 7 P Python % | 9 P PRO @ </v>
      </c>
      <c r="BJ428" s="4" t="str">
        <f ca="1">IFERROR(__xludf.DUMMYFUNCTION("""COMPUTED_VALUE"""),"| 5 L PHP-CGM @ | 6 L CPT @ | 7 P JAVA @ | 9 L INE @ ")</f>
        <v xml:space="preserve">| 5 L PHP-CGM @ | 6 L CPT @ | 7 P JAVA @ | 9 L INE @ </v>
      </c>
      <c r="BK428" s="4" t="str">
        <f ca="1">IFERROR(__xludf.DUMMYFUNCTION("""COMPUTED_VALUE"""),"| 5 L PHP-CGM @ | 6 L NS @ | 9 P PHP-CGM @ ")</f>
        <v xml:space="preserve">| 5 L PHP-CGM @ | 6 L NS @ | 9 P PHP-CGM @ </v>
      </c>
      <c r="BL428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28" s="4" t="str">
        <f ca="1">IFERROR(__xludf.DUMMYFUNCTION("""COMPUTED_VALUE"""),"| 5 L CPT @ | 6 L NS @ | 7 P CPT @ | 9 P JAVA @ ")</f>
        <v xml:space="preserve">| 5 L CPT @ | 6 L NS @ | 7 P CPT @ | 9 P JAVA @ </v>
      </c>
      <c r="BN428" s="4" t="str">
        <f ca="1">IFERROR(__xludf.DUMMYFUNCTION("""COMPUTED_VALUE"""),"| 5 L JAVA % | 6 L JAVA % ")</f>
        <v xml:space="preserve">| 5 L JAVA % | 6 L JAVA % </v>
      </c>
      <c r="BO428" s="4" t="str">
        <f ca="1">IFERROR(__xludf.DUMMYFUNCTION("""COMPUTED_VALUE"""),"| 5 L PHP-CGM @ | 9 L INE @ | 6 L CPT @ ")</f>
        <v xml:space="preserve">| 5 L PHP-CGM @ | 9 L INE @ | 6 L CPT @ </v>
      </c>
      <c r="BP428" s="4" t="str">
        <f ca="1">IFERROR(__xludf.DUMMYFUNCTION("""COMPUTED_VALUE"""),"| 5 L PHP-CGM % | 6 L NS % | 7 P NS % | 9 P PHP-CGM @ ")</f>
        <v xml:space="preserve">| 5 L PHP-CGM % | 6 L NS % | 7 P NS % | 9 P PHP-CGM @ </v>
      </c>
      <c r="BQ428" s="4" t="str">
        <f ca="1">IFERROR(__xludf.DUMMYFUNCTION("""COMPUTED_VALUE"""),"| 5 L CPT @ ")</f>
        <v xml:space="preserve">| 5 L CPT @ </v>
      </c>
      <c r="BR428" s="4" t="str">
        <f ca="1">IFERROR(__xludf.DUMMYFUNCTION("""COMPUTED_VALUE"""),"| 5 L JAVA % | 6 L JAVA % ")</f>
        <v xml:space="preserve">| 5 L JAVA % | 6 L JAVA % </v>
      </c>
      <c r="BS428" s="4"/>
      <c r="BT428" s="4" t="str">
        <f ca="1">IFERROR(__xludf.DUMMYFUNCTION("""COMPUTED_VALUE"""),"| 7 P NS @ ")</f>
        <v xml:space="preserve">| 7 P NS @ </v>
      </c>
      <c r="BU428" s="4" t="str">
        <f ca="1">IFERROR(__xludf.DUMMYFUNCTION("""COMPUTED_VALUE"""),"| 7 L JAVA @ ")</f>
        <v xml:space="preserve">| 7 L JAVA @ </v>
      </c>
      <c r="BV428" s="4" t="str">
        <f ca="1">IFERROR(__xludf.DUMMYFUNCTION("""COMPUTED_VALUE"""),"| 5 L PHP-CGM @ | 6 L NS @ ")</f>
        <v xml:space="preserve">| 5 L PHP-CGM @ | 6 L NS @ </v>
      </c>
      <c r="BW428" s="4"/>
      <c r="BX428" s="4" t="str">
        <f ca="1">IFERROR(__xludf.DUMMYFUNCTION("""COMPUTED_VALUE"""),"| 5 L CPT % | 6 L NS % | 7 P CPT % ")</f>
        <v xml:space="preserve">| 5 L CPT % | 6 L NS % | 7 P CPT % </v>
      </c>
      <c r="BY428" s="4" t="str">
        <f ca="1">IFERROR(__xludf.DUMMYFUNCTION("""COMPUTED_VALUE"""),"| 5 L JAVA % | 6 L JAVA % | 7 P Python % ")</f>
        <v xml:space="preserve">| 5 L JAVA % | 6 L JAVA % | 7 P Python % </v>
      </c>
      <c r="BZ428" s="4" t="str">
        <f ca="1">IFERROR(__xludf.DUMMYFUNCTION("""COMPUTED_VALUE"""),"| 5 L PHP-CGM % | 6 L CPT % | 7 P JAVA % ")</f>
        <v xml:space="preserve">| 5 L PHP-CGM % | 6 L CPT % | 7 P JAVA % </v>
      </c>
      <c r="CA428" s="4" t="str">
        <f ca="1">IFERROR(__xludf.DUMMYFUNCTION("""COMPUTED_VALUE"""),"| 5 L PHP-CGM % | 6 L NS % | 7 P NS % | 9 P PHP-CGM % ")</f>
        <v xml:space="preserve">| 5 L PHP-CGM % | 6 L NS % | 7 P NS % | 9 P PHP-CGM % </v>
      </c>
      <c r="CB428" s="4" t="str">
        <f ca="1">IFERROR(__xludf.DUMMYFUNCTION("""COMPUTED_VALUE"""),"| 5 L NS % | 6 L PHP-CGM % | 7 L JAVA % | 8 L CPT @ | 9 P Python % ")</f>
        <v xml:space="preserve">| 5 L NS % | 6 L PHP-CGM % | 7 L JAVA % | 8 L CPT @ | 9 P Python % </v>
      </c>
      <c r="CC428" s="4" t="str">
        <f ca="1">IFERROR(__xludf.DUMMYFUNCTION("""COMPUTED_VALUE"""),"| 6 L NS % | 5 L CPT % | 7 P CPT @ | 9 P JAVA @ ")</f>
        <v xml:space="preserve">| 6 L NS % | 5 L CPT % | 7 P CPT @ | 9 P JAVA @ </v>
      </c>
      <c r="CD428" s="4" t="str">
        <f ca="1">IFERROR(__xludf.DUMMYFUNCTION("""COMPUTED_VALUE"""),"| 5 L JAVA @ | 6 L JAVA @ | 7 P Python % | 9 P PRO @ ")</f>
        <v xml:space="preserve">| 5 L JAVA @ | 6 L JAVA @ | 7 P Python % | 9 P PRO @ </v>
      </c>
      <c r="CE428" s="4" t="str">
        <f ca="1">IFERROR(__xludf.DUMMYFUNCTION("""COMPUTED_VALUE"""),"| 5 L PHP-CGM @ | 6 L CPT @ | 7 P JAVA @ | 9 L INE @ ")</f>
        <v xml:space="preserve">| 5 L PHP-CGM @ | 6 L CPT @ | 7 P JAVA @ | 9 L INE @ </v>
      </c>
      <c r="CF428" s="4" t="str">
        <f ca="1">IFERROR(__xludf.DUMMYFUNCTION("""COMPUTED_VALUE"""),"| 5 L PHP-CGM % | 6 L NS % | 7 P NS % | 9 P PHP-CGM % ")</f>
        <v xml:space="preserve">| 5 L PHP-CGM % | 6 L NS % | 7 P NS % | 9 P PHP-CGM % </v>
      </c>
      <c r="CG428" s="4" t="str">
        <f ca="1">IFERROR(__xludf.DUMMYFUNCTION("""COMPUTED_VALUE"""),"| 6 L PHP-CGM @ | 7 L JAVA % | 8 L CPT % | 9 P Python % ")</f>
        <v xml:space="preserve">| 6 L PHP-CGM @ | 7 L JAVA % | 8 L CPT % | 9 P Python % </v>
      </c>
      <c r="CH428" s="4" t="str">
        <f ca="1">IFERROR(__xludf.DUMMYFUNCTION("""COMPUTED_VALUE"""),"| 5 L CPT % | 6 L NS % | 9 P JAVA % ")</f>
        <v xml:space="preserve">| 5 L CPT % | 6 L NS % | 9 P JAVA % </v>
      </c>
      <c r="CI428" s="4" t="str">
        <f ca="1">IFERROR(__xludf.DUMMYFUNCTION("""COMPUTED_VALUE"""),"| 5 L JAVA % | 6 L JAVA % | 9 P PRO @ ")</f>
        <v xml:space="preserve">| 5 L JAVA % | 6 L JAVA % | 9 P PRO @ </v>
      </c>
      <c r="CJ428" s="4" t="str">
        <f ca="1">IFERROR(__xludf.DUMMYFUNCTION("""COMPUTED_VALUE"""),"| 5 L PHP-CGM @ | 9 L INE @ ")</f>
        <v xml:space="preserve">| 5 L PHP-CGM @ | 9 L INE @ </v>
      </c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</row>
    <row r="429" spans="1:102" ht="12.5" x14ac:dyDescent="0.25">
      <c r="A429" s="3">
        <f ca="1">IFERROR(__xludf.DUMMYFUNCTION("""COMPUTED_VALUE"""),1)</f>
        <v>1</v>
      </c>
      <c r="B429" s="3" t="str">
        <f ca="1">IFERROR(__xludf.DUMMYFUNCTION("""COMPUTED_VALUE"""),"ITB")</f>
        <v>ITB</v>
      </c>
      <c r="C429" s="32" t="str">
        <f ca="1">IFERROR(__xludf.DUMMYFUNCTION("""COMPUTED_VALUE"""),"23291371028")</f>
        <v>23291371028</v>
      </c>
      <c r="D429" s="4" t="str">
        <f ca="1">IFERROR(__xludf.DUMMYFUNCTION("""COMPUTED_VALUE"""),"GHANCHI HARESHBHAI KARSHANBHAI")</f>
        <v>GHANCHI HARESHBHAI KARSHANBHAI</v>
      </c>
      <c r="E429" s="3" t="str">
        <f ca="1">IFERROR(__xludf.DUMMYFUNCTION("""COMPUTED_VALUE"""),"VSP - Eve")</f>
        <v>VSP - Eve</v>
      </c>
      <c r="F429" s="3">
        <f ca="1">IFERROR(__xludf.DUMMYFUNCTION("""COMPUTED_VALUE"""),9978209962)</f>
        <v>9978209962</v>
      </c>
      <c r="G429" s="3">
        <f ca="1">IFERROR(__xludf.DUMMYFUNCTION("""COMPUTED_VALUE"""),9427537390)</f>
        <v>9427537390</v>
      </c>
      <c r="H429" s="33">
        <f ca="1">IFERROR(__xludf.DUMMYFUNCTION("""COMPUTED_VALUE"""),0.787610619469026)</f>
        <v>0.787610619469026</v>
      </c>
      <c r="I429" s="25">
        <f ca="1">IFERROR(__xludf.DUMMYFUNCTION("""COMPUTED_VALUE"""),0.833333333333333)</f>
        <v>0.83333333333333304</v>
      </c>
      <c r="J429" s="25">
        <f ca="1">IFERROR(__xludf.DUMMYFUNCTION("""COMPUTED_VALUE"""),0.9)</f>
        <v>0.9</v>
      </c>
      <c r="K429" s="25">
        <f ca="1">IFERROR(__xludf.DUMMYFUNCTION("""COMPUTED_VALUE"""),0.848484848484848)</f>
        <v>0.84848484848484795</v>
      </c>
      <c r="L429" s="25">
        <f ca="1">IFERROR(__xludf.DUMMYFUNCTION("""COMPUTED_VALUE"""),0.7)</f>
        <v>0.7</v>
      </c>
      <c r="M429" s="25">
        <f ca="1">IFERROR(__xludf.DUMMYFUNCTION("""COMPUTED_VALUE"""),0.735294117647058)</f>
        <v>0.73529411764705799</v>
      </c>
      <c r="N429" s="25">
        <f ca="1">IFERROR(__xludf.DUMMYFUNCTION("""COMPUTED_VALUE"""),0.8)</f>
        <v>0.8</v>
      </c>
      <c r="O429" s="25">
        <f ca="1">IFERROR(__xludf.DUMMYFUNCTION("""COMPUTED_VALUE"""),0.846153846153846)</f>
        <v>0.84615384615384603</v>
      </c>
      <c r="P429" s="25">
        <f ca="1">IFERROR(__xludf.DUMMYFUNCTION("""COMPUTED_VALUE"""),0.789473684210526)</f>
        <v>0.78947368421052599</v>
      </c>
      <c r="Q429" s="25">
        <f ca="1">IFERROR(__xludf.DUMMYFUNCTION("""COMPUTED_VALUE"""),0)</f>
        <v>0</v>
      </c>
      <c r="R429" s="25">
        <f ca="1">IFERROR(__xludf.DUMMYFUNCTION("""COMPUTED_VALUE"""),0.85)</f>
        <v>0.85</v>
      </c>
      <c r="S429" s="25">
        <f ca="1">IFERROR(__xludf.DUMMYFUNCTION("""COMPUTED_VALUE"""),0)</f>
        <v>0</v>
      </c>
      <c r="T429" s="25">
        <f ca="1">IFERROR(__xludf.DUMMYFUNCTION("""COMPUTED_VALUE"""),0.555555555555555)</f>
        <v>0.55555555555555503</v>
      </c>
      <c r="U429" s="25">
        <f ca="1">IFERROR(__xludf.DUMMYFUNCTION("""COMPUTED_VALUE"""),0.166666666666666)</f>
        <v>0.16666666666666599</v>
      </c>
      <c r="V429" s="25">
        <f ca="1">IFERROR(__xludf.DUMMYFUNCTION("""COMPUTED_VALUE"""),0)</f>
        <v>0</v>
      </c>
      <c r="W429" s="4"/>
      <c r="X429" s="4" t="str">
        <f ca="1">IFERROR(__xludf.DUMMYFUNCTION("""COMPUTED_VALUE"""),"| 5 L PHP-CGM @ | 6 L NS @ | 7 P NS @ ")</f>
        <v xml:space="preserve">| 5 L PHP-CGM @ | 6 L NS @ | 7 P NS @ </v>
      </c>
      <c r="Y429" s="4" t="str">
        <f ca="1">IFERROR(__xludf.DUMMYFUNCTION("""COMPUTED_VALUE"""),"| 5 L NS @ | 6 L PHP-CGM @ | 7 L JAVA @ | 8 L CPT @ ")</f>
        <v xml:space="preserve">| 5 L NS @ | 6 L PHP-CGM @ | 7 L JAVA @ | 8 L CPT @ </v>
      </c>
      <c r="Z429" s="4" t="str">
        <f ca="1">IFERROR(__xludf.DUMMYFUNCTION("""COMPUTED_VALUE"""),"| 5 L JAVA % | 6 L NS % | 7 P CPT % | 9 P JAVA % ")</f>
        <v xml:space="preserve">| 5 L JAVA % | 6 L NS % | 7 P CPT % | 9 P JAVA % </v>
      </c>
      <c r="AA429" s="4" t="str">
        <f ca="1">IFERROR(__xludf.DUMMYFUNCTION("""COMPUTED_VALUE"""),"| 5 L CPT % | 6 L JAVA % | 7 P Python % | 9 P PRO % ")</f>
        <v xml:space="preserve">| 5 L CPT % | 6 L JAVA % | 7 P Python % | 9 P PRO % </v>
      </c>
      <c r="AB429" s="4" t="str">
        <f ca="1">IFERROR(__xludf.DUMMYFUNCTION("""COMPUTED_VALUE"""),"| 5 L PHP-CGM % | 6 L CPT % | 7 P JAVA % ")</f>
        <v xml:space="preserve">| 5 L PHP-CGM % | 6 L CPT % | 7 P JAVA % </v>
      </c>
      <c r="AC429" s="4" t="str">
        <f ca="1">IFERROR(__xludf.DUMMYFUNCTION("""COMPUTED_VALUE"""),"| 5 L PHP-CGM % | 6 L NS % | 7 P NS % | 9 P PHP-CGM % ")</f>
        <v xml:space="preserve">| 5 L PHP-CGM % | 6 L NS % | 7 P NS % | 9 P PHP-CGM % </v>
      </c>
      <c r="AD429" s="4" t="str">
        <f ca="1">IFERROR(__xludf.DUMMYFUNCTION("""COMPUTED_VALUE"""),"| 5 L NS % | 7 L JAVA % | 8 L CPT % | 9 P Python @ | 6 L PHP-CGM % ")</f>
        <v xml:space="preserve">| 5 L NS % | 7 L JAVA % | 8 L CPT % | 9 P Python @ | 6 L PHP-CGM % </v>
      </c>
      <c r="AE429" s="4" t="str">
        <f ca="1">IFERROR(__xludf.DUMMYFUNCTION("""COMPUTED_VALUE"""),"| 5 L JAVA % | 6 L NS % | 7 P CPT % | 9 P JAVA % ")</f>
        <v xml:space="preserve">| 5 L JAVA % | 6 L NS % | 7 P CPT % | 9 P JAVA % </v>
      </c>
      <c r="AF429" s="4" t="str">
        <f ca="1">IFERROR(__xludf.DUMMYFUNCTION("""COMPUTED_VALUE"""),"| 5 L CPT % | 6 L JAVA % | 7 P Python % | 9 P PRO % ")</f>
        <v xml:space="preserve">| 5 L CPT % | 6 L JAVA % | 7 P Python % | 9 P PRO % </v>
      </c>
      <c r="AG429" s="4" t="str">
        <f ca="1">IFERROR(__xludf.DUMMYFUNCTION("""COMPUTED_VALUE"""),"| 5 L PHP-CGM % | 6 L CPT % | 7 P JAVA % ")</f>
        <v xml:space="preserve">| 5 L PHP-CGM % | 6 L CPT % | 7 P JAVA % </v>
      </c>
      <c r="AH429" s="4" t="str">
        <f ca="1">IFERROR(__xludf.DUMMYFUNCTION("""COMPUTED_VALUE"""),"| 5 L CPT % | 6 L JAVA % | 7 P Python % | 9 P PRO % ")</f>
        <v xml:space="preserve">| 5 L CPT % | 6 L JAVA % | 7 P Python % | 9 P PRO % </v>
      </c>
      <c r="AI429" s="4" t="str">
        <f ca="1">IFERROR(__xludf.DUMMYFUNCTION("""COMPUTED_VALUE"""),"| 5 L PHP-CGM % | 6 L CPT % | 7 P JAVA % ")</f>
        <v xml:space="preserve">| 5 L PHP-CGM % | 6 L CPT % | 7 P JAVA % </v>
      </c>
      <c r="AJ429" s="4" t="str">
        <f ca="1">IFERROR(__xludf.DUMMYFUNCTION("""COMPUTED_VALUE"""),"| 5 L PHP-CGM % | 6 L NS % | 7 P NS % | 9 P PHP-CGM % ")</f>
        <v xml:space="preserve">| 5 L PHP-CGM % | 6 L NS % | 7 P NS % | 9 P PHP-CGM % </v>
      </c>
      <c r="AK429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29" s="4" t="str">
        <f ca="1">IFERROR(__xludf.DUMMYFUNCTION("""COMPUTED_VALUE"""),"| 5 L JAVA % | 6 L NS % | 7 P CPT % | 9 P JAVA % ")</f>
        <v xml:space="preserve">| 5 L JAVA % | 6 L NS % | 7 P CPT % | 9 P JAVA % </v>
      </c>
      <c r="AM429" s="4" t="str">
        <f ca="1">IFERROR(__xludf.DUMMYFUNCTION("""COMPUTED_VALUE"""),"| 5 L CPT % | 6 L JAVA % | 7 P Python % | 9 P PRO @ ")</f>
        <v xml:space="preserve">| 5 L CPT % | 6 L JAVA % | 7 P Python % | 9 P PRO @ </v>
      </c>
      <c r="AN429" s="4" t="str">
        <f ca="1">IFERROR(__xludf.DUMMYFUNCTION("""COMPUTED_VALUE"""),"| 5 L PHP-CGM % | 6 L CPT % | 7 P JAVA % ")</f>
        <v xml:space="preserve">| 5 L PHP-CGM % | 6 L CPT % | 7 P JAVA % </v>
      </c>
      <c r="AO429" s="4" t="str">
        <f ca="1">IFERROR(__xludf.DUMMYFUNCTION("""COMPUTED_VALUE"""),"| 5 L PHP-CGM % | 6 L NS % | 7 P NS % | 9 P PHP-CGM % ")</f>
        <v xml:space="preserve">| 5 L PHP-CGM % | 6 L NS % | 7 P NS % | 9 P PHP-CGM % </v>
      </c>
      <c r="AP429" s="4" t="str">
        <f ca="1">IFERROR(__xludf.DUMMYFUNCTION("""COMPUTED_VALUE"""),"| 5 L NS % | 7 L JAVA % | 8 L CPT % ")</f>
        <v xml:space="preserve">| 5 L NS % | 7 L JAVA % | 8 L CPT % </v>
      </c>
      <c r="AQ429" s="4" t="str">
        <f ca="1">IFERROR(__xludf.DUMMYFUNCTION("""COMPUTED_VALUE"""),"| 5 L CPT % | 6 L NS % | 7 P CPT % | 9 P JAVA % ")</f>
        <v xml:space="preserve">| 5 L CPT % | 6 L NS % | 7 P CPT % | 9 P JAVA % </v>
      </c>
      <c r="AR429" s="4" t="str">
        <f ca="1">IFERROR(__xludf.DUMMYFUNCTION("""COMPUTED_VALUE"""),"| 5 L JAVA % | 6 L JAVA % | 5 L CPT @ | 7 P Python % ")</f>
        <v xml:space="preserve">| 5 L JAVA % | 6 L JAVA % | 5 L CPT @ | 7 P Python % </v>
      </c>
      <c r="AS429" s="4" t="str">
        <f ca="1">IFERROR(__xludf.DUMMYFUNCTION("""COMPUTED_VALUE"""),"| 5 L PHP-CGM @ | 6 L NS @ | 9 P PHP-CGM @ ")</f>
        <v xml:space="preserve">| 5 L PHP-CGM @ | 6 L NS @ | 9 P PHP-CGM @ </v>
      </c>
      <c r="AT429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29" s="4" t="str">
        <f ca="1">IFERROR(__xludf.DUMMYFUNCTION("""COMPUTED_VALUE"""),"| 5 L CPT % | 6 L NS % | 7 P CPT % | 9 P JAVA % ")</f>
        <v xml:space="preserve">| 5 L CPT % | 6 L NS % | 7 P CPT % | 9 P JAVA % </v>
      </c>
      <c r="AV429" s="4" t="str">
        <f ca="1">IFERROR(__xludf.DUMMYFUNCTION("""COMPUTED_VALUE"""),"| 5 L JAVA % | 6 L JAVA % | 7 P Python % | 9 P PRO % ")</f>
        <v xml:space="preserve">| 5 L JAVA % | 6 L JAVA % | 7 P Python % | 9 P PRO % </v>
      </c>
      <c r="AW429" s="4" t="str">
        <f ca="1">IFERROR(__xludf.DUMMYFUNCTION("""COMPUTED_VALUE"""),"| 5 L PHP-CGM % | 6 L CPT % | 7 P JAVA % | 9 L INE @ ")</f>
        <v xml:space="preserve">| 5 L PHP-CGM % | 6 L CPT % | 7 P JAVA % | 9 L INE @ </v>
      </c>
      <c r="AX429" s="4" t="str">
        <f ca="1">IFERROR(__xludf.DUMMYFUNCTION("""COMPUTED_VALUE"""),"| 5 L PHP-CGM % | 6 L NS % | 7 P NS % | 9 P PHP-CGM % ")</f>
        <v xml:space="preserve">| 5 L PHP-CGM % | 6 L NS % | 7 P NS % | 9 P PHP-CGM % </v>
      </c>
      <c r="AY429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29" s="4" t="str">
        <f ca="1">IFERROR(__xludf.DUMMYFUNCTION("""COMPUTED_VALUE"""),"| 5 L JAVA % | 6 L JAVA % | 7 P Python % ")</f>
        <v xml:space="preserve">| 5 L JAVA % | 6 L JAVA % | 7 P Python % </v>
      </c>
      <c r="BA429" s="4" t="str">
        <f ca="1">IFERROR(__xludf.DUMMYFUNCTION("""COMPUTED_VALUE"""),"| 5 L PHP-CGM % | 6 L CPT % | 7 P JAVA @ | 9 L INE @ ")</f>
        <v xml:space="preserve">| 5 L PHP-CGM % | 6 L CPT % | 7 P JAVA @ | 9 L INE @ </v>
      </c>
      <c r="BB429" s="4" t="str">
        <f ca="1">IFERROR(__xludf.DUMMYFUNCTION("""COMPUTED_VALUE"""),"| 5 L PHP-CGM % | 6 L NS % | 7 P NS % | 9 P PHP-CGM % ")</f>
        <v xml:space="preserve">| 5 L PHP-CGM % | 6 L NS % | 7 P NS % | 9 P PHP-CGM % </v>
      </c>
      <c r="BC429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D429" s="4" t="str">
        <f ca="1">IFERROR(__xludf.DUMMYFUNCTION("""COMPUTED_VALUE"""),"| 5 L CPT % | 6 L NS % | 7 P CPT % ")</f>
        <v xml:space="preserve">| 5 L CPT % | 6 L NS % | 7 P CPT % </v>
      </c>
      <c r="BE429" s="4" t="str">
        <f ca="1">IFERROR(__xludf.DUMMYFUNCTION("""COMPUTED_VALUE"""),"| 5 L JAVA % | 6 L JAVA % | 7 P Python % | 9 P PRO % ")</f>
        <v xml:space="preserve">| 5 L JAVA % | 6 L JAVA % | 7 P Python % | 9 P PRO % </v>
      </c>
      <c r="BF429" s="4" t="str">
        <f ca="1">IFERROR(__xludf.DUMMYFUNCTION("""COMPUTED_VALUE"""),"| 5 L PHP-CGM % | 6 L CPT % | 7 P JAVA % ")</f>
        <v xml:space="preserve">| 5 L PHP-CGM % | 6 L CPT % | 7 P JAVA % </v>
      </c>
      <c r="BG429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H429" s="4" t="str">
        <f ca="1">IFERROR(__xludf.DUMMYFUNCTION("""COMPUTED_VALUE"""),"| 5 L CPT % | 6 L NS % | 7 P CPT % | 9 P JAVA @ ")</f>
        <v xml:space="preserve">| 5 L CPT % | 6 L NS % | 7 P CPT % | 9 P JAVA @ </v>
      </c>
      <c r="BI429" s="4" t="str">
        <f ca="1">IFERROR(__xludf.DUMMYFUNCTION("""COMPUTED_VALUE"""),"| 5 L JAVA @ | 6 L JAVA @ | 7 P Python @ | 9 P PRO @ ")</f>
        <v xml:space="preserve">| 5 L JAVA @ | 6 L JAVA @ | 7 P Python @ | 9 P PRO @ </v>
      </c>
      <c r="BJ429" s="4" t="str">
        <f ca="1">IFERROR(__xludf.DUMMYFUNCTION("""COMPUTED_VALUE"""),"| 5 L PHP-CGM @ | 6 L CPT @ | 7 P JAVA @ | 9 L INE @ ")</f>
        <v xml:space="preserve">| 5 L PHP-CGM @ | 6 L CPT @ | 7 P JAVA @ | 9 L INE @ </v>
      </c>
      <c r="BK429" s="4" t="str">
        <f ca="1">IFERROR(__xludf.DUMMYFUNCTION("""COMPUTED_VALUE"""),"| 5 L PHP-CGM % | 6 L NS % | 9 P PHP-CGM % ")</f>
        <v xml:space="preserve">| 5 L PHP-CGM % | 6 L NS % | 9 P PHP-CGM % </v>
      </c>
      <c r="BL429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M429" s="4" t="str">
        <f ca="1">IFERROR(__xludf.DUMMYFUNCTION("""COMPUTED_VALUE"""),"| 5 L CPT % | 6 L NS % | 7 P CPT % | 9 P JAVA % ")</f>
        <v xml:space="preserve">| 5 L CPT % | 6 L NS % | 7 P CPT % | 9 P JAVA % </v>
      </c>
      <c r="BN429" s="4" t="str">
        <f ca="1">IFERROR(__xludf.DUMMYFUNCTION("""COMPUTED_VALUE"""),"| 5 L JAVA % | 6 L JAVA % ")</f>
        <v xml:space="preserve">| 5 L JAVA % | 6 L JAVA % </v>
      </c>
      <c r="BO429" s="4" t="str">
        <f ca="1">IFERROR(__xludf.DUMMYFUNCTION("""COMPUTED_VALUE"""),"| 5 L PHP-CGM @ | 9 L INE @ | 6 L CPT @ ")</f>
        <v xml:space="preserve">| 5 L PHP-CGM @ | 9 L INE @ | 6 L CPT @ </v>
      </c>
      <c r="BP429" s="4" t="str">
        <f ca="1">IFERROR(__xludf.DUMMYFUNCTION("""COMPUTED_VALUE"""),"| 5 L PHP-CGM % | 6 L NS @ | 7 P NS @ | 9 P PHP-CGM @ ")</f>
        <v xml:space="preserve">| 5 L PHP-CGM % | 6 L NS @ | 7 P NS @ | 9 P PHP-CGM @ </v>
      </c>
      <c r="BQ429" s="4" t="str">
        <f ca="1">IFERROR(__xludf.DUMMYFUNCTION("""COMPUTED_VALUE"""),"| 5 L CPT @ ")</f>
        <v xml:space="preserve">| 5 L CPT @ </v>
      </c>
      <c r="BR429" s="4" t="str">
        <f ca="1">IFERROR(__xludf.DUMMYFUNCTION("""COMPUTED_VALUE"""),"| 5 L JAVA % | 6 L JAVA % ")</f>
        <v xml:space="preserve">| 5 L JAVA % | 6 L JAVA % </v>
      </c>
      <c r="BS429" s="4"/>
      <c r="BT429" s="4" t="str">
        <f ca="1">IFERROR(__xludf.DUMMYFUNCTION("""COMPUTED_VALUE"""),"| 7 P NS @ ")</f>
        <v xml:space="preserve">| 7 P NS @ </v>
      </c>
      <c r="BU429" s="4" t="str">
        <f ca="1">IFERROR(__xludf.DUMMYFUNCTION("""COMPUTED_VALUE"""),"| 7 L JAVA @ ")</f>
        <v xml:space="preserve">| 7 L JAVA @ </v>
      </c>
      <c r="BV429" s="4" t="str">
        <f ca="1">IFERROR(__xludf.DUMMYFUNCTION("""COMPUTED_VALUE"""),"| 5 L PHP-CGM @ | 6 L NS @ ")</f>
        <v xml:space="preserve">| 5 L PHP-CGM @ | 6 L NS @ </v>
      </c>
      <c r="BW429" s="4"/>
      <c r="BX429" s="4" t="str">
        <f ca="1">IFERROR(__xludf.DUMMYFUNCTION("""COMPUTED_VALUE"""),"| 5 L CPT % | 6 L NS % | 7 P CPT % ")</f>
        <v xml:space="preserve">| 5 L CPT % | 6 L NS % | 7 P CPT % </v>
      </c>
      <c r="BY429" s="4" t="str">
        <f ca="1">IFERROR(__xludf.DUMMYFUNCTION("""COMPUTED_VALUE"""),"| 5 L JAVA % | 6 L JAVA % | 7 P Python % ")</f>
        <v xml:space="preserve">| 5 L JAVA % | 6 L JAVA % | 7 P Python % </v>
      </c>
      <c r="BZ429" s="4" t="str">
        <f ca="1">IFERROR(__xludf.DUMMYFUNCTION("""COMPUTED_VALUE"""),"| 5 L PHP-CGM % | 6 L CPT % | 7 P JAVA % ")</f>
        <v xml:space="preserve">| 5 L PHP-CGM % | 6 L CPT % | 7 P JAVA % </v>
      </c>
      <c r="CA429" s="4" t="str">
        <f ca="1">IFERROR(__xludf.DUMMYFUNCTION("""COMPUTED_VALUE"""),"| 5 L PHP-CGM % | 6 L NS % | 7 P NS % | 9 P PHP-CGM % ")</f>
        <v xml:space="preserve">| 5 L PHP-CGM % | 6 L NS % | 7 P NS % | 9 P PHP-CGM % </v>
      </c>
      <c r="CB429" s="4" t="str">
        <f ca="1">IFERROR(__xludf.DUMMYFUNCTION("""COMPUTED_VALUE"""),"| 5 L NS % | 6 L PHP-CGM % | 7 L JAVA % | 8 L CPT @ | 9 P Python % ")</f>
        <v xml:space="preserve">| 5 L NS % | 6 L PHP-CGM % | 7 L JAVA % | 8 L CPT @ | 9 P Python % </v>
      </c>
      <c r="CC429" s="4" t="str">
        <f ca="1">IFERROR(__xludf.DUMMYFUNCTION("""COMPUTED_VALUE"""),"| 6 L NS % | 5 L CPT % | 7 P CPT @ | 9 P JAVA @ ")</f>
        <v xml:space="preserve">| 6 L NS % | 5 L CPT % | 7 P CPT @ | 9 P JAVA @ </v>
      </c>
      <c r="CD429" s="4" t="str">
        <f ca="1">IFERROR(__xludf.DUMMYFUNCTION("""COMPUTED_VALUE"""),"| 5 L JAVA @ | 6 L JAVA @ | 7 P Python % | 9 P PRO @ ")</f>
        <v xml:space="preserve">| 5 L JAVA @ | 6 L JAVA @ | 7 P Python % | 9 P PRO @ </v>
      </c>
      <c r="CE429" s="4" t="str">
        <f ca="1">IFERROR(__xludf.DUMMYFUNCTION("""COMPUTED_VALUE"""),"| 5 L PHP-CGM @ | 6 L CPT % | 7 P JAVA % | 9 L INE % ")</f>
        <v xml:space="preserve">| 5 L PHP-CGM @ | 6 L CPT % | 7 P JAVA % | 9 L INE % </v>
      </c>
      <c r="CF429" s="4" t="str">
        <f ca="1">IFERROR(__xludf.DUMMYFUNCTION("""COMPUTED_VALUE"""),"| 5 L PHP-CGM % | 6 L NS % | 7 P NS % | 9 P PHP-CGM % ")</f>
        <v xml:space="preserve">| 5 L PHP-CGM % | 6 L NS % | 7 P NS % | 9 P PHP-CGM % </v>
      </c>
      <c r="CG429" s="4" t="str">
        <f ca="1">IFERROR(__xludf.DUMMYFUNCTION("""COMPUTED_VALUE"""),"| 6 L PHP-CGM @ | 7 L JAVA % | 8 L CPT % | 9 P Python % ")</f>
        <v xml:space="preserve">| 6 L PHP-CGM @ | 7 L JAVA % | 8 L CPT % | 9 P Python % </v>
      </c>
      <c r="CH429" s="4" t="str">
        <f ca="1">IFERROR(__xludf.DUMMYFUNCTION("""COMPUTED_VALUE"""),"| 5 L CPT % | 6 L NS % | 9 P JAVA % ")</f>
        <v xml:space="preserve">| 5 L CPT % | 6 L NS % | 9 P JAVA % </v>
      </c>
      <c r="CI429" s="4" t="str">
        <f ca="1">IFERROR(__xludf.DUMMYFUNCTION("""COMPUTED_VALUE"""),"| 5 L JAVA % | 6 L JAVA % | 9 P PRO @ ")</f>
        <v xml:space="preserve">| 5 L JAVA % | 6 L JAVA % | 9 P PRO @ </v>
      </c>
      <c r="CJ429" s="4" t="str">
        <f ca="1">IFERROR(__xludf.DUMMYFUNCTION("""COMPUTED_VALUE"""),"| 5 L PHP-CGM @ | 9 L INE @ ")</f>
        <v xml:space="preserve">| 5 L PHP-CGM @ | 9 L INE @ </v>
      </c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</row>
    <row r="430" spans="1:102" ht="12.5" x14ac:dyDescent="0.25">
      <c r="A430" s="3">
        <f ca="1">IFERROR(__xludf.DUMMYFUNCTION("""COMPUTED_VALUE"""),1)</f>
        <v>1</v>
      </c>
      <c r="B430" s="3" t="str">
        <f ca="1">IFERROR(__xludf.DUMMYFUNCTION("""COMPUTED_VALUE"""),"ITB")</f>
        <v>ITB</v>
      </c>
      <c r="C430" s="32" t="str">
        <f ca="1">IFERROR(__xludf.DUMMYFUNCTION("""COMPUTED_VALUE"""),"23291371029")</f>
        <v>23291371029</v>
      </c>
      <c r="D430" s="4" t="str">
        <f ca="1">IFERROR(__xludf.DUMMYFUNCTION("""COMPUTED_VALUE"""),"GOSAI JAYDEEPGIRI VISHWAJITGIRI")</f>
        <v>GOSAI JAYDEEPGIRI VISHWAJITGIRI</v>
      </c>
      <c r="E430" s="3" t="str">
        <f ca="1">IFERROR(__xludf.DUMMYFUNCTION("""COMPUTED_VALUE"""),"VSP - Eve")</f>
        <v>VSP - Eve</v>
      </c>
      <c r="F430" s="3">
        <f ca="1">IFERROR(__xludf.DUMMYFUNCTION("""COMPUTED_VALUE"""),9173983671)</f>
        <v>9173983671</v>
      </c>
      <c r="G430" s="3">
        <f ca="1">IFERROR(__xludf.DUMMYFUNCTION("""COMPUTED_VALUE"""),8511254381)</f>
        <v>8511254381</v>
      </c>
      <c r="H430" s="33">
        <f ca="1">IFERROR(__xludf.DUMMYFUNCTION("""COMPUTED_VALUE"""),0.712389380530973)</f>
        <v>0.712389380530973</v>
      </c>
      <c r="I430" s="25">
        <f ca="1">IFERROR(__xludf.DUMMYFUNCTION("""COMPUTED_VALUE"""),0.666666666666666)</f>
        <v>0.66666666666666596</v>
      </c>
      <c r="J430" s="25">
        <f ca="1">IFERROR(__xludf.DUMMYFUNCTION("""COMPUTED_VALUE"""),0.8)</f>
        <v>0.8</v>
      </c>
      <c r="K430" s="25">
        <f ca="1">IFERROR(__xludf.DUMMYFUNCTION("""COMPUTED_VALUE"""),0.727272727272727)</f>
        <v>0.72727272727272696</v>
      </c>
      <c r="L430" s="25">
        <f ca="1">IFERROR(__xludf.DUMMYFUNCTION("""COMPUTED_VALUE"""),0.8)</f>
        <v>0.8</v>
      </c>
      <c r="M430" s="25">
        <f ca="1">IFERROR(__xludf.DUMMYFUNCTION("""COMPUTED_VALUE"""),0.676470588235294)</f>
        <v>0.67647058823529405</v>
      </c>
      <c r="N430" s="25">
        <f ca="1">IFERROR(__xludf.DUMMYFUNCTION("""COMPUTED_VALUE"""),0.7)</f>
        <v>0.7</v>
      </c>
      <c r="O430" s="25">
        <f ca="1">IFERROR(__xludf.DUMMYFUNCTION("""COMPUTED_VALUE"""),0.769230769230769)</f>
        <v>0.76923076923076905</v>
      </c>
      <c r="P430" s="25">
        <f ca="1">IFERROR(__xludf.DUMMYFUNCTION("""COMPUTED_VALUE"""),0.684210526315789)</f>
        <v>0.68421052631578905</v>
      </c>
      <c r="Q430" s="25">
        <f ca="1">IFERROR(__xludf.DUMMYFUNCTION("""COMPUTED_VALUE"""),0)</f>
        <v>0</v>
      </c>
      <c r="R430" s="25">
        <f ca="1">IFERROR(__xludf.DUMMYFUNCTION("""COMPUTED_VALUE"""),0.8)</f>
        <v>0.8</v>
      </c>
      <c r="S430" s="25">
        <f ca="1">IFERROR(__xludf.DUMMYFUNCTION("""COMPUTED_VALUE"""),0)</f>
        <v>0</v>
      </c>
      <c r="T430" s="25">
        <f ca="1">IFERROR(__xludf.DUMMYFUNCTION("""COMPUTED_VALUE"""),0.666666666666666)</f>
        <v>0.66666666666666596</v>
      </c>
      <c r="U430" s="25">
        <f ca="1">IFERROR(__xludf.DUMMYFUNCTION("""COMPUTED_VALUE"""),0.333333333333333)</f>
        <v>0.33333333333333298</v>
      </c>
      <c r="V430" s="25">
        <f ca="1">IFERROR(__xludf.DUMMYFUNCTION("""COMPUTED_VALUE"""),0)</f>
        <v>0</v>
      </c>
      <c r="W430" s="4"/>
      <c r="X430" s="4" t="str">
        <f ca="1">IFERROR(__xludf.DUMMYFUNCTION("""COMPUTED_VALUE"""),"| 5 L PHP-CGM @ | 6 L NS @ | 7 P NS @ ")</f>
        <v xml:space="preserve">| 5 L PHP-CGM @ | 6 L NS @ | 7 P NS @ </v>
      </c>
      <c r="Y430" s="4" t="str">
        <f ca="1">IFERROR(__xludf.DUMMYFUNCTION("""COMPUTED_VALUE"""),"| 5 L NS @ | 6 L PHP-CGM @ | 7 L JAVA @ | 8 L CPT @ ")</f>
        <v xml:space="preserve">| 5 L NS @ | 6 L PHP-CGM @ | 7 L JAVA @ | 8 L CPT @ </v>
      </c>
      <c r="Z430" s="4" t="str">
        <f ca="1">IFERROR(__xludf.DUMMYFUNCTION("""COMPUTED_VALUE"""),"| 5 L JAVA @ | 6 L NS @ | 7 P CPT @ | 9 P JAVA @ ")</f>
        <v xml:space="preserve">| 5 L JAVA @ | 6 L NS @ | 7 P CPT @ | 9 P JAVA @ </v>
      </c>
      <c r="AA430" s="4" t="str">
        <f ca="1">IFERROR(__xludf.DUMMYFUNCTION("""COMPUTED_VALUE"""),"| 5 L CPT @ | 6 L JAVA @ | 7 P Python @ | 9 P PRO @ ")</f>
        <v xml:space="preserve">| 5 L CPT @ | 6 L JAVA @ | 7 P Python @ | 9 P PRO @ </v>
      </c>
      <c r="AB430" s="4" t="str">
        <f ca="1">IFERROR(__xludf.DUMMYFUNCTION("""COMPUTED_VALUE"""),"| 5 L PHP-CGM % | 6 L CPT % | 7 P JAVA % ")</f>
        <v xml:space="preserve">| 5 L PHP-CGM % | 6 L CPT % | 7 P JAVA % </v>
      </c>
      <c r="AC430" s="4" t="str">
        <f ca="1">IFERROR(__xludf.DUMMYFUNCTION("""COMPUTED_VALUE"""),"| 5 L PHP-CGM % | 6 L NS % | 7 P NS % | 9 P PHP-CGM % ")</f>
        <v xml:space="preserve">| 5 L PHP-CGM % | 6 L NS % | 7 P NS % | 9 P PHP-CGM % </v>
      </c>
      <c r="AD430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30" s="4" t="str">
        <f ca="1">IFERROR(__xludf.DUMMYFUNCTION("""COMPUTED_VALUE"""),"| 5 L JAVA % | 6 L NS % | 7 P CPT % | 9 P JAVA % ")</f>
        <v xml:space="preserve">| 5 L JAVA % | 6 L NS % | 7 P CPT % | 9 P JAVA % </v>
      </c>
      <c r="AF430" s="4" t="str">
        <f ca="1">IFERROR(__xludf.DUMMYFUNCTION("""COMPUTED_VALUE"""),"| 5 L CPT @ | 6 L JAVA @ | 7 P Python @ | 9 P PRO @ ")</f>
        <v xml:space="preserve">| 5 L CPT @ | 6 L JAVA @ | 7 P Python @ | 9 P PRO @ </v>
      </c>
      <c r="AG430" s="4" t="str">
        <f ca="1">IFERROR(__xludf.DUMMYFUNCTION("""COMPUTED_VALUE"""),"| 5 L PHP-CGM @ | 6 L CPT @ | 7 P JAVA @ ")</f>
        <v xml:space="preserve">| 5 L PHP-CGM @ | 6 L CPT @ | 7 P JAVA @ </v>
      </c>
      <c r="AH430" s="4" t="str">
        <f ca="1">IFERROR(__xludf.DUMMYFUNCTION("""COMPUTED_VALUE"""),"| 5 L CPT % | 6 L JAVA % | 7 P Python % | 9 P PRO % ")</f>
        <v xml:space="preserve">| 5 L CPT % | 6 L JAVA % | 7 P Python % | 9 P PRO % </v>
      </c>
      <c r="AI430" s="4" t="str">
        <f ca="1">IFERROR(__xludf.DUMMYFUNCTION("""COMPUTED_VALUE"""),"| 5 L PHP-CGM % | 6 L CPT % | 7 P JAVA % ")</f>
        <v xml:space="preserve">| 5 L PHP-CGM % | 6 L CPT % | 7 P JAVA % </v>
      </c>
      <c r="AJ430" s="4" t="str">
        <f ca="1">IFERROR(__xludf.DUMMYFUNCTION("""COMPUTED_VALUE"""),"| 5 L PHP-CGM % | 6 L NS % | 7 P NS % | 9 P PHP-CGM % ")</f>
        <v xml:space="preserve">| 5 L PHP-CGM % | 6 L NS % | 7 P NS % | 9 P PHP-CGM % </v>
      </c>
      <c r="AK430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30" s="4" t="str">
        <f ca="1">IFERROR(__xludf.DUMMYFUNCTION("""COMPUTED_VALUE"""),"| 5 L JAVA % | 6 L NS % | 7 P CPT % | 9 P JAVA % ")</f>
        <v xml:space="preserve">| 5 L JAVA % | 6 L NS % | 7 P CPT % | 9 P JAVA % </v>
      </c>
      <c r="AM430" s="4" t="str">
        <f ca="1">IFERROR(__xludf.DUMMYFUNCTION("""COMPUTED_VALUE"""),"| 5 L CPT % | 6 L JAVA % | 7 P Python % | 9 P PRO % ")</f>
        <v xml:space="preserve">| 5 L CPT % | 6 L JAVA % | 7 P Python % | 9 P PRO % </v>
      </c>
      <c r="AN430" s="4" t="str">
        <f ca="1">IFERROR(__xludf.DUMMYFUNCTION("""COMPUTED_VALUE"""),"| 5 L PHP-CGM % | 6 L CPT % | 7 P JAVA % ")</f>
        <v xml:space="preserve">| 5 L PHP-CGM % | 6 L CPT % | 7 P JAVA % </v>
      </c>
      <c r="AO430" s="4" t="str">
        <f ca="1">IFERROR(__xludf.DUMMYFUNCTION("""COMPUTED_VALUE"""),"| 5 L PHP-CGM @ | 6 L NS @ | 7 P NS @ | 9 P PHP-CGM @ ")</f>
        <v xml:space="preserve">| 5 L PHP-CGM @ | 6 L NS @ | 7 P NS @ | 9 P PHP-CGM @ </v>
      </c>
      <c r="AP430" s="4" t="str">
        <f ca="1">IFERROR(__xludf.DUMMYFUNCTION("""COMPUTED_VALUE"""),"| 5 L NS @ | 7 L JAVA @ | 8 L CPT @ ")</f>
        <v xml:space="preserve">| 5 L NS @ | 7 L JAVA @ | 8 L CPT @ </v>
      </c>
      <c r="AQ430" s="4" t="str">
        <f ca="1">IFERROR(__xludf.DUMMYFUNCTION("""COMPUTED_VALUE"""),"| 5 L CPT % | 6 L NS % | 7 P CPT % | 9 P JAVA % ")</f>
        <v xml:space="preserve">| 5 L CPT % | 6 L NS % | 7 P CPT % | 9 P JAVA % </v>
      </c>
      <c r="AR430" s="4" t="str">
        <f ca="1">IFERROR(__xludf.DUMMYFUNCTION("""COMPUTED_VALUE"""),"| 5 L JAVA % | 6 L JAVA % | 5 L CPT @ | 7 P Python % ")</f>
        <v xml:space="preserve">| 5 L JAVA % | 6 L JAVA % | 5 L CPT @ | 7 P Python % </v>
      </c>
      <c r="AS430" s="4" t="str">
        <f ca="1">IFERROR(__xludf.DUMMYFUNCTION("""COMPUTED_VALUE"""),"| 5 L PHP-CGM % | 6 L NS % | 9 P PHP-CGM % ")</f>
        <v xml:space="preserve">| 5 L PHP-CGM % | 6 L NS % | 9 P PHP-CGM % </v>
      </c>
      <c r="AT430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30" s="4" t="str">
        <f ca="1">IFERROR(__xludf.DUMMYFUNCTION("""COMPUTED_VALUE"""),"| 5 L CPT % | 6 L NS % | 7 P CPT % | 9 P JAVA % ")</f>
        <v xml:space="preserve">| 5 L CPT % | 6 L NS % | 7 P CPT % | 9 P JAVA % </v>
      </c>
      <c r="AV430" s="4" t="str">
        <f ca="1">IFERROR(__xludf.DUMMYFUNCTION("""COMPUTED_VALUE"""),"| 5 L JAVA % | 6 L JAVA % | 7 P Python % | 9 P PRO % ")</f>
        <v xml:space="preserve">| 5 L JAVA % | 6 L JAVA % | 7 P Python % | 9 P PRO % </v>
      </c>
      <c r="AW430" s="4" t="str">
        <f ca="1">IFERROR(__xludf.DUMMYFUNCTION("""COMPUTED_VALUE"""),"| 5 L PHP-CGM % | 6 L CPT % | 7 P JAVA % | 9 L INE % ")</f>
        <v xml:space="preserve">| 5 L PHP-CGM % | 6 L CPT % | 7 P JAVA % | 9 L INE % </v>
      </c>
      <c r="AX430" s="4" t="str">
        <f ca="1">IFERROR(__xludf.DUMMYFUNCTION("""COMPUTED_VALUE"""),"| 5 L PHP-CGM % | 6 L NS % | 7 P NS % | 9 P PHP-CGM % ")</f>
        <v xml:space="preserve">| 5 L PHP-CGM % | 6 L NS % | 7 P NS % | 9 P PHP-CGM % </v>
      </c>
      <c r="AY430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30" s="4" t="str">
        <f ca="1">IFERROR(__xludf.DUMMYFUNCTION("""COMPUTED_VALUE"""),"| 5 L JAVA % | 6 L JAVA % | 7 P Python % ")</f>
        <v xml:space="preserve">| 5 L JAVA % | 6 L JAVA % | 7 P Python % </v>
      </c>
      <c r="BA430" s="4" t="str">
        <f ca="1">IFERROR(__xludf.DUMMYFUNCTION("""COMPUTED_VALUE"""),"| 5 L PHP-CGM @ | 6 L CPT @ | 7 P JAVA @ | 9 L INE @ ")</f>
        <v xml:space="preserve">| 5 L PHP-CGM @ | 6 L CPT @ | 7 P JAVA @ | 9 L INE @ </v>
      </c>
      <c r="BB430" s="4" t="str">
        <f ca="1">IFERROR(__xludf.DUMMYFUNCTION("""COMPUTED_VALUE"""),"| 5 L PHP-CGM @ | 6 L NS @ | 7 P NS % | 9 P PHP-CGM @ ")</f>
        <v xml:space="preserve">| 5 L PHP-CGM @ | 6 L NS @ | 7 P NS % | 9 P PHP-CGM @ </v>
      </c>
      <c r="BC430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D430" s="4" t="str">
        <f ca="1">IFERROR(__xludf.DUMMYFUNCTION("""COMPUTED_VALUE"""),"| 5 L CPT % | 6 L NS % | 7 P CPT % ")</f>
        <v xml:space="preserve">| 5 L CPT % | 6 L NS % | 7 P CPT % </v>
      </c>
      <c r="BE430" s="4" t="str">
        <f ca="1">IFERROR(__xludf.DUMMYFUNCTION("""COMPUTED_VALUE"""),"| 5 L JAVA % | 6 L JAVA % | 7 P Python % | 9 P PRO % ")</f>
        <v xml:space="preserve">| 5 L JAVA % | 6 L JAVA % | 7 P Python % | 9 P PRO % </v>
      </c>
      <c r="BF430" s="4" t="str">
        <f ca="1">IFERROR(__xludf.DUMMYFUNCTION("""COMPUTED_VALUE"""),"| 5 L PHP-CGM % | 6 L CPT @ | 7 P JAVA % ")</f>
        <v xml:space="preserve">| 5 L PHP-CGM % | 6 L CPT @ | 7 P JAVA % </v>
      </c>
      <c r="BG430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H430" s="4" t="str">
        <f ca="1">IFERROR(__xludf.DUMMYFUNCTION("""COMPUTED_VALUE"""),"| 5 L CPT % | 6 L NS % | 7 P CPT % | 9 P JAVA % ")</f>
        <v xml:space="preserve">| 5 L CPT % | 6 L NS % | 7 P CPT % | 9 P JAVA % </v>
      </c>
      <c r="BI430" s="4" t="str">
        <f ca="1">IFERROR(__xludf.DUMMYFUNCTION("""COMPUTED_VALUE"""),"| 5 L JAVA % | 6 L JAVA % | 7 P Python % | 9 P PRO % ")</f>
        <v xml:space="preserve">| 5 L JAVA % | 6 L JAVA % | 7 P Python % | 9 P PRO % </v>
      </c>
      <c r="BJ430" s="4" t="str">
        <f ca="1">IFERROR(__xludf.DUMMYFUNCTION("""COMPUTED_VALUE"""),"| 5 L PHP-CGM % | 6 L CPT % | 7 P JAVA % | 9 L INE @ ")</f>
        <v xml:space="preserve">| 5 L PHP-CGM % | 6 L CPT % | 7 P JAVA % | 9 L INE @ </v>
      </c>
      <c r="BK430" s="4" t="str">
        <f ca="1">IFERROR(__xludf.DUMMYFUNCTION("""COMPUTED_VALUE"""),"| 5 L PHP-CGM @ | 6 L NS @ | 9 P PHP-CGM @ ")</f>
        <v xml:space="preserve">| 5 L PHP-CGM @ | 6 L NS @ | 9 P PHP-CGM @ </v>
      </c>
      <c r="BL430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30" s="4" t="str">
        <f ca="1">IFERROR(__xludf.DUMMYFUNCTION("""COMPUTED_VALUE"""),"| 5 L CPT @ | 6 L NS @ | 7 P CPT @ | 9 P JAVA @ ")</f>
        <v xml:space="preserve">| 5 L CPT @ | 6 L NS @ | 7 P CPT @ | 9 P JAVA @ </v>
      </c>
      <c r="BN430" s="4" t="str">
        <f ca="1">IFERROR(__xludf.DUMMYFUNCTION("""COMPUTED_VALUE"""),"| 5 L JAVA % | 6 L JAVA % ")</f>
        <v xml:space="preserve">| 5 L JAVA % | 6 L JAVA % </v>
      </c>
      <c r="BO430" s="4" t="str">
        <f ca="1">IFERROR(__xludf.DUMMYFUNCTION("""COMPUTED_VALUE"""),"| 5 L PHP-CGM @ | 9 L INE @ | 6 L CPT @ ")</f>
        <v xml:space="preserve">| 5 L PHP-CGM @ | 9 L INE @ | 6 L CPT @ </v>
      </c>
      <c r="BP430" s="4" t="str">
        <f ca="1">IFERROR(__xludf.DUMMYFUNCTION("""COMPUTED_VALUE"""),"| 5 L PHP-CGM % | 6 L NS % | 7 P NS % | 9 P PHP-CGM % ")</f>
        <v xml:space="preserve">| 5 L PHP-CGM % | 6 L NS % | 7 P NS % | 9 P PHP-CGM % </v>
      </c>
      <c r="BQ430" s="4" t="str">
        <f ca="1">IFERROR(__xludf.DUMMYFUNCTION("""COMPUTED_VALUE"""),"| 5 L CPT @ ")</f>
        <v xml:space="preserve">| 5 L CPT @ </v>
      </c>
      <c r="BR430" s="4" t="str">
        <f ca="1">IFERROR(__xludf.DUMMYFUNCTION("""COMPUTED_VALUE"""),"| 5 L JAVA % | 6 L JAVA % ")</f>
        <v xml:space="preserve">| 5 L JAVA % | 6 L JAVA % </v>
      </c>
      <c r="BS430" s="4"/>
      <c r="BT430" s="4" t="str">
        <f ca="1">IFERROR(__xludf.DUMMYFUNCTION("""COMPUTED_VALUE"""),"| 7 P NS % ")</f>
        <v xml:space="preserve">| 7 P NS % </v>
      </c>
      <c r="BU430" s="4" t="str">
        <f ca="1">IFERROR(__xludf.DUMMYFUNCTION("""COMPUTED_VALUE"""),"| 7 L JAVA @ ")</f>
        <v xml:space="preserve">| 7 L JAVA @ </v>
      </c>
      <c r="BV430" s="4" t="str">
        <f ca="1">IFERROR(__xludf.DUMMYFUNCTION("""COMPUTED_VALUE"""),"| 5 L PHP-CGM % | 6 L NS % ")</f>
        <v xml:space="preserve">| 5 L PHP-CGM % | 6 L NS % </v>
      </c>
      <c r="BW430" s="4"/>
      <c r="BX430" s="4" t="str">
        <f ca="1">IFERROR(__xludf.DUMMYFUNCTION("""COMPUTED_VALUE"""),"| 5 L CPT % | 6 L NS % | 7 P CPT % ")</f>
        <v xml:space="preserve">| 5 L CPT % | 6 L NS % | 7 P CPT % </v>
      </c>
      <c r="BY430" s="4" t="str">
        <f ca="1">IFERROR(__xludf.DUMMYFUNCTION("""COMPUTED_VALUE"""),"| 5 L JAVA % | 6 L JAVA % | 7 P Python % ")</f>
        <v xml:space="preserve">| 5 L JAVA % | 6 L JAVA % | 7 P Python % </v>
      </c>
      <c r="BZ430" s="4" t="str">
        <f ca="1">IFERROR(__xludf.DUMMYFUNCTION("""COMPUTED_VALUE"""),"| 5 L PHP-CGM % | 6 L CPT % | 7 P JAVA @ ")</f>
        <v xml:space="preserve">| 5 L PHP-CGM % | 6 L CPT % | 7 P JAVA @ </v>
      </c>
      <c r="CA430" s="4" t="str">
        <f ca="1">IFERROR(__xludf.DUMMYFUNCTION("""COMPUTED_VALUE"""),"| 5 L PHP-CGM @ | 6 L NS % | 7 P NS % | 9 P PHP-CGM % ")</f>
        <v xml:space="preserve">| 5 L PHP-CGM @ | 6 L NS % | 7 P NS % | 9 P PHP-CGM % </v>
      </c>
      <c r="CB430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CC430" s="4" t="str">
        <f ca="1">IFERROR(__xludf.DUMMYFUNCTION("""COMPUTED_VALUE"""),"| 6 L NS % | 5 L CPT % | 7 P CPT % | 9 P JAVA % ")</f>
        <v xml:space="preserve">| 6 L NS % | 5 L CPT % | 7 P CPT % | 9 P JAVA % </v>
      </c>
      <c r="CD430" s="4" t="str">
        <f ca="1">IFERROR(__xludf.DUMMYFUNCTION("""COMPUTED_VALUE"""),"| 5 L JAVA @ | 6 L JAVA @ | 7 P Python % | 9 P PRO % ")</f>
        <v xml:space="preserve">| 5 L JAVA @ | 6 L JAVA @ | 7 P Python % | 9 P PRO % </v>
      </c>
      <c r="CE430" s="4" t="str">
        <f ca="1">IFERROR(__xludf.DUMMYFUNCTION("""COMPUTED_VALUE"""),"| 5 L PHP-CGM % | 6 L CPT % | 7 P JAVA @ | 9 L INE % ")</f>
        <v xml:space="preserve">| 5 L PHP-CGM % | 6 L CPT % | 7 P JAVA @ | 9 L INE % </v>
      </c>
      <c r="CF430" s="4" t="str">
        <f ca="1">IFERROR(__xludf.DUMMYFUNCTION("""COMPUTED_VALUE"""),"| 5 L PHP-CGM % | 6 L NS % | 7 P NS % | 9 P PHP-CGM % ")</f>
        <v xml:space="preserve">| 5 L PHP-CGM % | 6 L NS % | 7 P NS % | 9 P PHP-CGM % </v>
      </c>
      <c r="CG430" s="4" t="str">
        <f ca="1">IFERROR(__xludf.DUMMYFUNCTION("""COMPUTED_VALUE"""),"| 6 L PHP-CGM % | 7 L JAVA % | 8 L CPT % | 9 P Python % ")</f>
        <v xml:space="preserve">| 6 L PHP-CGM % | 7 L JAVA % | 8 L CPT % | 9 P Python % </v>
      </c>
      <c r="CH430" s="4" t="str">
        <f ca="1">IFERROR(__xludf.DUMMYFUNCTION("""COMPUTED_VALUE"""),"| 5 L CPT % | 6 L NS % | 9 P JAVA % ")</f>
        <v xml:space="preserve">| 5 L CPT % | 6 L NS % | 9 P JAVA % </v>
      </c>
      <c r="CI430" s="4" t="str">
        <f ca="1">IFERROR(__xludf.DUMMYFUNCTION("""COMPUTED_VALUE"""),"| 5 L JAVA % | 6 L JAVA % | 9 P PRO @ ")</f>
        <v xml:space="preserve">| 5 L JAVA % | 6 L JAVA % | 9 P PRO @ </v>
      </c>
      <c r="CJ430" s="4" t="str">
        <f ca="1">IFERROR(__xludf.DUMMYFUNCTION("""COMPUTED_VALUE"""),"| 5 L PHP-CGM @ | 9 L INE @ ")</f>
        <v xml:space="preserve">| 5 L PHP-CGM @ | 9 L INE @ </v>
      </c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</row>
    <row r="431" spans="1:102" ht="12.5" x14ac:dyDescent="0.25">
      <c r="A431" s="3">
        <f ca="1">IFERROR(__xludf.DUMMYFUNCTION("""COMPUTED_VALUE"""),1)</f>
        <v>1</v>
      </c>
      <c r="B431" s="3" t="str">
        <f ca="1">IFERROR(__xludf.DUMMYFUNCTION("""COMPUTED_VALUE"""),"ITB")</f>
        <v>ITB</v>
      </c>
      <c r="C431" s="32" t="str">
        <f ca="1">IFERROR(__xludf.DUMMYFUNCTION("""COMPUTED_VALUE"""),"23291371030")</f>
        <v>23291371030</v>
      </c>
      <c r="D431" s="4" t="str">
        <f ca="1">IFERROR(__xludf.DUMMYFUNCTION("""COMPUTED_VALUE"""),"GOSWAMI JAINISH SHAILESHGIRI")</f>
        <v>GOSWAMI JAINISH SHAILESHGIRI</v>
      </c>
      <c r="E431" s="3" t="str">
        <f ca="1">IFERROR(__xludf.DUMMYFUNCTION("""COMPUTED_VALUE"""),"VSP - Eve")</f>
        <v>VSP - Eve</v>
      </c>
      <c r="F431" s="3">
        <f ca="1">IFERROR(__xludf.DUMMYFUNCTION("""COMPUTED_VALUE"""),9173501808)</f>
        <v>9173501808</v>
      </c>
      <c r="G431" s="3">
        <f ca="1">IFERROR(__xludf.DUMMYFUNCTION("""COMPUTED_VALUE"""),9723101808)</f>
        <v>9723101808</v>
      </c>
      <c r="H431" s="33">
        <f ca="1">IFERROR(__xludf.DUMMYFUNCTION("""COMPUTED_VALUE"""),0.460176991150442)</f>
        <v>0.46017699115044203</v>
      </c>
      <c r="I431" s="25">
        <f ca="1">IFERROR(__xludf.DUMMYFUNCTION("""COMPUTED_VALUE"""),0.444444444444444)</f>
        <v>0.44444444444444398</v>
      </c>
      <c r="J431" s="25">
        <f ca="1">IFERROR(__xludf.DUMMYFUNCTION("""COMPUTED_VALUE"""),0.4)</f>
        <v>0.4</v>
      </c>
      <c r="K431" s="25">
        <f ca="1">IFERROR(__xludf.DUMMYFUNCTION("""COMPUTED_VALUE"""),0.393939393939393)</f>
        <v>0.39393939393939298</v>
      </c>
      <c r="L431" s="25">
        <f ca="1">IFERROR(__xludf.DUMMYFUNCTION("""COMPUTED_VALUE"""),0.5)</f>
        <v>0.5</v>
      </c>
      <c r="M431" s="25">
        <f ca="1">IFERROR(__xludf.DUMMYFUNCTION("""COMPUTED_VALUE"""),0.323529411764705)</f>
        <v>0.32352941176470501</v>
      </c>
      <c r="N431" s="25">
        <f ca="1">IFERROR(__xludf.DUMMYFUNCTION("""COMPUTED_VALUE"""),0.5)</f>
        <v>0.5</v>
      </c>
      <c r="O431" s="25">
        <f ca="1">IFERROR(__xludf.DUMMYFUNCTION("""COMPUTED_VALUE"""),0.589743589743589)</f>
        <v>0.58974358974358898</v>
      </c>
      <c r="P431" s="25">
        <f ca="1">IFERROR(__xludf.DUMMYFUNCTION("""COMPUTED_VALUE"""),0.368421052631578)</f>
        <v>0.36842105263157798</v>
      </c>
      <c r="Q431" s="25">
        <f ca="1">IFERROR(__xludf.DUMMYFUNCTION("""COMPUTED_VALUE"""),0)</f>
        <v>0</v>
      </c>
      <c r="R431" s="25">
        <f ca="1">IFERROR(__xludf.DUMMYFUNCTION("""COMPUTED_VALUE"""),0.7)</f>
        <v>0.7</v>
      </c>
      <c r="S431" s="25">
        <f ca="1">IFERROR(__xludf.DUMMYFUNCTION("""COMPUTED_VALUE"""),0)</f>
        <v>0</v>
      </c>
      <c r="T431" s="25">
        <f ca="1">IFERROR(__xludf.DUMMYFUNCTION("""COMPUTED_VALUE"""),0.666666666666666)</f>
        <v>0.66666666666666596</v>
      </c>
      <c r="U431" s="25">
        <f ca="1">IFERROR(__xludf.DUMMYFUNCTION("""COMPUTED_VALUE"""),0)</f>
        <v>0</v>
      </c>
      <c r="V431" s="25">
        <f ca="1">IFERROR(__xludf.DUMMYFUNCTION("""COMPUTED_VALUE"""),0)</f>
        <v>0</v>
      </c>
      <c r="W431" s="4"/>
      <c r="X431" s="4" t="str">
        <f ca="1">IFERROR(__xludf.DUMMYFUNCTION("""COMPUTED_VALUE"""),"| 5 L PHP-CGM @ | 6 L NS @ | 7 P NS @ ")</f>
        <v xml:space="preserve">| 5 L PHP-CGM @ | 6 L NS @ | 7 P NS @ </v>
      </c>
      <c r="Y431" s="4" t="str">
        <f ca="1">IFERROR(__xludf.DUMMYFUNCTION("""COMPUTED_VALUE"""),"| 5 L NS @ | 6 L PHP-CGM @ | 7 L JAVA @ | 8 L CPT @ ")</f>
        <v xml:space="preserve">| 5 L NS @ | 6 L PHP-CGM @ | 7 L JAVA @ | 8 L CPT @ </v>
      </c>
      <c r="Z431" s="4" t="str">
        <f ca="1">IFERROR(__xludf.DUMMYFUNCTION("""COMPUTED_VALUE"""),"| 5 L JAVA % | 6 L NS % | 7 P CPT % | 9 P JAVA % ")</f>
        <v xml:space="preserve">| 5 L JAVA % | 6 L NS % | 7 P CPT % | 9 P JAVA % </v>
      </c>
      <c r="AA431" s="4" t="str">
        <f ca="1">IFERROR(__xludf.DUMMYFUNCTION("""COMPUTED_VALUE"""),"| 5 L CPT % | 6 L JAVA % | 7 P Python % | 9 P PRO @ ")</f>
        <v xml:space="preserve">| 5 L CPT % | 6 L JAVA % | 7 P Python % | 9 P PRO @ </v>
      </c>
      <c r="AB431" s="4" t="str">
        <f ca="1">IFERROR(__xludf.DUMMYFUNCTION("""COMPUTED_VALUE"""),"| 5 L PHP-CGM @ | 6 L CPT @ | 7 P JAVA @ ")</f>
        <v xml:space="preserve">| 5 L PHP-CGM @ | 6 L CPT @ | 7 P JAVA @ </v>
      </c>
      <c r="AC431" s="4" t="str">
        <f ca="1">IFERROR(__xludf.DUMMYFUNCTION("""COMPUTED_VALUE"""),"| 5 L PHP-CGM @ | 6 L NS % | 7 P NS % | 9 P PHP-CGM % ")</f>
        <v xml:space="preserve">| 5 L PHP-CGM @ | 6 L NS % | 7 P NS % | 9 P PHP-CGM % </v>
      </c>
      <c r="AD431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31" s="4" t="str">
        <f ca="1">IFERROR(__xludf.DUMMYFUNCTION("""COMPUTED_VALUE"""),"| 5 L JAVA % | 6 L NS % | 7 P CPT % | 9 P JAVA % ")</f>
        <v xml:space="preserve">| 5 L JAVA % | 6 L NS % | 7 P CPT % | 9 P JAVA % </v>
      </c>
      <c r="AF431" s="4" t="str">
        <f ca="1">IFERROR(__xludf.DUMMYFUNCTION("""COMPUTED_VALUE"""),"| 5 L CPT % | 6 L JAVA % | 7 P Python % | 9 P PRO % ")</f>
        <v xml:space="preserve">| 5 L CPT % | 6 L JAVA % | 7 P Python % | 9 P PRO % </v>
      </c>
      <c r="AG431" s="4" t="str">
        <f ca="1">IFERROR(__xludf.DUMMYFUNCTION("""COMPUTED_VALUE"""),"| 5 L PHP-CGM @ | 6 L CPT @ | 7 P JAVA @ ")</f>
        <v xml:space="preserve">| 5 L PHP-CGM @ | 6 L CPT @ | 7 P JAVA @ </v>
      </c>
      <c r="AH431" s="4" t="str">
        <f ca="1">IFERROR(__xludf.DUMMYFUNCTION("""COMPUTED_VALUE"""),"| 5 L CPT % | 6 L JAVA % | 7 P Python % | 9 P PRO % ")</f>
        <v xml:space="preserve">| 5 L CPT % | 6 L JAVA % | 7 P Python % | 9 P PRO % </v>
      </c>
      <c r="AI431" s="4" t="str">
        <f ca="1">IFERROR(__xludf.DUMMYFUNCTION("""COMPUTED_VALUE"""),"| 5 L PHP-CGM @ | 6 L CPT @ | 7 P JAVA @ ")</f>
        <v xml:space="preserve">| 5 L PHP-CGM @ | 6 L CPT @ | 7 P JAVA @ </v>
      </c>
      <c r="AJ431" s="4" t="str">
        <f ca="1">IFERROR(__xludf.DUMMYFUNCTION("""COMPUTED_VALUE"""),"| 5 L PHP-CGM @ | 6 L NS % | 7 P NS % | 9 P PHP-CGM % ")</f>
        <v xml:space="preserve">| 5 L PHP-CGM @ | 6 L NS % | 7 P NS % | 9 P PHP-CGM % </v>
      </c>
      <c r="AK43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31" s="4" t="str">
        <f ca="1">IFERROR(__xludf.DUMMYFUNCTION("""COMPUTED_VALUE"""),"| 5 L JAVA @ | 6 L NS @ | 7 P CPT @ | 9 P JAVA @ ")</f>
        <v xml:space="preserve">| 5 L JAVA @ | 6 L NS @ | 7 P CPT @ | 9 P JAVA @ </v>
      </c>
      <c r="AM431" s="4" t="str">
        <f ca="1">IFERROR(__xludf.DUMMYFUNCTION("""COMPUTED_VALUE"""),"| 5 L CPT % | 6 L JAVA % | 7 P Python % | 9 P PRO % ")</f>
        <v xml:space="preserve">| 5 L CPT % | 6 L JAVA % | 7 P Python % | 9 P PRO % </v>
      </c>
      <c r="AN431" s="4" t="str">
        <f ca="1">IFERROR(__xludf.DUMMYFUNCTION("""COMPUTED_VALUE"""),"| 5 L PHP-CGM % | 6 L CPT % | 7 P JAVA % ")</f>
        <v xml:space="preserve">| 5 L PHP-CGM % | 6 L CPT % | 7 P JAVA % </v>
      </c>
      <c r="AO431" s="4" t="str">
        <f ca="1">IFERROR(__xludf.DUMMYFUNCTION("""COMPUTED_VALUE"""),"| 5 L PHP-CGM % | 6 L NS % | 7 P NS % | 9 P PHP-CGM % ")</f>
        <v xml:space="preserve">| 5 L PHP-CGM % | 6 L NS % | 7 P NS % | 9 P PHP-CGM % </v>
      </c>
      <c r="AP431" s="4" t="str">
        <f ca="1">IFERROR(__xludf.DUMMYFUNCTION("""COMPUTED_VALUE"""),"| 5 L NS @ | 7 L JAVA @ | 8 L CPT @ ")</f>
        <v xml:space="preserve">| 5 L NS @ | 7 L JAVA @ | 8 L CPT @ </v>
      </c>
      <c r="AQ431" s="4" t="str">
        <f ca="1">IFERROR(__xludf.DUMMYFUNCTION("""COMPUTED_VALUE"""),"| 5 L CPT % | 6 L NS % | 7 P CPT % | 9 P JAVA % ")</f>
        <v xml:space="preserve">| 5 L CPT % | 6 L NS % | 7 P CPT % | 9 P JAVA % </v>
      </c>
      <c r="AR431" s="4" t="str">
        <f ca="1">IFERROR(__xludf.DUMMYFUNCTION("""COMPUTED_VALUE"""),"| 5 L JAVA % | 6 L JAVA % | 5 L CPT @ | 7 P Python % ")</f>
        <v xml:space="preserve">| 5 L JAVA % | 6 L JAVA % | 5 L CPT @ | 7 P Python % </v>
      </c>
      <c r="AS431" s="4" t="str">
        <f ca="1">IFERROR(__xludf.DUMMYFUNCTION("""COMPUTED_VALUE"""),"| 5 L PHP-CGM @ | 6 L NS @ | 9 P PHP-CGM @ ")</f>
        <v xml:space="preserve">| 5 L PHP-CGM @ | 6 L NS @ | 9 P PHP-CGM @ </v>
      </c>
      <c r="AT43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31" s="4" t="str">
        <f ca="1">IFERROR(__xludf.DUMMYFUNCTION("""COMPUTED_VALUE"""),"| 5 L CPT % | 6 L NS % | 7 P CPT % | 9 P JAVA @ ")</f>
        <v xml:space="preserve">| 5 L CPT % | 6 L NS % | 7 P CPT % | 9 P JAVA @ </v>
      </c>
      <c r="AV431" s="4" t="str">
        <f ca="1">IFERROR(__xludf.DUMMYFUNCTION("""COMPUTED_VALUE"""),"| 5 L JAVA % | 6 L JAVA % | 7 P Python % | 9 P PRO % ")</f>
        <v xml:space="preserve">| 5 L JAVA % | 6 L JAVA % | 7 P Python % | 9 P PRO % </v>
      </c>
      <c r="AW431" s="4" t="str">
        <f ca="1">IFERROR(__xludf.DUMMYFUNCTION("""COMPUTED_VALUE"""),"| 5 L PHP-CGM @ | 6 L CPT % | 7 P JAVA % | 9 L INE @ ")</f>
        <v xml:space="preserve">| 5 L PHP-CGM @ | 6 L CPT % | 7 P JAVA % | 9 L INE @ </v>
      </c>
      <c r="AX431" s="4" t="str">
        <f ca="1">IFERROR(__xludf.DUMMYFUNCTION("""COMPUTED_VALUE"""),"| 5 L PHP-CGM % | 6 L NS % | 7 P NS % | 9 P PHP-CGM % ")</f>
        <v xml:space="preserve">| 5 L PHP-CGM % | 6 L NS % | 7 P NS % | 9 P PHP-CGM % </v>
      </c>
      <c r="AY431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Z431" s="4" t="str">
        <f ca="1">IFERROR(__xludf.DUMMYFUNCTION("""COMPUTED_VALUE"""),"| 5 L JAVA % | 6 L JAVA % | 7 P Python % ")</f>
        <v xml:space="preserve">| 5 L JAVA % | 6 L JAVA % | 7 P Python % </v>
      </c>
      <c r="BA431" s="4" t="str">
        <f ca="1">IFERROR(__xludf.DUMMYFUNCTION("""COMPUTED_VALUE"""),"| 5 L PHP-CGM @ | 6 L CPT @ | 7 P JAVA @ | 9 L INE @ ")</f>
        <v xml:space="preserve">| 5 L PHP-CGM @ | 6 L CPT @ | 7 P JAVA @ | 9 L INE @ </v>
      </c>
      <c r="BB431" s="4" t="str">
        <f ca="1">IFERROR(__xludf.DUMMYFUNCTION("""COMPUTED_VALUE"""),"| 5 L PHP-CGM % | 6 L NS % | 7 P NS % | 9 P PHP-CGM % ")</f>
        <v xml:space="preserve">| 5 L PHP-CGM % | 6 L NS % | 7 P NS % | 9 P PHP-CGM % </v>
      </c>
      <c r="BC431" s="4" t="str">
        <f ca="1">IFERROR(__xludf.DUMMYFUNCTION("""COMPUTED_VALUE"""),"| 5 L NS @ | 6 L PHP-CGM % | 7 L JAVA % | 8 L CPT % | 9 P Python % ")</f>
        <v xml:space="preserve">| 5 L NS @ | 6 L PHP-CGM % | 7 L JAVA % | 8 L CPT % | 9 P Python % </v>
      </c>
      <c r="BD431" s="4" t="str">
        <f ca="1">IFERROR(__xludf.DUMMYFUNCTION("""COMPUTED_VALUE"""),"| 5 L CPT @ | 6 L NS @ | 7 P CPT @ ")</f>
        <v xml:space="preserve">| 5 L CPT @ | 6 L NS @ | 7 P CPT @ </v>
      </c>
      <c r="BE431" s="4" t="str">
        <f ca="1">IFERROR(__xludf.DUMMYFUNCTION("""COMPUTED_VALUE"""),"| 5 L JAVA % | 6 L JAVA % | 7 P Python % | 9 P PRO % ")</f>
        <v xml:space="preserve">| 5 L JAVA % | 6 L JAVA % | 7 P Python % | 9 P PRO % </v>
      </c>
      <c r="BF431" s="4" t="str">
        <f ca="1">IFERROR(__xludf.DUMMYFUNCTION("""COMPUTED_VALUE"""),"| 5 L PHP-CGM @ | 6 L CPT @ | 7 P JAVA @ ")</f>
        <v xml:space="preserve">| 5 L PHP-CGM @ | 6 L CPT @ | 7 P JAVA @ </v>
      </c>
      <c r="BG431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H431" s="4" t="str">
        <f ca="1">IFERROR(__xludf.DUMMYFUNCTION("""COMPUTED_VALUE"""),"| 5 L CPT @ | 6 L NS @ | 7 P CPT @ | 9 P JAVA @ ")</f>
        <v xml:space="preserve">| 5 L CPT @ | 6 L NS @ | 7 P CPT @ | 9 P JAVA @ </v>
      </c>
      <c r="BI431" s="4" t="str">
        <f ca="1">IFERROR(__xludf.DUMMYFUNCTION("""COMPUTED_VALUE"""),"| 5 L JAVA % | 6 L JAVA % | 7 P Python % | 9 P PRO % ")</f>
        <v xml:space="preserve">| 5 L JAVA % | 6 L JAVA % | 7 P Python % | 9 P PRO % </v>
      </c>
      <c r="BJ431" s="4" t="str">
        <f ca="1">IFERROR(__xludf.DUMMYFUNCTION("""COMPUTED_VALUE"""),"| 5 L PHP-CGM % | 6 L CPT % | 7 P JAVA % | 9 L INE @ ")</f>
        <v xml:space="preserve">| 5 L PHP-CGM % | 6 L CPT % | 7 P JAVA % | 9 L INE @ </v>
      </c>
      <c r="BK431" s="4" t="str">
        <f ca="1">IFERROR(__xludf.DUMMYFUNCTION("""COMPUTED_VALUE"""),"| 5 L PHP-CGM @ | 6 L NS @ | 9 P PHP-CGM @ ")</f>
        <v xml:space="preserve">| 5 L PHP-CGM @ | 6 L NS @ | 9 P PHP-CGM @ </v>
      </c>
      <c r="BL431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31" s="4" t="str">
        <f ca="1">IFERROR(__xludf.DUMMYFUNCTION("""COMPUTED_VALUE"""),"| 5 L CPT @ | 6 L NS @ | 7 P CPT @ | 9 P JAVA @ ")</f>
        <v xml:space="preserve">| 5 L CPT @ | 6 L NS @ | 7 P CPT @ | 9 P JAVA @ </v>
      </c>
      <c r="BN431" s="4" t="str">
        <f ca="1">IFERROR(__xludf.DUMMYFUNCTION("""COMPUTED_VALUE"""),"| 5 L JAVA @ | 6 L JAVA @ ")</f>
        <v xml:space="preserve">| 5 L JAVA @ | 6 L JAVA @ </v>
      </c>
      <c r="BO431" s="4" t="str">
        <f ca="1">IFERROR(__xludf.DUMMYFUNCTION("""COMPUTED_VALUE"""),"| 5 L PHP-CGM @ | 9 L INE @ | 6 L CPT @ ")</f>
        <v xml:space="preserve">| 5 L PHP-CGM @ | 9 L INE @ | 6 L CPT @ </v>
      </c>
      <c r="BP431" s="4" t="str">
        <f ca="1">IFERROR(__xludf.DUMMYFUNCTION("""COMPUTED_VALUE"""),"| 5 L PHP-CGM @ | 6 L NS @ | 7 P NS @ | 9 P PHP-CGM @ ")</f>
        <v xml:space="preserve">| 5 L PHP-CGM @ | 6 L NS @ | 7 P NS @ | 9 P PHP-CGM @ </v>
      </c>
      <c r="BQ431" s="4" t="str">
        <f ca="1">IFERROR(__xludf.DUMMYFUNCTION("""COMPUTED_VALUE"""),"| 5 L CPT @ ")</f>
        <v xml:space="preserve">| 5 L CPT @ </v>
      </c>
      <c r="BR431" s="4" t="str">
        <f ca="1">IFERROR(__xludf.DUMMYFUNCTION("""COMPUTED_VALUE"""),"| 5 L JAVA % | 6 L JAVA % ")</f>
        <v xml:space="preserve">| 5 L JAVA % | 6 L JAVA % </v>
      </c>
      <c r="BS431" s="4"/>
      <c r="BT431" s="4" t="str">
        <f ca="1">IFERROR(__xludf.DUMMYFUNCTION("""COMPUTED_VALUE"""),"| 7 P NS @ ")</f>
        <v xml:space="preserve">| 7 P NS @ </v>
      </c>
      <c r="BU431" s="4" t="str">
        <f ca="1">IFERROR(__xludf.DUMMYFUNCTION("""COMPUTED_VALUE"""),"| 7 L JAVA @ ")</f>
        <v xml:space="preserve">| 7 L JAVA @ </v>
      </c>
      <c r="BV431" s="4" t="str">
        <f ca="1">IFERROR(__xludf.DUMMYFUNCTION("""COMPUTED_VALUE"""),"| 5 L PHP-CGM @ | 6 L NS @ ")</f>
        <v xml:space="preserve">| 5 L PHP-CGM @ | 6 L NS @ </v>
      </c>
      <c r="BW431" s="4"/>
      <c r="BX431" s="4" t="str">
        <f ca="1">IFERROR(__xludf.DUMMYFUNCTION("""COMPUTED_VALUE"""),"| 5 L CPT @ | 6 L NS @ | 7 P CPT @ ")</f>
        <v xml:space="preserve">| 5 L CPT @ | 6 L NS @ | 7 P CPT @ </v>
      </c>
      <c r="BY431" s="4" t="str">
        <f ca="1">IFERROR(__xludf.DUMMYFUNCTION("""COMPUTED_VALUE"""),"| 5 L JAVA @ | 6 L JAVA @ | 7 P Python @ ")</f>
        <v xml:space="preserve">| 5 L JAVA @ | 6 L JAVA @ | 7 P Python @ </v>
      </c>
      <c r="BZ431" s="4" t="str">
        <f ca="1">IFERROR(__xludf.DUMMYFUNCTION("""COMPUTED_VALUE"""),"| 5 L PHP-CGM % | 6 L CPT % | 7 P JAVA % ")</f>
        <v xml:space="preserve">| 5 L PHP-CGM % | 6 L CPT % | 7 P JAVA % </v>
      </c>
      <c r="CA431" s="4" t="str">
        <f ca="1">IFERROR(__xludf.DUMMYFUNCTION("""COMPUTED_VALUE"""),"| 5 L PHP-CGM @ | 6 L NS @ | 7 P NS @ | 9 P PHP-CGM @ ")</f>
        <v xml:space="preserve">| 5 L PHP-CGM @ | 6 L NS @ | 7 P NS @ | 9 P PHP-CGM @ </v>
      </c>
      <c r="CB431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CC431" s="4" t="str">
        <f ca="1">IFERROR(__xludf.DUMMYFUNCTION("""COMPUTED_VALUE"""),"| 6 L NS @ | 5 L CPT @ | 7 P CPT @ | 9 P JAVA @ ")</f>
        <v xml:space="preserve">| 6 L NS @ | 5 L CPT @ | 7 P CPT @ | 9 P JAVA @ </v>
      </c>
      <c r="CD431" s="4" t="str">
        <f ca="1">IFERROR(__xludf.DUMMYFUNCTION("""COMPUTED_VALUE"""),"| 5 L JAVA @ | 6 L JAVA @ | 7 P Python @ | 9 P PRO @ ")</f>
        <v xml:space="preserve">| 5 L JAVA @ | 6 L JAVA @ | 7 P Python @ | 9 P PRO @ </v>
      </c>
      <c r="CE431" s="4" t="str">
        <f ca="1">IFERROR(__xludf.DUMMYFUNCTION("""COMPUTED_VALUE"""),"| 5 L PHP-CGM @ | 6 L CPT % | 7 P JAVA @ | 9 L INE @ ")</f>
        <v xml:space="preserve">| 5 L PHP-CGM @ | 6 L CPT % | 7 P JAVA @ | 9 L INE @ </v>
      </c>
      <c r="CF431" s="4" t="str">
        <f ca="1">IFERROR(__xludf.DUMMYFUNCTION("""COMPUTED_VALUE"""),"| 5 L PHP-CGM @ | 6 L NS @ | 7 P NS @ | 9 P PHP-CGM @ ")</f>
        <v xml:space="preserve">| 5 L PHP-CGM @ | 6 L NS @ | 7 P NS @ | 9 P PHP-CGM @ </v>
      </c>
      <c r="CG431" s="4" t="str">
        <f ca="1">IFERROR(__xludf.DUMMYFUNCTION("""COMPUTED_VALUE"""),"| 6 L PHP-CGM @ | 7 L JAVA @ | 8 L CPT @ | 9 P Python @ ")</f>
        <v xml:space="preserve">| 6 L PHP-CGM @ | 7 L JAVA @ | 8 L CPT @ | 9 P Python @ </v>
      </c>
      <c r="CH431" s="4" t="str">
        <f ca="1">IFERROR(__xludf.DUMMYFUNCTION("""COMPUTED_VALUE"""),"| 5 L CPT @ | 6 L NS @ | 9 P JAVA @ ")</f>
        <v xml:space="preserve">| 5 L CPT @ | 6 L NS @ | 9 P JAVA @ </v>
      </c>
      <c r="CI431" s="4" t="str">
        <f ca="1">IFERROR(__xludf.DUMMYFUNCTION("""COMPUTED_VALUE"""),"| 5 L JAVA @ | 6 L JAVA @ | 9 P PRO @ ")</f>
        <v xml:space="preserve">| 5 L JAVA @ | 6 L JAVA @ | 9 P PRO @ </v>
      </c>
      <c r="CJ431" s="4" t="str">
        <f ca="1">IFERROR(__xludf.DUMMYFUNCTION("""COMPUTED_VALUE"""),"| 5 L PHP-CGM @ | 9 L INE @ ")</f>
        <v xml:space="preserve">| 5 L PHP-CGM @ | 9 L INE @ </v>
      </c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</row>
    <row r="432" spans="1:102" ht="12.5" x14ac:dyDescent="0.25">
      <c r="A432" s="3">
        <f ca="1">IFERROR(__xludf.DUMMYFUNCTION("""COMPUTED_VALUE"""),1)</f>
        <v>1</v>
      </c>
      <c r="B432" s="3" t="str">
        <f ca="1">IFERROR(__xludf.DUMMYFUNCTION("""COMPUTED_VALUE"""),"ITB")</f>
        <v>ITB</v>
      </c>
      <c r="C432" s="32" t="str">
        <f ca="1">IFERROR(__xludf.DUMMYFUNCTION("""COMPUTED_VALUE"""),"23291371036")</f>
        <v>23291371036</v>
      </c>
      <c r="D432" s="4" t="str">
        <f ca="1">IFERROR(__xludf.DUMMYFUNCTION("""COMPUTED_VALUE"""),"KANSARA TILAK KISHORBHAI")</f>
        <v>KANSARA TILAK KISHORBHAI</v>
      </c>
      <c r="E432" s="3" t="str">
        <f ca="1">IFERROR(__xludf.DUMMYFUNCTION("""COMPUTED_VALUE"""),"VSP - Eve")</f>
        <v>VSP - Eve</v>
      </c>
      <c r="F432" s="3">
        <f ca="1">IFERROR(__xludf.DUMMYFUNCTION("""COMPUTED_VALUE"""),9106384680)</f>
        <v>9106384680</v>
      </c>
      <c r="G432" s="3">
        <f ca="1">IFERROR(__xludf.DUMMYFUNCTION("""COMPUTED_VALUE"""),9099260594)</f>
        <v>9099260594</v>
      </c>
      <c r="H432" s="33">
        <f ca="1">IFERROR(__xludf.DUMMYFUNCTION("""COMPUTED_VALUE"""),0.769911504424778)</f>
        <v>0.76991150442477796</v>
      </c>
      <c r="I432" s="25">
        <f ca="1">IFERROR(__xludf.DUMMYFUNCTION("""COMPUTED_VALUE"""),0.777777777777777)</f>
        <v>0.77777777777777701</v>
      </c>
      <c r="J432" s="25">
        <f ca="1">IFERROR(__xludf.DUMMYFUNCTION("""COMPUTED_VALUE"""),0.9)</f>
        <v>0.9</v>
      </c>
      <c r="K432" s="25">
        <f ca="1">IFERROR(__xludf.DUMMYFUNCTION("""COMPUTED_VALUE"""),0.787878787878787)</f>
        <v>0.78787878787878696</v>
      </c>
      <c r="L432" s="25">
        <f ca="1">IFERROR(__xludf.DUMMYFUNCTION("""COMPUTED_VALUE"""),0.7)</f>
        <v>0.7</v>
      </c>
      <c r="M432" s="25">
        <f ca="1">IFERROR(__xludf.DUMMYFUNCTION("""COMPUTED_VALUE"""),0.735294117647058)</f>
        <v>0.73529411764705799</v>
      </c>
      <c r="N432" s="25">
        <f ca="1">IFERROR(__xludf.DUMMYFUNCTION("""COMPUTED_VALUE"""),0.7)</f>
        <v>0.7</v>
      </c>
      <c r="O432" s="25">
        <f ca="1">IFERROR(__xludf.DUMMYFUNCTION("""COMPUTED_VALUE"""),0.769230769230769)</f>
        <v>0.76923076923076905</v>
      </c>
      <c r="P432" s="25">
        <f ca="1">IFERROR(__xludf.DUMMYFUNCTION("""COMPUTED_VALUE"""),0.789473684210526)</f>
        <v>0.78947368421052599</v>
      </c>
      <c r="Q432" s="25">
        <f ca="1">IFERROR(__xludf.DUMMYFUNCTION("""COMPUTED_VALUE"""),0)</f>
        <v>0</v>
      </c>
      <c r="R432" s="25">
        <f ca="1">IFERROR(__xludf.DUMMYFUNCTION("""COMPUTED_VALUE"""),0.9)</f>
        <v>0.9</v>
      </c>
      <c r="S432" s="25">
        <f ca="1">IFERROR(__xludf.DUMMYFUNCTION("""COMPUTED_VALUE"""),0)</f>
        <v>0</v>
      </c>
      <c r="T432" s="25">
        <f ca="1">IFERROR(__xludf.DUMMYFUNCTION("""COMPUTED_VALUE"""),0.777777777777777)</f>
        <v>0.77777777777777701</v>
      </c>
      <c r="U432" s="25">
        <f ca="1">IFERROR(__xludf.DUMMYFUNCTION("""COMPUTED_VALUE"""),0.333333333333333)</f>
        <v>0.33333333333333298</v>
      </c>
      <c r="V432" s="25">
        <f ca="1">IFERROR(__xludf.DUMMYFUNCTION("""COMPUTED_VALUE"""),0)</f>
        <v>0</v>
      </c>
      <c r="W432" s="4"/>
      <c r="X432" s="4" t="str">
        <f ca="1">IFERROR(__xludf.DUMMYFUNCTION("""COMPUTED_VALUE"""),"| 5 L PHP-CGM @ | 6 L NS @ | 7 P NS % ")</f>
        <v xml:space="preserve">| 5 L PHP-CGM @ | 6 L NS @ | 7 P NS % </v>
      </c>
      <c r="Y432" s="4" t="str">
        <f ca="1">IFERROR(__xludf.DUMMYFUNCTION("""COMPUTED_VALUE"""),"| 5 L NS @ | 6 L PHP-CGM @ | 7 L JAVA @ | 8 L CPT @ ")</f>
        <v xml:space="preserve">| 5 L NS @ | 6 L PHP-CGM @ | 7 L JAVA @ | 8 L CPT @ </v>
      </c>
      <c r="Z432" s="4" t="str">
        <f ca="1">IFERROR(__xludf.DUMMYFUNCTION("""COMPUTED_VALUE"""),"| 5 L JAVA % | 6 L NS % | 7 P CPT % | 9 P JAVA % ")</f>
        <v xml:space="preserve">| 5 L JAVA % | 6 L NS % | 7 P CPT % | 9 P JAVA % </v>
      </c>
      <c r="AA432" s="4" t="str">
        <f ca="1">IFERROR(__xludf.DUMMYFUNCTION("""COMPUTED_VALUE"""),"| 5 L CPT @ | 6 L JAVA @ | 7 P Python % | 9 P PRO % ")</f>
        <v xml:space="preserve">| 5 L CPT @ | 6 L JAVA @ | 7 P Python % | 9 P PRO % </v>
      </c>
      <c r="AB432" s="4" t="str">
        <f ca="1">IFERROR(__xludf.DUMMYFUNCTION("""COMPUTED_VALUE"""),"| 5 L PHP-CGM % | 6 L CPT % | 7 P JAVA % ")</f>
        <v xml:space="preserve">| 5 L PHP-CGM % | 6 L CPT % | 7 P JAVA % </v>
      </c>
      <c r="AC432" s="4" t="str">
        <f ca="1">IFERROR(__xludf.DUMMYFUNCTION("""COMPUTED_VALUE"""),"| 5 L PHP-CGM @ | 6 L NS @ | 7 P NS @ | 9 P PHP-CGM @ ")</f>
        <v xml:space="preserve">| 5 L PHP-CGM @ | 6 L NS @ | 7 P NS @ | 9 P PHP-CGM @ </v>
      </c>
      <c r="AD432" s="4" t="str">
        <f ca="1">IFERROR(__xludf.DUMMYFUNCTION("""COMPUTED_VALUE"""),"| 5 L NS % | 7 L JAVA % | 8 L CPT % | 9 P Python % | 6 L PHP-CGM % ")</f>
        <v xml:space="preserve">| 5 L NS % | 7 L JAVA % | 8 L CPT % | 9 P Python % | 6 L PHP-CGM % </v>
      </c>
      <c r="AE432" s="4" t="str">
        <f ca="1">IFERROR(__xludf.DUMMYFUNCTION("""COMPUTED_VALUE"""),"| 5 L JAVA % | 6 L NS % | 7 P CPT % | 9 P JAVA % ")</f>
        <v xml:space="preserve">| 5 L JAVA % | 6 L NS % | 7 P CPT % | 9 P JAVA % </v>
      </c>
      <c r="AF432" s="4" t="str">
        <f ca="1">IFERROR(__xludf.DUMMYFUNCTION("""COMPUTED_VALUE"""),"| 5 L CPT % | 6 L JAVA % | 7 P Python % | 9 P PRO % ")</f>
        <v xml:space="preserve">| 5 L CPT % | 6 L JAVA % | 7 P Python % | 9 P PRO % </v>
      </c>
      <c r="AG432" s="4" t="str">
        <f ca="1">IFERROR(__xludf.DUMMYFUNCTION("""COMPUTED_VALUE"""),"| 5 L PHP-CGM % | 6 L CPT % | 7 P JAVA @ ")</f>
        <v xml:space="preserve">| 5 L PHP-CGM % | 6 L CPT % | 7 P JAVA @ </v>
      </c>
      <c r="AH432" s="4" t="str">
        <f ca="1">IFERROR(__xludf.DUMMYFUNCTION("""COMPUTED_VALUE"""),"| 5 L CPT % | 6 L JAVA % | 7 P Python % | 9 P PRO % ")</f>
        <v xml:space="preserve">| 5 L CPT % | 6 L JAVA % | 7 P Python % | 9 P PRO % </v>
      </c>
      <c r="AI432" s="4" t="str">
        <f ca="1">IFERROR(__xludf.DUMMYFUNCTION("""COMPUTED_VALUE"""),"| 5 L PHP-CGM % | 6 L CPT % | 7 P JAVA % ")</f>
        <v xml:space="preserve">| 5 L PHP-CGM % | 6 L CPT % | 7 P JAVA % </v>
      </c>
      <c r="AJ432" s="4" t="str">
        <f ca="1">IFERROR(__xludf.DUMMYFUNCTION("""COMPUTED_VALUE"""),"| 5 L PHP-CGM % | 6 L NS % | 7 P NS % | 9 P PHP-CGM % ")</f>
        <v xml:space="preserve">| 5 L PHP-CGM % | 6 L NS % | 7 P NS % | 9 P PHP-CGM % </v>
      </c>
      <c r="AK432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32" s="4" t="str">
        <f ca="1">IFERROR(__xludf.DUMMYFUNCTION("""COMPUTED_VALUE"""),"| 5 L JAVA % | 6 L NS % | 7 P CPT % | 9 P JAVA % ")</f>
        <v xml:space="preserve">| 5 L JAVA % | 6 L NS % | 7 P CPT % | 9 P JAVA % </v>
      </c>
      <c r="AM432" s="4" t="str">
        <f ca="1">IFERROR(__xludf.DUMMYFUNCTION("""COMPUTED_VALUE"""),"| 5 L CPT % | 6 L JAVA % | 7 P Python % | 9 P PRO % ")</f>
        <v xml:space="preserve">| 5 L CPT % | 6 L JAVA % | 7 P Python % | 9 P PRO % </v>
      </c>
      <c r="AN432" s="4" t="str">
        <f ca="1">IFERROR(__xludf.DUMMYFUNCTION("""COMPUTED_VALUE"""),"| 5 L PHP-CGM @ | 6 L CPT % | 7 P JAVA % ")</f>
        <v xml:space="preserve">| 5 L PHP-CGM @ | 6 L CPT % | 7 P JAVA % </v>
      </c>
      <c r="AO432" s="4" t="str">
        <f ca="1">IFERROR(__xludf.DUMMYFUNCTION("""COMPUTED_VALUE"""),"| 5 L PHP-CGM % | 6 L NS % | 7 P NS % | 9 P PHP-CGM % ")</f>
        <v xml:space="preserve">| 5 L PHP-CGM % | 6 L NS % | 7 P NS % | 9 P PHP-CGM % </v>
      </c>
      <c r="AP432" s="4" t="str">
        <f ca="1">IFERROR(__xludf.DUMMYFUNCTION("""COMPUTED_VALUE"""),"| 5 L NS % | 7 L JAVA % | 8 L CPT % ")</f>
        <v xml:space="preserve">| 5 L NS % | 7 L JAVA % | 8 L CPT % </v>
      </c>
      <c r="AQ432" s="4" t="str">
        <f ca="1">IFERROR(__xludf.DUMMYFUNCTION("""COMPUTED_VALUE"""),"| 5 L CPT % | 6 L NS % | 7 P CPT % | 9 P JAVA % ")</f>
        <v xml:space="preserve">| 5 L CPT % | 6 L NS % | 7 P CPT % | 9 P JAVA % </v>
      </c>
      <c r="AR432" s="4" t="str">
        <f ca="1">IFERROR(__xludf.DUMMYFUNCTION("""COMPUTED_VALUE"""),"| 5 L JAVA % | 6 L JAVA % | 5 L CPT @ | 7 P Python % ")</f>
        <v xml:space="preserve">| 5 L JAVA % | 6 L JAVA % | 5 L CPT @ | 7 P Python % </v>
      </c>
      <c r="AS432" s="4" t="str">
        <f ca="1">IFERROR(__xludf.DUMMYFUNCTION("""COMPUTED_VALUE"""),"| 5 L PHP-CGM @ | 6 L NS @ | 9 P PHP-CGM @ ")</f>
        <v xml:space="preserve">| 5 L PHP-CGM @ | 6 L NS @ | 9 P PHP-CGM @ </v>
      </c>
      <c r="AT432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32" s="4" t="str">
        <f ca="1">IFERROR(__xludf.DUMMYFUNCTION("""COMPUTED_VALUE"""),"| 5 L CPT % | 6 L NS % | 7 P CPT % | 9 P JAVA % ")</f>
        <v xml:space="preserve">| 5 L CPT % | 6 L NS % | 7 P CPT % | 9 P JAVA % </v>
      </c>
      <c r="AV432" s="4" t="str">
        <f ca="1">IFERROR(__xludf.DUMMYFUNCTION("""COMPUTED_VALUE"""),"| 5 L JAVA % | 6 L JAVA % | 7 P Python % | 9 P PRO % ")</f>
        <v xml:space="preserve">| 5 L JAVA % | 6 L JAVA % | 7 P Python % | 9 P PRO % </v>
      </c>
      <c r="AW432" s="4" t="str">
        <f ca="1">IFERROR(__xludf.DUMMYFUNCTION("""COMPUTED_VALUE"""),"| 5 L PHP-CGM % | 6 L CPT % | 7 P JAVA % | 9 L INE % ")</f>
        <v xml:space="preserve">| 5 L PHP-CGM % | 6 L CPT % | 7 P JAVA % | 9 L INE % </v>
      </c>
      <c r="AX432" s="4" t="str">
        <f ca="1">IFERROR(__xludf.DUMMYFUNCTION("""COMPUTED_VALUE"""),"| 5 L PHP-CGM @ | 6 L NS @ | 7 P NS @ | 9 P PHP-CGM @ ")</f>
        <v xml:space="preserve">| 5 L PHP-CGM @ | 6 L NS @ | 7 P NS @ | 9 P PHP-CGM @ </v>
      </c>
      <c r="AY432" s="4" t="str">
        <f ca="1">IFERROR(__xludf.DUMMYFUNCTION("""COMPUTED_VALUE"""),"| 5 L NS % | 6 L PHP-CGM @ | 7 L JAVA @ | 8 L CPT @ | 9 P Python % ")</f>
        <v xml:space="preserve">| 5 L NS % | 6 L PHP-CGM @ | 7 L JAVA @ | 8 L CPT @ | 9 P Python % </v>
      </c>
      <c r="AZ432" s="4" t="str">
        <f ca="1">IFERROR(__xludf.DUMMYFUNCTION("""COMPUTED_VALUE"""),"| 5 L JAVA % | 6 L JAVA % | 7 P Python % ")</f>
        <v xml:space="preserve">| 5 L JAVA % | 6 L JAVA % | 7 P Python % </v>
      </c>
      <c r="BA432" s="4" t="str">
        <f ca="1">IFERROR(__xludf.DUMMYFUNCTION("""COMPUTED_VALUE"""),"| 5 L PHP-CGM @ | 6 L CPT @ | 7 P JAVA @ | 9 L INE @ ")</f>
        <v xml:space="preserve">| 5 L PHP-CGM @ | 6 L CPT @ | 7 P JAVA @ | 9 L INE @ </v>
      </c>
      <c r="BB432" s="4" t="str">
        <f ca="1">IFERROR(__xludf.DUMMYFUNCTION("""COMPUTED_VALUE"""),"| 5 L PHP-CGM % | 6 L NS % | 7 P NS % | 9 P PHP-CGM % ")</f>
        <v xml:space="preserve">| 5 L PHP-CGM % | 6 L NS % | 7 P NS % | 9 P PHP-CGM % </v>
      </c>
      <c r="BC432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D432" s="4" t="str">
        <f ca="1">IFERROR(__xludf.DUMMYFUNCTION("""COMPUTED_VALUE"""),"| 5 L CPT % | 6 L NS % | 7 P CPT % ")</f>
        <v xml:space="preserve">| 5 L CPT % | 6 L NS % | 7 P CPT % </v>
      </c>
      <c r="BE432" s="4" t="str">
        <f ca="1">IFERROR(__xludf.DUMMYFUNCTION("""COMPUTED_VALUE"""),"| 5 L JAVA @ | 6 L JAVA @ | 7 P Python % | 9 P PRO % ")</f>
        <v xml:space="preserve">| 5 L JAVA @ | 6 L JAVA @ | 7 P Python % | 9 P PRO % </v>
      </c>
      <c r="BF432" s="4" t="str">
        <f ca="1">IFERROR(__xludf.DUMMYFUNCTION("""COMPUTED_VALUE"""),"| 5 L PHP-CGM % | 6 L CPT % | 7 P JAVA % ")</f>
        <v xml:space="preserve">| 5 L PHP-CGM % | 6 L CPT % | 7 P JAVA % </v>
      </c>
      <c r="BG432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H432" s="4" t="str">
        <f ca="1">IFERROR(__xludf.DUMMYFUNCTION("""COMPUTED_VALUE"""),"| 5 L CPT % | 6 L NS % | 7 P CPT % | 9 P JAVA % ")</f>
        <v xml:space="preserve">| 5 L CPT % | 6 L NS % | 7 P CPT % | 9 P JAVA % </v>
      </c>
      <c r="BI432" s="4" t="str">
        <f ca="1">IFERROR(__xludf.DUMMYFUNCTION("""COMPUTED_VALUE"""),"| 5 L JAVA % | 6 L JAVA % | 7 P Python % | 9 P PRO @ ")</f>
        <v xml:space="preserve">| 5 L JAVA % | 6 L JAVA % | 7 P Python % | 9 P PRO @ </v>
      </c>
      <c r="BJ432" s="4" t="str">
        <f ca="1">IFERROR(__xludf.DUMMYFUNCTION("""COMPUTED_VALUE"""),"| 5 L PHP-CGM % | 6 L CPT % | 7 P JAVA % | 9 L INE @ ")</f>
        <v xml:space="preserve">| 5 L PHP-CGM % | 6 L CPT % | 7 P JAVA % | 9 L INE @ </v>
      </c>
      <c r="BK432" s="4" t="str">
        <f ca="1">IFERROR(__xludf.DUMMYFUNCTION("""COMPUTED_VALUE"""),"| 5 L PHP-CGM % | 6 L NS % | 9 P PHP-CGM % ")</f>
        <v xml:space="preserve">| 5 L PHP-CGM % | 6 L NS % | 9 P PHP-CGM % </v>
      </c>
      <c r="BL432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M432" s="4" t="str">
        <f ca="1">IFERROR(__xludf.DUMMYFUNCTION("""COMPUTED_VALUE"""),"| 5 L CPT % | 6 L NS % | 7 P CPT % | 9 P JAVA % ")</f>
        <v xml:space="preserve">| 5 L CPT % | 6 L NS % | 7 P CPT % | 9 P JAVA % </v>
      </c>
      <c r="BN432" s="4" t="str">
        <f ca="1">IFERROR(__xludf.DUMMYFUNCTION("""COMPUTED_VALUE"""),"| 5 L JAVA % | 6 L JAVA % ")</f>
        <v xml:space="preserve">| 5 L JAVA % | 6 L JAVA % </v>
      </c>
      <c r="BO432" s="4" t="str">
        <f ca="1">IFERROR(__xludf.DUMMYFUNCTION("""COMPUTED_VALUE"""),"| 5 L PHP-CGM @ | 9 L INE @ | 6 L CPT @ ")</f>
        <v xml:space="preserve">| 5 L PHP-CGM @ | 9 L INE @ | 6 L CPT @ </v>
      </c>
      <c r="BP432" s="4" t="str">
        <f ca="1">IFERROR(__xludf.DUMMYFUNCTION("""COMPUTED_VALUE"""),"| 5 L PHP-CGM % | 6 L NS % | 7 P NS % | 9 P PHP-CGM % ")</f>
        <v xml:space="preserve">| 5 L PHP-CGM % | 6 L NS % | 7 P NS % | 9 P PHP-CGM % </v>
      </c>
      <c r="BQ432" s="4" t="str">
        <f ca="1">IFERROR(__xludf.DUMMYFUNCTION("""COMPUTED_VALUE"""),"| 5 L CPT % ")</f>
        <v xml:space="preserve">| 5 L CPT % </v>
      </c>
      <c r="BR432" s="4" t="str">
        <f ca="1">IFERROR(__xludf.DUMMYFUNCTION("""COMPUTED_VALUE"""),"| 5 L JAVA % | 6 L JAVA % ")</f>
        <v xml:space="preserve">| 5 L JAVA % | 6 L JAVA % </v>
      </c>
      <c r="BS432" s="4"/>
      <c r="BT432" s="4" t="str">
        <f ca="1">IFERROR(__xludf.DUMMYFUNCTION("""COMPUTED_VALUE"""),"| 7 P NS @ ")</f>
        <v xml:space="preserve">| 7 P NS @ </v>
      </c>
      <c r="BU432" s="4" t="str">
        <f ca="1">IFERROR(__xludf.DUMMYFUNCTION("""COMPUTED_VALUE"""),"| 7 L JAVA @ ")</f>
        <v xml:space="preserve">| 7 L JAVA @ </v>
      </c>
      <c r="BV432" s="4" t="str">
        <f ca="1">IFERROR(__xludf.DUMMYFUNCTION("""COMPUTED_VALUE"""),"| 5 L PHP-CGM % | 6 L NS % ")</f>
        <v xml:space="preserve">| 5 L PHP-CGM % | 6 L NS % </v>
      </c>
      <c r="BW432" s="4"/>
      <c r="BX432" s="4" t="str">
        <f ca="1">IFERROR(__xludf.DUMMYFUNCTION("""COMPUTED_VALUE"""),"| 5 L CPT @ | 6 L NS @ | 7 P CPT @ ")</f>
        <v xml:space="preserve">| 5 L CPT @ | 6 L NS @ | 7 P CPT @ </v>
      </c>
      <c r="BY432" s="4" t="str">
        <f ca="1">IFERROR(__xludf.DUMMYFUNCTION("""COMPUTED_VALUE"""),"| 5 L JAVA @ | 6 L JAVA @ | 7 P Python @ ")</f>
        <v xml:space="preserve">| 5 L JAVA @ | 6 L JAVA @ | 7 P Python @ </v>
      </c>
      <c r="BZ432" s="4" t="str">
        <f ca="1">IFERROR(__xludf.DUMMYFUNCTION("""COMPUTED_VALUE"""),"| 5 L PHP-CGM % | 6 L CPT % | 7 P JAVA % ")</f>
        <v xml:space="preserve">| 5 L PHP-CGM % | 6 L CPT % | 7 P JAVA % </v>
      </c>
      <c r="CA432" s="4" t="str">
        <f ca="1">IFERROR(__xludf.DUMMYFUNCTION("""COMPUTED_VALUE"""),"| 5 L PHP-CGM % | 6 L NS % | 7 P NS % | 9 P PHP-CGM % ")</f>
        <v xml:space="preserve">| 5 L PHP-CGM % | 6 L NS % | 7 P NS % | 9 P PHP-CGM % </v>
      </c>
      <c r="CB432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CC432" s="4" t="str">
        <f ca="1">IFERROR(__xludf.DUMMYFUNCTION("""COMPUTED_VALUE"""),"| 6 L NS % | 5 L CPT % | 7 P CPT % | 9 P JAVA @ ")</f>
        <v xml:space="preserve">| 6 L NS % | 5 L CPT % | 7 P CPT % | 9 P JAVA @ </v>
      </c>
      <c r="CD432" s="4" t="str">
        <f ca="1">IFERROR(__xludf.DUMMYFUNCTION("""COMPUTED_VALUE"""),"| 5 L JAVA @ | 6 L JAVA % | 7 P Python % | 9 P PRO % ")</f>
        <v xml:space="preserve">| 5 L JAVA @ | 6 L JAVA % | 7 P Python % | 9 P PRO % </v>
      </c>
      <c r="CE432" s="4" t="str">
        <f ca="1">IFERROR(__xludf.DUMMYFUNCTION("""COMPUTED_VALUE"""),"| 5 L PHP-CGM % | 6 L CPT % | 7 P JAVA @ | 9 L INE % ")</f>
        <v xml:space="preserve">| 5 L PHP-CGM % | 6 L CPT % | 7 P JAVA @ | 9 L INE % </v>
      </c>
      <c r="CF432" s="4" t="str">
        <f ca="1">IFERROR(__xludf.DUMMYFUNCTION("""COMPUTED_VALUE"""),"| 5 L PHP-CGM % | 6 L NS % | 7 P NS % | 9 P PHP-CGM % ")</f>
        <v xml:space="preserve">| 5 L PHP-CGM % | 6 L NS % | 7 P NS % | 9 P PHP-CGM % </v>
      </c>
      <c r="CG432" s="4" t="str">
        <f ca="1">IFERROR(__xludf.DUMMYFUNCTION("""COMPUTED_VALUE"""),"| 6 L PHP-CGM % | 7 L JAVA % | 8 L CPT % | 9 P Python % ")</f>
        <v xml:space="preserve">| 6 L PHP-CGM % | 7 L JAVA % | 8 L CPT % | 9 P Python % </v>
      </c>
      <c r="CH432" s="4" t="str">
        <f ca="1">IFERROR(__xludf.DUMMYFUNCTION("""COMPUTED_VALUE"""),"| 5 L CPT @ | 6 L NS @ | 9 P JAVA % ")</f>
        <v xml:space="preserve">| 5 L CPT @ | 6 L NS @ | 9 P JAVA % </v>
      </c>
      <c r="CI432" s="4" t="str">
        <f ca="1">IFERROR(__xludf.DUMMYFUNCTION("""COMPUTED_VALUE"""),"| 5 L JAVA % | 6 L JAVA % | 9 P PRO @ ")</f>
        <v xml:space="preserve">| 5 L JAVA % | 6 L JAVA % | 9 P PRO @ </v>
      </c>
      <c r="CJ432" s="4" t="str">
        <f ca="1">IFERROR(__xludf.DUMMYFUNCTION("""COMPUTED_VALUE"""),"| 5 L PHP-CGM % | 9 L INE @ ")</f>
        <v xml:space="preserve">| 5 L PHP-CGM % | 9 L INE @ </v>
      </c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</row>
    <row r="433" spans="1:102" ht="12.5" x14ac:dyDescent="0.25">
      <c r="A433" s="3">
        <f ca="1">IFERROR(__xludf.DUMMYFUNCTION("""COMPUTED_VALUE"""),1)</f>
        <v>1</v>
      </c>
      <c r="B433" s="3" t="str">
        <f ca="1">IFERROR(__xludf.DUMMYFUNCTION("""COMPUTED_VALUE"""),"ITB")</f>
        <v>ITB</v>
      </c>
      <c r="C433" s="32" t="str">
        <f ca="1">IFERROR(__xludf.DUMMYFUNCTION("""COMPUTED_VALUE"""),"23291371040")</f>
        <v>23291371040</v>
      </c>
      <c r="D433" s="4" t="str">
        <f ca="1">IFERROR(__xludf.DUMMYFUNCTION("""COMPUTED_VALUE"""),"MAKWANA SMIT KANUBHAI")</f>
        <v>MAKWANA SMIT KANUBHAI</v>
      </c>
      <c r="E433" s="3" t="str">
        <f ca="1">IFERROR(__xludf.DUMMYFUNCTION("""COMPUTED_VALUE"""),"VSP - Eve")</f>
        <v>VSP - Eve</v>
      </c>
      <c r="F433" s="3">
        <f ca="1">IFERROR(__xludf.DUMMYFUNCTION("""COMPUTED_VALUE"""),8849399727)</f>
        <v>8849399727</v>
      </c>
      <c r="G433" s="3">
        <f ca="1">IFERROR(__xludf.DUMMYFUNCTION("""COMPUTED_VALUE"""),7433835674)</f>
        <v>7433835674</v>
      </c>
      <c r="H433" s="33">
        <f ca="1">IFERROR(__xludf.DUMMYFUNCTION("""COMPUTED_VALUE"""),0.699115044247787)</f>
        <v>0.69911504424778703</v>
      </c>
      <c r="I433" s="25">
        <f ca="1">IFERROR(__xludf.DUMMYFUNCTION("""COMPUTED_VALUE"""),0.666666666666666)</f>
        <v>0.66666666666666596</v>
      </c>
      <c r="J433" s="25">
        <f ca="1">IFERROR(__xludf.DUMMYFUNCTION("""COMPUTED_VALUE"""),0.8)</f>
        <v>0.8</v>
      </c>
      <c r="K433" s="25">
        <f ca="1">IFERROR(__xludf.DUMMYFUNCTION("""COMPUTED_VALUE"""),0.757575757575757)</f>
        <v>0.75757575757575701</v>
      </c>
      <c r="L433" s="25">
        <f ca="1">IFERROR(__xludf.DUMMYFUNCTION("""COMPUTED_VALUE"""),0.7)</f>
        <v>0.7</v>
      </c>
      <c r="M433" s="25">
        <f ca="1">IFERROR(__xludf.DUMMYFUNCTION("""COMPUTED_VALUE"""),0.647058823529411)</f>
        <v>0.64705882352941102</v>
      </c>
      <c r="N433" s="25">
        <f ca="1">IFERROR(__xludf.DUMMYFUNCTION("""COMPUTED_VALUE"""),0.7)</f>
        <v>0.7</v>
      </c>
      <c r="O433" s="25">
        <f ca="1">IFERROR(__xludf.DUMMYFUNCTION("""COMPUTED_VALUE"""),0.769230769230769)</f>
        <v>0.76923076923076905</v>
      </c>
      <c r="P433" s="25">
        <f ca="1">IFERROR(__xludf.DUMMYFUNCTION("""COMPUTED_VALUE"""),0.736842105263157)</f>
        <v>0.73684210526315697</v>
      </c>
      <c r="Q433" s="25">
        <f ca="1">IFERROR(__xludf.DUMMYFUNCTION("""COMPUTED_VALUE"""),0)</f>
        <v>0</v>
      </c>
      <c r="R433" s="25">
        <f ca="1">IFERROR(__xludf.DUMMYFUNCTION("""COMPUTED_VALUE"""),0.8)</f>
        <v>0.8</v>
      </c>
      <c r="S433" s="25">
        <f ca="1">IFERROR(__xludf.DUMMYFUNCTION("""COMPUTED_VALUE"""),0)</f>
        <v>0</v>
      </c>
      <c r="T433" s="25">
        <f ca="1">IFERROR(__xludf.DUMMYFUNCTION("""COMPUTED_VALUE"""),0.444444444444444)</f>
        <v>0.44444444444444398</v>
      </c>
      <c r="U433" s="25">
        <f ca="1">IFERROR(__xludf.DUMMYFUNCTION("""COMPUTED_VALUE"""),0.166666666666666)</f>
        <v>0.16666666666666599</v>
      </c>
      <c r="V433" s="25">
        <f ca="1">IFERROR(__xludf.DUMMYFUNCTION("""COMPUTED_VALUE"""),0)</f>
        <v>0</v>
      </c>
      <c r="W433" s="4"/>
      <c r="X433" s="4" t="str">
        <f ca="1">IFERROR(__xludf.DUMMYFUNCTION("""COMPUTED_VALUE"""),"| 5 L PHP-CGM @ | 6 L NS @ | 7 P NS @ ")</f>
        <v xml:space="preserve">| 5 L PHP-CGM @ | 6 L NS @ | 7 P NS @ </v>
      </c>
      <c r="Y433" s="4" t="str">
        <f ca="1">IFERROR(__xludf.DUMMYFUNCTION("""COMPUTED_VALUE"""),"| 5 L NS % | 6 L PHP-CGM % | 7 L JAVA % | 8 L CPT % ")</f>
        <v xml:space="preserve">| 5 L NS % | 6 L PHP-CGM % | 7 L JAVA % | 8 L CPT % </v>
      </c>
      <c r="Z433" s="4" t="str">
        <f ca="1">IFERROR(__xludf.DUMMYFUNCTION("""COMPUTED_VALUE"""),"| 5 L JAVA % | 6 L NS % | 7 P CPT % | 9 P JAVA % ")</f>
        <v xml:space="preserve">| 5 L JAVA % | 6 L NS % | 7 P CPT % | 9 P JAVA % </v>
      </c>
      <c r="AA433" s="4" t="str">
        <f ca="1">IFERROR(__xludf.DUMMYFUNCTION("""COMPUTED_VALUE"""),"| 5 L CPT % | 6 L JAVA % | 7 P Python % | 9 P PRO % ")</f>
        <v xml:space="preserve">| 5 L CPT % | 6 L JAVA % | 7 P Python % | 9 P PRO % </v>
      </c>
      <c r="AB433" s="4" t="str">
        <f ca="1">IFERROR(__xludf.DUMMYFUNCTION("""COMPUTED_VALUE"""),"| 5 L PHP-CGM % | 6 L CPT % | 7 P JAVA % ")</f>
        <v xml:space="preserve">| 5 L PHP-CGM % | 6 L CPT % | 7 P JAVA % </v>
      </c>
      <c r="AC433" s="4" t="str">
        <f ca="1">IFERROR(__xludf.DUMMYFUNCTION("""COMPUTED_VALUE"""),"| 5 L PHP-CGM % | 6 L NS % | 7 P NS % | 9 P PHP-CGM % ")</f>
        <v xml:space="preserve">| 5 L PHP-CGM % | 6 L NS % | 7 P NS % | 9 P PHP-CGM % </v>
      </c>
      <c r="AD433" s="4" t="str">
        <f ca="1">IFERROR(__xludf.DUMMYFUNCTION("""COMPUTED_VALUE"""),"| 5 L NS @ | 7 L JAVA % | 8 L CPT % | 9 P Python @ | 6 L PHP-CGM @ ")</f>
        <v xml:space="preserve">| 5 L NS @ | 7 L JAVA % | 8 L CPT % | 9 P Python @ | 6 L PHP-CGM @ </v>
      </c>
      <c r="AE433" s="4" t="str">
        <f ca="1">IFERROR(__xludf.DUMMYFUNCTION("""COMPUTED_VALUE"""),"| 5 L JAVA % | 6 L NS % | 7 P CPT % | 9 P JAVA % ")</f>
        <v xml:space="preserve">| 5 L JAVA % | 6 L NS % | 7 P CPT % | 9 P JAVA % </v>
      </c>
      <c r="AF433" s="4" t="str">
        <f ca="1">IFERROR(__xludf.DUMMYFUNCTION("""COMPUTED_VALUE"""),"| 5 L CPT % | 6 L JAVA % | 7 P Python % | 9 P PRO % ")</f>
        <v xml:space="preserve">| 5 L CPT % | 6 L JAVA % | 7 P Python % | 9 P PRO % </v>
      </c>
      <c r="AG433" s="4" t="str">
        <f ca="1">IFERROR(__xludf.DUMMYFUNCTION("""COMPUTED_VALUE"""),"| 5 L PHP-CGM @ | 6 L CPT @ | 7 P JAVA % ")</f>
        <v xml:space="preserve">| 5 L PHP-CGM @ | 6 L CPT @ | 7 P JAVA % </v>
      </c>
      <c r="AH433" s="4" t="str">
        <f ca="1">IFERROR(__xludf.DUMMYFUNCTION("""COMPUTED_VALUE"""),"| 5 L CPT % | 6 L JAVA % | 7 P Python % | 9 P PRO % ")</f>
        <v xml:space="preserve">| 5 L CPT % | 6 L JAVA % | 7 P Python % | 9 P PRO % </v>
      </c>
      <c r="AI433" s="4" t="str">
        <f ca="1">IFERROR(__xludf.DUMMYFUNCTION("""COMPUTED_VALUE"""),"| 5 L PHP-CGM % | 6 L CPT % | 7 P JAVA % ")</f>
        <v xml:space="preserve">| 5 L PHP-CGM % | 6 L CPT % | 7 P JAVA % </v>
      </c>
      <c r="AJ433" s="4" t="str">
        <f ca="1">IFERROR(__xludf.DUMMYFUNCTION("""COMPUTED_VALUE"""),"| 5 L PHP-CGM % | 6 L NS % | 7 P NS % | 9 P PHP-CGM % ")</f>
        <v xml:space="preserve">| 5 L PHP-CGM % | 6 L NS % | 7 P NS % | 9 P PHP-CGM % </v>
      </c>
      <c r="AK433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L433" s="4" t="str">
        <f ca="1">IFERROR(__xludf.DUMMYFUNCTION("""COMPUTED_VALUE"""),"| 5 L JAVA % | 6 L NS % | 7 P CPT % | 9 P JAVA % ")</f>
        <v xml:space="preserve">| 5 L JAVA % | 6 L NS % | 7 P CPT % | 9 P JAVA % </v>
      </c>
      <c r="AM433" s="4" t="str">
        <f ca="1">IFERROR(__xludf.DUMMYFUNCTION("""COMPUTED_VALUE"""),"| 5 L CPT @ | 6 L JAVA @ | 7 P Python % | 9 P PRO @ ")</f>
        <v xml:space="preserve">| 5 L CPT @ | 6 L JAVA @ | 7 P Python % | 9 P PRO @ </v>
      </c>
      <c r="AN433" s="4" t="str">
        <f ca="1">IFERROR(__xludf.DUMMYFUNCTION("""COMPUTED_VALUE"""),"| 5 L PHP-CGM @ | 6 L CPT @ | 7 P JAVA @ ")</f>
        <v xml:space="preserve">| 5 L PHP-CGM @ | 6 L CPT @ | 7 P JAVA @ </v>
      </c>
      <c r="AO433" s="4" t="str">
        <f ca="1">IFERROR(__xludf.DUMMYFUNCTION("""COMPUTED_VALUE"""),"| 5 L PHP-CGM % | 6 L NS @ | 7 P NS @ | 9 P PHP-CGM @ ")</f>
        <v xml:space="preserve">| 5 L PHP-CGM % | 6 L NS @ | 7 P NS @ | 9 P PHP-CGM @ </v>
      </c>
      <c r="AP433" s="4" t="str">
        <f ca="1">IFERROR(__xludf.DUMMYFUNCTION("""COMPUTED_VALUE"""),"| 5 L NS % | 7 L JAVA % | 8 L CPT % ")</f>
        <v xml:space="preserve">| 5 L NS % | 7 L JAVA % | 8 L CPT % </v>
      </c>
      <c r="AQ433" s="4" t="str">
        <f ca="1">IFERROR(__xludf.DUMMYFUNCTION("""COMPUTED_VALUE"""),"| 5 L CPT % | 6 L NS % | 7 P CPT % | 9 P JAVA % ")</f>
        <v xml:space="preserve">| 5 L CPT % | 6 L NS % | 7 P CPT % | 9 P JAVA % </v>
      </c>
      <c r="AR433" s="4" t="str">
        <f ca="1">IFERROR(__xludf.DUMMYFUNCTION("""COMPUTED_VALUE"""),"| 5 L JAVA % | 6 L JAVA % | 5 L CPT @ | 7 P Python % ")</f>
        <v xml:space="preserve">| 5 L JAVA % | 6 L JAVA % | 5 L CPT @ | 7 P Python % </v>
      </c>
      <c r="AS433" s="4" t="str">
        <f ca="1">IFERROR(__xludf.DUMMYFUNCTION("""COMPUTED_VALUE"""),"| 5 L PHP-CGM % | 6 L NS % | 9 P PHP-CGM @ ")</f>
        <v xml:space="preserve">| 5 L PHP-CGM % | 6 L NS % | 9 P PHP-CGM @ </v>
      </c>
      <c r="AT433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AU433" s="4" t="str">
        <f ca="1">IFERROR(__xludf.DUMMYFUNCTION("""COMPUTED_VALUE"""),"| 5 L CPT % | 6 L NS % | 7 P CPT % | 9 P JAVA % ")</f>
        <v xml:space="preserve">| 5 L CPT % | 6 L NS % | 7 P CPT % | 9 P JAVA % </v>
      </c>
      <c r="AV433" s="4" t="str">
        <f ca="1">IFERROR(__xludf.DUMMYFUNCTION("""COMPUTED_VALUE"""),"| 5 L JAVA % | 6 L JAVA % | 7 P Python % | 9 P PRO @ ")</f>
        <v xml:space="preserve">| 5 L JAVA % | 6 L JAVA % | 7 P Python % | 9 P PRO @ </v>
      </c>
      <c r="AW433" s="4" t="str">
        <f ca="1">IFERROR(__xludf.DUMMYFUNCTION("""COMPUTED_VALUE"""),"| 5 L PHP-CGM % | 6 L CPT % | 7 P JAVA % | 9 L INE @ ")</f>
        <v xml:space="preserve">| 5 L PHP-CGM % | 6 L CPT % | 7 P JAVA % | 9 L INE @ </v>
      </c>
      <c r="AX433" s="4" t="str">
        <f ca="1">IFERROR(__xludf.DUMMYFUNCTION("""COMPUTED_VALUE"""),"| 5 L PHP-CGM % | 6 L NS % | 7 P NS % | 9 P PHP-CGM % ")</f>
        <v xml:space="preserve">| 5 L PHP-CGM % | 6 L NS % | 7 P NS % | 9 P PHP-CGM % </v>
      </c>
      <c r="AY433" s="4" t="str">
        <f ca="1">IFERROR(__xludf.DUMMYFUNCTION("""COMPUTED_VALUE"""),"| 5 L NS % | 6 L PHP-CGM % | 7 L JAVA % | 8 L CPT @ | 9 P Python % ")</f>
        <v xml:space="preserve">| 5 L NS % | 6 L PHP-CGM % | 7 L JAVA % | 8 L CPT @ | 9 P Python % </v>
      </c>
      <c r="AZ433" s="4" t="str">
        <f ca="1">IFERROR(__xludf.DUMMYFUNCTION("""COMPUTED_VALUE"""),"| 5 L JAVA % | 6 L JAVA @ | 7 P Python % ")</f>
        <v xml:space="preserve">| 5 L JAVA % | 6 L JAVA @ | 7 P Python % </v>
      </c>
      <c r="BA433" s="4" t="str">
        <f ca="1">IFERROR(__xludf.DUMMYFUNCTION("""COMPUTED_VALUE"""),"| 5 L PHP-CGM @ | 6 L CPT @ | 7 P JAVA @ | 9 L INE @ ")</f>
        <v xml:space="preserve">| 5 L PHP-CGM @ | 6 L CPT @ | 7 P JAVA @ | 9 L INE @ </v>
      </c>
      <c r="BB433" s="4" t="str">
        <f ca="1">IFERROR(__xludf.DUMMYFUNCTION("""COMPUTED_VALUE"""),"| 5 L PHP-CGM % | 6 L NS % | 7 P NS % | 9 P PHP-CGM % ")</f>
        <v xml:space="preserve">| 5 L PHP-CGM % | 6 L NS % | 7 P NS % | 9 P PHP-CGM % </v>
      </c>
      <c r="BC433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BD433" s="4" t="str">
        <f ca="1">IFERROR(__xludf.DUMMYFUNCTION("""COMPUTED_VALUE"""),"| 5 L CPT % | 6 L NS % | 7 P CPT % ")</f>
        <v xml:space="preserve">| 5 L CPT % | 6 L NS % | 7 P CPT % </v>
      </c>
      <c r="BE433" s="4" t="str">
        <f ca="1">IFERROR(__xludf.DUMMYFUNCTION("""COMPUTED_VALUE"""),"| 5 L JAVA % | 6 L JAVA % | 7 P Python % | 9 P PRO % ")</f>
        <v xml:space="preserve">| 5 L JAVA % | 6 L JAVA % | 7 P Python % | 9 P PRO % </v>
      </c>
      <c r="BF433" s="4" t="str">
        <f ca="1">IFERROR(__xludf.DUMMYFUNCTION("""COMPUTED_VALUE"""),"| 5 L PHP-CGM % | 6 L CPT % | 7 P JAVA % ")</f>
        <v xml:space="preserve">| 5 L PHP-CGM % | 6 L CPT % | 7 P JAVA % </v>
      </c>
      <c r="BG433" s="4" t="str">
        <f ca="1">IFERROR(__xludf.DUMMYFUNCTION("""COMPUTED_VALUE"""),"| 5 L NS % | 6 L PHP-CGM % | 7 L JAVA % | 8 L CPT % | 9 P Python @ ")</f>
        <v xml:space="preserve">| 5 L NS % | 6 L PHP-CGM % | 7 L JAVA % | 8 L CPT % | 9 P Python @ </v>
      </c>
      <c r="BH433" s="4" t="str">
        <f ca="1">IFERROR(__xludf.DUMMYFUNCTION("""COMPUTED_VALUE"""),"| 5 L CPT % | 6 L NS % | 7 P CPT % | 9 P JAVA @ ")</f>
        <v xml:space="preserve">| 5 L CPT % | 6 L NS % | 7 P CPT % | 9 P JAVA @ </v>
      </c>
      <c r="BI433" s="4" t="str">
        <f ca="1">IFERROR(__xludf.DUMMYFUNCTION("""COMPUTED_VALUE"""),"| 5 L JAVA % | 6 L JAVA % | 7 P Python % | 9 P PRO @ ")</f>
        <v xml:space="preserve">| 5 L JAVA % | 6 L JAVA % | 7 P Python % | 9 P PRO @ </v>
      </c>
      <c r="BJ433" s="4" t="str">
        <f ca="1">IFERROR(__xludf.DUMMYFUNCTION("""COMPUTED_VALUE"""),"| 5 L PHP-CGM @ | 6 L CPT @ | 7 P JAVA @ | 9 L INE @ ")</f>
        <v xml:space="preserve">| 5 L PHP-CGM @ | 6 L CPT @ | 7 P JAVA @ | 9 L INE @ </v>
      </c>
      <c r="BK433" s="4" t="str">
        <f ca="1">IFERROR(__xludf.DUMMYFUNCTION("""COMPUTED_VALUE"""),"| 5 L PHP-CGM @ | 6 L NS @ | 9 P PHP-CGM @ ")</f>
        <v xml:space="preserve">| 5 L PHP-CGM @ | 6 L NS @ | 9 P PHP-CGM @ </v>
      </c>
      <c r="BL433" s="4" t="str">
        <f ca="1">IFERROR(__xludf.DUMMYFUNCTION("""COMPUTED_VALUE"""),"| 5 L NS @ | 6 L PHP-CGM @ | 7 L JAVA @ | 8 L CPT @ | 9 P Python @ ")</f>
        <v xml:space="preserve">| 5 L NS @ | 6 L PHP-CGM @ | 7 L JAVA @ | 8 L CPT @ | 9 P Python @ </v>
      </c>
      <c r="BM433" s="4" t="str">
        <f ca="1">IFERROR(__xludf.DUMMYFUNCTION("""COMPUTED_VALUE"""),"| 5 L CPT @ | 6 L NS @ | 7 P CPT @ | 9 P JAVA @ ")</f>
        <v xml:space="preserve">| 5 L CPT @ | 6 L NS @ | 7 P CPT @ | 9 P JAVA @ </v>
      </c>
      <c r="BN433" s="4" t="str">
        <f ca="1">IFERROR(__xludf.DUMMYFUNCTION("""COMPUTED_VALUE"""),"| 5 L JAVA @ | 6 L JAVA @ ")</f>
        <v xml:space="preserve">| 5 L JAVA @ | 6 L JAVA @ </v>
      </c>
      <c r="BO433" s="4" t="str">
        <f ca="1">IFERROR(__xludf.DUMMYFUNCTION("""COMPUTED_VALUE"""),"| 5 L PHP-CGM @ | 9 L INE @ | 6 L CPT @ ")</f>
        <v xml:space="preserve">| 5 L PHP-CGM @ | 9 L INE @ | 6 L CPT @ </v>
      </c>
      <c r="BP433" s="4" t="str">
        <f ca="1">IFERROR(__xludf.DUMMYFUNCTION("""COMPUTED_VALUE"""),"| 5 L PHP-CGM % | 6 L NS % | 7 P NS % | 9 P PHP-CGM % ")</f>
        <v xml:space="preserve">| 5 L PHP-CGM % | 6 L NS % | 7 P NS % | 9 P PHP-CGM % </v>
      </c>
      <c r="BQ433" s="4" t="str">
        <f ca="1">IFERROR(__xludf.DUMMYFUNCTION("""COMPUTED_VALUE"""),"| 5 L CPT @ ")</f>
        <v xml:space="preserve">| 5 L CPT @ </v>
      </c>
      <c r="BR433" s="4" t="str">
        <f ca="1">IFERROR(__xludf.DUMMYFUNCTION("""COMPUTED_VALUE"""),"| 5 L JAVA % | 6 L JAVA % ")</f>
        <v xml:space="preserve">| 5 L JAVA % | 6 L JAVA % </v>
      </c>
      <c r="BS433" s="4"/>
      <c r="BT433" s="4" t="str">
        <f ca="1">IFERROR(__xludf.DUMMYFUNCTION("""COMPUTED_VALUE"""),"| 7 P NS @ ")</f>
        <v xml:space="preserve">| 7 P NS @ </v>
      </c>
      <c r="BU433" s="4" t="str">
        <f ca="1">IFERROR(__xludf.DUMMYFUNCTION("""COMPUTED_VALUE"""),"| 7 L JAVA @ ")</f>
        <v xml:space="preserve">| 7 L JAVA @ </v>
      </c>
      <c r="BV433" s="4" t="str">
        <f ca="1">IFERROR(__xludf.DUMMYFUNCTION("""COMPUTED_VALUE"""),"| 5 L PHP-CGM @ | 6 L NS @ ")</f>
        <v xml:space="preserve">| 5 L PHP-CGM @ | 6 L NS @ </v>
      </c>
      <c r="BW433" s="4"/>
      <c r="BX433" s="4" t="str">
        <f ca="1">IFERROR(__xludf.DUMMYFUNCTION("""COMPUTED_VALUE"""),"| 5 L CPT % | 6 L NS % | 7 P CPT % ")</f>
        <v xml:space="preserve">| 5 L CPT % | 6 L NS % | 7 P CPT % </v>
      </c>
      <c r="BY433" s="4" t="str">
        <f ca="1">IFERROR(__xludf.DUMMYFUNCTION("""COMPUTED_VALUE"""),"| 5 L JAVA % | 6 L JAVA % | 7 P Python % ")</f>
        <v xml:space="preserve">| 5 L JAVA % | 6 L JAVA % | 7 P Python % </v>
      </c>
      <c r="BZ433" s="4" t="str">
        <f ca="1">IFERROR(__xludf.DUMMYFUNCTION("""COMPUTED_VALUE"""),"| 5 L PHP-CGM % | 6 L CPT % | 7 P JAVA % ")</f>
        <v xml:space="preserve">| 5 L PHP-CGM % | 6 L CPT % | 7 P JAVA % </v>
      </c>
      <c r="CA433" s="4" t="str">
        <f ca="1">IFERROR(__xludf.DUMMYFUNCTION("""COMPUTED_VALUE"""),"| 5 L PHP-CGM % | 6 L NS % | 7 P NS % | 9 P PHP-CGM % ")</f>
        <v xml:space="preserve">| 5 L PHP-CGM % | 6 L NS % | 7 P NS % | 9 P PHP-CGM % </v>
      </c>
      <c r="CB433" s="4" t="str">
        <f ca="1">IFERROR(__xludf.DUMMYFUNCTION("""COMPUTED_VALUE"""),"| 5 L NS % | 6 L PHP-CGM % | 7 L JAVA % | 8 L CPT % | 9 P Python % ")</f>
        <v xml:space="preserve">| 5 L NS % | 6 L PHP-CGM % | 7 L JAVA % | 8 L CPT % | 9 P Python % </v>
      </c>
      <c r="CC433" s="4" t="str">
        <f ca="1">IFERROR(__xludf.DUMMYFUNCTION("""COMPUTED_VALUE"""),"| 6 L NS % | 5 L CPT % | 7 P CPT @ | 9 P JAVA % ")</f>
        <v xml:space="preserve">| 6 L NS % | 5 L CPT % | 7 P CPT @ | 9 P JAVA % </v>
      </c>
      <c r="CD433" s="4" t="str">
        <f ca="1">IFERROR(__xludf.DUMMYFUNCTION("""COMPUTED_VALUE"""),"| 5 L JAVA @ | 6 L JAVA @ | 7 P Python % | 9 P PRO @ ")</f>
        <v xml:space="preserve">| 5 L JAVA @ | 6 L JAVA @ | 7 P Python % | 9 P PRO @ </v>
      </c>
      <c r="CE433" s="4" t="str">
        <f ca="1">IFERROR(__xludf.DUMMYFUNCTION("""COMPUTED_VALUE"""),"| 5 L PHP-CGM % | 6 L CPT % | 7 P JAVA % | 9 L INE % ")</f>
        <v xml:space="preserve">| 5 L PHP-CGM % | 6 L CPT % | 7 P JAVA % | 9 L INE % </v>
      </c>
      <c r="CF433" s="4" t="str">
        <f ca="1">IFERROR(__xludf.DUMMYFUNCTION("""COMPUTED_VALUE"""),"| 5 L PHP-CGM % | 6 L NS % | 7 P NS % | 9 P PHP-CGM % ")</f>
        <v xml:space="preserve">| 5 L PHP-CGM % | 6 L NS % | 7 P NS % | 9 P PHP-CGM % </v>
      </c>
      <c r="CG433" s="4" t="str">
        <f ca="1">IFERROR(__xludf.DUMMYFUNCTION("""COMPUTED_VALUE"""),"| 6 L PHP-CGM @ | 7 L JAVA @ | 8 L CPT % | 9 P Python @ ")</f>
        <v xml:space="preserve">| 6 L PHP-CGM @ | 7 L JAVA @ | 8 L CPT % | 9 P Python @ </v>
      </c>
      <c r="CH433" s="4" t="str">
        <f ca="1">IFERROR(__xludf.DUMMYFUNCTION("""COMPUTED_VALUE"""),"| 5 L CPT @ | 6 L NS @ | 9 P JAVA % ")</f>
        <v xml:space="preserve">| 5 L CPT @ | 6 L NS @ | 9 P JAVA % </v>
      </c>
      <c r="CI433" s="4" t="str">
        <f ca="1">IFERROR(__xludf.DUMMYFUNCTION("""COMPUTED_VALUE"""),"| 5 L JAVA % | 6 L JAVA % | 9 P PRO @ ")</f>
        <v xml:space="preserve">| 5 L JAVA % | 6 L JAVA % | 9 P PRO @ </v>
      </c>
      <c r="CJ433" s="4" t="str">
        <f ca="1">IFERROR(__xludf.DUMMYFUNCTION("""COMPUTED_VALUE"""),"| 5 L PHP-CGM @ | 9 L INE @ ")</f>
        <v xml:space="preserve">| 5 L PHP-CGM @ | 9 L INE @ </v>
      </c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</row>
    <row r="434" spans="1:102" ht="12.5" x14ac:dyDescent="0.25">
      <c r="A434" s="3">
        <f ca="1">IFERROR(__xludf.DUMMYFUNCTION("""COMPUTED_VALUE"""),2)</f>
        <v>2</v>
      </c>
      <c r="B434" s="3" t="str">
        <f ca="1">IFERROR(__xludf.DUMMYFUNCTION("""COMPUTED_VALUE"""),"ITB")</f>
        <v>ITB</v>
      </c>
      <c r="C434" s="32" t="str">
        <f ca="1">IFERROR(__xludf.DUMMYFUNCTION("""COMPUTED_VALUE"""),"23291371053")</f>
        <v>23291371053</v>
      </c>
      <c r="D434" s="4" t="str">
        <f ca="1">IFERROR(__xludf.DUMMYFUNCTION("""COMPUTED_VALUE"""),"PARMAR GNANESH SANJAYKUMAR")</f>
        <v>PARMAR GNANESH SANJAYKUMAR</v>
      </c>
      <c r="E434" s="3" t="str">
        <f ca="1">IFERROR(__xludf.DUMMYFUNCTION("""COMPUTED_VALUE"""),"VSP - Eve")</f>
        <v>VSP - Eve</v>
      </c>
      <c r="F434" s="3">
        <f ca="1">IFERROR(__xludf.DUMMYFUNCTION("""COMPUTED_VALUE"""),8140031046)</f>
        <v>8140031046</v>
      </c>
      <c r="G434" s="3">
        <f ca="1">IFERROR(__xludf.DUMMYFUNCTION("""COMPUTED_VALUE"""),8140031046)</f>
        <v>8140031046</v>
      </c>
      <c r="H434" s="33">
        <f ca="1">IFERROR(__xludf.DUMMYFUNCTION("""COMPUTED_VALUE"""),0.584070796460177)</f>
        <v>0.58407079646017701</v>
      </c>
      <c r="I434" s="25">
        <f ca="1">IFERROR(__xludf.DUMMYFUNCTION("""COMPUTED_VALUE"""),0.611111111111111)</f>
        <v>0.61111111111111105</v>
      </c>
      <c r="J434" s="25">
        <f ca="1">IFERROR(__xludf.DUMMYFUNCTION("""COMPUTED_VALUE"""),0.6)</f>
        <v>0.6</v>
      </c>
      <c r="K434" s="25">
        <f ca="1">IFERROR(__xludf.DUMMYFUNCTION("""COMPUTED_VALUE"""),0.696969696969697)</f>
        <v>0.69696969696969702</v>
      </c>
      <c r="L434" s="25">
        <f ca="1">IFERROR(__xludf.DUMMYFUNCTION("""COMPUTED_VALUE"""),0.777777777777777)</f>
        <v>0.77777777777777701</v>
      </c>
      <c r="M434" s="25">
        <f ca="1">IFERROR(__xludf.DUMMYFUNCTION("""COMPUTED_VALUE"""),0.588235294117647)</f>
        <v>0.58823529411764697</v>
      </c>
      <c r="N434" s="25">
        <f ca="1">IFERROR(__xludf.DUMMYFUNCTION("""COMPUTED_VALUE"""),0.714285714285714)</f>
        <v>0.71428571428571397</v>
      </c>
      <c r="O434" s="25">
        <f ca="1">IFERROR(__xludf.DUMMYFUNCTION("""COMPUTED_VALUE"""),0.512820512820512)</f>
        <v>0.512820512820512</v>
      </c>
      <c r="P434" s="25">
        <f ca="1">IFERROR(__xludf.DUMMYFUNCTION("""COMPUTED_VALUE"""),0.458333333333333)</f>
        <v>0.45833333333333298</v>
      </c>
      <c r="Q434" s="25">
        <f ca="1">IFERROR(__xludf.DUMMYFUNCTION("""COMPUTED_VALUE"""),0)</f>
        <v>0</v>
      </c>
      <c r="R434" s="25">
        <f ca="1">IFERROR(__xludf.DUMMYFUNCTION("""COMPUTED_VALUE"""),0.631578947368421)</f>
        <v>0.63157894736842102</v>
      </c>
      <c r="S434" s="25">
        <f ca="1">IFERROR(__xludf.DUMMYFUNCTION("""COMPUTED_VALUE"""),0)</f>
        <v>0</v>
      </c>
      <c r="T434" s="25">
        <f ca="1">IFERROR(__xludf.DUMMYFUNCTION("""COMPUTED_VALUE"""),0.444444444444444)</f>
        <v>0.44444444444444398</v>
      </c>
      <c r="U434" s="25">
        <f ca="1">IFERROR(__xludf.DUMMYFUNCTION("""COMPUTED_VALUE"""),0.333333333333333)</f>
        <v>0.33333333333333298</v>
      </c>
      <c r="V434" s="25">
        <f ca="1">IFERROR(__xludf.DUMMYFUNCTION("""COMPUTED_VALUE"""),0)</f>
        <v>0</v>
      </c>
      <c r="W434" s="4"/>
      <c r="X434" s="4" t="str">
        <f ca="1">IFERROR(__xludf.DUMMYFUNCTION("""COMPUTED_VALUE"""),"| 5 L PHP-CGM % | 6 L NS % | 7 P CPT % | 9 P JAVA @ ")</f>
        <v xml:space="preserve">| 5 L PHP-CGM % | 6 L NS % | 7 P CPT % | 9 P JAVA @ </v>
      </c>
      <c r="Y434" s="4" t="str">
        <f ca="1">IFERROR(__xludf.DUMMYFUNCTION("""COMPUTED_VALUE"""),"| 5 L NS % | 6 L PHP-CGM % | 7 L JAVA % | 8 L CPT % ")</f>
        <v xml:space="preserve">| 5 L NS % | 6 L PHP-CGM % | 7 L JAVA % | 8 L CPT % </v>
      </c>
      <c r="Z434" s="4" t="str">
        <f ca="1">IFERROR(__xludf.DUMMYFUNCTION("""COMPUTED_VALUE"""),"| 5 L JAVA % | 6 L NS % | 7 P NS % | 9 P PHP-CGM % ")</f>
        <v xml:space="preserve">| 5 L JAVA % | 6 L NS % | 7 P NS % | 9 P PHP-CGM % </v>
      </c>
      <c r="AA434" s="4" t="str">
        <f ca="1">IFERROR(__xludf.DUMMYFUNCTION("""COMPUTED_VALUE"""),"| 5 L CPT % | 6 L JAVA % | 7 P Python % | 9 P PRO % ")</f>
        <v xml:space="preserve">| 5 L CPT % | 6 L JAVA % | 7 P Python % | 9 P PRO % </v>
      </c>
      <c r="AB434" s="4" t="str">
        <f ca="1">IFERROR(__xludf.DUMMYFUNCTION("""COMPUTED_VALUE"""),"| 5 L PHP-CGM % | 6 L CPT % | 7 P Python % ")</f>
        <v xml:space="preserve">| 5 L PHP-CGM % | 6 L CPT % | 7 P Python % </v>
      </c>
      <c r="AC434" s="4" t="str">
        <f ca="1">IFERROR(__xludf.DUMMYFUNCTION("""COMPUTED_VALUE"""),"| 5 L PHP-CGM % | 6 L NS % | 7 P CPT % | 9 P JAVA % ")</f>
        <v xml:space="preserve">| 5 L PHP-CGM % | 6 L NS % | 7 P CPT % | 9 P JAVA % </v>
      </c>
      <c r="AD434" s="4" t="str">
        <f ca="1">IFERROR(__xludf.DUMMYFUNCTION("""COMPUTED_VALUE"""),"| 5 L NS @ | 7 L JAVA @ | 8 L CPT @ | 9 P JAVA @ | 6 L PHP-CGM @ ")</f>
        <v xml:space="preserve">| 5 L NS @ | 7 L JAVA @ | 8 L CPT @ | 9 P JAVA @ | 6 L PHP-CGM @ </v>
      </c>
      <c r="AE434" s="4" t="str">
        <f ca="1">IFERROR(__xludf.DUMMYFUNCTION("""COMPUTED_VALUE"""),"| 5 L JAVA % | 6 L NS % | 7 P NS % | 9 P PHP-CGM % ")</f>
        <v xml:space="preserve">| 5 L JAVA % | 6 L NS % | 7 P NS % | 9 P PHP-CGM % </v>
      </c>
      <c r="AF434" s="4" t="str">
        <f ca="1">IFERROR(__xludf.DUMMYFUNCTION("""COMPUTED_VALUE"""),"| 5 L CPT % | 6 L JAVA % | 7 P Python % | 9 P PRO % ")</f>
        <v xml:space="preserve">| 5 L CPT % | 6 L JAVA % | 7 P Python % | 9 P PRO % </v>
      </c>
      <c r="AG434" s="4" t="str">
        <f ca="1">IFERROR(__xludf.DUMMYFUNCTION("""COMPUTED_VALUE"""),"| 5 L PHP-CGM @ | 6 L CPT @ ")</f>
        <v xml:space="preserve">| 5 L PHP-CGM @ | 6 L CPT @ </v>
      </c>
      <c r="AH434" s="4" t="str">
        <f ca="1">IFERROR(__xludf.DUMMYFUNCTION("""COMPUTED_VALUE"""),"| 5 L CPT % | 6 L JAVA % | 7 P Python % | 9 P PRO % ")</f>
        <v xml:space="preserve">| 5 L CPT % | 6 L JAVA % | 7 P Python % | 9 P PRO % </v>
      </c>
      <c r="AI434" s="4" t="str">
        <f ca="1">IFERROR(__xludf.DUMMYFUNCTION("""COMPUTED_VALUE"""),"| 5 L PHP-CGM @ | 6 L CPT @ | 7 P Python @ ")</f>
        <v xml:space="preserve">| 5 L PHP-CGM @ | 6 L CPT @ | 7 P Python @ </v>
      </c>
      <c r="AJ434" s="4" t="str">
        <f ca="1">IFERROR(__xludf.DUMMYFUNCTION("""COMPUTED_VALUE"""),"| 5 L PHP-CGM % | 6 L NS % | 7 P CPT % | 9 P JAVA % ")</f>
        <v xml:space="preserve">| 5 L PHP-CGM % | 6 L NS % | 7 P CPT % | 9 P JAVA % </v>
      </c>
      <c r="AK434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34" s="4" t="str">
        <f ca="1">IFERROR(__xludf.DUMMYFUNCTION("""COMPUTED_VALUE"""),"| 5 L JAVA % | 6 L NS % | 7 P NS % | 9 P PHP-CGM % ")</f>
        <v xml:space="preserve">| 5 L JAVA % | 6 L NS % | 7 P NS % | 9 P PHP-CGM % </v>
      </c>
      <c r="AM434" s="4" t="str">
        <f ca="1">IFERROR(__xludf.DUMMYFUNCTION("""COMPUTED_VALUE"""),"| 5 L CPT @ | 6 L JAVA @ | 7 P Python @ | 9 P PRO @ ")</f>
        <v xml:space="preserve">| 5 L CPT @ | 6 L JAVA @ | 7 P Python @ | 9 P PRO @ </v>
      </c>
      <c r="AN434" s="4" t="str">
        <f ca="1">IFERROR(__xludf.DUMMYFUNCTION("""COMPUTED_VALUE"""),"| 5 L PHP-CGM % | 6 L CPT % | 7 P Python @ ")</f>
        <v xml:space="preserve">| 5 L PHP-CGM % | 6 L CPT % | 7 P Python @ </v>
      </c>
      <c r="AO434" s="4" t="str">
        <f ca="1">IFERROR(__xludf.DUMMYFUNCTION("""COMPUTED_VALUE"""),"| 5 L PHP-CGM @ | 6 L NS @ | 7 P CPT @ | 9 P JAVA @ ")</f>
        <v xml:space="preserve">| 5 L PHP-CGM @ | 6 L NS @ | 7 P CPT @ | 9 P JAVA @ </v>
      </c>
      <c r="AP434" s="4" t="str">
        <f ca="1">IFERROR(__xludf.DUMMYFUNCTION("""COMPUTED_VALUE"""),"| 5 L NS @ | 7 L JAVA @ | 8 L CPT @ | 9 P JAVA @ ")</f>
        <v xml:space="preserve">| 5 L NS @ | 7 L JAVA @ | 8 L CPT @ | 9 P JAVA @ </v>
      </c>
      <c r="AQ434" s="4" t="str">
        <f ca="1">IFERROR(__xludf.DUMMYFUNCTION("""COMPUTED_VALUE"""),"| 5 L CPT @ | 6 L NS % | 7 P NS @ | 9 P PHP-CGM @ ")</f>
        <v xml:space="preserve">| 5 L CPT @ | 6 L NS % | 7 P NS @ | 9 P PHP-CGM @ </v>
      </c>
      <c r="AR434" s="4" t="str">
        <f ca="1">IFERROR(__xludf.DUMMYFUNCTION("""COMPUTED_VALUE"""),"| 5 L JAVA @ | 6 L JAVA @ | 5 L CPT @ | 7 P Python @ ")</f>
        <v xml:space="preserve">| 5 L JAVA @ | 6 L JAVA @ | 5 L CPT @ | 7 P Python @ </v>
      </c>
      <c r="AS434" s="4" t="str">
        <f ca="1">IFERROR(__xludf.DUMMYFUNCTION("""COMPUTED_VALUE"""),"| 5 L PHP-CGM % | 6 L NS % | 9 P JAVA % ")</f>
        <v xml:space="preserve">| 5 L PHP-CGM % | 6 L NS % | 9 P JAVA % </v>
      </c>
      <c r="AT43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34" s="4" t="str">
        <f ca="1">IFERROR(__xludf.DUMMYFUNCTION("""COMPUTED_VALUE"""),"| 5 L CPT % | 6 L NS % | 7 P NS % | 9 P PHP-CGM % ")</f>
        <v xml:space="preserve">| 5 L CPT % | 6 L NS % | 7 P NS % | 9 P PHP-CGM % </v>
      </c>
      <c r="AV434" s="4" t="str">
        <f ca="1">IFERROR(__xludf.DUMMYFUNCTION("""COMPUTED_VALUE"""),"| 5 L JAVA % | 6 L JAVA % | 7 P Python % | 9 P PRO @ ")</f>
        <v xml:space="preserve">| 5 L JAVA % | 6 L JAVA % | 7 P Python % | 9 P PRO @ </v>
      </c>
      <c r="AW434" s="4" t="str">
        <f ca="1">IFERROR(__xludf.DUMMYFUNCTION("""COMPUTED_VALUE"""),"| 5 L PHP-CGM % | 6 L CPT % | 7 P Python % | 9 L INE % ")</f>
        <v xml:space="preserve">| 5 L PHP-CGM % | 6 L CPT % | 7 P Python % | 9 L INE % </v>
      </c>
      <c r="AX434" s="4" t="str">
        <f ca="1">IFERROR(__xludf.DUMMYFUNCTION("""COMPUTED_VALUE"""),"| 5 L PHP-CGM % | 6 L NS % | 7 P CPT % | 9 P JAVA % ")</f>
        <v xml:space="preserve">| 5 L PHP-CGM % | 6 L NS % | 7 P CPT % | 9 P JAVA % </v>
      </c>
      <c r="AY434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34" s="4" t="str">
        <f ca="1">IFERROR(__xludf.DUMMYFUNCTION("""COMPUTED_VALUE"""),"| 5 L JAVA % | 6 L JAVA % | 7 P Python % ")</f>
        <v xml:space="preserve">| 5 L JAVA % | 6 L JAVA % | 7 P Python % </v>
      </c>
      <c r="BA434" s="4" t="str">
        <f ca="1">IFERROR(__xludf.DUMMYFUNCTION("""COMPUTED_VALUE"""),"| 5 L PHP-CGM @ | 6 L CPT @ | 9 L INE @ ")</f>
        <v xml:space="preserve">| 5 L PHP-CGM @ | 6 L CPT @ | 9 L INE @ </v>
      </c>
      <c r="BB434" s="4" t="str">
        <f ca="1">IFERROR(__xludf.DUMMYFUNCTION("""COMPUTED_VALUE"""),"| 5 L PHP-CGM @ | 6 L NS @ | 7 P CPT @ | 9 P JAVA @ ")</f>
        <v xml:space="preserve">| 5 L PHP-CGM @ | 6 L NS @ | 7 P CPT @ | 9 P JAVA @ </v>
      </c>
      <c r="BC43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D434" s="4" t="str">
        <f ca="1">IFERROR(__xludf.DUMMYFUNCTION("""COMPUTED_VALUE"""),"| 5 L CPT @ | 6 L NS @ | 7 P NS @ | 9 P PHP-CGM @ ")</f>
        <v xml:space="preserve">| 5 L CPT @ | 6 L NS @ | 7 P NS @ | 9 P PHP-CGM @ </v>
      </c>
      <c r="BE434" s="4" t="str">
        <f ca="1">IFERROR(__xludf.DUMMYFUNCTION("""COMPUTED_VALUE"""),"| 5 L JAVA % | 6 L JAVA @ | 7 P Python % | 9 P PRO % ")</f>
        <v xml:space="preserve">| 5 L JAVA % | 6 L JAVA @ | 7 P Python % | 9 P PRO % </v>
      </c>
      <c r="BF434" s="4" t="str">
        <f ca="1">IFERROR(__xludf.DUMMYFUNCTION("""COMPUTED_VALUE"""),"| 5 L PHP-CGM % | 6 L CPT % | 7 P Python % ")</f>
        <v xml:space="preserve">| 5 L PHP-CGM % | 6 L CPT % | 7 P Python % </v>
      </c>
      <c r="BG43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34" s="4" t="str">
        <f ca="1">IFERROR(__xludf.DUMMYFUNCTION("""COMPUTED_VALUE"""),"| 5 L CPT % | 6 L NS % | 7 P NS % ")</f>
        <v xml:space="preserve">| 5 L CPT % | 6 L NS % | 7 P NS % </v>
      </c>
      <c r="BI434" s="4" t="str">
        <f ca="1">IFERROR(__xludf.DUMMYFUNCTION("""COMPUTED_VALUE"""),"| 5 L JAVA @ | 6 L JAVA @ | 7 P Python @ | 9 P PRO @ ")</f>
        <v xml:space="preserve">| 5 L JAVA @ | 6 L JAVA @ | 7 P Python @ | 9 P PRO @ </v>
      </c>
      <c r="BJ434" s="4" t="str">
        <f ca="1">IFERROR(__xludf.DUMMYFUNCTION("""COMPUTED_VALUE"""),"| 5 L PHP-CGM @ | 6 L CPT @ | 7 P Python @ | 9 L INE @ ")</f>
        <v xml:space="preserve">| 5 L PHP-CGM @ | 6 L CPT @ | 7 P Python @ | 9 L INE @ </v>
      </c>
      <c r="BK434" s="4" t="str">
        <f ca="1">IFERROR(__xludf.DUMMYFUNCTION("""COMPUTED_VALUE"""),"| 5 L PHP-CGM @ | 6 L NS @ | 9 P JAVA @ ")</f>
        <v xml:space="preserve">| 5 L PHP-CGM @ | 6 L NS @ | 9 P JAVA @ </v>
      </c>
      <c r="BL434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34" s="4" t="str">
        <f ca="1">IFERROR(__xludf.DUMMYFUNCTION("""COMPUTED_VALUE"""),"| 5 L CPT @ | 6 L NS @ ")</f>
        <v xml:space="preserve">| 5 L CPT @ | 6 L NS @ </v>
      </c>
      <c r="BN434" s="4" t="str">
        <f ca="1">IFERROR(__xludf.DUMMYFUNCTION("""COMPUTED_VALUE"""),"| 5 L JAVA @ | 6 L JAVA @ ")</f>
        <v xml:space="preserve">| 5 L JAVA @ | 6 L JAVA @ </v>
      </c>
      <c r="BO434" s="4" t="str">
        <f ca="1">IFERROR(__xludf.DUMMYFUNCTION("""COMPUTED_VALUE"""),"| 5 L PHP-CGM @ | 9 L INE @ | 6 L CPT @ ")</f>
        <v xml:space="preserve">| 5 L PHP-CGM @ | 9 L INE @ | 6 L CPT @ </v>
      </c>
      <c r="BP434" s="4" t="str">
        <f ca="1">IFERROR(__xludf.DUMMYFUNCTION("""COMPUTED_VALUE"""),"| 5 L PHP-CGM @ | 6 L NS @ | 7 P CPT @ ")</f>
        <v xml:space="preserve">| 5 L PHP-CGM @ | 6 L NS @ | 7 P CPT @ </v>
      </c>
      <c r="BQ434" s="4" t="str">
        <f ca="1">IFERROR(__xludf.DUMMYFUNCTION("""COMPUTED_VALUE"""),"| 5 L CPT @ ")</f>
        <v xml:space="preserve">| 5 L CPT @ </v>
      </c>
      <c r="BR434" s="4" t="str">
        <f ca="1">IFERROR(__xludf.DUMMYFUNCTION("""COMPUTED_VALUE"""),"| 5 L JAVA % | 6 L JAVA % ")</f>
        <v xml:space="preserve">| 5 L JAVA % | 6 L JAVA % </v>
      </c>
      <c r="BS434" s="4"/>
      <c r="BT434" s="4" t="str">
        <f ca="1">IFERROR(__xludf.DUMMYFUNCTION("""COMPUTED_VALUE"""),"| 7 P CPT @ | 9 P JAVA @ ")</f>
        <v xml:space="preserve">| 7 P CPT @ | 9 P JAVA @ </v>
      </c>
      <c r="BU434" s="4" t="str">
        <f ca="1">IFERROR(__xludf.DUMMYFUNCTION("""COMPUTED_VALUE"""),"| 7 L JAVA @ | 9 P JAVA @ ")</f>
        <v xml:space="preserve">| 7 L JAVA @ | 9 P JAVA @ </v>
      </c>
      <c r="BV434" s="4" t="str">
        <f ca="1">IFERROR(__xludf.DUMMYFUNCTION("""COMPUTED_VALUE"""),"| 5 L PHP-CGM @ | 6 L NS @ | 9 P JAVA @ ")</f>
        <v xml:space="preserve">| 5 L PHP-CGM @ | 6 L NS @ | 9 P JAVA @ </v>
      </c>
      <c r="BW434" s="4" t="str">
        <f ca="1">IFERROR(__xludf.DUMMYFUNCTION("""COMPUTED_VALUE"""),"| 9 P JAVA @ ")</f>
        <v xml:space="preserve">| 9 P JAVA @ </v>
      </c>
      <c r="BX434" s="4" t="str">
        <f ca="1">IFERROR(__xludf.DUMMYFUNCTION("""COMPUTED_VALUE"""),"| 5 L CPT % | 6 L NS % | 7 P NS % ")</f>
        <v xml:space="preserve">| 5 L CPT % | 6 L NS % | 7 P NS % </v>
      </c>
      <c r="BY434" s="4" t="str">
        <f ca="1">IFERROR(__xludf.DUMMYFUNCTION("""COMPUTED_VALUE"""),"| 5 L JAVA @ | 6 L JAVA @ | 7 P Python @ ")</f>
        <v xml:space="preserve">| 5 L JAVA @ | 6 L JAVA @ | 7 P Python @ </v>
      </c>
      <c r="BZ434" s="4" t="str">
        <f ca="1">IFERROR(__xludf.DUMMYFUNCTION("""COMPUTED_VALUE"""),"| 5 L PHP-CGM % | 6 L CPT % | 7 P Python % ")</f>
        <v xml:space="preserve">| 5 L PHP-CGM % | 6 L CPT % | 7 P Python % </v>
      </c>
      <c r="CA434" s="4" t="str">
        <f ca="1">IFERROR(__xludf.DUMMYFUNCTION("""COMPUTED_VALUE"""),"| 5 L PHP-CGM % | 6 L NS % | 7 P CPT % | 9 P JAVA % ")</f>
        <v xml:space="preserve">| 5 L PHP-CGM % | 6 L NS % | 7 P CPT % | 9 P JAVA % </v>
      </c>
      <c r="CB43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34" s="4" t="str">
        <f ca="1">IFERROR(__xludf.DUMMYFUNCTION("""COMPUTED_VALUE"""),"| 6 L NS % | 5 L CPT % | 7 P NS % | 9 P PHP-CGM % ")</f>
        <v xml:space="preserve">| 6 L NS % | 5 L CPT % | 7 P NS % | 9 P PHP-CGM % </v>
      </c>
      <c r="CD434" s="4" t="str">
        <f ca="1">IFERROR(__xludf.DUMMYFUNCTION("""COMPUTED_VALUE"""),"| 5 L JAVA @ | 6 L JAVA @ | 7 P Python % | 9 P PRO @ ")</f>
        <v xml:space="preserve">| 5 L JAVA @ | 6 L JAVA @ | 7 P Python % | 9 P PRO @ </v>
      </c>
      <c r="CE434" s="4" t="str">
        <f ca="1">IFERROR(__xludf.DUMMYFUNCTION("""COMPUTED_VALUE"""),"| 5 L PHP-CGM % | 6 L CPT % | 9 L INE % ")</f>
        <v xml:space="preserve">| 5 L PHP-CGM % | 6 L CPT % | 9 L INE % </v>
      </c>
      <c r="CF434" s="4" t="str">
        <f ca="1">IFERROR(__xludf.DUMMYFUNCTION("""COMPUTED_VALUE"""),"| 5 L PHP-CGM % | 6 L NS % | 7 P CPT % | 9 P JAVA % ")</f>
        <v xml:space="preserve">| 5 L PHP-CGM % | 6 L NS % | 7 P CPT % | 9 P JAVA % </v>
      </c>
      <c r="CG434" s="4" t="str">
        <f ca="1">IFERROR(__xludf.DUMMYFUNCTION("""COMPUTED_VALUE"""),"| 6 L PHP-CGM @ | 7 L JAVA @ | 8 L CPT % | 9 P JAVA % ")</f>
        <v xml:space="preserve">| 6 L PHP-CGM @ | 7 L JAVA @ | 8 L CPT % | 9 P JAVA % </v>
      </c>
      <c r="CH434" s="4" t="str">
        <f ca="1">IFERROR(__xludf.DUMMYFUNCTION("""COMPUTED_VALUE"""),"| 5 L CPT % | 6 L NS % ")</f>
        <v xml:space="preserve">| 5 L CPT % | 6 L NS % </v>
      </c>
      <c r="CI434" s="4" t="str">
        <f ca="1">IFERROR(__xludf.DUMMYFUNCTION("""COMPUTED_VALUE"""),"| 5 L JAVA @ | 6 L JAVA @ | 7 P Python % | 9 P PRO @ ")</f>
        <v xml:space="preserve">| 5 L JAVA @ | 6 L JAVA @ | 7 P Python % | 9 P PRO @ </v>
      </c>
      <c r="CJ434" s="4" t="str">
        <f ca="1">IFERROR(__xludf.DUMMYFUNCTION("""COMPUTED_VALUE"""),"| 5 L PHP-CGM @ | 9 L INE @ ")</f>
        <v xml:space="preserve">| 5 L PHP-CGM @ | 9 L INE @ </v>
      </c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</row>
    <row r="435" spans="1:102" ht="12.5" x14ac:dyDescent="0.25">
      <c r="A435" s="3">
        <f ca="1">IFERROR(__xludf.DUMMYFUNCTION("""COMPUTED_VALUE"""),2)</f>
        <v>2</v>
      </c>
      <c r="B435" s="3" t="str">
        <f ca="1">IFERROR(__xludf.DUMMYFUNCTION("""COMPUTED_VALUE"""),"ITB")</f>
        <v>ITB</v>
      </c>
      <c r="C435" s="32" t="str">
        <f ca="1">IFERROR(__xludf.DUMMYFUNCTION("""COMPUTED_VALUE"""),"23291371055")</f>
        <v>23291371055</v>
      </c>
      <c r="D435" s="4" t="str">
        <f ca="1">IFERROR(__xludf.DUMMYFUNCTION("""COMPUTED_VALUE"""),"PARMAR MAHI GIRISHKUMAR")</f>
        <v>PARMAR MAHI GIRISHKUMAR</v>
      </c>
      <c r="E435" s="3" t="str">
        <f ca="1">IFERROR(__xludf.DUMMYFUNCTION("""COMPUTED_VALUE"""),"VSP - Eve")</f>
        <v>VSP - Eve</v>
      </c>
      <c r="F435" s="3">
        <f ca="1">IFERROR(__xludf.DUMMYFUNCTION("""COMPUTED_VALUE"""),7383481329)</f>
        <v>7383481329</v>
      </c>
      <c r="G435" s="3">
        <f ca="1">IFERROR(__xludf.DUMMYFUNCTION("""COMPUTED_VALUE"""),9898124698)</f>
        <v>9898124698</v>
      </c>
      <c r="H435" s="33">
        <f ca="1">IFERROR(__xludf.DUMMYFUNCTION("""COMPUTED_VALUE"""),0.623893805309734)</f>
        <v>0.62389380530973404</v>
      </c>
      <c r="I435" s="25">
        <f ca="1">IFERROR(__xludf.DUMMYFUNCTION("""COMPUTED_VALUE"""),0.722222222222222)</f>
        <v>0.72222222222222199</v>
      </c>
      <c r="J435" s="25">
        <f ca="1">IFERROR(__xludf.DUMMYFUNCTION("""COMPUTED_VALUE"""),0.3)</f>
        <v>0.3</v>
      </c>
      <c r="K435" s="25">
        <f ca="1">IFERROR(__xludf.DUMMYFUNCTION("""COMPUTED_VALUE"""),0.575757575757575)</f>
        <v>0.57575757575757502</v>
      </c>
      <c r="L435" s="25">
        <f ca="1">IFERROR(__xludf.DUMMYFUNCTION("""COMPUTED_VALUE"""),0.666666666666666)</f>
        <v>0.66666666666666596</v>
      </c>
      <c r="M435" s="25">
        <f ca="1">IFERROR(__xludf.DUMMYFUNCTION("""COMPUTED_VALUE"""),0.617647058823529)</f>
        <v>0.61764705882352899</v>
      </c>
      <c r="N435" s="25">
        <f ca="1">IFERROR(__xludf.DUMMYFUNCTION("""COMPUTED_VALUE"""),0.714285714285714)</f>
        <v>0.71428571428571397</v>
      </c>
      <c r="O435" s="25">
        <f ca="1">IFERROR(__xludf.DUMMYFUNCTION("""COMPUTED_VALUE"""),0.666666666666666)</f>
        <v>0.66666666666666596</v>
      </c>
      <c r="P435" s="25">
        <f ca="1">IFERROR(__xludf.DUMMYFUNCTION("""COMPUTED_VALUE"""),0.416666666666666)</f>
        <v>0.41666666666666602</v>
      </c>
      <c r="Q435" s="25">
        <f ca="1">IFERROR(__xludf.DUMMYFUNCTION("""COMPUTED_VALUE"""),0)</f>
        <v>0</v>
      </c>
      <c r="R435" s="25">
        <f ca="1">IFERROR(__xludf.DUMMYFUNCTION("""COMPUTED_VALUE"""),0.842105263157894)</f>
        <v>0.84210526315789402</v>
      </c>
      <c r="S435" s="25">
        <f ca="1">IFERROR(__xludf.DUMMYFUNCTION("""COMPUTED_VALUE"""),0)</f>
        <v>0</v>
      </c>
      <c r="T435" s="25">
        <f ca="1">IFERROR(__xludf.DUMMYFUNCTION("""COMPUTED_VALUE"""),0.777777777777777)</f>
        <v>0.77777777777777701</v>
      </c>
      <c r="U435" s="25">
        <f ca="1">IFERROR(__xludf.DUMMYFUNCTION("""COMPUTED_VALUE"""),0.333333333333333)</f>
        <v>0.33333333333333298</v>
      </c>
      <c r="V435" s="25">
        <f ca="1">IFERROR(__xludf.DUMMYFUNCTION("""COMPUTED_VALUE"""),0)</f>
        <v>0</v>
      </c>
      <c r="W435" s="4"/>
      <c r="X435" s="4" t="str">
        <f ca="1">IFERROR(__xludf.DUMMYFUNCTION("""COMPUTED_VALUE"""),"| 5 L PHP-CGM @ | 6 L NS @ | 7 P CPT @ | 9 P JAVA @ ")</f>
        <v xml:space="preserve">| 5 L PHP-CGM @ | 6 L NS @ | 7 P CPT @ | 9 P JAVA @ </v>
      </c>
      <c r="Y435" s="4" t="str">
        <f ca="1">IFERROR(__xludf.DUMMYFUNCTION("""COMPUTED_VALUE"""),"| 5 L NS @ | 6 L PHP-CGM @ | 7 L JAVA @ | 8 L CPT @ ")</f>
        <v xml:space="preserve">| 5 L NS @ | 6 L PHP-CGM @ | 7 L JAVA @ | 8 L CPT @ </v>
      </c>
      <c r="Z435" s="4" t="str">
        <f ca="1">IFERROR(__xludf.DUMMYFUNCTION("""COMPUTED_VALUE"""),"| 5 L JAVA % | 6 L NS % | 7 P NS % | 9 P PHP-CGM % ")</f>
        <v xml:space="preserve">| 5 L JAVA % | 6 L NS % | 7 P NS % | 9 P PHP-CGM % </v>
      </c>
      <c r="AA435" s="4" t="str">
        <f ca="1">IFERROR(__xludf.DUMMYFUNCTION("""COMPUTED_VALUE"""),"| 5 L CPT % | 6 L JAVA % | 7 P Python % | 9 P PRO % ")</f>
        <v xml:space="preserve">| 5 L CPT % | 6 L JAVA % | 7 P Python % | 9 P PRO % </v>
      </c>
      <c r="AB435" s="4" t="str">
        <f ca="1">IFERROR(__xludf.DUMMYFUNCTION("""COMPUTED_VALUE"""),"| 5 L PHP-CGM % | 6 L CPT % | 7 P Python % ")</f>
        <v xml:space="preserve">| 5 L PHP-CGM % | 6 L CPT % | 7 P Python % </v>
      </c>
      <c r="AC435" s="4" t="str">
        <f ca="1">IFERROR(__xludf.DUMMYFUNCTION("""COMPUTED_VALUE"""),"| 5 L PHP-CGM % | 6 L NS % | 7 P CPT % | 9 P JAVA % ")</f>
        <v xml:space="preserve">| 5 L PHP-CGM % | 6 L NS % | 7 P CPT % | 9 P JAVA % </v>
      </c>
      <c r="AD435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35" s="4" t="str">
        <f ca="1">IFERROR(__xludf.DUMMYFUNCTION("""COMPUTED_VALUE"""),"| 5 L JAVA @ | 6 L NS @ | 7 P NS @ | 9 P PHP-CGM @ ")</f>
        <v xml:space="preserve">| 5 L JAVA @ | 6 L NS @ | 7 P NS @ | 9 P PHP-CGM @ </v>
      </c>
      <c r="AF435" s="4" t="str">
        <f ca="1">IFERROR(__xludf.DUMMYFUNCTION("""COMPUTED_VALUE"""),"| 5 L CPT % | 6 L JAVA % | 7 P Python % | 9 P PRO % ")</f>
        <v xml:space="preserve">| 5 L CPT % | 6 L JAVA % | 7 P Python % | 9 P PRO % </v>
      </c>
      <c r="AG435" s="4" t="str">
        <f ca="1">IFERROR(__xludf.DUMMYFUNCTION("""COMPUTED_VALUE"""),"| 5 L PHP-CGM % | 6 L CPT % ")</f>
        <v xml:space="preserve">| 5 L PHP-CGM % | 6 L CPT % </v>
      </c>
      <c r="AH435" s="4" t="str">
        <f ca="1">IFERROR(__xludf.DUMMYFUNCTION("""COMPUTED_VALUE"""),"| 5 L CPT % | 6 L JAVA % | 7 P Python % | 9 P PRO % ")</f>
        <v xml:space="preserve">| 5 L CPT % | 6 L JAVA % | 7 P Python % | 9 P PRO % </v>
      </c>
      <c r="AI435" s="4" t="str">
        <f ca="1">IFERROR(__xludf.DUMMYFUNCTION("""COMPUTED_VALUE"""),"| 5 L PHP-CGM % | 6 L CPT % | 7 P Python % ")</f>
        <v xml:space="preserve">| 5 L PHP-CGM % | 6 L CPT % | 7 P Python % </v>
      </c>
      <c r="AJ435" s="4" t="str">
        <f ca="1">IFERROR(__xludf.DUMMYFUNCTION("""COMPUTED_VALUE"""),"| 5 L PHP-CGM @ | 6 L NS @ | 7 P CPT @ | 9 P JAVA @ ")</f>
        <v xml:space="preserve">| 5 L PHP-CGM @ | 6 L NS @ | 7 P CPT @ | 9 P JAVA @ </v>
      </c>
      <c r="AK435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AL435" s="4" t="str">
        <f ca="1">IFERROR(__xludf.DUMMYFUNCTION("""COMPUTED_VALUE"""),"| 5 L JAVA % | 6 L NS % | 7 P NS % | 9 P PHP-CGM % ")</f>
        <v xml:space="preserve">| 5 L JAVA % | 6 L NS % | 7 P NS % | 9 P PHP-CGM % </v>
      </c>
      <c r="AM435" s="4" t="str">
        <f ca="1">IFERROR(__xludf.DUMMYFUNCTION("""COMPUTED_VALUE"""),"| 5 L CPT % | 6 L JAVA % | 7 P Python % | 9 P PRO % ")</f>
        <v xml:space="preserve">| 5 L CPT % | 6 L JAVA % | 7 P Python % | 9 P PRO % </v>
      </c>
      <c r="AN435" s="4" t="str">
        <f ca="1">IFERROR(__xludf.DUMMYFUNCTION("""COMPUTED_VALUE"""),"| 5 L PHP-CGM % | 6 L CPT % | 7 P Python @ ")</f>
        <v xml:space="preserve">| 5 L PHP-CGM % | 6 L CPT % | 7 P Python @ </v>
      </c>
      <c r="AO435" s="4" t="str">
        <f ca="1">IFERROR(__xludf.DUMMYFUNCTION("""COMPUTED_VALUE"""),"| 5 L PHP-CGM @ | 6 L NS @ | 7 P CPT @ | 9 P JAVA @ ")</f>
        <v xml:space="preserve">| 5 L PHP-CGM @ | 6 L NS @ | 7 P CPT @ | 9 P JAVA @ </v>
      </c>
      <c r="AP435" s="4" t="str">
        <f ca="1">IFERROR(__xludf.DUMMYFUNCTION("""COMPUTED_VALUE"""),"| 5 L NS % | 7 L JAVA % | 8 L CPT % | 9 P JAVA % ")</f>
        <v xml:space="preserve">| 5 L NS % | 7 L JAVA % | 8 L CPT % | 9 P JAVA % </v>
      </c>
      <c r="AQ435" s="4" t="str">
        <f ca="1">IFERROR(__xludf.DUMMYFUNCTION("""COMPUTED_VALUE"""),"| 5 L CPT % | 6 L NS % | 7 P NS % | 9 P PHP-CGM % ")</f>
        <v xml:space="preserve">| 5 L CPT % | 6 L NS % | 7 P NS % | 9 P PHP-CGM % </v>
      </c>
      <c r="AR435" s="4" t="str">
        <f ca="1">IFERROR(__xludf.DUMMYFUNCTION("""COMPUTED_VALUE"""),"| 5 L JAVA % | 6 L JAVA % | 5 L CPT @ | 7 P Python % ")</f>
        <v xml:space="preserve">| 5 L JAVA % | 6 L JAVA % | 5 L CPT @ | 7 P Python % </v>
      </c>
      <c r="AS435" s="4" t="str">
        <f ca="1">IFERROR(__xludf.DUMMYFUNCTION("""COMPUTED_VALUE"""),"| 5 L PHP-CGM % | 6 L NS % | 9 P JAVA % ")</f>
        <v xml:space="preserve">| 5 L PHP-CGM % | 6 L NS % | 9 P JAVA % </v>
      </c>
      <c r="AT435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35" s="4" t="str">
        <f ca="1">IFERROR(__xludf.DUMMYFUNCTION("""COMPUTED_VALUE"""),"| 5 L CPT % | 6 L NS % | 7 P NS @ | 9 P PHP-CGM % ")</f>
        <v xml:space="preserve">| 5 L CPT % | 6 L NS % | 7 P NS @ | 9 P PHP-CGM % </v>
      </c>
      <c r="AV435" s="4" t="str">
        <f ca="1">IFERROR(__xludf.DUMMYFUNCTION("""COMPUTED_VALUE"""),"| 5 L JAVA @ | 6 L JAVA @ | 7 P Python % | 9 P PRO % ")</f>
        <v xml:space="preserve">| 5 L JAVA @ | 6 L JAVA @ | 7 P Python % | 9 P PRO % </v>
      </c>
      <c r="AW435" s="4" t="str">
        <f ca="1">IFERROR(__xludf.DUMMYFUNCTION("""COMPUTED_VALUE"""),"| 5 L PHP-CGM % | 6 L CPT % | 7 P Python % | 9 L INE % ")</f>
        <v xml:space="preserve">| 5 L PHP-CGM % | 6 L CPT % | 7 P Python % | 9 L INE % </v>
      </c>
      <c r="AX435" s="4" t="str">
        <f ca="1">IFERROR(__xludf.DUMMYFUNCTION("""COMPUTED_VALUE"""),"| 5 L PHP-CGM % | 6 L NS % | 7 P CPT % | 9 P JAVA % ")</f>
        <v xml:space="preserve">| 5 L PHP-CGM % | 6 L NS % | 7 P CPT % | 9 P JAVA % </v>
      </c>
      <c r="AY435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35" s="4" t="str">
        <f ca="1">IFERROR(__xludf.DUMMYFUNCTION("""COMPUTED_VALUE"""),"| 5 L JAVA @ | 6 L JAVA @ | 7 P Python @ ")</f>
        <v xml:space="preserve">| 5 L JAVA @ | 6 L JAVA @ | 7 P Python @ </v>
      </c>
      <c r="BA435" s="4" t="str">
        <f ca="1">IFERROR(__xludf.DUMMYFUNCTION("""COMPUTED_VALUE"""),"| 5 L PHP-CGM @ | 6 L CPT @ | 9 L INE @ ")</f>
        <v xml:space="preserve">| 5 L PHP-CGM @ | 6 L CPT @ | 9 L INE @ </v>
      </c>
      <c r="BB435" s="4" t="str">
        <f ca="1">IFERROR(__xludf.DUMMYFUNCTION("""COMPUTED_VALUE"""),"| 5 L PHP-CGM @ | 6 L NS @ | 7 P CPT @ | 9 P JAVA @ ")</f>
        <v xml:space="preserve">| 5 L PHP-CGM @ | 6 L NS @ | 7 P CPT @ | 9 P JAVA @ </v>
      </c>
      <c r="BC435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D435" s="4" t="str">
        <f ca="1">IFERROR(__xludf.DUMMYFUNCTION("""COMPUTED_VALUE"""),"| 5 L CPT % | 6 L NS % | 7 P NS % | 9 P PHP-CGM % ")</f>
        <v xml:space="preserve">| 5 L CPT % | 6 L NS % | 7 P NS % | 9 P PHP-CGM % </v>
      </c>
      <c r="BE435" s="4" t="str">
        <f ca="1">IFERROR(__xludf.DUMMYFUNCTION("""COMPUTED_VALUE"""),"| 5 L JAVA % | 6 L JAVA % | 7 P Python % | 9 P PRO % ")</f>
        <v xml:space="preserve">| 5 L JAVA % | 6 L JAVA % | 7 P Python % | 9 P PRO % </v>
      </c>
      <c r="BF435" s="4" t="str">
        <f ca="1">IFERROR(__xludf.DUMMYFUNCTION("""COMPUTED_VALUE"""),"| 5 L PHP-CGM % | 6 L CPT @ | 7 P Python % ")</f>
        <v xml:space="preserve">| 5 L PHP-CGM % | 6 L CPT @ | 7 P Python % </v>
      </c>
      <c r="BG435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35" s="4" t="str">
        <f ca="1">IFERROR(__xludf.DUMMYFUNCTION("""COMPUTED_VALUE"""),"| 5 L CPT % | 6 L NS % | 7 P NS % ")</f>
        <v xml:space="preserve">| 5 L CPT % | 6 L NS % | 7 P NS % </v>
      </c>
      <c r="BI435" s="4" t="str">
        <f ca="1">IFERROR(__xludf.DUMMYFUNCTION("""COMPUTED_VALUE"""),"| 5 L JAVA % | 6 L JAVA % | 7 P Python % | 9 P PRO @ ")</f>
        <v xml:space="preserve">| 5 L JAVA % | 6 L JAVA % | 7 P Python % | 9 P PRO @ </v>
      </c>
      <c r="BJ435" s="4" t="str">
        <f ca="1">IFERROR(__xludf.DUMMYFUNCTION("""COMPUTED_VALUE"""),"| 5 L PHP-CGM % | 6 L CPT % | 7 P Python % | 9 L INE @ ")</f>
        <v xml:space="preserve">| 5 L PHP-CGM % | 6 L CPT % | 7 P Python % | 9 L INE @ </v>
      </c>
      <c r="BK435" s="4" t="str">
        <f ca="1">IFERROR(__xludf.DUMMYFUNCTION("""COMPUTED_VALUE"""),"| 5 L PHP-CGM @ | 6 L NS @ | 9 P JAVA @ ")</f>
        <v xml:space="preserve">| 5 L PHP-CGM @ | 6 L NS @ | 9 P JAVA @ </v>
      </c>
      <c r="BL435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35" s="4" t="str">
        <f ca="1">IFERROR(__xludf.DUMMYFUNCTION("""COMPUTED_VALUE"""),"| 5 L CPT @ | 6 L NS @ ")</f>
        <v xml:space="preserve">| 5 L CPT @ | 6 L NS @ </v>
      </c>
      <c r="BN435" s="4" t="str">
        <f ca="1">IFERROR(__xludf.DUMMYFUNCTION("""COMPUTED_VALUE"""),"| 5 L JAVA @ | 6 L JAVA @ ")</f>
        <v xml:space="preserve">| 5 L JAVA @ | 6 L JAVA @ </v>
      </c>
      <c r="BO435" s="4" t="str">
        <f ca="1">IFERROR(__xludf.DUMMYFUNCTION("""COMPUTED_VALUE"""),"| 5 L PHP-CGM @ | 9 L INE @ | 6 L CPT @ ")</f>
        <v xml:space="preserve">| 5 L PHP-CGM @ | 9 L INE @ | 6 L CPT @ </v>
      </c>
      <c r="BP435" s="4" t="str">
        <f ca="1">IFERROR(__xludf.DUMMYFUNCTION("""COMPUTED_VALUE"""),"| 5 L PHP-CGM @ | 6 L NS @ | 7 P CPT @ ")</f>
        <v xml:space="preserve">| 5 L PHP-CGM @ | 6 L NS @ | 7 P CPT @ </v>
      </c>
      <c r="BQ435" s="4" t="str">
        <f ca="1">IFERROR(__xludf.DUMMYFUNCTION("""COMPUTED_VALUE"""),"| 5 L CPT @ ")</f>
        <v xml:space="preserve">| 5 L CPT @ </v>
      </c>
      <c r="BR435" s="4" t="str">
        <f ca="1">IFERROR(__xludf.DUMMYFUNCTION("""COMPUTED_VALUE"""),"| 5 L JAVA % | 6 L JAVA % ")</f>
        <v xml:space="preserve">| 5 L JAVA % | 6 L JAVA % </v>
      </c>
      <c r="BS435" s="4"/>
      <c r="BT435" s="4" t="str">
        <f ca="1">IFERROR(__xludf.DUMMYFUNCTION("""COMPUTED_VALUE"""),"| 7 P CPT @ | 9 P JAVA @ ")</f>
        <v xml:space="preserve">| 7 P CPT @ | 9 P JAVA @ </v>
      </c>
      <c r="BU435" s="4" t="str">
        <f ca="1">IFERROR(__xludf.DUMMYFUNCTION("""COMPUTED_VALUE"""),"| 7 L JAVA @ | 9 P JAVA @ ")</f>
        <v xml:space="preserve">| 7 L JAVA @ | 9 P JAVA @ </v>
      </c>
      <c r="BV435" s="4" t="str">
        <f ca="1">IFERROR(__xludf.DUMMYFUNCTION("""COMPUTED_VALUE"""),"| 5 L PHP-CGM @ | 6 L NS @ | 9 P JAVA @ ")</f>
        <v xml:space="preserve">| 5 L PHP-CGM @ | 6 L NS @ | 9 P JAVA @ </v>
      </c>
      <c r="BW435" s="4" t="str">
        <f ca="1">IFERROR(__xludf.DUMMYFUNCTION("""COMPUTED_VALUE"""),"| 9 P JAVA @ ")</f>
        <v xml:space="preserve">| 9 P JAVA @ </v>
      </c>
      <c r="BX435" s="4" t="str">
        <f ca="1">IFERROR(__xludf.DUMMYFUNCTION("""COMPUTED_VALUE"""),"| 5 L CPT @ | 6 L NS @ | 7 P NS @ ")</f>
        <v xml:space="preserve">| 5 L CPT @ | 6 L NS @ | 7 P NS @ </v>
      </c>
      <c r="BY435" s="4" t="str">
        <f ca="1">IFERROR(__xludf.DUMMYFUNCTION("""COMPUTED_VALUE"""),"| 5 L JAVA @ | 6 L JAVA @ | 7 P Python @ ")</f>
        <v xml:space="preserve">| 5 L JAVA @ | 6 L JAVA @ | 7 P Python @ </v>
      </c>
      <c r="BZ435" s="4" t="str">
        <f ca="1">IFERROR(__xludf.DUMMYFUNCTION("""COMPUTED_VALUE"""),"| 5 L PHP-CGM % | 6 L CPT % | 7 P Python % ")</f>
        <v xml:space="preserve">| 5 L PHP-CGM % | 6 L CPT % | 7 P Python % </v>
      </c>
      <c r="CA435" s="4" t="str">
        <f ca="1">IFERROR(__xludf.DUMMYFUNCTION("""COMPUTED_VALUE"""),"| 5 L PHP-CGM % | 6 L NS % | 7 P CPT % | 9 P JAVA % ")</f>
        <v xml:space="preserve">| 5 L PHP-CGM % | 6 L NS % | 7 P CPT % | 9 P JAVA % </v>
      </c>
      <c r="CB435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35" s="4" t="str">
        <f ca="1">IFERROR(__xludf.DUMMYFUNCTION("""COMPUTED_VALUE"""),"| 6 L NS % | 5 L CPT % | 7 P NS % | 9 P PHP-CGM @ ")</f>
        <v xml:space="preserve">| 6 L NS % | 5 L CPT % | 7 P NS % | 9 P PHP-CGM @ </v>
      </c>
      <c r="CD435" s="4" t="str">
        <f ca="1">IFERROR(__xludf.DUMMYFUNCTION("""COMPUTED_VALUE"""),"| 5 L JAVA % | 6 L JAVA % | 7 P Python % | 9 P PRO % ")</f>
        <v xml:space="preserve">| 5 L JAVA % | 6 L JAVA % | 7 P Python % | 9 P PRO % </v>
      </c>
      <c r="CE435" s="4" t="str">
        <f ca="1">IFERROR(__xludf.DUMMYFUNCTION("""COMPUTED_VALUE"""),"| 5 L PHP-CGM % | 6 L CPT % | 9 L INE % ")</f>
        <v xml:space="preserve">| 5 L PHP-CGM % | 6 L CPT % | 9 L INE % </v>
      </c>
      <c r="CF435" s="4" t="str">
        <f ca="1">IFERROR(__xludf.DUMMYFUNCTION("""COMPUTED_VALUE"""),"| 5 L PHP-CGM @ | 6 L NS @ | 7 P CPT @ | 9 P JAVA @ ")</f>
        <v xml:space="preserve">| 5 L PHP-CGM @ | 6 L NS @ | 7 P CPT @ | 9 P JAVA @ </v>
      </c>
      <c r="CG435" s="4" t="str">
        <f ca="1">IFERROR(__xludf.DUMMYFUNCTION("""COMPUTED_VALUE"""),"| 6 L PHP-CGM % | 7 L JAVA % | 8 L CPT % | 9 P JAVA % ")</f>
        <v xml:space="preserve">| 6 L PHP-CGM % | 7 L JAVA % | 8 L CPT % | 9 P JAVA % </v>
      </c>
      <c r="CH435" s="4" t="str">
        <f ca="1">IFERROR(__xludf.DUMMYFUNCTION("""COMPUTED_VALUE"""),"| 5 L CPT % | 6 L NS % ")</f>
        <v xml:space="preserve">| 5 L CPT % | 6 L NS % </v>
      </c>
      <c r="CI435" s="4" t="str">
        <f ca="1">IFERROR(__xludf.DUMMYFUNCTION("""COMPUTED_VALUE"""),"| 5 L JAVA % | 6 L JAVA % | 7 P Python % | 9 P PRO @ ")</f>
        <v xml:space="preserve">| 5 L JAVA % | 6 L JAVA % | 7 P Python % | 9 P PRO @ </v>
      </c>
      <c r="CJ435" s="4" t="str">
        <f ca="1">IFERROR(__xludf.DUMMYFUNCTION("""COMPUTED_VALUE"""),"| 5 L PHP-CGM % | 9 L INE @ ")</f>
        <v xml:space="preserve">| 5 L PHP-CGM % | 9 L INE @ </v>
      </c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</row>
    <row r="436" spans="1:102" ht="12.5" x14ac:dyDescent="0.25">
      <c r="A436" s="3">
        <f ca="1">IFERROR(__xludf.DUMMYFUNCTION("""COMPUTED_VALUE"""),2)</f>
        <v>2</v>
      </c>
      <c r="B436" s="3" t="str">
        <f ca="1">IFERROR(__xludf.DUMMYFUNCTION("""COMPUTED_VALUE"""),"ITB")</f>
        <v>ITB</v>
      </c>
      <c r="C436" s="32" t="str">
        <f ca="1">IFERROR(__xludf.DUMMYFUNCTION("""COMPUTED_VALUE"""),"23291371061")</f>
        <v>23291371061</v>
      </c>
      <c r="D436" s="4" t="str">
        <f ca="1">IFERROR(__xludf.DUMMYFUNCTION("""COMPUTED_VALUE"""),"PATEL ARYAN MITESHBHAI")</f>
        <v>PATEL ARYAN MITESHBHAI</v>
      </c>
      <c r="E436" s="3" t="str">
        <f ca="1">IFERROR(__xludf.DUMMYFUNCTION("""COMPUTED_VALUE"""),"VSP - Eve")</f>
        <v>VSP - Eve</v>
      </c>
      <c r="F436" s="3">
        <f ca="1">IFERROR(__xludf.DUMMYFUNCTION("""COMPUTED_VALUE"""),9265658022)</f>
        <v>9265658022</v>
      </c>
      <c r="G436" s="3">
        <f ca="1">IFERROR(__xludf.DUMMYFUNCTION("""COMPUTED_VALUE"""),9601261508)</f>
        <v>9601261508</v>
      </c>
      <c r="H436" s="33">
        <f ca="1">IFERROR(__xludf.DUMMYFUNCTION("""COMPUTED_VALUE"""),0.47787610619469)</f>
        <v>0.47787610619469001</v>
      </c>
      <c r="I436" s="25">
        <f ca="1">IFERROR(__xludf.DUMMYFUNCTION("""COMPUTED_VALUE"""),0.555555555555555)</f>
        <v>0.55555555555555503</v>
      </c>
      <c r="J436" s="25">
        <f ca="1">IFERROR(__xludf.DUMMYFUNCTION("""COMPUTED_VALUE"""),0.2)</f>
        <v>0.2</v>
      </c>
      <c r="K436" s="25">
        <f ca="1">IFERROR(__xludf.DUMMYFUNCTION("""COMPUTED_VALUE"""),0.636363636363636)</f>
        <v>0.63636363636363602</v>
      </c>
      <c r="L436" s="25">
        <f ca="1">IFERROR(__xludf.DUMMYFUNCTION("""COMPUTED_VALUE"""),0.777777777777777)</f>
        <v>0.77777777777777701</v>
      </c>
      <c r="M436" s="25">
        <f ca="1">IFERROR(__xludf.DUMMYFUNCTION("""COMPUTED_VALUE"""),0.441176470588235)</f>
        <v>0.441176470588235</v>
      </c>
      <c r="N436" s="25">
        <f ca="1">IFERROR(__xludf.DUMMYFUNCTION("""COMPUTED_VALUE"""),0.428571428571428)</f>
        <v>0.42857142857142799</v>
      </c>
      <c r="O436" s="25">
        <f ca="1">IFERROR(__xludf.DUMMYFUNCTION("""COMPUTED_VALUE"""),0.717948717948718)</f>
        <v>0.71794871794871795</v>
      </c>
      <c r="P436" s="25">
        <f ca="1">IFERROR(__xludf.DUMMYFUNCTION("""COMPUTED_VALUE"""),0.125)</f>
        <v>0.125</v>
      </c>
      <c r="Q436" s="25">
        <f ca="1">IFERROR(__xludf.DUMMYFUNCTION("""COMPUTED_VALUE"""),0)</f>
        <v>0</v>
      </c>
      <c r="R436" s="25">
        <f ca="1">IFERROR(__xludf.DUMMYFUNCTION("""COMPUTED_VALUE"""),0.31578947368421)</f>
        <v>0.31578947368421001</v>
      </c>
      <c r="S436" s="25">
        <f ca="1">IFERROR(__xludf.DUMMYFUNCTION("""COMPUTED_VALUE"""),0)</f>
        <v>0</v>
      </c>
      <c r="T436" s="25">
        <f ca="1">IFERROR(__xludf.DUMMYFUNCTION("""COMPUTED_VALUE"""),0.333333333333333)</f>
        <v>0.33333333333333298</v>
      </c>
      <c r="U436" s="25">
        <f ca="1">IFERROR(__xludf.DUMMYFUNCTION("""COMPUTED_VALUE"""),0)</f>
        <v>0</v>
      </c>
      <c r="V436" s="25">
        <f ca="1">IFERROR(__xludf.DUMMYFUNCTION("""COMPUTED_VALUE"""),0)</f>
        <v>0</v>
      </c>
      <c r="W436" s="4"/>
      <c r="X436" s="4" t="str">
        <f ca="1">IFERROR(__xludf.DUMMYFUNCTION("""COMPUTED_VALUE"""),"| 5 L PHP-CGM @ | 6 L NS @ | 7 P CPT @ | 9 P JAVA @ ")</f>
        <v xml:space="preserve">| 5 L PHP-CGM @ | 6 L NS @ | 7 P CPT @ | 9 P JAVA @ </v>
      </c>
      <c r="Y436" s="4" t="str">
        <f ca="1">IFERROR(__xludf.DUMMYFUNCTION("""COMPUTED_VALUE"""),"| 5 L NS % | 6 L PHP-CGM % | 7 L JAVA % | 8 L CPT % ")</f>
        <v xml:space="preserve">| 5 L NS % | 6 L PHP-CGM % | 7 L JAVA % | 8 L CPT % </v>
      </c>
      <c r="Z436" s="4" t="str">
        <f ca="1">IFERROR(__xludf.DUMMYFUNCTION("""COMPUTED_VALUE"""),"| 5 L JAVA % | 6 L NS % | 7 P NS % | 9 P PHP-CGM % ")</f>
        <v xml:space="preserve">| 5 L JAVA % | 6 L NS % | 7 P NS % | 9 P PHP-CGM % </v>
      </c>
      <c r="AA436" s="4" t="str">
        <f ca="1">IFERROR(__xludf.DUMMYFUNCTION("""COMPUTED_VALUE"""),"| 5 L CPT % | 6 L JAVA % | 7 P Python % | 9 P PRO @ ")</f>
        <v xml:space="preserve">| 5 L CPT % | 6 L JAVA % | 7 P Python % | 9 P PRO @ </v>
      </c>
      <c r="AB436" s="4" t="str">
        <f ca="1">IFERROR(__xludf.DUMMYFUNCTION("""COMPUTED_VALUE"""),"| 5 L PHP-CGM @ | 6 L CPT @ | 7 P Python @ ")</f>
        <v xml:space="preserve">| 5 L PHP-CGM @ | 6 L CPT @ | 7 P Python @ </v>
      </c>
      <c r="AC436" s="4" t="str">
        <f ca="1">IFERROR(__xludf.DUMMYFUNCTION("""COMPUTED_VALUE"""),"| 5 L PHP-CGM % | 6 L NS % | 7 P CPT % | 9 P JAVA % ")</f>
        <v xml:space="preserve">| 5 L PHP-CGM % | 6 L NS % | 7 P CPT % | 9 P JAVA % </v>
      </c>
      <c r="AD436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36" s="4" t="str">
        <f ca="1">IFERROR(__xludf.DUMMYFUNCTION("""COMPUTED_VALUE"""),"| 5 L JAVA % | 6 L NS % | 7 P NS % | 9 P PHP-CGM % ")</f>
        <v xml:space="preserve">| 5 L JAVA % | 6 L NS % | 7 P NS % | 9 P PHP-CGM % </v>
      </c>
      <c r="AF436" s="4" t="str">
        <f ca="1">IFERROR(__xludf.DUMMYFUNCTION("""COMPUTED_VALUE"""),"| 5 L CPT % | 6 L JAVA % | 7 P Python @ | 9 P PRO @ ")</f>
        <v xml:space="preserve">| 5 L CPT % | 6 L JAVA % | 7 P Python @ | 9 P PRO @ </v>
      </c>
      <c r="AG436" s="4" t="str">
        <f ca="1">IFERROR(__xludf.DUMMYFUNCTION("""COMPUTED_VALUE"""),"| 5 L PHP-CGM @ | 6 L CPT @ ")</f>
        <v xml:space="preserve">| 5 L PHP-CGM @ | 6 L CPT @ </v>
      </c>
      <c r="AH436" s="4" t="str">
        <f ca="1">IFERROR(__xludf.DUMMYFUNCTION("""COMPUTED_VALUE"""),"| 5 L CPT % | 6 L JAVA % | 7 P Python % | 9 P PRO @ ")</f>
        <v xml:space="preserve">| 5 L CPT % | 6 L JAVA % | 7 P Python % | 9 P PRO @ </v>
      </c>
      <c r="AI436" s="4" t="str">
        <f ca="1">IFERROR(__xludf.DUMMYFUNCTION("""COMPUTED_VALUE"""),"| 5 L PHP-CGM % | 6 L CPT % | 7 P Python @ ")</f>
        <v xml:space="preserve">| 5 L PHP-CGM % | 6 L CPT % | 7 P Python @ </v>
      </c>
      <c r="AJ436" s="4" t="str">
        <f ca="1">IFERROR(__xludf.DUMMYFUNCTION("""COMPUTED_VALUE"""),"| 5 L PHP-CGM % | 6 L NS % | 7 P CPT % | 9 P JAVA % ")</f>
        <v xml:space="preserve">| 5 L PHP-CGM % | 6 L NS % | 7 P CPT % | 9 P JAVA % </v>
      </c>
      <c r="AK436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36" s="4" t="str">
        <f ca="1">IFERROR(__xludf.DUMMYFUNCTION("""COMPUTED_VALUE"""),"| 5 L JAVA % | 6 L NS % | 7 P NS % | 9 P PHP-CGM % ")</f>
        <v xml:space="preserve">| 5 L JAVA % | 6 L NS % | 7 P NS % | 9 P PHP-CGM % </v>
      </c>
      <c r="AM436" s="4" t="str">
        <f ca="1">IFERROR(__xludf.DUMMYFUNCTION("""COMPUTED_VALUE"""),"| 5 L CPT @ | 6 L JAVA @ | 7 P Python @ | 9 P PRO @ ")</f>
        <v xml:space="preserve">| 5 L CPT @ | 6 L JAVA @ | 7 P Python @ | 9 P PRO @ </v>
      </c>
      <c r="AN436" s="4" t="str">
        <f ca="1">IFERROR(__xludf.DUMMYFUNCTION("""COMPUTED_VALUE"""),"| 5 L PHP-CGM @ | 6 L CPT @ | 7 P Python @ ")</f>
        <v xml:space="preserve">| 5 L PHP-CGM @ | 6 L CPT @ | 7 P Python @ </v>
      </c>
      <c r="AO436" s="4" t="str">
        <f ca="1">IFERROR(__xludf.DUMMYFUNCTION("""COMPUTED_VALUE"""),"| 5 L PHP-CGM @ | 6 L NS @ | 7 P CPT @ | 9 P JAVA @ ")</f>
        <v xml:space="preserve">| 5 L PHP-CGM @ | 6 L NS @ | 7 P CPT @ | 9 P JAVA @ </v>
      </c>
      <c r="AP436" s="4" t="str">
        <f ca="1">IFERROR(__xludf.DUMMYFUNCTION("""COMPUTED_VALUE"""),"| 5 L NS % | 7 L JAVA % | 8 L CPT @ | 9 P JAVA @ ")</f>
        <v xml:space="preserve">| 5 L NS % | 7 L JAVA % | 8 L CPT @ | 9 P JAVA @ </v>
      </c>
      <c r="AQ436" s="4" t="str">
        <f ca="1">IFERROR(__xludf.DUMMYFUNCTION("""COMPUTED_VALUE"""),"| 5 L CPT @ | 6 L NS @ | 7 P NS @ | 9 P PHP-CGM @ ")</f>
        <v xml:space="preserve">| 5 L CPT @ | 6 L NS @ | 7 P NS @ | 9 P PHP-CGM @ </v>
      </c>
      <c r="AR436" s="4" t="str">
        <f ca="1">IFERROR(__xludf.DUMMYFUNCTION("""COMPUTED_VALUE"""),"| 5 L JAVA @ | 6 L JAVA @ | 5 L CPT @ | 7 P Python @ ")</f>
        <v xml:space="preserve">| 5 L JAVA @ | 6 L JAVA @ | 5 L CPT @ | 7 P Python @ </v>
      </c>
      <c r="AS436" s="4" t="str">
        <f ca="1">IFERROR(__xludf.DUMMYFUNCTION("""COMPUTED_VALUE"""),"| 5 L PHP-CGM % | 6 L NS % | 9 P JAVA @ ")</f>
        <v xml:space="preserve">| 5 L PHP-CGM % | 6 L NS % | 9 P JAVA @ </v>
      </c>
      <c r="AT436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U436" s="4" t="str">
        <f ca="1">IFERROR(__xludf.DUMMYFUNCTION("""COMPUTED_VALUE"""),"| 5 L CPT % | 6 L NS % | 7 P NS % | 9 P PHP-CGM @ ")</f>
        <v xml:space="preserve">| 5 L CPT % | 6 L NS % | 7 P NS % | 9 P PHP-CGM @ </v>
      </c>
      <c r="AV436" s="4" t="str">
        <f ca="1">IFERROR(__xludf.DUMMYFUNCTION("""COMPUTED_VALUE"""),"| 5 L JAVA % | 6 L JAVA % | 7 P Python % | 9 P PRO % ")</f>
        <v xml:space="preserve">| 5 L JAVA % | 6 L JAVA % | 7 P Python % | 9 P PRO % </v>
      </c>
      <c r="AW436" s="4" t="str">
        <f ca="1">IFERROR(__xludf.DUMMYFUNCTION("""COMPUTED_VALUE"""),"| 5 L PHP-CGM % | 6 L CPT % | 7 P Python @ | 9 L INE @ ")</f>
        <v xml:space="preserve">| 5 L PHP-CGM % | 6 L CPT % | 7 P Python @ | 9 L INE @ </v>
      </c>
      <c r="AX436" s="4" t="str">
        <f ca="1">IFERROR(__xludf.DUMMYFUNCTION("""COMPUTED_VALUE"""),"| 5 L PHP-CGM @ | 6 L NS @ | 7 P CPT @ | 9 P JAVA @ ")</f>
        <v xml:space="preserve">| 5 L PHP-CGM @ | 6 L NS @ | 7 P CPT @ | 9 P JAVA @ </v>
      </c>
      <c r="AY436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AZ436" s="4" t="str">
        <f ca="1">IFERROR(__xludf.DUMMYFUNCTION("""COMPUTED_VALUE"""),"| 5 L JAVA @ | 6 L JAVA @ | 7 P Python @ ")</f>
        <v xml:space="preserve">| 5 L JAVA @ | 6 L JAVA @ | 7 P Python @ </v>
      </c>
      <c r="BA436" s="4" t="str">
        <f ca="1">IFERROR(__xludf.DUMMYFUNCTION("""COMPUTED_VALUE"""),"| 5 L PHP-CGM @ | 6 L CPT @ | 9 L INE @ ")</f>
        <v xml:space="preserve">| 5 L PHP-CGM @ | 6 L CPT @ | 9 L INE @ </v>
      </c>
      <c r="BB436" s="4" t="str">
        <f ca="1">IFERROR(__xludf.DUMMYFUNCTION("""COMPUTED_VALUE"""),"| 5 L PHP-CGM @ | 6 L NS @ | 7 P CPT @ | 9 P JAVA @ ")</f>
        <v xml:space="preserve">| 5 L PHP-CGM @ | 6 L NS @ | 7 P CPT @ | 9 P JAVA @ </v>
      </c>
      <c r="BC436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D436" s="4" t="str">
        <f ca="1">IFERROR(__xludf.DUMMYFUNCTION("""COMPUTED_VALUE"""),"| 5 L CPT % | 6 L NS % | 7 P NS % | 9 P PHP-CGM @ ")</f>
        <v xml:space="preserve">| 5 L CPT % | 6 L NS % | 7 P NS % | 9 P PHP-CGM @ </v>
      </c>
      <c r="BE436" s="4" t="str">
        <f ca="1">IFERROR(__xludf.DUMMYFUNCTION("""COMPUTED_VALUE"""),"| 5 L JAVA % | 6 L JAVA % | 7 P Python % | 9 P PRO % ")</f>
        <v xml:space="preserve">| 5 L JAVA % | 6 L JAVA % | 7 P Python % | 9 P PRO % </v>
      </c>
      <c r="BF436" s="4" t="str">
        <f ca="1">IFERROR(__xludf.DUMMYFUNCTION("""COMPUTED_VALUE"""),"| 5 L PHP-CGM @ | 6 L CPT @ | 7 P Python @ ")</f>
        <v xml:space="preserve">| 5 L PHP-CGM @ | 6 L CPT @ | 7 P Python @ </v>
      </c>
      <c r="BG436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H436" s="4" t="str">
        <f ca="1">IFERROR(__xludf.DUMMYFUNCTION("""COMPUTED_VALUE"""),"| 5 L CPT % | 6 L NS % | 7 P NS % ")</f>
        <v xml:space="preserve">| 5 L CPT % | 6 L NS % | 7 P NS % </v>
      </c>
      <c r="BI436" s="4" t="str">
        <f ca="1">IFERROR(__xludf.DUMMYFUNCTION("""COMPUTED_VALUE"""),"| 5 L JAVA % | 6 L JAVA % | 7 P Python % | 9 P PRO @ ")</f>
        <v xml:space="preserve">| 5 L JAVA % | 6 L JAVA % | 7 P Python % | 9 P PRO @ </v>
      </c>
      <c r="BJ436" s="4" t="str">
        <f ca="1">IFERROR(__xludf.DUMMYFUNCTION("""COMPUTED_VALUE"""),"| 5 L PHP-CGM % | 6 L CPT % | 7 P Python @ | 9 L INE @ ")</f>
        <v xml:space="preserve">| 5 L PHP-CGM % | 6 L CPT % | 7 P Python @ | 9 L INE @ </v>
      </c>
      <c r="BK436" s="4" t="str">
        <f ca="1">IFERROR(__xludf.DUMMYFUNCTION("""COMPUTED_VALUE"""),"| 5 L PHP-CGM @ | 6 L NS @ | 9 P JAVA @ ")</f>
        <v xml:space="preserve">| 5 L PHP-CGM @ | 6 L NS @ | 9 P JAVA @ </v>
      </c>
      <c r="BL436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36" s="4" t="str">
        <f ca="1">IFERROR(__xludf.DUMMYFUNCTION("""COMPUTED_VALUE"""),"| 5 L CPT @ | 6 L NS @ ")</f>
        <v xml:space="preserve">| 5 L CPT @ | 6 L NS @ </v>
      </c>
      <c r="BN436" s="4" t="str">
        <f ca="1">IFERROR(__xludf.DUMMYFUNCTION("""COMPUTED_VALUE"""),"| 5 L JAVA @ | 6 L JAVA @ ")</f>
        <v xml:space="preserve">| 5 L JAVA @ | 6 L JAVA @ </v>
      </c>
      <c r="BO436" s="4" t="str">
        <f ca="1">IFERROR(__xludf.DUMMYFUNCTION("""COMPUTED_VALUE"""),"| 5 L PHP-CGM @ | 9 L INE @ | 6 L CPT @ ")</f>
        <v xml:space="preserve">| 5 L PHP-CGM @ | 9 L INE @ | 6 L CPT @ </v>
      </c>
      <c r="BP436" s="4" t="str">
        <f ca="1">IFERROR(__xludf.DUMMYFUNCTION("""COMPUTED_VALUE"""),"| 5 L PHP-CGM @ | 6 L NS @ | 7 P CPT @ ")</f>
        <v xml:space="preserve">| 5 L PHP-CGM @ | 6 L NS @ | 7 P CPT @ </v>
      </c>
      <c r="BQ436" s="4" t="str">
        <f ca="1">IFERROR(__xludf.DUMMYFUNCTION("""COMPUTED_VALUE"""),"| 5 L CPT @ ")</f>
        <v xml:space="preserve">| 5 L CPT @ </v>
      </c>
      <c r="BR436" s="4" t="str">
        <f ca="1">IFERROR(__xludf.DUMMYFUNCTION("""COMPUTED_VALUE"""),"| 5 L JAVA % | 6 L JAVA % ")</f>
        <v xml:space="preserve">| 5 L JAVA % | 6 L JAVA % </v>
      </c>
      <c r="BS436" s="4"/>
      <c r="BT436" s="4" t="str">
        <f ca="1">IFERROR(__xludf.DUMMYFUNCTION("""COMPUTED_VALUE"""),"| 7 P CPT @ | 9 P JAVA @ ")</f>
        <v xml:space="preserve">| 7 P CPT @ | 9 P JAVA @ </v>
      </c>
      <c r="BU436" s="4" t="str">
        <f ca="1">IFERROR(__xludf.DUMMYFUNCTION("""COMPUTED_VALUE"""),"| 7 L JAVA @ | 9 P JAVA @ ")</f>
        <v xml:space="preserve">| 7 L JAVA @ | 9 P JAVA @ </v>
      </c>
      <c r="BV436" s="4" t="str">
        <f ca="1">IFERROR(__xludf.DUMMYFUNCTION("""COMPUTED_VALUE"""),"| 5 L PHP-CGM @ | 6 L NS @ | 9 P JAVA @ ")</f>
        <v xml:space="preserve">| 5 L PHP-CGM @ | 6 L NS @ | 9 P JAVA @ </v>
      </c>
      <c r="BW436" s="4" t="str">
        <f ca="1">IFERROR(__xludf.DUMMYFUNCTION("""COMPUTED_VALUE"""),"| 9 P JAVA @ ")</f>
        <v xml:space="preserve">| 9 P JAVA @ </v>
      </c>
      <c r="BX436" s="4" t="str">
        <f ca="1">IFERROR(__xludf.DUMMYFUNCTION("""COMPUTED_VALUE"""),"| 5 L CPT % | 6 L NS % | 7 P NS @ ")</f>
        <v xml:space="preserve">| 5 L CPT % | 6 L NS % | 7 P NS @ </v>
      </c>
      <c r="BY436" s="4" t="str">
        <f ca="1">IFERROR(__xludf.DUMMYFUNCTION("""COMPUTED_VALUE"""),"| 5 L JAVA % | 6 L JAVA % | 7 P Python @ ")</f>
        <v xml:space="preserve">| 5 L JAVA % | 6 L JAVA % | 7 P Python @ </v>
      </c>
      <c r="BZ436" s="4" t="str">
        <f ca="1">IFERROR(__xludf.DUMMYFUNCTION("""COMPUTED_VALUE"""),"| 5 L PHP-CGM @ | 6 L CPT @ | 7 P Python @ ")</f>
        <v xml:space="preserve">| 5 L PHP-CGM @ | 6 L CPT @ | 7 P Python @ </v>
      </c>
      <c r="CA436" s="4" t="str">
        <f ca="1">IFERROR(__xludf.DUMMYFUNCTION("""COMPUTED_VALUE"""),"| 5 L PHP-CGM % | 6 L NS % | 7 P CPT @ | 9 P JAVA @ ")</f>
        <v xml:space="preserve">| 5 L PHP-CGM % | 6 L NS % | 7 P CPT @ | 9 P JAVA @ </v>
      </c>
      <c r="CB436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36" s="4" t="str">
        <f ca="1">IFERROR(__xludf.DUMMYFUNCTION("""COMPUTED_VALUE"""),"| 6 L NS % | 5 L CPT % | 7 P NS % | 9 P PHP-CGM @ ")</f>
        <v xml:space="preserve">| 6 L NS % | 5 L CPT % | 7 P NS % | 9 P PHP-CGM @ </v>
      </c>
      <c r="CD436" s="4" t="str">
        <f ca="1">IFERROR(__xludf.DUMMYFUNCTION("""COMPUTED_VALUE"""),"| 5 L JAVA % | 6 L JAVA % | 7 P Python @ | 9 P PRO @ ")</f>
        <v xml:space="preserve">| 5 L JAVA % | 6 L JAVA % | 7 P Python @ | 9 P PRO @ </v>
      </c>
      <c r="CE436" s="4" t="str">
        <f ca="1">IFERROR(__xludf.DUMMYFUNCTION("""COMPUTED_VALUE"""),"| 5 L PHP-CGM @ | 6 L CPT @ | 9 L INE @ ")</f>
        <v xml:space="preserve">| 5 L PHP-CGM @ | 6 L CPT @ | 9 L INE @ </v>
      </c>
      <c r="CF436" s="4" t="str">
        <f ca="1">IFERROR(__xludf.DUMMYFUNCTION("""COMPUTED_VALUE"""),"| 5 L PHP-CGM @ | 6 L NS @ | 7 P CPT @ | 9 P JAVA @ ")</f>
        <v xml:space="preserve">| 5 L PHP-CGM @ | 6 L NS @ | 7 P CPT @ | 9 P JAVA @ </v>
      </c>
      <c r="CG436" s="4" t="str">
        <f ca="1">IFERROR(__xludf.DUMMYFUNCTION("""COMPUTED_VALUE"""),"| 6 L PHP-CGM @ | 7 L JAVA @ | 8 L CPT % | 9 P JAVA @ ")</f>
        <v xml:space="preserve">| 6 L PHP-CGM @ | 7 L JAVA @ | 8 L CPT % | 9 P JAVA @ </v>
      </c>
      <c r="CH436" s="4" t="str">
        <f ca="1">IFERROR(__xludf.DUMMYFUNCTION("""COMPUTED_VALUE"""),"| 5 L CPT % | 6 L NS % ")</f>
        <v xml:space="preserve">| 5 L CPT % | 6 L NS % </v>
      </c>
      <c r="CI436" s="4" t="str">
        <f ca="1">IFERROR(__xludf.DUMMYFUNCTION("""COMPUTED_VALUE"""),"| 5 L JAVA % | 6 L JAVA % | 7 P Python % | 9 P PRO % ")</f>
        <v xml:space="preserve">| 5 L JAVA % | 6 L JAVA % | 7 P Python % | 9 P PRO % </v>
      </c>
      <c r="CJ436" s="4" t="str">
        <f ca="1">IFERROR(__xludf.DUMMYFUNCTION("""COMPUTED_VALUE"""),"| 5 L PHP-CGM % | 9 L INE @ ")</f>
        <v xml:space="preserve">| 5 L PHP-CGM % | 9 L INE @ </v>
      </c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</row>
    <row r="437" spans="1:102" ht="12.5" x14ac:dyDescent="0.25">
      <c r="A437" s="3">
        <f ca="1">IFERROR(__xludf.DUMMYFUNCTION("""COMPUTED_VALUE"""),2)</f>
        <v>2</v>
      </c>
      <c r="B437" s="3" t="str">
        <f ca="1">IFERROR(__xludf.DUMMYFUNCTION("""COMPUTED_VALUE"""),"ITB")</f>
        <v>ITB</v>
      </c>
      <c r="C437" s="32" t="str">
        <f ca="1">IFERROR(__xludf.DUMMYFUNCTION("""COMPUTED_VALUE"""),"23291371062")</f>
        <v>23291371062</v>
      </c>
      <c r="D437" s="4" t="str">
        <f ca="1">IFERROR(__xludf.DUMMYFUNCTION("""COMPUTED_VALUE"""),"PATEL ARYANKUMAR LAXMANBHAI")</f>
        <v>PATEL ARYANKUMAR LAXMANBHAI</v>
      </c>
      <c r="E437" s="3" t="str">
        <f ca="1">IFERROR(__xludf.DUMMYFUNCTION("""COMPUTED_VALUE"""),"VSP - Eve")</f>
        <v>VSP - Eve</v>
      </c>
      <c r="F437" s="3">
        <f ca="1">IFERROR(__xludf.DUMMYFUNCTION("""COMPUTED_VALUE"""),7600866182)</f>
        <v>7600866182</v>
      </c>
      <c r="G437" s="3">
        <f ca="1">IFERROR(__xludf.DUMMYFUNCTION("""COMPUTED_VALUE"""),9925785001)</f>
        <v>9925785001</v>
      </c>
      <c r="H437" s="33">
        <f ca="1">IFERROR(__xludf.DUMMYFUNCTION("""COMPUTED_VALUE"""),0.721238938053097)</f>
        <v>0.72123893805309702</v>
      </c>
      <c r="I437" s="25">
        <f ca="1">IFERROR(__xludf.DUMMYFUNCTION("""COMPUTED_VALUE"""),0.777777777777777)</f>
        <v>0.77777777777777701</v>
      </c>
      <c r="J437" s="25">
        <f ca="1">IFERROR(__xludf.DUMMYFUNCTION("""COMPUTED_VALUE"""),0.8)</f>
        <v>0.8</v>
      </c>
      <c r="K437" s="25">
        <f ca="1">IFERROR(__xludf.DUMMYFUNCTION("""COMPUTED_VALUE"""),0.787878787878787)</f>
        <v>0.78787878787878696</v>
      </c>
      <c r="L437" s="25">
        <f ca="1">IFERROR(__xludf.DUMMYFUNCTION("""COMPUTED_VALUE"""),0.777777777777777)</f>
        <v>0.77777777777777701</v>
      </c>
      <c r="M437" s="25">
        <f ca="1">IFERROR(__xludf.DUMMYFUNCTION("""COMPUTED_VALUE"""),0.764705882352941)</f>
        <v>0.76470588235294101</v>
      </c>
      <c r="N437" s="25">
        <f ca="1">IFERROR(__xludf.DUMMYFUNCTION("""COMPUTED_VALUE"""),0.571428571428571)</f>
        <v>0.57142857142857095</v>
      </c>
      <c r="O437" s="25">
        <f ca="1">IFERROR(__xludf.DUMMYFUNCTION("""COMPUTED_VALUE"""),0.743589743589743)</f>
        <v>0.74358974358974295</v>
      </c>
      <c r="P437" s="25">
        <f ca="1">IFERROR(__xludf.DUMMYFUNCTION("""COMPUTED_VALUE"""),0.583333333333333)</f>
        <v>0.58333333333333304</v>
      </c>
      <c r="Q437" s="25">
        <f ca="1">IFERROR(__xludf.DUMMYFUNCTION("""COMPUTED_VALUE"""),0)</f>
        <v>0</v>
      </c>
      <c r="R437" s="25">
        <f ca="1">IFERROR(__xludf.DUMMYFUNCTION("""COMPUTED_VALUE"""),0.736842105263157)</f>
        <v>0.73684210526315697</v>
      </c>
      <c r="S437" s="25">
        <f ca="1">IFERROR(__xludf.DUMMYFUNCTION("""COMPUTED_VALUE"""),0)</f>
        <v>0</v>
      </c>
      <c r="T437" s="25">
        <f ca="1">IFERROR(__xludf.DUMMYFUNCTION("""COMPUTED_VALUE"""),0.666666666666666)</f>
        <v>0.66666666666666596</v>
      </c>
      <c r="U437" s="25">
        <f ca="1">IFERROR(__xludf.DUMMYFUNCTION("""COMPUTED_VALUE"""),0.166666666666666)</f>
        <v>0.16666666666666599</v>
      </c>
      <c r="V437" s="25">
        <f ca="1">IFERROR(__xludf.DUMMYFUNCTION("""COMPUTED_VALUE"""),0)</f>
        <v>0</v>
      </c>
      <c r="W437" s="4"/>
      <c r="X437" s="4" t="str">
        <f ca="1">IFERROR(__xludf.DUMMYFUNCTION("""COMPUTED_VALUE"""),"| 5 L PHP-CGM % | 6 L NS % | 7 P CPT % | 9 P JAVA @ ")</f>
        <v xml:space="preserve">| 5 L PHP-CGM % | 6 L NS % | 7 P CPT % | 9 P JAVA @ </v>
      </c>
      <c r="Y437" s="4" t="str">
        <f ca="1">IFERROR(__xludf.DUMMYFUNCTION("""COMPUTED_VALUE"""),"| 5 L NS % | 6 L PHP-CGM % | 7 L JAVA % | 8 L CPT % ")</f>
        <v xml:space="preserve">| 5 L NS % | 6 L PHP-CGM % | 7 L JAVA % | 8 L CPT % </v>
      </c>
      <c r="Z437" s="4" t="str">
        <f ca="1">IFERROR(__xludf.DUMMYFUNCTION("""COMPUTED_VALUE"""),"| 5 L JAVA % | 6 L NS % | 7 P NS % | 9 P PHP-CGM % ")</f>
        <v xml:space="preserve">| 5 L JAVA % | 6 L NS % | 7 P NS % | 9 P PHP-CGM % </v>
      </c>
      <c r="AA437" s="4" t="str">
        <f ca="1">IFERROR(__xludf.DUMMYFUNCTION("""COMPUTED_VALUE"""),"| 5 L CPT % | 6 L JAVA % | 7 P Python % | 9 P PRO % ")</f>
        <v xml:space="preserve">| 5 L CPT % | 6 L JAVA % | 7 P Python % | 9 P PRO % </v>
      </c>
      <c r="AB437" s="4" t="str">
        <f ca="1">IFERROR(__xludf.DUMMYFUNCTION("""COMPUTED_VALUE"""),"| 5 L PHP-CGM % | 6 L CPT % | 7 P Python % ")</f>
        <v xml:space="preserve">| 5 L PHP-CGM % | 6 L CPT % | 7 P Python % </v>
      </c>
      <c r="AC437" s="4" t="str">
        <f ca="1">IFERROR(__xludf.DUMMYFUNCTION("""COMPUTED_VALUE"""),"| 5 L PHP-CGM % | 6 L NS % | 7 P CPT % | 9 P JAVA % ")</f>
        <v xml:space="preserve">| 5 L PHP-CGM % | 6 L NS % | 7 P CPT % | 9 P JAVA % </v>
      </c>
      <c r="AD437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37" s="4" t="str">
        <f ca="1">IFERROR(__xludf.DUMMYFUNCTION("""COMPUTED_VALUE"""),"| 5 L JAVA % | 6 L NS % | 7 P NS % | 9 P PHP-CGM @ ")</f>
        <v xml:space="preserve">| 5 L JAVA % | 6 L NS % | 7 P NS % | 9 P PHP-CGM @ </v>
      </c>
      <c r="AF437" s="4" t="str">
        <f ca="1">IFERROR(__xludf.DUMMYFUNCTION("""COMPUTED_VALUE"""),"| 5 L CPT % | 6 L JAVA % | 7 P Python % | 9 P PRO % ")</f>
        <v xml:space="preserve">| 5 L CPT % | 6 L JAVA % | 7 P Python % | 9 P PRO % </v>
      </c>
      <c r="AG437" s="4" t="str">
        <f ca="1">IFERROR(__xludf.DUMMYFUNCTION("""COMPUTED_VALUE"""),"| 5 L PHP-CGM % | 6 L CPT % ")</f>
        <v xml:space="preserve">| 5 L PHP-CGM % | 6 L CPT % </v>
      </c>
      <c r="AH437" s="4" t="str">
        <f ca="1">IFERROR(__xludf.DUMMYFUNCTION("""COMPUTED_VALUE"""),"| 5 L CPT % | 6 L JAVA % | 7 P Python % | 9 P PRO % ")</f>
        <v xml:space="preserve">| 5 L CPT % | 6 L JAVA % | 7 P Python % | 9 P PRO % </v>
      </c>
      <c r="AI437" s="4" t="str">
        <f ca="1">IFERROR(__xludf.DUMMYFUNCTION("""COMPUTED_VALUE"""),"| 5 L PHP-CGM % | 6 L CPT % | 7 P Python % ")</f>
        <v xml:space="preserve">| 5 L PHP-CGM % | 6 L CPT % | 7 P Python % </v>
      </c>
      <c r="AJ437" s="4" t="str">
        <f ca="1">IFERROR(__xludf.DUMMYFUNCTION("""COMPUTED_VALUE"""),"| 5 L PHP-CGM % | 6 L NS % | 7 P CPT % | 9 P JAVA % ")</f>
        <v xml:space="preserve">| 5 L PHP-CGM % | 6 L NS % | 7 P CPT % | 9 P JAVA % </v>
      </c>
      <c r="AK437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37" s="4" t="str">
        <f ca="1">IFERROR(__xludf.DUMMYFUNCTION("""COMPUTED_VALUE"""),"| 5 L JAVA % | 6 L NS % | 7 P NS % | 9 P PHP-CGM % ")</f>
        <v xml:space="preserve">| 5 L JAVA % | 6 L NS % | 7 P NS % | 9 P PHP-CGM % </v>
      </c>
      <c r="AM437" s="4" t="str">
        <f ca="1">IFERROR(__xludf.DUMMYFUNCTION("""COMPUTED_VALUE"""),"| 5 L CPT % | 6 L JAVA % | 7 P Python % | 9 P PRO % ")</f>
        <v xml:space="preserve">| 5 L CPT % | 6 L JAVA % | 7 P Python % | 9 P PRO % </v>
      </c>
      <c r="AN437" s="4" t="str">
        <f ca="1">IFERROR(__xludf.DUMMYFUNCTION("""COMPUTED_VALUE"""),"| 5 L PHP-CGM % | 6 L CPT % | 7 P Python @ ")</f>
        <v xml:space="preserve">| 5 L PHP-CGM % | 6 L CPT % | 7 P Python @ </v>
      </c>
      <c r="AO437" s="4" t="str">
        <f ca="1">IFERROR(__xludf.DUMMYFUNCTION("""COMPUTED_VALUE"""),"| 5 L PHP-CGM % | 6 L NS % | 7 P CPT % | 9 P JAVA % ")</f>
        <v xml:space="preserve">| 5 L PHP-CGM % | 6 L NS % | 7 P CPT % | 9 P JAVA % </v>
      </c>
      <c r="AP437" s="4" t="str">
        <f ca="1">IFERROR(__xludf.DUMMYFUNCTION("""COMPUTED_VALUE"""),"| 5 L NS % | 7 L JAVA % | 8 L CPT % | 9 P JAVA % ")</f>
        <v xml:space="preserve">| 5 L NS % | 7 L JAVA % | 8 L CPT % | 9 P JAVA % </v>
      </c>
      <c r="AQ437" s="4" t="str">
        <f ca="1">IFERROR(__xludf.DUMMYFUNCTION("""COMPUTED_VALUE"""),"| 5 L CPT % | 6 L NS % | 7 P NS % | 9 P PHP-CGM % ")</f>
        <v xml:space="preserve">| 5 L CPT % | 6 L NS % | 7 P NS % | 9 P PHP-CGM % </v>
      </c>
      <c r="AR437" s="4" t="str">
        <f ca="1">IFERROR(__xludf.DUMMYFUNCTION("""COMPUTED_VALUE"""),"| 5 L JAVA @ | 6 L JAVA @ | 5 L CPT @ | 7 P Python @ ")</f>
        <v xml:space="preserve">| 5 L JAVA @ | 6 L JAVA @ | 5 L CPT @ | 7 P Python @ </v>
      </c>
      <c r="AS437" s="4" t="str">
        <f ca="1">IFERROR(__xludf.DUMMYFUNCTION("""COMPUTED_VALUE"""),"| 5 L PHP-CGM % | 6 L NS % | 9 P JAVA % ")</f>
        <v xml:space="preserve">| 5 L PHP-CGM % | 6 L NS % | 9 P JAVA % </v>
      </c>
      <c r="AT437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37" s="4" t="str">
        <f ca="1">IFERROR(__xludf.DUMMYFUNCTION("""COMPUTED_VALUE"""),"| 5 L CPT % | 6 L NS % | 7 P NS % | 9 P PHP-CGM @ ")</f>
        <v xml:space="preserve">| 5 L CPT % | 6 L NS % | 7 P NS % | 9 P PHP-CGM @ </v>
      </c>
      <c r="AV437" s="4" t="str">
        <f ca="1">IFERROR(__xludf.DUMMYFUNCTION("""COMPUTED_VALUE"""),"| 5 L JAVA % | 6 L JAVA % | 7 P Python @ | 9 P PRO @ ")</f>
        <v xml:space="preserve">| 5 L JAVA % | 6 L JAVA % | 7 P Python @ | 9 P PRO @ </v>
      </c>
      <c r="AW437" s="4" t="str">
        <f ca="1">IFERROR(__xludf.DUMMYFUNCTION("""COMPUTED_VALUE"""),"| 5 L PHP-CGM % | 6 L CPT % | 7 P Python % | 9 L INE @ ")</f>
        <v xml:space="preserve">| 5 L PHP-CGM % | 6 L CPT % | 7 P Python % | 9 L INE @ </v>
      </c>
      <c r="AX437" s="4" t="str">
        <f ca="1">IFERROR(__xludf.DUMMYFUNCTION("""COMPUTED_VALUE"""),"| 5 L PHP-CGM % | 6 L NS % | 7 P CPT % | 9 P JAVA % ")</f>
        <v xml:space="preserve">| 5 L PHP-CGM % | 6 L NS % | 7 P CPT % | 9 P JAVA % </v>
      </c>
      <c r="AY437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37" s="4" t="str">
        <f ca="1">IFERROR(__xludf.DUMMYFUNCTION("""COMPUTED_VALUE"""),"| 5 L JAVA % | 6 L JAVA % | 7 P Python % ")</f>
        <v xml:space="preserve">| 5 L JAVA % | 6 L JAVA % | 7 P Python % </v>
      </c>
      <c r="BA437" s="4" t="str">
        <f ca="1">IFERROR(__xludf.DUMMYFUNCTION("""COMPUTED_VALUE"""),"| 5 L PHP-CGM % | 6 L CPT % | 9 L INE @ ")</f>
        <v xml:space="preserve">| 5 L PHP-CGM % | 6 L CPT % | 9 L INE @ </v>
      </c>
      <c r="BB437" s="4" t="str">
        <f ca="1">IFERROR(__xludf.DUMMYFUNCTION("""COMPUTED_VALUE"""),"| 5 L PHP-CGM % | 6 L NS % | 7 P CPT % | 9 P JAVA % ")</f>
        <v xml:space="preserve">| 5 L PHP-CGM % | 6 L NS % | 7 P CPT % | 9 P JAVA % </v>
      </c>
      <c r="BC437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D437" s="4" t="str">
        <f ca="1">IFERROR(__xludf.DUMMYFUNCTION("""COMPUTED_VALUE"""),"| 5 L CPT @ | 6 L NS @ | 7 P NS @ | 9 P PHP-CGM @ ")</f>
        <v xml:space="preserve">| 5 L CPT @ | 6 L NS @ | 7 P NS @ | 9 P PHP-CGM @ </v>
      </c>
      <c r="BE437" s="4" t="str">
        <f ca="1">IFERROR(__xludf.DUMMYFUNCTION("""COMPUTED_VALUE"""),"| 5 L JAVA % | 6 L JAVA % | 7 P Python % | 9 P PRO % ")</f>
        <v xml:space="preserve">| 5 L JAVA % | 6 L JAVA % | 7 P Python % | 9 P PRO % </v>
      </c>
      <c r="BF437" s="4" t="str">
        <f ca="1">IFERROR(__xludf.DUMMYFUNCTION("""COMPUTED_VALUE"""),"| 5 L PHP-CGM % | 6 L CPT % | 7 P Python % ")</f>
        <v xml:space="preserve">| 5 L PHP-CGM % | 6 L CPT % | 7 P Python % </v>
      </c>
      <c r="BG437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37" s="4" t="str">
        <f ca="1">IFERROR(__xludf.DUMMYFUNCTION("""COMPUTED_VALUE"""),"| 5 L CPT % | 6 L NS % | 7 P NS % ")</f>
        <v xml:space="preserve">| 5 L CPT % | 6 L NS % | 7 P NS % </v>
      </c>
      <c r="BI437" s="4" t="str">
        <f ca="1">IFERROR(__xludf.DUMMYFUNCTION("""COMPUTED_VALUE"""),"| 5 L JAVA % | 6 L JAVA % | 7 P Python % | 9 P PRO % ")</f>
        <v xml:space="preserve">| 5 L JAVA % | 6 L JAVA % | 7 P Python % | 9 P PRO % </v>
      </c>
      <c r="BJ437" s="4" t="str">
        <f ca="1">IFERROR(__xludf.DUMMYFUNCTION("""COMPUTED_VALUE"""),"| 5 L PHP-CGM % | 6 L CPT % | 7 P Python % | 9 L INE @ ")</f>
        <v xml:space="preserve">| 5 L PHP-CGM % | 6 L CPT % | 7 P Python % | 9 L INE @ </v>
      </c>
      <c r="BK437" s="4" t="str">
        <f ca="1">IFERROR(__xludf.DUMMYFUNCTION("""COMPUTED_VALUE"""),"| 5 L PHP-CGM % | 6 L NS % | 9 P JAVA @ ")</f>
        <v xml:space="preserve">| 5 L PHP-CGM % | 6 L NS % | 9 P JAVA @ </v>
      </c>
      <c r="BL437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37" s="4" t="str">
        <f ca="1">IFERROR(__xludf.DUMMYFUNCTION("""COMPUTED_VALUE"""),"| 5 L CPT @ | 6 L NS @ ")</f>
        <v xml:space="preserve">| 5 L CPT @ | 6 L NS @ </v>
      </c>
      <c r="BN437" s="4" t="str">
        <f ca="1">IFERROR(__xludf.DUMMYFUNCTION("""COMPUTED_VALUE"""),"| 5 L JAVA % | 6 L JAVA % ")</f>
        <v xml:space="preserve">| 5 L JAVA % | 6 L JAVA % </v>
      </c>
      <c r="BO437" s="4" t="str">
        <f ca="1">IFERROR(__xludf.DUMMYFUNCTION("""COMPUTED_VALUE"""),"| 5 L PHP-CGM @ | 9 L INE @ | 6 L CPT @ ")</f>
        <v xml:space="preserve">| 5 L PHP-CGM @ | 9 L INE @ | 6 L CPT @ </v>
      </c>
      <c r="BP437" s="4" t="str">
        <f ca="1">IFERROR(__xludf.DUMMYFUNCTION("""COMPUTED_VALUE"""),"| 5 L PHP-CGM % | 6 L NS % | 7 P CPT @ ")</f>
        <v xml:space="preserve">| 5 L PHP-CGM % | 6 L NS % | 7 P CPT @ </v>
      </c>
      <c r="BQ437" s="4" t="str">
        <f ca="1">IFERROR(__xludf.DUMMYFUNCTION("""COMPUTED_VALUE"""),"| 5 L CPT @ ")</f>
        <v xml:space="preserve">| 5 L CPT @ </v>
      </c>
      <c r="BR437" s="4" t="str">
        <f ca="1">IFERROR(__xludf.DUMMYFUNCTION("""COMPUTED_VALUE"""),"| 5 L JAVA % | 6 L JAVA % ")</f>
        <v xml:space="preserve">| 5 L JAVA % | 6 L JAVA % </v>
      </c>
      <c r="BS437" s="4"/>
      <c r="BT437" s="4" t="str">
        <f ca="1">IFERROR(__xludf.DUMMYFUNCTION("""COMPUTED_VALUE"""),"| 7 P CPT % | 9 P JAVA @ ")</f>
        <v xml:space="preserve">| 7 P CPT % | 9 P JAVA @ </v>
      </c>
      <c r="BU437" s="4" t="str">
        <f ca="1">IFERROR(__xludf.DUMMYFUNCTION("""COMPUTED_VALUE"""),"| 7 L JAVA @ | 9 P JAVA @ ")</f>
        <v xml:space="preserve">| 7 L JAVA @ | 9 P JAVA @ </v>
      </c>
      <c r="BV437" s="4" t="str">
        <f ca="1">IFERROR(__xludf.DUMMYFUNCTION("""COMPUTED_VALUE"""),"| 5 L PHP-CGM @ | 6 L NS @ | 9 P JAVA @ ")</f>
        <v xml:space="preserve">| 5 L PHP-CGM @ | 6 L NS @ | 9 P JAVA @ </v>
      </c>
      <c r="BW437" s="4" t="str">
        <f ca="1">IFERROR(__xludf.DUMMYFUNCTION("""COMPUTED_VALUE"""),"| 9 P JAVA @ ")</f>
        <v xml:space="preserve">| 9 P JAVA @ </v>
      </c>
      <c r="BX437" s="4" t="str">
        <f ca="1">IFERROR(__xludf.DUMMYFUNCTION("""COMPUTED_VALUE"""),"| 5 L CPT @ | 6 L NS @ | 7 P NS @ ")</f>
        <v xml:space="preserve">| 5 L CPT @ | 6 L NS @ | 7 P NS @ </v>
      </c>
      <c r="BY437" s="4" t="str">
        <f ca="1">IFERROR(__xludf.DUMMYFUNCTION("""COMPUTED_VALUE"""),"| 5 L JAVA @ | 6 L JAVA @ | 7 P Python @ ")</f>
        <v xml:space="preserve">| 5 L JAVA @ | 6 L JAVA @ | 7 P Python @ </v>
      </c>
      <c r="BZ437" s="4" t="str">
        <f ca="1">IFERROR(__xludf.DUMMYFUNCTION("""COMPUTED_VALUE"""),"| 5 L PHP-CGM @ | 6 L CPT @ | 7 P Python @ ")</f>
        <v xml:space="preserve">| 5 L PHP-CGM @ | 6 L CPT @ | 7 P Python @ </v>
      </c>
      <c r="CA437" s="4" t="str">
        <f ca="1">IFERROR(__xludf.DUMMYFUNCTION("""COMPUTED_VALUE"""),"| 5 L PHP-CGM % | 6 L NS % | 7 P CPT @ | 9 P JAVA @ ")</f>
        <v xml:space="preserve">| 5 L PHP-CGM % | 6 L NS % | 7 P CPT @ | 9 P JAVA @ </v>
      </c>
      <c r="CB437" s="4" t="str">
        <f ca="1">IFERROR(__xludf.DUMMYFUNCTION("""COMPUTED_VALUE"""),"| 5 L NS @ | 6 L PHP-CGM @ | 7 L JAVA % | 8 L CPT % | 9 P JAVA % ")</f>
        <v xml:space="preserve">| 5 L NS @ | 6 L PHP-CGM @ | 7 L JAVA % | 8 L CPT % | 9 P JAVA % </v>
      </c>
      <c r="CC437" s="4" t="str">
        <f ca="1">IFERROR(__xludf.DUMMYFUNCTION("""COMPUTED_VALUE"""),"| 6 L NS % | 5 L CPT % | 7 P NS % | 9 P PHP-CGM % ")</f>
        <v xml:space="preserve">| 6 L NS % | 5 L CPT % | 7 P NS % | 9 P PHP-CGM % </v>
      </c>
      <c r="CD437" s="4" t="str">
        <f ca="1">IFERROR(__xludf.DUMMYFUNCTION("""COMPUTED_VALUE"""),"| 5 L JAVA @ | 6 L JAVA @ | 7 P Python % | 9 P PRO @ ")</f>
        <v xml:space="preserve">| 5 L JAVA @ | 6 L JAVA @ | 7 P Python % | 9 P PRO @ </v>
      </c>
      <c r="CE437" s="4" t="str">
        <f ca="1">IFERROR(__xludf.DUMMYFUNCTION("""COMPUTED_VALUE"""),"| 5 L PHP-CGM % | 6 L CPT % | 9 L INE % ")</f>
        <v xml:space="preserve">| 5 L PHP-CGM % | 6 L CPT % | 9 L INE % </v>
      </c>
      <c r="CF437" s="4" t="str">
        <f ca="1">IFERROR(__xludf.DUMMYFUNCTION("""COMPUTED_VALUE"""),"| 5 L PHP-CGM @ | 6 L NS @ | 7 P CPT % | 9 P JAVA % ")</f>
        <v xml:space="preserve">| 5 L PHP-CGM @ | 6 L NS @ | 7 P CPT % | 9 P JAVA % </v>
      </c>
      <c r="CG437" s="4" t="str">
        <f ca="1">IFERROR(__xludf.DUMMYFUNCTION("""COMPUTED_VALUE"""),"| 6 L PHP-CGM @ | 7 L JAVA % | 8 L CPT % | 9 P JAVA % ")</f>
        <v xml:space="preserve">| 6 L PHP-CGM @ | 7 L JAVA % | 8 L CPT % | 9 P JAVA % </v>
      </c>
      <c r="CH437" s="4" t="str">
        <f ca="1">IFERROR(__xludf.DUMMYFUNCTION("""COMPUTED_VALUE"""),"| 5 L CPT % | 6 L NS % ")</f>
        <v xml:space="preserve">| 5 L CPT % | 6 L NS % </v>
      </c>
      <c r="CI437" s="4" t="str">
        <f ca="1">IFERROR(__xludf.DUMMYFUNCTION("""COMPUTED_VALUE"""),"| 5 L JAVA @ | 6 L JAVA @ | 7 P Python % | 9 P PRO @ ")</f>
        <v xml:space="preserve">| 5 L JAVA @ | 6 L JAVA @ | 7 P Python % | 9 P PRO @ </v>
      </c>
      <c r="CJ437" s="4" t="str">
        <f ca="1">IFERROR(__xludf.DUMMYFUNCTION("""COMPUTED_VALUE"""),"| 5 L PHP-CGM @ | 9 L INE @ ")</f>
        <v xml:space="preserve">| 5 L PHP-CGM @ | 9 L INE @ </v>
      </c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</row>
    <row r="438" spans="1:102" ht="12.5" x14ac:dyDescent="0.25">
      <c r="A438" s="3">
        <f ca="1">IFERROR(__xludf.DUMMYFUNCTION("""COMPUTED_VALUE"""),2)</f>
        <v>2</v>
      </c>
      <c r="B438" s="3" t="str">
        <f ca="1">IFERROR(__xludf.DUMMYFUNCTION("""COMPUTED_VALUE"""),"ITB")</f>
        <v>ITB</v>
      </c>
      <c r="C438" s="32" t="str">
        <f ca="1">IFERROR(__xludf.DUMMYFUNCTION("""COMPUTED_VALUE"""),"23291371065")</f>
        <v>23291371065</v>
      </c>
      <c r="D438" s="4" t="str">
        <f ca="1">IFERROR(__xludf.DUMMYFUNCTION("""COMPUTED_VALUE"""),"PATEL DAKSH GIRISHBHAI")</f>
        <v>PATEL DAKSH GIRISHBHAI</v>
      </c>
      <c r="E438" s="3" t="str">
        <f ca="1">IFERROR(__xludf.DUMMYFUNCTION("""COMPUTED_VALUE"""),"VSP - Eve")</f>
        <v>VSP - Eve</v>
      </c>
      <c r="F438" s="3">
        <f ca="1">IFERROR(__xludf.DUMMYFUNCTION("""COMPUTED_VALUE"""),9510195753)</f>
        <v>9510195753</v>
      </c>
      <c r="G438" s="3">
        <f ca="1">IFERROR(__xludf.DUMMYFUNCTION("""COMPUTED_VALUE"""),9328832451)</f>
        <v>9328832451</v>
      </c>
      <c r="H438" s="33">
        <f ca="1">IFERROR(__xludf.DUMMYFUNCTION("""COMPUTED_VALUE"""),0.371681415929203)</f>
        <v>0.37168141592920301</v>
      </c>
      <c r="I438" s="25">
        <f ca="1">IFERROR(__xludf.DUMMYFUNCTION("""COMPUTED_VALUE"""),0.5)</f>
        <v>0.5</v>
      </c>
      <c r="J438" s="25">
        <f ca="1">IFERROR(__xludf.DUMMYFUNCTION("""COMPUTED_VALUE"""),0.2)</f>
        <v>0.2</v>
      </c>
      <c r="K438" s="25">
        <f ca="1">IFERROR(__xludf.DUMMYFUNCTION("""COMPUTED_VALUE"""),0.484848484848484)</f>
        <v>0.48484848484848397</v>
      </c>
      <c r="L438" s="25">
        <f ca="1">IFERROR(__xludf.DUMMYFUNCTION("""COMPUTED_VALUE"""),0.555555555555555)</f>
        <v>0.55555555555555503</v>
      </c>
      <c r="M438" s="25">
        <f ca="1">IFERROR(__xludf.DUMMYFUNCTION("""COMPUTED_VALUE"""),0.38235294117647)</f>
        <v>0.38235294117647001</v>
      </c>
      <c r="N438" s="25">
        <f ca="1">IFERROR(__xludf.DUMMYFUNCTION("""COMPUTED_VALUE"""),0.142857142857142)</f>
        <v>0.14285714285714199</v>
      </c>
      <c r="O438" s="25">
        <f ca="1">IFERROR(__xludf.DUMMYFUNCTION("""COMPUTED_VALUE"""),0.512820512820512)</f>
        <v>0.512820512820512</v>
      </c>
      <c r="P438" s="25">
        <f ca="1">IFERROR(__xludf.DUMMYFUNCTION("""COMPUTED_VALUE"""),0.0833333333333333)</f>
        <v>8.3333333333333301E-2</v>
      </c>
      <c r="Q438" s="25">
        <f ca="1">IFERROR(__xludf.DUMMYFUNCTION("""COMPUTED_VALUE"""),0)</f>
        <v>0</v>
      </c>
      <c r="R438" s="25">
        <f ca="1">IFERROR(__xludf.DUMMYFUNCTION("""COMPUTED_VALUE"""),0.31578947368421)</f>
        <v>0.31578947368421001</v>
      </c>
      <c r="S438" s="25">
        <f ca="1">IFERROR(__xludf.DUMMYFUNCTION("""COMPUTED_VALUE"""),0)</f>
        <v>0</v>
      </c>
      <c r="T438" s="25">
        <f ca="1">IFERROR(__xludf.DUMMYFUNCTION("""COMPUTED_VALUE"""),0.111111111111111)</f>
        <v>0.11111111111111099</v>
      </c>
      <c r="U438" s="25">
        <f ca="1">IFERROR(__xludf.DUMMYFUNCTION("""COMPUTED_VALUE"""),0)</f>
        <v>0</v>
      </c>
      <c r="V438" s="25">
        <f ca="1">IFERROR(__xludf.DUMMYFUNCTION("""COMPUTED_VALUE"""),0)</f>
        <v>0</v>
      </c>
      <c r="W438" s="4"/>
      <c r="X438" s="4" t="str">
        <f ca="1">IFERROR(__xludf.DUMMYFUNCTION("""COMPUTED_VALUE"""),"| 5 L PHP-CGM @ | 6 L NS @ | 7 P CPT @ | 9 P JAVA @ ")</f>
        <v xml:space="preserve">| 5 L PHP-CGM @ | 6 L NS @ | 7 P CPT @ | 9 P JAVA @ </v>
      </c>
      <c r="Y438" s="4" t="str">
        <f ca="1">IFERROR(__xludf.DUMMYFUNCTION("""COMPUTED_VALUE"""),"| 5 L NS @ | 6 L PHP-CGM @ | 7 L JAVA @ | 8 L CPT @ ")</f>
        <v xml:space="preserve">| 5 L NS @ | 6 L PHP-CGM @ | 7 L JAVA @ | 8 L CPT @ </v>
      </c>
      <c r="Z438" s="4" t="str">
        <f ca="1">IFERROR(__xludf.DUMMYFUNCTION("""COMPUTED_VALUE"""),"| 5 L JAVA @ | 6 L NS @ | 7 P NS @ | 9 P PHP-CGM @ ")</f>
        <v xml:space="preserve">| 5 L JAVA @ | 6 L NS @ | 7 P NS @ | 9 P PHP-CGM @ </v>
      </c>
      <c r="AA438" s="4" t="str">
        <f ca="1">IFERROR(__xludf.DUMMYFUNCTION("""COMPUTED_VALUE"""),"| 5 L CPT % | 6 L JAVA % | 7 P Python % | 9 P PRO @ ")</f>
        <v xml:space="preserve">| 5 L CPT % | 6 L JAVA % | 7 P Python % | 9 P PRO @ </v>
      </c>
      <c r="AB438" s="4" t="str">
        <f ca="1">IFERROR(__xludf.DUMMYFUNCTION("""COMPUTED_VALUE"""),"| 5 L PHP-CGM % | 6 L CPT % | 7 P Python % ")</f>
        <v xml:space="preserve">| 5 L PHP-CGM % | 6 L CPT % | 7 P Python % </v>
      </c>
      <c r="AC438" s="4" t="str">
        <f ca="1">IFERROR(__xludf.DUMMYFUNCTION("""COMPUTED_VALUE"""),"| 5 L PHP-CGM % | 6 L NS % | 7 P CPT % | 9 P JAVA % ")</f>
        <v xml:space="preserve">| 5 L PHP-CGM % | 6 L NS % | 7 P CPT % | 9 P JAVA % </v>
      </c>
      <c r="AD438" s="4" t="str">
        <f ca="1">IFERROR(__xludf.DUMMYFUNCTION("""COMPUTED_VALUE"""),"| 5 L NS % | 7 L JAVA % | 8 L CPT % | 9 P JAVA @ | 6 L PHP-CGM % ")</f>
        <v xml:space="preserve">| 5 L NS % | 7 L JAVA % | 8 L CPT % | 9 P JAVA @ | 6 L PHP-CGM % </v>
      </c>
      <c r="AE438" s="4" t="str">
        <f ca="1">IFERROR(__xludf.DUMMYFUNCTION("""COMPUTED_VALUE"""),"| 5 L JAVA % | 6 L NS % | 7 P NS % | 9 P PHP-CGM % ")</f>
        <v xml:space="preserve">| 5 L JAVA % | 6 L NS % | 7 P NS % | 9 P PHP-CGM % </v>
      </c>
      <c r="AF438" s="4" t="str">
        <f ca="1">IFERROR(__xludf.DUMMYFUNCTION("""COMPUTED_VALUE"""),"| 5 L CPT % | 6 L JAVA % | 7 P Python @ | 9 P PRO @ ")</f>
        <v xml:space="preserve">| 5 L CPT % | 6 L JAVA % | 7 P Python @ | 9 P PRO @ </v>
      </c>
      <c r="AG438" s="4" t="str">
        <f ca="1">IFERROR(__xludf.DUMMYFUNCTION("""COMPUTED_VALUE"""),"| 5 L PHP-CGM @ | 6 L CPT @ ")</f>
        <v xml:space="preserve">| 5 L PHP-CGM @ | 6 L CPT @ </v>
      </c>
      <c r="AH438" s="4" t="str">
        <f ca="1">IFERROR(__xludf.DUMMYFUNCTION("""COMPUTED_VALUE"""),"| 5 L CPT % | 6 L JAVA % | 7 P Python % | 9 P PRO @ ")</f>
        <v xml:space="preserve">| 5 L CPT % | 6 L JAVA % | 7 P Python % | 9 P PRO @ </v>
      </c>
      <c r="AI438" s="4" t="str">
        <f ca="1">IFERROR(__xludf.DUMMYFUNCTION("""COMPUTED_VALUE"""),"| 5 L PHP-CGM % | 6 L CPT % | 7 P Python @ ")</f>
        <v xml:space="preserve">| 5 L PHP-CGM % | 6 L CPT % | 7 P Python @ </v>
      </c>
      <c r="AJ438" s="4" t="str">
        <f ca="1">IFERROR(__xludf.DUMMYFUNCTION("""COMPUTED_VALUE"""),"| 5 L PHP-CGM % | 6 L NS % | 7 P CPT % | 9 P JAVA @ ")</f>
        <v xml:space="preserve">| 5 L PHP-CGM % | 6 L NS % | 7 P CPT % | 9 P JAVA @ </v>
      </c>
      <c r="AK438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38" s="4" t="str">
        <f ca="1">IFERROR(__xludf.DUMMYFUNCTION("""COMPUTED_VALUE"""),"| 5 L JAVA % | 6 L NS % | 7 P NS % | 9 P PHP-CGM @ ")</f>
        <v xml:space="preserve">| 5 L JAVA % | 6 L NS % | 7 P NS % | 9 P PHP-CGM @ </v>
      </c>
      <c r="AM438" s="4" t="str">
        <f ca="1">IFERROR(__xludf.DUMMYFUNCTION("""COMPUTED_VALUE"""),"| 5 L CPT % | 6 L JAVA % | 7 P Python @ | 9 P PRO @ ")</f>
        <v xml:space="preserve">| 5 L CPT % | 6 L JAVA % | 7 P Python @ | 9 P PRO @ </v>
      </c>
      <c r="AN438" s="4" t="str">
        <f ca="1">IFERROR(__xludf.DUMMYFUNCTION("""COMPUTED_VALUE"""),"| 5 L PHP-CGM @ | 6 L CPT @ | 7 P Python @ ")</f>
        <v xml:space="preserve">| 5 L PHP-CGM @ | 6 L CPT @ | 7 P Python @ </v>
      </c>
      <c r="AO438" s="4" t="str">
        <f ca="1">IFERROR(__xludf.DUMMYFUNCTION("""COMPUTED_VALUE"""),"| 5 L PHP-CGM % | 6 L NS % | 7 P CPT @ | 9 P JAVA @ ")</f>
        <v xml:space="preserve">| 5 L PHP-CGM % | 6 L NS % | 7 P CPT @ | 9 P JAVA @ </v>
      </c>
      <c r="AP438" s="4" t="str">
        <f ca="1">IFERROR(__xludf.DUMMYFUNCTION("""COMPUTED_VALUE"""),"| 5 L NS @ | 7 L JAVA @ | 8 L CPT @ | 9 P JAVA @ ")</f>
        <v xml:space="preserve">| 5 L NS @ | 7 L JAVA @ | 8 L CPT @ | 9 P JAVA @ </v>
      </c>
      <c r="AQ438" s="4" t="str">
        <f ca="1">IFERROR(__xludf.DUMMYFUNCTION("""COMPUTED_VALUE"""),"| 5 L CPT @ | 6 L NS @ | 7 P NS @ | 9 P PHP-CGM @ ")</f>
        <v xml:space="preserve">| 5 L CPT @ | 6 L NS @ | 7 P NS @ | 9 P PHP-CGM @ </v>
      </c>
      <c r="AR438" s="4" t="str">
        <f ca="1">IFERROR(__xludf.DUMMYFUNCTION("""COMPUTED_VALUE"""),"| 5 L JAVA @ | 6 L JAVA @ | 5 L CPT @ | 7 P Python @ ")</f>
        <v xml:space="preserve">| 5 L JAVA @ | 6 L JAVA @ | 5 L CPT @ | 7 P Python @ </v>
      </c>
      <c r="AS438" s="4" t="str">
        <f ca="1">IFERROR(__xludf.DUMMYFUNCTION("""COMPUTED_VALUE"""),"| 5 L PHP-CGM % | 6 L NS % | 9 P JAVA @ ")</f>
        <v xml:space="preserve">| 5 L PHP-CGM % | 6 L NS % | 9 P JAVA @ </v>
      </c>
      <c r="AT438" s="4" t="str">
        <f ca="1">IFERROR(__xludf.DUMMYFUNCTION("""COMPUTED_VALUE"""),"| 5 L NS @ | 6 L PHP-CGM @ | 7 L JAVA @ | 8 L CPT % | 9 P JAVA @ ")</f>
        <v xml:space="preserve">| 5 L NS @ | 6 L PHP-CGM @ | 7 L JAVA @ | 8 L CPT % | 9 P JAVA @ </v>
      </c>
      <c r="AU438" s="4" t="str">
        <f ca="1">IFERROR(__xludf.DUMMYFUNCTION("""COMPUTED_VALUE"""),"| 5 L CPT % | 6 L NS % | 7 P NS % | 9 P PHP-CGM @ ")</f>
        <v xml:space="preserve">| 5 L CPT % | 6 L NS % | 7 P NS % | 9 P PHP-CGM @ </v>
      </c>
      <c r="AV438" s="4" t="str">
        <f ca="1">IFERROR(__xludf.DUMMYFUNCTION("""COMPUTED_VALUE"""),"| 5 L JAVA % | 6 L JAVA % | 7 P Python % | 9 P PRO % ")</f>
        <v xml:space="preserve">| 5 L JAVA % | 6 L JAVA % | 7 P Python % | 9 P PRO % </v>
      </c>
      <c r="AW438" s="4" t="str">
        <f ca="1">IFERROR(__xludf.DUMMYFUNCTION("""COMPUTED_VALUE"""),"| 5 L PHP-CGM % | 6 L CPT % | 7 P Python @ | 9 L INE @ ")</f>
        <v xml:space="preserve">| 5 L PHP-CGM % | 6 L CPT % | 7 P Python @ | 9 L INE @ </v>
      </c>
      <c r="AX438" s="4" t="str">
        <f ca="1">IFERROR(__xludf.DUMMYFUNCTION("""COMPUTED_VALUE"""),"| 5 L PHP-CGM @ | 6 L NS @ | 7 P CPT @ | 9 P JAVA @ ")</f>
        <v xml:space="preserve">| 5 L PHP-CGM @ | 6 L NS @ | 7 P CPT @ | 9 P JAVA @ </v>
      </c>
      <c r="AY438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38" s="4" t="str">
        <f ca="1">IFERROR(__xludf.DUMMYFUNCTION("""COMPUTED_VALUE"""),"| 5 L JAVA % | 6 L JAVA @ | 7 P Python @ ")</f>
        <v xml:space="preserve">| 5 L JAVA % | 6 L JAVA @ | 7 P Python @ </v>
      </c>
      <c r="BA438" s="4" t="str">
        <f ca="1">IFERROR(__xludf.DUMMYFUNCTION("""COMPUTED_VALUE"""),"| 5 L PHP-CGM @ | 6 L CPT @ | 9 L INE @ ")</f>
        <v xml:space="preserve">| 5 L PHP-CGM @ | 6 L CPT @ | 9 L INE @ </v>
      </c>
      <c r="BB438" s="4" t="str">
        <f ca="1">IFERROR(__xludf.DUMMYFUNCTION("""COMPUTED_VALUE"""),"| 5 L PHP-CGM @ | 6 L NS @ | 7 P CPT @ | 9 P JAVA @ ")</f>
        <v xml:space="preserve">| 5 L PHP-CGM @ | 6 L NS @ | 7 P CPT @ | 9 P JAVA @ </v>
      </c>
      <c r="BC438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D438" s="4" t="str">
        <f ca="1">IFERROR(__xludf.DUMMYFUNCTION("""COMPUTED_VALUE"""),"| 5 L CPT @ | 6 L NS @ | 7 P NS @ | 9 P PHP-CGM @ ")</f>
        <v xml:space="preserve">| 5 L CPT @ | 6 L NS @ | 7 P NS @ | 9 P PHP-CGM @ </v>
      </c>
      <c r="BE438" s="4" t="str">
        <f ca="1">IFERROR(__xludf.DUMMYFUNCTION("""COMPUTED_VALUE"""),"| 5 L JAVA @ | 6 L JAVA @ | 7 P Python @ | 9 P PRO @ ")</f>
        <v xml:space="preserve">| 5 L JAVA @ | 6 L JAVA @ | 7 P Python @ | 9 P PRO @ </v>
      </c>
      <c r="BF438" s="4" t="str">
        <f ca="1">IFERROR(__xludf.DUMMYFUNCTION("""COMPUTED_VALUE"""),"| 5 L PHP-CGM @ | 6 L CPT @ | 7 P Python @ ")</f>
        <v xml:space="preserve">| 5 L PHP-CGM @ | 6 L CPT @ | 7 P Python @ </v>
      </c>
      <c r="BG438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H438" s="4" t="str">
        <f ca="1">IFERROR(__xludf.DUMMYFUNCTION("""COMPUTED_VALUE"""),"| 5 L CPT % | 6 L NS % | 7 P NS % ")</f>
        <v xml:space="preserve">| 5 L CPT % | 6 L NS % | 7 P NS % </v>
      </c>
      <c r="BI438" s="4" t="str">
        <f ca="1">IFERROR(__xludf.DUMMYFUNCTION("""COMPUTED_VALUE"""),"| 5 L JAVA % | 6 L JAVA % | 7 P Python % | 9 P PRO @ ")</f>
        <v xml:space="preserve">| 5 L JAVA % | 6 L JAVA % | 7 P Python % | 9 P PRO @ </v>
      </c>
      <c r="BJ438" s="4" t="str">
        <f ca="1">IFERROR(__xludf.DUMMYFUNCTION("""COMPUTED_VALUE"""),"| 5 L PHP-CGM @ | 6 L CPT @ | 7 P Python @ | 9 L INE @ ")</f>
        <v xml:space="preserve">| 5 L PHP-CGM @ | 6 L CPT @ | 7 P Python @ | 9 L INE @ </v>
      </c>
      <c r="BK438" s="4" t="str">
        <f ca="1">IFERROR(__xludf.DUMMYFUNCTION("""COMPUTED_VALUE"""),"| 5 L PHP-CGM @ | 6 L NS @ | 9 P JAVA @ ")</f>
        <v xml:space="preserve">| 5 L PHP-CGM @ | 6 L NS @ | 9 P JAVA @ </v>
      </c>
      <c r="BL438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38" s="4" t="str">
        <f ca="1">IFERROR(__xludf.DUMMYFUNCTION("""COMPUTED_VALUE"""),"| 5 L CPT @ | 6 L NS @ ")</f>
        <v xml:space="preserve">| 5 L CPT @ | 6 L NS @ </v>
      </c>
      <c r="BN438" s="4" t="str">
        <f ca="1">IFERROR(__xludf.DUMMYFUNCTION("""COMPUTED_VALUE"""),"| 5 L JAVA @ | 6 L JAVA @ ")</f>
        <v xml:space="preserve">| 5 L JAVA @ | 6 L JAVA @ </v>
      </c>
      <c r="BO438" s="4" t="str">
        <f ca="1">IFERROR(__xludf.DUMMYFUNCTION("""COMPUTED_VALUE"""),"| 5 L PHP-CGM @ | 9 L INE @ | 6 L CPT @ ")</f>
        <v xml:space="preserve">| 5 L PHP-CGM @ | 9 L INE @ | 6 L CPT @ </v>
      </c>
      <c r="BP438" s="4" t="str">
        <f ca="1">IFERROR(__xludf.DUMMYFUNCTION("""COMPUTED_VALUE"""),"| 5 L PHP-CGM @ | 6 L NS @ | 7 P CPT @ ")</f>
        <v xml:space="preserve">| 5 L PHP-CGM @ | 6 L NS @ | 7 P CPT @ </v>
      </c>
      <c r="BQ438" s="4" t="str">
        <f ca="1">IFERROR(__xludf.DUMMYFUNCTION("""COMPUTED_VALUE"""),"| 5 L CPT @ ")</f>
        <v xml:space="preserve">| 5 L CPT @ </v>
      </c>
      <c r="BR438" s="4" t="str">
        <f ca="1">IFERROR(__xludf.DUMMYFUNCTION("""COMPUTED_VALUE"""),"| 5 L JAVA % | 6 L JAVA % ")</f>
        <v xml:space="preserve">| 5 L JAVA % | 6 L JAVA % </v>
      </c>
      <c r="BS438" s="4"/>
      <c r="BT438" s="4" t="str">
        <f ca="1">IFERROR(__xludf.DUMMYFUNCTION("""COMPUTED_VALUE"""),"| 7 P CPT @ | 9 P JAVA @ ")</f>
        <v xml:space="preserve">| 7 P CPT @ | 9 P JAVA @ </v>
      </c>
      <c r="BU438" s="4" t="str">
        <f ca="1">IFERROR(__xludf.DUMMYFUNCTION("""COMPUTED_VALUE"""),"| 7 L JAVA @ | 9 P JAVA @ ")</f>
        <v xml:space="preserve">| 7 L JAVA @ | 9 P JAVA @ </v>
      </c>
      <c r="BV438" s="4" t="str">
        <f ca="1">IFERROR(__xludf.DUMMYFUNCTION("""COMPUTED_VALUE"""),"| 5 L PHP-CGM @ | 6 L NS @ | 9 P JAVA @ ")</f>
        <v xml:space="preserve">| 5 L PHP-CGM @ | 6 L NS @ | 9 P JAVA @ </v>
      </c>
      <c r="BW438" s="4" t="str">
        <f ca="1">IFERROR(__xludf.DUMMYFUNCTION("""COMPUTED_VALUE"""),"| 9 P JAVA @ ")</f>
        <v xml:space="preserve">| 9 P JAVA @ </v>
      </c>
      <c r="BX438" s="4" t="str">
        <f ca="1">IFERROR(__xludf.DUMMYFUNCTION("""COMPUTED_VALUE"""),"| 5 L CPT @ | 6 L NS @ | 7 P NS @ ")</f>
        <v xml:space="preserve">| 5 L CPT @ | 6 L NS @ | 7 P NS @ </v>
      </c>
      <c r="BY438" s="4" t="str">
        <f ca="1">IFERROR(__xludf.DUMMYFUNCTION("""COMPUTED_VALUE"""),"| 5 L JAVA @ | 6 L JAVA @ | 7 P Python @ ")</f>
        <v xml:space="preserve">| 5 L JAVA @ | 6 L JAVA @ | 7 P Python @ </v>
      </c>
      <c r="BZ438" s="4" t="str">
        <f ca="1">IFERROR(__xludf.DUMMYFUNCTION("""COMPUTED_VALUE"""),"| 5 L PHP-CGM @ | 6 L CPT @ | 7 P Python @ ")</f>
        <v xml:space="preserve">| 5 L PHP-CGM @ | 6 L CPT @ | 7 P Python @ </v>
      </c>
      <c r="CA438" s="4" t="str">
        <f ca="1">IFERROR(__xludf.DUMMYFUNCTION("""COMPUTED_VALUE"""),"| 5 L PHP-CGM % | 6 L NS % | 7 P CPT @ | 9 P JAVA @ ")</f>
        <v xml:space="preserve">| 5 L PHP-CGM % | 6 L NS % | 7 P CPT @ | 9 P JAVA @ </v>
      </c>
      <c r="CB438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38" s="4" t="str">
        <f ca="1">IFERROR(__xludf.DUMMYFUNCTION("""COMPUTED_VALUE"""),"| 6 L NS % | 5 L CPT % | 7 P NS % | 9 P PHP-CGM @ ")</f>
        <v xml:space="preserve">| 6 L NS % | 5 L CPT % | 7 P NS % | 9 P PHP-CGM @ </v>
      </c>
      <c r="CD438" s="4" t="str">
        <f ca="1">IFERROR(__xludf.DUMMYFUNCTION("""COMPUTED_VALUE"""),"| 5 L JAVA % | 6 L JAVA % | 7 P Python @ | 9 P PRO @ ")</f>
        <v xml:space="preserve">| 5 L JAVA % | 6 L JAVA % | 7 P Python @ | 9 P PRO @ </v>
      </c>
      <c r="CE438" s="4" t="str">
        <f ca="1">IFERROR(__xludf.DUMMYFUNCTION("""COMPUTED_VALUE"""),"| 5 L PHP-CGM @ | 6 L CPT @ | 9 L INE @ ")</f>
        <v xml:space="preserve">| 5 L PHP-CGM @ | 6 L CPT @ | 9 L INE @ </v>
      </c>
      <c r="CF438" s="4" t="str">
        <f ca="1">IFERROR(__xludf.DUMMYFUNCTION("""COMPUTED_VALUE"""),"| 5 L PHP-CGM @ | 6 L NS @ | 7 P CPT @ | 9 P JAVA @ ")</f>
        <v xml:space="preserve">| 5 L PHP-CGM @ | 6 L NS @ | 7 P CPT @ | 9 P JAVA @ </v>
      </c>
      <c r="CG438" s="4" t="str">
        <f ca="1">IFERROR(__xludf.DUMMYFUNCTION("""COMPUTED_VALUE"""),"| 6 L PHP-CGM @ | 7 L JAVA @ | 8 L CPT % | 9 P JAVA % ")</f>
        <v xml:space="preserve">| 6 L PHP-CGM @ | 7 L JAVA @ | 8 L CPT % | 9 P JAVA % </v>
      </c>
      <c r="CH438" s="4" t="str">
        <f ca="1">IFERROR(__xludf.DUMMYFUNCTION("""COMPUTED_VALUE"""),"| 5 L CPT % | 6 L NS % ")</f>
        <v xml:space="preserve">| 5 L CPT % | 6 L NS % </v>
      </c>
      <c r="CI438" s="4" t="str">
        <f ca="1">IFERROR(__xludf.DUMMYFUNCTION("""COMPUTED_VALUE"""),"| 5 L JAVA @ | 6 L JAVA @ | 7 P Python % | 9 P PRO @ ")</f>
        <v xml:space="preserve">| 5 L JAVA @ | 6 L JAVA @ | 7 P Python % | 9 P PRO @ </v>
      </c>
      <c r="CJ438" s="4" t="str">
        <f ca="1">IFERROR(__xludf.DUMMYFUNCTION("""COMPUTED_VALUE"""),"| 5 L PHP-CGM @ | 9 L INE @ ")</f>
        <v xml:space="preserve">| 5 L PHP-CGM @ | 9 L INE @ </v>
      </c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</row>
    <row r="439" spans="1:102" ht="12.5" x14ac:dyDescent="0.25">
      <c r="A439" s="3">
        <f ca="1">IFERROR(__xludf.DUMMYFUNCTION("""COMPUTED_VALUE"""),2)</f>
        <v>2</v>
      </c>
      <c r="B439" s="3" t="str">
        <f ca="1">IFERROR(__xludf.DUMMYFUNCTION("""COMPUTED_VALUE"""),"ITB")</f>
        <v>ITB</v>
      </c>
      <c r="C439" s="32" t="str">
        <f ca="1">IFERROR(__xludf.DUMMYFUNCTION("""COMPUTED_VALUE"""),"23291371067")</f>
        <v>23291371067</v>
      </c>
      <c r="D439" s="4" t="str">
        <f ca="1">IFERROR(__xludf.DUMMYFUNCTION("""COMPUTED_VALUE"""),"PATEL DAKSH MUKESHKUMAR")</f>
        <v>PATEL DAKSH MUKESHKUMAR</v>
      </c>
      <c r="E439" s="3" t="str">
        <f ca="1">IFERROR(__xludf.DUMMYFUNCTION("""COMPUTED_VALUE"""),"VSP - Eve")</f>
        <v>VSP - Eve</v>
      </c>
      <c r="F439" s="3">
        <f ca="1">IFERROR(__xludf.DUMMYFUNCTION("""COMPUTED_VALUE"""),6355432945)</f>
        <v>6355432945</v>
      </c>
      <c r="G439" s="3">
        <f ca="1">IFERROR(__xludf.DUMMYFUNCTION("""COMPUTED_VALUE"""),9601439100)</f>
        <v>9601439100</v>
      </c>
      <c r="H439" s="33">
        <f ca="1">IFERROR(__xludf.DUMMYFUNCTION("""COMPUTED_VALUE"""),0.734513274336283)</f>
        <v>0.734513274336283</v>
      </c>
      <c r="I439" s="25">
        <f ca="1">IFERROR(__xludf.DUMMYFUNCTION("""COMPUTED_VALUE"""),0.722222222222222)</f>
        <v>0.72222222222222199</v>
      </c>
      <c r="J439" s="25">
        <f ca="1">IFERROR(__xludf.DUMMYFUNCTION("""COMPUTED_VALUE"""),0.7)</f>
        <v>0.7</v>
      </c>
      <c r="K439" s="25">
        <f ca="1">IFERROR(__xludf.DUMMYFUNCTION("""COMPUTED_VALUE"""),0.818181818181818)</f>
        <v>0.81818181818181801</v>
      </c>
      <c r="L439" s="25">
        <f ca="1">IFERROR(__xludf.DUMMYFUNCTION("""COMPUTED_VALUE"""),1)</f>
        <v>1</v>
      </c>
      <c r="M439" s="25">
        <f ca="1">IFERROR(__xludf.DUMMYFUNCTION("""COMPUTED_VALUE"""),0.705882352941176)</f>
        <v>0.70588235294117596</v>
      </c>
      <c r="N439" s="25">
        <f ca="1">IFERROR(__xludf.DUMMYFUNCTION("""COMPUTED_VALUE"""),1)</f>
        <v>1</v>
      </c>
      <c r="O439" s="25">
        <f ca="1">IFERROR(__xludf.DUMMYFUNCTION("""COMPUTED_VALUE"""),0.769230769230769)</f>
        <v>0.76923076923076905</v>
      </c>
      <c r="P439" s="25">
        <f ca="1">IFERROR(__xludf.DUMMYFUNCTION("""COMPUTED_VALUE"""),0.583333333333333)</f>
        <v>0.58333333333333304</v>
      </c>
      <c r="Q439" s="25">
        <f ca="1">IFERROR(__xludf.DUMMYFUNCTION("""COMPUTED_VALUE"""),0)</f>
        <v>0</v>
      </c>
      <c r="R439" s="25">
        <f ca="1">IFERROR(__xludf.DUMMYFUNCTION("""COMPUTED_VALUE"""),0.736842105263157)</f>
        <v>0.73684210526315697</v>
      </c>
      <c r="S439" s="25">
        <f ca="1">IFERROR(__xludf.DUMMYFUNCTION("""COMPUTED_VALUE"""),0)</f>
        <v>0</v>
      </c>
      <c r="T439" s="25">
        <f ca="1">IFERROR(__xludf.DUMMYFUNCTION("""COMPUTED_VALUE"""),0.555555555555555)</f>
        <v>0.55555555555555503</v>
      </c>
      <c r="U439" s="25">
        <f ca="1">IFERROR(__xludf.DUMMYFUNCTION("""COMPUTED_VALUE"""),0.5)</f>
        <v>0.5</v>
      </c>
      <c r="V439" s="25">
        <f ca="1">IFERROR(__xludf.DUMMYFUNCTION("""COMPUTED_VALUE"""),0)</f>
        <v>0</v>
      </c>
      <c r="W439" s="4"/>
      <c r="X439" s="4" t="str">
        <f ca="1">IFERROR(__xludf.DUMMYFUNCTION("""COMPUTED_VALUE"""),"| 5 L PHP-CGM @ | 6 L NS @ | 7 P CPT @ | 9 P JAVA @ ")</f>
        <v xml:space="preserve">| 5 L PHP-CGM @ | 6 L NS @ | 7 P CPT @ | 9 P JAVA @ </v>
      </c>
      <c r="Y439" s="4" t="str">
        <f ca="1">IFERROR(__xludf.DUMMYFUNCTION("""COMPUTED_VALUE"""),"| 5 L NS % | 6 L PHP-CGM % | 7 L JAVA % | 8 L CPT % ")</f>
        <v xml:space="preserve">| 5 L NS % | 6 L PHP-CGM % | 7 L JAVA % | 8 L CPT % </v>
      </c>
      <c r="Z439" s="4" t="str">
        <f ca="1">IFERROR(__xludf.DUMMYFUNCTION("""COMPUTED_VALUE"""),"| 5 L JAVA % | 6 L NS % | 7 P NS % | 9 P PHP-CGM % ")</f>
        <v xml:space="preserve">| 5 L JAVA % | 6 L NS % | 7 P NS % | 9 P PHP-CGM % </v>
      </c>
      <c r="AA439" s="4" t="str">
        <f ca="1">IFERROR(__xludf.DUMMYFUNCTION("""COMPUTED_VALUE"""),"| 5 L CPT % | 6 L JAVA % | 7 P Python % | 9 P PRO % ")</f>
        <v xml:space="preserve">| 5 L CPT % | 6 L JAVA % | 7 P Python % | 9 P PRO % </v>
      </c>
      <c r="AB439" s="4" t="str">
        <f ca="1">IFERROR(__xludf.DUMMYFUNCTION("""COMPUTED_VALUE"""),"| 5 L PHP-CGM % | 6 L CPT % | 7 P Python % ")</f>
        <v xml:space="preserve">| 5 L PHP-CGM % | 6 L CPT % | 7 P Python % </v>
      </c>
      <c r="AC439" s="4" t="str">
        <f ca="1">IFERROR(__xludf.DUMMYFUNCTION("""COMPUTED_VALUE"""),"| 5 L PHP-CGM % | 6 L NS % | 7 P CPT % | 9 P JAVA % ")</f>
        <v xml:space="preserve">| 5 L PHP-CGM % | 6 L NS % | 7 P CPT % | 9 P JAVA % </v>
      </c>
      <c r="AD439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39" s="4" t="str">
        <f ca="1">IFERROR(__xludf.DUMMYFUNCTION("""COMPUTED_VALUE"""),"| 5 L JAVA % | 6 L NS % | 7 P NS % | 9 P PHP-CGM % ")</f>
        <v xml:space="preserve">| 5 L JAVA % | 6 L NS % | 7 P NS % | 9 P PHP-CGM % </v>
      </c>
      <c r="AF439" s="4" t="str">
        <f ca="1">IFERROR(__xludf.DUMMYFUNCTION("""COMPUTED_VALUE"""),"| 5 L CPT % | 6 L JAVA % | 7 P Python % | 9 P PRO @ ")</f>
        <v xml:space="preserve">| 5 L CPT % | 6 L JAVA % | 7 P Python % | 9 P PRO @ </v>
      </c>
      <c r="AG439" s="4" t="str">
        <f ca="1">IFERROR(__xludf.DUMMYFUNCTION("""COMPUTED_VALUE"""),"| 5 L PHP-CGM @ | 6 L CPT @ ")</f>
        <v xml:space="preserve">| 5 L PHP-CGM @ | 6 L CPT @ </v>
      </c>
      <c r="AH439" s="4" t="str">
        <f ca="1">IFERROR(__xludf.DUMMYFUNCTION("""COMPUTED_VALUE"""),"| 5 L CPT % | 6 L JAVA % | 7 P Python % | 9 P PRO % ")</f>
        <v xml:space="preserve">| 5 L CPT % | 6 L JAVA % | 7 P Python % | 9 P PRO % </v>
      </c>
      <c r="AI439" s="4" t="str">
        <f ca="1">IFERROR(__xludf.DUMMYFUNCTION("""COMPUTED_VALUE"""),"| 5 L PHP-CGM % | 6 L CPT % | 7 P Python % ")</f>
        <v xml:space="preserve">| 5 L PHP-CGM % | 6 L CPT % | 7 P Python % </v>
      </c>
      <c r="AJ439" s="4" t="str">
        <f ca="1">IFERROR(__xludf.DUMMYFUNCTION("""COMPUTED_VALUE"""),"| 5 L PHP-CGM % | 6 L NS % | 7 P CPT % | 9 P JAVA % ")</f>
        <v xml:space="preserve">| 5 L PHP-CGM % | 6 L NS % | 7 P CPT % | 9 P JAVA % </v>
      </c>
      <c r="AK439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39" s="4" t="str">
        <f ca="1">IFERROR(__xludf.DUMMYFUNCTION("""COMPUTED_VALUE"""),"| 5 L JAVA % | 6 L NS % | 7 P NS % | 9 P PHP-CGM % ")</f>
        <v xml:space="preserve">| 5 L JAVA % | 6 L NS % | 7 P NS % | 9 P PHP-CGM % </v>
      </c>
      <c r="AM439" s="4" t="str">
        <f ca="1">IFERROR(__xludf.DUMMYFUNCTION("""COMPUTED_VALUE"""),"| 5 L CPT @ | 6 L JAVA @ | 7 P Python @ | 9 P PRO @ ")</f>
        <v xml:space="preserve">| 5 L CPT @ | 6 L JAVA @ | 7 P Python @ | 9 P PRO @ </v>
      </c>
      <c r="AN439" s="4" t="str">
        <f ca="1">IFERROR(__xludf.DUMMYFUNCTION("""COMPUTED_VALUE"""),"| 5 L PHP-CGM @ | 6 L CPT @ | 7 P Python @ ")</f>
        <v xml:space="preserve">| 5 L PHP-CGM @ | 6 L CPT @ | 7 P Python @ </v>
      </c>
      <c r="AO439" s="4" t="str">
        <f ca="1">IFERROR(__xludf.DUMMYFUNCTION("""COMPUTED_VALUE"""),"| 5 L PHP-CGM % | 6 L NS % | 7 P CPT % | 9 P JAVA % ")</f>
        <v xml:space="preserve">| 5 L PHP-CGM % | 6 L NS % | 7 P CPT % | 9 P JAVA % </v>
      </c>
      <c r="AP439" s="4" t="str">
        <f ca="1">IFERROR(__xludf.DUMMYFUNCTION("""COMPUTED_VALUE"""),"| 5 L NS % | 7 L JAVA % | 8 L CPT % | 9 P JAVA % ")</f>
        <v xml:space="preserve">| 5 L NS % | 7 L JAVA % | 8 L CPT % | 9 P JAVA % </v>
      </c>
      <c r="AQ439" s="4" t="str">
        <f ca="1">IFERROR(__xludf.DUMMYFUNCTION("""COMPUTED_VALUE"""),"| 5 L CPT % | 6 L NS % | 7 P NS % | 9 P PHP-CGM % ")</f>
        <v xml:space="preserve">| 5 L CPT % | 6 L NS % | 7 P NS % | 9 P PHP-CGM % </v>
      </c>
      <c r="AR439" s="4" t="str">
        <f ca="1">IFERROR(__xludf.DUMMYFUNCTION("""COMPUTED_VALUE"""),"| 5 L JAVA @ | 6 L JAVA @ | 5 L CPT @ | 7 P Python @ ")</f>
        <v xml:space="preserve">| 5 L JAVA @ | 6 L JAVA @ | 5 L CPT @ | 7 P Python @ </v>
      </c>
      <c r="AS439" s="4" t="str">
        <f ca="1">IFERROR(__xludf.DUMMYFUNCTION("""COMPUTED_VALUE"""),"| 5 L PHP-CGM % | 6 L NS % | 9 P JAVA % ")</f>
        <v xml:space="preserve">| 5 L PHP-CGM % | 6 L NS % | 9 P JAVA % </v>
      </c>
      <c r="AT439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39" s="4" t="str">
        <f ca="1">IFERROR(__xludf.DUMMYFUNCTION("""COMPUTED_VALUE"""),"| 5 L CPT % | 6 L NS % | 7 P NS % | 9 P PHP-CGM % ")</f>
        <v xml:space="preserve">| 5 L CPT % | 6 L NS % | 7 P NS % | 9 P PHP-CGM % </v>
      </c>
      <c r="AV439" s="4" t="str">
        <f ca="1">IFERROR(__xludf.DUMMYFUNCTION("""COMPUTED_VALUE"""),"| 5 L JAVA % | 6 L JAVA % | 7 P Python % | 9 P PRO % ")</f>
        <v xml:space="preserve">| 5 L JAVA % | 6 L JAVA % | 7 P Python % | 9 P PRO % </v>
      </c>
      <c r="AW439" s="4" t="str">
        <f ca="1">IFERROR(__xludf.DUMMYFUNCTION("""COMPUTED_VALUE"""),"| 5 L PHP-CGM % | 6 L CPT % | 7 P Python % | 9 L INE % ")</f>
        <v xml:space="preserve">| 5 L PHP-CGM % | 6 L CPT % | 7 P Python % | 9 L INE % </v>
      </c>
      <c r="AX439" s="4" t="str">
        <f ca="1">IFERROR(__xludf.DUMMYFUNCTION("""COMPUTED_VALUE"""),"| 5 L PHP-CGM % | 6 L NS % | 7 P CPT % | 9 P JAVA % ")</f>
        <v xml:space="preserve">| 5 L PHP-CGM % | 6 L NS % | 7 P CPT % | 9 P JAVA % </v>
      </c>
      <c r="AY439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39" s="4" t="str">
        <f ca="1">IFERROR(__xludf.DUMMYFUNCTION("""COMPUTED_VALUE"""),"| 5 L JAVA % | 6 L JAVA % | 7 P Python % ")</f>
        <v xml:space="preserve">| 5 L JAVA % | 6 L JAVA % | 7 P Python % </v>
      </c>
      <c r="BA439" s="4" t="str">
        <f ca="1">IFERROR(__xludf.DUMMYFUNCTION("""COMPUTED_VALUE"""),"| 5 L PHP-CGM @ | 6 L CPT @ | 9 L INE @ ")</f>
        <v xml:space="preserve">| 5 L PHP-CGM @ | 6 L CPT @ | 9 L INE @ </v>
      </c>
      <c r="BB439" s="4" t="str">
        <f ca="1">IFERROR(__xludf.DUMMYFUNCTION("""COMPUTED_VALUE"""),"| 5 L PHP-CGM % | 6 L NS % | 7 P CPT % | 9 P JAVA % ")</f>
        <v xml:space="preserve">| 5 L PHP-CGM % | 6 L NS % | 7 P CPT % | 9 P JAVA % </v>
      </c>
      <c r="BC439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D439" s="4" t="str">
        <f ca="1">IFERROR(__xludf.DUMMYFUNCTION("""COMPUTED_VALUE"""),"| 5 L CPT % | 6 L NS % | 7 P NS % | 9 P PHP-CGM % ")</f>
        <v xml:space="preserve">| 5 L CPT % | 6 L NS % | 7 P NS % | 9 P PHP-CGM % </v>
      </c>
      <c r="BE439" s="4" t="str">
        <f ca="1">IFERROR(__xludf.DUMMYFUNCTION("""COMPUTED_VALUE"""),"| 5 L JAVA % | 6 L JAVA % | 7 P Python % | 9 P PRO % ")</f>
        <v xml:space="preserve">| 5 L JAVA % | 6 L JAVA % | 7 P Python % | 9 P PRO % </v>
      </c>
      <c r="BF439" s="4" t="str">
        <f ca="1">IFERROR(__xludf.DUMMYFUNCTION("""COMPUTED_VALUE"""),"| 5 L PHP-CGM % | 6 L CPT @ | 7 P Python % ")</f>
        <v xml:space="preserve">| 5 L PHP-CGM % | 6 L CPT @ | 7 P Python % </v>
      </c>
      <c r="BG439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39" s="4" t="str">
        <f ca="1">IFERROR(__xludf.DUMMYFUNCTION("""COMPUTED_VALUE"""),"| 5 L CPT % | 6 L NS % | 7 P NS % ")</f>
        <v xml:space="preserve">| 5 L CPT % | 6 L NS % | 7 P NS % </v>
      </c>
      <c r="BI439" s="4" t="str">
        <f ca="1">IFERROR(__xludf.DUMMYFUNCTION("""COMPUTED_VALUE"""),"| 5 L JAVA % | 6 L JAVA % | 7 P Python % | 9 P PRO % ")</f>
        <v xml:space="preserve">| 5 L JAVA % | 6 L JAVA % | 7 P Python % | 9 P PRO % </v>
      </c>
      <c r="BJ439" s="4" t="str">
        <f ca="1">IFERROR(__xludf.DUMMYFUNCTION("""COMPUTED_VALUE"""),"| 5 L PHP-CGM % | 6 L CPT % | 7 P Python % | 9 L INE % ")</f>
        <v xml:space="preserve">| 5 L PHP-CGM % | 6 L CPT % | 7 P Python % | 9 L INE % </v>
      </c>
      <c r="BK439" s="4" t="str">
        <f ca="1">IFERROR(__xludf.DUMMYFUNCTION("""COMPUTED_VALUE"""),"| 5 L PHP-CGM @ | 6 L NS @ | 9 P JAVA @ ")</f>
        <v xml:space="preserve">| 5 L PHP-CGM @ | 6 L NS @ | 9 P JAVA @ </v>
      </c>
      <c r="BL439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39" s="4" t="str">
        <f ca="1">IFERROR(__xludf.DUMMYFUNCTION("""COMPUTED_VALUE"""),"| 5 L CPT @ | 6 L NS @ ")</f>
        <v xml:space="preserve">| 5 L CPT @ | 6 L NS @ </v>
      </c>
      <c r="BN439" s="4" t="str">
        <f ca="1">IFERROR(__xludf.DUMMYFUNCTION("""COMPUTED_VALUE"""),"| 5 L JAVA @ | 6 L JAVA @ ")</f>
        <v xml:space="preserve">| 5 L JAVA @ | 6 L JAVA @ </v>
      </c>
      <c r="BO439" s="4" t="str">
        <f ca="1">IFERROR(__xludf.DUMMYFUNCTION("""COMPUTED_VALUE"""),"| 5 L PHP-CGM @ | 9 L INE @ | 6 L CPT @ ")</f>
        <v xml:space="preserve">| 5 L PHP-CGM @ | 9 L INE @ | 6 L CPT @ </v>
      </c>
      <c r="BP439" s="4" t="str">
        <f ca="1">IFERROR(__xludf.DUMMYFUNCTION("""COMPUTED_VALUE"""),"| 5 L PHP-CGM @ | 6 L NS @ | 7 P CPT @ ")</f>
        <v xml:space="preserve">| 5 L PHP-CGM @ | 6 L NS @ | 7 P CPT @ </v>
      </c>
      <c r="BQ439" s="4" t="str">
        <f ca="1">IFERROR(__xludf.DUMMYFUNCTION("""COMPUTED_VALUE"""),"| 5 L CPT @ ")</f>
        <v xml:space="preserve">| 5 L CPT @ </v>
      </c>
      <c r="BR439" s="4" t="str">
        <f ca="1">IFERROR(__xludf.DUMMYFUNCTION("""COMPUTED_VALUE"""),"| 5 L JAVA % | 6 L JAVA % ")</f>
        <v xml:space="preserve">| 5 L JAVA % | 6 L JAVA % </v>
      </c>
      <c r="BS439" s="4"/>
      <c r="BT439" s="4" t="str">
        <f ca="1">IFERROR(__xludf.DUMMYFUNCTION("""COMPUTED_VALUE"""),"| 7 P CPT @ | 9 P JAVA @ ")</f>
        <v xml:space="preserve">| 7 P CPT @ | 9 P JAVA @ </v>
      </c>
      <c r="BU439" s="4" t="str">
        <f ca="1">IFERROR(__xludf.DUMMYFUNCTION("""COMPUTED_VALUE"""),"| 7 L JAVA @ | 9 P JAVA @ ")</f>
        <v xml:space="preserve">| 7 L JAVA @ | 9 P JAVA @ </v>
      </c>
      <c r="BV439" s="4" t="str">
        <f ca="1">IFERROR(__xludf.DUMMYFUNCTION("""COMPUTED_VALUE"""),"| 5 L PHP-CGM @ | 6 L NS @ | 9 P JAVA @ ")</f>
        <v xml:space="preserve">| 5 L PHP-CGM @ | 6 L NS @ | 9 P JAVA @ </v>
      </c>
      <c r="BW439" s="4" t="str">
        <f ca="1">IFERROR(__xludf.DUMMYFUNCTION("""COMPUTED_VALUE"""),"| 9 P JAVA @ ")</f>
        <v xml:space="preserve">| 9 P JAVA @ </v>
      </c>
      <c r="BX439" s="4" t="str">
        <f ca="1">IFERROR(__xludf.DUMMYFUNCTION("""COMPUTED_VALUE"""),"| 5 L CPT % | 6 L NS % | 7 P NS % ")</f>
        <v xml:space="preserve">| 5 L CPT % | 6 L NS % | 7 P NS % </v>
      </c>
      <c r="BY439" s="4" t="str">
        <f ca="1">IFERROR(__xludf.DUMMYFUNCTION("""COMPUTED_VALUE"""),"| 5 L JAVA % | 6 L JAVA % | 7 P Python % ")</f>
        <v xml:space="preserve">| 5 L JAVA % | 6 L JAVA % | 7 P Python % </v>
      </c>
      <c r="BZ439" s="4" t="str">
        <f ca="1">IFERROR(__xludf.DUMMYFUNCTION("""COMPUTED_VALUE"""),"| 5 L PHP-CGM % | 6 L CPT % | 7 P Python % ")</f>
        <v xml:space="preserve">| 5 L PHP-CGM % | 6 L CPT % | 7 P Python % </v>
      </c>
      <c r="CA439" s="4" t="str">
        <f ca="1">IFERROR(__xludf.DUMMYFUNCTION("""COMPUTED_VALUE"""),"| 5 L PHP-CGM % | 6 L NS % | 7 P CPT % | 9 P JAVA % ")</f>
        <v xml:space="preserve">| 5 L PHP-CGM % | 6 L NS % | 7 P CPT % | 9 P JAVA % </v>
      </c>
      <c r="CB439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39" s="4" t="str">
        <f ca="1">IFERROR(__xludf.DUMMYFUNCTION("""COMPUTED_VALUE"""),"| 6 L NS % | 5 L CPT % | 7 P NS % | 9 P PHP-CGM % ")</f>
        <v xml:space="preserve">| 6 L NS % | 5 L CPT % | 7 P NS % | 9 P PHP-CGM % </v>
      </c>
      <c r="CD439" s="4" t="str">
        <f ca="1">IFERROR(__xludf.DUMMYFUNCTION("""COMPUTED_VALUE"""),"| 5 L JAVA % | 6 L JAVA % | 7 P Python @ | 9 P PRO @ ")</f>
        <v xml:space="preserve">| 5 L JAVA % | 6 L JAVA % | 7 P Python @ | 9 P PRO @ </v>
      </c>
      <c r="CE439" s="4" t="str">
        <f ca="1">IFERROR(__xludf.DUMMYFUNCTION("""COMPUTED_VALUE"""),"| 5 L PHP-CGM % | 6 L CPT % | 9 L INE % ")</f>
        <v xml:space="preserve">| 5 L PHP-CGM % | 6 L CPT % | 9 L INE % </v>
      </c>
      <c r="CF439" s="4" t="str">
        <f ca="1">IFERROR(__xludf.DUMMYFUNCTION("""COMPUTED_VALUE"""),"| 5 L PHP-CGM % | 6 L NS % | 7 P CPT % | 9 P JAVA % ")</f>
        <v xml:space="preserve">| 5 L PHP-CGM % | 6 L NS % | 7 P CPT % | 9 P JAVA % </v>
      </c>
      <c r="CG439" s="4" t="str">
        <f ca="1">IFERROR(__xludf.DUMMYFUNCTION("""COMPUTED_VALUE"""),"| 6 L PHP-CGM % | 7 L JAVA % | 8 L CPT % | 9 P JAVA % ")</f>
        <v xml:space="preserve">| 6 L PHP-CGM % | 7 L JAVA % | 8 L CPT % | 9 P JAVA % </v>
      </c>
      <c r="CH439" s="4" t="str">
        <f ca="1">IFERROR(__xludf.DUMMYFUNCTION("""COMPUTED_VALUE"""),"| 5 L CPT % | 6 L NS % ")</f>
        <v xml:space="preserve">| 5 L CPT % | 6 L NS % </v>
      </c>
      <c r="CI439" s="4" t="str">
        <f ca="1">IFERROR(__xludf.DUMMYFUNCTION("""COMPUTED_VALUE"""),"| 5 L JAVA @ | 6 L JAVA @ | 7 P Python @ | 9 P PRO @ ")</f>
        <v xml:space="preserve">| 5 L JAVA @ | 6 L JAVA @ | 7 P Python @ | 9 P PRO @ </v>
      </c>
      <c r="CJ439" s="4" t="str">
        <f ca="1">IFERROR(__xludf.DUMMYFUNCTION("""COMPUTED_VALUE"""),"| 5 L PHP-CGM @ | 9 L INE @ ")</f>
        <v xml:space="preserve">| 5 L PHP-CGM @ | 9 L INE @ </v>
      </c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</row>
    <row r="440" spans="1:102" ht="12.5" x14ac:dyDescent="0.25">
      <c r="A440" s="3">
        <f ca="1">IFERROR(__xludf.DUMMYFUNCTION("""COMPUTED_VALUE"""),2)</f>
        <v>2</v>
      </c>
      <c r="B440" s="3" t="str">
        <f ca="1">IFERROR(__xludf.DUMMYFUNCTION("""COMPUTED_VALUE"""),"ITB")</f>
        <v>ITB</v>
      </c>
      <c r="C440" s="32" t="str">
        <f ca="1">IFERROR(__xludf.DUMMYFUNCTION("""COMPUTED_VALUE"""),"23291371068")</f>
        <v>23291371068</v>
      </c>
      <c r="D440" s="4" t="str">
        <f ca="1">IFERROR(__xludf.DUMMYFUNCTION("""COMPUTED_VALUE"""),"PATEL DAX BHARATBHAI")</f>
        <v>PATEL DAX BHARATBHAI</v>
      </c>
      <c r="E440" s="3" t="str">
        <f ca="1">IFERROR(__xludf.DUMMYFUNCTION("""COMPUTED_VALUE"""),"VSP - Eve")</f>
        <v>VSP - Eve</v>
      </c>
      <c r="F440" s="3">
        <f ca="1">IFERROR(__xludf.DUMMYFUNCTION("""COMPUTED_VALUE"""),9054561669)</f>
        <v>9054561669</v>
      </c>
      <c r="G440" s="3">
        <f ca="1">IFERROR(__xludf.DUMMYFUNCTION("""COMPUTED_VALUE"""),9898294068)</f>
        <v>9898294068</v>
      </c>
      <c r="H440" s="33">
        <f ca="1">IFERROR(__xludf.DUMMYFUNCTION("""COMPUTED_VALUE"""),0.725663716814159)</f>
        <v>0.72566371681415898</v>
      </c>
      <c r="I440" s="25">
        <f ca="1">IFERROR(__xludf.DUMMYFUNCTION("""COMPUTED_VALUE"""),0.777777777777777)</f>
        <v>0.77777777777777701</v>
      </c>
      <c r="J440" s="25">
        <f ca="1">IFERROR(__xludf.DUMMYFUNCTION("""COMPUTED_VALUE"""),0.6)</f>
        <v>0.6</v>
      </c>
      <c r="K440" s="25">
        <f ca="1">IFERROR(__xludf.DUMMYFUNCTION("""COMPUTED_VALUE"""),0.757575757575757)</f>
        <v>0.75757575757575701</v>
      </c>
      <c r="L440" s="25">
        <f ca="1">IFERROR(__xludf.DUMMYFUNCTION("""COMPUTED_VALUE"""),0.888888888888888)</f>
        <v>0.88888888888888795</v>
      </c>
      <c r="M440" s="25">
        <f ca="1">IFERROR(__xludf.DUMMYFUNCTION("""COMPUTED_VALUE"""),0.705882352941176)</f>
        <v>0.70588235294117596</v>
      </c>
      <c r="N440" s="25">
        <f ca="1">IFERROR(__xludf.DUMMYFUNCTION("""COMPUTED_VALUE"""),0.714285714285714)</f>
        <v>0.71428571428571397</v>
      </c>
      <c r="O440" s="25">
        <f ca="1">IFERROR(__xludf.DUMMYFUNCTION("""COMPUTED_VALUE"""),0.82051282051282)</f>
        <v>0.82051282051282004</v>
      </c>
      <c r="P440" s="25">
        <f ca="1">IFERROR(__xludf.DUMMYFUNCTION("""COMPUTED_VALUE"""),0.5)</f>
        <v>0.5</v>
      </c>
      <c r="Q440" s="25">
        <f ca="1">IFERROR(__xludf.DUMMYFUNCTION("""COMPUTED_VALUE"""),0)</f>
        <v>0</v>
      </c>
      <c r="R440" s="25">
        <f ca="1">IFERROR(__xludf.DUMMYFUNCTION("""COMPUTED_VALUE"""),0.947368421052631)</f>
        <v>0.94736842105263097</v>
      </c>
      <c r="S440" s="25">
        <f ca="1">IFERROR(__xludf.DUMMYFUNCTION("""COMPUTED_VALUE"""),0)</f>
        <v>0</v>
      </c>
      <c r="T440" s="25">
        <f ca="1">IFERROR(__xludf.DUMMYFUNCTION("""COMPUTED_VALUE"""),0.555555555555555)</f>
        <v>0.55555555555555503</v>
      </c>
      <c r="U440" s="25">
        <f ca="1">IFERROR(__xludf.DUMMYFUNCTION("""COMPUTED_VALUE"""),0.166666666666666)</f>
        <v>0.16666666666666599</v>
      </c>
      <c r="V440" s="25">
        <f ca="1">IFERROR(__xludf.DUMMYFUNCTION("""COMPUTED_VALUE"""),0)</f>
        <v>0</v>
      </c>
      <c r="W440" s="4"/>
      <c r="X440" s="4" t="str">
        <f ca="1">IFERROR(__xludf.DUMMYFUNCTION("""COMPUTED_VALUE"""),"| 5 L PHP-CGM % | 6 L NS % | 7 P CPT % | 9 P JAVA @ ")</f>
        <v xml:space="preserve">| 5 L PHP-CGM % | 6 L NS % | 7 P CPT % | 9 P JAVA @ </v>
      </c>
      <c r="Y440" s="4" t="str">
        <f ca="1">IFERROR(__xludf.DUMMYFUNCTION("""COMPUTED_VALUE"""),"| 5 L NS % | 6 L PHP-CGM % | 7 L JAVA % | 8 L CPT % ")</f>
        <v xml:space="preserve">| 5 L NS % | 6 L PHP-CGM % | 7 L JAVA % | 8 L CPT % </v>
      </c>
      <c r="Z440" s="4" t="str">
        <f ca="1">IFERROR(__xludf.DUMMYFUNCTION("""COMPUTED_VALUE"""),"| 5 L JAVA % | 6 L NS % | 7 P NS % | 9 P PHP-CGM % ")</f>
        <v xml:space="preserve">| 5 L JAVA % | 6 L NS % | 7 P NS % | 9 P PHP-CGM % </v>
      </c>
      <c r="AA440" s="4" t="str">
        <f ca="1">IFERROR(__xludf.DUMMYFUNCTION("""COMPUTED_VALUE"""),"| 5 L CPT % | 6 L JAVA % | 7 P Python % | 9 P PRO % ")</f>
        <v xml:space="preserve">| 5 L CPT % | 6 L JAVA % | 7 P Python % | 9 P PRO % </v>
      </c>
      <c r="AB440" s="4" t="str">
        <f ca="1">IFERROR(__xludf.DUMMYFUNCTION("""COMPUTED_VALUE"""),"| 5 L PHP-CGM % | 6 L CPT % | 7 P Python % ")</f>
        <v xml:space="preserve">| 5 L PHP-CGM % | 6 L CPT % | 7 P Python % </v>
      </c>
      <c r="AC440" s="4" t="str">
        <f ca="1">IFERROR(__xludf.DUMMYFUNCTION("""COMPUTED_VALUE"""),"| 5 L PHP-CGM % | 6 L NS % | 7 P CPT % | 9 P JAVA % ")</f>
        <v xml:space="preserve">| 5 L PHP-CGM % | 6 L NS % | 7 P CPT % | 9 P JAVA % </v>
      </c>
      <c r="AD440" s="4" t="str">
        <f ca="1">IFERROR(__xludf.DUMMYFUNCTION("""COMPUTED_VALUE"""),"| 5 L NS @ | 7 L JAVA % | 8 L CPT % | 9 P JAVA % | 6 L PHP-CGM @ ")</f>
        <v xml:space="preserve">| 5 L NS @ | 7 L JAVA % | 8 L CPT % | 9 P JAVA % | 6 L PHP-CGM @ </v>
      </c>
      <c r="AE440" s="4" t="str">
        <f ca="1">IFERROR(__xludf.DUMMYFUNCTION("""COMPUTED_VALUE"""),"| 5 L JAVA % | 6 L NS % | 7 P NS % | 9 P PHP-CGM @ ")</f>
        <v xml:space="preserve">| 5 L JAVA % | 6 L NS % | 7 P NS % | 9 P PHP-CGM @ </v>
      </c>
      <c r="AF440" s="4" t="str">
        <f ca="1">IFERROR(__xludf.DUMMYFUNCTION("""COMPUTED_VALUE"""),"| 5 L CPT % | 6 L JAVA % | 7 P Python % | 9 P PRO % ")</f>
        <v xml:space="preserve">| 5 L CPT % | 6 L JAVA % | 7 P Python % | 9 P PRO % </v>
      </c>
      <c r="AG440" s="4" t="str">
        <f ca="1">IFERROR(__xludf.DUMMYFUNCTION("""COMPUTED_VALUE"""),"| 5 L PHP-CGM @ | 6 L CPT @ ")</f>
        <v xml:space="preserve">| 5 L PHP-CGM @ | 6 L CPT @ </v>
      </c>
      <c r="AH440" s="4" t="str">
        <f ca="1">IFERROR(__xludf.DUMMYFUNCTION("""COMPUTED_VALUE"""),"| 5 L CPT % | 6 L JAVA % | 7 P Python % | 9 P PRO % ")</f>
        <v xml:space="preserve">| 5 L CPT % | 6 L JAVA % | 7 P Python % | 9 P PRO % </v>
      </c>
      <c r="AI440" s="4" t="str">
        <f ca="1">IFERROR(__xludf.DUMMYFUNCTION("""COMPUTED_VALUE"""),"| 5 L PHP-CGM % | 6 L CPT % | 7 P Python % ")</f>
        <v xml:space="preserve">| 5 L PHP-CGM % | 6 L CPT % | 7 P Python % </v>
      </c>
      <c r="AJ440" s="4" t="str">
        <f ca="1">IFERROR(__xludf.DUMMYFUNCTION("""COMPUTED_VALUE"""),"| 5 L PHP-CGM % | 6 L NS % | 7 P CPT % | 9 P JAVA % ")</f>
        <v xml:space="preserve">| 5 L PHP-CGM % | 6 L NS % | 7 P CPT % | 9 P JAVA % </v>
      </c>
      <c r="AK440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0" s="4" t="str">
        <f ca="1">IFERROR(__xludf.DUMMYFUNCTION("""COMPUTED_VALUE"""),"| 5 L JAVA % | 6 L NS % | 7 P NS % | 9 P PHP-CGM % ")</f>
        <v xml:space="preserve">| 5 L JAVA % | 6 L NS % | 7 P NS % | 9 P PHP-CGM % </v>
      </c>
      <c r="AM440" s="4" t="str">
        <f ca="1">IFERROR(__xludf.DUMMYFUNCTION("""COMPUTED_VALUE"""),"| 5 L CPT % | 6 L JAVA % | 7 P Python % | 9 P PRO % ")</f>
        <v xml:space="preserve">| 5 L CPT % | 6 L JAVA % | 7 P Python % | 9 P PRO % </v>
      </c>
      <c r="AN440" s="4" t="str">
        <f ca="1">IFERROR(__xludf.DUMMYFUNCTION("""COMPUTED_VALUE"""),"| 5 L PHP-CGM % | 6 L CPT % | 7 P Python @ ")</f>
        <v xml:space="preserve">| 5 L PHP-CGM % | 6 L CPT % | 7 P Python @ </v>
      </c>
      <c r="AO440" s="4" t="str">
        <f ca="1">IFERROR(__xludf.DUMMYFUNCTION("""COMPUTED_VALUE"""),"| 5 L PHP-CGM % | 6 L NS % | 7 P CPT @ | 9 P JAVA % ")</f>
        <v xml:space="preserve">| 5 L PHP-CGM % | 6 L NS % | 7 P CPT @ | 9 P JAVA % </v>
      </c>
      <c r="AP440" s="4" t="str">
        <f ca="1">IFERROR(__xludf.DUMMYFUNCTION("""COMPUTED_VALUE"""),"| 5 L NS % | 7 L JAVA % | 8 L CPT @ | 9 P JAVA % ")</f>
        <v xml:space="preserve">| 5 L NS % | 7 L JAVA % | 8 L CPT @ | 9 P JAVA % </v>
      </c>
      <c r="AQ440" s="4" t="str">
        <f ca="1">IFERROR(__xludf.DUMMYFUNCTION("""COMPUTED_VALUE"""),"| 5 L CPT % | 6 L NS % | 7 P NS % | 9 P PHP-CGM % ")</f>
        <v xml:space="preserve">| 5 L CPT % | 6 L NS % | 7 P NS % | 9 P PHP-CGM % </v>
      </c>
      <c r="AR440" s="4" t="str">
        <f ca="1">IFERROR(__xludf.DUMMYFUNCTION("""COMPUTED_VALUE"""),"| 5 L JAVA % | 6 L JAVA % | 5 L CPT @ | 7 P Python % ")</f>
        <v xml:space="preserve">| 5 L JAVA % | 6 L JAVA % | 5 L CPT @ | 7 P Python % </v>
      </c>
      <c r="AS440" s="4" t="str">
        <f ca="1">IFERROR(__xludf.DUMMYFUNCTION("""COMPUTED_VALUE"""),"| 5 L PHP-CGM % | 6 L NS % | 9 P JAVA % ")</f>
        <v xml:space="preserve">| 5 L PHP-CGM % | 6 L NS % | 9 P JAVA % </v>
      </c>
      <c r="AT440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40" s="4" t="str">
        <f ca="1">IFERROR(__xludf.DUMMYFUNCTION("""COMPUTED_VALUE"""),"| 5 L CPT % | 6 L NS % | 7 P NS % | 9 P PHP-CGM % ")</f>
        <v xml:space="preserve">| 5 L CPT % | 6 L NS % | 7 P NS % | 9 P PHP-CGM % </v>
      </c>
      <c r="AV440" s="4" t="str">
        <f ca="1">IFERROR(__xludf.DUMMYFUNCTION("""COMPUTED_VALUE"""),"| 5 L JAVA % | 6 L JAVA % | 7 P Python % | 9 P PRO @ ")</f>
        <v xml:space="preserve">| 5 L JAVA % | 6 L JAVA % | 7 P Python % | 9 P PRO @ </v>
      </c>
      <c r="AW440" s="4" t="str">
        <f ca="1">IFERROR(__xludf.DUMMYFUNCTION("""COMPUTED_VALUE"""),"| 5 L PHP-CGM % | 6 L CPT % | 7 P Python % | 9 L INE @ ")</f>
        <v xml:space="preserve">| 5 L PHP-CGM % | 6 L CPT % | 7 P Python % | 9 L INE @ </v>
      </c>
      <c r="AX440" s="4" t="str">
        <f ca="1">IFERROR(__xludf.DUMMYFUNCTION("""COMPUTED_VALUE"""),"| 5 L PHP-CGM % | 6 L NS % | 7 P CPT % | 9 P JAVA % ")</f>
        <v xml:space="preserve">| 5 L PHP-CGM % | 6 L NS % | 7 P CPT % | 9 P JAVA % </v>
      </c>
      <c r="AY440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40" s="4" t="str">
        <f ca="1">IFERROR(__xludf.DUMMYFUNCTION("""COMPUTED_VALUE"""),"| 5 L JAVA % | 6 L JAVA % | 7 P Python % ")</f>
        <v xml:space="preserve">| 5 L JAVA % | 6 L JAVA % | 7 P Python % </v>
      </c>
      <c r="BA440" s="4" t="str">
        <f ca="1">IFERROR(__xludf.DUMMYFUNCTION("""COMPUTED_VALUE"""),"| 5 L PHP-CGM % | 6 L CPT % | 9 L INE @ ")</f>
        <v xml:space="preserve">| 5 L PHP-CGM % | 6 L CPT % | 9 L INE @ </v>
      </c>
      <c r="BB440" s="4" t="str">
        <f ca="1">IFERROR(__xludf.DUMMYFUNCTION("""COMPUTED_VALUE"""),"| 5 L PHP-CGM @ | 6 L NS @ | 7 P CPT @ | 9 P JAVA @ ")</f>
        <v xml:space="preserve">| 5 L PHP-CGM @ | 6 L NS @ | 7 P CPT @ | 9 P JAVA @ </v>
      </c>
      <c r="BC440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D440" s="4" t="str">
        <f ca="1">IFERROR(__xludf.DUMMYFUNCTION("""COMPUTED_VALUE"""),"| 5 L CPT % | 6 L NS % | 7 P NS % | 9 P PHP-CGM % ")</f>
        <v xml:space="preserve">| 5 L CPT % | 6 L NS % | 7 P NS % | 9 P PHP-CGM % </v>
      </c>
      <c r="BE440" s="4" t="str">
        <f ca="1">IFERROR(__xludf.DUMMYFUNCTION("""COMPUTED_VALUE"""),"| 5 L JAVA % | 6 L JAVA % | 7 P Python % | 9 P PRO % ")</f>
        <v xml:space="preserve">| 5 L JAVA % | 6 L JAVA % | 7 P Python % | 9 P PRO % </v>
      </c>
      <c r="BF440" s="4" t="str">
        <f ca="1">IFERROR(__xludf.DUMMYFUNCTION("""COMPUTED_VALUE"""),"| 5 L PHP-CGM % | 6 L CPT % | 7 P Python % ")</f>
        <v xml:space="preserve">| 5 L PHP-CGM % | 6 L CPT % | 7 P Python % </v>
      </c>
      <c r="BG440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H440" s="4" t="str">
        <f ca="1">IFERROR(__xludf.DUMMYFUNCTION("""COMPUTED_VALUE"""),"| 5 L CPT % | 6 L NS % | 7 P NS % ")</f>
        <v xml:space="preserve">| 5 L CPT % | 6 L NS % | 7 P NS % </v>
      </c>
      <c r="BI440" s="4" t="str">
        <f ca="1">IFERROR(__xludf.DUMMYFUNCTION("""COMPUTED_VALUE"""),"| 5 L JAVA % | 6 L JAVA % | 7 P Python % | 9 P PRO @ ")</f>
        <v xml:space="preserve">| 5 L JAVA % | 6 L JAVA % | 7 P Python % | 9 P PRO @ </v>
      </c>
      <c r="BJ440" s="4" t="str">
        <f ca="1">IFERROR(__xludf.DUMMYFUNCTION("""COMPUTED_VALUE"""),"| 5 L PHP-CGM % | 6 L CPT % | 7 P Python % | 9 L INE @ ")</f>
        <v xml:space="preserve">| 5 L PHP-CGM % | 6 L CPT % | 7 P Python % | 9 L INE @ </v>
      </c>
      <c r="BK440" s="4" t="str">
        <f ca="1">IFERROR(__xludf.DUMMYFUNCTION("""COMPUTED_VALUE"""),"| 5 L PHP-CGM % | 6 L NS % | 9 P JAVA @ ")</f>
        <v xml:space="preserve">| 5 L PHP-CGM % | 6 L NS % | 9 P JAVA @ </v>
      </c>
      <c r="BL440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0" s="4" t="str">
        <f ca="1">IFERROR(__xludf.DUMMYFUNCTION("""COMPUTED_VALUE"""),"| 5 L CPT @ | 6 L NS @ ")</f>
        <v xml:space="preserve">| 5 L CPT @ | 6 L NS @ </v>
      </c>
      <c r="BN440" s="4" t="str">
        <f ca="1">IFERROR(__xludf.DUMMYFUNCTION("""COMPUTED_VALUE"""),"| 5 L JAVA % | 6 L JAVA % ")</f>
        <v xml:space="preserve">| 5 L JAVA % | 6 L JAVA % </v>
      </c>
      <c r="BO440" s="4" t="str">
        <f ca="1">IFERROR(__xludf.DUMMYFUNCTION("""COMPUTED_VALUE"""),"| 5 L PHP-CGM @ | 9 L INE @ | 6 L CPT @ ")</f>
        <v xml:space="preserve">| 5 L PHP-CGM @ | 9 L INE @ | 6 L CPT @ </v>
      </c>
      <c r="BP440" s="4" t="str">
        <f ca="1">IFERROR(__xludf.DUMMYFUNCTION("""COMPUTED_VALUE"""),"| 5 L PHP-CGM % | 6 L NS % | 7 P CPT @ ")</f>
        <v xml:space="preserve">| 5 L PHP-CGM % | 6 L NS % | 7 P CPT @ </v>
      </c>
      <c r="BQ440" s="4" t="str">
        <f ca="1">IFERROR(__xludf.DUMMYFUNCTION("""COMPUTED_VALUE"""),"| 5 L CPT % ")</f>
        <v xml:space="preserve">| 5 L CPT % </v>
      </c>
      <c r="BR440" s="4" t="str">
        <f ca="1">IFERROR(__xludf.DUMMYFUNCTION("""COMPUTED_VALUE"""),"| 5 L JAVA % | 6 L JAVA % ")</f>
        <v xml:space="preserve">| 5 L JAVA % | 6 L JAVA % </v>
      </c>
      <c r="BS440" s="4"/>
      <c r="BT440" s="4" t="str">
        <f ca="1">IFERROR(__xludf.DUMMYFUNCTION("""COMPUTED_VALUE"""),"| 7 P CPT % | 9 P JAVA @ ")</f>
        <v xml:space="preserve">| 7 P CPT % | 9 P JAVA @ </v>
      </c>
      <c r="BU440" s="4" t="str">
        <f ca="1">IFERROR(__xludf.DUMMYFUNCTION("""COMPUTED_VALUE"""),"| 7 L JAVA @ | 9 P JAVA @ ")</f>
        <v xml:space="preserve">| 7 L JAVA @ | 9 P JAVA @ </v>
      </c>
      <c r="BV440" s="4" t="str">
        <f ca="1">IFERROR(__xludf.DUMMYFUNCTION("""COMPUTED_VALUE"""),"| 5 L PHP-CGM % | 6 L NS % | 9 P JAVA @ ")</f>
        <v xml:space="preserve">| 5 L PHP-CGM % | 6 L NS % | 9 P JAVA @ </v>
      </c>
      <c r="BW440" s="4" t="str">
        <f ca="1">IFERROR(__xludf.DUMMYFUNCTION("""COMPUTED_VALUE"""),"| 9 P JAVA @ ")</f>
        <v xml:space="preserve">| 9 P JAVA @ </v>
      </c>
      <c r="BX440" s="4" t="str">
        <f ca="1">IFERROR(__xludf.DUMMYFUNCTION("""COMPUTED_VALUE"""),"| 5 L CPT @ | 6 L NS @ | 7 P NS @ ")</f>
        <v xml:space="preserve">| 5 L CPT @ | 6 L NS @ | 7 P NS @ </v>
      </c>
      <c r="BY440" s="4" t="str">
        <f ca="1">IFERROR(__xludf.DUMMYFUNCTION("""COMPUTED_VALUE"""),"| 5 L JAVA % | 6 L JAVA % | 7 P Python % ")</f>
        <v xml:space="preserve">| 5 L JAVA % | 6 L JAVA % | 7 P Python % </v>
      </c>
      <c r="BZ440" s="4" t="str">
        <f ca="1">IFERROR(__xludf.DUMMYFUNCTION("""COMPUTED_VALUE"""),"| 5 L PHP-CGM % | 6 L CPT % | 7 P Python % ")</f>
        <v xml:space="preserve">| 5 L PHP-CGM % | 6 L CPT % | 7 P Python % </v>
      </c>
      <c r="CA440" s="4" t="str">
        <f ca="1">IFERROR(__xludf.DUMMYFUNCTION("""COMPUTED_VALUE"""),"| 5 L PHP-CGM % | 6 L NS % | 7 P CPT @ | 9 P JAVA @ ")</f>
        <v xml:space="preserve">| 5 L PHP-CGM % | 6 L NS % | 7 P CPT @ | 9 P JAVA @ </v>
      </c>
      <c r="CB440" s="4" t="str">
        <f ca="1">IFERROR(__xludf.DUMMYFUNCTION("""COMPUTED_VALUE"""),"| 5 L NS @ | 6 L PHP-CGM @ | 7 L JAVA % | 8 L CPT % | 9 P JAVA % ")</f>
        <v xml:space="preserve">| 5 L NS @ | 6 L PHP-CGM @ | 7 L JAVA % | 8 L CPT % | 9 P JAVA % </v>
      </c>
      <c r="CC440" s="4" t="str">
        <f ca="1">IFERROR(__xludf.DUMMYFUNCTION("""COMPUTED_VALUE"""),"| 6 L NS % | 5 L CPT % | 7 P NS % | 9 P PHP-CGM @ ")</f>
        <v xml:space="preserve">| 6 L NS % | 5 L CPT % | 7 P NS % | 9 P PHP-CGM @ </v>
      </c>
      <c r="CD440" s="4" t="str">
        <f ca="1">IFERROR(__xludf.DUMMYFUNCTION("""COMPUTED_VALUE"""),"| 5 L JAVA @ | 6 L JAVA @ | 7 P Python % | 9 P PRO @ ")</f>
        <v xml:space="preserve">| 5 L JAVA @ | 6 L JAVA @ | 7 P Python % | 9 P PRO @ </v>
      </c>
      <c r="CE440" s="4" t="str">
        <f ca="1">IFERROR(__xludf.DUMMYFUNCTION("""COMPUTED_VALUE"""),"| 5 L PHP-CGM % | 6 L CPT % | 9 L INE % ")</f>
        <v xml:space="preserve">| 5 L PHP-CGM % | 6 L CPT % | 9 L INE % </v>
      </c>
      <c r="CF440" s="4" t="str">
        <f ca="1">IFERROR(__xludf.DUMMYFUNCTION("""COMPUTED_VALUE"""),"| 5 L PHP-CGM @ | 6 L NS @ | 7 P CPT % | 9 P JAVA % ")</f>
        <v xml:space="preserve">| 5 L PHP-CGM @ | 6 L NS @ | 7 P CPT % | 9 P JAVA % </v>
      </c>
      <c r="CG440" s="4" t="str">
        <f ca="1">IFERROR(__xludf.DUMMYFUNCTION("""COMPUTED_VALUE"""),"| 6 L PHP-CGM @ | 7 L JAVA % | 8 L CPT % | 9 P JAVA % ")</f>
        <v xml:space="preserve">| 6 L PHP-CGM @ | 7 L JAVA % | 8 L CPT % | 9 P JAVA % </v>
      </c>
      <c r="CH440" s="4" t="str">
        <f ca="1">IFERROR(__xludf.DUMMYFUNCTION("""COMPUTED_VALUE"""),"| 5 L CPT % | 6 L NS % ")</f>
        <v xml:space="preserve">| 5 L CPT % | 6 L NS % </v>
      </c>
      <c r="CI440" s="4" t="str">
        <f ca="1">IFERROR(__xludf.DUMMYFUNCTION("""COMPUTED_VALUE"""),"| 5 L JAVA @ | 6 L JAVA @ | 7 P Python % | 9 P PRO @ ")</f>
        <v xml:space="preserve">| 5 L JAVA @ | 6 L JAVA @ | 7 P Python % | 9 P PRO @ </v>
      </c>
      <c r="CJ440" s="4" t="str">
        <f ca="1">IFERROR(__xludf.DUMMYFUNCTION("""COMPUTED_VALUE"""),"| 5 L PHP-CGM @ | 9 L INE @ ")</f>
        <v xml:space="preserve">| 5 L PHP-CGM @ | 9 L INE @ </v>
      </c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</row>
    <row r="441" spans="1:102" ht="12.5" x14ac:dyDescent="0.25">
      <c r="A441" s="3">
        <f ca="1">IFERROR(__xludf.DUMMYFUNCTION("""COMPUTED_VALUE"""),2)</f>
        <v>2</v>
      </c>
      <c r="B441" s="3" t="str">
        <f ca="1">IFERROR(__xludf.DUMMYFUNCTION("""COMPUTED_VALUE"""),"ITB")</f>
        <v>ITB</v>
      </c>
      <c r="C441" s="32" t="str">
        <f ca="1">IFERROR(__xludf.DUMMYFUNCTION("""COMPUTED_VALUE"""),"23291371071")</f>
        <v>23291371071</v>
      </c>
      <c r="D441" s="4" t="str">
        <f ca="1">IFERROR(__xludf.DUMMYFUNCTION("""COMPUTED_VALUE"""),"PATEL DEV SANJAYKUMAR")</f>
        <v>PATEL DEV SANJAYKUMAR</v>
      </c>
      <c r="E441" s="3" t="str">
        <f ca="1">IFERROR(__xludf.DUMMYFUNCTION("""COMPUTED_VALUE"""),"VSP - Eve")</f>
        <v>VSP - Eve</v>
      </c>
      <c r="F441" s="3">
        <f ca="1">IFERROR(__xludf.DUMMYFUNCTION("""COMPUTED_VALUE"""),9875013533)</f>
        <v>9875013533</v>
      </c>
      <c r="G441" s="3">
        <f ca="1">IFERROR(__xludf.DUMMYFUNCTION("""COMPUTED_VALUE"""),9427474573)</f>
        <v>9427474573</v>
      </c>
      <c r="H441" s="33">
        <f ca="1">IFERROR(__xludf.DUMMYFUNCTION("""COMPUTED_VALUE"""),0.712389380530973)</f>
        <v>0.712389380530973</v>
      </c>
      <c r="I441" s="25">
        <f ca="1">IFERROR(__xludf.DUMMYFUNCTION("""COMPUTED_VALUE"""),0.666666666666666)</f>
        <v>0.66666666666666596</v>
      </c>
      <c r="J441" s="25">
        <f ca="1">IFERROR(__xludf.DUMMYFUNCTION("""COMPUTED_VALUE"""),0.7)</f>
        <v>0.7</v>
      </c>
      <c r="K441" s="25">
        <f ca="1">IFERROR(__xludf.DUMMYFUNCTION("""COMPUTED_VALUE"""),0.757575757575757)</f>
        <v>0.75757575757575701</v>
      </c>
      <c r="L441" s="25">
        <f ca="1">IFERROR(__xludf.DUMMYFUNCTION("""COMPUTED_VALUE"""),0.777777777777777)</f>
        <v>0.77777777777777701</v>
      </c>
      <c r="M441" s="25">
        <f ca="1">IFERROR(__xludf.DUMMYFUNCTION("""COMPUTED_VALUE"""),0.676470588235294)</f>
        <v>0.67647058823529405</v>
      </c>
      <c r="N441" s="25">
        <f ca="1">IFERROR(__xludf.DUMMYFUNCTION("""COMPUTED_VALUE"""),0.714285714285714)</f>
        <v>0.71428571428571397</v>
      </c>
      <c r="O441" s="25">
        <f ca="1">IFERROR(__xludf.DUMMYFUNCTION("""COMPUTED_VALUE"""),0.82051282051282)</f>
        <v>0.82051282051282004</v>
      </c>
      <c r="P441" s="25">
        <f ca="1">IFERROR(__xludf.DUMMYFUNCTION("""COMPUTED_VALUE"""),0.458333333333333)</f>
        <v>0.45833333333333298</v>
      </c>
      <c r="Q441" s="25">
        <f ca="1">IFERROR(__xludf.DUMMYFUNCTION("""COMPUTED_VALUE"""),0)</f>
        <v>0</v>
      </c>
      <c r="R441" s="25">
        <f ca="1">IFERROR(__xludf.DUMMYFUNCTION("""COMPUTED_VALUE"""),1)</f>
        <v>1</v>
      </c>
      <c r="S441" s="25">
        <f ca="1">IFERROR(__xludf.DUMMYFUNCTION("""COMPUTED_VALUE"""),0)</f>
        <v>0</v>
      </c>
      <c r="T441" s="25">
        <f ca="1">IFERROR(__xludf.DUMMYFUNCTION("""COMPUTED_VALUE"""),0.666666666666666)</f>
        <v>0.66666666666666596</v>
      </c>
      <c r="U441" s="25">
        <f ca="1">IFERROR(__xludf.DUMMYFUNCTION("""COMPUTED_VALUE"""),0.333333333333333)</f>
        <v>0.33333333333333298</v>
      </c>
      <c r="V441" s="25">
        <f ca="1">IFERROR(__xludf.DUMMYFUNCTION("""COMPUTED_VALUE"""),0)</f>
        <v>0</v>
      </c>
      <c r="W441" s="4"/>
      <c r="X441" s="4" t="str">
        <f ca="1">IFERROR(__xludf.DUMMYFUNCTION("""COMPUTED_VALUE"""),"| 5 L PHP-CGM @ | 6 L NS @ | 7 P CPT @ | 9 P JAVA @ ")</f>
        <v xml:space="preserve">| 5 L PHP-CGM @ | 6 L NS @ | 7 P CPT @ | 9 P JAVA @ </v>
      </c>
      <c r="Y441" s="4" t="str">
        <f ca="1">IFERROR(__xludf.DUMMYFUNCTION("""COMPUTED_VALUE"""),"| 5 L NS % | 6 L PHP-CGM % | 7 L JAVA @ | 8 L CPT @ ")</f>
        <v xml:space="preserve">| 5 L NS % | 6 L PHP-CGM % | 7 L JAVA @ | 8 L CPT @ </v>
      </c>
      <c r="Z441" s="4" t="str">
        <f ca="1">IFERROR(__xludf.DUMMYFUNCTION("""COMPUTED_VALUE"""),"| 5 L JAVA % | 6 L NS % | 7 P NS % | 9 P PHP-CGM % ")</f>
        <v xml:space="preserve">| 5 L JAVA % | 6 L NS % | 7 P NS % | 9 P PHP-CGM % </v>
      </c>
      <c r="AA441" s="4" t="str">
        <f ca="1">IFERROR(__xludf.DUMMYFUNCTION("""COMPUTED_VALUE"""),"| 5 L CPT % | 6 L JAVA % | 7 P Python % | 9 P PRO @ ")</f>
        <v xml:space="preserve">| 5 L CPT % | 6 L JAVA % | 7 P Python % | 9 P PRO @ </v>
      </c>
      <c r="AB441" s="4" t="str">
        <f ca="1">IFERROR(__xludf.DUMMYFUNCTION("""COMPUTED_VALUE"""),"| 5 L PHP-CGM % | 6 L CPT % | 7 P Python % ")</f>
        <v xml:space="preserve">| 5 L PHP-CGM % | 6 L CPT % | 7 P Python % </v>
      </c>
      <c r="AC441" s="4" t="str">
        <f ca="1">IFERROR(__xludf.DUMMYFUNCTION("""COMPUTED_VALUE"""),"| 5 L PHP-CGM % | 6 L NS % | 7 P CPT % | 9 P JAVA % ")</f>
        <v xml:space="preserve">| 5 L PHP-CGM % | 6 L NS % | 7 P CPT % | 9 P JAVA % </v>
      </c>
      <c r="AD441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41" s="4" t="str">
        <f ca="1">IFERROR(__xludf.DUMMYFUNCTION("""COMPUTED_VALUE"""),"| 5 L JAVA % | 6 L NS % | 7 P NS % | 9 P PHP-CGM % ")</f>
        <v xml:space="preserve">| 5 L JAVA % | 6 L NS % | 7 P NS % | 9 P PHP-CGM % </v>
      </c>
      <c r="AF441" s="4" t="str">
        <f ca="1">IFERROR(__xludf.DUMMYFUNCTION("""COMPUTED_VALUE"""),"| 5 L CPT % | 6 L JAVA % | 7 P Python % | 9 P PRO % ")</f>
        <v xml:space="preserve">| 5 L CPT % | 6 L JAVA % | 7 P Python % | 9 P PRO % </v>
      </c>
      <c r="AG441" s="4" t="str">
        <f ca="1">IFERROR(__xludf.DUMMYFUNCTION("""COMPUTED_VALUE"""),"| 5 L PHP-CGM @ | 6 L CPT @ ")</f>
        <v xml:space="preserve">| 5 L PHP-CGM @ | 6 L CPT @ </v>
      </c>
      <c r="AH441" s="4" t="str">
        <f ca="1">IFERROR(__xludf.DUMMYFUNCTION("""COMPUTED_VALUE"""),"| 5 L CPT % | 6 L JAVA % | 7 P Python % | 9 P PRO % ")</f>
        <v xml:space="preserve">| 5 L CPT % | 6 L JAVA % | 7 P Python % | 9 P PRO % </v>
      </c>
      <c r="AI441" s="4" t="str">
        <f ca="1">IFERROR(__xludf.DUMMYFUNCTION("""COMPUTED_VALUE"""),"| 5 L PHP-CGM % | 6 L CPT % | 7 P Python % ")</f>
        <v xml:space="preserve">| 5 L PHP-CGM % | 6 L CPT % | 7 P Python % </v>
      </c>
      <c r="AJ441" s="4" t="str">
        <f ca="1">IFERROR(__xludf.DUMMYFUNCTION("""COMPUTED_VALUE"""),"| 5 L PHP-CGM % | 6 L NS % | 7 P CPT % | 9 P JAVA % ")</f>
        <v xml:space="preserve">| 5 L PHP-CGM % | 6 L NS % | 7 P CPT % | 9 P JAVA % </v>
      </c>
      <c r="AK441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1" s="4" t="str">
        <f ca="1">IFERROR(__xludf.DUMMYFUNCTION("""COMPUTED_VALUE"""),"| 5 L JAVA @ | 6 L NS @ | 7 P NS @ | 9 P PHP-CGM @ ")</f>
        <v xml:space="preserve">| 5 L JAVA @ | 6 L NS @ | 7 P NS @ | 9 P PHP-CGM @ </v>
      </c>
      <c r="AM441" s="4" t="str">
        <f ca="1">IFERROR(__xludf.DUMMYFUNCTION("""COMPUTED_VALUE"""),"| 5 L CPT % | 6 L JAVA % | 7 P Python % | 9 P PRO % ")</f>
        <v xml:space="preserve">| 5 L CPT % | 6 L JAVA % | 7 P Python % | 9 P PRO % </v>
      </c>
      <c r="AN441" s="4" t="str">
        <f ca="1">IFERROR(__xludf.DUMMYFUNCTION("""COMPUTED_VALUE"""),"| 5 L PHP-CGM @ | 6 L CPT @ | 7 P Python % ")</f>
        <v xml:space="preserve">| 5 L PHP-CGM @ | 6 L CPT @ | 7 P Python % </v>
      </c>
      <c r="AO441" s="4" t="str">
        <f ca="1">IFERROR(__xludf.DUMMYFUNCTION("""COMPUTED_VALUE"""),"| 5 L PHP-CGM % | 6 L NS % | 7 P CPT % | 9 P JAVA % ")</f>
        <v xml:space="preserve">| 5 L PHP-CGM % | 6 L NS % | 7 P CPT % | 9 P JAVA % </v>
      </c>
      <c r="AP441" s="4" t="str">
        <f ca="1">IFERROR(__xludf.DUMMYFUNCTION("""COMPUTED_VALUE"""),"| 5 L NS % | 7 L JAVA % | 8 L CPT % | 9 P JAVA @ ")</f>
        <v xml:space="preserve">| 5 L NS % | 7 L JAVA % | 8 L CPT % | 9 P JAVA @ </v>
      </c>
      <c r="AQ441" s="4" t="str">
        <f ca="1">IFERROR(__xludf.DUMMYFUNCTION("""COMPUTED_VALUE"""),"| 5 L CPT @ | 6 L NS @ | 7 P NS @ | 9 P PHP-CGM @ ")</f>
        <v xml:space="preserve">| 5 L CPT @ | 6 L NS @ | 7 P NS @ | 9 P PHP-CGM @ </v>
      </c>
      <c r="AR441" s="4" t="str">
        <f ca="1">IFERROR(__xludf.DUMMYFUNCTION("""COMPUTED_VALUE"""),"| 5 L JAVA % | 6 L JAVA % | 5 L CPT @ | 7 P Python % ")</f>
        <v xml:space="preserve">| 5 L JAVA % | 6 L JAVA % | 5 L CPT @ | 7 P Python % </v>
      </c>
      <c r="AS441" s="4" t="str">
        <f ca="1">IFERROR(__xludf.DUMMYFUNCTION("""COMPUTED_VALUE"""),"| 5 L PHP-CGM % | 6 L NS % | 9 P JAVA @ ")</f>
        <v xml:space="preserve">| 5 L PHP-CGM % | 6 L NS % | 9 P JAVA @ </v>
      </c>
      <c r="AT441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41" s="4" t="str">
        <f ca="1">IFERROR(__xludf.DUMMYFUNCTION("""COMPUTED_VALUE"""),"| 5 L CPT % | 6 L NS % | 7 P NS % | 9 P PHP-CGM % ")</f>
        <v xml:space="preserve">| 5 L CPT % | 6 L NS % | 7 P NS % | 9 P PHP-CGM % </v>
      </c>
      <c r="AV441" s="4" t="str">
        <f ca="1">IFERROR(__xludf.DUMMYFUNCTION("""COMPUTED_VALUE"""),"| 5 L JAVA % | 6 L JAVA % | 7 P Python % | 9 P PRO % ")</f>
        <v xml:space="preserve">| 5 L JAVA % | 6 L JAVA % | 7 P Python % | 9 P PRO % </v>
      </c>
      <c r="AW441" s="4" t="str">
        <f ca="1">IFERROR(__xludf.DUMMYFUNCTION("""COMPUTED_VALUE"""),"| 5 L PHP-CGM % | 6 L CPT % | 7 P Python % | 9 L INE % ")</f>
        <v xml:space="preserve">| 5 L PHP-CGM % | 6 L CPT % | 7 P Python % | 9 L INE % </v>
      </c>
      <c r="AX441" s="4" t="str">
        <f ca="1">IFERROR(__xludf.DUMMYFUNCTION("""COMPUTED_VALUE"""),"| 5 L PHP-CGM % | 6 L NS % | 7 P CPT % | 9 P JAVA % ")</f>
        <v xml:space="preserve">| 5 L PHP-CGM % | 6 L NS % | 7 P CPT % | 9 P JAVA % </v>
      </c>
      <c r="AY441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41" s="4" t="str">
        <f ca="1">IFERROR(__xludf.DUMMYFUNCTION("""COMPUTED_VALUE"""),"| 5 L JAVA % | 6 L JAVA % | 7 P Python % ")</f>
        <v xml:space="preserve">| 5 L JAVA % | 6 L JAVA % | 7 P Python % </v>
      </c>
      <c r="BA441" s="4" t="str">
        <f ca="1">IFERROR(__xludf.DUMMYFUNCTION("""COMPUTED_VALUE"""),"| 5 L PHP-CGM @ | 6 L CPT @ | 9 L INE @ ")</f>
        <v xml:space="preserve">| 5 L PHP-CGM @ | 6 L CPT @ | 9 L INE @ </v>
      </c>
      <c r="BB441" s="4" t="str">
        <f ca="1">IFERROR(__xludf.DUMMYFUNCTION("""COMPUTED_VALUE"""),"| 5 L PHP-CGM @ | 6 L NS @ | 7 P CPT @ | 9 P JAVA @ ")</f>
        <v xml:space="preserve">| 5 L PHP-CGM @ | 6 L NS @ | 7 P CPT @ | 9 P JAVA @ </v>
      </c>
      <c r="BC441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D441" s="4" t="str">
        <f ca="1">IFERROR(__xludf.DUMMYFUNCTION("""COMPUTED_VALUE"""),"| 5 L CPT % | 6 L NS % | 7 P NS % | 9 P PHP-CGM % ")</f>
        <v xml:space="preserve">| 5 L CPT % | 6 L NS % | 7 P NS % | 9 P PHP-CGM % </v>
      </c>
      <c r="BE441" s="4" t="str">
        <f ca="1">IFERROR(__xludf.DUMMYFUNCTION("""COMPUTED_VALUE"""),"| 5 L JAVA % | 6 L JAVA % | 7 P Python % | 9 P PRO @ ")</f>
        <v xml:space="preserve">| 5 L JAVA % | 6 L JAVA % | 7 P Python % | 9 P PRO @ </v>
      </c>
      <c r="BF441" s="4" t="str">
        <f ca="1">IFERROR(__xludf.DUMMYFUNCTION("""COMPUTED_VALUE"""),"| 5 L PHP-CGM % | 6 L CPT @ | 7 P Python % ")</f>
        <v xml:space="preserve">| 5 L PHP-CGM % | 6 L CPT @ | 7 P Python % </v>
      </c>
      <c r="BG441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H441" s="4" t="str">
        <f ca="1">IFERROR(__xludf.DUMMYFUNCTION("""COMPUTED_VALUE"""),"| 5 L CPT % | 6 L NS % | 7 P NS % ")</f>
        <v xml:space="preserve">| 5 L CPT % | 6 L NS % | 7 P NS % </v>
      </c>
      <c r="BI441" s="4" t="str">
        <f ca="1">IFERROR(__xludf.DUMMYFUNCTION("""COMPUTED_VALUE"""),"| 5 L JAVA % | 6 L JAVA % | 7 P Python % | 9 P PRO % ")</f>
        <v xml:space="preserve">| 5 L JAVA % | 6 L JAVA % | 7 P Python % | 9 P PRO % </v>
      </c>
      <c r="BJ441" s="4" t="str">
        <f ca="1">IFERROR(__xludf.DUMMYFUNCTION("""COMPUTED_VALUE"""),"| 5 L PHP-CGM % | 6 L CPT % | 7 P Python % | 9 L INE @ ")</f>
        <v xml:space="preserve">| 5 L PHP-CGM % | 6 L CPT % | 7 P Python % | 9 L INE @ </v>
      </c>
      <c r="BK441" s="4" t="str">
        <f ca="1">IFERROR(__xludf.DUMMYFUNCTION("""COMPUTED_VALUE"""),"| 5 L PHP-CGM @ | 6 L NS @ | 9 P JAVA @ ")</f>
        <v xml:space="preserve">| 5 L PHP-CGM @ | 6 L NS @ | 9 P JAVA @ </v>
      </c>
      <c r="BL441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1" s="4" t="str">
        <f ca="1">IFERROR(__xludf.DUMMYFUNCTION("""COMPUTED_VALUE"""),"| 5 L CPT @ | 6 L NS @ ")</f>
        <v xml:space="preserve">| 5 L CPT @ | 6 L NS @ </v>
      </c>
      <c r="BN441" s="4" t="str">
        <f ca="1">IFERROR(__xludf.DUMMYFUNCTION("""COMPUTED_VALUE"""),"| 5 L JAVA % | 6 L JAVA % ")</f>
        <v xml:space="preserve">| 5 L JAVA % | 6 L JAVA % </v>
      </c>
      <c r="BO441" s="4" t="str">
        <f ca="1">IFERROR(__xludf.DUMMYFUNCTION("""COMPUTED_VALUE"""),"| 5 L PHP-CGM @ | 9 L INE @ | 6 L CPT @ ")</f>
        <v xml:space="preserve">| 5 L PHP-CGM @ | 9 L INE @ | 6 L CPT @ </v>
      </c>
      <c r="BP441" s="4" t="str">
        <f ca="1">IFERROR(__xludf.DUMMYFUNCTION("""COMPUTED_VALUE"""),"| 5 L PHP-CGM % | 6 L NS % | 7 P CPT @ ")</f>
        <v xml:space="preserve">| 5 L PHP-CGM % | 6 L NS % | 7 P CPT @ </v>
      </c>
      <c r="BQ441" s="4" t="str">
        <f ca="1">IFERROR(__xludf.DUMMYFUNCTION("""COMPUTED_VALUE"""),"| 5 L CPT @ ")</f>
        <v xml:space="preserve">| 5 L CPT @ </v>
      </c>
      <c r="BR441" s="4" t="str">
        <f ca="1">IFERROR(__xludf.DUMMYFUNCTION("""COMPUTED_VALUE"""),"| 5 L JAVA % | 6 L JAVA % ")</f>
        <v xml:space="preserve">| 5 L JAVA % | 6 L JAVA % </v>
      </c>
      <c r="BS441" s="4"/>
      <c r="BT441" s="4" t="str">
        <f ca="1">IFERROR(__xludf.DUMMYFUNCTION("""COMPUTED_VALUE"""),"| 7 P CPT % | 9 P JAVA @ ")</f>
        <v xml:space="preserve">| 7 P CPT % | 9 P JAVA @ </v>
      </c>
      <c r="BU441" s="4" t="str">
        <f ca="1">IFERROR(__xludf.DUMMYFUNCTION("""COMPUTED_VALUE"""),"| 7 L JAVA @ | 9 P JAVA @ ")</f>
        <v xml:space="preserve">| 7 L JAVA @ | 9 P JAVA @ </v>
      </c>
      <c r="BV441" s="4" t="str">
        <f ca="1">IFERROR(__xludf.DUMMYFUNCTION("""COMPUTED_VALUE"""),"| 5 L PHP-CGM % | 6 L NS % | 9 P JAVA @ ")</f>
        <v xml:space="preserve">| 5 L PHP-CGM % | 6 L NS % | 9 P JAVA @ </v>
      </c>
      <c r="BW441" s="4" t="str">
        <f ca="1">IFERROR(__xludf.DUMMYFUNCTION("""COMPUTED_VALUE"""),"| 9 P JAVA @ ")</f>
        <v xml:space="preserve">| 9 P JAVA @ </v>
      </c>
      <c r="BX441" s="4" t="str">
        <f ca="1">IFERROR(__xludf.DUMMYFUNCTION("""COMPUTED_VALUE"""),"| 5 L CPT % | 6 L NS % | 7 P NS % ")</f>
        <v xml:space="preserve">| 5 L CPT % | 6 L NS % | 7 P NS % </v>
      </c>
      <c r="BY441" s="4" t="str">
        <f ca="1">IFERROR(__xludf.DUMMYFUNCTION("""COMPUTED_VALUE"""),"| 5 L JAVA % | 6 L JAVA % | 7 P Python % ")</f>
        <v xml:space="preserve">| 5 L JAVA % | 6 L JAVA % | 7 P Python % </v>
      </c>
      <c r="BZ441" s="4" t="str">
        <f ca="1">IFERROR(__xludf.DUMMYFUNCTION("""COMPUTED_VALUE"""),"| 5 L PHP-CGM % | 6 L CPT % | 7 P Python % ")</f>
        <v xml:space="preserve">| 5 L PHP-CGM % | 6 L CPT % | 7 P Python % </v>
      </c>
      <c r="CA441" s="4" t="str">
        <f ca="1">IFERROR(__xludf.DUMMYFUNCTION("""COMPUTED_VALUE"""),"| 5 L PHP-CGM @ | 6 L NS % | 7 P CPT % | 9 P JAVA % ")</f>
        <v xml:space="preserve">| 5 L PHP-CGM @ | 6 L NS % | 7 P CPT % | 9 P JAVA % </v>
      </c>
      <c r="CB441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41" s="4" t="str">
        <f ca="1">IFERROR(__xludf.DUMMYFUNCTION("""COMPUTED_VALUE"""),"| 6 L NS % | 5 L CPT % | 7 P NS % | 9 P PHP-CGM % ")</f>
        <v xml:space="preserve">| 6 L NS % | 5 L CPT % | 7 P NS % | 9 P PHP-CGM % </v>
      </c>
      <c r="CD441" s="4" t="str">
        <f ca="1">IFERROR(__xludf.DUMMYFUNCTION("""COMPUTED_VALUE"""),"| 5 L JAVA @ | 6 L JAVA @ | 7 P Python % | 9 P PRO % ")</f>
        <v xml:space="preserve">| 5 L JAVA @ | 6 L JAVA @ | 7 P Python % | 9 P PRO % </v>
      </c>
      <c r="CE441" s="4" t="str">
        <f ca="1">IFERROR(__xludf.DUMMYFUNCTION("""COMPUTED_VALUE"""),"| 5 L PHP-CGM % | 6 L CPT % | 9 L INE % ")</f>
        <v xml:space="preserve">| 5 L PHP-CGM % | 6 L CPT % | 9 L INE % </v>
      </c>
      <c r="CF441" s="4" t="str">
        <f ca="1">IFERROR(__xludf.DUMMYFUNCTION("""COMPUTED_VALUE"""),"| 5 L PHP-CGM % | 6 L NS % | 7 P CPT % | 9 P JAVA % ")</f>
        <v xml:space="preserve">| 5 L PHP-CGM % | 6 L NS % | 7 P CPT % | 9 P JAVA % </v>
      </c>
      <c r="CG441" s="4" t="str">
        <f ca="1">IFERROR(__xludf.DUMMYFUNCTION("""COMPUTED_VALUE"""),"| 6 L PHP-CGM % | 7 L JAVA % | 8 L CPT % | 9 P JAVA % ")</f>
        <v xml:space="preserve">| 6 L PHP-CGM % | 7 L JAVA % | 8 L CPT % | 9 P JAVA % </v>
      </c>
      <c r="CH441" s="4" t="str">
        <f ca="1">IFERROR(__xludf.DUMMYFUNCTION("""COMPUTED_VALUE"""),"| 5 L CPT % | 6 L NS % ")</f>
        <v xml:space="preserve">| 5 L CPT % | 6 L NS % </v>
      </c>
      <c r="CI441" s="4" t="str">
        <f ca="1">IFERROR(__xludf.DUMMYFUNCTION("""COMPUTED_VALUE"""),"| 5 L JAVA % | 6 L JAVA % | 7 P Python % | 9 P PRO @ ")</f>
        <v xml:space="preserve">| 5 L JAVA % | 6 L JAVA % | 7 P Python % | 9 P PRO @ </v>
      </c>
      <c r="CJ441" s="4" t="str">
        <f ca="1">IFERROR(__xludf.DUMMYFUNCTION("""COMPUTED_VALUE"""),"| 5 L PHP-CGM @ | 9 L INE @ ")</f>
        <v xml:space="preserve">| 5 L PHP-CGM @ | 9 L INE @ </v>
      </c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</row>
    <row r="442" spans="1:102" ht="12.5" x14ac:dyDescent="0.25">
      <c r="A442" s="3">
        <f ca="1">IFERROR(__xludf.DUMMYFUNCTION("""COMPUTED_VALUE"""),2)</f>
        <v>2</v>
      </c>
      <c r="B442" s="3" t="str">
        <f ca="1">IFERROR(__xludf.DUMMYFUNCTION("""COMPUTED_VALUE"""),"ITB")</f>
        <v>ITB</v>
      </c>
      <c r="C442" s="32" t="str">
        <f ca="1">IFERROR(__xludf.DUMMYFUNCTION("""COMPUTED_VALUE"""),"23291371076")</f>
        <v>23291371076</v>
      </c>
      <c r="D442" s="4" t="str">
        <f ca="1">IFERROR(__xludf.DUMMYFUNCTION("""COMPUTED_VALUE"""),"PATEL FENIL PRAKASHBHAI")</f>
        <v>PATEL FENIL PRAKASHBHAI</v>
      </c>
      <c r="E442" s="3" t="str">
        <f ca="1">IFERROR(__xludf.DUMMYFUNCTION("""COMPUTED_VALUE"""),"VSP - Eve")</f>
        <v>VSP - Eve</v>
      </c>
      <c r="F442" s="3">
        <f ca="1">IFERROR(__xludf.DUMMYFUNCTION("""COMPUTED_VALUE"""),8200730812)</f>
        <v>8200730812</v>
      </c>
      <c r="G442" s="3">
        <f ca="1">IFERROR(__xludf.DUMMYFUNCTION("""COMPUTED_VALUE"""),9727531154)</f>
        <v>9727531154</v>
      </c>
      <c r="H442" s="33">
        <f ca="1">IFERROR(__xludf.DUMMYFUNCTION("""COMPUTED_VALUE"""),0.535398230088495)</f>
        <v>0.53539823008849496</v>
      </c>
      <c r="I442" s="25">
        <f ca="1">IFERROR(__xludf.DUMMYFUNCTION("""COMPUTED_VALUE"""),0.555555555555555)</f>
        <v>0.55555555555555503</v>
      </c>
      <c r="J442" s="25">
        <f ca="1">IFERROR(__xludf.DUMMYFUNCTION("""COMPUTED_VALUE"""),0.4)</f>
        <v>0.4</v>
      </c>
      <c r="K442" s="25">
        <f ca="1">IFERROR(__xludf.DUMMYFUNCTION("""COMPUTED_VALUE"""),0.666666666666666)</f>
        <v>0.66666666666666596</v>
      </c>
      <c r="L442" s="25">
        <f ca="1">IFERROR(__xludf.DUMMYFUNCTION("""COMPUTED_VALUE"""),0.777777777777777)</f>
        <v>0.77777777777777701</v>
      </c>
      <c r="M442" s="25">
        <f ca="1">IFERROR(__xludf.DUMMYFUNCTION("""COMPUTED_VALUE"""),0.647058823529411)</f>
        <v>0.64705882352941102</v>
      </c>
      <c r="N442" s="25">
        <f ca="1">IFERROR(__xludf.DUMMYFUNCTION("""COMPUTED_VALUE"""),0.714285714285714)</f>
        <v>0.71428571428571397</v>
      </c>
      <c r="O442" s="25">
        <f ca="1">IFERROR(__xludf.DUMMYFUNCTION("""COMPUTED_VALUE"""),0.641025641025641)</f>
        <v>0.64102564102564097</v>
      </c>
      <c r="P442" s="25">
        <f ca="1">IFERROR(__xludf.DUMMYFUNCTION("""COMPUTED_VALUE"""),0.0416666666666666)</f>
        <v>4.1666666666666602E-2</v>
      </c>
      <c r="Q442" s="25">
        <f ca="1">IFERROR(__xludf.DUMMYFUNCTION("""COMPUTED_VALUE"""),0)</f>
        <v>0</v>
      </c>
      <c r="R442" s="25">
        <f ca="1">IFERROR(__xludf.DUMMYFUNCTION("""COMPUTED_VALUE"""),0.736842105263157)</f>
        <v>0.73684210526315697</v>
      </c>
      <c r="S442" s="25">
        <f ca="1">IFERROR(__xludf.DUMMYFUNCTION("""COMPUTED_VALUE"""),0)</f>
        <v>0</v>
      </c>
      <c r="T442" s="25">
        <f ca="1">IFERROR(__xludf.DUMMYFUNCTION("""COMPUTED_VALUE"""),0.111111111111111)</f>
        <v>0.11111111111111099</v>
      </c>
      <c r="U442" s="25">
        <f ca="1">IFERROR(__xludf.DUMMYFUNCTION("""COMPUTED_VALUE"""),0)</f>
        <v>0</v>
      </c>
      <c r="V442" s="25">
        <f ca="1">IFERROR(__xludf.DUMMYFUNCTION("""COMPUTED_VALUE"""),0)</f>
        <v>0</v>
      </c>
      <c r="W442" s="4"/>
      <c r="X442" s="4" t="str">
        <f ca="1">IFERROR(__xludf.DUMMYFUNCTION("""COMPUTED_VALUE"""),"| 5 L PHP-CGM % | 6 L NS % | 7 P CPT % | 9 P JAVA @ ")</f>
        <v xml:space="preserve">| 5 L PHP-CGM % | 6 L NS % | 7 P CPT % | 9 P JAVA @ </v>
      </c>
      <c r="Y442" s="4" t="str">
        <f ca="1">IFERROR(__xludf.DUMMYFUNCTION("""COMPUTED_VALUE"""),"| 5 L NS % | 6 L PHP-CGM % | 7 L JAVA % | 8 L CPT % ")</f>
        <v xml:space="preserve">| 5 L NS % | 6 L PHP-CGM % | 7 L JAVA % | 8 L CPT % </v>
      </c>
      <c r="Z442" s="4" t="str">
        <f ca="1">IFERROR(__xludf.DUMMYFUNCTION("""COMPUTED_VALUE"""),"| 5 L JAVA % | 6 L NS % | 7 P NS % | 9 P PHP-CGM % ")</f>
        <v xml:space="preserve">| 5 L JAVA % | 6 L NS % | 7 P NS % | 9 P PHP-CGM % </v>
      </c>
      <c r="AA442" s="4" t="str">
        <f ca="1">IFERROR(__xludf.DUMMYFUNCTION("""COMPUTED_VALUE"""),"| 5 L CPT % | 6 L JAVA % | 7 P Python % | 9 P PRO @ ")</f>
        <v xml:space="preserve">| 5 L CPT % | 6 L JAVA % | 7 P Python % | 9 P PRO @ </v>
      </c>
      <c r="AB442" s="4" t="str">
        <f ca="1">IFERROR(__xludf.DUMMYFUNCTION("""COMPUTED_VALUE"""),"| 5 L PHP-CGM % | 6 L CPT % | 7 P Python % ")</f>
        <v xml:space="preserve">| 5 L PHP-CGM % | 6 L CPT % | 7 P Python % </v>
      </c>
      <c r="AC442" s="4" t="str">
        <f ca="1">IFERROR(__xludf.DUMMYFUNCTION("""COMPUTED_VALUE"""),"| 5 L PHP-CGM % | 6 L NS % | 7 P CPT % | 9 P JAVA @ ")</f>
        <v xml:space="preserve">| 5 L PHP-CGM % | 6 L NS % | 7 P CPT % | 9 P JAVA @ </v>
      </c>
      <c r="AD442" s="4" t="str">
        <f ca="1">IFERROR(__xludf.DUMMYFUNCTION("""COMPUTED_VALUE"""),"| 5 L NS % | 7 L JAVA % | 8 L CPT % | 9 P JAVA @ | 6 L PHP-CGM % ")</f>
        <v xml:space="preserve">| 5 L NS % | 7 L JAVA % | 8 L CPT % | 9 P JAVA @ | 6 L PHP-CGM % </v>
      </c>
      <c r="AE442" s="4" t="str">
        <f ca="1">IFERROR(__xludf.DUMMYFUNCTION("""COMPUTED_VALUE"""),"| 5 L JAVA % | 6 L NS % | 7 P NS % | 9 P PHP-CGM @ ")</f>
        <v xml:space="preserve">| 5 L JAVA % | 6 L NS % | 7 P NS % | 9 P PHP-CGM @ </v>
      </c>
      <c r="AF442" s="4" t="str">
        <f ca="1">IFERROR(__xludf.DUMMYFUNCTION("""COMPUTED_VALUE"""),"| 5 L CPT % | 6 L JAVA % | 7 P Python % | 9 P PRO % ")</f>
        <v xml:space="preserve">| 5 L CPT % | 6 L JAVA % | 7 P Python % | 9 P PRO % </v>
      </c>
      <c r="AG442" s="4" t="str">
        <f ca="1">IFERROR(__xludf.DUMMYFUNCTION("""COMPUTED_VALUE"""),"| 5 L PHP-CGM @ | 6 L CPT @ ")</f>
        <v xml:space="preserve">| 5 L PHP-CGM @ | 6 L CPT @ </v>
      </c>
      <c r="AH442" s="4" t="str">
        <f ca="1">IFERROR(__xludf.DUMMYFUNCTION("""COMPUTED_VALUE"""),"| 5 L CPT % | 6 L JAVA % | 7 P Python % | 9 P PRO @ ")</f>
        <v xml:space="preserve">| 5 L CPT % | 6 L JAVA % | 7 P Python % | 9 P PRO @ </v>
      </c>
      <c r="AI442" s="4" t="str">
        <f ca="1">IFERROR(__xludf.DUMMYFUNCTION("""COMPUTED_VALUE"""),"| 5 L PHP-CGM % | 6 L CPT % | 7 P Python % ")</f>
        <v xml:space="preserve">| 5 L PHP-CGM % | 6 L CPT % | 7 P Python % </v>
      </c>
      <c r="AJ442" s="4" t="str">
        <f ca="1">IFERROR(__xludf.DUMMYFUNCTION("""COMPUTED_VALUE"""),"| 5 L PHP-CGM % | 6 L NS % | 7 P CPT @ | 9 P JAVA % ")</f>
        <v xml:space="preserve">| 5 L PHP-CGM % | 6 L NS % | 7 P CPT @ | 9 P JAVA % </v>
      </c>
      <c r="AK442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2" s="4" t="str">
        <f ca="1">IFERROR(__xludf.DUMMYFUNCTION("""COMPUTED_VALUE"""),"| 5 L JAVA % | 6 L NS % | 7 P NS % | 9 P PHP-CGM % ")</f>
        <v xml:space="preserve">| 5 L JAVA % | 6 L NS % | 7 P NS % | 9 P PHP-CGM % </v>
      </c>
      <c r="AM442" s="4" t="str">
        <f ca="1">IFERROR(__xludf.DUMMYFUNCTION("""COMPUTED_VALUE"""),"| 5 L CPT % | 6 L JAVA @ | 7 P Python % | 9 P PRO @ ")</f>
        <v xml:space="preserve">| 5 L CPT % | 6 L JAVA @ | 7 P Python % | 9 P PRO @ </v>
      </c>
      <c r="AN442" s="4" t="str">
        <f ca="1">IFERROR(__xludf.DUMMYFUNCTION("""COMPUTED_VALUE"""),"| 5 L PHP-CGM @ | 6 L CPT @ | 7 P Python @ ")</f>
        <v xml:space="preserve">| 5 L PHP-CGM @ | 6 L CPT @ | 7 P Python @ </v>
      </c>
      <c r="AO442" s="4" t="str">
        <f ca="1">IFERROR(__xludf.DUMMYFUNCTION("""COMPUTED_VALUE"""),"| 5 L PHP-CGM @ | 6 L NS @ | 7 P CPT @ | 9 P JAVA @ ")</f>
        <v xml:space="preserve">| 5 L PHP-CGM @ | 6 L NS @ | 7 P CPT @ | 9 P JAVA @ </v>
      </c>
      <c r="AP442" s="4" t="str">
        <f ca="1">IFERROR(__xludf.DUMMYFUNCTION("""COMPUTED_VALUE"""),"| 5 L NS % | 7 L JAVA % | 8 L CPT % | 9 P JAVA @ ")</f>
        <v xml:space="preserve">| 5 L NS % | 7 L JAVA % | 8 L CPT % | 9 P JAVA @ </v>
      </c>
      <c r="AQ442" s="4" t="str">
        <f ca="1">IFERROR(__xludf.DUMMYFUNCTION("""COMPUTED_VALUE"""),"| 5 L CPT @ | 6 L NS @ | 7 P NS % | 9 P PHP-CGM % ")</f>
        <v xml:space="preserve">| 5 L CPT @ | 6 L NS @ | 7 P NS % | 9 P PHP-CGM % </v>
      </c>
      <c r="AR442" s="4" t="str">
        <f ca="1">IFERROR(__xludf.DUMMYFUNCTION("""COMPUTED_VALUE"""),"| 5 L JAVA % | 6 L JAVA % | 5 L CPT @ | 7 P Python % ")</f>
        <v xml:space="preserve">| 5 L JAVA % | 6 L JAVA % | 5 L CPT @ | 7 P Python % </v>
      </c>
      <c r="AS442" s="4" t="str">
        <f ca="1">IFERROR(__xludf.DUMMYFUNCTION("""COMPUTED_VALUE"""),"| 5 L PHP-CGM % | 6 L NS % | 9 P JAVA @ ")</f>
        <v xml:space="preserve">| 5 L PHP-CGM % | 6 L NS % | 9 P JAVA @ </v>
      </c>
      <c r="AT442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U442" s="4" t="str">
        <f ca="1">IFERROR(__xludf.DUMMYFUNCTION("""COMPUTED_VALUE"""),"| 5 L CPT % | 6 L NS % | 7 P NS % | 9 P PHP-CGM % ")</f>
        <v xml:space="preserve">| 5 L CPT % | 6 L NS % | 7 P NS % | 9 P PHP-CGM % </v>
      </c>
      <c r="AV442" s="4" t="str">
        <f ca="1">IFERROR(__xludf.DUMMYFUNCTION("""COMPUTED_VALUE"""),"| 5 L JAVA % | 6 L JAVA % | 7 P Python % | 9 P PRO @ ")</f>
        <v xml:space="preserve">| 5 L JAVA % | 6 L JAVA % | 7 P Python % | 9 P PRO @ </v>
      </c>
      <c r="AW442" s="4" t="str">
        <f ca="1">IFERROR(__xludf.DUMMYFUNCTION("""COMPUTED_VALUE"""),"| 5 L PHP-CGM % | 6 L CPT % | 7 P Python % | 9 L INE @ ")</f>
        <v xml:space="preserve">| 5 L PHP-CGM % | 6 L CPT % | 7 P Python % | 9 L INE @ </v>
      </c>
      <c r="AX442" s="4" t="str">
        <f ca="1">IFERROR(__xludf.DUMMYFUNCTION("""COMPUTED_VALUE"""),"| 5 L PHP-CGM % | 6 L NS % | 7 P CPT % | 9 P JAVA @ ")</f>
        <v xml:space="preserve">| 5 L PHP-CGM % | 6 L NS % | 7 P CPT % | 9 P JAVA @ </v>
      </c>
      <c r="AY442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42" s="4" t="str">
        <f ca="1">IFERROR(__xludf.DUMMYFUNCTION("""COMPUTED_VALUE"""),"| 5 L JAVA % | 6 L JAVA % | 7 P Python % ")</f>
        <v xml:space="preserve">| 5 L JAVA % | 6 L JAVA % | 7 P Python % </v>
      </c>
      <c r="BA442" s="4" t="str">
        <f ca="1">IFERROR(__xludf.DUMMYFUNCTION("""COMPUTED_VALUE"""),"| 5 L PHP-CGM % | 6 L CPT % | 9 L INE @ ")</f>
        <v xml:space="preserve">| 5 L PHP-CGM % | 6 L CPT % | 9 L INE @ </v>
      </c>
      <c r="BB442" s="4" t="str">
        <f ca="1">IFERROR(__xludf.DUMMYFUNCTION("""COMPUTED_VALUE"""),"| 5 L PHP-CGM % | 6 L NS % | 7 P CPT % | 9 P JAVA @ ")</f>
        <v xml:space="preserve">| 5 L PHP-CGM % | 6 L NS % | 7 P CPT % | 9 P JAVA @ </v>
      </c>
      <c r="BC442" s="4" t="str">
        <f ca="1">IFERROR(__xludf.DUMMYFUNCTION("""COMPUTED_VALUE"""),"| 5 L NS % | 6 L PHP-CGM % | 7 L JAVA @ | 8 L CPT @ | 9 P JAVA @ ")</f>
        <v xml:space="preserve">| 5 L NS % | 6 L PHP-CGM % | 7 L JAVA @ | 8 L CPT @ | 9 P JAVA @ </v>
      </c>
      <c r="BD442" s="4" t="str">
        <f ca="1">IFERROR(__xludf.DUMMYFUNCTION("""COMPUTED_VALUE"""),"| 5 L CPT % | 6 L NS % | 7 P NS % | 9 P PHP-CGM % ")</f>
        <v xml:space="preserve">| 5 L CPT % | 6 L NS % | 7 P NS % | 9 P PHP-CGM % </v>
      </c>
      <c r="BE442" s="4" t="str">
        <f ca="1">IFERROR(__xludf.DUMMYFUNCTION("""COMPUTED_VALUE"""),"| 5 L JAVA % | 6 L JAVA % | 7 P Python % | 9 P PRO @ ")</f>
        <v xml:space="preserve">| 5 L JAVA % | 6 L JAVA % | 7 P Python % | 9 P PRO @ </v>
      </c>
      <c r="BF442" s="4" t="str">
        <f ca="1">IFERROR(__xludf.DUMMYFUNCTION("""COMPUTED_VALUE"""),"| 5 L PHP-CGM @ | 6 L CPT @ | 7 P Python @ ")</f>
        <v xml:space="preserve">| 5 L PHP-CGM @ | 6 L CPT @ | 7 P Python @ </v>
      </c>
      <c r="BG442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H442" s="4" t="str">
        <f ca="1">IFERROR(__xludf.DUMMYFUNCTION("""COMPUTED_VALUE"""),"| 5 L CPT % | 6 L NS % | 7 P NS % ")</f>
        <v xml:space="preserve">| 5 L CPT % | 6 L NS % | 7 P NS % </v>
      </c>
      <c r="BI442" s="4" t="str">
        <f ca="1">IFERROR(__xludf.DUMMYFUNCTION("""COMPUTED_VALUE"""),"| 5 L JAVA % | 6 L JAVA % | 7 P Python % | 9 P PRO @ ")</f>
        <v xml:space="preserve">| 5 L JAVA % | 6 L JAVA % | 7 P Python % | 9 P PRO @ </v>
      </c>
      <c r="BJ442" s="4" t="str">
        <f ca="1">IFERROR(__xludf.DUMMYFUNCTION("""COMPUTED_VALUE"""),"| 5 L PHP-CGM % | 6 L CPT % | 7 P Python % | 9 L INE @ ")</f>
        <v xml:space="preserve">| 5 L PHP-CGM % | 6 L CPT % | 7 P Python % | 9 L INE @ </v>
      </c>
      <c r="BK442" s="4" t="str">
        <f ca="1">IFERROR(__xludf.DUMMYFUNCTION("""COMPUTED_VALUE"""),"| 5 L PHP-CGM @ | 6 L NS @ | 9 P JAVA @ ")</f>
        <v xml:space="preserve">| 5 L PHP-CGM @ | 6 L NS @ | 9 P JAVA @ </v>
      </c>
      <c r="BL442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2" s="4" t="str">
        <f ca="1">IFERROR(__xludf.DUMMYFUNCTION("""COMPUTED_VALUE"""),"| 5 L CPT @ | 6 L NS @ ")</f>
        <v xml:space="preserve">| 5 L CPT @ | 6 L NS @ </v>
      </c>
      <c r="BN442" s="4" t="str">
        <f ca="1">IFERROR(__xludf.DUMMYFUNCTION("""COMPUTED_VALUE"""),"| 5 L JAVA @ | 6 L JAVA @ ")</f>
        <v xml:space="preserve">| 5 L JAVA @ | 6 L JAVA @ </v>
      </c>
      <c r="BO442" s="4" t="str">
        <f ca="1">IFERROR(__xludf.DUMMYFUNCTION("""COMPUTED_VALUE"""),"| 5 L PHP-CGM @ | 9 L INE @ | 6 L CPT @ ")</f>
        <v xml:space="preserve">| 5 L PHP-CGM @ | 9 L INE @ | 6 L CPT @ </v>
      </c>
      <c r="BP442" s="4" t="str">
        <f ca="1">IFERROR(__xludf.DUMMYFUNCTION("""COMPUTED_VALUE"""),"| 5 L PHP-CGM % | 6 L NS % | 7 P CPT @ ")</f>
        <v xml:space="preserve">| 5 L PHP-CGM % | 6 L NS % | 7 P CPT @ </v>
      </c>
      <c r="BQ442" s="4" t="str">
        <f ca="1">IFERROR(__xludf.DUMMYFUNCTION("""COMPUTED_VALUE"""),"| 5 L CPT @ ")</f>
        <v xml:space="preserve">| 5 L CPT @ </v>
      </c>
      <c r="BR442" s="4" t="str">
        <f ca="1">IFERROR(__xludf.DUMMYFUNCTION("""COMPUTED_VALUE"""),"| 5 L JAVA % | 6 L JAVA % ")</f>
        <v xml:space="preserve">| 5 L JAVA % | 6 L JAVA % </v>
      </c>
      <c r="BS442" s="4"/>
      <c r="BT442" s="4" t="str">
        <f ca="1">IFERROR(__xludf.DUMMYFUNCTION("""COMPUTED_VALUE"""),"| 7 P CPT @ | 9 P JAVA @ ")</f>
        <v xml:space="preserve">| 7 P CPT @ | 9 P JAVA @ </v>
      </c>
      <c r="BU442" s="4" t="str">
        <f ca="1">IFERROR(__xludf.DUMMYFUNCTION("""COMPUTED_VALUE"""),"| 7 L JAVA @ | 9 P JAVA @ ")</f>
        <v xml:space="preserve">| 7 L JAVA @ | 9 P JAVA @ </v>
      </c>
      <c r="BV442" s="4" t="str">
        <f ca="1">IFERROR(__xludf.DUMMYFUNCTION("""COMPUTED_VALUE"""),"| 5 L PHP-CGM @ | 6 L NS @ | 9 P JAVA @ ")</f>
        <v xml:space="preserve">| 5 L PHP-CGM @ | 6 L NS @ | 9 P JAVA @ </v>
      </c>
      <c r="BW442" s="4" t="str">
        <f ca="1">IFERROR(__xludf.DUMMYFUNCTION("""COMPUTED_VALUE"""),"| 9 P JAVA @ ")</f>
        <v xml:space="preserve">| 9 P JAVA @ </v>
      </c>
      <c r="BX442" s="4" t="str">
        <f ca="1">IFERROR(__xludf.DUMMYFUNCTION("""COMPUTED_VALUE"""),"| 5 L CPT @ | 6 L NS @ | 7 P NS @ ")</f>
        <v xml:space="preserve">| 5 L CPT @ | 6 L NS @ | 7 P NS @ </v>
      </c>
      <c r="BY442" s="4" t="str">
        <f ca="1">IFERROR(__xludf.DUMMYFUNCTION("""COMPUTED_VALUE"""),"| 5 L JAVA @ | 6 L JAVA @ | 7 P Python @ ")</f>
        <v xml:space="preserve">| 5 L JAVA @ | 6 L JAVA @ | 7 P Python @ </v>
      </c>
      <c r="BZ442" s="4" t="str">
        <f ca="1">IFERROR(__xludf.DUMMYFUNCTION("""COMPUTED_VALUE"""),"| 5 L PHP-CGM % | 6 L CPT % | 7 P Python @ ")</f>
        <v xml:space="preserve">| 5 L PHP-CGM % | 6 L CPT % | 7 P Python @ </v>
      </c>
      <c r="CA442" s="4" t="str">
        <f ca="1">IFERROR(__xludf.DUMMYFUNCTION("""COMPUTED_VALUE"""),"| 5 L PHP-CGM @ | 6 L NS @ | 7 P CPT @ | 9 P JAVA @ ")</f>
        <v xml:space="preserve">| 5 L PHP-CGM @ | 6 L NS @ | 7 P CPT @ | 9 P JAVA @ </v>
      </c>
      <c r="CB442" s="4" t="str">
        <f ca="1">IFERROR(__xludf.DUMMYFUNCTION("""COMPUTED_VALUE"""),"| 5 L NS % | 6 L PHP-CGM % | 7 L JAVA @ | 8 L CPT @ | 9 P JAVA @ ")</f>
        <v xml:space="preserve">| 5 L NS % | 6 L PHP-CGM % | 7 L JAVA @ | 8 L CPT @ | 9 P JAVA @ </v>
      </c>
      <c r="CC442" s="4" t="str">
        <f ca="1">IFERROR(__xludf.DUMMYFUNCTION("""COMPUTED_VALUE"""),"| 6 L NS @ | 5 L CPT @ | 7 P NS @ | 9 P PHP-CGM @ ")</f>
        <v xml:space="preserve">| 6 L NS @ | 5 L CPT @ | 7 P NS @ | 9 P PHP-CGM @ </v>
      </c>
      <c r="CD442" s="4" t="str">
        <f ca="1">IFERROR(__xludf.DUMMYFUNCTION("""COMPUTED_VALUE"""),"| 5 L JAVA @ | 6 L JAVA @ | 7 P Python @ | 9 P PRO @ ")</f>
        <v xml:space="preserve">| 5 L JAVA @ | 6 L JAVA @ | 7 P Python @ | 9 P PRO @ </v>
      </c>
      <c r="CE442" s="4" t="str">
        <f ca="1">IFERROR(__xludf.DUMMYFUNCTION("""COMPUTED_VALUE"""),"| 5 L PHP-CGM @ | 6 L CPT @ | 9 L INE @ ")</f>
        <v xml:space="preserve">| 5 L PHP-CGM @ | 6 L CPT @ | 9 L INE @ </v>
      </c>
      <c r="CF442" s="4" t="str">
        <f ca="1">IFERROR(__xludf.DUMMYFUNCTION("""COMPUTED_VALUE"""),"| 5 L PHP-CGM @ | 6 L NS @ | 7 P CPT @ | 9 P JAVA @ ")</f>
        <v xml:space="preserve">| 5 L PHP-CGM @ | 6 L NS @ | 7 P CPT @ | 9 P JAVA @ </v>
      </c>
      <c r="CG442" s="4" t="str">
        <f ca="1">IFERROR(__xludf.DUMMYFUNCTION("""COMPUTED_VALUE"""),"| 6 L PHP-CGM % | 7 L JAVA @ | 8 L CPT @ | 9 P JAVA @ ")</f>
        <v xml:space="preserve">| 6 L PHP-CGM % | 7 L JAVA @ | 8 L CPT @ | 9 P JAVA @ </v>
      </c>
      <c r="CH442" s="4" t="str">
        <f ca="1">IFERROR(__xludf.DUMMYFUNCTION("""COMPUTED_VALUE"""),"| 5 L CPT @ | 6 L NS @ ")</f>
        <v xml:space="preserve">| 5 L CPT @ | 6 L NS @ </v>
      </c>
      <c r="CI442" s="4" t="str">
        <f ca="1">IFERROR(__xludf.DUMMYFUNCTION("""COMPUTED_VALUE"""),"| 5 L JAVA @ | 6 L JAVA @ | 7 P Python % | 9 P PRO @ ")</f>
        <v xml:space="preserve">| 5 L JAVA @ | 6 L JAVA @ | 7 P Python % | 9 P PRO @ </v>
      </c>
      <c r="CJ442" s="4" t="str">
        <f ca="1">IFERROR(__xludf.DUMMYFUNCTION("""COMPUTED_VALUE"""),"| 5 L PHP-CGM @ | 9 L INE @ ")</f>
        <v xml:space="preserve">| 5 L PHP-CGM @ | 9 L INE @ </v>
      </c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</row>
    <row r="443" spans="1:102" ht="12.5" x14ac:dyDescent="0.25">
      <c r="A443" s="3">
        <f ca="1">IFERROR(__xludf.DUMMYFUNCTION("""COMPUTED_VALUE"""),2)</f>
        <v>2</v>
      </c>
      <c r="B443" s="3" t="str">
        <f ca="1">IFERROR(__xludf.DUMMYFUNCTION("""COMPUTED_VALUE"""),"ITB")</f>
        <v>ITB</v>
      </c>
      <c r="C443" s="32" t="str">
        <f ca="1">IFERROR(__xludf.DUMMYFUNCTION("""COMPUTED_VALUE"""),"23291371080")</f>
        <v>23291371080</v>
      </c>
      <c r="D443" s="4" t="str">
        <f ca="1">IFERROR(__xludf.DUMMYFUNCTION("""COMPUTED_VALUE"""),"PATEL JILKUMAR RAJESHBHAI")</f>
        <v>PATEL JILKUMAR RAJESHBHAI</v>
      </c>
      <c r="E443" s="3" t="str">
        <f ca="1">IFERROR(__xludf.DUMMYFUNCTION("""COMPUTED_VALUE"""),"VSP - Eve")</f>
        <v>VSP - Eve</v>
      </c>
      <c r="F443" s="3">
        <f ca="1">IFERROR(__xludf.DUMMYFUNCTION("""COMPUTED_VALUE"""),8320080975)</f>
        <v>8320080975</v>
      </c>
      <c r="G443" s="3">
        <f ca="1">IFERROR(__xludf.DUMMYFUNCTION("""COMPUTED_VALUE"""),8160888039)</f>
        <v>8160888039</v>
      </c>
      <c r="H443" s="33">
        <f ca="1">IFERROR(__xludf.DUMMYFUNCTION("""COMPUTED_VALUE"""),0.438053097345132)</f>
        <v>0.43805309734513198</v>
      </c>
      <c r="I443" s="25">
        <f ca="1">IFERROR(__xludf.DUMMYFUNCTION("""COMPUTED_VALUE"""),0.5)</f>
        <v>0.5</v>
      </c>
      <c r="J443" s="25">
        <f ca="1">IFERROR(__xludf.DUMMYFUNCTION("""COMPUTED_VALUE"""),0.2)</f>
        <v>0.2</v>
      </c>
      <c r="K443" s="25">
        <f ca="1">IFERROR(__xludf.DUMMYFUNCTION("""COMPUTED_VALUE"""),0.575757575757575)</f>
        <v>0.57575757575757502</v>
      </c>
      <c r="L443" s="25">
        <f ca="1">IFERROR(__xludf.DUMMYFUNCTION("""COMPUTED_VALUE"""),0.666666666666666)</f>
        <v>0.66666666666666596</v>
      </c>
      <c r="M443" s="25">
        <f ca="1">IFERROR(__xludf.DUMMYFUNCTION("""COMPUTED_VALUE"""),0.411764705882352)</f>
        <v>0.41176470588235198</v>
      </c>
      <c r="N443" s="25">
        <f ca="1">IFERROR(__xludf.DUMMYFUNCTION("""COMPUTED_VALUE"""),0.428571428571428)</f>
        <v>0.42857142857142799</v>
      </c>
      <c r="O443" s="25">
        <f ca="1">IFERROR(__xludf.DUMMYFUNCTION("""COMPUTED_VALUE"""),0.615384615384615)</f>
        <v>0.61538461538461497</v>
      </c>
      <c r="P443" s="25">
        <f ca="1">IFERROR(__xludf.DUMMYFUNCTION("""COMPUTED_VALUE"""),0.166666666666666)</f>
        <v>0.16666666666666599</v>
      </c>
      <c r="Q443" s="25">
        <f ca="1">IFERROR(__xludf.DUMMYFUNCTION("""COMPUTED_VALUE"""),0)</f>
        <v>0</v>
      </c>
      <c r="R443" s="25">
        <f ca="1">IFERROR(__xludf.DUMMYFUNCTION("""COMPUTED_VALUE"""),0.368421052631578)</f>
        <v>0.36842105263157798</v>
      </c>
      <c r="S443" s="25">
        <f ca="1">IFERROR(__xludf.DUMMYFUNCTION("""COMPUTED_VALUE"""),0)</f>
        <v>0</v>
      </c>
      <c r="T443" s="25">
        <f ca="1">IFERROR(__xludf.DUMMYFUNCTION("""COMPUTED_VALUE"""),0.222222222222222)</f>
        <v>0.22222222222222199</v>
      </c>
      <c r="U443" s="25">
        <f ca="1">IFERROR(__xludf.DUMMYFUNCTION("""COMPUTED_VALUE"""),0)</f>
        <v>0</v>
      </c>
      <c r="V443" s="25">
        <f ca="1">IFERROR(__xludf.DUMMYFUNCTION("""COMPUTED_VALUE"""),0)</f>
        <v>0</v>
      </c>
      <c r="W443" s="4"/>
      <c r="X443" s="4" t="str">
        <f ca="1">IFERROR(__xludf.DUMMYFUNCTION("""COMPUTED_VALUE"""),"| 5 L PHP-CGM @ | 6 L NS @ | 7 P CPT @ | 9 P JAVA @ ")</f>
        <v xml:space="preserve">| 5 L PHP-CGM @ | 6 L NS @ | 7 P CPT @ | 9 P JAVA @ </v>
      </c>
      <c r="Y443" s="4" t="str">
        <f ca="1">IFERROR(__xludf.DUMMYFUNCTION("""COMPUTED_VALUE"""),"| 5 L NS @ | 6 L PHP-CGM @ | 7 L JAVA @ | 8 L CPT @ ")</f>
        <v xml:space="preserve">| 5 L NS @ | 6 L PHP-CGM @ | 7 L JAVA @ | 8 L CPT @ </v>
      </c>
      <c r="Z443" s="4" t="str">
        <f ca="1">IFERROR(__xludf.DUMMYFUNCTION("""COMPUTED_VALUE"""),"| 5 L JAVA @ | 6 L NS @ | 7 P NS @ | 9 P PHP-CGM @ ")</f>
        <v xml:space="preserve">| 5 L JAVA @ | 6 L NS @ | 7 P NS @ | 9 P PHP-CGM @ </v>
      </c>
      <c r="AA443" s="4" t="str">
        <f ca="1">IFERROR(__xludf.DUMMYFUNCTION("""COMPUTED_VALUE"""),"| 5 L CPT % | 6 L JAVA % | 7 P Python % | 9 P PRO @ ")</f>
        <v xml:space="preserve">| 5 L CPT % | 6 L JAVA % | 7 P Python % | 9 P PRO @ </v>
      </c>
      <c r="AB443" s="4" t="str">
        <f ca="1">IFERROR(__xludf.DUMMYFUNCTION("""COMPUTED_VALUE"""),"| 5 L PHP-CGM % | 6 L CPT % | 7 P Python % ")</f>
        <v xml:space="preserve">| 5 L PHP-CGM % | 6 L CPT % | 7 P Python % </v>
      </c>
      <c r="AC443" s="4" t="str">
        <f ca="1">IFERROR(__xludf.DUMMYFUNCTION("""COMPUTED_VALUE"""),"| 5 L PHP-CGM % | 6 L NS % | 7 P CPT % | 9 P JAVA % ")</f>
        <v xml:space="preserve">| 5 L PHP-CGM % | 6 L NS % | 7 P CPT % | 9 P JAVA % </v>
      </c>
      <c r="AD443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43" s="4" t="str">
        <f ca="1">IFERROR(__xludf.DUMMYFUNCTION("""COMPUTED_VALUE"""),"| 5 L JAVA % | 6 L NS % | 7 P NS % | 9 P PHP-CGM % ")</f>
        <v xml:space="preserve">| 5 L JAVA % | 6 L NS % | 7 P NS % | 9 P PHP-CGM % </v>
      </c>
      <c r="AF443" s="4" t="str">
        <f ca="1">IFERROR(__xludf.DUMMYFUNCTION("""COMPUTED_VALUE"""),"| 5 L CPT % | 6 L JAVA % | 7 P Python @ | 9 P PRO @ ")</f>
        <v xml:space="preserve">| 5 L CPT % | 6 L JAVA % | 7 P Python @ | 9 P PRO @ </v>
      </c>
      <c r="AG443" s="4" t="str">
        <f ca="1">IFERROR(__xludf.DUMMYFUNCTION("""COMPUTED_VALUE"""),"| 5 L PHP-CGM @ | 6 L CPT @ ")</f>
        <v xml:space="preserve">| 5 L PHP-CGM @ | 6 L CPT @ </v>
      </c>
      <c r="AH443" s="4" t="str">
        <f ca="1">IFERROR(__xludf.DUMMYFUNCTION("""COMPUTED_VALUE"""),"| 5 L CPT % | 6 L JAVA % | 7 P Python % | 9 P PRO @ ")</f>
        <v xml:space="preserve">| 5 L CPT % | 6 L JAVA % | 7 P Python % | 9 P PRO @ </v>
      </c>
      <c r="AI443" s="4" t="str">
        <f ca="1">IFERROR(__xludf.DUMMYFUNCTION("""COMPUTED_VALUE"""),"| 5 L PHP-CGM % | 6 L CPT % | 7 P Python @ ")</f>
        <v xml:space="preserve">| 5 L PHP-CGM % | 6 L CPT % | 7 P Python @ </v>
      </c>
      <c r="AJ443" s="4" t="str">
        <f ca="1">IFERROR(__xludf.DUMMYFUNCTION("""COMPUTED_VALUE"""),"| 5 L PHP-CGM % | 6 L NS % | 7 P CPT % | 9 P JAVA % ")</f>
        <v xml:space="preserve">| 5 L PHP-CGM % | 6 L NS % | 7 P CPT % | 9 P JAVA % </v>
      </c>
      <c r="AK443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3" s="4" t="str">
        <f ca="1">IFERROR(__xludf.DUMMYFUNCTION("""COMPUTED_VALUE"""),"| 5 L JAVA % | 6 L NS % | 7 P NS % | 9 P PHP-CGM % ")</f>
        <v xml:space="preserve">| 5 L JAVA % | 6 L NS % | 7 P NS % | 9 P PHP-CGM % </v>
      </c>
      <c r="AM443" s="4" t="str">
        <f ca="1">IFERROR(__xludf.DUMMYFUNCTION("""COMPUTED_VALUE"""),"| 5 L CPT % | 6 L JAVA % | 7 P Python @ | 9 P PRO @ ")</f>
        <v xml:space="preserve">| 5 L CPT % | 6 L JAVA % | 7 P Python @ | 9 P PRO @ </v>
      </c>
      <c r="AN443" s="4" t="str">
        <f ca="1">IFERROR(__xludf.DUMMYFUNCTION("""COMPUTED_VALUE"""),"| 5 L PHP-CGM @ | 6 L CPT @ | 7 P Python @ ")</f>
        <v xml:space="preserve">| 5 L PHP-CGM @ | 6 L CPT @ | 7 P Python @ </v>
      </c>
      <c r="AO443" s="4" t="str">
        <f ca="1">IFERROR(__xludf.DUMMYFUNCTION("""COMPUTED_VALUE"""),"| 5 L PHP-CGM % | 6 L NS % | 7 P CPT @ | 9 P JAVA @ ")</f>
        <v xml:space="preserve">| 5 L PHP-CGM % | 6 L NS % | 7 P CPT @ | 9 P JAVA @ </v>
      </c>
      <c r="AP443" s="4" t="str">
        <f ca="1">IFERROR(__xludf.DUMMYFUNCTION("""COMPUTED_VALUE"""),"| 5 L NS % | 7 L JAVA % | 8 L CPT @ | 9 P JAVA @ ")</f>
        <v xml:space="preserve">| 5 L NS % | 7 L JAVA % | 8 L CPT @ | 9 P JAVA @ </v>
      </c>
      <c r="AQ443" s="4" t="str">
        <f ca="1">IFERROR(__xludf.DUMMYFUNCTION("""COMPUTED_VALUE"""),"| 5 L CPT @ | 6 L NS @ | 7 P NS @ | 9 P PHP-CGM @ ")</f>
        <v xml:space="preserve">| 5 L CPT @ | 6 L NS @ | 7 P NS @ | 9 P PHP-CGM @ </v>
      </c>
      <c r="AR443" s="4" t="str">
        <f ca="1">IFERROR(__xludf.DUMMYFUNCTION("""COMPUTED_VALUE"""),"| 5 L JAVA @ | 6 L JAVA @ | 5 L CPT @ | 7 P Python @ ")</f>
        <v xml:space="preserve">| 5 L JAVA @ | 6 L JAVA @ | 5 L CPT @ | 7 P Python @ </v>
      </c>
      <c r="AS443" s="4" t="str">
        <f ca="1">IFERROR(__xludf.DUMMYFUNCTION("""COMPUTED_VALUE"""),"| 5 L PHP-CGM % | 6 L NS % | 9 P JAVA @ ")</f>
        <v xml:space="preserve">| 5 L PHP-CGM % | 6 L NS % | 9 P JAVA @ </v>
      </c>
      <c r="AT443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U443" s="4" t="str">
        <f ca="1">IFERROR(__xludf.DUMMYFUNCTION("""COMPUTED_VALUE"""),"| 5 L CPT % | 6 L NS % | 7 P NS % | 9 P PHP-CGM @ ")</f>
        <v xml:space="preserve">| 5 L CPT % | 6 L NS % | 7 P NS % | 9 P PHP-CGM @ </v>
      </c>
      <c r="AV443" s="4" t="str">
        <f ca="1">IFERROR(__xludf.DUMMYFUNCTION("""COMPUTED_VALUE"""),"| 5 L JAVA % | 6 L JAVA % | 7 P Python % | 9 P PRO % ")</f>
        <v xml:space="preserve">| 5 L JAVA % | 6 L JAVA % | 7 P Python % | 9 P PRO % </v>
      </c>
      <c r="AW443" s="4" t="str">
        <f ca="1">IFERROR(__xludf.DUMMYFUNCTION("""COMPUTED_VALUE"""),"| 5 L PHP-CGM @ | 6 L CPT @ | 7 P Python @ | 9 L INE @ ")</f>
        <v xml:space="preserve">| 5 L PHP-CGM @ | 6 L CPT @ | 7 P Python @ | 9 L INE @ </v>
      </c>
      <c r="AX443" s="4" t="str">
        <f ca="1">IFERROR(__xludf.DUMMYFUNCTION("""COMPUTED_VALUE"""),"| 5 L PHP-CGM @ | 6 L NS @ | 7 P CPT @ | 9 P JAVA @ ")</f>
        <v xml:space="preserve">| 5 L PHP-CGM @ | 6 L NS @ | 7 P CPT @ | 9 P JAVA @ </v>
      </c>
      <c r="AY443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43" s="4" t="str">
        <f ca="1">IFERROR(__xludf.DUMMYFUNCTION("""COMPUTED_VALUE"""),"| 5 L JAVA % | 6 L JAVA @ | 7 P Python @ ")</f>
        <v xml:space="preserve">| 5 L JAVA % | 6 L JAVA @ | 7 P Python @ </v>
      </c>
      <c r="BA443" s="4" t="str">
        <f ca="1">IFERROR(__xludf.DUMMYFUNCTION("""COMPUTED_VALUE"""),"| 5 L PHP-CGM @ | 6 L CPT @ | 9 L INE @ ")</f>
        <v xml:space="preserve">| 5 L PHP-CGM @ | 6 L CPT @ | 9 L INE @ </v>
      </c>
      <c r="BB443" s="4" t="str">
        <f ca="1">IFERROR(__xludf.DUMMYFUNCTION("""COMPUTED_VALUE"""),"| 5 L PHP-CGM @ | 6 L NS @ | 7 P CPT @ | 9 P JAVA @ ")</f>
        <v xml:space="preserve">| 5 L PHP-CGM @ | 6 L NS @ | 7 P CPT @ | 9 P JAVA @ </v>
      </c>
      <c r="BC443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D443" s="4" t="str">
        <f ca="1">IFERROR(__xludf.DUMMYFUNCTION("""COMPUTED_VALUE"""),"| 5 L CPT % | 6 L NS % | 7 P NS % | 9 P PHP-CGM @ ")</f>
        <v xml:space="preserve">| 5 L CPT % | 6 L NS % | 7 P NS % | 9 P PHP-CGM @ </v>
      </c>
      <c r="BE443" s="4" t="str">
        <f ca="1">IFERROR(__xludf.DUMMYFUNCTION("""COMPUTED_VALUE"""),"| 5 L JAVA % | 6 L JAVA % | 7 P Python % | 9 P PRO % ")</f>
        <v xml:space="preserve">| 5 L JAVA % | 6 L JAVA % | 7 P Python % | 9 P PRO % </v>
      </c>
      <c r="BF443" s="4" t="str">
        <f ca="1">IFERROR(__xludf.DUMMYFUNCTION("""COMPUTED_VALUE"""),"| 5 L PHP-CGM % | 6 L CPT @ | 7 P Python @ ")</f>
        <v xml:space="preserve">| 5 L PHP-CGM % | 6 L CPT @ | 7 P Python @ </v>
      </c>
      <c r="BG443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H443" s="4" t="str">
        <f ca="1">IFERROR(__xludf.DUMMYFUNCTION("""COMPUTED_VALUE"""),"| 5 L CPT % | 6 L NS % | 7 P NS % ")</f>
        <v xml:space="preserve">| 5 L CPT % | 6 L NS % | 7 P NS % </v>
      </c>
      <c r="BI443" s="4" t="str">
        <f ca="1">IFERROR(__xludf.DUMMYFUNCTION("""COMPUTED_VALUE"""),"| 5 L JAVA % | 6 L JAVA % | 7 P Python % | 9 P PRO @ ")</f>
        <v xml:space="preserve">| 5 L JAVA % | 6 L JAVA % | 7 P Python % | 9 P PRO @ </v>
      </c>
      <c r="BJ443" s="4" t="str">
        <f ca="1">IFERROR(__xludf.DUMMYFUNCTION("""COMPUTED_VALUE"""),"| 5 L PHP-CGM @ | 6 L CPT @ | 7 P Python @ | 9 L INE @ ")</f>
        <v xml:space="preserve">| 5 L PHP-CGM @ | 6 L CPT @ | 7 P Python @ | 9 L INE @ </v>
      </c>
      <c r="BK443" s="4" t="str">
        <f ca="1">IFERROR(__xludf.DUMMYFUNCTION("""COMPUTED_VALUE"""),"| 5 L PHP-CGM @ | 6 L NS @ | 9 P JAVA @ ")</f>
        <v xml:space="preserve">| 5 L PHP-CGM @ | 6 L NS @ | 9 P JAVA @ </v>
      </c>
      <c r="BL443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3" s="4" t="str">
        <f ca="1">IFERROR(__xludf.DUMMYFUNCTION("""COMPUTED_VALUE"""),"| 5 L CPT @ | 6 L NS @ ")</f>
        <v xml:space="preserve">| 5 L CPT @ | 6 L NS @ </v>
      </c>
      <c r="BN443" s="4" t="str">
        <f ca="1">IFERROR(__xludf.DUMMYFUNCTION("""COMPUTED_VALUE"""),"| 5 L JAVA @ | 6 L JAVA @ ")</f>
        <v xml:space="preserve">| 5 L JAVA @ | 6 L JAVA @ </v>
      </c>
      <c r="BO443" s="4" t="str">
        <f ca="1">IFERROR(__xludf.DUMMYFUNCTION("""COMPUTED_VALUE"""),"| 5 L PHP-CGM @ | 9 L INE @ | 6 L CPT @ ")</f>
        <v xml:space="preserve">| 5 L PHP-CGM @ | 9 L INE @ | 6 L CPT @ </v>
      </c>
      <c r="BP443" s="4" t="str">
        <f ca="1">IFERROR(__xludf.DUMMYFUNCTION("""COMPUTED_VALUE"""),"| 5 L PHP-CGM @ | 6 L NS @ | 7 P CPT @ ")</f>
        <v xml:space="preserve">| 5 L PHP-CGM @ | 6 L NS @ | 7 P CPT @ </v>
      </c>
      <c r="BQ443" s="4" t="str">
        <f ca="1">IFERROR(__xludf.DUMMYFUNCTION("""COMPUTED_VALUE"""),"| 5 L CPT @ ")</f>
        <v xml:space="preserve">| 5 L CPT @ </v>
      </c>
      <c r="BR443" s="4" t="str">
        <f ca="1">IFERROR(__xludf.DUMMYFUNCTION("""COMPUTED_VALUE"""),"| 5 L JAVA % | 6 L JAVA % ")</f>
        <v xml:space="preserve">| 5 L JAVA % | 6 L JAVA % </v>
      </c>
      <c r="BS443" s="4"/>
      <c r="BT443" s="4" t="str">
        <f ca="1">IFERROR(__xludf.DUMMYFUNCTION("""COMPUTED_VALUE"""),"| 7 P CPT @ | 9 P JAVA @ ")</f>
        <v xml:space="preserve">| 7 P CPT @ | 9 P JAVA @ </v>
      </c>
      <c r="BU443" s="4" t="str">
        <f ca="1">IFERROR(__xludf.DUMMYFUNCTION("""COMPUTED_VALUE"""),"| 7 L JAVA @ | 9 P JAVA @ ")</f>
        <v xml:space="preserve">| 7 L JAVA @ | 9 P JAVA @ </v>
      </c>
      <c r="BV443" s="4" t="str">
        <f ca="1">IFERROR(__xludf.DUMMYFUNCTION("""COMPUTED_VALUE"""),"| 5 L PHP-CGM @ | 6 L NS @ | 9 P JAVA @ ")</f>
        <v xml:space="preserve">| 5 L PHP-CGM @ | 6 L NS @ | 9 P JAVA @ </v>
      </c>
      <c r="BW443" s="4" t="str">
        <f ca="1">IFERROR(__xludf.DUMMYFUNCTION("""COMPUTED_VALUE"""),"| 9 P JAVA @ ")</f>
        <v xml:space="preserve">| 9 P JAVA @ </v>
      </c>
      <c r="BX443" s="4" t="str">
        <f ca="1">IFERROR(__xludf.DUMMYFUNCTION("""COMPUTED_VALUE"""),"| 5 L CPT @ | 6 L NS @ | 7 P NS @ ")</f>
        <v xml:space="preserve">| 5 L CPT @ | 6 L NS @ | 7 P NS @ </v>
      </c>
      <c r="BY443" s="4" t="str">
        <f ca="1">IFERROR(__xludf.DUMMYFUNCTION("""COMPUTED_VALUE"""),"| 5 L JAVA @ | 6 L JAVA @ | 7 P Python @ ")</f>
        <v xml:space="preserve">| 5 L JAVA @ | 6 L JAVA @ | 7 P Python @ </v>
      </c>
      <c r="BZ443" s="4" t="str">
        <f ca="1">IFERROR(__xludf.DUMMYFUNCTION("""COMPUTED_VALUE"""),"| 5 L PHP-CGM @ | 6 L CPT @ | 7 P Python @ ")</f>
        <v xml:space="preserve">| 5 L PHP-CGM @ | 6 L CPT @ | 7 P Python @ </v>
      </c>
      <c r="CA443" s="4" t="str">
        <f ca="1">IFERROR(__xludf.DUMMYFUNCTION("""COMPUTED_VALUE"""),"| 5 L PHP-CGM % | 6 L NS % | 7 P CPT @ | 9 P JAVA @ ")</f>
        <v xml:space="preserve">| 5 L PHP-CGM % | 6 L NS % | 7 P CPT @ | 9 P JAVA @ </v>
      </c>
      <c r="CB443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43" s="4" t="str">
        <f ca="1">IFERROR(__xludf.DUMMYFUNCTION("""COMPUTED_VALUE"""),"| 6 L NS % | 5 L CPT % | 7 P NS % | 9 P PHP-CGM % ")</f>
        <v xml:space="preserve">| 6 L NS % | 5 L CPT % | 7 P NS % | 9 P PHP-CGM % </v>
      </c>
      <c r="CD443" s="4" t="str">
        <f ca="1">IFERROR(__xludf.DUMMYFUNCTION("""COMPUTED_VALUE"""),"| 5 L JAVA % | 6 L JAVA % | 7 P Python @ | 9 P PRO @ ")</f>
        <v xml:space="preserve">| 5 L JAVA % | 6 L JAVA % | 7 P Python @ | 9 P PRO @ </v>
      </c>
      <c r="CE443" s="4" t="str">
        <f ca="1">IFERROR(__xludf.DUMMYFUNCTION("""COMPUTED_VALUE"""),"| 5 L PHP-CGM @ | 6 L CPT @ | 9 L INE @ ")</f>
        <v xml:space="preserve">| 5 L PHP-CGM @ | 6 L CPT @ | 9 L INE @ </v>
      </c>
      <c r="CF443" s="4" t="str">
        <f ca="1">IFERROR(__xludf.DUMMYFUNCTION("""COMPUTED_VALUE"""),"| 5 L PHP-CGM @ | 6 L NS @ | 7 P CPT @ | 9 P JAVA @ ")</f>
        <v xml:space="preserve">| 5 L PHP-CGM @ | 6 L NS @ | 7 P CPT @ | 9 P JAVA @ </v>
      </c>
      <c r="CG443" s="4" t="str">
        <f ca="1">IFERROR(__xludf.DUMMYFUNCTION("""COMPUTED_VALUE"""),"| 6 L PHP-CGM @ | 7 L JAVA @ | 8 L CPT % | 9 P JAVA % ")</f>
        <v xml:space="preserve">| 6 L PHP-CGM @ | 7 L JAVA @ | 8 L CPT % | 9 P JAVA % </v>
      </c>
      <c r="CH443" s="4" t="str">
        <f ca="1">IFERROR(__xludf.DUMMYFUNCTION("""COMPUTED_VALUE"""),"| 5 L CPT % | 6 L NS % ")</f>
        <v xml:space="preserve">| 5 L CPT % | 6 L NS % </v>
      </c>
      <c r="CI443" s="4" t="str">
        <f ca="1">IFERROR(__xludf.DUMMYFUNCTION("""COMPUTED_VALUE"""),"| 5 L JAVA @ | 6 L JAVA @ | 7 P Python % | 9 P PRO @ ")</f>
        <v xml:space="preserve">| 5 L JAVA @ | 6 L JAVA @ | 7 P Python % | 9 P PRO @ </v>
      </c>
      <c r="CJ443" s="4" t="str">
        <f ca="1">IFERROR(__xludf.DUMMYFUNCTION("""COMPUTED_VALUE"""),"| 5 L PHP-CGM @ | 9 L INE @ ")</f>
        <v xml:space="preserve">| 5 L PHP-CGM @ | 9 L INE @ </v>
      </c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</row>
    <row r="444" spans="1:102" ht="12.5" x14ac:dyDescent="0.25">
      <c r="A444" s="3">
        <f ca="1">IFERROR(__xludf.DUMMYFUNCTION("""COMPUTED_VALUE"""),2)</f>
        <v>2</v>
      </c>
      <c r="B444" s="3" t="str">
        <f ca="1">IFERROR(__xludf.DUMMYFUNCTION("""COMPUTED_VALUE"""),"ITB")</f>
        <v>ITB</v>
      </c>
      <c r="C444" s="32" t="str">
        <f ca="1">IFERROR(__xludf.DUMMYFUNCTION("""COMPUTED_VALUE"""),"23291371083")</f>
        <v>23291371083</v>
      </c>
      <c r="D444" s="4" t="str">
        <f ca="1">IFERROR(__xludf.DUMMYFUNCTION("""COMPUTED_VALUE"""),"PATEL KRISH SAMIRKUMAR")</f>
        <v>PATEL KRISH SAMIRKUMAR</v>
      </c>
      <c r="E444" s="3" t="str">
        <f ca="1">IFERROR(__xludf.DUMMYFUNCTION("""COMPUTED_VALUE"""),"VSP - Eve")</f>
        <v>VSP - Eve</v>
      </c>
      <c r="F444" s="3">
        <f ca="1">IFERROR(__xludf.DUMMYFUNCTION("""COMPUTED_VALUE"""),7490805652)</f>
        <v>7490805652</v>
      </c>
      <c r="G444" s="3">
        <f ca="1">IFERROR(__xludf.DUMMYFUNCTION("""COMPUTED_VALUE"""),9662478815)</f>
        <v>9662478815</v>
      </c>
      <c r="H444" s="33">
        <f ca="1">IFERROR(__xludf.DUMMYFUNCTION("""COMPUTED_VALUE"""),0.694690265486725)</f>
        <v>0.69469026548672497</v>
      </c>
      <c r="I444" s="25">
        <f ca="1">IFERROR(__xludf.DUMMYFUNCTION("""COMPUTED_VALUE"""),0.722222222222222)</f>
        <v>0.72222222222222199</v>
      </c>
      <c r="J444" s="25">
        <f ca="1">IFERROR(__xludf.DUMMYFUNCTION("""COMPUTED_VALUE"""),0.6)</f>
        <v>0.6</v>
      </c>
      <c r="K444" s="25">
        <f ca="1">IFERROR(__xludf.DUMMYFUNCTION("""COMPUTED_VALUE"""),0.727272727272727)</f>
        <v>0.72727272727272696</v>
      </c>
      <c r="L444" s="25">
        <f ca="1">IFERROR(__xludf.DUMMYFUNCTION("""COMPUTED_VALUE"""),0.888888888888888)</f>
        <v>0.88888888888888795</v>
      </c>
      <c r="M444" s="25">
        <f ca="1">IFERROR(__xludf.DUMMYFUNCTION("""COMPUTED_VALUE"""),0.617647058823529)</f>
        <v>0.61764705882352899</v>
      </c>
      <c r="N444" s="25">
        <f ca="1">IFERROR(__xludf.DUMMYFUNCTION("""COMPUTED_VALUE"""),0.857142857142857)</f>
        <v>0.85714285714285698</v>
      </c>
      <c r="O444" s="25">
        <f ca="1">IFERROR(__xludf.DUMMYFUNCTION("""COMPUTED_VALUE"""),0.717948717948718)</f>
        <v>0.71794871794871795</v>
      </c>
      <c r="P444" s="25">
        <f ca="1">IFERROR(__xludf.DUMMYFUNCTION("""COMPUTED_VALUE"""),0.5)</f>
        <v>0.5</v>
      </c>
      <c r="Q444" s="25">
        <f ca="1">IFERROR(__xludf.DUMMYFUNCTION("""COMPUTED_VALUE"""),0)</f>
        <v>0</v>
      </c>
      <c r="R444" s="25">
        <f ca="1">IFERROR(__xludf.DUMMYFUNCTION("""COMPUTED_VALUE"""),0.894736842105263)</f>
        <v>0.89473684210526305</v>
      </c>
      <c r="S444" s="25">
        <f ca="1">IFERROR(__xludf.DUMMYFUNCTION("""COMPUTED_VALUE"""),0)</f>
        <v>0</v>
      </c>
      <c r="T444" s="25">
        <f ca="1">IFERROR(__xludf.DUMMYFUNCTION("""COMPUTED_VALUE"""),0.777777777777777)</f>
        <v>0.77777777777777701</v>
      </c>
      <c r="U444" s="25">
        <f ca="1">IFERROR(__xludf.DUMMYFUNCTION("""COMPUTED_VALUE"""),0.333333333333333)</f>
        <v>0.33333333333333298</v>
      </c>
      <c r="V444" s="25">
        <f ca="1">IFERROR(__xludf.DUMMYFUNCTION("""COMPUTED_VALUE"""),0)</f>
        <v>0</v>
      </c>
      <c r="W444" s="4"/>
      <c r="X444" s="4" t="str">
        <f ca="1">IFERROR(__xludf.DUMMYFUNCTION("""COMPUTED_VALUE"""),"| 5 L PHP-CGM @ | 6 L NS @ | 7 P CPT @ | 9 P JAVA @ ")</f>
        <v xml:space="preserve">| 5 L PHP-CGM @ | 6 L NS @ | 7 P CPT @ | 9 P JAVA @ </v>
      </c>
      <c r="Y444" s="4" t="str">
        <f ca="1">IFERROR(__xludf.DUMMYFUNCTION("""COMPUTED_VALUE"""),"| 5 L NS % | 6 L PHP-CGM % | 7 L JAVA @ | 8 L CPT @ ")</f>
        <v xml:space="preserve">| 5 L NS % | 6 L PHP-CGM % | 7 L JAVA @ | 8 L CPT @ </v>
      </c>
      <c r="Z444" s="4" t="str">
        <f ca="1">IFERROR(__xludf.DUMMYFUNCTION("""COMPUTED_VALUE"""),"| 5 L JAVA @ | 6 L NS @ | 7 P NS @ | 9 P PHP-CGM @ ")</f>
        <v xml:space="preserve">| 5 L JAVA @ | 6 L NS @ | 7 P NS @ | 9 P PHP-CGM @ </v>
      </c>
      <c r="AA444" s="4" t="str">
        <f ca="1">IFERROR(__xludf.DUMMYFUNCTION("""COMPUTED_VALUE"""),"| 5 L CPT % | 6 L JAVA % | 7 P Python % | 9 P PRO @ ")</f>
        <v xml:space="preserve">| 5 L CPT % | 6 L JAVA % | 7 P Python % | 9 P PRO @ </v>
      </c>
      <c r="AB444" s="4" t="str">
        <f ca="1">IFERROR(__xludf.DUMMYFUNCTION("""COMPUTED_VALUE"""),"| 5 L PHP-CGM % | 6 L CPT % | 7 P Python % ")</f>
        <v xml:space="preserve">| 5 L PHP-CGM % | 6 L CPT % | 7 P Python % </v>
      </c>
      <c r="AC444" s="4" t="str">
        <f ca="1">IFERROR(__xludf.DUMMYFUNCTION("""COMPUTED_VALUE"""),"| 5 L PHP-CGM % | 6 L NS % | 7 P CPT % | 9 P JAVA % ")</f>
        <v xml:space="preserve">| 5 L PHP-CGM % | 6 L NS % | 7 P CPT % | 9 P JAVA % </v>
      </c>
      <c r="AD444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44" s="4" t="str">
        <f ca="1">IFERROR(__xludf.DUMMYFUNCTION("""COMPUTED_VALUE"""),"| 5 L JAVA % | 6 L NS % | 7 P NS % | 9 P PHP-CGM % ")</f>
        <v xml:space="preserve">| 5 L JAVA % | 6 L NS % | 7 P NS % | 9 P PHP-CGM % </v>
      </c>
      <c r="AF444" s="4" t="str">
        <f ca="1">IFERROR(__xludf.DUMMYFUNCTION("""COMPUTED_VALUE"""),"| 5 L CPT % | 6 L JAVA % | 7 P Python % | 9 P PRO % ")</f>
        <v xml:space="preserve">| 5 L CPT % | 6 L JAVA % | 7 P Python % | 9 P PRO % </v>
      </c>
      <c r="AG444" s="4" t="str">
        <f ca="1">IFERROR(__xludf.DUMMYFUNCTION("""COMPUTED_VALUE"""),"| 5 L PHP-CGM @ | 6 L CPT @ ")</f>
        <v xml:space="preserve">| 5 L PHP-CGM @ | 6 L CPT @ </v>
      </c>
      <c r="AH444" s="4" t="str">
        <f ca="1">IFERROR(__xludf.DUMMYFUNCTION("""COMPUTED_VALUE"""),"| 5 L CPT % | 6 L JAVA % | 7 P Python % | 9 P PRO % ")</f>
        <v xml:space="preserve">| 5 L CPT % | 6 L JAVA % | 7 P Python % | 9 P PRO % </v>
      </c>
      <c r="AI444" s="4" t="str">
        <f ca="1">IFERROR(__xludf.DUMMYFUNCTION("""COMPUTED_VALUE"""),"| 5 L PHP-CGM @ | 6 L CPT @ | 7 P Python @ ")</f>
        <v xml:space="preserve">| 5 L PHP-CGM @ | 6 L CPT @ | 7 P Python @ </v>
      </c>
      <c r="AJ444" s="4" t="str">
        <f ca="1">IFERROR(__xludf.DUMMYFUNCTION("""COMPUTED_VALUE"""),"| 5 L PHP-CGM @ | 6 L NS @ | 7 P CPT @ | 9 P JAVA @ ")</f>
        <v xml:space="preserve">| 5 L PHP-CGM @ | 6 L NS @ | 7 P CPT @ | 9 P JAVA @ </v>
      </c>
      <c r="AK444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4" s="4" t="str">
        <f ca="1">IFERROR(__xludf.DUMMYFUNCTION("""COMPUTED_VALUE"""),"| 5 L JAVA @ | 6 L NS % | 7 P NS % | 9 P PHP-CGM % ")</f>
        <v xml:space="preserve">| 5 L JAVA @ | 6 L NS % | 7 P NS % | 9 P PHP-CGM % </v>
      </c>
      <c r="AM444" s="4" t="str">
        <f ca="1">IFERROR(__xludf.DUMMYFUNCTION("""COMPUTED_VALUE"""),"| 5 L CPT % | 6 L JAVA % | 7 P Python % | 9 P PRO % ")</f>
        <v xml:space="preserve">| 5 L CPT % | 6 L JAVA % | 7 P Python % | 9 P PRO % </v>
      </c>
      <c r="AN444" s="4" t="str">
        <f ca="1">IFERROR(__xludf.DUMMYFUNCTION("""COMPUTED_VALUE"""),"| 5 L PHP-CGM % | 6 L CPT % | 7 P Python % ")</f>
        <v xml:space="preserve">| 5 L PHP-CGM % | 6 L CPT % | 7 P Python % </v>
      </c>
      <c r="AO444" s="4" t="str">
        <f ca="1">IFERROR(__xludf.DUMMYFUNCTION("""COMPUTED_VALUE"""),"| 5 L PHP-CGM % | 6 L NS % | 7 P CPT % | 9 P JAVA % ")</f>
        <v xml:space="preserve">| 5 L PHP-CGM % | 6 L NS % | 7 P CPT % | 9 P JAVA % </v>
      </c>
      <c r="AP444" s="4" t="str">
        <f ca="1">IFERROR(__xludf.DUMMYFUNCTION("""COMPUTED_VALUE"""),"| 5 L NS % | 7 L JAVA % | 8 L CPT % | 9 P JAVA @ ")</f>
        <v xml:space="preserve">| 5 L NS % | 7 L JAVA % | 8 L CPT % | 9 P JAVA @ </v>
      </c>
      <c r="AQ444" s="4" t="str">
        <f ca="1">IFERROR(__xludf.DUMMYFUNCTION("""COMPUTED_VALUE"""),"| 5 L CPT % | 6 L NS % | 7 P NS % | 9 P PHP-CGM % ")</f>
        <v xml:space="preserve">| 5 L CPT % | 6 L NS % | 7 P NS % | 9 P PHP-CGM % </v>
      </c>
      <c r="AR444" s="4" t="str">
        <f ca="1">IFERROR(__xludf.DUMMYFUNCTION("""COMPUTED_VALUE"""),"| 5 L JAVA % | 6 L JAVA % | 5 L CPT @ | 7 P Python % ")</f>
        <v xml:space="preserve">| 5 L JAVA % | 6 L JAVA % | 5 L CPT @ | 7 P Python % </v>
      </c>
      <c r="AS444" s="4" t="str">
        <f ca="1">IFERROR(__xludf.DUMMYFUNCTION("""COMPUTED_VALUE"""),"| 5 L PHP-CGM % | 6 L NS % | 9 P JAVA % ")</f>
        <v xml:space="preserve">| 5 L PHP-CGM % | 6 L NS % | 9 P JAVA % </v>
      </c>
      <c r="AT44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44" s="4" t="str">
        <f ca="1">IFERROR(__xludf.DUMMYFUNCTION("""COMPUTED_VALUE"""),"| 5 L CPT % | 6 L NS % | 7 P NS % | 9 P PHP-CGM % ")</f>
        <v xml:space="preserve">| 5 L CPT % | 6 L NS % | 7 P NS % | 9 P PHP-CGM % </v>
      </c>
      <c r="AV444" s="4" t="str">
        <f ca="1">IFERROR(__xludf.DUMMYFUNCTION("""COMPUTED_VALUE"""),"| 5 L JAVA % | 6 L JAVA % | 7 P Python % | 9 P PRO % ")</f>
        <v xml:space="preserve">| 5 L JAVA % | 6 L JAVA % | 7 P Python % | 9 P PRO % </v>
      </c>
      <c r="AW444" s="4" t="str">
        <f ca="1">IFERROR(__xludf.DUMMYFUNCTION("""COMPUTED_VALUE"""),"| 5 L PHP-CGM % | 6 L CPT % | 7 P Python % | 9 L INE % ")</f>
        <v xml:space="preserve">| 5 L PHP-CGM % | 6 L CPT % | 7 P Python % | 9 L INE % </v>
      </c>
      <c r="AX444" s="4" t="str">
        <f ca="1">IFERROR(__xludf.DUMMYFUNCTION("""COMPUTED_VALUE"""),"| 5 L PHP-CGM % | 6 L NS % | 7 P CPT % | 9 P JAVA % ")</f>
        <v xml:space="preserve">| 5 L PHP-CGM % | 6 L NS % | 7 P CPT % | 9 P JAVA % </v>
      </c>
      <c r="AY444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44" s="4" t="str">
        <f ca="1">IFERROR(__xludf.DUMMYFUNCTION("""COMPUTED_VALUE"""),"| 5 L JAVA @ | 6 L JAVA @ | 7 P Python @ ")</f>
        <v xml:space="preserve">| 5 L JAVA @ | 6 L JAVA @ | 7 P Python @ </v>
      </c>
      <c r="BA444" s="4" t="str">
        <f ca="1">IFERROR(__xludf.DUMMYFUNCTION("""COMPUTED_VALUE"""),"| 5 L PHP-CGM @ | 6 L CPT @ | 9 L INE @ ")</f>
        <v xml:space="preserve">| 5 L PHP-CGM @ | 6 L CPT @ | 9 L INE @ </v>
      </c>
      <c r="BB444" s="4" t="str">
        <f ca="1">IFERROR(__xludf.DUMMYFUNCTION("""COMPUTED_VALUE"""),"| 5 L PHP-CGM % | 6 L NS % | 7 P CPT % | 9 P JAVA % ")</f>
        <v xml:space="preserve">| 5 L PHP-CGM % | 6 L NS % | 7 P CPT % | 9 P JAVA % </v>
      </c>
      <c r="BC44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D444" s="4" t="str">
        <f ca="1">IFERROR(__xludf.DUMMYFUNCTION("""COMPUTED_VALUE"""),"| 5 L CPT % | 6 L NS % | 7 P NS % | 9 P PHP-CGM % ")</f>
        <v xml:space="preserve">| 5 L CPT % | 6 L NS % | 7 P NS % | 9 P PHP-CGM % </v>
      </c>
      <c r="BE444" s="4" t="str">
        <f ca="1">IFERROR(__xludf.DUMMYFUNCTION("""COMPUTED_VALUE"""),"| 5 L JAVA % | 6 L JAVA % | 7 P Python % | 9 P PRO % ")</f>
        <v xml:space="preserve">| 5 L JAVA % | 6 L JAVA % | 7 P Python % | 9 P PRO % </v>
      </c>
      <c r="BF444" s="4" t="str">
        <f ca="1">IFERROR(__xludf.DUMMYFUNCTION("""COMPUTED_VALUE"""),"| 5 L PHP-CGM % | 6 L CPT @ | 7 P Python % ")</f>
        <v xml:space="preserve">| 5 L PHP-CGM % | 6 L CPT @ | 7 P Python % </v>
      </c>
      <c r="BG44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44" s="4" t="str">
        <f ca="1">IFERROR(__xludf.DUMMYFUNCTION("""COMPUTED_VALUE"""),"| 5 L CPT % | 6 L NS % | 7 P NS % ")</f>
        <v xml:space="preserve">| 5 L CPT % | 6 L NS % | 7 P NS % </v>
      </c>
      <c r="BI444" s="4" t="str">
        <f ca="1">IFERROR(__xludf.DUMMYFUNCTION("""COMPUTED_VALUE"""),"| 5 L JAVA % | 6 L JAVA % | 7 P Python % | 9 P PRO % ")</f>
        <v xml:space="preserve">| 5 L JAVA % | 6 L JAVA % | 7 P Python % | 9 P PRO % </v>
      </c>
      <c r="BJ444" s="4" t="str">
        <f ca="1">IFERROR(__xludf.DUMMYFUNCTION("""COMPUTED_VALUE"""),"| 5 L PHP-CGM % | 6 L CPT % | 7 P Python % | 9 L INE @ ")</f>
        <v xml:space="preserve">| 5 L PHP-CGM % | 6 L CPT % | 7 P Python % | 9 L INE @ </v>
      </c>
      <c r="BK444" s="4" t="str">
        <f ca="1">IFERROR(__xludf.DUMMYFUNCTION("""COMPUTED_VALUE"""),"| 5 L PHP-CGM @ | 6 L NS @ | 9 P JAVA @ ")</f>
        <v xml:space="preserve">| 5 L PHP-CGM @ | 6 L NS @ | 9 P JAVA @ </v>
      </c>
      <c r="BL444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4" s="4" t="str">
        <f ca="1">IFERROR(__xludf.DUMMYFUNCTION("""COMPUTED_VALUE"""),"| 5 L CPT @ | 6 L NS @ ")</f>
        <v xml:space="preserve">| 5 L CPT @ | 6 L NS @ </v>
      </c>
      <c r="BN444" s="4" t="str">
        <f ca="1">IFERROR(__xludf.DUMMYFUNCTION("""COMPUTED_VALUE"""),"| 5 L JAVA @ | 6 L JAVA @ ")</f>
        <v xml:space="preserve">| 5 L JAVA @ | 6 L JAVA @ </v>
      </c>
      <c r="BO444" s="4" t="str">
        <f ca="1">IFERROR(__xludf.DUMMYFUNCTION("""COMPUTED_VALUE"""),"| 5 L PHP-CGM @ | 9 L INE @ | 6 L CPT @ ")</f>
        <v xml:space="preserve">| 5 L PHP-CGM @ | 9 L INE @ | 6 L CPT @ </v>
      </c>
      <c r="BP444" s="4" t="str">
        <f ca="1">IFERROR(__xludf.DUMMYFUNCTION("""COMPUTED_VALUE"""),"| 5 L PHP-CGM @ | 6 L NS @ | 7 P CPT @ ")</f>
        <v xml:space="preserve">| 5 L PHP-CGM @ | 6 L NS @ | 7 P CPT @ </v>
      </c>
      <c r="BQ444" s="4" t="str">
        <f ca="1">IFERROR(__xludf.DUMMYFUNCTION("""COMPUTED_VALUE"""),"| 5 L CPT @ ")</f>
        <v xml:space="preserve">| 5 L CPT @ </v>
      </c>
      <c r="BR444" s="4" t="str">
        <f ca="1">IFERROR(__xludf.DUMMYFUNCTION("""COMPUTED_VALUE"""),"| 5 L JAVA % | 6 L JAVA % ")</f>
        <v xml:space="preserve">| 5 L JAVA % | 6 L JAVA % </v>
      </c>
      <c r="BS444" s="4"/>
      <c r="BT444" s="4" t="str">
        <f ca="1">IFERROR(__xludf.DUMMYFUNCTION("""COMPUTED_VALUE"""),"| 7 P CPT % | 9 P JAVA @ ")</f>
        <v xml:space="preserve">| 7 P CPT % | 9 P JAVA @ </v>
      </c>
      <c r="BU444" s="4" t="str">
        <f ca="1">IFERROR(__xludf.DUMMYFUNCTION("""COMPUTED_VALUE"""),"| 7 L JAVA @ | 9 P JAVA @ ")</f>
        <v xml:space="preserve">| 7 L JAVA @ | 9 P JAVA @ </v>
      </c>
      <c r="BV444" s="4" t="str">
        <f ca="1">IFERROR(__xludf.DUMMYFUNCTION("""COMPUTED_VALUE"""),"| 5 L PHP-CGM @ | 6 L NS @ | 9 P JAVA @ ")</f>
        <v xml:space="preserve">| 5 L PHP-CGM @ | 6 L NS @ | 9 P JAVA @ </v>
      </c>
      <c r="BW444" s="4" t="str">
        <f ca="1">IFERROR(__xludf.DUMMYFUNCTION("""COMPUTED_VALUE"""),"| 9 P JAVA @ ")</f>
        <v xml:space="preserve">| 9 P JAVA @ </v>
      </c>
      <c r="BX444" s="4" t="str">
        <f ca="1">IFERROR(__xludf.DUMMYFUNCTION("""COMPUTED_VALUE"""),"| 5 L CPT % | 6 L NS % | 7 P NS % ")</f>
        <v xml:space="preserve">| 5 L CPT % | 6 L NS % | 7 P NS % </v>
      </c>
      <c r="BY444" s="4" t="str">
        <f ca="1">IFERROR(__xludf.DUMMYFUNCTION("""COMPUTED_VALUE"""),"| 5 L JAVA % | 6 L JAVA % | 7 P Python % ")</f>
        <v xml:space="preserve">| 5 L JAVA % | 6 L JAVA % | 7 P Python % </v>
      </c>
      <c r="BZ444" s="4" t="str">
        <f ca="1">IFERROR(__xludf.DUMMYFUNCTION("""COMPUTED_VALUE"""),"| 5 L PHP-CGM % | 6 L CPT % | 7 P Python % ")</f>
        <v xml:space="preserve">| 5 L PHP-CGM % | 6 L CPT % | 7 P Python % </v>
      </c>
      <c r="CA444" s="4" t="str">
        <f ca="1">IFERROR(__xludf.DUMMYFUNCTION("""COMPUTED_VALUE"""),"| 5 L PHP-CGM @ | 6 L NS % | 7 P CPT % | 9 P JAVA % ")</f>
        <v xml:space="preserve">| 5 L PHP-CGM @ | 6 L NS % | 7 P CPT % | 9 P JAVA % </v>
      </c>
      <c r="CB444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44" s="4" t="str">
        <f ca="1">IFERROR(__xludf.DUMMYFUNCTION("""COMPUTED_VALUE"""),"| 6 L NS % | 5 L CPT % | 7 P NS % | 9 P PHP-CGM % ")</f>
        <v xml:space="preserve">| 6 L NS % | 5 L CPT % | 7 P NS % | 9 P PHP-CGM % </v>
      </c>
      <c r="CD444" s="4" t="str">
        <f ca="1">IFERROR(__xludf.DUMMYFUNCTION("""COMPUTED_VALUE"""),"| 5 L JAVA @ | 6 L JAVA @ | 7 P Python % | 9 P PRO % ")</f>
        <v xml:space="preserve">| 5 L JAVA @ | 6 L JAVA @ | 7 P Python % | 9 P PRO % </v>
      </c>
      <c r="CE444" s="4" t="str">
        <f ca="1">IFERROR(__xludf.DUMMYFUNCTION("""COMPUTED_VALUE"""),"| 5 L PHP-CGM % | 6 L CPT % | 9 L INE % ")</f>
        <v xml:space="preserve">| 5 L PHP-CGM % | 6 L CPT % | 9 L INE % </v>
      </c>
      <c r="CF444" s="4" t="str">
        <f ca="1">IFERROR(__xludf.DUMMYFUNCTION("""COMPUTED_VALUE"""),"| 5 L PHP-CGM @ | 6 L NS @ | 7 P CPT @ | 9 P JAVA @ ")</f>
        <v xml:space="preserve">| 5 L PHP-CGM @ | 6 L NS @ | 7 P CPT @ | 9 P JAVA @ </v>
      </c>
      <c r="CG444" s="4" t="str">
        <f ca="1">IFERROR(__xludf.DUMMYFUNCTION("""COMPUTED_VALUE"""),"| 6 L PHP-CGM % | 7 L JAVA % | 8 L CPT % | 9 P JAVA % ")</f>
        <v xml:space="preserve">| 6 L PHP-CGM % | 7 L JAVA % | 8 L CPT % | 9 P JAVA % </v>
      </c>
      <c r="CH444" s="4" t="str">
        <f ca="1">IFERROR(__xludf.DUMMYFUNCTION("""COMPUTED_VALUE"""),"| 5 L CPT % | 6 L NS % ")</f>
        <v xml:space="preserve">| 5 L CPT % | 6 L NS % </v>
      </c>
      <c r="CI444" s="4" t="str">
        <f ca="1">IFERROR(__xludf.DUMMYFUNCTION("""COMPUTED_VALUE"""),"| 5 L JAVA % | 6 L JAVA % | 7 P Python % | 9 P PRO @ ")</f>
        <v xml:space="preserve">| 5 L JAVA % | 6 L JAVA % | 7 P Python % | 9 P PRO @ </v>
      </c>
      <c r="CJ444" s="4" t="str">
        <f ca="1">IFERROR(__xludf.DUMMYFUNCTION("""COMPUTED_VALUE"""),"| 5 L PHP-CGM @ | 9 L INE @ ")</f>
        <v xml:space="preserve">| 5 L PHP-CGM @ | 9 L INE @ </v>
      </c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</row>
    <row r="445" spans="1:102" ht="12.5" x14ac:dyDescent="0.25">
      <c r="A445" s="3">
        <f ca="1">IFERROR(__xludf.DUMMYFUNCTION("""COMPUTED_VALUE"""),2)</f>
        <v>2</v>
      </c>
      <c r="B445" s="3" t="str">
        <f ca="1">IFERROR(__xludf.DUMMYFUNCTION("""COMPUTED_VALUE"""),"ITB")</f>
        <v>ITB</v>
      </c>
      <c r="C445" s="32" t="str">
        <f ca="1">IFERROR(__xludf.DUMMYFUNCTION("""COMPUTED_VALUE"""),"23291371087")</f>
        <v>23291371087</v>
      </c>
      <c r="D445" s="4" t="str">
        <f ca="1">IFERROR(__xludf.DUMMYFUNCTION("""COMPUTED_VALUE"""),"PATEL MEETKUMAR SHAILESHKUMAR")</f>
        <v>PATEL MEETKUMAR SHAILESHKUMAR</v>
      </c>
      <c r="E445" s="3" t="str">
        <f ca="1">IFERROR(__xludf.DUMMYFUNCTION("""COMPUTED_VALUE"""),"VSP - Eve")</f>
        <v>VSP - Eve</v>
      </c>
      <c r="F445" s="3">
        <f ca="1">IFERROR(__xludf.DUMMYFUNCTION("""COMPUTED_VALUE"""),8799279882)</f>
        <v>8799279882</v>
      </c>
      <c r="G445" s="3">
        <f ca="1">IFERROR(__xludf.DUMMYFUNCTION("""COMPUTED_VALUE"""),9879051177)</f>
        <v>9879051177</v>
      </c>
      <c r="H445" s="33">
        <f ca="1">IFERROR(__xludf.DUMMYFUNCTION("""COMPUTED_VALUE"""),0.283185840707964)</f>
        <v>0.28318584070796399</v>
      </c>
      <c r="I445" s="25">
        <f ca="1">IFERROR(__xludf.DUMMYFUNCTION("""COMPUTED_VALUE"""),0.388888888888888)</f>
        <v>0.38888888888888801</v>
      </c>
      <c r="J445" s="25">
        <f ca="1">IFERROR(__xludf.DUMMYFUNCTION("""COMPUTED_VALUE"""),0.2)</f>
        <v>0.2</v>
      </c>
      <c r="K445" s="25">
        <f ca="1">IFERROR(__xludf.DUMMYFUNCTION("""COMPUTED_VALUE"""),0.424242424242424)</f>
        <v>0.42424242424242398</v>
      </c>
      <c r="L445" s="25">
        <f ca="1">IFERROR(__xludf.DUMMYFUNCTION("""COMPUTED_VALUE"""),0.222222222222222)</f>
        <v>0.22222222222222199</v>
      </c>
      <c r="M445" s="25">
        <f ca="1">IFERROR(__xludf.DUMMYFUNCTION("""COMPUTED_VALUE"""),0.38235294117647)</f>
        <v>0.38235294117647001</v>
      </c>
      <c r="N445" s="25">
        <f ca="1">IFERROR(__xludf.DUMMYFUNCTION("""COMPUTED_VALUE"""),0.285714285714285)</f>
        <v>0.28571428571428498</v>
      </c>
      <c r="O445" s="25">
        <f ca="1">IFERROR(__xludf.DUMMYFUNCTION("""COMPUTED_VALUE"""),0.333333333333333)</f>
        <v>0.33333333333333298</v>
      </c>
      <c r="P445" s="25">
        <f ca="1">IFERROR(__xludf.DUMMYFUNCTION("""COMPUTED_VALUE"""),0.0416666666666666)</f>
        <v>4.1666666666666602E-2</v>
      </c>
      <c r="Q445" s="25">
        <f ca="1">IFERROR(__xludf.DUMMYFUNCTION("""COMPUTED_VALUE"""),0)</f>
        <v>0</v>
      </c>
      <c r="R445" s="25">
        <f ca="1">IFERROR(__xludf.DUMMYFUNCTION("""COMPUTED_VALUE"""),0.157894736842105)</f>
        <v>0.157894736842105</v>
      </c>
      <c r="S445" s="25">
        <f ca="1">IFERROR(__xludf.DUMMYFUNCTION("""COMPUTED_VALUE"""),0)</f>
        <v>0</v>
      </c>
      <c r="T445" s="25">
        <f ca="1">IFERROR(__xludf.DUMMYFUNCTION("""COMPUTED_VALUE"""),0)</f>
        <v>0</v>
      </c>
      <c r="U445" s="25">
        <f ca="1">IFERROR(__xludf.DUMMYFUNCTION("""COMPUTED_VALUE"""),0)</f>
        <v>0</v>
      </c>
      <c r="V445" s="25">
        <f ca="1">IFERROR(__xludf.DUMMYFUNCTION("""COMPUTED_VALUE"""),0)</f>
        <v>0</v>
      </c>
      <c r="W445" s="4"/>
      <c r="X445" s="4" t="str">
        <f ca="1">IFERROR(__xludf.DUMMYFUNCTION("""COMPUTED_VALUE"""),"| 5 L PHP-CGM @ | 6 L NS @ | 7 P CPT @ | 9 P JAVA @ ")</f>
        <v xml:space="preserve">| 5 L PHP-CGM @ | 6 L NS @ | 7 P CPT @ | 9 P JAVA @ </v>
      </c>
      <c r="Y445" s="4" t="str">
        <f ca="1">IFERROR(__xludf.DUMMYFUNCTION("""COMPUTED_VALUE"""),"| 5 L NS @ | 6 L PHP-CGM @ | 7 L JAVA @ | 8 L CPT @ ")</f>
        <v xml:space="preserve">| 5 L NS @ | 6 L PHP-CGM @ | 7 L JAVA @ | 8 L CPT @ </v>
      </c>
      <c r="Z445" s="4" t="str">
        <f ca="1">IFERROR(__xludf.DUMMYFUNCTION("""COMPUTED_VALUE"""),"| 5 L JAVA % | 6 L NS % | 7 P NS % | 9 P PHP-CGM % ")</f>
        <v xml:space="preserve">| 5 L JAVA % | 6 L NS % | 7 P NS % | 9 P PHP-CGM % </v>
      </c>
      <c r="AA445" s="4" t="str">
        <f ca="1">IFERROR(__xludf.DUMMYFUNCTION("""COMPUTED_VALUE"""),"| 5 L CPT % | 6 L JAVA % | 7 P Python % | 9 P PRO @ ")</f>
        <v xml:space="preserve">| 5 L CPT % | 6 L JAVA % | 7 P Python % | 9 P PRO @ </v>
      </c>
      <c r="AB445" s="4" t="str">
        <f ca="1">IFERROR(__xludf.DUMMYFUNCTION("""COMPUTED_VALUE"""),"| 5 L PHP-CGM @ | 6 L CPT @ | 7 P Python @ ")</f>
        <v xml:space="preserve">| 5 L PHP-CGM @ | 6 L CPT @ | 7 P Python @ </v>
      </c>
      <c r="AC445" s="4" t="str">
        <f ca="1">IFERROR(__xludf.DUMMYFUNCTION("""COMPUTED_VALUE"""),"| 5 L PHP-CGM @ | 6 L NS @ | 7 P CPT @ | 9 P JAVA @ ")</f>
        <v xml:space="preserve">| 5 L PHP-CGM @ | 6 L NS @ | 7 P CPT @ | 9 P JAVA @ </v>
      </c>
      <c r="AD445" s="4" t="str">
        <f ca="1">IFERROR(__xludf.DUMMYFUNCTION("""COMPUTED_VALUE"""),"| 5 L NS % | 7 L JAVA % | 8 L CPT % | 9 P JAVA @ | 6 L PHP-CGM % ")</f>
        <v xml:space="preserve">| 5 L NS % | 7 L JAVA % | 8 L CPT % | 9 P JAVA @ | 6 L PHP-CGM % </v>
      </c>
      <c r="AE445" s="4" t="str">
        <f ca="1">IFERROR(__xludf.DUMMYFUNCTION("""COMPUTED_VALUE"""),"| 5 L JAVA % | 6 L NS % | 7 P NS @ | 9 P PHP-CGM @ ")</f>
        <v xml:space="preserve">| 5 L JAVA % | 6 L NS % | 7 P NS @ | 9 P PHP-CGM @ </v>
      </c>
      <c r="AF445" s="4" t="str">
        <f ca="1">IFERROR(__xludf.DUMMYFUNCTION("""COMPUTED_VALUE"""),"| 5 L CPT % | 6 L JAVA % | 7 P Python @ | 9 P PRO @ ")</f>
        <v xml:space="preserve">| 5 L CPT % | 6 L JAVA % | 7 P Python @ | 9 P PRO @ </v>
      </c>
      <c r="AG445" s="4" t="str">
        <f ca="1">IFERROR(__xludf.DUMMYFUNCTION("""COMPUTED_VALUE"""),"| 5 L PHP-CGM % | 6 L CPT % ")</f>
        <v xml:space="preserve">| 5 L PHP-CGM % | 6 L CPT % </v>
      </c>
      <c r="AH445" s="4" t="str">
        <f ca="1">IFERROR(__xludf.DUMMYFUNCTION("""COMPUTED_VALUE"""),"| 5 L CPT % | 6 L JAVA % | 7 P Python @ | 9 P PRO @ ")</f>
        <v xml:space="preserve">| 5 L CPT % | 6 L JAVA % | 7 P Python @ | 9 P PRO @ </v>
      </c>
      <c r="AI445" s="4" t="str">
        <f ca="1">IFERROR(__xludf.DUMMYFUNCTION("""COMPUTED_VALUE"""),"| 5 L PHP-CGM % | 6 L CPT % | 7 P Python % ")</f>
        <v xml:space="preserve">| 5 L PHP-CGM % | 6 L CPT % | 7 P Python % </v>
      </c>
      <c r="AJ445" s="4" t="str">
        <f ca="1">IFERROR(__xludf.DUMMYFUNCTION("""COMPUTED_VALUE"""),"| 5 L PHP-CGM % | 6 L NS % | 7 P CPT @ | 9 P JAVA % ")</f>
        <v xml:space="preserve">| 5 L PHP-CGM % | 6 L NS % | 7 P CPT @ | 9 P JAVA % </v>
      </c>
      <c r="AK445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5" s="4" t="str">
        <f ca="1">IFERROR(__xludf.DUMMYFUNCTION("""COMPUTED_VALUE"""),"| 5 L JAVA % | 6 L NS % | 7 P NS % | 9 P PHP-CGM % ")</f>
        <v xml:space="preserve">| 5 L JAVA % | 6 L NS % | 7 P NS % | 9 P PHP-CGM % </v>
      </c>
      <c r="AM445" s="4" t="str">
        <f ca="1">IFERROR(__xludf.DUMMYFUNCTION("""COMPUTED_VALUE"""),"| 5 L CPT @ | 6 L JAVA @ | 7 P Python @ | 9 P PRO @ ")</f>
        <v xml:space="preserve">| 5 L CPT @ | 6 L JAVA @ | 7 P Python @ | 9 P PRO @ </v>
      </c>
      <c r="AN445" s="4" t="str">
        <f ca="1">IFERROR(__xludf.DUMMYFUNCTION("""COMPUTED_VALUE"""),"| 5 L PHP-CGM % | 6 L CPT % | 7 P Python % ")</f>
        <v xml:space="preserve">| 5 L PHP-CGM % | 6 L CPT % | 7 P Python % </v>
      </c>
      <c r="AO445" s="4" t="str">
        <f ca="1">IFERROR(__xludf.DUMMYFUNCTION("""COMPUTED_VALUE"""),"| 5 L PHP-CGM @ | 6 L NS @ | 7 P CPT @ | 9 P JAVA @ ")</f>
        <v xml:space="preserve">| 5 L PHP-CGM @ | 6 L NS @ | 7 P CPT @ | 9 P JAVA @ </v>
      </c>
      <c r="AP445" s="4" t="str">
        <f ca="1">IFERROR(__xludf.DUMMYFUNCTION("""COMPUTED_VALUE"""),"| 5 L NS % | 7 L JAVA % | 8 L CPT % | 9 P JAVA @ ")</f>
        <v xml:space="preserve">| 5 L NS % | 7 L JAVA % | 8 L CPT % | 9 P JAVA @ </v>
      </c>
      <c r="AQ445" s="4" t="str">
        <f ca="1">IFERROR(__xludf.DUMMYFUNCTION("""COMPUTED_VALUE"""),"| 5 L CPT % | 6 L NS % | 7 P NS @ | 9 P PHP-CGM @ ")</f>
        <v xml:space="preserve">| 5 L CPT % | 6 L NS % | 7 P NS @ | 9 P PHP-CGM @ </v>
      </c>
      <c r="AR445" s="4" t="str">
        <f ca="1">IFERROR(__xludf.DUMMYFUNCTION("""COMPUTED_VALUE"""),"| 5 L JAVA @ | 6 L JAVA @ | 5 L CPT @ | 7 P Python @ ")</f>
        <v xml:space="preserve">| 5 L JAVA @ | 6 L JAVA @ | 5 L CPT @ | 7 P Python @ </v>
      </c>
      <c r="AS445" s="4" t="str">
        <f ca="1">IFERROR(__xludf.DUMMYFUNCTION("""COMPUTED_VALUE"""),"| 5 L PHP-CGM @ | 6 L NS @ | 9 P JAVA @ ")</f>
        <v xml:space="preserve">| 5 L PHP-CGM @ | 6 L NS @ | 9 P JAVA @ </v>
      </c>
      <c r="AT445" s="4" t="str">
        <f ca="1">IFERROR(__xludf.DUMMYFUNCTION("""COMPUTED_VALUE"""),"| 5 L NS % | 6 L PHP-CGM % | 7 L JAVA @ | 8 L CPT @ | 9 P JAVA @ ")</f>
        <v xml:space="preserve">| 5 L NS % | 6 L PHP-CGM % | 7 L JAVA @ | 8 L CPT @ | 9 P JAVA @ </v>
      </c>
      <c r="AU445" s="4" t="str">
        <f ca="1">IFERROR(__xludf.DUMMYFUNCTION("""COMPUTED_VALUE"""),"| 5 L CPT @ | 6 L NS @ | 7 P NS @ | 9 P PHP-CGM @ ")</f>
        <v xml:space="preserve">| 5 L CPT @ | 6 L NS @ | 7 P NS @ | 9 P PHP-CGM @ </v>
      </c>
      <c r="AV445" s="4" t="str">
        <f ca="1">IFERROR(__xludf.DUMMYFUNCTION("""COMPUTED_VALUE"""),"| 5 L JAVA @ | 6 L JAVA @ | 7 P Python @ | 9 P PRO @ ")</f>
        <v xml:space="preserve">| 5 L JAVA @ | 6 L JAVA @ | 7 P Python @ | 9 P PRO @ </v>
      </c>
      <c r="AW445" s="4" t="str">
        <f ca="1">IFERROR(__xludf.DUMMYFUNCTION("""COMPUTED_VALUE"""),"| 5 L PHP-CGM % | 6 L CPT % | 7 P Python @ | 9 L INE @ ")</f>
        <v xml:space="preserve">| 5 L PHP-CGM % | 6 L CPT % | 7 P Python @ | 9 L INE @ </v>
      </c>
      <c r="AX445" s="4" t="str">
        <f ca="1">IFERROR(__xludf.DUMMYFUNCTION("""COMPUTED_VALUE"""),"| 5 L PHP-CGM % | 6 L NS % | 7 P CPT % | 9 P JAVA @ ")</f>
        <v xml:space="preserve">| 5 L PHP-CGM % | 6 L NS % | 7 P CPT % | 9 P JAVA @ </v>
      </c>
      <c r="AY445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AZ445" s="4" t="str">
        <f ca="1">IFERROR(__xludf.DUMMYFUNCTION("""COMPUTED_VALUE"""),"| 5 L JAVA @ | 6 L JAVA @ | 7 P Python @ ")</f>
        <v xml:space="preserve">| 5 L JAVA @ | 6 L JAVA @ | 7 P Python @ </v>
      </c>
      <c r="BA445" s="4" t="str">
        <f ca="1">IFERROR(__xludf.DUMMYFUNCTION("""COMPUTED_VALUE"""),"| 5 L PHP-CGM @ | 6 L CPT @ | 9 L INE @ ")</f>
        <v xml:space="preserve">| 5 L PHP-CGM @ | 6 L CPT @ | 9 L INE @ </v>
      </c>
      <c r="BB445" s="4" t="str">
        <f ca="1">IFERROR(__xludf.DUMMYFUNCTION("""COMPUTED_VALUE"""),"| 5 L PHP-CGM % | 6 L NS % | 7 P CPT % | 9 P JAVA @ ")</f>
        <v xml:space="preserve">| 5 L PHP-CGM % | 6 L NS % | 7 P CPT % | 9 P JAVA @ </v>
      </c>
      <c r="BC445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D445" s="4" t="str">
        <f ca="1">IFERROR(__xludf.DUMMYFUNCTION("""COMPUTED_VALUE"""),"| 5 L CPT @ | 6 L NS @ | 7 P NS @ | 9 P PHP-CGM @ ")</f>
        <v xml:space="preserve">| 5 L CPT @ | 6 L NS @ | 7 P NS @ | 9 P PHP-CGM @ </v>
      </c>
      <c r="BE445" s="4" t="str">
        <f ca="1">IFERROR(__xludf.DUMMYFUNCTION("""COMPUTED_VALUE"""),"| 5 L JAVA @ | 6 L JAVA @ | 7 P Python @ | 9 P PRO @ ")</f>
        <v xml:space="preserve">| 5 L JAVA @ | 6 L JAVA @ | 7 P Python @ | 9 P PRO @ </v>
      </c>
      <c r="BF445" s="4" t="str">
        <f ca="1">IFERROR(__xludf.DUMMYFUNCTION("""COMPUTED_VALUE"""),"| 5 L PHP-CGM @ | 6 L CPT @ | 7 P Python @ ")</f>
        <v xml:space="preserve">| 5 L PHP-CGM @ | 6 L CPT @ | 7 P Python @ </v>
      </c>
      <c r="BG445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H445" s="4" t="str">
        <f ca="1">IFERROR(__xludf.DUMMYFUNCTION("""COMPUTED_VALUE"""),"| 5 L CPT @ | 6 L NS @ | 7 P NS @ ")</f>
        <v xml:space="preserve">| 5 L CPT @ | 6 L NS @ | 7 P NS @ </v>
      </c>
      <c r="BI445" s="4" t="str">
        <f ca="1">IFERROR(__xludf.DUMMYFUNCTION("""COMPUTED_VALUE"""),"| 5 L JAVA @ | 6 L JAVA @ | 7 P Python @ | 9 P PRO @ ")</f>
        <v xml:space="preserve">| 5 L JAVA @ | 6 L JAVA @ | 7 P Python @ | 9 P PRO @ </v>
      </c>
      <c r="BJ445" s="4" t="str">
        <f ca="1">IFERROR(__xludf.DUMMYFUNCTION("""COMPUTED_VALUE"""),"| 5 L PHP-CGM @ | 6 L CPT @ | 7 P Python @ | 9 L INE @ ")</f>
        <v xml:space="preserve">| 5 L PHP-CGM @ | 6 L CPT @ | 7 P Python @ | 9 L INE @ </v>
      </c>
      <c r="BK445" s="4" t="str">
        <f ca="1">IFERROR(__xludf.DUMMYFUNCTION("""COMPUTED_VALUE"""),"| 5 L PHP-CGM @ | 6 L NS @ | 9 P JAVA @ ")</f>
        <v xml:space="preserve">| 5 L PHP-CGM @ | 6 L NS @ | 9 P JAVA @ </v>
      </c>
      <c r="BL445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5" s="4" t="str">
        <f ca="1">IFERROR(__xludf.DUMMYFUNCTION("""COMPUTED_VALUE"""),"| 5 L CPT @ | 6 L NS @ ")</f>
        <v xml:space="preserve">| 5 L CPT @ | 6 L NS @ </v>
      </c>
      <c r="BN445" s="4" t="str">
        <f ca="1">IFERROR(__xludf.DUMMYFUNCTION("""COMPUTED_VALUE"""),"| 5 L JAVA @ | 6 L JAVA @ ")</f>
        <v xml:space="preserve">| 5 L JAVA @ | 6 L JAVA @ </v>
      </c>
      <c r="BO445" s="4" t="str">
        <f ca="1">IFERROR(__xludf.DUMMYFUNCTION("""COMPUTED_VALUE"""),"| 5 L PHP-CGM @ | 9 L INE @ | 6 L CPT @ ")</f>
        <v xml:space="preserve">| 5 L PHP-CGM @ | 9 L INE @ | 6 L CPT @ </v>
      </c>
      <c r="BP445" s="4" t="str">
        <f ca="1">IFERROR(__xludf.DUMMYFUNCTION("""COMPUTED_VALUE"""),"| 5 L PHP-CGM @ | 6 L NS @ | 7 P CPT @ ")</f>
        <v xml:space="preserve">| 5 L PHP-CGM @ | 6 L NS @ | 7 P CPT @ </v>
      </c>
      <c r="BQ445" s="4" t="str">
        <f ca="1">IFERROR(__xludf.DUMMYFUNCTION("""COMPUTED_VALUE"""),"| 5 L CPT @ ")</f>
        <v xml:space="preserve">| 5 L CPT @ </v>
      </c>
      <c r="BR445" s="4" t="str">
        <f ca="1">IFERROR(__xludf.DUMMYFUNCTION("""COMPUTED_VALUE"""),"| 5 L JAVA % | 6 L JAVA % ")</f>
        <v xml:space="preserve">| 5 L JAVA % | 6 L JAVA % </v>
      </c>
      <c r="BS445" s="4"/>
      <c r="BT445" s="4" t="str">
        <f ca="1">IFERROR(__xludf.DUMMYFUNCTION("""COMPUTED_VALUE"""),"| 7 P CPT @ | 9 P JAVA @ ")</f>
        <v xml:space="preserve">| 7 P CPT @ | 9 P JAVA @ </v>
      </c>
      <c r="BU445" s="4" t="str">
        <f ca="1">IFERROR(__xludf.DUMMYFUNCTION("""COMPUTED_VALUE"""),"| 7 L JAVA @ | 9 P JAVA @ ")</f>
        <v xml:space="preserve">| 7 L JAVA @ | 9 P JAVA @ </v>
      </c>
      <c r="BV445" s="4" t="str">
        <f ca="1">IFERROR(__xludf.DUMMYFUNCTION("""COMPUTED_VALUE"""),"| 5 L PHP-CGM @ | 6 L NS @ | 9 P JAVA @ ")</f>
        <v xml:space="preserve">| 5 L PHP-CGM @ | 6 L NS @ | 9 P JAVA @ </v>
      </c>
      <c r="BW445" s="4" t="str">
        <f ca="1">IFERROR(__xludf.DUMMYFUNCTION("""COMPUTED_VALUE"""),"| 9 P JAVA @ ")</f>
        <v xml:space="preserve">| 9 P JAVA @ </v>
      </c>
      <c r="BX445" s="4" t="str">
        <f ca="1">IFERROR(__xludf.DUMMYFUNCTION("""COMPUTED_VALUE"""),"| 5 L CPT @ | 6 L NS @ | 7 P NS @ ")</f>
        <v xml:space="preserve">| 5 L CPT @ | 6 L NS @ | 7 P NS @ </v>
      </c>
      <c r="BY445" s="4" t="str">
        <f ca="1">IFERROR(__xludf.DUMMYFUNCTION("""COMPUTED_VALUE"""),"| 5 L JAVA @ | 6 L JAVA @ | 7 P Python @ ")</f>
        <v xml:space="preserve">| 5 L JAVA @ | 6 L JAVA @ | 7 P Python @ </v>
      </c>
      <c r="BZ445" s="4" t="str">
        <f ca="1">IFERROR(__xludf.DUMMYFUNCTION("""COMPUTED_VALUE"""),"| 5 L PHP-CGM @ | 6 L CPT @ | 7 P Python @ ")</f>
        <v xml:space="preserve">| 5 L PHP-CGM @ | 6 L CPT @ | 7 P Python @ </v>
      </c>
      <c r="CA445" s="4" t="str">
        <f ca="1">IFERROR(__xludf.DUMMYFUNCTION("""COMPUTED_VALUE"""),"| 5 L PHP-CGM % | 6 L NS % | 7 P CPT @ | 9 P JAVA @ ")</f>
        <v xml:space="preserve">| 5 L PHP-CGM % | 6 L NS % | 7 P CPT @ | 9 P JAVA @ </v>
      </c>
      <c r="CB445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45" s="4" t="str">
        <f ca="1">IFERROR(__xludf.DUMMYFUNCTION("""COMPUTED_VALUE"""),"| 6 L NS @ | 5 L CPT @ | 7 P NS @ | 9 P PHP-CGM @ ")</f>
        <v xml:space="preserve">| 6 L NS @ | 5 L CPT @ | 7 P NS @ | 9 P PHP-CGM @ </v>
      </c>
      <c r="CD445" s="4" t="str">
        <f ca="1">IFERROR(__xludf.DUMMYFUNCTION("""COMPUTED_VALUE"""),"| 5 L JAVA @ | 6 L JAVA @ | 7 P Python @ | 9 P PRO @ ")</f>
        <v xml:space="preserve">| 5 L JAVA @ | 6 L JAVA @ | 7 P Python @ | 9 P PRO @ </v>
      </c>
      <c r="CE445" s="4" t="str">
        <f ca="1">IFERROR(__xludf.DUMMYFUNCTION("""COMPUTED_VALUE"""),"| 5 L PHP-CGM @ | 6 L CPT @ | 9 L INE @ ")</f>
        <v xml:space="preserve">| 5 L PHP-CGM @ | 6 L CPT @ | 9 L INE @ </v>
      </c>
      <c r="CF445" s="4" t="str">
        <f ca="1">IFERROR(__xludf.DUMMYFUNCTION("""COMPUTED_VALUE"""),"| 5 L PHP-CGM @ | 6 L NS @ | 7 P CPT @ | 9 P JAVA @ ")</f>
        <v xml:space="preserve">| 5 L PHP-CGM @ | 6 L NS @ | 7 P CPT @ | 9 P JAVA @ </v>
      </c>
      <c r="CG445" s="4" t="str">
        <f ca="1">IFERROR(__xludf.DUMMYFUNCTION("""COMPUTED_VALUE"""),"| 6 L PHP-CGM @ | 7 L JAVA @ | 8 L CPT % | 9 P JAVA @ ")</f>
        <v xml:space="preserve">| 6 L PHP-CGM @ | 7 L JAVA @ | 8 L CPT % | 9 P JAVA @ </v>
      </c>
      <c r="CH445" s="4" t="str">
        <f ca="1">IFERROR(__xludf.DUMMYFUNCTION("""COMPUTED_VALUE"""),"| 5 L CPT @ | 6 L NS @ ")</f>
        <v xml:space="preserve">| 5 L CPT @ | 6 L NS @ </v>
      </c>
      <c r="CI445" s="4" t="str">
        <f ca="1">IFERROR(__xludf.DUMMYFUNCTION("""COMPUTED_VALUE"""),"| 5 L JAVA @ | 6 L JAVA @ | 7 P Python @ | 9 P PRO @ ")</f>
        <v xml:space="preserve">| 5 L JAVA @ | 6 L JAVA @ | 7 P Python @ | 9 P PRO @ </v>
      </c>
      <c r="CJ445" s="4" t="str">
        <f ca="1">IFERROR(__xludf.DUMMYFUNCTION("""COMPUTED_VALUE"""),"| 5 L PHP-CGM @ | 9 L INE @ ")</f>
        <v xml:space="preserve">| 5 L PHP-CGM @ | 9 L INE @ </v>
      </c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</row>
    <row r="446" spans="1:102" ht="12.5" x14ac:dyDescent="0.25">
      <c r="A446" s="3">
        <f ca="1">IFERROR(__xludf.DUMMYFUNCTION("""COMPUTED_VALUE"""),2)</f>
        <v>2</v>
      </c>
      <c r="B446" s="3" t="str">
        <f ca="1">IFERROR(__xludf.DUMMYFUNCTION("""COMPUTED_VALUE"""),"ITB")</f>
        <v>ITB</v>
      </c>
      <c r="C446" s="32" t="str">
        <f ca="1">IFERROR(__xludf.DUMMYFUNCTION("""COMPUTED_VALUE"""),"23291371092")</f>
        <v>23291371092</v>
      </c>
      <c r="D446" s="4" t="str">
        <f ca="1">IFERROR(__xludf.DUMMYFUNCTION("""COMPUTED_VALUE"""),"PATEL PARTH ASHOKBHAI")</f>
        <v>PATEL PARTH ASHOKBHAI</v>
      </c>
      <c r="E446" s="3" t="str">
        <f ca="1">IFERROR(__xludf.DUMMYFUNCTION("""COMPUTED_VALUE"""),"VSP - Eve")</f>
        <v>VSP - Eve</v>
      </c>
      <c r="F446" s="3">
        <f ca="1">IFERROR(__xludf.DUMMYFUNCTION("""COMPUTED_VALUE"""),6353540885)</f>
        <v>6353540885</v>
      </c>
      <c r="G446" s="3">
        <f ca="1">IFERROR(__xludf.DUMMYFUNCTION("""COMPUTED_VALUE"""),7487936952)</f>
        <v>7487936952</v>
      </c>
      <c r="H446" s="33">
        <f ca="1">IFERROR(__xludf.DUMMYFUNCTION("""COMPUTED_VALUE"""),0.646017699115044)</f>
        <v>0.64601769911504403</v>
      </c>
      <c r="I446" s="25">
        <f ca="1">IFERROR(__xludf.DUMMYFUNCTION("""COMPUTED_VALUE"""),0.611111111111111)</f>
        <v>0.61111111111111105</v>
      </c>
      <c r="J446" s="25">
        <f ca="1">IFERROR(__xludf.DUMMYFUNCTION("""COMPUTED_VALUE"""),0.5)</f>
        <v>0.5</v>
      </c>
      <c r="K446" s="25">
        <f ca="1">IFERROR(__xludf.DUMMYFUNCTION("""COMPUTED_VALUE"""),0.727272727272727)</f>
        <v>0.72727272727272696</v>
      </c>
      <c r="L446" s="25">
        <f ca="1">IFERROR(__xludf.DUMMYFUNCTION("""COMPUTED_VALUE"""),0.777777777777777)</f>
        <v>0.77777777777777701</v>
      </c>
      <c r="M446" s="25">
        <f ca="1">IFERROR(__xludf.DUMMYFUNCTION("""COMPUTED_VALUE"""),0.676470588235294)</f>
        <v>0.67647058823529405</v>
      </c>
      <c r="N446" s="25">
        <f ca="1">IFERROR(__xludf.DUMMYFUNCTION("""COMPUTED_VALUE"""),0.714285714285714)</f>
        <v>0.71428571428571397</v>
      </c>
      <c r="O446" s="25">
        <f ca="1">IFERROR(__xludf.DUMMYFUNCTION("""COMPUTED_VALUE"""),0.769230769230769)</f>
        <v>0.76923076923076905</v>
      </c>
      <c r="P446" s="25">
        <f ca="1">IFERROR(__xludf.DUMMYFUNCTION("""COMPUTED_VALUE"""),0.416666666666666)</f>
        <v>0.41666666666666602</v>
      </c>
      <c r="Q446" s="25">
        <f ca="1">IFERROR(__xludf.DUMMYFUNCTION("""COMPUTED_VALUE"""),0)</f>
        <v>0</v>
      </c>
      <c r="R446" s="25">
        <f ca="1">IFERROR(__xludf.DUMMYFUNCTION("""COMPUTED_VALUE"""),0.684210526315789)</f>
        <v>0.68421052631578905</v>
      </c>
      <c r="S446" s="25">
        <f ca="1">IFERROR(__xludf.DUMMYFUNCTION("""COMPUTED_VALUE"""),0)</f>
        <v>0</v>
      </c>
      <c r="T446" s="25">
        <f ca="1">IFERROR(__xludf.DUMMYFUNCTION("""COMPUTED_VALUE"""),0.555555555555555)</f>
        <v>0.55555555555555503</v>
      </c>
      <c r="U446" s="25">
        <f ca="1">IFERROR(__xludf.DUMMYFUNCTION("""COMPUTED_VALUE"""),0.333333333333333)</f>
        <v>0.33333333333333298</v>
      </c>
      <c r="V446" s="25">
        <f ca="1">IFERROR(__xludf.DUMMYFUNCTION("""COMPUTED_VALUE"""),0)</f>
        <v>0</v>
      </c>
      <c r="W446" s="4"/>
      <c r="X446" s="4" t="str">
        <f ca="1">IFERROR(__xludf.DUMMYFUNCTION("""COMPUTED_VALUE"""),"| 5 L PHP-CGM @ | 6 L NS @ | 7 P CPT @ | 9 P JAVA @ ")</f>
        <v xml:space="preserve">| 5 L PHP-CGM @ | 6 L NS @ | 7 P CPT @ | 9 P JAVA @ </v>
      </c>
      <c r="Y446" s="4" t="str">
        <f ca="1">IFERROR(__xludf.DUMMYFUNCTION("""COMPUTED_VALUE"""),"| 5 L NS @ | 6 L PHP-CGM @ | 7 L JAVA @ | 8 L CPT @ ")</f>
        <v xml:space="preserve">| 5 L NS @ | 6 L PHP-CGM @ | 7 L JAVA @ | 8 L CPT @ </v>
      </c>
      <c r="Z446" s="4" t="str">
        <f ca="1">IFERROR(__xludf.DUMMYFUNCTION("""COMPUTED_VALUE"""),"| 5 L JAVA % | 6 L NS % | 7 P NS % | 9 P PHP-CGM % ")</f>
        <v xml:space="preserve">| 5 L JAVA % | 6 L NS % | 7 P NS % | 9 P PHP-CGM % </v>
      </c>
      <c r="AA446" s="4" t="str">
        <f ca="1">IFERROR(__xludf.DUMMYFUNCTION("""COMPUTED_VALUE"""),"| 5 L CPT % | 6 L JAVA % | 7 P Python % | 9 P PRO % ")</f>
        <v xml:space="preserve">| 5 L CPT % | 6 L JAVA % | 7 P Python % | 9 P PRO % </v>
      </c>
      <c r="AB446" s="4" t="str">
        <f ca="1">IFERROR(__xludf.DUMMYFUNCTION("""COMPUTED_VALUE"""),"| 5 L PHP-CGM % | 6 L CPT % | 7 P Python % ")</f>
        <v xml:space="preserve">| 5 L PHP-CGM % | 6 L CPT % | 7 P Python % </v>
      </c>
      <c r="AC446" s="4" t="str">
        <f ca="1">IFERROR(__xludf.DUMMYFUNCTION("""COMPUTED_VALUE"""),"| 5 L PHP-CGM % | 6 L NS % | 7 P CPT % | 9 P JAVA % ")</f>
        <v xml:space="preserve">| 5 L PHP-CGM % | 6 L NS % | 7 P CPT % | 9 P JAVA % </v>
      </c>
      <c r="AD446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46" s="4" t="str">
        <f ca="1">IFERROR(__xludf.DUMMYFUNCTION("""COMPUTED_VALUE"""),"| 5 L JAVA % | 6 L NS % | 7 P NS % | 9 P PHP-CGM % ")</f>
        <v xml:space="preserve">| 5 L JAVA % | 6 L NS % | 7 P NS % | 9 P PHP-CGM % </v>
      </c>
      <c r="AF446" s="4" t="str">
        <f ca="1">IFERROR(__xludf.DUMMYFUNCTION("""COMPUTED_VALUE"""),"| 5 L CPT % | 6 L JAVA % | 7 P Python % | 9 P PRO % ")</f>
        <v xml:space="preserve">| 5 L CPT % | 6 L JAVA % | 7 P Python % | 9 P PRO % </v>
      </c>
      <c r="AG446" s="4" t="str">
        <f ca="1">IFERROR(__xludf.DUMMYFUNCTION("""COMPUTED_VALUE"""),"| 5 L PHP-CGM @ | 6 L CPT @ ")</f>
        <v xml:space="preserve">| 5 L PHP-CGM @ | 6 L CPT @ </v>
      </c>
      <c r="AH446" s="4" t="str">
        <f ca="1">IFERROR(__xludf.DUMMYFUNCTION("""COMPUTED_VALUE"""),"| 5 L CPT @ | 6 L JAVA @ | 7 P Python @ | 9 P PRO @ ")</f>
        <v xml:space="preserve">| 5 L CPT @ | 6 L JAVA @ | 7 P Python @ | 9 P PRO @ </v>
      </c>
      <c r="AI446" s="4" t="str">
        <f ca="1">IFERROR(__xludf.DUMMYFUNCTION("""COMPUTED_VALUE"""),"| 5 L PHP-CGM @ | 6 L CPT @ | 7 P Python @ ")</f>
        <v xml:space="preserve">| 5 L PHP-CGM @ | 6 L CPT @ | 7 P Python @ </v>
      </c>
      <c r="AJ446" s="4" t="str">
        <f ca="1">IFERROR(__xludf.DUMMYFUNCTION("""COMPUTED_VALUE"""),"| 5 L PHP-CGM @ | 6 L NS @ | 7 P CPT @ | 9 P JAVA @ ")</f>
        <v xml:space="preserve">| 5 L PHP-CGM @ | 6 L NS @ | 7 P CPT @ | 9 P JAVA @ </v>
      </c>
      <c r="AK446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AL446" s="4" t="str">
        <f ca="1">IFERROR(__xludf.DUMMYFUNCTION("""COMPUTED_VALUE"""),"| 5 L JAVA @ | 6 L NS @ | 7 P NS @ | 9 P PHP-CGM @ ")</f>
        <v xml:space="preserve">| 5 L JAVA @ | 6 L NS @ | 7 P NS @ | 9 P PHP-CGM @ </v>
      </c>
      <c r="AM446" s="4" t="str">
        <f ca="1">IFERROR(__xludf.DUMMYFUNCTION("""COMPUTED_VALUE"""),"| 5 L CPT @ | 6 L JAVA @ | 7 P Python @ | 9 P PRO @ ")</f>
        <v xml:space="preserve">| 5 L CPT @ | 6 L JAVA @ | 7 P Python @ | 9 P PRO @ </v>
      </c>
      <c r="AN446" s="4" t="str">
        <f ca="1">IFERROR(__xludf.DUMMYFUNCTION("""COMPUTED_VALUE"""),"| 5 L PHP-CGM @ | 6 L CPT @ | 7 P Python @ ")</f>
        <v xml:space="preserve">| 5 L PHP-CGM @ | 6 L CPT @ | 7 P Python @ </v>
      </c>
      <c r="AO446" s="4" t="str">
        <f ca="1">IFERROR(__xludf.DUMMYFUNCTION("""COMPUTED_VALUE"""),"| 5 L PHP-CGM @ | 6 L NS @ | 7 P CPT @ | 9 P JAVA @ ")</f>
        <v xml:space="preserve">| 5 L PHP-CGM @ | 6 L NS @ | 7 P CPT @ | 9 P JAVA @ </v>
      </c>
      <c r="AP446" s="4" t="str">
        <f ca="1">IFERROR(__xludf.DUMMYFUNCTION("""COMPUTED_VALUE"""),"| 5 L NS @ | 7 L JAVA @ | 8 L CPT @ | 9 P JAVA @ ")</f>
        <v xml:space="preserve">| 5 L NS @ | 7 L JAVA @ | 8 L CPT @ | 9 P JAVA @ </v>
      </c>
      <c r="AQ446" s="4" t="str">
        <f ca="1">IFERROR(__xludf.DUMMYFUNCTION("""COMPUTED_VALUE"""),"| 5 L CPT @ | 6 L NS @ | 7 P NS @ | 9 P PHP-CGM @ ")</f>
        <v xml:space="preserve">| 5 L CPT @ | 6 L NS @ | 7 P NS @ | 9 P PHP-CGM @ </v>
      </c>
      <c r="AR446" s="4" t="str">
        <f ca="1">IFERROR(__xludf.DUMMYFUNCTION("""COMPUTED_VALUE"""),"| 5 L JAVA @ | 6 L JAVA @ | 5 L CPT @ | 7 P Python @ ")</f>
        <v xml:space="preserve">| 5 L JAVA @ | 6 L JAVA @ | 5 L CPT @ | 7 P Python @ </v>
      </c>
      <c r="AS446" s="4" t="str">
        <f ca="1">IFERROR(__xludf.DUMMYFUNCTION("""COMPUTED_VALUE"""),"| 5 L PHP-CGM % | 6 L NS % | 9 P JAVA @ ")</f>
        <v xml:space="preserve">| 5 L PHP-CGM % | 6 L NS % | 9 P JAVA @ </v>
      </c>
      <c r="AT446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46" s="4" t="str">
        <f ca="1">IFERROR(__xludf.DUMMYFUNCTION("""COMPUTED_VALUE"""),"| 5 L CPT % | 6 L NS % | 7 P NS % | 9 P PHP-CGM % ")</f>
        <v xml:space="preserve">| 5 L CPT % | 6 L NS % | 7 P NS % | 9 P PHP-CGM % </v>
      </c>
      <c r="AV446" s="4" t="str">
        <f ca="1">IFERROR(__xludf.DUMMYFUNCTION("""COMPUTED_VALUE"""),"| 5 L JAVA % | 6 L JAVA % | 7 P Python % | 9 P PRO % ")</f>
        <v xml:space="preserve">| 5 L JAVA % | 6 L JAVA % | 7 P Python % | 9 P PRO % </v>
      </c>
      <c r="AW446" s="4" t="str">
        <f ca="1">IFERROR(__xludf.DUMMYFUNCTION("""COMPUTED_VALUE"""),"| 5 L PHP-CGM % | 6 L CPT % | 7 P Python % | 9 L INE % ")</f>
        <v xml:space="preserve">| 5 L PHP-CGM % | 6 L CPT % | 7 P Python % | 9 L INE % </v>
      </c>
      <c r="AX446" s="4" t="str">
        <f ca="1">IFERROR(__xludf.DUMMYFUNCTION("""COMPUTED_VALUE"""),"| 5 L PHP-CGM % | 6 L NS % | 7 P CPT % | 9 P JAVA % ")</f>
        <v xml:space="preserve">| 5 L PHP-CGM % | 6 L NS % | 7 P CPT % | 9 P JAVA % </v>
      </c>
      <c r="AY446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46" s="4" t="str">
        <f ca="1">IFERROR(__xludf.DUMMYFUNCTION("""COMPUTED_VALUE"""),"| 5 L JAVA % | 6 L JAVA % | 7 P Python % ")</f>
        <v xml:space="preserve">| 5 L JAVA % | 6 L JAVA % | 7 P Python % </v>
      </c>
      <c r="BA446" s="4" t="str">
        <f ca="1">IFERROR(__xludf.DUMMYFUNCTION("""COMPUTED_VALUE"""),"| 5 L PHP-CGM @ | 6 L CPT @ | 9 L INE @ ")</f>
        <v xml:space="preserve">| 5 L PHP-CGM @ | 6 L CPT @ | 9 L INE @ </v>
      </c>
      <c r="BB446" s="4" t="str">
        <f ca="1">IFERROR(__xludf.DUMMYFUNCTION("""COMPUTED_VALUE"""),"| 5 L PHP-CGM @ | 6 L NS @ | 7 P CPT @ | 9 P JAVA @ ")</f>
        <v xml:space="preserve">| 5 L PHP-CGM @ | 6 L NS @ | 7 P CPT @ | 9 P JAVA @ </v>
      </c>
      <c r="BC446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D446" s="4" t="str">
        <f ca="1">IFERROR(__xludf.DUMMYFUNCTION("""COMPUTED_VALUE"""),"| 5 L CPT % | 6 L NS % | 7 P NS % | 9 P PHP-CGM % ")</f>
        <v xml:space="preserve">| 5 L CPT % | 6 L NS % | 7 P NS % | 9 P PHP-CGM % </v>
      </c>
      <c r="BE446" s="4" t="str">
        <f ca="1">IFERROR(__xludf.DUMMYFUNCTION("""COMPUTED_VALUE"""),"| 5 L JAVA % | 6 L JAVA % | 7 P Python % | 9 P PRO % ")</f>
        <v xml:space="preserve">| 5 L JAVA % | 6 L JAVA % | 7 P Python % | 9 P PRO % </v>
      </c>
      <c r="BF446" s="4" t="str">
        <f ca="1">IFERROR(__xludf.DUMMYFUNCTION("""COMPUTED_VALUE"""),"| 5 L PHP-CGM % | 6 L CPT @ | 7 P Python @ ")</f>
        <v xml:space="preserve">| 5 L PHP-CGM % | 6 L CPT @ | 7 P Python @ </v>
      </c>
      <c r="BG446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46" s="4" t="str">
        <f ca="1">IFERROR(__xludf.DUMMYFUNCTION("""COMPUTED_VALUE"""),"| 5 L CPT % | 6 L NS % | 7 P NS % ")</f>
        <v xml:space="preserve">| 5 L CPT % | 6 L NS % | 7 P NS % </v>
      </c>
      <c r="BI446" s="4" t="str">
        <f ca="1">IFERROR(__xludf.DUMMYFUNCTION("""COMPUTED_VALUE"""),"| 5 L JAVA % | 6 L JAVA % | 7 P Python % | 9 P PRO % ")</f>
        <v xml:space="preserve">| 5 L JAVA % | 6 L JAVA % | 7 P Python % | 9 P PRO % </v>
      </c>
      <c r="BJ446" s="4" t="str">
        <f ca="1">IFERROR(__xludf.DUMMYFUNCTION("""COMPUTED_VALUE"""),"| 5 L PHP-CGM % | 6 L CPT % | 7 P Python % | 9 L INE % ")</f>
        <v xml:space="preserve">| 5 L PHP-CGM % | 6 L CPT % | 7 P Python % | 9 L INE % </v>
      </c>
      <c r="BK446" s="4" t="str">
        <f ca="1">IFERROR(__xludf.DUMMYFUNCTION("""COMPUTED_VALUE"""),"| 5 L PHP-CGM % | 6 L NS % | 9 P JAVA @ ")</f>
        <v xml:space="preserve">| 5 L PHP-CGM % | 6 L NS % | 9 P JAVA @ </v>
      </c>
      <c r="BL446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M446" s="4" t="str">
        <f ca="1">IFERROR(__xludf.DUMMYFUNCTION("""COMPUTED_VALUE"""),"| 5 L CPT % | 6 L NS % ")</f>
        <v xml:space="preserve">| 5 L CPT % | 6 L NS % </v>
      </c>
      <c r="BN446" s="4" t="str">
        <f ca="1">IFERROR(__xludf.DUMMYFUNCTION("""COMPUTED_VALUE"""),"| 5 L JAVA % | 6 L JAVA % ")</f>
        <v xml:space="preserve">| 5 L JAVA % | 6 L JAVA % </v>
      </c>
      <c r="BO446" s="4" t="str">
        <f ca="1">IFERROR(__xludf.DUMMYFUNCTION("""COMPUTED_VALUE"""),"| 5 L PHP-CGM @ | 9 L INE @ | 6 L CPT @ ")</f>
        <v xml:space="preserve">| 5 L PHP-CGM @ | 9 L INE @ | 6 L CPT @ </v>
      </c>
      <c r="BP446" s="4" t="str">
        <f ca="1">IFERROR(__xludf.DUMMYFUNCTION("""COMPUTED_VALUE"""),"| 5 L PHP-CGM % | 6 L NS % | 7 P CPT @ ")</f>
        <v xml:space="preserve">| 5 L PHP-CGM % | 6 L NS % | 7 P CPT @ </v>
      </c>
      <c r="BQ446" s="4" t="str">
        <f ca="1">IFERROR(__xludf.DUMMYFUNCTION("""COMPUTED_VALUE"""),"| 5 L CPT @ ")</f>
        <v xml:space="preserve">| 5 L CPT @ </v>
      </c>
      <c r="BR446" s="4" t="str">
        <f ca="1">IFERROR(__xludf.DUMMYFUNCTION("""COMPUTED_VALUE"""),"| 5 L JAVA % | 6 L JAVA % ")</f>
        <v xml:space="preserve">| 5 L JAVA % | 6 L JAVA % </v>
      </c>
      <c r="BS446" s="4"/>
      <c r="BT446" s="4" t="str">
        <f ca="1">IFERROR(__xludf.DUMMYFUNCTION("""COMPUTED_VALUE"""),"| 7 P CPT % | 9 P JAVA @ ")</f>
        <v xml:space="preserve">| 7 P CPT % | 9 P JAVA @ </v>
      </c>
      <c r="BU446" s="4" t="str">
        <f ca="1">IFERROR(__xludf.DUMMYFUNCTION("""COMPUTED_VALUE"""),"| 7 L JAVA @ | 9 P JAVA @ ")</f>
        <v xml:space="preserve">| 7 L JAVA @ | 9 P JAVA @ </v>
      </c>
      <c r="BV446" s="4" t="str">
        <f ca="1">IFERROR(__xludf.DUMMYFUNCTION("""COMPUTED_VALUE"""),"| 5 L PHP-CGM % | 6 L NS % | 9 P JAVA @ ")</f>
        <v xml:space="preserve">| 5 L PHP-CGM % | 6 L NS % | 9 P JAVA @ </v>
      </c>
      <c r="BW446" s="4" t="str">
        <f ca="1">IFERROR(__xludf.DUMMYFUNCTION("""COMPUTED_VALUE"""),"| 9 P JAVA @ ")</f>
        <v xml:space="preserve">| 9 P JAVA @ </v>
      </c>
      <c r="BX446" s="4" t="str">
        <f ca="1">IFERROR(__xludf.DUMMYFUNCTION("""COMPUTED_VALUE"""),"| 5 L CPT % | 6 L NS % | 7 P NS % ")</f>
        <v xml:space="preserve">| 5 L CPT % | 6 L NS % | 7 P NS % </v>
      </c>
      <c r="BY446" s="4" t="str">
        <f ca="1">IFERROR(__xludf.DUMMYFUNCTION("""COMPUTED_VALUE"""),"| 5 L JAVA % | 6 L JAVA % | 7 P Python % ")</f>
        <v xml:space="preserve">| 5 L JAVA % | 6 L JAVA % | 7 P Python % </v>
      </c>
      <c r="BZ446" s="4" t="str">
        <f ca="1">IFERROR(__xludf.DUMMYFUNCTION("""COMPUTED_VALUE"""),"| 5 L PHP-CGM % | 6 L CPT % | 7 P Python % ")</f>
        <v xml:space="preserve">| 5 L PHP-CGM % | 6 L CPT % | 7 P Python % </v>
      </c>
      <c r="CA446" s="4" t="str">
        <f ca="1">IFERROR(__xludf.DUMMYFUNCTION("""COMPUTED_VALUE"""),"| 5 L PHP-CGM % | 6 L NS % | 7 P CPT % | 9 P JAVA % ")</f>
        <v xml:space="preserve">| 5 L PHP-CGM % | 6 L NS % | 7 P CPT % | 9 P JAVA % </v>
      </c>
      <c r="CB446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46" s="4" t="str">
        <f ca="1">IFERROR(__xludf.DUMMYFUNCTION("""COMPUTED_VALUE"""),"| 6 L NS % | 5 L CPT % | 7 P NS % | 9 P PHP-CGM % ")</f>
        <v xml:space="preserve">| 6 L NS % | 5 L CPT % | 7 P NS % | 9 P PHP-CGM % </v>
      </c>
      <c r="CD446" s="4" t="str">
        <f ca="1">IFERROR(__xludf.DUMMYFUNCTION("""COMPUTED_VALUE"""),"| 5 L JAVA % | 6 L JAVA % | 7 P Python % | 9 P PRO @ ")</f>
        <v xml:space="preserve">| 5 L JAVA % | 6 L JAVA % | 7 P Python % | 9 P PRO @ </v>
      </c>
      <c r="CE446" s="4" t="str">
        <f ca="1">IFERROR(__xludf.DUMMYFUNCTION("""COMPUTED_VALUE"""),"| 5 L PHP-CGM % | 6 L CPT % | 9 L INE @ ")</f>
        <v xml:space="preserve">| 5 L PHP-CGM % | 6 L CPT % | 9 L INE @ </v>
      </c>
      <c r="CF446" s="4" t="str">
        <f ca="1">IFERROR(__xludf.DUMMYFUNCTION("""COMPUTED_VALUE"""),"| 5 L PHP-CGM % | 6 L NS % | 7 P CPT % | 9 P JAVA % ")</f>
        <v xml:space="preserve">| 5 L PHP-CGM % | 6 L NS % | 7 P CPT % | 9 P JAVA % </v>
      </c>
      <c r="CG446" s="4" t="str">
        <f ca="1">IFERROR(__xludf.DUMMYFUNCTION("""COMPUTED_VALUE"""),"| 6 L PHP-CGM % | 7 L JAVA % | 8 L CPT % | 9 P JAVA % ")</f>
        <v xml:space="preserve">| 6 L PHP-CGM % | 7 L JAVA % | 8 L CPT % | 9 P JAVA % </v>
      </c>
      <c r="CH446" s="4" t="str">
        <f ca="1">IFERROR(__xludf.DUMMYFUNCTION("""COMPUTED_VALUE"""),"| 5 L CPT % | 6 L NS % ")</f>
        <v xml:space="preserve">| 5 L CPT % | 6 L NS % </v>
      </c>
      <c r="CI446" s="4" t="str">
        <f ca="1">IFERROR(__xludf.DUMMYFUNCTION("""COMPUTED_VALUE"""),"| 5 L JAVA % | 6 L JAVA % | 7 P Python % | 9 P PRO @ ")</f>
        <v xml:space="preserve">| 5 L JAVA % | 6 L JAVA % | 7 P Python % | 9 P PRO @ </v>
      </c>
      <c r="CJ446" s="4" t="str">
        <f ca="1">IFERROR(__xludf.DUMMYFUNCTION("""COMPUTED_VALUE"""),"| 5 L PHP-CGM % | 9 L INE @ ")</f>
        <v xml:space="preserve">| 5 L PHP-CGM % | 9 L INE @ </v>
      </c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</row>
    <row r="447" spans="1:102" ht="12.5" x14ac:dyDescent="0.25">
      <c r="A447" s="3">
        <f ca="1">IFERROR(__xludf.DUMMYFUNCTION("""COMPUTED_VALUE"""),2)</f>
        <v>2</v>
      </c>
      <c r="B447" s="3" t="str">
        <f ca="1">IFERROR(__xludf.DUMMYFUNCTION("""COMPUTED_VALUE"""),"ITB")</f>
        <v>ITB</v>
      </c>
      <c r="C447" s="32" t="str">
        <f ca="1">IFERROR(__xludf.DUMMYFUNCTION("""COMPUTED_VALUE"""),"23291371093")</f>
        <v>23291371093</v>
      </c>
      <c r="D447" s="4" t="str">
        <f ca="1">IFERROR(__xludf.DUMMYFUNCTION("""COMPUTED_VALUE"""),"PATEL PRANSHU SURESHBHAI")</f>
        <v>PATEL PRANSHU SURESHBHAI</v>
      </c>
      <c r="E447" s="3" t="str">
        <f ca="1">IFERROR(__xludf.DUMMYFUNCTION("""COMPUTED_VALUE"""),"VSP - Eve")</f>
        <v>VSP - Eve</v>
      </c>
      <c r="F447" s="3">
        <f ca="1">IFERROR(__xludf.DUMMYFUNCTION("""COMPUTED_VALUE"""),9664732072)</f>
        <v>9664732072</v>
      </c>
      <c r="G447" s="3">
        <f ca="1">IFERROR(__xludf.DUMMYFUNCTION("""COMPUTED_VALUE"""),9879535299)</f>
        <v>9879535299</v>
      </c>
      <c r="H447" s="33">
        <f ca="1">IFERROR(__xludf.DUMMYFUNCTION("""COMPUTED_VALUE"""),0.654867256637168)</f>
        <v>0.65486725663716805</v>
      </c>
      <c r="I447" s="25">
        <f ca="1">IFERROR(__xludf.DUMMYFUNCTION("""COMPUTED_VALUE"""),0.583333333333333)</f>
        <v>0.58333333333333304</v>
      </c>
      <c r="J447" s="25">
        <f ca="1">IFERROR(__xludf.DUMMYFUNCTION("""COMPUTED_VALUE"""),0.6)</f>
        <v>0.6</v>
      </c>
      <c r="K447" s="25">
        <f ca="1">IFERROR(__xludf.DUMMYFUNCTION("""COMPUTED_VALUE"""),0.787878787878787)</f>
        <v>0.78787878787878696</v>
      </c>
      <c r="L447" s="25">
        <f ca="1">IFERROR(__xludf.DUMMYFUNCTION("""COMPUTED_VALUE"""),0.888888888888888)</f>
        <v>0.88888888888888795</v>
      </c>
      <c r="M447" s="25">
        <f ca="1">IFERROR(__xludf.DUMMYFUNCTION("""COMPUTED_VALUE"""),0.647058823529411)</f>
        <v>0.64705882352941102</v>
      </c>
      <c r="N447" s="25">
        <f ca="1">IFERROR(__xludf.DUMMYFUNCTION("""COMPUTED_VALUE"""),0.857142857142857)</f>
        <v>0.85714285714285698</v>
      </c>
      <c r="O447" s="25">
        <f ca="1">IFERROR(__xludf.DUMMYFUNCTION("""COMPUTED_VALUE"""),0.794871794871794)</f>
        <v>0.79487179487179405</v>
      </c>
      <c r="P447" s="25">
        <f ca="1">IFERROR(__xludf.DUMMYFUNCTION("""COMPUTED_VALUE"""),0.5)</f>
        <v>0.5</v>
      </c>
      <c r="Q447" s="25">
        <f ca="1">IFERROR(__xludf.DUMMYFUNCTION("""COMPUTED_VALUE"""),0)</f>
        <v>0</v>
      </c>
      <c r="R447" s="25">
        <f ca="1">IFERROR(__xludf.DUMMYFUNCTION("""COMPUTED_VALUE"""),0.578947368421052)</f>
        <v>0.57894736842105199</v>
      </c>
      <c r="S447" s="25">
        <f ca="1">IFERROR(__xludf.DUMMYFUNCTION("""COMPUTED_VALUE"""),0)</f>
        <v>0</v>
      </c>
      <c r="T447" s="25">
        <f ca="1">IFERROR(__xludf.DUMMYFUNCTION("""COMPUTED_VALUE"""),0.555555555555555)</f>
        <v>0.55555555555555503</v>
      </c>
      <c r="U447" s="25">
        <f ca="1">IFERROR(__xludf.DUMMYFUNCTION("""COMPUTED_VALUE"""),0)</f>
        <v>0</v>
      </c>
      <c r="V447" s="25">
        <f ca="1">IFERROR(__xludf.DUMMYFUNCTION("""COMPUTED_VALUE"""),0)</f>
        <v>0</v>
      </c>
      <c r="W447" s="4"/>
      <c r="X447" s="4" t="str">
        <f ca="1">IFERROR(__xludf.DUMMYFUNCTION("""COMPUTED_VALUE"""),"| 5 L PHP-CGM @ | 6 L NS @ | 7 P CPT @ | 9 P JAVA @ ")</f>
        <v xml:space="preserve">| 5 L PHP-CGM @ | 6 L NS @ | 7 P CPT @ | 9 P JAVA @ </v>
      </c>
      <c r="Y447" s="4" t="str">
        <f ca="1">IFERROR(__xludf.DUMMYFUNCTION("""COMPUTED_VALUE"""),"| 5 L NS % | 6 L PHP-CGM % | 7 L JAVA % | 8 L CPT % ")</f>
        <v xml:space="preserve">| 5 L NS % | 6 L PHP-CGM % | 7 L JAVA % | 8 L CPT % </v>
      </c>
      <c r="Z447" s="4" t="str">
        <f ca="1">IFERROR(__xludf.DUMMYFUNCTION("""COMPUTED_VALUE"""),"| 5 L JAVA % | 6 L NS % | 7 P NS % | 9 P PHP-CGM % ")</f>
        <v xml:space="preserve">| 5 L JAVA % | 6 L NS % | 7 P NS % | 9 P PHP-CGM % </v>
      </c>
      <c r="AA447" s="4" t="str">
        <f ca="1">IFERROR(__xludf.DUMMYFUNCTION("""COMPUTED_VALUE"""),"| 5 L CPT % | 6 L JAVA % | 7 P Python % | 9 P PRO % ")</f>
        <v xml:space="preserve">| 5 L CPT % | 6 L JAVA % | 7 P Python % | 9 P PRO % </v>
      </c>
      <c r="AB447" s="4" t="str">
        <f ca="1">IFERROR(__xludf.DUMMYFUNCTION("""COMPUTED_VALUE"""),"| 5 L PHP-CGM % | 6 L CPT % | 7 P Python % ")</f>
        <v xml:space="preserve">| 5 L PHP-CGM % | 6 L CPT % | 7 P Python % </v>
      </c>
      <c r="AC447" s="4" t="str">
        <f ca="1">IFERROR(__xludf.DUMMYFUNCTION("""COMPUTED_VALUE"""),"| 5 L PHP-CGM % | 6 L NS % | 7 P CPT % | 9 P JAVA % ")</f>
        <v xml:space="preserve">| 5 L PHP-CGM % | 6 L NS % | 7 P CPT % | 9 P JAVA % </v>
      </c>
      <c r="AD447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47" s="4" t="str">
        <f ca="1">IFERROR(__xludf.DUMMYFUNCTION("""COMPUTED_VALUE"""),"| 5 L JAVA % | 6 L NS % | 7 P NS % | 9 P PHP-CGM % ")</f>
        <v xml:space="preserve">| 5 L JAVA % | 6 L NS % | 7 P NS % | 9 P PHP-CGM % </v>
      </c>
      <c r="AF447" s="4" t="str">
        <f ca="1">IFERROR(__xludf.DUMMYFUNCTION("""COMPUTED_VALUE"""),"| 5 L CPT % | 6 L JAVA % | 7 P Python @ | 9 P PRO @ ")</f>
        <v xml:space="preserve">| 5 L CPT % | 6 L JAVA % | 7 P Python @ | 9 P PRO @ </v>
      </c>
      <c r="AG447" s="4" t="str">
        <f ca="1">IFERROR(__xludf.DUMMYFUNCTION("""COMPUTED_VALUE"""),"| 5 L PHP-CGM @ | 6 L CPT @ ")</f>
        <v xml:space="preserve">| 5 L PHP-CGM @ | 6 L CPT @ </v>
      </c>
      <c r="AH447" s="4" t="str">
        <f ca="1">IFERROR(__xludf.DUMMYFUNCTION("""COMPUTED_VALUE"""),"| 5 L CPT % | 6 L JAVA % | 7 P Python % | 9 P PRO % ")</f>
        <v xml:space="preserve">| 5 L CPT % | 6 L JAVA % | 7 P Python % | 9 P PRO % </v>
      </c>
      <c r="AI447" s="4" t="str">
        <f ca="1">IFERROR(__xludf.DUMMYFUNCTION("""COMPUTED_VALUE"""),"| 5 L PHP-CGM % | 6 L CPT % | 7 P Python % ")</f>
        <v xml:space="preserve">| 5 L PHP-CGM % | 6 L CPT % | 7 P Python % </v>
      </c>
      <c r="AJ447" s="4" t="str">
        <f ca="1">IFERROR(__xludf.DUMMYFUNCTION("""COMPUTED_VALUE"""),"| 5 L PHP-CGM % | 6 L NS % | 7 P CPT % | 9 P JAVA % ")</f>
        <v xml:space="preserve">| 5 L PHP-CGM % | 6 L NS % | 7 P CPT % | 9 P JAVA % </v>
      </c>
      <c r="AK447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7" s="4" t="str">
        <f ca="1">IFERROR(__xludf.DUMMYFUNCTION("""COMPUTED_VALUE"""),"| 5 L JAVA % | 6 L NS % | 7 P NS % | 9 P PHP-CGM % ")</f>
        <v xml:space="preserve">| 5 L JAVA % | 6 L NS % | 7 P NS % | 9 P PHP-CGM % </v>
      </c>
      <c r="AM447" s="4" t="str">
        <f ca="1">IFERROR(__xludf.DUMMYFUNCTION("""COMPUTED_VALUE"""),"| 5 L CPT @ | 6 L JAVA @ | 7 P Python @ | 9 P PRO @ ")</f>
        <v xml:space="preserve">| 5 L CPT @ | 6 L JAVA @ | 7 P Python @ | 9 P PRO @ </v>
      </c>
      <c r="AN447" s="4" t="str">
        <f ca="1">IFERROR(__xludf.DUMMYFUNCTION("""COMPUTED_VALUE"""),"| 5 L PHP-CGM @ | 6 L CPT @ | 7 P Python @ ")</f>
        <v xml:space="preserve">| 5 L PHP-CGM @ | 6 L CPT @ | 7 P Python @ </v>
      </c>
      <c r="AO447" s="4" t="str">
        <f ca="1">IFERROR(__xludf.DUMMYFUNCTION("""COMPUTED_VALUE"""),"| 5 L PHP-CGM @ | 6 L NS @ | 7 P CPT @ | 9 P JAVA @ ")</f>
        <v xml:space="preserve">| 5 L PHP-CGM @ | 6 L NS @ | 7 P CPT @ | 9 P JAVA @ </v>
      </c>
      <c r="AP447" s="4" t="str">
        <f ca="1">IFERROR(__xludf.DUMMYFUNCTION("""COMPUTED_VALUE"""),"| 5 L NS @ | 7 L JAVA @ | 8 L CPT @ | 9 P JAVA @ ")</f>
        <v xml:space="preserve">| 5 L NS @ | 7 L JAVA @ | 8 L CPT @ | 9 P JAVA @ </v>
      </c>
      <c r="AQ447" s="4" t="str">
        <f ca="1">IFERROR(__xludf.DUMMYFUNCTION("""COMPUTED_VALUE"""),"| 5 L CPT @ | 6 L NS @ | 7 P NS @ | 9 P PHP-CGM @ ")</f>
        <v xml:space="preserve">| 5 L CPT @ | 6 L NS @ | 7 P NS @ | 9 P PHP-CGM @ </v>
      </c>
      <c r="AR447" s="4" t="str">
        <f ca="1">IFERROR(__xludf.DUMMYFUNCTION("""COMPUTED_VALUE"""),"| 5 L JAVA @ | 6 L JAVA @ | 5 L CPT @ | 7 P Python @ ")</f>
        <v xml:space="preserve">| 5 L JAVA @ | 6 L JAVA @ | 5 L CPT @ | 7 P Python @ </v>
      </c>
      <c r="AS447" s="4" t="str">
        <f ca="1">IFERROR(__xludf.DUMMYFUNCTION("""COMPUTED_VALUE"""),"| 5 L PHP-CGM % | 6 L NS % | 9 P JAVA % ")</f>
        <v xml:space="preserve">| 5 L PHP-CGM % | 6 L NS % | 9 P JAVA % </v>
      </c>
      <c r="AT447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47" s="4" t="str">
        <f ca="1">IFERROR(__xludf.DUMMYFUNCTION("""COMPUTED_VALUE"""),"| 5 L CPT % | 6 L NS % | 7 P NS % | 9 P PHP-CGM % ")</f>
        <v xml:space="preserve">| 5 L CPT % | 6 L NS % | 7 P NS % | 9 P PHP-CGM % </v>
      </c>
      <c r="AV447" s="4" t="str">
        <f ca="1">IFERROR(__xludf.DUMMYFUNCTION("""COMPUTED_VALUE"""),"| 5 L JAVA % | 6 L JAVA % | 7 P Python % | 9 P PRO % ")</f>
        <v xml:space="preserve">| 5 L JAVA % | 6 L JAVA % | 7 P Python % | 9 P PRO % </v>
      </c>
      <c r="AW447" s="4" t="str">
        <f ca="1">IFERROR(__xludf.DUMMYFUNCTION("""COMPUTED_VALUE"""),"| 5 L PHP-CGM % | 6 L CPT % | 7 P Python @ | 9 L INE @ ")</f>
        <v xml:space="preserve">| 5 L PHP-CGM % | 6 L CPT % | 7 P Python @ | 9 L INE @ </v>
      </c>
      <c r="AX447" s="4" t="str">
        <f ca="1">IFERROR(__xludf.DUMMYFUNCTION("""COMPUTED_VALUE"""),"| 5 L PHP-CGM % | 6 L NS % | 7 P CPT % | 9 P JAVA % ")</f>
        <v xml:space="preserve">| 5 L PHP-CGM % | 6 L NS % | 7 P CPT % | 9 P JAVA % </v>
      </c>
      <c r="AY447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Z447" s="4" t="str">
        <f ca="1">IFERROR(__xludf.DUMMYFUNCTION("""COMPUTED_VALUE"""),"| 5 L JAVA % | 6 L JAVA % | 7 P Python % ")</f>
        <v xml:space="preserve">| 5 L JAVA % | 6 L JAVA % | 7 P Python % </v>
      </c>
      <c r="BA447" s="4" t="str">
        <f ca="1">IFERROR(__xludf.DUMMYFUNCTION("""COMPUTED_VALUE"""),"| 5 L PHP-CGM @ | 6 L CPT @ | 9 L INE @ ")</f>
        <v xml:space="preserve">| 5 L PHP-CGM @ | 6 L CPT @ | 9 L INE @ </v>
      </c>
      <c r="BB447" s="4" t="str">
        <f ca="1">IFERROR(__xludf.DUMMYFUNCTION("""COMPUTED_VALUE"""),"| 5 L PHP-CGM % | 6 L NS % | 7 P CPT % | 9 P JAVA % ")</f>
        <v xml:space="preserve">| 5 L PHP-CGM % | 6 L NS % | 7 P CPT % | 9 P JAVA % </v>
      </c>
      <c r="BC447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D447" s="4" t="str">
        <f ca="1">IFERROR(__xludf.DUMMYFUNCTION("""COMPUTED_VALUE"""),"| 5 L CPT % | 6 L NS % | 7 P NS % | 9 P PHP-CGM % ")</f>
        <v xml:space="preserve">| 5 L CPT % | 6 L NS % | 7 P NS % | 9 P PHP-CGM % </v>
      </c>
      <c r="BE447" s="4" t="str">
        <f ca="1">IFERROR(__xludf.DUMMYFUNCTION("""COMPUTED_VALUE"""),"| 5 L JAVA % | 6 L JAVA % | 7 P Python % | 9 P PRO % ")</f>
        <v xml:space="preserve">| 5 L JAVA % | 6 L JAVA % | 7 P Python % | 9 P PRO % </v>
      </c>
      <c r="BF447" s="4" t="str">
        <f ca="1">IFERROR(__xludf.DUMMYFUNCTION("""COMPUTED_VALUE"""),"| 5 L PHP-CGM % | 6 L CPT @ | 7 P Python @ ")</f>
        <v xml:space="preserve">| 5 L PHP-CGM % | 6 L CPT @ | 7 P Python @ </v>
      </c>
      <c r="BG447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47" s="4" t="str">
        <f ca="1">IFERROR(__xludf.DUMMYFUNCTION("""COMPUTED_VALUE"""),"| 5 L CPT % | 6 L NS % | 7 P NS % ")</f>
        <v xml:space="preserve">| 5 L CPT % | 6 L NS % | 7 P NS % </v>
      </c>
      <c r="BI447" s="4" t="str">
        <f ca="1">IFERROR(__xludf.DUMMYFUNCTION("""COMPUTED_VALUE"""),"| 5 L JAVA % | 6 L JAVA % | 7 P Python % | 9 P PRO % ")</f>
        <v xml:space="preserve">| 5 L JAVA % | 6 L JAVA % | 7 P Python % | 9 P PRO % </v>
      </c>
      <c r="BJ447" s="4" t="str">
        <f ca="1">IFERROR(__xludf.DUMMYFUNCTION("""COMPUTED_VALUE"""),"| 5 L PHP-CGM @ | 6 L CPT @ | 7 P Python @ | 9 L INE @ ")</f>
        <v xml:space="preserve">| 5 L PHP-CGM @ | 6 L CPT @ | 7 P Python @ | 9 L INE @ </v>
      </c>
      <c r="BK447" s="4" t="str">
        <f ca="1">IFERROR(__xludf.DUMMYFUNCTION("""COMPUTED_VALUE"""),"| 5 L PHP-CGM @ | 6 L NS @ | 9 P JAVA @ ")</f>
        <v xml:space="preserve">| 5 L PHP-CGM @ | 6 L NS @ | 9 P JAVA @ </v>
      </c>
      <c r="BL447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7" s="4" t="str">
        <f ca="1">IFERROR(__xludf.DUMMYFUNCTION("""COMPUTED_VALUE"""),"| 5 L CPT @ | 6 L NS @ ")</f>
        <v xml:space="preserve">| 5 L CPT @ | 6 L NS @ </v>
      </c>
      <c r="BN447" s="4" t="str">
        <f ca="1">IFERROR(__xludf.DUMMYFUNCTION("""COMPUTED_VALUE"""),"| 5 L JAVA @ | 6 L JAVA @ ")</f>
        <v xml:space="preserve">| 5 L JAVA @ | 6 L JAVA @ </v>
      </c>
      <c r="BO447" s="4" t="str">
        <f ca="1">IFERROR(__xludf.DUMMYFUNCTION("""COMPUTED_VALUE"""),"| 5 L PHP-CGM @ | 9 L INE @ | 6 L CPT @ ")</f>
        <v xml:space="preserve">| 5 L PHP-CGM @ | 9 L INE @ | 6 L CPT @ </v>
      </c>
      <c r="BP447" s="4" t="str">
        <f ca="1">IFERROR(__xludf.DUMMYFUNCTION("""COMPUTED_VALUE"""),"| 5 L PHP-CGM % | 6 L NS % | 7 P CPT @ ")</f>
        <v xml:space="preserve">| 5 L PHP-CGM % | 6 L NS % | 7 P CPT @ </v>
      </c>
      <c r="BQ447" s="4" t="str">
        <f ca="1">IFERROR(__xludf.DUMMYFUNCTION("""COMPUTED_VALUE"""),"| 5 L CPT @ ")</f>
        <v xml:space="preserve">| 5 L CPT @ </v>
      </c>
      <c r="BR447" s="4" t="str">
        <f ca="1">IFERROR(__xludf.DUMMYFUNCTION("""COMPUTED_VALUE"""),"| 5 L JAVA % | 6 L JAVA % ")</f>
        <v xml:space="preserve">| 5 L JAVA % | 6 L JAVA % </v>
      </c>
      <c r="BS447" s="4"/>
      <c r="BT447" s="4" t="str">
        <f ca="1">IFERROR(__xludf.DUMMYFUNCTION("""COMPUTED_VALUE"""),"| 7 P CPT @ | 9 P JAVA @ ")</f>
        <v xml:space="preserve">| 7 P CPT @ | 9 P JAVA @ </v>
      </c>
      <c r="BU447" s="4" t="str">
        <f ca="1">IFERROR(__xludf.DUMMYFUNCTION("""COMPUTED_VALUE"""),"| 7 L JAVA @ | 9 P JAVA @ ")</f>
        <v xml:space="preserve">| 7 L JAVA @ | 9 P JAVA @ </v>
      </c>
      <c r="BV447" s="4" t="str">
        <f ca="1">IFERROR(__xludf.DUMMYFUNCTION("""COMPUTED_VALUE"""),"| 5 L PHP-CGM % | 6 L NS % | 9 P JAVA @ ")</f>
        <v xml:space="preserve">| 5 L PHP-CGM % | 6 L NS % | 9 P JAVA @ </v>
      </c>
      <c r="BW447" s="4" t="str">
        <f ca="1">IFERROR(__xludf.DUMMYFUNCTION("""COMPUTED_VALUE"""),"| 9 P JAVA @ ")</f>
        <v xml:space="preserve">| 9 P JAVA @ </v>
      </c>
      <c r="BX447" s="4" t="str">
        <f ca="1">IFERROR(__xludf.DUMMYFUNCTION("""COMPUTED_VALUE"""),"| 5 L CPT % | 6 L NS % | 7 P NS % ")</f>
        <v xml:space="preserve">| 5 L CPT % | 6 L NS % | 7 P NS % </v>
      </c>
      <c r="BY447" s="4" t="str">
        <f ca="1">IFERROR(__xludf.DUMMYFUNCTION("""COMPUTED_VALUE"""),"| 5 L JAVA % | 6 L JAVA % | 7 P Python % ")</f>
        <v xml:space="preserve">| 5 L JAVA % | 6 L JAVA % | 7 P Python % </v>
      </c>
      <c r="BZ447" s="4" t="str">
        <f ca="1">IFERROR(__xludf.DUMMYFUNCTION("""COMPUTED_VALUE"""),"| 5 L PHP-CGM @ | 6 L CPT @ | 7 P Python @ ")</f>
        <v xml:space="preserve">| 5 L PHP-CGM @ | 6 L CPT @ | 7 P Python @ </v>
      </c>
      <c r="CA447" s="4" t="str">
        <f ca="1">IFERROR(__xludf.DUMMYFUNCTION("""COMPUTED_VALUE"""),"| 5 L PHP-CGM % | 6 L NS % | 7 P CPT % | 9 P JAVA @ ")</f>
        <v xml:space="preserve">| 5 L PHP-CGM % | 6 L NS % | 7 P CPT % | 9 P JAVA @ </v>
      </c>
      <c r="CB447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47" s="4" t="str">
        <f ca="1">IFERROR(__xludf.DUMMYFUNCTION("""COMPUTED_VALUE"""),"| 6 L NS % | 5 L CPT % | 7 P NS % | 9 P PHP-CGM % ")</f>
        <v xml:space="preserve">| 6 L NS % | 5 L CPT % | 7 P NS % | 9 P PHP-CGM % </v>
      </c>
      <c r="CD447" s="4" t="str">
        <f ca="1">IFERROR(__xludf.DUMMYFUNCTION("""COMPUTED_VALUE"""),"| 5 L JAVA % | 6 L JAVA % | 7 P Python % | 9 P PRO @ ")</f>
        <v xml:space="preserve">| 5 L JAVA % | 6 L JAVA % | 7 P Python % | 9 P PRO @ </v>
      </c>
      <c r="CE447" s="4" t="str">
        <f ca="1">IFERROR(__xludf.DUMMYFUNCTION("""COMPUTED_VALUE"""),"| 5 L PHP-CGM @ | 6 L CPT @ | 9 L INE @ ")</f>
        <v xml:space="preserve">| 5 L PHP-CGM @ | 6 L CPT @ | 9 L INE @ </v>
      </c>
      <c r="CF447" s="4" t="str">
        <f ca="1">IFERROR(__xludf.DUMMYFUNCTION("""COMPUTED_VALUE"""),"| 5 L PHP-CGM % | 6 L NS % | 7 P CPT % | 9 P JAVA % ")</f>
        <v xml:space="preserve">| 5 L PHP-CGM % | 6 L NS % | 7 P CPT % | 9 P JAVA % </v>
      </c>
      <c r="CG447" s="4" t="str">
        <f ca="1">IFERROR(__xludf.DUMMYFUNCTION("""COMPUTED_VALUE"""),"| 6 L PHP-CGM % | 7 L JAVA % | 8 L CPT % | 9 P JAVA % ")</f>
        <v xml:space="preserve">| 6 L PHP-CGM % | 7 L JAVA % | 8 L CPT % | 9 P JAVA % </v>
      </c>
      <c r="CH447" s="4" t="str">
        <f ca="1">IFERROR(__xludf.DUMMYFUNCTION("""COMPUTED_VALUE"""),"| 5 L CPT % | 6 L NS % ")</f>
        <v xml:space="preserve">| 5 L CPT % | 6 L NS % </v>
      </c>
      <c r="CI447" s="4" t="str">
        <f ca="1">IFERROR(__xludf.DUMMYFUNCTION("""COMPUTED_VALUE"""),"| 5 L JAVA % | 6 L JAVA % | 7 P Python % | 9 P PRO @ ")</f>
        <v xml:space="preserve">| 5 L JAVA % | 6 L JAVA % | 7 P Python % | 9 P PRO @ </v>
      </c>
      <c r="CJ447" s="4" t="str">
        <f ca="1">IFERROR(__xludf.DUMMYFUNCTION("""COMPUTED_VALUE"""),"| 5 L PHP-CGM @ | 9 L INE @ ")</f>
        <v xml:space="preserve">| 5 L PHP-CGM @ | 9 L INE @ </v>
      </c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</row>
    <row r="448" spans="1:102" ht="12.5" x14ac:dyDescent="0.25">
      <c r="A448" s="3">
        <f ca="1">IFERROR(__xludf.DUMMYFUNCTION("""COMPUTED_VALUE"""),2)</f>
        <v>2</v>
      </c>
      <c r="B448" s="3" t="str">
        <f ca="1">IFERROR(__xludf.DUMMYFUNCTION("""COMPUTED_VALUE"""),"ITB")</f>
        <v>ITB</v>
      </c>
      <c r="C448" s="32" t="str">
        <f ca="1">IFERROR(__xludf.DUMMYFUNCTION("""COMPUTED_VALUE"""),"23291371099")</f>
        <v>23291371099</v>
      </c>
      <c r="D448" s="4" t="str">
        <f ca="1">IFERROR(__xludf.DUMMYFUNCTION("""COMPUTED_VALUE"""),"PATEL SHREY MAHESHBHAI")</f>
        <v>PATEL SHREY MAHESHBHAI</v>
      </c>
      <c r="E448" s="3" t="str">
        <f ca="1">IFERROR(__xludf.DUMMYFUNCTION("""COMPUTED_VALUE"""),"VSP - Eve")</f>
        <v>VSP - Eve</v>
      </c>
      <c r="F448" s="3">
        <f ca="1">IFERROR(__xludf.DUMMYFUNCTION("""COMPUTED_VALUE"""),9979269823)</f>
        <v>9979269823</v>
      </c>
      <c r="G448" s="3">
        <f ca="1">IFERROR(__xludf.DUMMYFUNCTION("""COMPUTED_VALUE"""),8866562610)</f>
        <v>8866562610</v>
      </c>
      <c r="H448" s="33">
        <f ca="1">IFERROR(__xludf.DUMMYFUNCTION("""COMPUTED_VALUE"""),0.464601769911504)</f>
        <v>0.46460176991150398</v>
      </c>
      <c r="I448" s="25">
        <f ca="1">IFERROR(__xludf.DUMMYFUNCTION("""COMPUTED_VALUE"""),0.527777777777777)</f>
        <v>0.52777777777777701</v>
      </c>
      <c r="J448" s="25">
        <f ca="1">IFERROR(__xludf.DUMMYFUNCTION("""COMPUTED_VALUE"""),0.5)</f>
        <v>0.5</v>
      </c>
      <c r="K448" s="25">
        <f ca="1">IFERROR(__xludf.DUMMYFUNCTION("""COMPUTED_VALUE"""),0.515151515151515)</f>
        <v>0.51515151515151503</v>
      </c>
      <c r="L448" s="25">
        <f ca="1">IFERROR(__xludf.DUMMYFUNCTION("""COMPUTED_VALUE"""),0.777777777777777)</f>
        <v>0.77777777777777701</v>
      </c>
      <c r="M448" s="25">
        <f ca="1">IFERROR(__xludf.DUMMYFUNCTION("""COMPUTED_VALUE"""),0.352941176470588)</f>
        <v>0.35294117647058798</v>
      </c>
      <c r="N448" s="25">
        <f ca="1">IFERROR(__xludf.DUMMYFUNCTION("""COMPUTED_VALUE"""),0.428571428571428)</f>
        <v>0.42857142857142799</v>
      </c>
      <c r="O448" s="25">
        <f ca="1">IFERROR(__xludf.DUMMYFUNCTION("""COMPUTED_VALUE"""),0.666666666666666)</f>
        <v>0.66666666666666596</v>
      </c>
      <c r="P448" s="25">
        <f ca="1">IFERROR(__xludf.DUMMYFUNCTION("""COMPUTED_VALUE"""),0.0416666666666666)</f>
        <v>4.1666666666666602E-2</v>
      </c>
      <c r="Q448" s="25">
        <f ca="1">IFERROR(__xludf.DUMMYFUNCTION("""COMPUTED_VALUE"""),0)</f>
        <v>0</v>
      </c>
      <c r="R448" s="25">
        <f ca="1">IFERROR(__xludf.DUMMYFUNCTION("""COMPUTED_VALUE"""),0.736842105263157)</f>
        <v>0.73684210526315697</v>
      </c>
      <c r="S448" s="25">
        <f ca="1">IFERROR(__xludf.DUMMYFUNCTION("""COMPUTED_VALUE"""),0)</f>
        <v>0</v>
      </c>
      <c r="T448" s="25">
        <f ca="1">IFERROR(__xludf.DUMMYFUNCTION("""COMPUTED_VALUE"""),0.111111111111111)</f>
        <v>0.11111111111111099</v>
      </c>
      <c r="U448" s="25">
        <f ca="1">IFERROR(__xludf.DUMMYFUNCTION("""COMPUTED_VALUE"""),0)</f>
        <v>0</v>
      </c>
      <c r="V448" s="25">
        <f ca="1">IFERROR(__xludf.DUMMYFUNCTION("""COMPUTED_VALUE"""),0)</f>
        <v>0</v>
      </c>
      <c r="W448" s="4"/>
      <c r="X448" s="4" t="str">
        <f ca="1">IFERROR(__xludf.DUMMYFUNCTION("""COMPUTED_VALUE"""),"| 5 L PHP-CGM @ | 6 L NS @ | 7 P CPT @ | 9 P JAVA @ ")</f>
        <v xml:space="preserve">| 5 L PHP-CGM @ | 6 L NS @ | 7 P CPT @ | 9 P JAVA @ </v>
      </c>
      <c r="Y448" s="4" t="str">
        <f ca="1">IFERROR(__xludf.DUMMYFUNCTION("""COMPUTED_VALUE"""),"| 5 L NS @ | 6 L PHP-CGM @ | 7 L JAVA @ | 8 L CPT @ ")</f>
        <v xml:space="preserve">| 5 L NS @ | 6 L PHP-CGM @ | 7 L JAVA @ | 8 L CPT @ </v>
      </c>
      <c r="Z448" s="4" t="str">
        <f ca="1">IFERROR(__xludf.DUMMYFUNCTION("""COMPUTED_VALUE"""),"| 5 L JAVA % | 6 L NS % | 7 P NS % | 9 P PHP-CGM % ")</f>
        <v xml:space="preserve">| 5 L JAVA % | 6 L NS % | 7 P NS % | 9 P PHP-CGM % </v>
      </c>
      <c r="AA448" s="4" t="str">
        <f ca="1">IFERROR(__xludf.DUMMYFUNCTION("""COMPUTED_VALUE"""),"| 5 L CPT % | 6 L JAVA % | 7 P Python % | 9 P PRO @ ")</f>
        <v xml:space="preserve">| 5 L CPT % | 6 L JAVA % | 7 P Python % | 9 P PRO @ </v>
      </c>
      <c r="AB448" s="4" t="str">
        <f ca="1">IFERROR(__xludf.DUMMYFUNCTION("""COMPUTED_VALUE"""),"| 5 L PHP-CGM % | 6 L CPT % | 7 P Python @ ")</f>
        <v xml:space="preserve">| 5 L PHP-CGM % | 6 L CPT % | 7 P Python @ </v>
      </c>
      <c r="AC448" s="4" t="str">
        <f ca="1">IFERROR(__xludf.DUMMYFUNCTION("""COMPUTED_VALUE"""),"| 5 L PHP-CGM @ | 6 L NS @ | 7 P CPT @ | 9 P JAVA @ ")</f>
        <v xml:space="preserve">| 5 L PHP-CGM @ | 6 L NS @ | 7 P CPT @ | 9 P JAVA @ </v>
      </c>
      <c r="AD448" s="4" t="str">
        <f ca="1">IFERROR(__xludf.DUMMYFUNCTION("""COMPUTED_VALUE"""),"| 5 L NS @ | 7 L JAVA % | 8 L CPT % | 9 P JAVA @ | 6 L PHP-CGM @ ")</f>
        <v xml:space="preserve">| 5 L NS @ | 7 L JAVA % | 8 L CPT % | 9 P JAVA @ | 6 L PHP-CGM @ </v>
      </c>
      <c r="AE448" s="4" t="str">
        <f ca="1">IFERROR(__xludf.DUMMYFUNCTION("""COMPUTED_VALUE"""),"| 5 L JAVA @ | 6 L NS % | 7 P NS % | 9 P PHP-CGM @ ")</f>
        <v xml:space="preserve">| 5 L JAVA @ | 6 L NS % | 7 P NS % | 9 P PHP-CGM @ </v>
      </c>
      <c r="AF448" s="4" t="str">
        <f ca="1">IFERROR(__xludf.DUMMYFUNCTION("""COMPUTED_VALUE"""),"| 5 L CPT @ | 6 L JAVA % | 7 P Python @ | 9 P PRO @ ")</f>
        <v xml:space="preserve">| 5 L CPT @ | 6 L JAVA % | 7 P Python @ | 9 P PRO @ </v>
      </c>
      <c r="AG448" s="4" t="str">
        <f ca="1">IFERROR(__xludf.DUMMYFUNCTION("""COMPUTED_VALUE"""),"| 5 L PHP-CGM @ | 6 L CPT @ ")</f>
        <v xml:space="preserve">| 5 L PHP-CGM @ | 6 L CPT @ </v>
      </c>
      <c r="AH448" s="4" t="str">
        <f ca="1">IFERROR(__xludf.DUMMYFUNCTION("""COMPUTED_VALUE"""),"| 5 L CPT % | 6 L JAVA % | 7 P Python % | 9 P PRO @ ")</f>
        <v xml:space="preserve">| 5 L CPT % | 6 L JAVA % | 7 P Python % | 9 P PRO @ </v>
      </c>
      <c r="AI448" s="4" t="str">
        <f ca="1">IFERROR(__xludf.DUMMYFUNCTION("""COMPUTED_VALUE"""),"| 5 L PHP-CGM @ | 6 L CPT % | 7 P Python % ")</f>
        <v xml:space="preserve">| 5 L PHP-CGM @ | 6 L CPT % | 7 P Python % </v>
      </c>
      <c r="AJ448" s="4" t="str">
        <f ca="1">IFERROR(__xludf.DUMMYFUNCTION("""COMPUTED_VALUE"""),"| 5 L PHP-CGM % | 6 L NS % | 7 P CPT % | 9 P JAVA % ")</f>
        <v xml:space="preserve">| 5 L PHP-CGM % | 6 L NS % | 7 P CPT % | 9 P JAVA % </v>
      </c>
      <c r="AK448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8" s="4" t="str">
        <f ca="1">IFERROR(__xludf.DUMMYFUNCTION("""COMPUTED_VALUE"""),"| 5 L JAVA % | 6 L NS % | 7 P NS % | 9 P PHP-CGM % ")</f>
        <v xml:space="preserve">| 5 L JAVA % | 6 L NS % | 7 P NS % | 9 P PHP-CGM % </v>
      </c>
      <c r="AM448" s="4" t="str">
        <f ca="1">IFERROR(__xludf.DUMMYFUNCTION("""COMPUTED_VALUE"""),"| 5 L CPT % | 6 L JAVA % | 7 P Python % | 9 P PRO @ ")</f>
        <v xml:space="preserve">| 5 L CPT % | 6 L JAVA % | 7 P Python % | 9 P PRO @ </v>
      </c>
      <c r="AN448" s="4" t="str">
        <f ca="1">IFERROR(__xludf.DUMMYFUNCTION("""COMPUTED_VALUE"""),"| 5 L PHP-CGM % | 6 L CPT % | 7 P Python % ")</f>
        <v xml:space="preserve">| 5 L PHP-CGM % | 6 L CPT % | 7 P Python % </v>
      </c>
      <c r="AO448" s="4" t="str">
        <f ca="1">IFERROR(__xludf.DUMMYFUNCTION("""COMPUTED_VALUE"""),"| 5 L PHP-CGM % | 6 L NS % | 7 P CPT % | 9 P JAVA @ ")</f>
        <v xml:space="preserve">| 5 L PHP-CGM % | 6 L NS % | 7 P CPT % | 9 P JAVA @ </v>
      </c>
      <c r="AP448" s="4" t="str">
        <f ca="1">IFERROR(__xludf.DUMMYFUNCTION("""COMPUTED_VALUE"""),"| 5 L NS % | 7 L JAVA % | 8 L CPT % | 9 P JAVA @ ")</f>
        <v xml:space="preserve">| 5 L NS % | 7 L JAVA % | 8 L CPT % | 9 P JAVA @ </v>
      </c>
      <c r="AQ448" s="4" t="str">
        <f ca="1">IFERROR(__xludf.DUMMYFUNCTION("""COMPUTED_VALUE"""),"| 5 L CPT @ | 6 L NS @ | 7 P NS @ | 9 P PHP-CGM @ ")</f>
        <v xml:space="preserve">| 5 L CPT @ | 6 L NS @ | 7 P NS @ | 9 P PHP-CGM @ </v>
      </c>
      <c r="AR448" s="4" t="str">
        <f ca="1">IFERROR(__xludf.DUMMYFUNCTION("""COMPUTED_VALUE"""),"| 5 L JAVA @ | 6 L JAVA @ | 5 L CPT @ | 7 P Python @ ")</f>
        <v xml:space="preserve">| 5 L JAVA @ | 6 L JAVA @ | 5 L CPT @ | 7 P Python @ </v>
      </c>
      <c r="AS448" s="4" t="str">
        <f ca="1">IFERROR(__xludf.DUMMYFUNCTION("""COMPUTED_VALUE"""),"| 5 L PHP-CGM @ | 6 L NS @ | 9 P JAVA @ ")</f>
        <v xml:space="preserve">| 5 L PHP-CGM @ | 6 L NS @ | 9 P JAVA @ </v>
      </c>
      <c r="AT448" s="4" t="str">
        <f ca="1">IFERROR(__xludf.DUMMYFUNCTION("""COMPUTED_VALUE"""),"| 5 L NS @ | 6 L PHP-CGM @ | 7 L JAVA @ | 8 L CPT % | 9 P JAVA @ ")</f>
        <v xml:space="preserve">| 5 L NS @ | 6 L PHP-CGM @ | 7 L JAVA @ | 8 L CPT % | 9 P JAVA @ </v>
      </c>
      <c r="AU448" s="4" t="str">
        <f ca="1">IFERROR(__xludf.DUMMYFUNCTION("""COMPUTED_VALUE"""),"| 5 L CPT @ | 6 L NS % | 7 P NS % | 9 P PHP-CGM @ ")</f>
        <v xml:space="preserve">| 5 L CPT @ | 6 L NS % | 7 P NS % | 9 P PHP-CGM @ </v>
      </c>
      <c r="AV448" s="4" t="str">
        <f ca="1">IFERROR(__xludf.DUMMYFUNCTION("""COMPUTED_VALUE"""),"| 5 L JAVA % | 6 L JAVA % | 7 P Python % | 9 P PRO % ")</f>
        <v xml:space="preserve">| 5 L JAVA % | 6 L JAVA % | 7 P Python % | 9 P PRO % </v>
      </c>
      <c r="AW448" s="4" t="str">
        <f ca="1">IFERROR(__xludf.DUMMYFUNCTION("""COMPUTED_VALUE"""),"| 5 L PHP-CGM % | 6 L CPT % | 7 P Python % | 9 L INE @ ")</f>
        <v xml:space="preserve">| 5 L PHP-CGM % | 6 L CPT % | 7 P Python % | 9 L INE @ </v>
      </c>
      <c r="AX448" s="4" t="str">
        <f ca="1">IFERROR(__xludf.DUMMYFUNCTION("""COMPUTED_VALUE"""),"| 5 L PHP-CGM % | 6 L NS % | 7 P CPT % | 9 P JAVA @ ")</f>
        <v xml:space="preserve">| 5 L PHP-CGM % | 6 L NS % | 7 P CPT % | 9 P JAVA @ </v>
      </c>
      <c r="AY448" s="4" t="str">
        <f ca="1">IFERROR(__xludf.DUMMYFUNCTION("""COMPUTED_VALUE"""),"| 5 L NS @ | 6 L PHP-CGM % | 7 L JAVA % | 8 L CPT % | 9 P JAVA @ ")</f>
        <v xml:space="preserve">| 5 L NS @ | 6 L PHP-CGM % | 7 L JAVA % | 8 L CPT % | 9 P JAVA @ </v>
      </c>
      <c r="AZ448" s="4" t="str">
        <f ca="1">IFERROR(__xludf.DUMMYFUNCTION("""COMPUTED_VALUE"""),"| 5 L JAVA % | 6 L JAVA % | 7 P Python % ")</f>
        <v xml:space="preserve">| 5 L JAVA % | 6 L JAVA % | 7 P Python % </v>
      </c>
      <c r="BA448" s="4" t="str">
        <f ca="1">IFERROR(__xludf.DUMMYFUNCTION("""COMPUTED_VALUE"""),"| 5 L PHP-CGM @ | 6 L CPT @ | 9 L INE @ ")</f>
        <v xml:space="preserve">| 5 L PHP-CGM @ | 6 L CPT @ | 9 L INE @ </v>
      </c>
      <c r="BB448" s="4" t="str">
        <f ca="1">IFERROR(__xludf.DUMMYFUNCTION("""COMPUTED_VALUE"""),"| 5 L PHP-CGM % | 6 L NS % | 7 P CPT % | 9 P JAVA @ ")</f>
        <v xml:space="preserve">| 5 L PHP-CGM % | 6 L NS % | 7 P CPT % | 9 P JAVA @ </v>
      </c>
      <c r="BC448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D448" s="4" t="str">
        <f ca="1">IFERROR(__xludf.DUMMYFUNCTION("""COMPUTED_VALUE"""),"| 5 L CPT @ | 6 L NS % | 7 P NS % | 9 P PHP-CGM % ")</f>
        <v xml:space="preserve">| 5 L CPT @ | 6 L NS % | 7 P NS % | 9 P PHP-CGM % </v>
      </c>
      <c r="BE448" s="4" t="str">
        <f ca="1">IFERROR(__xludf.DUMMYFUNCTION("""COMPUTED_VALUE"""),"| 5 L JAVA % | 6 L JAVA % | 7 P Python % | 9 P PRO @ ")</f>
        <v xml:space="preserve">| 5 L JAVA % | 6 L JAVA % | 7 P Python % | 9 P PRO @ </v>
      </c>
      <c r="BF448" s="4" t="str">
        <f ca="1">IFERROR(__xludf.DUMMYFUNCTION("""COMPUTED_VALUE"""),"| 5 L PHP-CGM @ | 6 L CPT @ | 7 P Python % ")</f>
        <v xml:space="preserve">| 5 L PHP-CGM @ | 6 L CPT @ | 7 P Python % </v>
      </c>
      <c r="BG448" s="4" t="str">
        <f ca="1">IFERROR(__xludf.DUMMYFUNCTION("""COMPUTED_VALUE"""),"| 5 L NS @ | 6 L PHP-CGM % | 7 L JAVA % | 8 L CPT % | 9 P JAVA @ ")</f>
        <v xml:space="preserve">| 5 L NS @ | 6 L PHP-CGM % | 7 L JAVA % | 8 L CPT % | 9 P JAVA @ </v>
      </c>
      <c r="BH448" s="4" t="str">
        <f ca="1">IFERROR(__xludf.DUMMYFUNCTION("""COMPUTED_VALUE"""),"| 5 L CPT % | 6 L NS % | 7 P NS % ")</f>
        <v xml:space="preserve">| 5 L CPT % | 6 L NS % | 7 P NS % </v>
      </c>
      <c r="BI448" s="4" t="str">
        <f ca="1">IFERROR(__xludf.DUMMYFUNCTION("""COMPUTED_VALUE"""),"| 5 L JAVA % | 6 L JAVA % | 7 P Python % | 9 P PRO @ ")</f>
        <v xml:space="preserve">| 5 L JAVA % | 6 L JAVA % | 7 P Python % | 9 P PRO @ </v>
      </c>
      <c r="BJ448" s="4" t="str">
        <f ca="1">IFERROR(__xludf.DUMMYFUNCTION("""COMPUTED_VALUE"""),"| 5 L PHP-CGM @ | 6 L CPT % | 7 P Python @ | 9 L INE @ ")</f>
        <v xml:space="preserve">| 5 L PHP-CGM @ | 6 L CPT % | 7 P Python @ | 9 L INE @ </v>
      </c>
      <c r="BK448" s="4" t="str">
        <f ca="1">IFERROR(__xludf.DUMMYFUNCTION("""COMPUTED_VALUE"""),"| 5 L PHP-CGM @ | 6 L NS @ | 9 P JAVA @ ")</f>
        <v xml:space="preserve">| 5 L PHP-CGM @ | 6 L NS @ | 9 P JAVA @ </v>
      </c>
      <c r="BL448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8" s="4" t="str">
        <f ca="1">IFERROR(__xludf.DUMMYFUNCTION("""COMPUTED_VALUE"""),"| 5 L CPT @ | 6 L NS @ ")</f>
        <v xml:space="preserve">| 5 L CPT @ | 6 L NS @ </v>
      </c>
      <c r="BN448" s="4" t="str">
        <f ca="1">IFERROR(__xludf.DUMMYFUNCTION("""COMPUTED_VALUE"""),"| 5 L JAVA % | 6 L JAVA % ")</f>
        <v xml:space="preserve">| 5 L JAVA % | 6 L JAVA % </v>
      </c>
      <c r="BO448" s="4" t="str">
        <f ca="1">IFERROR(__xludf.DUMMYFUNCTION("""COMPUTED_VALUE"""),"| 5 L PHP-CGM @ | 9 L INE @ | 6 L CPT @ ")</f>
        <v xml:space="preserve">| 5 L PHP-CGM @ | 9 L INE @ | 6 L CPT @ </v>
      </c>
      <c r="BP448" s="4" t="str">
        <f ca="1">IFERROR(__xludf.DUMMYFUNCTION("""COMPUTED_VALUE"""),"| 5 L PHP-CGM @ | 6 L NS @ | 7 P CPT @ ")</f>
        <v xml:space="preserve">| 5 L PHP-CGM @ | 6 L NS @ | 7 P CPT @ </v>
      </c>
      <c r="BQ448" s="4" t="str">
        <f ca="1">IFERROR(__xludf.DUMMYFUNCTION("""COMPUTED_VALUE"""),"| 5 L CPT @ ")</f>
        <v xml:space="preserve">| 5 L CPT @ </v>
      </c>
      <c r="BR448" s="4" t="str">
        <f ca="1">IFERROR(__xludf.DUMMYFUNCTION("""COMPUTED_VALUE"""),"| 5 L JAVA % | 6 L JAVA % ")</f>
        <v xml:space="preserve">| 5 L JAVA % | 6 L JAVA % </v>
      </c>
      <c r="BS448" s="4"/>
      <c r="BT448" s="4" t="str">
        <f ca="1">IFERROR(__xludf.DUMMYFUNCTION("""COMPUTED_VALUE"""),"| 7 P CPT @ | 9 P JAVA @ ")</f>
        <v xml:space="preserve">| 7 P CPT @ | 9 P JAVA @ </v>
      </c>
      <c r="BU448" s="4" t="str">
        <f ca="1">IFERROR(__xludf.DUMMYFUNCTION("""COMPUTED_VALUE"""),"| 7 L JAVA @ | 9 P JAVA @ ")</f>
        <v xml:space="preserve">| 7 L JAVA @ | 9 P JAVA @ </v>
      </c>
      <c r="BV448" s="4" t="str">
        <f ca="1">IFERROR(__xludf.DUMMYFUNCTION("""COMPUTED_VALUE"""),"| 5 L PHP-CGM @ | 6 L NS @ | 9 P JAVA @ ")</f>
        <v xml:space="preserve">| 5 L PHP-CGM @ | 6 L NS @ | 9 P JAVA @ </v>
      </c>
      <c r="BW448" s="4" t="str">
        <f ca="1">IFERROR(__xludf.DUMMYFUNCTION("""COMPUTED_VALUE"""),"| 9 P JAVA @ ")</f>
        <v xml:space="preserve">| 9 P JAVA @ </v>
      </c>
      <c r="BX448" s="4" t="str">
        <f ca="1">IFERROR(__xludf.DUMMYFUNCTION("""COMPUTED_VALUE"""),"| 5 L CPT % | 6 L NS % | 7 P NS % ")</f>
        <v xml:space="preserve">| 5 L CPT % | 6 L NS % | 7 P NS % </v>
      </c>
      <c r="BY448" s="4" t="str">
        <f ca="1">IFERROR(__xludf.DUMMYFUNCTION("""COMPUTED_VALUE"""),"| 5 L JAVA % | 6 L JAVA % | 7 P Python % ")</f>
        <v xml:space="preserve">| 5 L JAVA % | 6 L JAVA % | 7 P Python % </v>
      </c>
      <c r="BZ448" s="4" t="str">
        <f ca="1">IFERROR(__xludf.DUMMYFUNCTION("""COMPUTED_VALUE"""),"| 5 L PHP-CGM % | 6 L CPT % | 7 P Python % ")</f>
        <v xml:space="preserve">| 5 L PHP-CGM % | 6 L CPT % | 7 P Python % </v>
      </c>
      <c r="CA448" s="4" t="str">
        <f ca="1">IFERROR(__xludf.DUMMYFUNCTION("""COMPUTED_VALUE"""),"| 5 L PHP-CGM @ | 6 L NS % | 7 P CPT % | 9 P JAVA @ ")</f>
        <v xml:space="preserve">| 5 L PHP-CGM @ | 6 L NS % | 7 P CPT % | 9 P JAVA @ </v>
      </c>
      <c r="CB448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CC448" s="4" t="str">
        <f ca="1">IFERROR(__xludf.DUMMYFUNCTION("""COMPUTED_VALUE"""),"| 6 L NS @ | 5 L CPT @ | 7 P NS @ | 9 P PHP-CGM @ ")</f>
        <v xml:space="preserve">| 6 L NS @ | 5 L CPT @ | 7 P NS @ | 9 P PHP-CGM @ </v>
      </c>
      <c r="CD448" s="4" t="str">
        <f ca="1">IFERROR(__xludf.DUMMYFUNCTION("""COMPUTED_VALUE"""),"| 5 L JAVA @ | 6 L JAVA @ | 7 P Python @ | 9 P PRO @ ")</f>
        <v xml:space="preserve">| 5 L JAVA @ | 6 L JAVA @ | 7 P Python @ | 9 P PRO @ </v>
      </c>
      <c r="CE448" s="4" t="str">
        <f ca="1">IFERROR(__xludf.DUMMYFUNCTION("""COMPUTED_VALUE"""),"| 5 L PHP-CGM @ | 6 L CPT @ | 9 L INE @ ")</f>
        <v xml:space="preserve">| 5 L PHP-CGM @ | 6 L CPT @ | 9 L INE @ </v>
      </c>
      <c r="CF448" s="4" t="str">
        <f ca="1">IFERROR(__xludf.DUMMYFUNCTION("""COMPUTED_VALUE"""),"| 5 L PHP-CGM @ | 6 L NS % | 7 P CPT @ | 9 P JAVA @ ")</f>
        <v xml:space="preserve">| 5 L PHP-CGM @ | 6 L NS % | 7 P CPT @ | 9 P JAVA @ </v>
      </c>
      <c r="CG448" s="4" t="str">
        <f ca="1">IFERROR(__xludf.DUMMYFUNCTION("""COMPUTED_VALUE"""),"| 6 L PHP-CGM @ | 7 L JAVA @ | 8 L CPT @ | 9 P JAVA @ ")</f>
        <v xml:space="preserve">| 6 L PHP-CGM @ | 7 L JAVA @ | 8 L CPT @ | 9 P JAVA @ </v>
      </c>
      <c r="CH448" s="4" t="str">
        <f ca="1">IFERROR(__xludf.DUMMYFUNCTION("""COMPUTED_VALUE"""),"| 5 L CPT % | 6 L NS % ")</f>
        <v xml:space="preserve">| 5 L CPT % | 6 L NS % </v>
      </c>
      <c r="CI448" s="4" t="str">
        <f ca="1">IFERROR(__xludf.DUMMYFUNCTION("""COMPUTED_VALUE"""),"| 5 L JAVA @ | 6 L JAVA @ | 7 P Python % | 9 P PRO @ ")</f>
        <v xml:space="preserve">| 5 L JAVA @ | 6 L JAVA @ | 7 P Python % | 9 P PRO @ </v>
      </c>
      <c r="CJ448" s="4" t="str">
        <f ca="1">IFERROR(__xludf.DUMMYFUNCTION("""COMPUTED_VALUE"""),"| 5 L PHP-CGM @ | 9 L INE @ ")</f>
        <v xml:space="preserve">| 5 L PHP-CGM @ | 9 L INE @ </v>
      </c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</row>
    <row r="449" spans="1:102" ht="12.5" x14ac:dyDescent="0.25">
      <c r="A449" s="3">
        <f ca="1">IFERROR(__xludf.DUMMYFUNCTION("""COMPUTED_VALUE"""),2)</f>
        <v>2</v>
      </c>
      <c r="B449" s="3" t="str">
        <f ca="1">IFERROR(__xludf.DUMMYFUNCTION("""COMPUTED_VALUE"""),"ITB")</f>
        <v>ITB</v>
      </c>
      <c r="C449" s="32" t="str">
        <f ca="1">IFERROR(__xludf.DUMMYFUNCTION("""COMPUTED_VALUE"""),"23291371101")</f>
        <v>23291371101</v>
      </c>
      <c r="D449" s="4" t="str">
        <f ca="1">IFERROR(__xludf.DUMMYFUNCTION("""COMPUTED_VALUE"""),"PATEL SOHAMKUMAR ANILBHAI")</f>
        <v>PATEL SOHAMKUMAR ANILBHAI</v>
      </c>
      <c r="E449" s="3" t="str">
        <f ca="1">IFERROR(__xludf.DUMMYFUNCTION("""COMPUTED_VALUE"""),"VSP - Eve")</f>
        <v>VSP - Eve</v>
      </c>
      <c r="F449" s="3">
        <f ca="1">IFERROR(__xludf.DUMMYFUNCTION("""COMPUTED_VALUE"""),9023878337)</f>
        <v>9023878337</v>
      </c>
      <c r="G449" s="3">
        <f ca="1">IFERROR(__xludf.DUMMYFUNCTION("""COMPUTED_VALUE"""),9904318045)</f>
        <v>9904318045</v>
      </c>
      <c r="H449" s="33">
        <f ca="1">IFERROR(__xludf.DUMMYFUNCTION("""COMPUTED_VALUE"""),0.672566371681416)</f>
        <v>0.67256637168141598</v>
      </c>
      <c r="I449" s="25">
        <f ca="1">IFERROR(__xludf.DUMMYFUNCTION("""COMPUTED_VALUE"""),0.666666666666666)</f>
        <v>0.66666666666666596</v>
      </c>
      <c r="J449" s="25">
        <f ca="1">IFERROR(__xludf.DUMMYFUNCTION("""COMPUTED_VALUE"""),0.6)</f>
        <v>0.6</v>
      </c>
      <c r="K449" s="25">
        <f ca="1">IFERROR(__xludf.DUMMYFUNCTION("""COMPUTED_VALUE"""),0.727272727272727)</f>
        <v>0.72727272727272696</v>
      </c>
      <c r="L449" s="25">
        <f ca="1">IFERROR(__xludf.DUMMYFUNCTION("""COMPUTED_VALUE"""),0.888888888888888)</f>
        <v>0.88888888888888795</v>
      </c>
      <c r="M449" s="25">
        <f ca="1">IFERROR(__xludf.DUMMYFUNCTION("""COMPUTED_VALUE"""),0.617647058823529)</f>
        <v>0.61764705882352899</v>
      </c>
      <c r="N449" s="25">
        <f ca="1">IFERROR(__xludf.DUMMYFUNCTION("""COMPUTED_VALUE"""),0.857142857142857)</f>
        <v>0.85714285714285698</v>
      </c>
      <c r="O449" s="25">
        <f ca="1">IFERROR(__xludf.DUMMYFUNCTION("""COMPUTED_VALUE"""),0.743589743589743)</f>
        <v>0.74358974358974295</v>
      </c>
      <c r="P449" s="25">
        <f ca="1">IFERROR(__xludf.DUMMYFUNCTION("""COMPUTED_VALUE"""),0.458333333333333)</f>
        <v>0.45833333333333298</v>
      </c>
      <c r="Q449" s="25">
        <f ca="1">IFERROR(__xludf.DUMMYFUNCTION("""COMPUTED_VALUE"""),0)</f>
        <v>0</v>
      </c>
      <c r="R449" s="25">
        <f ca="1">IFERROR(__xludf.DUMMYFUNCTION("""COMPUTED_VALUE"""),0.736842105263157)</f>
        <v>0.73684210526315697</v>
      </c>
      <c r="S449" s="25">
        <f ca="1">IFERROR(__xludf.DUMMYFUNCTION("""COMPUTED_VALUE"""),0)</f>
        <v>0</v>
      </c>
      <c r="T449" s="25">
        <f ca="1">IFERROR(__xludf.DUMMYFUNCTION("""COMPUTED_VALUE"""),0.666666666666666)</f>
        <v>0.66666666666666596</v>
      </c>
      <c r="U449" s="25">
        <f ca="1">IFERROR(__xludf.DUMMYFUNCTION("""COMPUTED_VALUE"""),0.5)</f>
        <v>0.5</v>
      </c>
      <c r="V449" s="25">
        <f ca="1">IFERROR(__xludf.DUMMYFUNCTION("""COMPUTED_VALUE"""),0)</f>
        <v>0</v>
      </c>
      <c r="W449" s="4"/>
      <c r="X449" s="4" t="str">
        <f ca="1">IFERROR(__xludf.DUMMYFUNCTION("""COMPUTED_VALUE"""),"| 5 L PHP-CGM @ | 6 L NS @ | 7 P CPT @ | 9 P JAVA @ ")</f>
        <v xml:space="preserve">| 5 L PHP-CGM @ | 6 L NS @ | 7 P CPT @ | 9 P JAVA @ </v>
      </c>
      <c r="Y449" s="4" t="str">
        <f ca="1">IFERROR(__xludf.DUMMYFUNCTION("""COMPUTED_VALUE"""),"| 5 L NS % | 6 L PHP-CGM % | 7 L JAVA % | 8 L CPT % ")</f>
        <v xml:space="preserve">| 5 L NS % | 6 L PHP-CGM % | 7 L JAVA % | 8 L CPT % </v>
      </c>
      <c r="Z449" s="4" t="str">
        <f ca="1">IFERROR(__xludf.DUMMYFUNCTION("""COMPUTED_VALUE"""),"| 5 L JAVA % | 6 L NS % | 7 P NS % | 9 P PHP-CGM % ")</f>
        <v xml:space="preserve">| 5 L JAVA % | 6 L NS % | 7 P NS % | 9 P PHP-CGM % </v>
      </c>
      <c r="AA449" s="4" t="str">
        <f ca="1">IFERROR(__xludf.DUMMYFUNCTION("""COMPUTED_VALUE"""),"| 5 L CPT % | 6 L JAVA % | 7 P Python % | 9 P PRO % ")</f>
        <v xml:space="preserve">| 5 L CPT % | 6 L JAVA % | 7 P Python % | 9 P PRO % </v>
      </c>
      <c r="AB449" s="4" t="str">
        <f ca="1">IFERROR(__xludf.DUMMYFUNCTION("""COMPUTED_VALUE"""),"| 5 L PHP-CGM @ | 6 L CPT @ | 7 P Python @ ")</f>
        <v xml:space="preserve">| 5 L PHP-CGM @ | 6 L CPT @ | 7 P Python @ </v>
      </c>
      <c r="AC449" s="4" t="str">
        <f ca="1">IFERROR(__xludf.DUMMYFUNCTION("""COMPUTED_VALUE"""),"| 5 L PHP-CGM % | 6 L NS % | 7 P CPT % | 9 P JAVA % ")</f>
        <v xml:space="preserve">| 5 L PHP-CGM % | 6 L NS % | 7 P CPT % | 9 P JAVA % </v>
      </c>
      <c r="AD449" s="4" t="str">
        <f ca="1">IFERROR(__xludf.DUMMYFUNCTION("""COMPUTED_VALUE"""),"| 5 L NS % | 7 L JAVA % | 8 L CPT % | 9 P JAVA % | 6 L PHP-CGM % ")</f>
        <v xml:space="preserve">| 5 L NS % | 7 L JAVA % | 8 L CPT % | 9 P JAVA % | 6 L PHP-CGM % </v>
      </c>
      <c r="AE449" s="4" t="str">
        <f ca="1">IFERROR(__xludf.DUMMYFUNCTION("""COMPUTED_VALUE"""),"| 5 L JAVA % | 6 L NS % | 7 P NS % | 9 P PHP-CGM % ")</f>
        <v xml:space="preserve">| 5 L JAVA % | 6 L NS % | 7 P NS % | 9 P PHP-CGM % </v>
      </c>
      <c r="AF449" s="4" t="str">
        <f ca="1">IFERROR(__xludf.DUMMYFUNCTION("""COMPUTED_VALUE"""),"| 5 L CPT % | 6 L JAVA % | 7 P Python % | 9 P PRO @ ")</f>
        <v xml:space="preserve">| 5 L CPT % | 6 L JAVA % | 7 P Python % | 9 P PRO @ </v>
      </c>
      <c r="AG449" s="4" t="str">
        <f ca="1">IFERROR(__xludf.DUMMYFUNCTION("""COMPUTED_VALUE"""),"| 5 L PHP-CGM @ | 6 L CPT @ ")</f>
        <v xml:space="preserve">| 5 L PHP-CGM @ | 6 L CPT @ </v>
      </c>
      <c r="AH449" s="4" t="str">
        <f ca="1">IFERROR(__xludf.DUMMYFUNCTION("""COMPUTED_VALUE"""),"| 5 L CPT % | 6 L JAVA % | 7 P Python % | 9 P PRO % ")</f>
        <v xml:space="preserve">| 5 L CPT % | 6 L JAVA % | 7 P Python % | 9 P PRO % </v>
      </c>
      <c r="AI449" s="4" t="str">
        <f ca="1">IFERROR(__xludf.DUMMYFUNCTION("""COMPUTED_VALUE"""),"| 5 L PHP-CGM % | 6 L CPT % | 7 P Python % ")</f>
        <v xml:space="preserve">| 5 L PHP-CGM % | 6 L CPT % | 7 P Python % </v>
      </c>
      <c r="AJ449" s="4" t="str">
        <f ca="1">IFERROR(__xludf.DUMMYFUNCTION("""COMPUTED_VALUE"""),"| 5 L PHP-CGM % | 6 L NS % | 7 P CPT % | 9 P JAVA % ")</f>
        <v xml:space="preserve">| 5 L PHP-CGM % | 6 L NS % | 7 P CPT % | 9 P JAVA % </v>
      </c>
      <c r="AK449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AL449" s="4" t="str">
        <f ca="1">IFERROR(__xludf.DUMMYFUNCTION("""COMPUTED_VALUE"""),"| 5 L JAVA % | 6 L NS % | 7 P NS % | 9 P PHP-CGM % ")</f>
        <v xml:space="preserve">| 5 L JAVA % | 6 L NS % | 7 P NS % | 9 P PHP-CGM % </v>
      </c>
      <c r="AM449" s="4" t="str">
        <f ca="1">IFERROR(__xludf.DUMMYFUNCTION("""COMPUTED_VALUE"""),"| 5 L CPT @ | 6 L JAVA @ | 7 P Python @ | 9 P PRO @ ")</f>
        <v xml:space="preserve">| 5 L CPT @ | 6 L JAVA @ | 7 P Python @ | 9 P PRO @ </v>
      </c>
      <c r="AN449" s="4" t="str">
        <f ca="1">IFERROR(__xludf.DUMMYFUNCTION("""COMPUTED_VALUE"""),"| 5 L PHP-CGM @ | 6 L CPT @ | 7 P Python @ ")</f>
        <v xml:space="preserve">| 5 L PHP-CGM @ | 6 L CPT @ | 7 P Python @ </v>
      </c>
      <c r="AO449" s="4" t="str">
        <f ca="1">IFERROR(__xludf.DUMMYFUNCTION("""COMPUTED_VALUE"""),"| 5 L PHP-CGM @ | 6 L NS @ | 7 P CPT @ | 9 P JAVA @ ")</f>
        <v xml:space="preserve">| 5 L PHP-CGM @ | 6 L NS @ | 7 P CPT @ | 9 P JAVA @ </v>
      </c>
      <c r="AP449" s="4" t="str">
        <f ca="1">IFERROR(__xludf.DUMMYFUNCTION("""COMPUTED_VALUE"""),"| 5 L NS @ | 7 L JAVA @ | 8 L CPT @ | 9 P JAVA @ ")</f>
        <v xml:space="preserve">| 5 L NS @ | 7 L JAVA @ | 8 L CPT @ | 9 P JAVA @ </v>
      </c>
      <c r="AQ449" s="4" t="str">
        <f ca="1">IFERROR(__xludf.DUMMYFUNCTION("""COMPUTED_VALUE"""),"| 5 L CPT @ | 6 L NS @ | 7 P NS @ | 9 P PHP-CGM @ ")</f>
        <v xml:space="preserve">| 5 L CPT @ | 6 L NS @ | 7 P NS @ | 9 P PHP-CGM @ </v>
      </c>
      <c r="AR449" s="4" t="str">
        <f ca="1">IFERROR(__xludf.DUMMYFUNCTION("""COMPUTED_VALUE"""),"| 5 L JAVA @ | 6 L JAVA @ | 5 L CPT @ | 7 P Python @ ")</f>
        <v xml:space="preserve">| 5 L JAVA @ | 6 L JAVA @ | 5 L CPT @ | 7 P Python @ </v>
      </c>
      <c r="AS449" s="4" t="str">
        <f ca="1">IFERROR(__xludf.DUMMYFUNCTION("""COMPUTED_VALUE"""),"| 5 L PHP-CGM @ | 6 L NS @ | 9 P JAVA @ ")</f>
        <v xml:space="preserve">| 5 L PHP-CGM @ | 6 L NS @ | 9 P JAVA @ </v>
      </c>
      <c r="AT449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AU449" s="4" t="str">
        <f ca="1">IFERROR(__xludf.DUMMYFUNCTION("""COMPUTED_VALUE"""),"| 5 L CPT % | 6 L NS % | 7 P NS % | 9 P PHP-CGM % ")</f>
        <v xml:space="preserve">| 5 L CPT % | 6 L NS % | 7 P NS % | 9 P PHP-CGM % </v>
      </c>
      <c r="AV449" s="4" t="str">
        <f ca="1">IFERROR(__xludf.DUMMYFUNCTION("""COMPUTED_VALUE"""),"| 5 L JAVA % | 6 L JAVA % | 7 P Python % | 9 P PRO % ")</f>
        <v xml:space="preserve">| 5 L JAVA % | 6 L JAVA % | 7 P Python % | 9 P PRO % </v>
      </c>
      <c r="AW449" s="4" t="str">
        <f ca="1">IFERROR(__xludf.DUMMYFUNCTION("""COMPUTED_VALUE"""),"| 5 L PHP-CGM % | 6 L CPT % | 7 P Python % | 9 L INE % ")</f>
        <v xml:space="preserve">| 5 L PHP-CGM % | 6 L CPT % | 7 P Python % | 9 L INE % </v>
      </c>
      <c r="AX449" s="4" t="str">
        <f ca="1">IFERROR(__xludf.DUMMYFUNCTION("""COMPUTED_VALUE"""),"| 5 L PHP-CGM % | 6 L NS % | 7 P CPT % | 9 P JAVA % ")</f>
        <v xml:space="preserve">| 5 L PHP-CGM % | 6 L NS % | 7 P CPT % | 9 P JAVA % </v>
      </c>
      <c r="AY449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AZ449" s="4" t="str">
        <f ca="1">IFERROR(__xludf.DUMMYFUNCTION("""COMPUTED_VALUE"""),"| 5 L JAVA % | 6 L JAVA % | 7 P Python % ")</f>
        <v xml:space="preserve">| 5 L JAVA % | 6 L JAVA % | 7 P Python % </v>
      </c>
      <c r="BA449" s="4" t="str">
        <f ca="1">IFERROR(__xludf.DUMMYFUNCTION("""COMPUTED_VALUE"""),"| 5 L PHP-CGM % | 6 L CPT % | 9 L INE @ ")</f>
        <v xml:space="preserve">| 5 L PHP-CGM % | 6 L CPT % | 9 L INE @ </v>
      </c>
      <c r="BB449" s="4" t="str">
        <f ca="1">IFERROR(__xludf.DUMMYFUNCTION("""COMPUTED_VALUE"""),"| 5 L PHP-CGM % | 6 L NS % | 7 P CPT % | 9 P JAVA % ")</f>
        <v xml:space="preserve">| 5 L PHP-CGM % | 6 L NS % | 7 P CPT % | 9 P JAVA % </v>
      </c>
      <c r="BC449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BD449" s="4" t="str">
        <f ca="1">IFERROR(__xludf.DUMMYFUNCTION("""COMPUTED_VALUE"""),"| 5 L CPT % | 6 L NS % | 7 P NS % | 9 P PHP-CGM % ")</f>
        <v xml:space="preserve">| 5 L CPT % | 6 L NS % | 7 P NS % | 9 P PHP-CGM % </v>
      </c>
      <c r="BE449" s="4" t="str">
        <f ca="1">IFERROR(__xludf.DUMMYFUNCTION("""COMPUTED_VALUE"""),"| 5 L JAVA % | 6 L JAVA % | 7 P Python % | 9 P PRO % ")</f>
        <v xml:space="preserve">| 5 L JAVA % | 6 L JAVA % | 7 P Python % | 9 P PRO % </v>
      </c>
      <c r="BF449" s="4" t="str">
        <f ca="1">IFERROR(__xludf.DUMMYFUNCTION("""COMPUTED_VALUE"""),"| 5 L PHP-CGM % | 6 L CPT @ | 7 P Python % ")</f>
        <v xml:space="preserve">| 5 L PHP-CGM % | 6 L CPT @ | 7 P Python % </v>
      </c>
      <c r="BG449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BH449" s="4" t="str">
        <f ca="1">IFERROR(__xludf.DUMMYFUNCTION("""COMPUTED_VALUE"""),"| 5 L CPT % | 6 L NS % | 7 P NS % ")</f>
        <v xml:space="preserve">| 5 L CPT % | 6 L NS % | 7 P NS % </v>
      </c>
      <c r="BI449" s="4" t="str">
        <f ca="1">IFERROR(__xludf.DUMMYFUNCTION("""COMPUTED_VALUE"""),"| 5 L JAVA % | 6 L JAVA % | 7 P Python % | 9 P PRO % ")</f>
        <v xml:space="preserve">| 5 L JAVA % | 6 L JAVA % | 7 P Python % | 9 P PRO % </v>
      </c>
      <c r="BJ449" s="4" t="str">
        <f ca="1">IFERROR(__xludf.DUMMYFUNCTION("""COMPUTED_VALUE"""),"| 5 L PHP-CGM % | 6 L CPT % | 7 P Python % | 9 L INE % ")</f>
        <v xml:space="preserve">| 5 L PHP-CGM % | 6 L CPT % | 7 P Python % | 9 L INE % </v>
      </c>
      <c r="BK449" s="4" t="str">
        <f ca="1">IFERROR(__xludf.DUMMYFUNCTION("""COMPUTED_VALUE"""),"| 5 L PHP-CGM % | 6 L NS % | 9 P JAVA @ ")</f>
        <v xml:space="preserve">| 5 L PHP-CGM % | 6 L NS % | 9 P JAVA @ </v>
      </c>
      <c r="BL449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BM449" s="4" t="str">
        <f ca="1">IFERROR(__xludf.DUMMYFUNCTION("""COMPUTED_VALUE"""),"| 5 L CPT % | 6 L NS % ")</f>
        <v xml:space="preserve">| 5 L CPT % | 6 L NS % </v>
      </c>
      <c r="BN449" s="4" t="str">
        <f ca="1">IFERROR(__xludf.DUMMYFUNCTION("""COMPUTED_VALUE"""),"| 5 L JAVA @ | 6 L JAVA @ ")</f>
        <v xml:space="preserve">| 5 L JAVA @ | 6 L JAVA @ </v>
      </c>
      <c r="BO449" s="4" t="str">
        <f ca="1">IFERROR(__xludf.DUMMYFUNCTION("""COMPUTED_VALUE"""),"| 5 L PHP-CGM @ | 9 L INE @ | 6 L CPT @ ")</f>
        <v xml:space="preserve">| 5 L PHP-CGM @ | 9 L INE @ | 6 L CPT @ </v>
      </c>
      <c r="BP449" s="4" t="str">
        <f ca="1">IFERROR(__xludf.DUMMYFUNCTION("""COMPUTED_VALUE"""),"| 5 L PHP-CGM @ | 6 L NS @ | 7 P CPT @ ")</f>
        <v xml:space="preserve">| 5 L PHP-CGM @ | 6 L NS @ | 7 P CPT @ </v>
      </c>
      <c r="BQ449" s="4" t="str">
        <f ca="1">IFERROR(__xludf.DUMMYFUNCTION("""COMPUTED_VALUE"""),"| 5 L CPT @ ")</f>
        <v xml:space="preserve">| 5 L CPT @ </v>
      </c>
      <c r="BR449" s="4" t="str">
        <f ca="1">IFERROR(__xludf.DUMMYFUNCTION("""COMPUTED_VALUE"""),"| 5 L JAVA % | 6 L JAVA % ")</f>
        <v xml:space="preserve">| 5 L JAVA % | 6 L JAVA % </v>
      </c>
      <c r="BS449" s="4"/>
      <c r="BT449" s="4" t="str">
        <f ca="1">IFERROR(__xludf.DUMMYFUNCTION("""COMPUTED_VALUE"""),"| 7 P CPT @ | 9 P JAVA @ ")</f>
        <v xml:space="preserve">| 7 P CPT @ | 9 P JAVA @ </v>
      </c>
      <c r="BU449" s="4" t="str">
        <f ca="1">IFERROR(__xludf.DUMMYFUNCTION("""COMPUTED_VALUE"""),"| 7 L JAVA @ | 9 P JAVA @ ")</f>
        <v xml:space="preserve">| 7 L JAVA @ | 9 P JAVA @ </v>
      </c>
      <c r="BV449" s="4" t="str">
        <f ca="1">IFERROR(__xludf.DUMMYFUNCTION("""COMPUTED_VALUE"""),"| 5 L PHP-CGM % | 6 L NS % | 9 P JAVA @ ")</f>
        <v xml:space="preserve">| 5 L PHP-CGM % | 6 L NS % | 9 P JAVA @ </v>
      </c>
      <c r="BW449" s="4" t="str">
        <f ca="1">IFERROR(__xludf.DUMMYFUNCTION("""COMPUTED_VALUE"""),"| 9 P JAVA @ ")</f>
        <v xml:space="preserve">| 9 P JAVA @ </v>
      </c>
      <c r="BX449" s="4" t="str">
        <f ca="1">IFERROR(__xludf.DUMMYFUNCTION("""COMPUTED_VALUE"""),"| 5 L CPT % | 6 L NS % | 7 P NS % ")</f>
        <v xml:space="preserve">| 5 L CPT % | 6 L NS % | 7 P NS % </v>
      </c>
      <c r="BY449" s="4" t="str">
        <f ca="1">IFERROR(__xludf.DUMMYFUNCTION("""COMPUTED_VALUE"""),"| 5 L JAVA % | 6 L JAVA % | 7 P Python % ")</f>
        <v xml:space="preserve">| 5 L JAVA % | 6 L JAVA % | 7 P Python % </v>
      </c>
      <c r="BZ449" s="4" t="str">
        <f ca="1">IFERROR(__xludf.DUMMYFUNCTION("""COMPUTED_VALUE"""),"| 5 L PHP-CGM % | 6 L CPT % | 7 P Python % ")</f>
        <v xml:space="preserve">| 5 L PHP-CGM % | 6 L CPT % | 7 P Python % </v>
      </c>
      <c r="CA449" s="4" t="str">
        <f ca="1">IFERROR(__xludf.DUMMYFUNCTION("""COMPUTED_VALUE"""),"| 5 L PHP-CGM % | 6 L NS % | 7 P CPT % | 9 P JAVA % ")</f>
        <v xml:space="preserve">| 5 L PHP-CGM % | 6 L NS % | 7 P CPT % | 9 P JAVA % </v>
      </c>
      <c r="CB449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49" s="4" t="str">
        <f ca="1">IFERROR(__xludf.DUMMYFUNCTION("""COMPUTED_VALUE"""),"| 6 L NS % | 5 L CPT % | 7 P NS % | 9 P PHP-CGM % ")</f>
        <v xml:space="preserve">| 6 L NS % | 5 L CPT % | 7 P NS % | 9 P PHP-CGM % </v>
      </c>
      <c r="CD449" s="4" t="str">
        <f ca="1">IFERROR(__xludf.DUMMYFUNCTION("""COMPUTED_VALUE"""),"| 5 L JAVA % | 6 L JAVA % | 7 P Python @ | 9 P PRO @ ")</f>
        <v xml:space="preserve">| 5 L JAVA % | 6 L JAVA % | 7 P Python @ | 9 P PRO @ </v>
      </c>
      <c r="CE449" s="4" t="str">
        <f ca="1">IFERROR(__xludf.DUMMYFUNCTION("""COMPUTED_VALUE"""),"| 5 L PHP-CGM % | 6 L CPT % | 9 L INE % ")</f>
        <v xml:space="preserve">| 5 L PHP-CGM % | 6 L CPT % | 9 L INE % </v>
      </c>
      <c r="CF449" s="4" t="str">
        <f ca="1">IFERROR(__xludf.DUMMYFUNCTION("""COMPUTED_VALUE"""),"| 5 L PHP-CGM @ | 6 L NS @ | 7 P CPT % | 9 P JAVA % ")</f>
        <v xml:space="preserve">| 5 L PHP-CGM @ | 6 L NS @ | 7 P CPT % | 9 P JAVA % </v>
      </c>
      <c r="CG449" s="4" t="str">
        <f ca="1">IFERROR(__xludf.DUMMYFUNCTION("""COMPUTED_VALUE"""),"| 6 L PHP-CGM @ | 7 L JAVA @ | 8 L CPT % | 9 P JAVA % ")</f>
        <v xml:space="preserve">| 6 L PHP-CGM @ | 7 L JAVA @ | 8 L CPT % | 9 P JAVA % </v>
      </c>
      <c r="CH449" s="4" t="str">
        <f ca="1">IFERROR(__xludf.DUMMYFUNCTION("""COMPUTED_VALUE"""),"| 5 L CPT % | 6 L NS % ")</f>
        <v xml:space="preserve">| 5 L CPT % | 6 L NS % </v>
      </c>
      <c r="CI449" s="4" t="str">
        <f ca="1">IFERROR(__xludf.DUMMYFUNCTION("""COMPUTED_VALUE"""),"| 5 L JAVA % | 6 L JAVA % | 7 P Python % | 9 P PRO % ")</f>
        <v xml:space="preserve">| 5 L JAVA % | 6 L JAVA % | 7 P Python % | 9 P PRO % </v>
      </c>
      <c r="CJ449" s="4" t="str">
        <f ca="1">IFERROR(__xludf.DUMMYFUNCTION("""COMPUTED_VALUE"""),"| 5 L PHP-CGM @ | 9 L INE @ ")</f>
        <v xml:space="preserve">| 5 L PHP-CGM @ | 9 L INE @ </v>
      </c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</row>
    <row r="450" spans="1:102" ht="12.5" x14ac:dyDescent="0.25">
      <c r="A450" s="3">
        <f ca="1">IFERROR(__xludf.DUMMYFUNCTION("""COMPUTED_VALUE"""),3)</f>
        <v>3</v>
      </c>
      <c r="B450" s="3" t="str">
        <f ca="1">IFERROR(__xludf.DUMMYFUNCTION("""COMPUTED_VALUE"""),"ITB")</f>
        <v>ITB</v>
      </c>
      <c r="C450" s="32" t="str">
        <f ca="1">IFERROR(__xludf.DUMMYFUNCTION("""COMPUTED_VALUE"""),"23291371102")</f>
        <v>23291371102</v>
      </c>
      <c r="D450" s="4" t="str">
        <f ca="1">IFERROR(__xludf.DUMMYFUNCTION("""COMPUTED_VALUE"""),"PATEL SPARSH HIMANSHUBHAI")</f>
        <v>PATEL SPARSH HIMANSHUBHAI</v>
      </c>
      <c r="E450" s="3" t="str">
        <f ca="1">IFERROR(__xludf.DUMMYFUNCTION("""COMPUTED_VALUE"""),"VSP - Eve")</f>
        <v>VSP - Eve</v>
      </c>
      <c r="F450" s="3">
        <f ca="1">IFERROR(__xludf.DUMMYFUNCTION("""COMPUTED_VALUE"""),7202058087)</f>
        <v>7202058087</v>
      </c>
      <c r="G450" s="3">
        <f ca="1">IFERROR(__xludf.DUMMYFUNCTION("""COMPUTED_VALUE"""),9427371622)</f>
        <v>9427371622</v>
      </c>
      <c r="H450" s="33">
        <f ca="1">IFERROR(__xludf.DUMMYFUNCTION("""COMPUTED_VALUE"""),0.716814159292035)</f>
        <v>0.71681415929203496</v>
      </c>
      <c r="I450" s="25">
        <f ca="1">IFERROR(__xludf.DUMMYFUNCTION("""COMPUTED_VALUE"""),0.722222222222222)</f>
        <v>0.72222222222222199</v>
      </c>
      <c r="J450" s="25">
        <f ca="1">IFERROR(__xludf.DUMMYFUNCTION("""COMPUTED_VALUE"""),0.5)</f>
        <v>0.5</v>
      </c>
      <c r="K450" s="25">
        <f ca="1">IFERROR(__xludf.DUMMYFUNCTION("""COMPUTED_VALUE"""),0.848484848484848)</f>
        <v>0.84848484848484795</v>
      </c>
      <c r="L450" s="25">
        <f ca="1">IFERROR(__xludf.DUMMYFUNCTION("""COMPUTED_VALUE"""),0.666666666666666)</f>
        <v>0.66666666666666596</v>
      </c>
      <c r="M450" s="25">
        <f ca="1">IFERROR(__xludf.DUMMYFUNCTION("""COMPUTED_VALUE"""),0.735294117647058)</f>
        <v>0.73529411764705799</v>
      </c>
      <c r="N450" s="25">
        <f ca="1">IFERROR(__xludf.DUMMYFUNCTION("""COMPUTED_VALUE"""),1)</f>
        <v>1</v>
      </c>
      <c r="O450" s="25">
        <f ca="1">IFERROR(__xludf.DUMMYFUNCTION("""COMPUTED_VALUE"""),0.743589743589743)</f>
        <v>0.74358974358974295</v>
      </c>
      <c r="P450" s="25">
        <f ca="1">IFERROR(__xludf.DUMMYFUNCTION("""COMPUTED_VALUE"""),0.615384615384615)</f>
        <v>0.61538461538461497</v>
      </c>
      <c r="Q450" s="25">
        <f ca="1">IFERROR(__xludf.DUMMYFUNCTION("""COMPUTED_VALUE"""),0)</f>
        <v>0</v>
      </c>
      <c r="R450" s="25">
        <f ca="1">IFERROR(__xludf.DUMMYFUNCTION("""COMPUTED_VALUE"""),0.736842105263157)</f>
        <v>0.73684210526315697</v>
      </c>
      <c r="S450" s="25">
        <f ca="1">IFERROR(__xludf.DUMMYFUNCTION("""COMPUTED_VALUE"""),0)</f>
        <v>0</v>
      </c>
      <c r="T450" s="25">
        <f ca="1">IFERROR(__xludf.DUMMYFUNCTION("""COMPUTED_VALUE"""),0.666666666666666)</f>
        <v>0.66666666666666596</v>
      </c>
      <c r="U450" s="25">
        <f ca="1">IFERROR(__xludf.DUMMYFUNCTION("""COMPUTED_VALUE"""),0.333333333333333)</f>
        <v>0.33333333333333298</v>
      </c>
      <c r="V450" s="25">
        <f ca="1">IFERROR(__xludf.DUMMYFUNCTION("""COMPUTED_VALUE"""),0)</f>
        <v>0</v>
      </c>
      <c r="W450" s="4"/>
      <c r="X450" s="4" t="str">
        <f ca="1">IFERROR(__xludf.DUMMYFUNCTION("""COMPUTED_VALUE"""),"| 5 L PHP-CGM % | 6 L NS % | 7 P JAVA % | 9 P Python % ")</f>
        <v xml:space="preserve">| 5 L PHP-CGM % | 6 L NS % | 7 P JAVA % | 9 P Python % </v>
      </c>
      <c r="Y450" s="4" t="str">
        <f ca="1">IFERROR(__xludf.DUMMYFUNCTION("""COMPUTED_VALUE"""),"| 5 L NS % | 6 L PHP-CGM % | 7 L JAVA % | 8 L CPT % ")</f>
        <v xml:space="preserve">| 5 L NS % | 6 L PHP-CGM % | 7 L JAVA % | 8 L CPT % </v>
      </c>
      <c r="Z450" s="4" t="str">
        <f ca="1">IFERROR(__xludf.DUMMYFUNCTION("""COMPUTED_VALUE"""),"| 5 L JAVA % | 6 L NS % | 7 P Python % | 9 P NS % ")</f>
        <v xml:space="preserve">| 5 L JAVA % | 6 L NS % | 7 P Python % | 9 P NS % </v>
      </c>
      <c r="AA450" s="4" t="str">
        <f ca="1">IFERROR(__xludf.DUMMYFUNCTION("""COMPUTED_VALUE"""),"| 5 L CPT % | 6 L JAVA % | 7 P JAVA % | 9 P PRO % ")</f>
        <v xml:space="preserve">| 5 L CPT % | 6 L JAVA % | 7 P JAVA % | 9 P PRO % </v>
      </c>
      <c r="AB450" s="4" t="str">
        <f ca="1">IFERROR(__xludf.DUMMYFUNCTION("""COMPUTED_VALUE"""),"| 5 L PHP-CGM % | 6 L CPT % | 7 P CPT % ")</f>
        <v xml:space="preserve">| 5 L PHP-CGM % | 6 L CPT % | 7 P CPT % </v>
      </c>
      <c r="AC450" s="4" t="str">
        <f ca="1">IFERROR(__xludf.DUMMYFUNCTION("""COMPUTED_VALUE"""),"| 5 L PHP-CGM % | 6 L NS % | 7 P JAVA % | 9 P Python % ")</f>
        <v xml:space="preserve">| 5 L PHP-CGM % | 6 L NS % | 7 P JAVA % | 9 P Python % </v>
      </c>
      <c r="AD450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50" s="4" t="str">
        <f ca="1">IFERROR(__xludf.DUMMYFUNCTION("""COMPUTED_VALUE"""),"| 5 L JAVA % | 6 L NS % | 7 P Python % | 9 P NS % ")</f>
        <v xml:space="preserve">| 5 L JAVA % | 6 L NS % | 7 P Python % | 9 P NS % </v>
      </c>
      <c r="AF450" s="4" t="str">
        <f ca="1">IFERROR(__xludf.DUMMYFUNCTION("""COMPUTED_VALUE"""),"| 5 L CPT % | 6 L JAVA % | 7 P JAVA % | 9 P PRO % ")</f>
        <v xml:space="preserve">| 5 L CPT % | 6 L JAVA % | 7 P JAVA % | 9 P PRO % </v>
      </c>
      <c r="AG450" s="4" t="str">
        <f ca="1">IFERROR(__xludf.DUMMYFUNCTION("""COMPUTED_VALUE"""),"| 5 L PHP-CGM % | 6 L CPT % | 8 P CPT % ")</f>
        <v xml:space="preserve">| 5 L PHP-CGM % | 6 L CPT % | 8 P CPT % </v>
      </c>
      <c r="AH450" s="4" t="str">
        <f ca="1">IFERROR(__xludf.DUMMYFUNCTION("""COMPUTED_VALUE"""),"| 5 L CPT % | 6 L JAVA % | 7 P JAVA % | 9 P PRO % ")</f>
        <v xml:space="preserve">| 5 L CPT % | 6 L JAVA % | 7 P JAVA % | 9 P PRO % </v>
      </c>
      <c r="AI450" s="4" t="str">
        <f ca="1">IFERROR(__xludf.DUMMYFUNCTION("""COMPUTED_VALUE"""),"| 5 L PHP-CGM % | 6 L CPT % | 7 P CPT % ")</f>
        <v xml:space="preserve">| 5 L PHP-CGM % | 6 L CPT % | 7 P CPT % </v>
      </c>
      <c r="AJ450" s="4" t="str">
        <f ca="1">IFERROR(__xludf.DUMMYFUNCTION("""COMPUTED_VALUE"""),"| 5 L PHP-CGM % | 6 L NS % | 7 P JAVA % | 9 P Python % ")</f>
        <v xml:space="preserve">| 5 L PHP-CGM % | 6 L NS % | 7 P JAVA % | 9 P Python % </v>
      </c>
      <c r="AK45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L450" s="4" t="str">
        <f ca="1">IFERROR(__xludf.DUMMYFUNCTION("""COMPUTED_VALUE"""),"| 5 L JAVA % | 6 L NS % | 7 P Python % | 9 P NS % ")</f>
        <v xml:space="preserve">| 5 L JAVA % | 6 L NS % | 7 P Python % | 9 P NS % </v>
      </c>
      <c r="AM450" s="4" t="str">
        <f ca="1">IFERROR(__xludf.DUMMYFUNCTION("""COMPUTED_VALUE"""),"| 5 L CPT @ | 6 L JAVA @ | 7 P JAVA @ | 9 P PRO @ ")</f>
        <v xml:space="preserve">| 5 L CPT @ | 6 L JAVA @ | 7 P JAVA @ | 9 P PRO @ </v>
      </c>
      <c r="AN450" s="4" t="str">
        <f ca="1">IFERROR(__xludf.DUMMYFUNCTION("""COMPUTED_VALUE"""),"| 5 L PHP-CGM @ | 6 L CPT @ | 7 P CPT @ ")</f>
        <v xml:space="preserve">| 5 L PHP-CGM @ | 6 L CPT @ | 7 P CPT @ </v>
      </c>
      <c r="AO450" s="4" t="str">
        <f ca="1">IFERROR(__xludf.DUMMYFUNCTION("""COMPUTED_VALUE"""),"| 5 L PHP-CGM % | 6 L NS % | 7 P JAVA % ")</f>
        <v xml:space="preserve">| 5 L PHP-CGM % | 6 L NS % | 7 P JAVA % </v>
      </c>
      <c r="AP450" s="4" t="str">
        <f ca="1">IFERROR(__xludf.DUMMYFUNCTION("""COMPUTED_VALUE"""),"| 5 L NS % | 7 L JAVA % | 8 L CPT % ")</f>
        <v xml:space="preserve">| 5 L NS % | 7 L JAVA % | 8 L CPT % </v>
      </c>
      <c r="AQ450" s="4" t="str">
        <f ca="1">IFERROR(__xludf.DUMMYFUNCTION("""COMPUTED_VALUE"""),"| 5 L CPT % | 6 L NS % | 7 P Python % | 9 P NS @ ")</f>
        <v xml:space="preserve">| 5 L CPT % | 6 L NS % | 7 P Python % | 9 P NS @ </v>
      </c>
      <c r="AR450" s="4" t="str">
        <f ca="1">IFERROR(__xludf.DUMMYFUNCTION("""COMPUTED_VALUE"""),"| 5 L JAVA @ | 6 L JAVA @ | 5 L CPT @ | 7 P JAVA @ ")</f>
        <v xml:space="preserve">| 5 L JAVA @ | 6 L JAVA @ | 5 L CPT @ | 7 P JAVA @ </v>
      </c>
      <c r="AS450" s="4" t="str">
        <f ca="1">IFERROR(__xludf.DUMMYFUNCTION("""COMPUTED_VALUE"""),"| 5 L PHP-CGM % | 6 L NS % | 7 P JAVA % | 9 P Python % ")</f>
        <v xml:space="preserve">| 5 L PHP-CGM % | 6 L NS % | 7 P JAVA % | 9 P Python % </v>
      </c>
      <c r="AT450" s="4" t="str">
        <f ca="1">IFERROR(__xludf.DUMMYFUNCTION("""COMPUTED_VALUE"""),"| 5 L NS % | 6 L PHP-CGM % | 7 L JAVA % | 8 L CPT % ")</f>
        <v xml:space="preserve">| 5 L NS % | 6 L PHP-CGM % | 7 L JAVA % | 8 L CPT % </v>
      </c>
      <c r="AU450" s="4" t="str">
        <f ca="1">IFERROR(__xludf.DUMMYFUNCTION("""COMPUTED_VALUE"""),"| 5 L CPT % | 6 L NS % | 7 P Python % | 9 P NS % ")</f>
        <v xml:space="preserve">| 5 L CPT % | 6 L NS % | 7 P Python % | 9 P NS % </v>
      </c>
      <c r="AV450" s="4" t="str">
        <f ca="1">IFERROR(__xludf.DUMMYFUNCTION("""COMPUTED_VALUE"""),"| 5 L JAVA % | 6 L JAVA % | 7 P JAVA % | 9 P PRO % ")</f>
        <v xml:space="preserve">| 5 L JAVA % | 6 L JAVA % | 7 P JAVA % | 9 P PRO % </v>
      </c>
      <c r="AW450" s="4" t="str">
        <f ca="1">IFERROR(__xludf.DUMMYFUNCTION("""COMPUTED_VALUE"""),"| 5 L PHP-CGM % | 6 L CPT % | 7 P CPT % | 9 L INE % ")</f>
        <v xml:space="preserve">| 5 L PHP-CGM % | 6 L CPT % | 7 P CPT % | 9 L INE % </v>
      </c>
      <c r="AX450" s="4" t="str">
        <f ca="1">IFERROR(__xludf.DUMMYFUNCTION("""COMPUTED_VALUE"""),"| 5 L PHP-CGM % | 6 L NS % | 7 P JAVA % | 9 P Python @ ")</f>
        <v xml:space="preserve">| 5 L PHP-CGM % | 6 L NS % | 7 P JAVA % | 9 P Python @ </v>
      </c>
      <c r="AY45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50" s="4" t="str">
        <f ca="1">IFERROR(__xludf.DUMMYFUNCTION("""COMPUTED_VALUE"""),"| 5 L JAVA @ | 6 L JAVA @ | 7 P JAVA @ ")</f>
        <v xml:space="preserve">| 5 L JAVA @ | 6 L JAVA @ | 7 P JAVA @ </v>
      </c>
      <c r="BA450" s="4" t="str">
        <f ca="1">IFERROR(__xludf.DUMMYFUNCTION("""COMPUTED_VALUE"""),"| 5 L PHP-CGM % | 6 L CPT % | 9 P CPT @ | 9 L INE @ ")</f>
        <v xml:space="preserve">| 5 L PHP-CGM % | 6 L CPT % | 9 P CPT @ | 9 L INE @ </v>
      </c>
      <c r="BB450" s="4" t="str">
        <f ca="1">IFERROR(__xludf.DUMMYFUNCTION("""COMPUTED_VALUE"""),"| 5 L PHP-CGM % | 6 L NS % | 7 P JAVA % | 9 P Python % ")</f>
        <v xml:space="preserve">| 5 L PHP-CGM % | 6 L NS % | 7 P JAVA % | 9 P Python % </v>
      </c>
      <c r="BC45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50" s="4" t="str">
        <f ca="1">IFERROR(__xludf.DUMMYFUNCTION("""COMPUTED_VALUE"""),"| 5 L CPT % | 6 L NS % | 7 P Python % | 9 P NS % ")</f>
        <v xml:space="preserve">| 5 L CPT % | 6 L NS % | 7 P Python % | 9 P NS % </v>
      </c>
      <c r="BE450" s="4" t="str">
        <f ca="1">IFERROR(__xludf.DUMMYFUNCTION("""COMPUTED_VALUE"""),"| 5 L JAVA % | 6 L JAVA % | 7 P JAVA % | 9 P PRO % ")</f>
        <v xml:space="preserve">| 5 L JAVA % | 6 L JAVA % | 7 P JAVA % | 9 P PRO % </v>
      </c>
      <c r="BF450" s="4" t="str">
        <f ca="1">IFERROR(__xludf.DUMMYFUNCTION("""COMPUTED_VALUE"""),"| 5 L PHP-CGM % | 6 L CPT @ | 7 P CPT @ ")</f>
        <v xml:space="preserve">| 5 L PHP-CGM % | 6 L CPT @ | 7 P CPT @ </v>
      </c>
      <c r="BG45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50" s="4" t="str">
        <f ca="1">IFERROR(__xludf.DUMMYFUNCTION("""COMPUTED_VALUE"""),"| 5 L CPT % | 6 L NS % | 7 P Python % | 9 P NS @ ")</f>
        <v xml:space="preserve">| 5 L CPT % | 6 L NS % | 7 P Python % | 9 P NS @ </v>
      </c>
      <c r="BI450" s="4" t="str">
        <f ca="1">IFERROR(__xludf.DUMMYFUNCTION("""COMPUTED_VALUE"""),"| 5 L JAVA @ | 6 L JAVA @ | 7 P JAVA @ | 9 P PRO @ ")</f>
        <v xml:space="preserve">| 5 L JAVA @ | 6 L JAVA @ | 7 P JAVA @ | 9 P PRO @ </v>
      </c>
      <c r="BJ450" s="4" t="str">
        <f ca="1">IFERROR(__xludf.DUMMYFUNCTION("""COMPUTED_VALUE"""),"| 5 L PHP-CGM @ | 6 L CPT @ | 9 L INE @ ")</f>
        <v xml:space="preserve">| 5 L PHP-CGM @ | 6 L CPT @ | 9 L INE @ </v>
      </c>
      <c r="BK450" s="4" t="str">
        <f ca="1">IFERROR(__xludf.DUMMYFUNCTION("""COMPUTED_VALUE"""),"| 5 L PHP-CGM @ | 6 L NS @ | 7 P JAVA @ ")</f>
        <v xml:space="preserve">| 5 L PHP-CGM @ | 6 L NS @ | 7 P JAVA @ </v>
      </c>
      <c r="BL450" s="4" t="str">
        <f ca="1">IFERROR(__xludf.DUMMYFUNCTION("""COMPUTED_VALUE"""),"| 5 L NS @ | 6 L PHP-CGM @ | 7 L JAVA @ | 8 L CPT @ ")</f>
        <v xml:space="preserve">| 5 L NS @ | 6 L PHP-CGM @ | 7 L JAVA @ | 8 L CPT @ </v>
      </c>
      <c r="BM450" s="4" t="str">
        <f ca="1">IFERROR(__xludf.DUMMYFUNCTION("""COMPUTED_VALUE"""),"| 5 L CPT @ | 6 L NS @ | 7 P Python @ | 9 P NS @ ")</f>
        <v xml:space="preserve">| 5 L CPT @ | 6 L NS @ | 7 P Python @ | 9 P NS @ </v>
      </c>
      <c r="BN450" s="4" t="str">
        <f ca="1">IFERROR(__xludf.DUMMYFUNCTION("""COMPUTED_VALUE"""),"| 5 L JAVA % | 6 L JAVA % ")</f>
        <v xml:space="preserve">| 5 L JAVA % | 6 L JAVA % </v>
      </c>
      <c r="BO450" s="4" t="str">
        <f ca="1">IFERROR(__xludf.DUMMYFUNCTION("""COMPUTED_VALUE"""),"| 5 L PHP-CGM @ | 9 L INE @ | 6 L CPT @ | 7 P CPT @ ")</f>
        <v xml:space="preserve">| 5 L PHP-CGM @ | 9 L INE @ | 6 L CPT @ | 7 P CPT @ </v>
      </c>
      <c r="BP450" s="4" t="str">
        <f ca="1">IFERROR(__xludf.DUMMYFUNCTION("""COMPUTED_VALUE"""),"| 5 L PHP-CGM % | 6 L NS % | 7 P JAVA % ")</f>
        <v xml:space="preserve">| 5 L PHP-CGM % | 6 L NS % | 7 P JAVA % </v>
      </c>
      <c r="BQ450" s="4" t="str">
        <f ca="1">IFERROR(__xludf.DUMMYFUNCTION("""COMPUTED_VALUE"""),"| 5 L CPT @ ")</f>
        <v xml:space="preserve">| 5 L CPT @ </v>
      </c>
      <c r="BR450" s="4" t="str">
        <f ca="1">IFERROR(__xludf.DUMMYFUNCTION("""COMPUTED_VALUE"""),"| 5 L JAVA % | 6 L JAVA % ")</f>
        <v xml:space="preserve">| 5 L JAVA % | 6 L JAVA % </v>
      </c>
      <c r="BS450" s="4"/>
      <c r="BT450" s="4" t="str">
        <f ca="1">IFERROR(__xludf.DUMMYFUNCTION("""COMPUTED_VALUE"""),"| 7 P JAVA @ ")</f>
        <v xml:space="preserve">| 7 P JAVA @ </v>
      </c>
      <c r="BU450" s="4" t="str">
        <f ca="1">IFERROR(__xludf.DUMMYFUNCTION("""COMPUTED_VALUE"""),"| 7 L JAVA @ ")</f>
        <v xml:space="preserve">| 7 L JAVA @ </v>
      </c>
      <c r="BV450" s="4" t="str">
        <f ca="1">IFERROR(__xludf.DUMMYFUNCTION("""COMPUTED_VALUE"""),"| 5 L PHP-CGM % | 6 L NS % | 7 P JAVA @ | 9 P Python @ ")</f>
        <v xml:space="preserve">| 5 L PHP-CGM % | 6 L NS % | 7 P JAVA @ | 9 P Python @ </v>
      </c>
      <c r="BW450" s="4"/>
      <c r="BX450" s="4" t="str">
        <f ca="1">IFERROR(__xludf.DUMMYFUNCTION("""COMPUTED_VALUE"""),"| 5 L CPT % | 6 L NS % | 7 P Python % ")</f>
        <v xml:space="preserve">| 5 L CPT % | 6 L NS % | 7 P Python % </v>
      </c>
      <c r="BY450" s="4" t="str">
        <f ca="1">IFERROR(__xludf.DUMMYFUNCTION("""COMPUTED_VALUE"""),"| 5 L JAVA % | 6 L JAVA % | 7 P JAVA % ")</f>
        <v xml:space="preserve">| 5 L JAVA % | 6 L JAVA % | 7 P JAVA % </v>
      </c>
      <c r="BZ450" s="4" t="str">
        <f ca="1">IFERROR(__xludf.DUMMYFUNCTION("""COMPUTED_VALUE"""),"| 5 L PHP-CGM % | 6 L CPT % | 7 P CPT % ")</f>
        <v xml:space="preserve">| 5 L PHP-CGM % | 6 L CPT % | 7 P CPT % </v>
      </c>
      <c r="CA450" s="4" t="str">
        <f ca="1">IFERROR(__xludf.DUMMYFUNCTION("""COMPUTED_VALUE"""),"| 5 L PHP-CGM % | 6 L NS @ | 7 P JAVA @ | 9 P Python @ ")</f>
        <v xml:space="preserve">| 5 L PHP-CGM % | 6 L NS @ | 7 P JAVA @ | 9 P Python @ </v>
      </c>
      <c r="CB450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50" s="4" t="str">
        <f ca="1">IFERROR(__xludf.DUMMYFUNCTION("""COMPUTED_VALUE"""),"| 6 L NS % | 5 L CPT % | 7 P Python % | 9 P NS % ")</f>
        <v xml:space="preserve">| 6 L NS % | 5 L CPT % | 7 P Python % | 9 P NS % </v>
      </c>
      <c r="CD450" s="4" t="str">
        <f ca="1">IFERROR(__xludf.DUMMYFUNCTION("""COMPUTED_VALUE"""),"| 5 L JAVA % | 6 L JAVA % | 7 P JAVA % | 9 P PRO % ")</f>
        <v xml:space="preserve">| 5 L JAVA % | 6 L JAVA % | 7 P JAVA % | 9 P PRO % </v>
      </c>
      <c r="CE450" s="4" t="str">
        <f ca="1">IFERROR(__xludf.DUMMYFUNCTION("""COMPUTED_VALUE"""),"| 5 L PHP-CGM @ | 6 L CPT @ | 7 P CPT @ | 9 L INE % ")</f>
        <v xml:space="preserve">| 5 L PHP-CGM @ | 6 L CPT @ | 7 P CPT @ | 9 L INE % </v>
      </c>
      <c r="CF450" s="4" t="str">
        <f ca="1">IFERROR(__xludf.DUMMYFUNCTION("""COMPUTED_VALUE"""),"| 5 L PHP-CGM @ | 6 L NS @ | 7 P JAVA @ | 9 P Python @ ")</f>
        <v xml:space="preserve">| 5 L PHP-CGM @ | 6 L NS @ | 7 P JAVA @ | 9 P Python @ </v>
      </c>
      <c r="CG450" s="4" t="str">
        <f ca="1">IFERROR(__xludf.DUMMYFUNCTION("""COMPUTED_VALUE"""),"| 6 L PHP-CGM @ | 7 L JAVA @ | 8 L CPT % ")</f>
        <v xml:space="preserve">| 6 L PHP-CGM @ | 7 L JAVA @ | 8 L CPT % </v>
      </c>
      <c r="CH450" s="4" t="str">
        <f ca="1">IFERROR(__xludf.DUMMYFUNCTION("""COMPUTED_VALUE"""),"| 5 L CPT % | 6 L NS % ")</f>
        <v xml:space="preserve">| 5 L CPT % | 6 L NS % </v>
      </c>
      <c r="CI450" s="4" t="str">
        <f ca="1">IFERROR(__xludf.DUMMYFUNCTION("""COMPUTED_VALUE"""),"| 5 L JAVA % | 6 L JAVA % | 7 P JAVA % | 9 P PRO @ ")</f>
        <v xml:space="preserve">| 5 L JAVA % | 6 L JAVA % | 7 P JAVA % | 9 P PRO @ </v>
      </c>
      <c r="CJ450" s="4" t="str">
        <f ca="1">IFERROR(__xludf.DUMMYFUNCTION("""COMPUTED_VALUE"""),"| 5 L PHP-CGM @ | 9 L INE @ ")</f>
        <v xml:space="preserve">| 5 L PHP-CGM @ | 9 L INE @ </v>
      </c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</row>
    <row r="451" spans="1:102" ht="12.5" x14ac:dyDescent="0.25">
      <c r="A451" s="3">
        <f ca="1">IFERROR(__xludf.DUMMYFUNCTION("""COMPUTED_VALUE"""),3)</f>
        <v>3</v>
      </c>
      <c r="B451" s="3" t="str">
        <f ca="1">IFERROR(__xludf.DUMMYFUNCTION("""COMPUTED_VALUE"""),"ITB")</f>
        <v>ITB</v>
      </c>
      <c r="C451" s="32" t="str">
        <f ca="1">IFERROR(__xludf.DUMMYFUNCTION("""COMPUTED_VALUE"""),"23291371105")</f>
        <v>23291371105</v>
      </c>
      <c r="D451" s="4" t="str">
        <f ca="1">IFERROR(__xludf.DUMMYFUNCTION("""COMPUTED_VALUE"""),"PATEL TANVI PANKAJKUMAR")</f>
        <v>PATEL TANVI PANKAJKUMAR</v>
      </c>
      <c r="E451" s="3" t="str">
        <f ca="1">IFERROR(__xludf.DUMMYFUNCTION("""COMPUTED_VALUE"""),"VSP - Eve")</f>
        <v>VSP - Eve</v>
      </c>
      <c r="F451" s="3">
        <f ca="1">IFERROR(__xludf.DUMMYFUNCTION("""COMPUTED_VALUE"""),9624901422)</f>
        <v>9624901422</v>
      </c>
      <c r="G451" s="3">
        <f ca="1">IFERROR(__xludf.DUMMYFUNCTION("""COMPUTED_VALUE"""),9624905030)</f>
        <v>9624905030</v>
      </c>
      <c r="H451" s="33">
        <f ca="1">IFERROR(__xludf.DUMMYFUNCTION("""COMPUTED_VALUE"""),0.694690265486725)</f>
        <v>0.69469026548672497</v>
      </c>
      <c r="I451" s="25">
        <f ca="1">IFERROR(__xludf.DUMMYFUNCTION("""COMPUTED_VALUE"""),0.75)</f>
        <v>0.75</v>
      </c>
      <c r="J451" s="25">
        <f ca="1">IFERROR(__xludf.DUMMYFUNCTION("""COMPUTED_VALUE"""),0.6)</f>
        <v>0.6</v>
      </c>
      <c r="K451" s="25">
        <f ca="1">IFERROR(__xludf.DUMMYFUNCTION("""COMPUTED_VALUE"""),0.696969696969697)</f>
        <v>0.69696969696969702</v>
      </c>
      <c r="L451" s="25">
        <f ca="1">IFERROR(__xludf.DUMMYFUNCTION("""COMPUTED_VALUE"""),0.666666666666666)</f>
        <v>0.66666666666666596</v>
      </c>
      <c r="M451" s="25">
        <f ca="1">IFERROR(__xludf.DUMMYFUNCTION("""COMPUTED_VALUE"""),0.764705882352941)</f>
        <v>0.76470588235294101</v>
      </c>
      <c r="N451" s="25">
        <f ca="1">IFERROR(__xludf.DUMMYFUNCTION("""COMPUTED_VALUE"""),0.8)</f>
        <v>0.8</v>
      </c>
      <c r="O451" s="25">
        <f ca="1">IFERROR(__xludf.DUMMYFUNCTION("""COMPUTED_VALUE"""),0.717948717948718)</f>
        <v>0.71794871794871795</v>
      </c>
      <c r="P451" s="25">
        <f ca="1">IFERROR(__xludf.DUMMYFUNCTION("""COMPUTED_VALUE"""),0.692307692307692)</f>
        <v>0.69230769230769196</v>
      </c>
      <c r="Q451" s="25">
        <f ca="1">IFERROR(__xludf.DUMMYFUNCTION("""COMPUTED_VALUE"""),0)</f>
        <v>0</v>
      </c>
      <c r="R451" s="25">
        <f ca="1">IFERROR(__xludf.DUMMYFUNCTION("""COMPUTED_VALUE"""),0.526315789473684)</f>
        <v>0.52631578947368396</v>
      </c>
      <c r="S451" s="25">
        <f ca="1">IFERROR(__xludf.DUMMYFUNCTION("""COMPUTED_VALUE"""),0)</f>
        <v>0</v>
      </c>
      <c r="T451" s="25">
        <f ca="1">IFERROR(__xludf.DUMMYFUNCTION("""COMPUTED_VALUE"""),0.777777777777777)</f>
        <v>0.77777777777777701</v>
      </c>
      <c r="U451" s="25">
        <f ca="1">IFERROR(__xludf.DUMMYFUNCTION("""COMPUTED_VALUE"""),0.333333333333333)</f>
        <v>0.33333333333333298</v>
      </c>
      <c r="V451" s="25">
        <f ca="1">IFERROR(__xludf.DUMMYFUNCTION("""COMPUTED_VALUE"""),0)</f>
        <v>0</v>
      </c>
      <c r="W451" s="4"/>
      <c r="X451" s="4" t="str">
        <f ca="1">IFERROR(__xludf.DUMMYFUNCTION("""COMPUTED_VALUE"""),"| 5 L PHP-CGM @ | 6 L NS @ | 7 P JAVA @ | 9 P Python @ ")</f>
        <v xml:space="preserve">| 5 L PHP-CGM @ | 6 L NS @ | 7 P JAVA @ | 9 P Python @ </v>
      </c>
      <c r="Y451" s="4" t="str">
        <f ca="1">IFERROR(__xludf.DUMMYFUNCTION("""COMPUTED_VALUE"""),"| 5 L NS % | 6 L PHP-CGM % | 7 L JAVA % | 8 L CPT % ")</f>
        <v xml:space="preserve">| 5 L NS % | 6 L PHP-CGM % | 7 L JAVA % | 8 L CPT % </v>
      </c>
      <c r="Z451" s="4" t="str">
        <f ca="1">IFERROR(__xludf.DUMMYFUNCTION("""COMPUTED_VALUE"""),"| 5 L JAVA @ | 6 L NS @ | 7 P Python @ | 9 P NS @ ")</f>
        <v xml:space="preserve">| 5 L JAVA @ | 6 L NS @ | 7 P Python @ | 9 P NS @ </v>
      </c>
      <c r="AA451" s="4" t="str">
        <f ca="1">IFERROR(__xludf.DUMMYFUNCTION("""COMPUTED_VALUE"""),"| 5 L CPT % | 6 L JAVA % | 7 P JAVA % | 9 P PRO % ")</f>
        <v xml:space="preserve">| 5 L CPT % | 6 L JAVA % | 7 P JAVA % | 9 P PRO % </v>
      </c>
      <c r="AB451" s="4" t="str">
        <f ca="1">IFERROR(__xludf.DUMMYFUNCTION("""COMPUTED_VALUE"""),"| 5 L PHP-CGM % | 6 L CPT % | 7 P CPT % ")</f>
        <v xml:space="preserve">| 5 L PHP-CGM % | 6 L CPT % | 7 P CPT % </v>
      </c>
      <c r="AC451" s="4" t="str">
        <f ca="1">IFERROR(__xludf.DUMMYFUNCTION("""COMPUTED_VALUE"""),"| 5 L PHP-CGM % | 6 L NS % | 7 P JAVA % | 9 P Python % ")</f>
        <v xml:space="preserve">| 5 L PHP-CGM % | 6 L NS % | 7 P JAVA % | 9 P Python % </v>
      </c>
      <c r="AD451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51" s="4" t="str">
        <f ca="1">IFERROR(__xludf.DUMMYFUNCTION("""COMPUTED_VALUE"""),"| 5 L JAVA @ | 6 L NS @ | 7 P Python @ | 9 P NS @ ")</f>
        <v xml:space="preserve">| 5 L JAVA @ | 6 L NS @ | 7 P Python @ | 9 P NS @ </v>
      </c>
      <c r="AF451" s="4" t="str">
        <f ca="1">IFERROR(__xludf.DUMMYFUNCTION("""COMPUTED_VALUE"""),"| 5 L CPT % | 6 L JAVA % | 7 P JAVA % | 9 P PRO % ")</f>
        <v xml:space="preserve">| 5 L CPT % | 6 L JAVA % | 7 P JAVA % | 9 P PRO % </v>
      </c>
      <c r="AG451" s="4" t="str">
        <f ca="1">IFERROR(__xludf.DUMMYFUNCTION("""COMPUTED_VALUE"""),"| 5 L PHP-CGM % | 6 L CPT % | 8 P CPT @ ")</f>
        <v xml:space="preserve">| 5 L PHP-CGM % | 6 L CPT % | 8 P CPT @ </v>
      </c>
      <c r="AH451" s="4" t="str">
        <f ca="1">IFERROR(__xludf.DUMMYFUNCTION("""COMPUTED_VALUE"""),"| 5 L CPT % | 6 L JAVA % | 7 P JAVA % | 9 P PRO % ")</f>
        <v xml:space="preserve">| 5 L CPT % | 6 L JAVA % | 7 P JAVA % | 9 P PRO % </v>
      </c>
      <c r="AI451" s="4" t="str">
        <f ca="1">IFERROR(__xludf.DUMMYFUNCTION("""COMPUTED_VALUE"""),"| 5 L PHP-CGM % | 6 L CPT % | 7 P CPT % ")</f>
        <v xml:space="preserve">| 5 L PHP-CGM % | 6 L CPT % | 7 P CPT % </v>
      </c>
      <c r="AJ451" s="4" t="str">
        <f ca="1">IFERROR(__xludf.DUMMYFUNCTION("""COMPUTED_VALUE"""),"| 5 L PHP-CGM % | 6 L NS % | 7 P JAVA % | 9 P Python % ")</f>
        <v xml:space="preserve">| 5 L PHP-CGM % | 6 L NS % | 7 P JAVA % | 9 P Python % </v>
      </c>
      <c r="AK451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L451" s="4" t="str">
        <f ca="1">IFERROR(__xludf.DUMMYFUNCTION("""COMPUTED_VALUE"""),"| 5 L JAVA % | 6 L NS % | 7 P Python % | 9 P NS % ")</f>
        <v xml:space="preserve">| 5 L JAVA % | 6 L NS % | 7 P Python % | 9 P NS % </v>
      </c>
      <c r="AM451" s="4" t="str">
        <f ca="1">IFERROR(__xludf.DUMMYFUNCTION("""COMPUTED_VALUE"""),"| 5 L CPT % | 6 L JAVA % | 7 P JAVA % | 9 P PRO % ")</f>
        <v xml:space="preserve">| 5 L CPT % | 6 L JAVA % | 7 P JAVA % | 9 P PRO % </v>
      </c>
      <c r="AN451" s="4" t="str">
        <f ca="1">IFERROR(__xludf.DUMMYFUNCTION("""COMPUTED_VALUE"""),"| 5 L PHP-CGM % | 6 L CPT % | 7 P CPT % ")</f>
        <v xml:space="preserve">| 5 L PHP-CGM % | 6 L CPT % | 7 P CPT % </v>
      </c>
      <c r="AO451" s="4" t="str">
        <f ca="1">IFERROR(__xludf.DUMMYFUNCTION("""COMPUTED_VALUE"""),"| 5 L PHP-CGM % | 6 L NS % | 7 P JAVA % ")</f>
        <v xml:space="preserve">| 5 L PHP-CGM % | 6 L NS % | 7 P JAVA % </v>
      </c>
      <c r="AP451" s="4" t="str">
        <f ca="1">IFERROR(__xludf.DUMMYFUNCTION("""COMPUTED_VALUE"""),"| 5 L NS @ | 7 L JAVA @ | 8 L CPT @ ")</f>
        <v xml:space="preserve">| 5 L NS @ | 7 L JAVA @ | 8 L CPT @ </v>
      </c>
      <c r="AQ451" s="4" t="str">
        <f ca="1">IFERROR(__xludf.DUMMYFUNCTION("""COMPUTED_VALUE"""),"| 5 L CPT % | 6 L NS % | 7 P Python % | 9 P NS % ")</f>
        <v xml:space="preserve">| 5 L CPT % | 6 L NS % | 7 P Python % | 9 P NS % </v>
      </c>
      <c r="AR451" s="4" t="str">
        <f ca="1">IFERROR(__xludf.DUMMYFUNCTION("""COMPUTED_VALUE"""),"| 5 L JAVA @ | 6 L JAVA @ | 5 L CPT @ | 7 P JAVA @ ")</f>
        <v xml:space="preserve">| 5 L JAVA @ | 6 L JAVA @ | 5 L CPT @ | 7 P JAVA @ </v>
      </c>
      <c r="AS451" s="4" t="str">
        <f ca="1">IFERROR(__xludf.DUMMYFUNCTION("""COMPUTED_VALUE"""),"| 5 L PHP-CGM @ | 6 L NS @ | 7 P JAVA @ | 9 P Python @ ")</f>
        <v xml:space="preserve">| 5 L PHP-CGM @ | 6 L NS @ | 7 P JAVA @ | 9 P Python @ </v>
      </c>
      <c r="AT451" s="4" t="str">
        <f ca="1">IFERROR(__xludf.DUMMYFUNCTION("""COMPUTED_VALUE"""),"| 5 L NS % | 6 L PHP-CGM % | 7 L JAVA % | 8 L CPT % ")</f>
        <v xml:space="preserve">| 5 L NS % | 6 L PHP-CGM % | 7 L JAVA % | 8 L CPT % </v>
      </c>
      <c r="AU451" s="4" t="str">
        <f ca="1">IFERROR(__xludf.DUMMYFUNCTION("""COMPUTED_VALUE"""),"| 5 L CPT % | 6 L NS % | 7 P Python @ | 9 P NS % ")</f>
        <v xml:space="preserve">| 5 L CPT % | 6 L NS % | 7 P Python @ | 9 P NS % </v>
      </c>
      <c r="AV451" s="4" t="str">
        <f ca="1">IFERROR(__xludf.DUMMYFUNCTION("""COMPUTED_VALUE"""),"| 5 L JAVA % | 6 L JAVA % | 7 P JAVA % | 9 P PRO % ")</f>
        <v xml:space="preserve">| 5 L JAVA % | 6 L JAVA % | 7 P JAVA % | 9 P PRO % </v>
      </c>
      <c r="AW451" s="4" t="str">
        <f ca="1">IFERROR(__xludf.DUMMYFUNCTION("""COMPUTED_VALUE"""),"| 5 L PHP-CGM % | 6 L CPT % | 7 P CPT % | 9 L INE % ")</f>
        <v xml:space="preserve">| 5 L PHP-CGM % | 6 L CPT % | 7 P CPT % | 9 L INE % </v>
      </c>
      <c r="AX451" s="4" t="str">
        <f ca="1">IFERROR(__xludf.DUMMYFUNCTION("""COMPUTED_VALUE"""),"| 5 L PHP-CGM % | 6 L NS % | 7 P JAVA % | 9 P Python % ")</f>
        <v xml:space="preserve">| 5 L PHP-CGM % | 6 L NS % | 7 P JAVA % | 9 P Python % </v>
      </c>
      <c r="AY451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51" s="4" t="str">
        <f ca="1">IFERROR(__xludf.DUMMYFUNCTION("""COMPUTED_VALUE"""),"| 5 L JAVA % | 6 L JAVA % | 7 P JAVA % ")</f>
        <v xml:space="preserve">| 5 L JAVA % | 6 L JAVA % | 7 P JAVA % </v>
      </c>
      <c r="BA451" s="4" t="str">
        <f ca="1">IFERROR(__xludf.DUMMYFUNCTION("""COMPUTED_VALUE"""),"| 5 L PHP-CGM @ | 6 L CPT @ | 9 P CPT @ | 9 L INE @ ")</f>
        <v xml:space="preserve">| 5 L PHP-CGM @ | 6 L CPT @ | 9 P CPT @ | 9 L INE @ </v>
      </c>
      <c r="BB451" s="4" t="str">
        <f ca="1">IFERROR(__xludf.DUMMYFUNCTION("""COMPUTED_VALUE"""),"| 5 L PHP-CGM @ | 6 L NS @ | 7 P JAVA @ | 9 P Python @ ")</f>
        <v xml:space="preserve">| 5 L PHP-CGM @ | 6 L NS @ | 7 P JAVA @ | 9 P Python @ </v>
      </c>
      <c r="BC451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51" s="4" t="str">
        <f ca="1">IFERROR(__xludf.DUMMYFUNCTION("""COMPUTED_VALUE"""),"| 5 L CPT % | 6 L NS % | 7 P Python % | 9 P NS % ")</f>
        <v xml:space="preserve">| 5 L CPT % | 6 L NS % | 7 P Python % | 9 P NS % </v>
      </c>
      <c r="BE451" s="4" t="str">
        <f ca="1">IFERROR(__xludf.DUMMYFUNCTION("""COMPUTED_VALUE"""),"| 5 L JAVA % | 6 L JAVA % | 7 P JAVA % | 9 P PRO % ")</f>
        <v xml:space="preserve">| 5 L JAVA % | 6 L JAVA % | 7 P JAVA % | 9 P PRO % </v>
      </c>
      <c r="BF451" s="4" t="str">
        <f ca="1">IFERROR(__xludf.DUMMYFUNCTION("""COMPUTED_VALUE"""),"| 5 L PHP-CGM % | 6 L CPT @ | 7 P CPT % ")</f>
        <v xml:space="preserve">| 5 L PHP-CGM % | 6 L CPT @ | 7 P CPT % </v>
      </c>
      <c r="BG451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51" s="4" t="str">
        <f ca="1">IFERROR(__xludf.DUMMYFUNCTION("""COMPUTED_VALUE"""),"| 5 L CPT % | 6 L NS % | 7 P Python % | 9 P NS % ")</f>
        <v xml:space="preserve">| 5 L CPT % | 6 L NS % | 7 P Python % | 9 P NS % </v>
      </c>
      <c r="BI451" s="4" t="str">
        <f ca="1">IFERROR(__xludf.DUMMYFUNCTION("""COMPUTED_VALUE"""),"| 5 L JAVA % | 6 L JAVA % | 7 P JAVA % | 9 P PRO @ ")</f>
        <v xml:space="preserve">| 5 L JAVA % | 6 L JAVA % | 7 P JAVA % | 9 P PRO @ </v>
      </c>
      <c r="BJ451" s="4" t="str">
        <f ca="1">IFERROR(__xludf.DUMMYFUNCTION("""COMPUTED_VALUE"""),"| 5 L PHP-CGM @ | 6 L CPT @ | 9 L INE @ ")</f>
        <v xml:space="preserve">| 5 L PHP-CGM @ | 6 L CPT @ | 9 L INE @ </v>
      </c>
      <c r="BK451" s="4" t="str">
        <f ca="1">IFERROR(__xludf.DUMMYFUNCTION("""COMPUTED_VALUE"""),"| 5 L PHP-CGM @ | 6 L NS @ | 7 P JAVA @ ")</f>
        <v xml:space="preserve">| 5 L PHP-CGM @ | 6 L NS @ | 7 P JAVA @ </v>
      </c>
      <c r="BL451" s="4" t="str">
        <f ca="1">IFERROR(__xludf.DUMMYFUNCTION("""COMPUTED_VALUE"""),"| 5 L NS % | 6 L PHP-CGM % | 7 L JAVA % | 8 L CPT % ")</f>
        <v xml:space="preserve">| 5 L NS % | 6 L PHP-CGM % | 7 L JAVA % | 8 L CPT % </v>
      </c>
      <c r="BM451" s="4" t="str">
        <f ca="1">IFERROR(__xludf.DUMMYFUNCTION("""COMPUTED_VALUE"""),"| 5 L CPT @ | 6 L NS @ | 7 P Python @ | 9 P NS @ ")</f>
        <v xml:space="preserve">| 5 L CPT @ | 6 L NS @ | 7 P Python @ | 9 P NS @ </v>
      </c>
      <c r="BN451" s="4" t="str">
        <f ca="1">IFERROR(__xludf.DUMMYFUNCTION("""COMPUTED_VALUE"""),"| 5 L JAVA @ | 6 L JAVA @ ")</f>
        <v xml:space="preserve">| 5 L JAVA @ | 6 L JAVA @ </v>
      </c>
      <c r="BO451" s="4" t="str">
        <f ca="1">IFERROR(__xludf.DUMMYFUNCTION("""COMPUTED_VALUE"""),"| 5 L PHP-CGM @ | 9 L INE @ | 6 L CPT @ | 7 P CPT @ ")</f>
        <v xml:space="preserve">| 5 L PHP-CGM @ | 9 L INE @ | 6 L CPT @ | 7 P CPT @ </v>
      </c>
      <c r="BP451" s="4" t="str">
        <f ca="1">IFERROR(__xludf.DUMMYFUNCTION("""COMPUTED_VALUE"""),"| 5 L PHP-CGM % | 6 L NS % | 7 P JAVA % ")</f>
        <v xml:space="preserve">| 5 L PHP-CGM % | 6 L NS % | 7 P JAVA % </v>
      </c>
      <c r="BQ451" s="4" t="str">
        <f ca="1">IFERROR(__xludf.DUMMYFUNCTION("""COMPUTED_VALUE"""),"| 5 L CPT % ")</f>
        <v xml:space="preserve">| 5 L CPT % </v>
      </c>
      <c r="BR451" s="4" t="str">
        <f ca="1">IFERROR(__xludf.DUMMYFUNCTION("""COMPUTED_VALUE"""),"| 5 L JAVA % | 6 L JAVA % ")</f>
        <v xml:space="preserve">| 5 L JAVA % | 6 L JAVA % </v>
      </c>
      <c r="BS451" s="4"/>
      <c r="BT451" s="4" t="str">
        <f ca="1">IFERROR(__xludf.DUMMYFUNCTION("""COMPUTED_VALUE"""),"| 7 P JAVA @ ")</f>
        <v xml:space="preserve">| 7 P JAVA @ </v>
      </c>
      <c r="BU451" s="4" t="str">
        <f ca="1">IFERROR(__xludf.DUMMYFUNCTION("""COMPUTED_VALUE"""),"| 7 L JAVA @ ")</f>
        <v xml:space="preserve">| 7 L JAVA @ </v>
      </c>
      <c r="BV451" s="4" t="str">
        <f ca="1">IFERROR(__xludf.DUMMYFUNCTION("""COMPUTED_VALUE"""),"| 5 L PHP-CGM % | 6 L NS % | 7 P JAVA @ | 9 P Python @ ")</f>
        <v xml:space="preserve">| 5 L PHP-CGM % | 6 L NS % | 7 P JAVA @ | 9 P Python @ </v>
      </c>
      <c r="BW451" s="4"/>
      <c r="BX451" s="4" t="str">
        <f ca="1">IFERROR(__xludf.DUMMYFUNCTION("""COMPUTED_VALUE"""),"| 5 L CPT @ | 6 L NS @ | 7 P Python @ ")</f>
        <v xml:space="preserve">| 5 L CPT @ | 6 L NS @ | 7 P Python @ </v>
      </c>
      <c r="BY451" s="4" t="str">
        <f ca="1">IFERROR(__xludf.DUMMYFUNCTION("""COMPUTED_VALUE"""),"| 5 L JAVA @ | 6 L JAVA @ | 7 P JAVA @ ")</f>
        <v xml:space="preserve">| 5 L JAVA @ | 6 L JAVA @ | 7 P JAVA @ </v>
      </c>
      <c r="BZ451" s="4" t="str">
        <f ca="1">IFERROR(__xludf.DUMMYFUNCTION("""COMPUTED_VALUE"""),"| 5 L PHP-CGM % | 6 L CPT % | 7 P CPT % ")</f>
        <v xml:space="preserve">| 5 L PHP-CGM % | 6 L CPT % | 7 P CPT % </v>
      </c>
      <c r="CA451" s="4" t="str">
        <f ca="1">IFERROR(__xludf.DUMMYFUNCTION("""COMPUTED_VALUE"""),"| 5 L PHP-CGM % | 6 L NS % | 7 P JAVA % | 9 P Python % ")</f>
        <v xml:space="preserve">| 5 L PHP-CGM % | 6 L NS % | 7 P JAVA % | 9 P Python % </v>
      </c>
      <c r="CB451" s="4" t="str">
        <f ca="1">IFERROR(__xludf.DUMMYFUNCTION("""COMPUTED_VALUE"""),"| 5 L NS % | 6 L PHP-CGM % | 7 L JAVA % | 8 L CPT % | 9 P JAVA % ")</f>
        <v xml:space="preserve">| 5 L NS % | 6 L PHP-CGM % | 7 L JAVA % | 8 L CPT % | 9 P JAVA % </v>
      </c>
      <c r="CC451" s="4" t="str">
        <f ca="1">IFERROR(__xludf.DUMMYFUNCTION("""COMPUTED_VALUE"""),"| 6 L NS % | 5 L CPT % | 7 P Python % | 9 P NS % ")</f>
        <v xml:space="preserve">| 6 L NS % | 5 L CPT % | 7 P Python % | 9 P NS % </v>
      </c>
      <c r="CD451" s="4" t="str">
        <f ca="1">IFERROR(__xludf.DUMMYFUNCTION("""COMPUTED_VALUE"""),"| 5 L JAVA % | 6 L JAVA % | 7 P JAVA % | 9 P PRO % ")</f>
        <v xml:space="preserve">| 5 L JAVA % | 6 L JAVA % | 7 P JAVA % | 9 P PRO % </v>
      </c>
      <c r="CE451" s="4" t="str">
        <f ca="1">IFERROR(__xludf.DUMMYFUNCTION("""COMPUTED_VALUE"""),"| 5 L PHP-CGM % | 6 L CPT % | 7 P CPT @ | 9 L INE % ")</f>
        <v xml:space="preserve">| 5 L PHP-CGM % | 6 L CPT % | 7 P CPT @ | 9 L INE % </v>
      </c>
      <c r="CF451" s="4" t="str">
        <f ca="1">IFERROR(__xludf.DUMMYFUNCTION("""COMPUTED_VALUE"""),"| 5 L PHP-CGM % | 6 L NS % | 7 P JAVA % | 9 P Python % ")</f>
        <v xml:space="preserve">| 5 L PHP-CGM % | 6 L NS % | 7 P JAVA % | 9 P Python % </v>
      </c>
      <c r="CG451" s="4" t="str">
        <f ca="1">IFERROR(__xludf.DUMMYFUNCTION("""COMPUTED_VALUE"""),"| 6 L PHP-CGM % | 7 L JAVA % | 8 L CPT % ")</f>
        <v xml:space="preserve">| 6 L PHP-CGM % | 7 L JAVA % | 8 L CPT % </v>
      </c>
      <c r="CH451" s="4" t="str">
        <f ca="1">IFERROR(__xludf.DUMMYFUNCTION("""COMPUTED_VALUE"""),"| 5 L CPT % | 6 L NS % ")</f>
        <v xml:space="preserve">| 5 L CPT % | 6 L NS % </v>
      </c>
      <c r="CI451" s="4" t="str">
        <f ca="1">IFERROR(__xludf.DUMMYFUNCTION("""COMPUTED_VALUE"""),"| 5 L JAVA % | 6 L JAVA % | 7 P JAVA % | 9 P PRO @ ")</f>
        <v xml:space="preserve">| 5 L JAVA % | 6 L JAVA % | 7 P JAVA % | 9 P PRO @ </v>
      </c>
      <c r="CJ451" s="4" t="str">
        <f ca="1">IFERROR(__xludf.DUMMYFUNCTION("""COMPUTED_VALUE"""),"| 5 L PHP-CGM % | 9 L INE @ ")</f>
        <v xml:space="preserve">| 5 L PHP-CGM % | 9 L INE @ </v>
      </c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</row>
    <row r="452" spans="1:102" ht="12.5" x14ac:dyDescent="0.25">
      <c r="A452" s="3">
        <f ca="1">IFERROR(__xludf.DUMMYFUNCTION("""COMPUTED_VALUE"""),3)</f>
        <v>3</v>
      </c>
      <c r="B452" s="3" t="str">
        <f ca="1">IFERROR(__xludf.DUMMYFUNCTION("""COMPUTED_VALUE"""),"ITB")</f>
        <v>ITB</v>
      </c>
      <c r="C452" s="32" t="str">
        <f ca="1">IFERROR(__xludf.DUMMYFUNCTION("""COMPUTED_VALUE"""),"23291371106")</f>
        <v>23291371106</v>
      </c>
      <c r="D452" s="4" t="str">
        <f ca="1">IFERROR(__xludf.DUMMYFUNCTION("""COMPUTED_VALUE"""),"PATEL TIRTH RAKESHKUMAR")</f>
        <v>PATEL TIRTH RAKESHKUMAR</v>
      </c>
      <c r="E452" s="3" t="str">
        <f ca="1">IFERROR(__xludf.DUMMYFUNCTION("""COMPUTED_VALUE"""),"VSP - Eve")</f>
        <v>VSP - Eve</v>
      </c>
      <c r="F452" s="3">
        <f ca="1">IFERROR(__xludf.DUMMYFUNCTION("""COMPUTED_VALUE"""),7383841661)</f>
        <v>7383841661</v>
      </c>
      <c r="G452" s="3">
        <f ca="1">IFERROR(__xludf.DUMMYFUNCTION("""COMPUTED_VALUE"""),9016861534)</f>
        <v>9016861534</v>
      </c>
      <c r="H452" s="33">
        <f ca="1">IFERROR(__xludf.DUMMYFUNCTION("""COMPUTED_VALUE"""),0.00884955752212389)</f>
        <v>8.8495575221238902E-3</v>
      </c>
      <c r="I452" s="25">
        <f ca="1">IFERROR(__xludf.DUMMYFUNCTION("""COMPUTED_VALUE"""),0)</f>
        <v>0</v>
      </c>
      <c r="J452" s="25">
        <f ca="1">IFERROR(__xludf.DUMMYFUNCTION("""COMPUTED_VALUE"""),0)</f>
        <v>0</v>
      </c>
      <c r="K452" s="25">
        <f ca="1">IFERROR(__xludf.DUMMYFUNCTION("""COMPUTED_VALUE"""),0)</f>
        <v>0</v>
      </c>
      <c r="L452" s="25">
        <f ca="1">IFERROR(__xludf.DUMMYFUNCTION("""COMPUTED_VALUE"""),0)</f>
        <v>0</v>
      </c>
      <c r="M452" s="25">
        <f ca="1">IFERROR(__xludf.DUMMYFUNCTION("""COMPUTED_VALUE"""),0.0294117647058823)</f>
        <v>2.94117647058823E-2</v>
      </c>
      <c r="N452" s="25">
        <f ca="1">IFERROR(__xludf.DUMMYFUNCTION("""COMPUTED_VALUE"""),0)</f>
        <v>0</v>
      </c>
      <c r="O452" s="25">
        <f ca="1">IFERROR(__xludf.DUMMYFUNCTION("""COMPUTED_VALUE"""),0.0256410256410256)</f>
        <v>2.5641025641025599E-2</v>
      </c>
      <c r="P452" s="25">
        <f ca="1">IFERROR(__xludf.DUMMYFUNCTION("""COMPUTED_VALUE"""),0)</f>
        <v>0</v>
      </c>
      <c r="Q452" s="25">
        <f ca="1">IFERROR(__xludf.DUMMYFUNCTION("""COMPUTED_VALUE"""),0)</f>
        <v>0</v>
      </c>
      <c r="R452" s="25">
        <f ca="1">IFERROR(__xludf.DUMMYFUNCTION("""COMPUTED_VALUE"""),0)</f>
        <v>0</v>
      </c>
      <c r="S452" s="25">
        <f ca="1">IFERROR(__xludf.DUMMYFUNCTION("""COMPUTED_VALUE"""),0)</f>
        <v>0</v>
      </c>
      <c r="T452" s="25">
        <f ca="1">IFERROR(__xludf.DUMMYFUNCTION("""COMPUTED_VALUE"""),0)</f>
        <v>0</v>
      </c>
      <c r="U452" s="25">
        <f ca="1">IFERROR(__xludf.DUMMYFUNCTION("""COMPUTED_VALUE"""),0)</f>
        <v>0</v>
      </c>
      <c r="V452" s="25">
        <f ca="1">IFERROR(__xludf.DUMMYFUNCTION("""COMPUTED_VALUE"""),0)</f>
        <v>0</v>
      </c>
      <c r="W452" s="4" t="str">
        <f ca="1">IFERROR(__xludf.DUMMYFUNCTION("""COMPUTED_VALUE"""),"Detain in 4th sem due to attendance")</f>
        <v>Detain in 4th sem due to attendance</v>
      </c>
      <c r="X452" s="4" t="str">
        <f ca="1">IFERROR(__xludf.DUMMYFUNCTION("""COMPUTED_VALUE"""),"| 5 L PHP-CGM @ | 6 L NS @ | 7 P JAVA @ | 9 P Python @ ")</f>
        <v xml:space="preserve">| 5 L PHP-CGM @ | 6 L NS @ | 7 P JAVA @ | 9 P Python @ </v>
      </c>
      <c r="Y452" s="4" t="str">
        <f ca="1">IFERROR(__xludf.DUMMYFUNCTION("""COMPUTED_VALUE"""),"| 5 L NS @ | 6 L PHP-CGM @ | 7 L JAVA @ | 8 L CPT @ ")</f>
        <v xml:space="preserve">| 5 L NS @ | 6 L PHP-CGM @ | 7 L JAVA @ | 8 L CPT @ </v>
      </c>
      <c r="Z452" s="4" t="str">
        <f ca="1">IFERROR(__xludf.DUMMYFUNCTION("""COMPUTED_VALUE"""),"| 5 L JAVA @ | 6 L NS @ | 7 P Python @ | 9 P NS @ ")</f>
        <v xml:space="preserve">| 5 L JAVA @ | 6 L NS @ | 7 P Python @ | 9 P NS @ </v>
      </c>
      <c r="AA452" s="4" t="str">
        <f ca="1">IFERROR(__xludf.DUMMYFUNCTION("""COMPUTED_VALUE"""),"| 5 L CPT @ | 6 L JAVA @ | 7 P JAVA @ | 9 P PRO @ ")</f>
        <v xml:space="preserve">| 5 L CPT @ | 6 L JAVA @ | 7 P JAVA @ | 9 P PRO @ </v>
      </c>
      <c r="AB452" s="4" t="str">
        <f ca="1">IFERROR(__xludf.DUMMYFUNCTION("""COMPUTED_VALUE"""),"| 5 L PHP-CGM % | 6 L CPT @ | 7 P CPT @ ")</f>
        <v xml:space="preserve">| 5 L PHP-CGM % | 6 L CPT @ | 7 P CPT @ </v>
      </c>
      <c r="AC452" s="4" t="str">
        <f ca="1">IFERROR(__xludf.DUMMYFUNCTION("""COMPUTED_VALUE"""),"| 5 L PHP-CGM @ | 6 L NS @ | 7 P JAVA @ | 9 P Python @ ")</f>
        <v xml:space="preserve">| 5 L PHP-CGM @ | 6 L NS @ | 7 P JAVA @ | 9 P Python @ </v>
      </c>
      <c r="AD452" s="4" t="str">
        <f ca="1">IFERROR(__xludf.DUMMYFUNCTION("""COMPUTED_VALUE"""),"| 5 L NS @ | 7 L JAVA @ | 8 L CPT @ | 9 P PHP-CGM @ | 6 L PHP-CGM @ ")</f>
        <v xml:space="preserve">| 5 L NS @ | 7 L JAVA @ | 8 L CPT @ | 9 P PHP-CGM @ | 6 L PHP-CGM @ </v>
      </c>
      <c r="AE452" s="4" t="str">
        <f ca="1">IFERROR(__xludf.DUMMYFUNCTION("""COMPUTED_VALUE"""),"| 5 L JAVA @ | 6 L NS @ | 7 P Python @ | 9 P NS @ ")</f>
        <v xml:space="preserve">| 5 L JAVA @ | 6 L NS @ | 7 P Python @ | 9 P NS @ </v>
      </c>
      <c r="AF452" s="4" t="str">
        <f ca="1">IFERROR(__xludf.DUMMYFUNCTION("""COMPUTED_VALUE"""),"| 5 L CPT @ | 6 L JAVA @ | 7 P JAVA @ | 9 P PRO @ ")</f>
        <v xml:space="preserve">| 5 L CPT @ | 6 L JAVA @ | 7 P JAVA @ | 9 P PRO @ </v>
      </c>
      <c r="AG452" s="4" t="str">
        <f ca="1">IFERROR(__xludf.DUMMYFUNCTION("""COMPUTED_VALUE"""),"| 5 L PHP-CGM @ | 6 L CPT @ | 8 P CPT @ ")</f>
        <v xml:space="preserve">| 5 L PHP-CGM @ | 6 L CPT @ | 8 P CPT @ </v>
      </c>
      <c r="AH452" s="4" t="str">
        <f ca="1">IFERROR(__xludf.DUMMYFUNCTION("""COMPUTED_VALUE"""),"| 5 L CPT @ | 6 L JAVA @ | 7 P JAVA @ | 9 P PRO @ ")</f>
        <v xml:space="preserve">| 5 L CPT @ | 6 L JAVA @ | 7 P JAVA @ | 9 P PRO @ </v>
      </c>
      <c r="AI452" s="4" t="str">
        <f ca="1">IFERROR(__xludf.DUMMYFUNCTION("""COMPUTED_VALUE"""),"| 5 L PHP-CGM @ | 6 L CPT @ | 7 P CPT @ ")</f>
        <v xml:space="preserve">| 5 L PHP-CGM @ | 6 L CPT @ | 7 P CPT @ </v>
      </c>
      <c r="AJ452" s="4" t="str">
        <f ca="1">IFERROR(__xludf.DUMMYFUNCTION("""COMPUTED_VALUE"""),"| 5 L PHP-CGM @ | 6 L NS @ | 7 P JAVA @ | 9 P Python @ ")</f>
        <v xml:space="preserve">| 5 L PHP-CGM @ | 6 L NS @ | 7 P JAVA @ | 9 P Python @ </v>
      </c>
      <c r="AK452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L452" s="4" t="str">
        <f ca="1">IFERROR(__xludf.DUMMYFUNCTION("""COMPUTED_VALUE"""),"| 5 L JAVA @ | 6 L NS @ | 7 P Python @ | 9 P NS @ ")</f>
        <v xml:space="preserve">| 5 L JAVA @ | 6 L NS @ | 7 P Python @ | 9 P NS @ </v>
      </c>
      <c r="AM452" s="4" t="str">
        <f ca="1">IFERROR(__xludf.DUMMYFUNCTION("""COMPUTED_VALUE"""),"| 5 L CPT @ | 6 L JAVA @ | 7 P JAVA @ | 9 P PRO @ ")</f>
        <v xml:space="preserve">| 5 L CPT @ | 6 L JAVA @ | 7 P JAVA @ | 9 P PRO @ </v>
      </c>
      <c r="AN452" s="4" t="str">
        <f ca="1">IFERROR(__xludf.DUMMYFUNCTION("""COMPUTED_VALUE"""),"| 5 L PHP-CGM @ | 6 L CPT @ | 7 P CPT @ ")</f>
        <v xml:space="preserve">| 5 L PHP-CGM @ | 6 L CPT @ | 7 P CPT @ </v>
      </c>
      <c r="AO452" s="4" t="str">
        <f ca="1">IFERROR(__xludf.DUMMYFUNCTION("""COMPUTED_VALUE"""),"| 5 L PHP-CGM @ | 6 L NS @ | 7 P JAVA @ ")</f>
        <v xml:space="preserve">| 5 L PHP-CGM @ | 6 L NS @ | 7 P JAVA @ </v>
      </c>
      <c r="AP452" s="4" t="str">
        <f ca="1">IFERROR(__xludf.DUMMYFUNCTION("""COMPUTED_VALUE"""),"| 5 L NS @ | 7 L JAVA @ | 8 L CPT @ ")</f>
        <v xml:space="preserve">| 5 L NS @ | 7 L JAVA @ | 8 L CPT @ </v>
      </c>
      <c r="AQ452" s="4" t="str">
        <f ca="1">IFERROR(__xludf.DUMMYFUNCTION("""COMPUTED_VALUE"""),"| 5 L CPT @ | 6 L NS @ | 7 P Python @ | 9 P NS @ ")</f>
        <v xml:space="preserve">| 5 L CPT @ | 6 L NS @ | 7 P Python @ | 9 P NS @ </v>
      </c>
      <c r="AR452" s="4" t="str">
        <f ca="1">IFERROR(__xludf.DUMMYFUNCTION("""COMPUTED_VALUE"""),"| 5 L JAVA @ | 6 L JAVA @ | 5 L CPT @ | 7 P JAVA @ ")</f>
        <v xml:space="preserve">| 5 L JAVA @ | 6 L JAVA @ | 5 L CPT @ | 7 P JAVA @ </v>
      </c>
      <c r="AS452" s="4" t="str">
        <f ca="1">IFERROR(__xludf.DUMMYFUNCTION("""COMPUTED_VALUE"""),"| 5 L PHP-CGM @ | 6 L NS @ | 7 P JAVA @ | 9 P Python @ ")</f>
        <v xml:space="preserve">| 5 L PHP-CGM @ | 6 L NS @ | 7 P JAVA @ | 9 P Python @ </v>
      </c>
      <c r="AT452" s="4" t="str">
        <f ca="1">IFERROR(__xludf.DUMMYFUNCTION("""COMPUTED_VALUE"""),"| 5 L NS @ | 6 L PHP-CGM @ | 7 L JAVA @ | 8 L CPT @ ")</f>
        <v xml:space="preserve">| 5 L NS @ | 6 L PHP-CGM @ | 7 L JAVA @ | 8 L CPT @ </v>
      </c>
      <c r="AU452" s="4" t="str">
        <f ca="1">IFERROR(__xludf.DUMMYFUNCTION("""COMPUTED_VALUE"""),"| 5 L CPT @ | 6 L NS @ | 7 P Python @ | 9 P NS @ ")</f>
        <v xml:space="preserve">| 5 L CPT @ | 6 L NS @ | 7 P Python @ | 9 P NS @ </v>
      </c>
      <c r="AV452" s="4" t="str">
        <f ca="1">IFERROR(__xludf.DUMMYFUNCTION("""COMPUTED_VALUE"""),"| 5 L JAVA @ | 6 L JAVA @ | 7 P JAVA @ | 9 P PRO @ ")</f>
        <v xml:space="preserve">| 5 L JAVA @ | 6 L JAVA @ | 7 P JAVA @ | 9 P PRO @ </v>
      </c>
      <c r="AW452" s="4" t="str">
        <f ca="1">IFERROR(__xludf.DUMMYFUNCTION("""COMPUTED_VALUE"""),"| 5 L PHP-CGM @ | 6 L CPT @ | 7 P CPT @ | 9 L INE @ ")</f>
        <v xml:space="preserve">| 5 L PHP-CGM @ | 6 L CPT @ | 7 P CPT @ | 9 L INE @ </v>
      </c>
      <c r="AX452" s="4" t="str">
        <f ca="1">IFERROR(__xludf.DUMMYFUNCTION("""COMPUTED_VALUE"""),"| 5 L PHP-CGM @ | 6 L NS @ | 7 P JAVA @ | 9 P Python @ ")</f>
        <v xml:space="preserve">| 5 L PHP-CGM @ | 6 L NS @ | 7 P JAVA @ | 9 P Python @ </v>
      </c>
      <c r="AY452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Z452" s="4" t="str">
        <f ca="1">IFERROR(__xludf.DUMMYFUNCTION("""COMPUTED_VALUE"""),"| 5 L JAVA @ | 6 L JAVA @ | 7 P JAVA @ ")</f>
        <v xml:space="preserve">| 5 L JAVA @ | 6 L JAVA @ | 7 P JAVA @ </v>
      </c>
      <c r="BA452" s="4" t="str">
        <f ca="1">IFERROR(__xludf.DUMMYFUNCTION("""COMPUTED_VALUE"""),"| 5 L PHP-CGM @ | 6 L CPT @ | 9 P CPT @ | 9 L INE @ ")</f>
        <v xml:space="preserve">| 5 L PHP-CGM @ | 6 L CPT @ | 9 P CPT @ | 9 L INE @ </v>
      </c>
      <c r="BB452" s="4" t="str">
        <f ca="1">IFERROR(__xludf.DUMMYFUNCTION("""COMPUTED_VALUE"""),"| 5 L PHP-CGM @ | 6 L NS @ | 7 P JAVA @ | 9 P Python @ ")</f>
        <v xml:space="preserve">| 5 L PHP-CGM @ | 6 L NS @ | 7 P JAVA @ | 9 P Python @ </v>
      </c>
      <c r="BC452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BD452" s="4" t="str">
        <f ca="1">IFERROR(__xludf.DUMMYFUNCTION("""COMPUTED_VALUE"""),"| 5 L CPT @ | 6 L NS @ | 7 P Python @ | 9 P NS @ ")</f>
        <v xml:space="preserve">| 5 L CPT @ | 6 L NS @ | 7 P Python @ | 9 P NS @ </v>
      </c>
      <c r="BE452" s="4" t="str">
        <f ca="1">IFERROR(__xludf.DUMMYFUNCTION("""COMPUTED_VALUE"""),"| 5 L JAVA @ | 6 L JAVA @ | 7 P JAVA @ | 9 P PRO @ ")</f>
        <v xml:space="preserve">| 5 L JAVA @ | 6 L JAVA @ | 7 P JAVA @ | 9 P PRO @ </v>
      </c>
      <c r="BF452" s="4" t="str">
        <f ca="1">IFERROR(__xludf.DUMMYFUNCTION("""COMPUTED_VALUE"""),"| 5 L PHP-CGM @ | 6 L CPT @ | 7 P CPT @ ")</f>
        <v xml:space="preserve">| 5 L PHP-CGM @ | 6 L CPT @ | 7 P CPT @ </v>
      </c>
      <c r="BG452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BH452" s="4" t="str">
        <f ca="1">IFERROR(__xludf.DUMMYFUNCTION("""COMPUTED_VALUE"""),"| 5 L CPT @ | 6 L NS @ | 7 P Python @ | 9 P NS @ ")</f>
        <v xml:space="preserve">| 5 L CPT @ | 6 L NS @ | 7 P Python @ | 9 P NS @ </v>
      </c>
      <c r="BI452" s="4" t="str">
        <f ca="1">IFERROR(__xludf.DUMMYFUNCTION("""COMPUTED_VALUE"""),"| 5 L JAVA % | 6 L JAVA @ | 7 P JAVA @ | 9 P PRO @ ")</f>
        <v xml:space="preserve">| 5 L JAVA % | 6 L JAVA @ | 7 P JAVA @ | 9 P PRO @ </v>
      </c>
      <c r="BJ452" s="4" t="str">
        <f ca="1">IFERROR(__xludf.DUMMYFUNCTION("""COMPUTED_VALUE"""),"| 5 L PHP-CGM @ | 6 L CPT @ | 9 L INE @ ")</f>
        <v xml:space="preserve">| 5 L PHP-CGM @ | 6 L CPT @ | 9 L INE @ </v>
      </c>
      <c r="BK452" s="4" t="str">
        <f ca="1">IFERROR(__xludf.DUMMYFUNCTION("""COMPUTED_VALUE"""),"| 5 L PHP-CGM @ | 6 L NS @ | 7 P JAVA @ ")</f>
        <v xml:space="preserve">| 5 L PHP-CGM @ | 6 L NS @ | 7 P JAVA @ </v>
      </c>
      <c r="BL452" s="4" t="str">
        <f ca="1">IFERROR(__xludf.DUMMYFUNCTION("""COMPUTED_VALUE"""),"| 5 L NS @ | 6 L PHP-CGM @ | 7 L JAVA @ | 8 L CPT @ ")</f>
        <v xml:space="preserve">| 5 L NS @ | 6 L PHP-CGM @ | 7 L JAVA @ | 8 L CPT @ </v>
      </c>
      <c r="BM452" s="4" t="str">
        <f ca="1">IFERROR(__xludf.DUMMYFUNCTION("""COMPUTED_VALUE"""),"| 5 L CPT @ | 6 L NS @ | 7 P Python @ | 9 P NS @ ")</f>
        <v xml:space="preserve">| 5 L CPT @ | 6 L NS @ | 7 P Python @ | 9 P NS @ </v>
      </c>
      <c r="BN452" s="4" t="str">
        <f ca="1">IFERROR(__xludf.DUMMYFUNCTION("""COMPUTED_VALUE"""),"| 5 L JAVA @ | 6 L JAVA @ ")</f>
        <v xml:space="preserve">| 5 L JAVA @ | 6 L JAVA @ </v>
      </c>
      <c r="BO452" s="4" t="str">
        <f ca="1">IFERROR(__xludf.DUMMYFUNCTION("""COMPUTED_VALUE"""),"| 5 L PHP-CGM @ | 9 L INE @ | 6 L CPT @ | 7 P CPT @ ")</f>
        <v xml:space="preserve">| 5 L PHP-CGM @ | 9 L INE @ | 6 L CPT @ | 7 P CPT @ </v>
      </c>
      <c r="BP452" s="4" t="str">
        <f ca="1">IFERROR(__xludf.DUMMYFUNCTION("""COMPUTED_VALUE"""),"| 5 L PHP-CGM @ | 6 L NS @ | 7 P JAVA @ ")</f>
        <v xml:space="preserve">| 5 L PHP-CGM @ | 6 L NS @ | 7 P JAVA @ </v>
      </c>
      <c r="BQ452" s="4" t="str">
        <f ca="1">IFERROR(__xludf.DUMMYFUNCTION("""COMPUTED_VALUE"""),"| 5 L CPT @ ")</f>
        <v xml:space="preserve">| 5 L CPT @ </v>
      </c>
      <c r="BR452" s="4" t="str">
        <f ca="1">IFERROR(__xludf.DUMMYFUNCTION("""COMPUTED_VALUE"""),"| 5 L JAVA @ | 6 L JAVA @ ")</f>
        <v xml:space="preserve">| 5 L JAVA @ | 6 L JAVA @ </v>
      </c>
      <c r="BS452" s="4"/>
      <c r="BT452" s="4" t="str">
        <f ca="1">IFERROR(__xludf.DUMMYFUNCTION("""COMPUTED_VALUE"""),"| 7 P JAVA @ ")</f>
        <v xml:space="preserve">| 7 P JAVA @ </v>
      </c>
      <c r="BU452" s="4" t="str">
        <f ca="1">IFERROR(__xludf.DUMMYFUNCTION("""COMPUTED_VALUE"""),"| 7 L JAVA @ ")</f>
        <v xml:space="preserve">| 7 L JAVA @ </v>
      </c>
      <c r="BV452" s="4" t="str">
        <f ca="1">IFERROR(__xludf.DUMMYFUNCTION("""COMPUTED_VALUE"""),"| 5 L PHP-CGM @ | 6 L NS @ | 7 P JAVA @ | 9 P Python @ ")</f>
        <v xml:space="preserve">| 5 L PHP-CGM @ | 6 L NS @ | 7 P JAVA @ | 9 P Python @ </v>
      </c>
      <c r="BW452" s="4"/>
      <c r="BX452" s="4" t="str">
        <f ca="1">IFERROR(__xludf.DUMMYFUNCTION("""COMPUTED_VALUE"""),"| 5 L CPT @ | 6 L NS @ | 7 P Python @ ")</f>
        <v xml:space="preserve">| 5 L CPT @ | 6 L NS @ | 7 P Python @ </v>
      </c>
      <c r="BY452" s="4" t="str">
        <f ca="1">IFERROR(__xludf.DUMMYFUNCTION("""COMPUTED_VALUE"""),"| 5 L JAVA @ | 6 L JAVA @ | 7 P JAVA @ ")</f>
        <v xml:space="preserve">| 5 L JAVA @ | 6 L JAVA @ | 7 P JAVA @ </v>
      </c>
      <c r="BZ452" s="4" t="str">
        <f ca="1">IFERROR(__xludf.DUMMYFUNCTION("""COMPUTED_VALUE"""),"| 5 L PHP-CGM @ | 6 L CPT @ | 7 P CPT @ ")</f>
        <v xml:space="preserve">| 5 L PHP-CGM @ | 6 L CPT @ | 7 P CPT @ </v>
      </c>
      <c r="CA452" s="4" t="str">
        <f ca="1">IFERROR(__xludf.DUMMYFUNCTION("""COMPUTED_VALUE"""),"| 5 L PHP-CGM @ | 6 L NS @ | 7 P JAVA @ | 9 P Python @ ")</f>
        <v xml:space="preserve">| 5 L PHP-CGM @ | 6 L NS @ | 7 P JAVA @ | 9 P Python @ </v>
      </c>
      <c r="CB452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CC452" s="4" t="str">
        <f ca="1">IFERROR(__xludf.DUMMYFUNCTION("""COMPUTED_VALUE"""),"| 6 L NS @ | 5 L CPT @ | 7 P Python @ | 9 P NS @ ")</f>
        <v xml:space="preserve">| 6 L NS @ | 5 L CPT @ | 7 P Python @ | 9 P NS @ </v>
      </c>
      <c r="CD452" s="4" t="str">
        <f ca="1">IFERROR(__xludf.DUMMYFUNCTION("""COMPUTED_VALUE"""),"| 5 L JAVA @ | 6 L JAVA @ | 7 P JAVA @ | 9 P PRO @ ")</f>
        <v xml:space="preserve">| 5 L JAVA @ | 6 L JAVA @ | 7 P JAVA @ | 9 P PRO @ </v>
      </c>
      <c r="CE452" s="4" t="str">
        <f ca="1">IFERROR(__xludf.DUMMYFUNCTION("""COMPUTED_VALUE"""),"| 5 L PHP-CGM @ | 6 L CPT @ | 7 P CPT @ | 9 L INE @ ")</f>
        <v xml:space="preserve">| 5 L PHP-CGM @ | 6 L CPT @ | 7 P CPT @ | 9 L INE @ </v>
      </c>
      <c r="CF452" s="4" t="str">
        <f ca="1">IFERROR(__xludf.DUMMYFUNCTION("""COMPUTED_VALUE"""),"| 5 L PHP-CGM @ | 6 L NS @ | 7 P JAVA @ | 9 P Python @ ")</f>
        <v xml:space="preserve">| 5 L PHP-CGM @ | 6 L NS @ | 7 P JAVA @ | 9 P Python @ </v>
      </c>
      <c r="CG452" s="4" t="str">
        <f ca="1">IFERROR(__xludf.DUMMYFUNCTION("""COMPUTED_VALUE"""),"| 6 L PHP-CGM @ | 7 L JAVA @ | 8 L CPT @ ")</f>
        <v xml:space="preserve">| 6 L PHP-CGM @ | 7 L JAVA @ | 8 L CPT @ </v>
      </c>
      <c r="CH452" s="4" t="str">
        <f ca="1">IFERROR(__xludf.DUMMYFUNCTION("""COMPUTED_VALUE"""),"| 5 L CPT @ | 6 L NS @ ")</f>
        <v xml:space="preserve">| 5 L CPT @ | 6 L NS @ </v>
      </c>
      <c r="CI452" s="4" t="str">
        <f ca="1">IFERROR(__xludf.DUMMYFUNCTION("""COMPUTED_VALUE"""),"| 5 L JAVA @ | 6 L JAVA @ | 7 P JAVA @ | 9 P PRO @ ")</f>
        <v xml:space="preserve">| 5 L JAVA @ | 6 L JAVA @ | 7 P JAVA @ | 9 P PRO @ </v>
      </c>
      <c r="CJ452" s="4" t="str">
        <f ca="1">IFERROR(__xludf.DUMMYFUNCTION("""COMPUTED_VALUE"""),"| 5 L PHP-CGM @ | 9 L INE @ ")</f>
        <v xml:space="preserve">| 5 L PHP-CGM @ | 9 L INE @ </v>
      </c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</row>
    <row r="453" spans="1:102" ht="12.5" x14ac:dyDescent="0.25">
      <c r="A453" s="3">
        <f ca="1">IFERROR(__xludf.DUMMYFUNCTION("""COMPUTED_VALUE"""),3)</f>
        <v>3</v>
      </c>
      <c r="B453" s="3" t="str">
        <f ca="1">IFERROR(__xludf.DUMMYFUNCTION("""COMPUTED_VALUE"""),"ITB")</f>
        <v>ITB</v>
      </c>
      <c r="C453" s="32" t="str">
        <f ca="1">IFERROR(__xludf.DUMMYFUNCTION("""COMPUTED_VALUE"""),"23291371107")</f>
        <v>23291371107</v>
      </c>
      <c r="D453" s="4" t="str">
        <f ca="1">IFERROR(__xludf.DUMMYFUNCTION("""COMPUTED_VALUE"""),"PATEL TIRTH SANJAYKUMAR")</f>
        <v>PATEL TIRTH SANJAYKUMAR</v>
      </c>
      <c r="E453" s="3" t="str">
        <f ca="1">IFERROR(__xludf.DUMMYFUNCTION("""COMPUTED_VALUE"""),"VSP - Eve")</f>
        <v>VSP - Eve</v>
      </c>
      <c r="F453" s="3">
        <f ca="1">IFERROR(__xludf.DUMMYFUNCTION("""COMPUTED_VALUE"""),9328873336)</f>
        <v>9328873336</v>
      </c>
      <c r="G453" s="3">
        <f ca="1">IFERROR(__xludf.DUMMYFUNCTION("""COMPUTED_VALUE"""),9974078495)</f>
        <v>9974078495</v>
      </c>
      <c r="H453" s="33">
        <f ca="1">IFERROR(__xludf.DUMMYFUNCTION("""COMPUTED_VALUE"""),0.827433628318584)</f>
        <v>0.82743362831858402</v>
      </c>
      <c r="I453" s="25">
        <f ca="1">IFERROR(__xludf.DUMMYFUNCTION("""COMPUTED_VALUE"""),0.833333333333333)</f>
        <v>0.83333333333333304</v>
      </c>
      <c r="J453" s="25">
        <f ca="1">IFERROR(__xludf.DUMMYFUNCTION("""COMPUTED_VALUE"""),0.7)</f>
        <v>0.7</v>
      </c>
      <c r="K453" s="25">
        <f ca="1">IFERROR(__xludf.DUMMYFUNCTION("""COMPUTED_VALUE"""),0.818181818181818)</f>
        <v>0.81818181818181801</v>
      </c>
      <c r="L453" s="25">
        <f ca="1">IFERROR(__xludf.DUMMYFUNCTION("""COMPUTED_VALUE"""),0.777777777777777)</f>
        <v>0.77777777777777701</v>
      </c>
      <c r="M453" s="25">
        <f ca="1">IFERROR(__xludf.DUMMYFUNCTION("""COMPUTED_VALUE"""),0.823529411764705)</f>
        <v>0.82352941176470495</v>
      </c>
      <c r="N453" s="25">
        <f ca="1">IFERROR(__xludf.DUMMYFUNCTION("""COMPUTED_VALUE"""),1)</f>
        <v>1</v>
      </c>
      <c r="O453" s="25">
        <f ca="1">IFERROR(__xludf.DUMMYFUNCTION("""COMPUTED_VALUE"""),0.897435897435897)</f>
        <v>0.89743589743589702</v>
      </c>
      <c r="P453" s="25">
        <f ca="1">IFERROR(__xludf.DUMMYFUNCTION("""COMPUTED_VALUE"""),0.846153846153846)</f>
        <v>0.84615384615384603</v>
      </c>
      <c r="Q453" s="25">
        <f ca="1">IFERROR(__xludf.DUMMYFUNCTION("""COMPUTED_VALUE"""),0)</f>
        <v>0</v>
      </c>
      <c r="R453" s="25">
        <f ca="1">IFERROR(__xludf.DUMMYFUNCTION("""COMPUTED_VALUE"""),0.894736842105263)</f>
        <v>0.89473684210526305</v>
      </c>
      <c r="S453" s="25">
        <f ca="1">IFERROR(__xludf.DUMMYFUNCTION("""COMPUTED_VALUE"""),0)</f>
        <v>0</v>
      </c>
      <c r="T453" s="25">
        <f ca="1">IFERROR(__xludf.DUMMYFUNCTION("""COMPUTED_VALUE"""),0.888888888888888)</f>
        <v>0.88888888888888795</v>
      </c>
      <c r="U453" s="25">
        <f ca="1">IFERROR(__xludf.DUMMYFUNCTION("""COMPUTED_VALUE"""),0.166666666666666)</f>
        <v>0.16666666666666599</v>
      </c>
      <c r="V453" s="25">
        <f ca="1">IFERROR(__xludf.DUMMYFUNCTION("""COMPUTED_VALUE"""),0)</f>
        <v>0</v>
      </c>
      <c r="W453" s="4"/>
      <c r="X453" s="4" t="str">
        <f ca="1">IFERROR(__xludf.DUMMYFUNCTION("""COMPUTED_VALUE"""),"| 5 L PHP-CGM % | 6 L NS % | 7 P JAVA % | 9 P Python % ")</f>
        <v xml:space="preserve">| 5 L PHP-CGM % | 6 L NS % | 7 P JAVA % | 9 P Python % </v>
      </c>
      <c r="Y453" s="4" t="str">
        <f ca="1">IFERROR(__xludf.DUMMYFUNCTION("""COMPUTED_VALUE"""),"| 5 L NS % | 6 L PHP-CGM % | 7 L JAVA % | 8 L CPT % ")</f>
        <v xml:space="preserve">| 5 L NS % | 6 L PHP-CGM % | 7 L JAVA % | 8 L CPT % </v>
      </c>
      <c r="Z453" s="4" t="str">
        <f ca="1">IFERROR(__xludf.DUMMYFUNCTION("""COMPUTED_VALUE"""),"| 5 L JAVA % | 6 L NS % | 7 P Python % | 9 P NS % ")</f>
        <v xml:space="preserve">| 5 L JAVA % | 6 L NS % | 7 P Python % | 9 P NS % </v>
      </c>
      <c r="AA453" s="4" t="str">
        <f ca="1">IFERROR(__xludf.DUMMYFUNCTION("""COMPUTED_VALUE"""),"| 5 L CPT % | 6 L JAVA % | 7 P JAVA % | 9 P PRO % ")</f>
        <v xml:space="preserve">| 5 L CPT % | 6 L JAVA % | 7 P JAVA % | 9 P PRO % </v>
      </c>
      <c r="AB453" s="4" t="str">
        <f ca="1">IFERROR(__xludf.DUMMYFUNCTION("""COMPUTED_VALUE"""),"| 5 L PHP-CGM % | 6 L CPT % | 7 P CPT % ")</f>
        <v xml:space="preserve">| 5 L PHP-CGM % | 6 L CPT % | 7 P CPT % </v>
      </c>
      <c r="AC453" s="4" t="str">
        <f ca="1">IFERROR(__xludf.DUMMYFUNCTION("""COMPUTED_VALUE"""),"| 5 L PHP-CGM % | 6 L NS % | 7 P JAVA % | 9 P Python % ")</f>
        <v xml:space="preserve">| 5 L PHP-CGM % | 6 L NS % | 7 P JAVA % | 9 P Python % </v>
      </c>
      <c r="AD453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53" s="4" t="str">
        <f ca="1">IFERROR(__xludf.DUMMYFUNCTION("""COMPUTED_VALUE"""),"| 5 L JAVA % | 6 L NS % | 7 P Python % | 9 P NS % ")</f>
        <v xml:space="preserve">| 5 L JAVA % | 6 L NS % | 7 P Python % | 9 P NS % </v>
      </c>
      <c r="AF453" s="4" t="str">
        <f ca="1">IFERROR(__xludf.DUMMYFUNCTION("""COMPUTED_VALUE"""),"| 5 L CPT % | 6 L JAVA % | 7 P JAVA % | 9 P PRO % ")</f>
        <v xml:space="preserve">| 5 L CPT % | 6 L JAVA % | 7 P JAVA % | 9 P PRO % </v>
      </c>
      <c r="AG453" s="4" t="str">
        <f ca="1">IFERROR(__xludf.DUMMYFUNCTION("""COMPUTED_VALUE"""),"| 5 L PHP-CGM % | 6 L CPT % | 8 P CPT % ")</f>
        <v xml:space="preserve">| 5 L PHP-CGM % | 6 L CPT % | 8 P CPT % </v>
      </c>
      <c r="AH453" s="4" t="str">
        <f ca="1">IFERROR(__xludf.DUMMYFUNCTION("""COMPUTED_VALUE"""),"| 5 L CPT % | 6 L JAVA % | 7 P JAVA % | 9 P PRO % ")</f>
        <v xml:space="preserve">| 5 L CPT % | 6 L JAVA % | 7 P JAVA % | 9 P PRO % </v>
      </c>
      <c r="AI453" s="4" t="str">
        <f ca="1">IFERROR(__xludf.DUMMYFUNCTION("""COMPUTED_VALUE"""),"| 5 L PHP-CGM % | 6 L CPT % | 7 P CPT % ")</f>
        <v xml:space="preserve">| 5 L PHP-CGM % | 6 L CPT % | 7 P CPT % </v>
      </c>
      <c r="AJ453" s="4" t="str">
        <f ca="1">IFERROR(__xludf.DUMMYFUNCTION("""COMPUTED_VALUE"""),"| 5 L PHP-CGM % | 6 L NS % | 7 P JAVA % | 9 P Python % ")</f>
        <v xml:space="preserve">| 5 L PHP-CGM % | 6 L NS % | 7 P JAVA % | 9 P Python % </v>
      </c>
      <c r="AK453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L453" s="4" t="str">
        <f ca="1">IFERROR(__xludf.DUMMYFUNCTION("""COMPUTED_VALUE"""),"| 5 L JAVA % | 6 L NS % | 7 P Python % | 9 P NS % ")</f>
        <v xml:space="preserve">| 5 L JAVA % | 6 L NS % | 7 P Python % | 9 P NS % </v>
      </c>
      <c r="AM453" s="4" t="str">
        <f ca="1">IFERROR(__xludf.DUMMYFUNCTION("""COMPUTED_VALUE"""),"| 5 L CPT % | 6 L JAVA % | 7 P JAVA % | 9 P PRO % ")</f>
        <v xml:space="preserve">| 5 L CPT % | 6 L JAVA % | 7 P JAVA % | 9 P PRO % </v>
      </c>
      <c r="AN453" s="4" t="str">
        <f ca="1">IFERROR(__xludf.DUMMYFUNCTION("""COMPUTED_VALUE"""),"| 5 L PHP-CGM % | 6 L CPT % | 7 P CPT @ ")</f>
        <v xml:space="preserve">| 5 L PHP-CGM % | 6 L CPT % | 7 P CPT @ </v>
      </c>
      <c r="AO453" s="4" t="str">
        <f ca="1">IFERROR(__xludf.DUMMYFUNCTION("""COMPUTED_VALUE"""),"| 5 L PHP-CGM % | 6 L NS % | 7 P JAVA % ")</f>
        <v xml:space="preserve">| 5 L PHP-CGM % | 6 L NS % | 7 P JAVA % </v>
      </c>
      <c r="AP453" s="4" t="str">
        <f ca="1">IFERROR(__xludf.DUMMYFUNCTION("""COMPUTED_VALUE"""),"| 5 L NS % | 7 L JAVA % | 8 L CPT % ")</f>
        <v xml:space="preserve">| 5 L NS % | 7 L JAVA % | 8 L CPT % </v>
      </c>
      <c r="AQ453" s="4" t="str">
        <f ca="1">IFERROR(__xludf.DUMMYFUNCTION("""COMPUTED_VALUE"""),"| 5 L CPT % | 6 L NS % | 7 P Python % | 9 P NS % ")</f>
        <v xml:space="preserve">| 5 L CPT % | 6 L NS % | 7 P Python % | 9 P NS % </v>
      </c>
      <c r="AR453" s="4" t="str">
        <f ca="1">IFERROR(__xludf.DUMMYFUNCTION("""COMPUTED_VALUE"""),"| 5 L JAVA % | 6 L JAVA % | 5 L CPT @ | 7 P JAVA % ")</f>
        <v xml:space="preserve">| 5 L JAVA % | 6 L JAVA % | 5 L CPT @ | 7 P JAVA % </v>
      </c>
      <c r="AS453" s="4" t="str">
        <f ca="1">IFERROR(__xludf.DUMMYFUNCTION("""COMPUTED_VALUE"""),"| 5 L PHP-CGM % | 6 L NS % | 7 P JAVA % | 9 P Python % ")</f>
        <v xml:space="preserve">| 5 L PHP-CGM % | 6 L NS % | 7 P JAVA % | 9 P Python % </v>
      </c>
      <c r="AT453" s="4" t="str">
        <f ca="1">IFERROR(__xludf.DUMMYFUNCTION("""COMPUTED_VALUE"""),"| 5 L NS % | 6 L PHP-CGM % | 7 L JAVA % | 8 L CPT % ")</f>
        <v xml:space="preserve">| 5 L NS % | 6 L PHP-CGM % | 7 L JAVA % | 8 L CPT % </v>
      </c>
      <c r="AU453" s="4" t="str">
        <f ca="1">IFERROR(__xludf.DUMMYFUNCTION("""COMPUTED_VALUE"""),"| 5 L CPT % | 6 L NS @ | 7 P Python % | 9 P NS % ")</f>
        <v xml:space="preserve">| 5 L CPT % | 6 L NS @ | 7 P Python % | 9 P NS % </v>
      </c>
      <c r="AV453" s="4" t="str">
        <f ca="1">IFERROR(__xludf.DUMMYFUNCTION("""COMPUTED_VALUE"""),"| 5 L JAVA % | 6 L JAVA % | 7 P JAVA % | 9 P PRO % ")</f>
        <v xml:space="preserve">| 5 L JAVA % | 6 L JAVA % | 7 P JAVA % | 9 P PRO % </v>
      </c>
      <c r="AW453" s="4" t="str">
        <f ca="1">IFERROR(__xludf.DUMMYFUNCTION("""COMPUTED_VALUE"""),"| 5 L PHP-CGM % | 6 L CPT % | 7 P CPT % | 9 L INE % ")</f>
        <v xml:space="preserve">| 5 L PHP-CGM % | 6 L CPT % | 7 P CPT % | 9 L INE % </v>
      </c>
      <c r="AX453" s="4" t="str">
        <f ca="1">IFERROR(__xludf.DUMMYFUNCTION("""COMPUTED_VALUE"""),"| 5 L PHP-CGM % | 6 L NS % | 7 P JAVA % | 9 P Python % ")</f>
        <v xml:space="preserve">| 5 L PHP-CGM % | 6 L NS % | 7 P JAVA % | 9 P Python % </v>
      </c>
      <c r="AY453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53" s="4" t="str">
        <f ca="1">IFERROR(__xludf.DUMMYFUNCTION("""COMPUTED_VALUE"""),"| 5 L JAVA % | 6 L JAVA % | 7 P JAVA % ")</f>
        <v xml:space="preserve">| 5 L JAVA % | 6 L JAVA % | 7 P JAVA % </v>
      </c>
      <c r="BA453" s="4" t="str">
        <f ca="1">IFERROR(__xludf.DUMMYFUNCTION("""COMPUTED_VALUE"""),"| 5 L PHP-CGM % | 6 L CPT % | 9 P CPT % | 9 L INE @ ")</f>
        <v xml:space="preserve">| 5 L PHP-CGM % | 6 L CPT % | 9 P CPT % | 9 L INE @ </v>
      </c>
      <c r="BB453" s="4" t="str">
        <f ca="1">IFERROR(__xludf.DUMMYFUNCTION("""COMPUTED_VALUE"""),"| 5 L PHP-CGM % | 6 L NS % | 7 P JAVA % | 9 P Python % ")</f>
        <v xml:space="preserve">| 5 L PHP-CGM % | 6 L NS % | 7 P JAVA % | 9 P Python % </v>
      </c>
      <c r="BC453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53" s="4" t="str">
        <f ca="1">IFERROR(__xludf.DUMMYFUNCTION("""COMPUTED_VALUE"""),"| 5 L CPT % | 6 L NS % | 7 P Python % | 9 P NS % ")</f>
        <v xml:space="preserve">| 5 L CPT % | 6 L NS % | 7 P Python % | 9 P NS % </v>
      </c>
      <c r="BE453" s="4" t="str">
        <f ca="1">IFERROR(__xludf.DUMMYFUNCTION("""COMPUTED_VALUE"""),"| 5 L JAVA % | 6 L JAVA % | 7 P JAVA % | 9 P PRO % ")</f>
        <v xml:space="preserve">| 5 L JAVA % | 6 L JAVA % | 7 P JAVA % | 9 P PRO % </v>
      </c>
      <c r="BF453" s="4" t="str">
        <f ca="1">IFERROR(__xludf.DUMMYFUNCTION("""COMPUTED_VALUE"""),"| 5 L PHP-CGM % | 6 L CPT % | 7 P CPT % ")</f>
        <v xml:space="preserve">| 5 L PHP-CGM % | 6 L CPT % | 7 P CPT % </v>
      </c>
      <c r="BG453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53" s="4" t="str">
        <f ca="1">IFERROR(__xludf.DUMMYFUNCTION("""COMPUTED_VALUE"""),"| 5 L CPT % | 6 L NS % | 7 P Python % | 9 P NS % ")</f>
        <v xml:space="preserve">| 5 L CPT % | 6 L NS % | 7 P Python % | 9 P NS % </v>
      </c>
      <c r="BI453" s="4" t="str">
        <f ca="1">IFERROR(__xludf.DUMMYFUNCTION("""COMPUTED_VALUE"""),"| 5 L JAVA % | 6 L JAVA % | 7 P JAVA % | 9 P PRO % ")</f>
        <v xml:space="preserve">| 5 L JAVA % | 6 L JAVA % | 7 P JAVA % | 9 P PRO % </v>
      </c>
      <c r="BJ453" s="4" t="str">
        <f ca="1">IFERROR(__xludf.DUMMYFUNCTION("""COMPUTED_VALUE"""),"| 5 L PHP-CGM % | 6 L CPT % | 9 L INE @ ")</f>
        <v xml:space="preserve">| 5 L PHP-CGM % | 6 L CPT % | 9 L INE @ </v>
      </c>
      <c r="BK453" s="4" t="str">
        <f ca="1">IFERROR(__xludf.DUMMYFUNCTION("""COMPUTED_VALUE"""),"| 5 L PHP-CGM @ | 6 L NS @ | 7 P JAVA @ ")</f>
        <v xml:space="preserve">| 5 L PHP-CGM @ | 6 L NS @ | 7 P JAVA @ </v>
      </c>
      <c r="BL453" s="4" t="str">
        <f ca="1">IFERROR(__xludf.DUMMYFUNCTION("""COMPUTED_VALUE"""),"| 5 L NS @ | 6 L PHP-CGM @ | 7 L JAVA @ | 8 L CPT @ ")</f>
        <v xml:space="preserve">| 5 L NS @ | 6 L PHP-CGM @ | 7 L JAVA @ | 8 L CPT @ </v>
      </c>
      <c r="BM453" s="4" t="str">
        <f ca="1">IFERROR(__xludf.DUMMYFUNCTION("""COMPUTED_VALUE"""),"| 5 L CPT @ | 6 L NS @ | 7 P Python @ | 9 P NS @ ")</f>
        <v xml:space="preserve">| 5 L CPT @ | 6 L NS @ | 7 P Python @ | 9 P NS @ </v>
      </c>
      <c r="BN453" s="4" t="str">
        <f ca="1">IFERROR(__xludf.DUMMYFUNCTION("""COMPUTED_VALUE"""),"| 5 L JAVA @ | 6 L JAVA @ ")</f>
        <v xml:space="preserve">| 5 L JAVA @ | 6 L JAVA @ </v>
      </c>
      <c r="BO453" s="4" t="str">
        <f ca="1">IFERROR(__xludf.DUMMYFUNCTION("""COMPUTED_VALUE"""),"| 5 L PHP-CGM @ | 9 L INE @ | 6 L CPT @ | 7 P CPT @ ")</f>
        <v xml:space="preserve">| 5 L PHP-CGM @ | 9 L INE @ | 6 L CPT @ | 7 P CPT @ </v>
      </c>
      <c r="BP453" s="4" t="str">
        <f ca="1">IFERROR(__xludf.DUMMYFUNCTION("""COMPUTED_VALUE"""),"| 5 L PHP-CGM % | 6 L NS % | 7 P JAVA % ")</f>
        <v xml:space="preserve">| 5 L PHP-CGM % | 6 L NS % | 7 P JAVA % </v>
      </c>
      <c r="BQ453" s="4" t="str">
        <f ca="1">IFERROR(__xludf.DUMMYFUNCTION("""COMPUTED_VALUE"""),"| 5 L CPT @ ")</f>
        <v xml:space="preserve">| 5 L CPT @ </v>
      </c>
      <c r="BR453" s="4" t="str">
        <f ca="1">IFERROR(__xludf.DUMMYFUNCTION("""COMPUTED_VALUE"""),"| 5 L JAVA % | 6 L JAVA % ")</f>
        <v xml:space="preserve">| 5 L JAVA % | 6 L JAVA % </v>
      </c>
      <c r="BS453" s="4"/>
      <c r="BT453" s="4" t="str">
        <f ca="1">IFERROR(__xludf.DUMMYFUNCTION("""COMPUTED_VALUE"""),"| 7 P JAVA @ ")</f>
        <v xml:space="preserve">| 7 P JAVA @ </v>
      </c>
      <c r="BU453" s="4" t="str">
        <f ca="1">IFERROR(__xludf.DUMMYFUNCTION("""COMPUTED_VALUE"""),"| 7 L JAVA @ ")</f>
        <v xml:space="preserve">| 7 L JAVA @ </v>
      </c>
      <c r="BV453" s="4" t="str">
        <f ca="1">IFERROR(__xludf.DUMMYFUNCTION("""COMPUTED_VALUE"""),"| 5 L PHP-CGM % | 6 L NS % | 7 P JAVA @ | 9 P Python % ")</f>
        <v xml:space="preserve">| 5 L PHP-CGM % | 6 L NS % | 7 P JAVA @ | 9 P Python % </v>
      </c>
      <c r="BW453" s="4"/>
      <c r="BX453" s="4" t="str">
        <f ca="1">IFERROR(__xludf.DUMMYFUNCTION("""COMPUTED_VALUE"""),"| 5 L CPT @ | 6 L NS @ | 7 P Python @ ")</f>
        <v xml:space="preserve">| 5 L CPT @ | 6 L NS @ | 7 P Python @ </v>
      </c>
      <c r="BY453" s="4" t="str">
        <f ca="1">IFERROR(__xludf.DUMMYFUNCTION("""COMPUTED_VALUE"""),"| 5 L JAVA % | 6 L JAVA % | 7 P JAVA % ")</f>
        <v xml:space="preserve">| 5 L JAVA % | 6 L JAVA % | 7 P JAVA % </v>
      </c>
      <c r="BZ453" s="4" t="str">
        <f ca="1">IFERROR(__xludf.DUMMYFUNCTION("""COMPUTED_VALUE"""),"| 5 L PHP-CGM % | 6 L CPT % | 7 P CPT % ")</f>
        <v xml:space="preserve">| 5 L PHP-CGM % | 6 L CPT % | 7 P CPT % </v>
      </c>
      <c r="CA453" s="4" t="str">
        <f ca="1">IFERROR(__xludf.DUMMYFUNCTION("""COMPUTED_VALUE"""),"| 5 L PHP-CGM % | 6 L NS % | 7 P JAVA % | 9 P Python % ")</f>
        <v xml:space="preserve">| 5 L PHP-CGM % | 6 L NS % | 7 P JAVA % | 9 P Python % </v>
      </c>
      <c r="CB453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53" s="4" t="str">
        <f ca="1">IFERROR(__xludf.DUMMYFUNCTION("""COMPUTED_VALUE"""),"| 6 L NS % | 5 L CPT % | 7 P Python % | 9 P NS @ ")</f>
        <v xml:space="preserve">| 6 L NS % | 5 L CPT % | 7 P Python % | 9 P NS @ </v>
      </c>
      <c r="CD453" s="4" t="str">
        <f ca="1">IFERROR(__xludf.DUMMYFUNCTION("""COMPUTED_VALUE"""),"| 5 L JAVA % | 6 L JAVA % | 7 P JAVA % | 9 P PRO % ")</f>
        <v xml:space="preserve">| 5 L JAVA % | 6 L JAVA % | 7 P JAVA % | 9 P PRO % </v>
      </c>
      <c r="CE453" s="4" t="str">
        <f ca="1">IFERROR(__xludf.DUMMYFUNCTION("""COMPUTED_VALUE"""),"| 5 L PHP-CGM @ | 6 L CPT % | 7 P CPT @ | 9 L INE @ ")</f>
        <v xml:space="preserve">| 5 L PHP-CGM @ | 6 L CPT % | 7 P CPT @ | 9 L INE @ </v>
      </c>
      <c r="CF453" s="4" t="str">
        <f ca="1">IFERROR(__xludf.DUMMYFUNCTION("""COMPUTED_VALUE"""),"| 5 L PHP-CGM @ | 6 L NS % | 7 P JAVA % | 9 P Python % ")</f>
        <v xml:space="preserve">| 5 L PHP-CGM @ | 6 L NS % | 7 P JAVA % | 9 P Python % </v>
      </c>
      <c r="CG453" s="4" t="str">
        <f ca="1">IFERROR(__xludf.DUMMYFUNCTION("""COMPUTED_VALUE"""),"| 6 L PHP-CGM % | 7 L JAVA % | 8 L CPT % ")</f>
        <v xml:space="preserve">| 6 L PHP-CGM % | 7 L JAVA % | 8 L CPT % </v>
      </c>
      <c r="CH453" s="4" t="str">
        <f ca="1">IFERROR(__xludf.DUMMYFUNCTION("""COMPUTED_VALUE"""),"| 5 L CPT % | 6 L NS @ ")</f>
        <v xml:space="preserve">| 5 L CPT % | 6 L NS @ </v>
      </c>
      <c r="CI453" s="4" t="str">
        <f ca="1">IFERROR(__xludf.DUMMYFUNCTION("""COMPUTED_VALUE"""),"| 5 L JAVA % | 6 L JAVA % | 7 P JAVA % | 9 P PRO @ ")</f>
        <v xml:space="preserve">| 5 L JAVA % | 6 L JAVA % | 7 P JAVA % | 9 P PRO @ </v>
      </c>
      <c r="CJ453" s="4" t="str">
        <f ca="1">IFERROR(__xludf.DUMMYFUNCTION("""COMPUTED_VALUE"""),"| 5 L PHP-CGM @ | 9 L INE @ ")</f>
        <v xml:space="preserve">| 5 L PHP-CGM @ | 9 L INE @ </v>
      </c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</row>
    <row r="454" spans="1:102" ht="12.5" x14ac:dyDescent="0.25">
      <c r="A454" s="3">
        <f ca="1">IFERROR(__xludf.DUMMYFUNCTION("""COMPUTED_VALUE"""),3)</f>
        <v>3</v>
      </c>
      <c r="B454" s="3" t="str">
        <f ca="1">IFERROR(__xludf.DUMMYFUNCTION("""COMPUTED_VALUE"""),"ITB")</f>
        <v>ITB</v>
      </c>
      <c r="C454" s="32" t="str">
        <f ca="1">IFERROR(__xludf.DUMMYFUNCTION("""COMPUTED_VALUE"""),"23291371109")</f>
        <v>23291371109</v>
      </c>
      <c r="D454" s="4" t="str">
        <f ca="1">IFERROR(__xludf.DUMMYFUNCTION("""COMPUTED_VALUE"""),"PATEL YAGN ANILKUMAR")</f>
        <v>PATEL YAGN ANILKUMAR</v>
      </c>
      <c r="E454" s="3" t="str">
        <f ca="1">IFERROR(__xludf.DUMMYFUNCTION("""COMPUTED_VALUE"""),"VSP - Eve")</f>
        <v>VSP - Eve</v>
      </c>
      <c r="F454" s="3">
        <f ca="1">IFERROR(__xludf.DUMMYFUNCTION("""COMPUTED_VALUE"""),7434923081)</f>
        <v>7434923081</v>
      </c>
      <c r="G454" s="3">
        <f ca="1">IFERROR(__xludf.DUMMYFUNCTION("""COMPUTED_VALUE"""),9979781801)</f>
        <v>9979781801</v>
      </c>
      <c r="H454" s="33">
        <f ca="1">IFERROR(__xludf.DUMMYFUNCTION("""COMPUTED_VALUE"""),0.579646017699115)</f>
        <v>0.57964601769911495</v>
      </c>
      <c r="I454" s="25">
        <f ca="1">IFERROR(__xludf.DUMMYFUNCTION("""COMPUTED_VALUE"""),0.583333333333333)</f>
        <v>0.58333333333333304</v>
      </c>
      <c r="J454" s="25">
        <f ca="1">IFERROR(__xludf.DUMMYFUNCTION("""COMPUTED_VALUE"""),0.5)</f>
        <v>0.5</v>
      </c>
      <c r="K454" s="25">
        <f ca="1">IFERROR(__xludf.DUMMYFUNCTION("""COMPUTED_VALUE"""),0.848484848484848)</f>
        <v>0.84848484848484795</v>
      </c>
      <c r="L454" s="25">
        <f ca="1">IFERROR(__xludf.DUMMYFUNCTION("""COMPUTED_VALUE"""),0.111111111111111)</f>
        <v>0.11111111111111099</v>
      </c>
      <c r="M454" s="25">
        <f ca="1">IFERROR(__xludf.DUMMYFUNCTION("""COMPUTED_VALUE"""),0.735294117647058)</f>
        <v>0.73529411764705799</v>
      </c>
      <c r="N454" s="25">
        <f ca="1">IFERROR(__xludf.DUMMYFUNCTION("""COMPUTED_VALUE"""),0)</f>
        <v>0</v>
      </c>
      <c r="O454" s="25">
        <f ca="1">IFERROR(__xludf.DUMMYFUNCTION("""COMPUTED_VALUE"""),0.743589743589743)</f>
        <v>0.74358974358974295</v>
      </c>
      <c r="P454" s="25">
        <f ca="1">IFERROR(__xludf.DUMMYFUNCTION("""COMPUTED_VALUE"""),0.538461538461538)</f>
        <v>0.53846153846153799</v>
      </c>
      <c r="Q454" s="25">
        <f ca="1">IFERROR(__xludf.DUMMYFUNCTION("""COMPUTED_VALUE"""),0)</f>
        <v>0</v>
      </c>
      <c r="R454" s="25">
        <f ca="1">IFERROR(__xludf.DUMMYFUNCTION("""COMPUTED_VALUE"""),0.368421052631578)</f>
        <v>0.36842105263157798</v>
      </c>
      <c r="S454" s="25">
        <f ca="1">IFERROR(__xludf.DUMMYFUNCTION("""COMPUTED_VALUE"""),0)</f>
        <v>0</v>
      </c>
      <c r="T454" s="25">
        <f ca="1">IFERROR(__xludf.DUMMYFUNCTION("""COMPUTED_VALUE"""),0.111111111111111)</f>
        <v>0.11111111111111099</v>
      </c>
      <c r="U454" s="25">
        <f ca="1">IFERROR(__xludf.DUMMYFUNCTION("""COMPUTED_VALUE"""),0)</f>
        <v>0</v>
      </c>
      <c r="V454" s="25">
        <f ca="1">IFERROR(__xludf.DUMMYFUNCTION("""COMPUTED_VALUE"""),0)</f>
        <v>0</v>
      </c>
      <c r="W454" s="4"/>
      <c r="X454" s="4" t="str">
        <f ca="1">IFERROR(__xludf.DUMMYFUNCTION("""COMPUTED_VALUE"""),"| 5 L PHP-CGM % | 6 L NS % | 7 P JAVA @ | 9 P Python @ ")</f>
        <v xml:space="preserve">| 5 L PHP-CGM % | 6 L NS % | 7 P JAVA @ | 9 P Python @ </v>
      </c>
      <c r="Y454" s="4" t="str">
        <f ca="1">IFERROR(__xludf.DUMMYFUNCTION("""COMPUTED_VALUE"""),"| 5 L NS % | 6 L PHP-CGM % | 7 L JAVA @ | 8 L CPT @ ")</f>
        <v xml:space="preserve">| 5 L NS % | 6 L PHP-CGM % | 7 L JAVA @ | 8 L CPT @ </v>
      </c>
      <c r="Z454" s="4" t="str">
        <f ca="1">IFERROR(__xludf.DUMMYFUNCTION("""COMPUTED_VALUE"""),"| 5 L JAVA % | 6 L NS % | 7 P Python % | 9 P NS @ ")</f>
        <v xml:space="preserve">| 5 L JAVA % | 6 L NS % | 7 P Python % | 9 P NS @ </v>
      </c>
      <c r="AA454" s="4" t="str">
        <f ca="1">IFERROR(__xludf.DUMMYFUNCTION("""COMPUTED_VALUE"""),"| 5 L CPT % | 6 L JAVA % | 7 P JAVA % | 9 P PRO @ ")</f>
        <v xml:space="preserve">| 5 L CPT % | 6 L JAVA % | 7 P JAVA % | 9 P PRO @ </v>
      </c>
      <c r="AB454" s="4" t="str">
        <f ca="1">IFERROR(__xludf.DUMMYFUNCTION("""COMPUTED_VALUE"""),"| 5 L PHP-CGM % | 6 L CPT @ | 7 P CPT @ ")</f>
        <v xml:space="preserve">| 5 L PHP-CGM % | 6 L CPT @ | 7 P CPT @ </v>
      </c>
      <c r="AC454" s="4" t="str">
        <f ca="1">IFERROR(__xludf.DUMMYFUNCTION("""COMPUTED_VALUE"""),"| 5 L PHP-CGM % | 6 L NS % | 7 P JAVA @ | 9 P Python @ ")</f>
        <v xml:space="preserve">| 5 L PHP-CGM % | 6 L NS % | 7 P JAVA @ | 9 P Python @ </v>
      </c>
      <c r="AD454" s="4" t="str">
        <f ca="1">IFERROR(__xludf.DUMMYFUNCTION("""COMPUTED_VALUE"""),"| 5 L NS @ | 7 L JAVA @ | 8 L CPT @ | 9 P PHP-CGM @ | 6 L PHP-CGM @ ")</f>
        <v xml:space="preserve">| 5 L NS @ | 7 L JAVA @ | 8 L CPT @ | 9 P PHP-CGM @ | 6 L PHP-CGM @ </v>
      </c>
      <c r="AE454" s="4" t="str">
        <f ca="1">IFERROR(__xludf.DUMMYFUNCTION("""COMPUTED_VALUE"""),"| 5 L JAVA % | 6 L NS % | 7 P Python @ | 9 P NS @ ")</f>
        <v xml:space="preserve">| 5 L JAVA % | 6 L NS % | 7 P Python @ | 9 P NS @ </v>
      </c>
      <c r="AF454" s="4" t="str">
        <f ca="1">IFERROR(__xludf.DUMMYFUNCTION("""COMPUTED_VALUE"""),"| 5 L CPT % | 6 L JAVA % | 7 P JAVA @ | 9 P PRO @ ")</f>
        <v xml:space="preserve">| 5 L CPT % | 6 L JAVA % | 7 P JAVA @ | 9 P PRO @ </v>
      </c>
      <c r="AG454" s="4" t="str">
        <f ca="1">IFERROR(__xludf.DUMMYFUNCTION("""COMPUTED_VALUE"""),"| 5 L PHP-CGM @ | 6 L CPT @ | 8 P CPT @ ")</f>
        <v xml:space="preserve">| 5 L PHP-CGM @ | 6 L CPT @ | 8 P CPT @ </v>
      </c>
      <c r="AH454" s="4" t="str">
        <f ca="1">IFERROR(__xludf.DUMMYFUNCTION("""COMPUTED_VALUE"""),"| 5 L CPT % | 6 L JAVA % | 7 P JAVA @ | 9 P PRO @ ")</f>
        <v xml:space="preserve">| 5 L CPT % | 6 L JAVA % | 7 P JAVA @ | 9 P PRO @ </v>
      </c>
      <c r="AI454" s="4" t="str">
        <f ca="1">IFERROR(__xludf.DUMMYFUNCTION("""COMPUTED_VALUE"""),"| 5 L PHP-CGM % | 6 L CPT % | 7 P CPT % ")</f>
        <v xml:space="preserve">| 5 L PHP-CGM % | 6 L CPT % | 7 P CPT % </v>
      </c>
      <c r="AJ454" s="4" t="str">
        <f ca="1">IFERROR(__xludf.DUMMYFUNCTION("""COMPUTED_VALUE"""),"| 5 L PHP-CGM % | 6 L NS % | 7 P JAVA @ | 9 P Python % ")</f>
        <v xml:space="preserve">| 5 L PHP-CGM % | 6 L NS % | 7 P JAVA @ | 9 P Python % </v>
      </c>
      <c r="AK454" s="4" t="str">
        <f ca="1">IFERROR(__xludf.DUMMYFUNCTION("""COMPUTED_VALUE"""),"| 5 L NS % | 6 L PHP-CGM % | 7 L JAVA @ | 8 L CPT @ | 9 P PHP-CGM @ ")</f>
        <v xml:space="preserve">| 5 L NS % | 6 L PHP-CGM % | 7 L JAVA @ | 8 L CPT @ | 9 P PHP-CGM @ </v>
      </c>
      <c r="AL454" s="4" t="str">
        <f ca="1">IFERROR(__xludf.DUMMYFUNCTION("""COMPUTED_VALUE"""),"| 5 L JAVA % | 6 L NS % | 7 P Python % | 9 P NS @ ")</f>
        <v xml:space="preserve">| 5 L JAVA % | 6 L NS % | 7 P Python % | 9 P NS @ </v>
      </c>
      <c r="AM454" s="4" t="str">
        <f ca="1">IFERROR(__xludf.DUMMYFUNCTION("""COMPUTED_VALUE"""),"| 5 L CPT % | 6 L JAVA % | 7 P JAVA % | 9 P PRO % ")</f>
        <v xml:space="preserve">| 5 L CPT % | 6 L JAVA % | 7 P JAVA % | 9 P PRO % </v>
      </c>
      <c r="AN454" s="4" t="str">
        <f ca="1">IFERROR(__xludf.DUMMYFUNCTION("""COMPUTED_VALUE"""),"| 5 L PHP-CGM % | 6 L CPT % | 7 P CPT % ")</f>
        <v xml:space="preserve">| 5 L PHP-CGM % | 6 L CPT % | 7 P CPT % </v>
      </c>
      <c r="AO454" s="4" t="str">
        <f ca="1">IFERROR(__xludf.DUMMYFUNCTION("""COMPUTED_VALUE"""),"| 5 L PHP-CGM % | 6 L NS % | 7 P JAVA % ")</f>
        <v xml:space="preserve">| 5 L PHP-CGM % | 6 L NS % | 7 P JAVA % </v>
      </c>
      <c r="AP454" s="4" t="str">
        <f ca="1">IFERROR(__xludf.DUMMYFUNCTION("""COMPUTED_VALUE"""),"| 5 L NS % | 7 L JAVA % | 8 L CPT % ")</f>
        <v xml:space="preserve">| 5 L NS % | 7 L JAVA % | 8 L CPT % </v>
      </c>
      <c r="AQ454" s="4" t="str">
        <f ca="1">IFERROR(__xludf.DUMMYFUNCTION("""COMPUTED_VALUE"""),"| 5 L CPT @ | 6 L NS % | 7 P Python % | 9 P NS @ ")</f>
        <v xml:space="preserve">| 5 L CPT @ | 6 L NS % | 7 P Python % | 9 P NS @ </v>
      </c>
      <c r="AR454" s="4" t="str">
        <f ca="1">IFERROR(__xludf.DUMMYFUNCTION("""COMPUTED_VALUE"""),"| 5 L JAVA % | 6 L JAVA % | 5 L CPT % | 7 P JAVA % ")</f>
        <v xml:space="preserve">| 5 L JAVA % | 6 L JAVA % | 5 L CPT % | 7 P JAVA % </v>
      </c>
      <c r="AS454" s="4" t="str">
        <f ca="1">IFERROR(__xludf.DUMMYFUNCTION("""COMPUTED_VALUE"""),"| 5 L PHP-CGM % | 6 L NS % | 7 P JAVA % | 9 P Python @ ")</f>
        <v xml:space="preserve">| 5 L PHP-CGM % | 6 L NS % | 7 P JAVA % | 9 P Python @ </v>
      </c>
      <c r="AT454" s="4" t="str">
        <f ca="1">IFERROR(__xludf.DUMMYFUNCTION("""COMPUTED_VALUE"""),"| 5 L NS % | 6 L PHP-CGM % | 7 L JAVA @ | 8 L CPT % ")</f>
        <v xml:space="preserve">| 5 L NS % | 6 L PHP-CGM % | 7 L JAVA @ | 8 L CPT % </v>
      </c>
      <c r="AU454" s="4" t="str">
        <f ca="1">IFERROR(__xludf.DUMMYFUNCTION("""COMPUTED_VALUE"""),"| 5 L CPT % | 6 L NS % | 7 P Python % | 9 P NS @ ")</f>
        <v xml:space="preserve">| 5 L CPT % | 6 L NS % | 7 P Python % | 9 P NS @ </v>
      </c>
      <c r="AV454" s="4" t="str">
        <f ca="1">IFERROR(__xludf.DUMMYFUNCTION("""COMPUTED_VALUE"""),"| 5 L JAVA % | 6 L JAVA % | 7 P JAVA % | 9 P PRO @ ")</f>
        <v xml:space="preserve">| 5 L JAVA % | 6 L JAVA % | 7 P JAVA % | 9 P PRO @ </v>
      </c>
      <c r="AW454" s="4" t="str">
        <f ca="1">IFERROR(__xludf.DUMMYFUNCTION("""COMPUTED_VALUE"""),"| 5 L PHP-CGM % | 6 L CPT % | 7 P CPT % | 9 L INE @ ")</f>
        <v xml:space="preserve">| 5 L PHP-CGM % | 6 L CPT % | 7 P CPT % | 9 L INE @ </v>
      </c>
      <c r="AX454" s="4" t="str">
        <f ca="1">IFERROR(__xludf.DUMMYFUNCTION("""COMPUTED_VALUE"""),"| 5 L PHP-CGM % | 6 L NS % | 7 P JAVA % | 9 P Python @ ")</f>
        <v xml:space="preserve">| 5 L PHP-CGM % | 6 L NS % | 7 P JAVA % | 9 P Python @ </v>
      </c>
      <c r="AY454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AZ454" s="4" t="str">
        <f ca="1">IFERROR(__xludf.DUMMYFUNCTION("""COMPUTED_VALUE"""),"| 5 L JAVA % | 6 L JAVA % | 7 P JAVA % ")</f>
        <v xml:space="preserve">| 5 L JAVA % | 6 L JAVA % | 7 P JAVA % </v>
      </c>
      <c r="BA454" s="4" t="str">
        <f ca="1">IFERROR(__xludf.DUMMYFUNCTION("""COMPUTED_VALUE"""),"| 5 L PHP-CGM % | 6 L CPT % | 9 P CPT % | 9 L INE @ ")</f>
        <v xml:space="preserve">| 5 L PHP-CGM % | 6 L CPT % | 9 P CPT % | 9 L INE @ </v>
      </c>
      <c r="BB454" s="4" t="str">
        <f ca="1">IFERROR(__xludf.DUMMYFUNCTION("""COMPUTED_VALUE"""),"| 5 L PHP-CGM % | 6 L NS % | 7 P JAVA % | 9 P Python @ ")</f>
        <v xml:space="preserve">| 5 L PHP-CGM % | 6 L NS % | 7 P JAVA % | 9 P Python @ </v>
      </c>
      <c r="BC454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D454" s="4" t="str">
        <f ca="1">IFERROR(__xludf.DUMMYFUNCTION("""COMPUTED_VALUE"""),"| 5 L CPT % | 6 L NS % | 7 P Python @ | 9 P NS % ")</f>
        <v xml:space="preserve">| 5 L CPT % | 6 L NS % | 7 P Python @ | 9 P NS % </v>
      </c>
      <c r="BE454" s="4" t="str">
        <f ca="1">IFERROR(__xludf.DUMMYFUNCTION("""COMPUTED_VALUE"""),"| 5 L JAVA @ | 6 L JAVA % | 7 P JAVA % | 9 P PRO @ ")</f>
        <v xml:space="preserve">| 5 L JAVA @ | 6 L JAVA % | 7 P JAVA % | 9 P PRO @ </v>
      </c>
      <c r="BF454" s="4" t="str">
        <f ca="1">IFERROR(__xludf.DUMMYFUNCTION("""COMPUTED_VALUE"""),"| 5 L PHP-CGM % | 6 L CPT @ | 7 P CPT % ")</f>
        <v xml:space="preserve">| 5 L PHP-CGM % | 6 L CPT @ | 7 P CPT % </v>
      </c>
      <c r="BG454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H454" s="4" t="str">
        <f ca="1">IFERROR(__xludf.DUMMYFUNCTION("""COMPUTED_VALUE"""),"| 5 L CPT % | 6 L NS % | 7 P Python % | 9 P NS @ ")</f>
        <v xml:space="preserve">| 5 L CPT % | 6 L NS % | 7 P Python % | 9 P NS @ </v>
      </c>
      <c r="BI454" s="4" t="str">
        <f ca="1">IFERROR(__xludf.DUMMYFUNCTION("""COMPUTED_VALUE"""),"| 5 L JAVA % | 6 L JAVA % | 7 P JAVA % | 9 P PRO @ ")</f>
        <v xml:space="preserve">| 5 L JAVA % | 6 L JAVA % | 7 P JAVA % | 9 P PRO @ </v>
      </c>
      <c r="BJ454" s="4" t="str">
        <f ca="1">IFERROR(__xludf.DUMMYFUNCTION("""COMPUTED_VALUE"""),"| 5 L PHP-CGM % | 6 L CPT % | 9 L INE @ ")</f>
        <v xml:space="preserve">| 5 L PHP-CGM % | 6 L CPT % | 9 L INE @ </v>
      </c>
      <c r="BK454" s="4" t="str">
        <f ca="1">IFERROR(__xludf.DUMMYFUNCTION("""COMPUTED_VALUE"""),"| 5 L PHP-CGM % | 6 L NS % | 7 P JAVA % ")</f>
        <v xml:space="preserve">| 5 L PHP-CGM % | 6 L NS % | 7 P JAVA % </v>
      </c>
      <c r="BL454" s="4" t="str">
        <f ca="1">IFERROR(__xludf.DUMMYFUNCTION("""COMPUTED_VALUE"""),"| 5 L NS % | 6 L PHP-CGM % | 7 L JAVA % | 8 L CPT % ")</f>
        <v xml:space="preserve">| 5 L NS % | 6 L PHP-CGM % | 7 L JAVA % | 8 L CPT % </v>
      </c>
      <c r="BM454" s="4" t="str">
        <f ca="1">IFERROR(__xludf.DUMMYFUNCTION("""COMPUTED_VALUE"""),"| 5 L CPT % | 6 L NS % | 7 P Python % | 9 P NS @ ")</f>
        <v xml:space="preserve">| 5 L CPT % | 6 L NS % | 7 P Python % | 9 P NS @ </v>
      </c>
      <c r="BN454" s="4" t="str">
        <f ca="1">IFERROR(__xludf.DUMMYFUNCTION("""COMPUTED_VALUE"""),"| 5 L JAVA % | 6 L JAVA % ")</f>
        <v xml:space="preserve">| 5 L JAVA % | 6 L JAVA % </v>
      </c>
      <c r="BO454" s="4" t="str">
        <f ca="1">IFERROR(__xludf.DUMMYFUNCTION("""COMPUTED_VALUE"""),"| 5 L PHP-CGM @ | 9 L INE @ | 6 L CPT @ | 7 P CPT @ ")</f>
        <v xml:space="preserve">| 5 L PHP-CGM @ | 9 L INE @ | 6 L CPT @ | 7 P CPT @ </v>
      </c>
      <c r="BP454" s="4" t="str">
        <f ca="1">IFERROR(__xludf.DUMMYFUNCTION("""COMPUTED_VALUE"""),"| 5 L PHP-CGM % | 6 L NS % | 7 P JAVA @ ")</f>
        <v xml:space="preserve">| 5 L PHP-CGM % | 6 L NS % | 7 P JAVA @ </v>
      </c>
      <c r="BQ454" s="4" t="str">
        <f ca="1">IFERROR(__xludf.DUMMYFUNCTION("""COMPUTED_VALUE"""),"| 5 L CPT @ ")</f>
        <v xml:space="preserve">| 5 L CPT @ </v>
      </c>
      <c r="BR454" s="4" t="str">
        <f ca="1">IFERROR(__xludf.DUMMYFUNCTION("""COMPUTED_VALUE"""),"| 5 L JAVA % | 6 L JAVA % ")</f>
        <v xml:space="preserve">| 5 L JAVA % | 6 L JAVA % </v>
      </c>
      <c r="BS454" s="4"/>
      <c r="BT454" s="4" t="str">
        <f ca="1">IFERROR(__xludf.DUMMYFUNCTION("""COMPUTED_VALUE"""),"| 7 P JAVA % ")</f>
        <v xml:space="preserve">| 7 P JAVA % </v>
      </c>
      <c r="BU454" s="4" t="str">
        <f ca="1">IFERROR(__xludf.DUMMYFUNCTION("""COMPUTED_VALUE"""),"| 7 L JAVA @ ")</f>
        <v xml:space="preserve">| 7 L JAVA @ </v>
      </c>
      <c r="BV454" s="4" t="str">
        <f ca="1">IFERROR(__xludf.DUMMYFUNCTION("""COMPUTED_VALUE"""),"| 5 L PHP-CGM % | 6 L NS % | 7 P JAVA @ | 9 P Python @ ")</f>
        <v xml:space="preserve">| 5 L PHP-CGM % | 6 L NS % | 7 P JAVA @ | 9 P Python @ </v>
      </c>
      <c r="BW454" s="4"/>
      <c r="BX454" s="4" t="str">
        <f ca="1">IFERROR(__xludf.DUMMYFUNCTION("""COMPUTED_VALUE"""),"| 5 L CPT % | 6 L NS % | 7 P Python @ ")</f>
        <v xml:space="preserve">| 5 L CPT % | 6 L NS % | 7 P Python @ </v>
      </c>
      <c r="BY454" s="4" t="str">
        <f ca="1">IFERROR(__xludf.DUMMYFUNCTION("""COMPUTED_VALUE"""),"| 5 L JAVA % | 6 L JAVA % | 7 P JAVA @ ")</f>
        <v xml:space="preserve">| 5 L JAVA % | 6 L JAVA % | 7 P JAVA @ </v>
      </c>
      <c r="BZ454" s="4" t="str">
        <f ca="1">IFERROR(__xludf.DUMMYFUNCTION("""COMPUTED_VALUE"""),"| 5 L PHP-CGM @ | 6 L CPT @ | 7 P CPT @ ")</f>
        <v xml:space="preserve">| 5 L PHP-CGM @ | 6 L CPT @ | 7 P CPT @ </v>
      </c>
      <c r="CA454" s="4" t="str">
        <f ca="1">IFERROR(__xludf.DUMMYFUNCTION("""COMPUTED_VALUE"""),"| 5 L PHP-CGM @ | 6 L NS @ | 7 P JAVA @ | 9 P Python @ ")</f>
        <v xml:space="preserve">| 5 L PHP-CGM @ | 6 L NS @ | 7 P JAVA @ | 9 P Python @ </v>
      </c>
      <c r="CB454" s="4" t="str">
        <f ca="1">IFERROR(__xludf.DUMMYFUNCTION("""COMPUTED_VALUE"""),"| 5 L NS % | 6 L PHP-CGM % | 7 L JAVA @ | 8 L CPT @ | 9 P JAVA @ ")</f>
        <v xml:space="preserve">| 5 L NS % | 6 L PHP-CGM % | 7 L JAVA @ | 8 L CPT @ | 9 P JAVA @ </v>
      </c>
      <c r="CC454" s="4" t="str">
        <f ca="1">IFERROR(__xludf.DUMMYFUNCTION("""COMPUTED_VALUE"""),"| 6 L NS @ | 5 L CPT @ | 7 P Python @ | 9 P NS @ ")</f>
        <v xml:space="preserve">| 6 L NS @ | 5 L CPT @ | 7 P Python @ | 9 P NS @ </v>
      </c>
      <c r="CD454" s="4" t="str">
        <f ca="1">IFERROR(__xludf.DUMMYFUNCTION("""COMPUTED_VALUE"""),"| 5 L JAVA @ | 6 L JAVA @ | 7 P JAVA @ | 9 P PRO @ ")</f>
        <v xml:space="preserve">| 5 L JAVA @ | 6 L JAVA @ | 7 P JAVA @ | 9 P PRO @ </v>
      </c>
      <c r="CE454" s="4" t="str">
        <f ca="1">IFERROR(__xludf.DUMMYFUNCTION("""COMPUTED_VALUE"""),"| 5 L PHP-CGM @ | 6 L CPT @ | 7 P CPT @ | 9 L INE @ ")</f>
        <v xml:space="preserve">| 5 L PHP-CGM @ | 6 L CPT @ | 7 P CPT @ | 9 L INE @ </v>
      </c>
      <c r="CF454" s="4" t="str">
        <f ca="1">IFERROR(__xludf.DUMMYFUNCTION("""COMPUTED_VALUE"""),"| 5 L PHP-CGM @ | 6 L NS @ | 7 P JAVA @ | 9 P Python @ ")</f>
        <v xml:space="preserve">| 5 L PHP-CGM @ | 6 L NS @ | 7 P JAVA @ | 9 P Python @ </v>
      </c>
      <c r="CG454" s="4" t="str">
        <f ca="1">IFERROR(__xludf.DUMMYFUNCTION("""COMPUTED_VALUE"""),"| 6 L PHP-CGM @ | 7 L JAVA @ | 8 L CPT @ ")</f>
        <v xml:space="preserve">| 6 L PHP-CGM @ | 7 L JAVA @ | 8 L CPT @ </v>
      </c>
      <c r="CH454" s="4" t="str">
        <f ca="1">IFERROR(__xludf.DUMMYFUNCTION("""COMPUTED_VALUE"""),"| 5 L CPT @ | 6 L NS @ ")</f>
        <v xml:space="preserve">| 5 L CPT @ | 6 L NS @ </v>
      </c>
      <c r="CI454" s="4" t="str">
        <f ca="1">IFERROR(__xludf.DUMMYFUNCTION("""COMPUTED_VALUE"""),"| 5 L JAVA % | 6 L JAVA % | 7 P JAVA % | 9 P PRO @ ")</f>
        <v xml:space="preserve">| 5 L JAVA % | 6 L JAVA % | 7 P JAVA % | 9 P PRO @ </v>
      </c>
      <c r="CJ454" s="4" t="str">
        <f ca="1">IFERROR(__xludf.DUMMYFUNCTION("""COMPUTED_VALUE"""),"| 5 L PHP-CGM @ | 9 L INE @ ")</f>
        <v xml:space="preserve">| 5 L PHP-CGM @ | 9 L INE @ </v>
      </c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</row>
    <row r="455" spans="1:102" ht="12.5" x14ac:dyDescent="0.25">
      <c r="A455" s="3">
        <f ca="1">IFERROR(__xludf.DUMMYFUNCTION("""COMPUTED_VALUE"""),3)</f>
        <v>3</v>
      </c>
      <c r="B455" s="3" t="str">
        <f ca="1">IFERROR(__xludf.DUMMYFUNCTION("""COMPUTED_VALUE"""),"ITB")</f>
        <v>ITB</v>
      </c>
      <c r="C455" s="32" t="str">
        <f ca="1">IFERROR(__xludf.DUMMYFUNCTION("""COMPUTED_VALUE"""),"23291371110")</f>
        <v>23291371110</v>
      </c>
      <c r="D455" s="4" t="str">
        <f ca="1">IFERROR(__xludf.DUMMYFUNCTION("""COMPUTED_VALUE"""),"PATEL YUG GOPALBHAI")</f>
        <v>PATEL YUG GOPALBHAI</v>
      </c>
      <c r="E455" s="3" t="str">
        <f ca="1">IFERROR(__xludf.DUMMYFUNCTION("""COMPUTED_VALUE"""),"VSP - Eve")</f>
        <v>VSP - Eve</v>
      </c>
      <c r="F455" s="3">
        <f ca="1">IFERROR(__xludf.DUMMYFUNCTION("""COMPUTED_VALUE"""),9725513738)</f>
        <v>9725513738</v>
      </c>
      <c r="G455" s="3">
        <f ca="1">IFERROR(__xludf.DUMMYFUNCTION("""COMPUTED_VALUE"""),9825883738)</f>
        <v>9825883738</v>
      </c>
      <c r="H455" s="33">
        <f ca="1">IFERROR(__xludf.DUMMYFUNCTION("""COMPUTED_VALUE"""),0.557522123893805)</f>
        <v>0.55752212389380496</v>
      </c>
      <c r="I455" s="25">
        <f ca="1">IFERROR(__xludf.DUMMYFUNCTION("""COMPUTED_VALUE"""),0.527777777777777)</f>
        <v>0.52777777777777701</v>
      </c>
      <c r="J455" s="25">
        <f ca="1">IFERROR(__xludf.DUMMYFUNCTION("""COMPUTED_VALUE"""),0.4)</f>
        <v>0.4</v>
      </c>
      <c r="K455" s="25">
        <f ca="1">IFERROR(__xludf.DUMMYFUNCTION("""COMPUTED_VALUE"""),0.727272727272727)</f>
        <v>0.72727272727272696</v>
      </c>
      <c r="L455" s="25">
        <f ca="1">IFERROR(__xludf.DUMMYFUNCTION("""COMPUTED_VALUE"""),0.777777777777777)</f>
        <v>0.77777777777777701</v>
      </c>
      <c r="M455" s="25">
        <f ca="1">IFERROR(__xludf.DUMMYFUNCTION("""COMPUTED_VALUE"""),0.588235294117647)</f>
        <v>0.58823529411764697</v>
      </c>
      <c r="N455" s="25">
        <f ca="1">IFERROR(__xludf.DUMMYFUNCTION("""COMPUTED_VALUE"""),0.8)</f>
        <v>0.8</v>
      </c>
      <c r="O455" s="25">
        <f ca="1">IFERROR(__xludf.DUMMYFUNCTION("""COMPUTED_VALUE"""),0.564102564102564)</f>
        <v>0.56410256410256399</v>
      </c>
      <c r="P455" s="25">
        <f ca="1">IFERROR(__xludf.DUMMYFUNCTION("""COMPUTED_VALUE"""),0.461538461538461)</f>
        <v>0.46153846153846101</v>
      </c>
      <c r="Q455" s="25">
        <f ca="1">IFERROR(__xludf.DUMMYFUNCTION("""COMPUTED_VALUE"""),0)</f>
        <v>0</v>
      </c>
      <c r="R455" s="25">
        <f ca="1">IFERROR(__xludf.DUMMYFUNCTION("""COMPUTED_VALUE"""),0.526315789473684)</f>
        <v>0.52631578947368396</v>
      </c>
      <c r="S455" s="25">
        <f ca="1">IFERROR(__xludf.DUMMYFUNCTION("""COMPUTED_VALUE"""),0)</f>
        <v>0</v>
      </c>
      <c r="T455" s="25">
        <f ca="1">IFERROR(__xludf.DUMMYFUNCTION("""COMPUTED_VALUE"""),0.222222222222222)</f>
        <v>0.22222222222222199</v>
      </c>
      <c r="U455" s="25">
        <f ca="1">IFERROR(__xludf.DUMMYFUNCTION("""COMPUTED_VALUE"""),0.333333333333333)</f>
        <v>0.33333333333333298</v>
      </c>
      <c r="V455" s="25">
        <f ca="1">IFERROR(__xludf.DUMMYFUNCTION("""COMPUTED_VALUE"""),0)</f>
        <v>0</v>
      </c>
      <c r="W455" s="4"/>
      <c r="X455" s="4" t="str">
        <f ca="1">IFERROR(__xludf.DUMMYFUNCTION("""COMPUTED_VALUE"""),"| 5 L PHP-CGM % | 6 L NS % | 7 P JAVA % | 9 P Python @ ")</f>
        <v xml:space="preserve">| 5 L PHP-CGM % | 6 L NS % | 7 P JAVA % | 9 P Python @ </v>
      </c>
      <c r="Y455" s="4" t="str">
        <f ca="1">IFERROR(__xludf.DUMMYFUNCTION("""COMPUTED_VALUE"""),"| 5 L NS @ | 6 L PHP-CGM @ | 7 L JAVA @ | 8 L CPT @ ")</f>
        <v xml:space="preserve">| 5 L NS @ | 6 L PHP-CGM @ | 7 L JAVA @ | 8 L CPT @ </v>
      </c>
      <c r="Z455" s="4" t="str">
        <f ca="1">IFERROR(__xludf.DUMMYFUNCTION("""COMPUTED_VALUE"""),"| 5 L JAVA % | 6 L NS % | 7 P Python % | 9 P NS % ")</f>
        <v xml:space="preserve">| 5 L JAVA % | 6 L NS % | 7 P Python % | 9 P NS % </v>
      </c>
      <c r="AA455" s="4" t="str">
        <f ca="1">IFERROR(__xludf.DUMMYFUNCTION("""COMPUTED_VALUE"""),"| 5 L CPT @ | 6 L JAVA @ | 7 P JAVA @ | 9 P PRO @ ")</f>
        <v xml:space="preserve">| 5 L CPT @ | 6 L JAVA @ | 7 P JAVA @ | 9 P PRO @ </v>
      </c>
      <c r="AB455" s="4" t="str">
        <f ca="1">IFERROR(__xludf.DUMMYFUNCTION("""COMPUTED_VALUE"""),"| 5 L PHP-CGM @ | 6 L CPT @ | 7 P CPT @ ")</f>
        <v xml:space="preserve">| 5 L PHP-CGM @ | 6 L CPT @ | 7 P CPT @ </v>
      </c>
      <c r="AC455" s="4" t="str">
        <f ca="1">IFERROR(__xludf.DUMMYFUNCTION("""COMPUTED_VALUE"""),"| 5 L PHP-CGM % | 6 L NS % | 7 P JAVA % | 9 P Python @ ")</f>
        <v xml:space="preserve">| 5 L PHP-CGM % | 6 L NS % | 7 P JAVA % | 9 P Python @ </v>
      </c>
      <c r="AD455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55" s="4" t="str">
        <f ca="1">IFERROR(__xludf.DUMMYFUNCTION("""COMPUTED_VALUE"""),"| 5 L JAVA % | 6 L NS % | 7 P Python % | 9 P NS % ")</f>
        <v xml:space="preserve">| 5 L JAVA % | 6 L NS % | 7 P Python % | 9 P NS % </v>
      </c>
      <c r="AF455" s="4" t="str">
        <f ca="1">IFERROR(__xludf.DUMMYFUNCTION("""COMPUTED_VALUE"""),"| 5 L CPT @ | 6 L JAVA @ | 7 P JAVA % | 9 P PRO @ ")</f>
        <v xml:space="preserve">| 5 L CPT @ | 6 L JAVA @ | 7 P JAVA % | 9 P PRO @ </v>
      </c>
      <c r="AG455" s="4" t="str">
        <f ca="1">IFERROR(__xludf.DUMMYFUNCTION("""COMPUTED_VALUE"""),"| 5 L PHP-CGM % | 6 L CPT % | 8 P CPT % ")</f>
        <v xml:space="preserve">| 5 L PHP-CGM % | 6 L CPT % | 8 P CPT % </v>
      </c>
      <c r="AH455" s="4" t="str">
        <f ca="1">IFERROR(__xludf.DUMMYFUNCTION("""COMPUTED_VALUE"""),"| 5 L CPT % | 6 L JAVA % | 7 P JAVA % | 9 P PRO % ")</f>
        <v xml:space="preserve">| 5 L CPT % | 6 L JAVA % | 7 P JAVA % | 9 P PRO % </v>
      </c>
      <c r="AI455" s="4" t="str">
        <f ca="1">IFERROR(__xludf.DUMMYFUNCTION("""COMPUTED_VALUE"""),"| 5 L PHP-CGM % | 6 L CPT % | 7 P CPT % ")</f>
        <v xml:space="preserve">| 5 L PHP-CGM % | 6 L CPT % | 7 P CPT % </v>
      </c>
      <c r="AJ455" s="4" t="str">
        <f ca="1">IFERROR(__xludf.DUMMYFUNCTION("""COMPUTED_VALUE"""),"| 5 L PHP-CGM % | 6 L NS % | 7 P JAVA % | 9 P Python @ ")</f>
        <v xml:space="preserve">| 5 L PHP-CGM % | 6 L NS % | 7 P JAVA % | 9 P Python @ </v>
      </c>
      <c r="AK455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L455" s="4" t="str">
        <f ca="1">IFERROR(__xludf.DUMMYFUNCTION("""COMPUTED_VALUE"""),"| 5 L JAVA % | 6 L NS % | 7 P Python % | 9 P NS % ")</f>
        <v xml:space="preserve">| 5 L JAVA % | 6 L NS % | 7 P Python % | 9 P NS % </v>
      </c>
      <c r="AM455" s="4" t="str">
        <f ca="1">IFERROR(__xludf.DUMMYFUNCTION("""COMPUTED_VALUE"""),"| 5 L CPT % | 6 L JAVA % | 7 P JAVA @ | 9 P PRO @ ")</f>
        <v xml:space="preserve">| 5 L CPT % | 6 L JAVA % | 7 P JAVA @ | 9 P PRO @ </v>
      </c>
      <c r="AN455" s="4" t="str">
        <f ca="1">IFERROR(__xludf.DUMMYFUNCTION("""COMPUTED_VALUE"""),"| 5 L PHP-CGM @ | 6 L CPT @ | 7 P CPT @ ")</f>
        <v xml:space="preserve">| 5 L PHP-CGM @ | 6 L CPT @ | 7 P CPT @ </v>
      </c>
      <c r="AO455" s="4" t="str">
        <f ca="1">IFERROR(__xludf.DUMMYFUNCTION("""COMPUTED_VALUE"""),"| 5 L PHP-CGM % | 6 L NS % | 7 P JAVA % ")</f>
        <v xml:space="preserve">| 5 L PHP-CGM % | 6 L NS % | 7 P JAVA % </v>
      </c>
      <c r="AP455" s="4" t="str">
        <f ca="1">IFERROR(__xludf.DUMMYFUNCTION("""COMPUTED_VALUE"""),"| 5 L NS % | 7 L JAVA % | 8 L CPT % ")</f>
        <v xml:space="preserve">| 5 L NS % | 7 L JAVA % | 8 L CPT % </v>
      </c>
      <c r="AQ455" s="4" t="str">
        <f ca="1">IFERROR(__xludf.DUMMYFUNCTION("""COMPUTED_VALUE"""),"| 5 L CPT % | 6 L NS % | 7 P Python % | 9 P NS % ")</f>
        <v xml:space="preserve">| 5 L CPT % | 6 L NS % | 7 P Python % | 9 P NS % </v>
      </c>
      <c r="AR455" s="4" t="str">
        <f ca="1">IFERROR(__xludf.DUMMYFUNCTION("""COMPUTED_VALUE"""),"| 5 L JAVA @ | 6 L JAVA @ | 5 L CPT @ | 7 P JAVA @ ")</f>
        <v xml:space="preserve">| 5 L JAVA @ | 6 L JAVA @ | 5 L CPT @ | 7 P JAVA @ </v>
      </c>
      <c r="AS455" s="4" t="str">
        <f ca="1">IFERROR(__xludf.DUMMYFUNCTION("""COMPUTED_VALUE"""),"| 5 L PHP-CGM @ | 6 L NS @ | 7 P JAVA @ | 9 P Python @ ")</f>
        <v xml:space="preserve">| 5 L PHP-CGM @ | 6 L NS @ | 7 P JAVA @ | 9 P Python @ </v>
      </c>
      <c r="AT455" s="4" t="str">
        <f ca="1">IFERROR(__xludf.DUMMYFUNCTION("""COMPUTED_VALUE"""),"| 5 L NS @ | 6 L PHP-CGM @ | 7 L JAVA @ | 8 L CPT @ ")</f>
        <v xml:space="preserve">| 5 L NS @ | 6 L PHP-CGM @ | 7 L JAVA @ | 8 L CPT @ </v>
      </c>
      <c r="AU455" s="4" t="str">
        <f ca="1">IFERROR(__xludf.DUMMYFUNCTION("""COMPUTED_VALUE"""),"| 5 L CPT @ | 6 L NS @ | 7 P Python @ | 9 P NS @ ")</f>
        <v xml:space="preserve">| 5 L CPT @ | 6 L NS @ | 7 P Python @ | 9 P NS @ </v>
      </c>
      <c r="AV455" s="4" t="str">
        <f ca="1">IFERROR(__xludf.DUMMYFUNCTION("""COMPUTED_VALUE"""),"| 5 L JAVA @ | 6 L JAVA @ | 7 P JAVA @ | 9 P PRO @ ")</f>
        <v xml:space="preserve">| 5 L JAVA @ | 6 L JAVA @ | 7 P JAVA @ | 9 P PRO @ </v>
      </c>
      <c r="AW455" s="4" t="str">
        <f ca="1">IFERROR(__xludf.DUMMYFUNCTION("""COMPUTED_VALUE"""),"| 5 L PHP-CGM @ | 6 L CPT @ | 7 P CPT @ | 9 L INE @ ")</f>
        <v xml:space="preserve">| 5 L PHP-CGM @ | 6 L CPT @ | 7 P CPT @ | 9 L INE @ </v>
      </c>
      <c r="AX455" s="4" t="str">
        <f ca="1">IFERROR(__xludf.DUMMYFUNCTION("""COMPUTED_VALUE"""),"| 5 L PHP-CGM @ | 6 L NS @ | 7 P JAVA @ | 9 P Python @ ")</f>
        <v xml:space="preserve">| 5 L PHP-CGM @ | 6 L NS @ | 7 P JAVA @ | 9 P Python @ </v>
      </c>
      <c r="AY455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Z455" s="4" t="str">
        <f ca="1">IFERROR(__xludf.DUMMYFUNCTION("""COMPUTED_VALUE"""),"| 5 L JAVA @ | 6 L JAVA @ | 7 P JAVA @ ")</f>
        <v xml:space="preserve">| 5 L JAVA @ | 6 L JAVA @ | 7 P JAVA @ </v>
      </c>
      <c r="BA455" s="4" t="str">
        <f ca="1">IFERROR(__xludf.DUMMYFUNCTION("""COMPUTED_VALUE"""),"| 5 L PHP-CGM % | 6 L CPT % | 9 P CPT % | 9 L INE % ")</f>
        <v xml:space="preserve">| 5 L PHP-CGM % | 6 L CPT % | 9 P CPT % | 9 L INE % </v>
      </c>
      <c r="BB455" s="4" t="str">
        <f ca="1">IFERROR(__xludf.DUMMYFUNCTION("""COMPUTED_VALUE"""),"| 5 L PHP-CGM % | 6 L NS % | 7 P JAVA % | 9 P Python % ")</f>
        <v xml:space="preserve">| 5 L PHP-CGM % | 6 L NS % | 7 P JAVA % | 9 P Python % </v>
      </c>
      <c r="BC455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55" s="4" t="str">
        <f ca="1">IFERROR(__xludf.DUMMYFUNCTION("""COMPUTED_VALUE"""),"| 5 L CPT % | 6 L NS % | 7 P Python % | 9 P NS % ")</f>
        <v xml:space="preserve">| 5 L CPT % | 6 L NS % | 7 P Python % | 9 P NS % </v>
      </c>
      <c r="BE455" s="4" t="str">
        <f ca="1">IFERROR(__xludf.DUMMYFUNCTION("""COMPUTED_VALUE"""),"| 5 L JAVA % | 6 L JAVA % | 7 P JAVA % | 9 P PRO % ")</f>
        <v xml:space="preserve">| 5 L JAVA % | 6 L JAVA % | 7 P JAVA % | 9 P PRO % </v>
      </c>
      <c r="BF455" s="4" t="str">
        <f ca="1">IFERROR(__xludf.DUMMYFUNCTION("""COMPUTED_VALUE"""),"| 5 L PHP-CGM @ | 6 L CPT @ | 7 P CPT @ ")</f>
        <v xml:space="preserve">| 5 L PHP-CGM @ | 6 L CPT @ | 7 P CPT @ </v>
      </c>
      <c r="BG455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55" s="4" t="str">
        <f ca="1">IFERROR(__xludf.DUMMYFUNCTION("""COMPUTED_VALUE"""),"| 5 L CPT % | 6 L NS % | 7 P Python % | 9 P NS % ")</f>
        <v xml:space="preserve">| 5 L CPT % | 6 L NS % | 7 P Python % | 9 P NS % </v>
      </c>
      <c r="BI455" s="4" t="str">
        <f ca="1">IFERROR(__xludf.DUMMYFUNCTION("""COMPUTED_VALUE"""),"| 5 L JAVA % | 6 L JAVA % | 7 P JAVA @ | 9 P PRO @ ")</f>
        <v xml:space="preserve">| 5 L JAVA % | 6 L JAVA % | 7 P JAVA @ | 9 P PRO @ </v>
      </c>
      <c r="BJ455" s="4" t="str">
        <f ca="1">IFERROR(__xludf.DUMMYFUNCTION("""COMPUTED_VALUE"""),"| 5 L PHP-CGM % | 6 L CPT % | 9 L INE @ ")</f>
        <v xml:space="preserve">| 5 L PHP-CGM % | 6 L CPT % | 9 L INE @ </v>
      </c>
      <c r="BK455" s="4" t="str">
        <f ca="1">IFERROR(__xludf.DUMMYFUNCTION("""COMPUTED_VALUE"""),"| 5 L PHP-CGM % | 6 L NS % | 7 P JAVA % ")</f>
        <v xml:space="preserve">| 5 L PHP-CGM % | 6 L NS % | 7 P JAVA % </v>
      </c>
      <c r="BL455" s="4" t="str">
        <f ca="1">IFERROR(__xludf.DUMMYFUNCTION("""COMPUTED_VALUE"""),"| 5 L NS @ | 6 L PHP-CGM @ | 7 L JAVA @ | 8 L CPT @ ")</f>
        <v xml:space="preserve">| 5 L NS @ | 6 L PHP-CGM @ | 7 L JAVA @ | 8 L CPT @ </v>
      </c>
      <c r="BM455" s="4" t="str">
        <f ca="1">IFERROR(__xludf.DUMMYFUNCTION("""COMPUTED_VALUE"""),"| 5 L CPT % | 6 L NS % | 7 P Python % | 9 P NS % ")</f>
        <v xml:space="preserve">| 5 L CPT % | 6 L NS % | 7 P Python % | 9 P NS % </v>
      </c>
      <c r="BN455" s="4" t="str">
        <f ca="1">IFERROR(__xludf.DUMMYFUNCTION("""COMPUTED_VALUE"""),"| 5 L JAVA % | 6 L JAVA % ")</f>
        <v xml:space="preserve">| 5 L JAVA % | 6 L JAVA % </v>
      </c>
      <c r="BO455" s="4" t="str">
        <f ca="1">IFERROR(__xludf.DUMMYFUNCTION("""COMPUTED_VALUE"""),"| 5 L PHP-CGM @ | 9 L INE @ | 6 L CPT @ | 7 P CPT @ ")</f>
        <v xml:space="preserve">| 5 L PHP-CGM @ | 9 L INE @ | 6 L CPT @ | 7 P CPT @ </v>
      </c>
      <c r="BP455" s="4" t="str">
        <f ca="1">IFERROR(__xludf.DUMMYFUNCTION("""COMPUTED_VALUE"""),"| 5 L PHP-CGM % | 6 L NS % | 7 P JAVA % ")</f>
        <v xml:space="preserve">| 5 L PHP-CGM % | 6 L NS % | 7 P JAVA % </v>
      </c>
      <c r="BQ455" s="4" t="str">
        <f ca="1">IFERROR(__xludf.DUMMYFUNCTION("""COMPUTED_VALUE"""),"| 5 L CPT @ ")</f>
        <v xml:space="preserve">| 5 L CPT @ </v>
      </c>
      <c r="BR455" s="4" t="str">
        <f ca="1">IFERROR(__xludf.DUMMYFUNCTION("""COMPUTED_VALUE"""),"| 5 L JAVA % | 6 L JAVA % ")</f>
        <v xml:space="preserve">| 5 L JAVA % | 6 L JAVA % </v>
      </c>
      <c r="BS455" s="4"/>
      <c r="BT455" s="4" t="str">
        <f ca="1">IFERROR(__xludf.DUMMYFUNCTION("""COMPUTED_VALUE"""),"| 7 P JAVA @ ")</f>
        <v xml:space="preserve">| 7 P JAVA @ </v>
      </c>
      <c r="BU455" s="4" t="str">
        <f ca="1">IFERROR(__xludf.DUMMYFUNCTION("""COMPUTED_VALUE"""),"| 7 L JAVA @ ")</f>
        <v xml:space="preserve">| 7 L JAVA @ </v>
      </c>
      <c r="BV455" s="4" t="str">
        <f ca="1">IFERROR(__xludf.DUMMYFUNCTION("""COMPUTED_VALUE"""),"| 5 L PHP-CGM @ | 6 L NS @ | 7 P JAVA @ | 9 P Python @ ")</f>
        <v xml:space="preserve">| 5 L PHP-CGM @ | 6 L NS @ | 7 P JAVA @ | 9 P Python @ </v>
      </c>
      <c r="BW455" s="4"/>
      <c r="BX455" s="4" t="str">
        <f ca="1">IFERROR(__xludf.DUMMYFUNCTION("""COMPUTED_VALUE"""),"| 5 L CPT % | 6 L NS % | 7 P Python % ")</f>
        <v xml:space="preserve">| 5 L CPT % | 6 L NS % | 7 P Python % </v>
      </c>
      <c r="BY455" s="4" t="str">
        <f ca="1">IFERROR(__xludf.DUMMYFUNCTION("""COMPUTED_VALUE"""),"| 5 L JAVA % | 6 L JAVA % | 7 P JAVA % ")</f>
        <v xml:space="preserve">| 5 L JAVA % | 6 L JAVA % | 7 P JAVA % </v>
      </c>
      <c r="BZ455" s="4" t="str">
        <f ca="1">IFERROR(__xludf.DUMMYFUNCTION("""COMPUTED_VALUE"""),"| 5 L PHP-CGM % | 6 L CPT % | 7 P CPT @ ")</f>
        <v xml:space="preserve">| 5 L PHP-CGM % | 6 L CPT % | 7 P CPT @ </v>
      </c>
      <c r="CA455" s="4" t="str">
        <f ca="1">IFERROR(__xludf.DUMMYFUNCTION("""COMPUTED_VALUE"""),"| 5 L PHP-CGM % | 6 L NS % | 7 P JAVA @ | 9 P Python @ ")</f>
        <v xml:space="preserve">| 5 L PHP-CGM % | 6 L NS % | 7 P JAVA @ | 9 P Python @ </v>
      </c>
      <c r="CB455" s="4" t="str">
        <f ca="1">IFERROR(__xludf.DUMMYFUNCTION("""COMPUTED_VALUE"""),"| 5 L NS % | 6 L PHP-CGM % | 7 L JAVA @ | 8 L CPT @ | 9 P JAVA @ ")</f>
        <v xml:space="preserve">| 5 L NS % | 6 L PHP-CGM % | 7 L JAVA @ | 8 L CPT @ | 9 P JAVA @ </v>
      </c>
      <c r="CC455" s="4" t="str">
        <f ca="1">IFERROR(__xludf.DUMMYFUNCTION("""COMPUTED_VALUE"""),"| 6 L NS @ | 5 L CPT @ | 7 P Python @ | 9 P NS @ ")</f>
        <v xml:space="preserve">| 6 L NS @ | 5 L CPT @ | 7 P Python @ | 9 P NS @ </v>
      </c>
      <c r="CD455" s="4" t="str">
        <f ca="1">IFERROR(__xludf.DUMMYFUNCTION("""COMPUTED_VALUE"""),"| 5 L JAVA % | 6 L JAVA % | 7 P JAVA @ | 9 P PRO @ ")</f>
        <v xml:space="preserve">| 5 L JAVA % | 6 L JAVA % | 7 P JAVA @ | 9 P PRO @ </v>
      </c>
      <c r="CE455" s="4" t="str">
        <f ca="1">IFERROR(__xludf.DUMMYFUNCTION("""COMPUTED_VALUE"""),"| 5 L PHP-CGM % | 6 L CPT % | 7 P CPT % | 9 L INE % ")</f>
        <v xml:space="preserve">| 5 L PHP-CGM % | 6 L CPT % | 7 P CPT % | 9 L INE % </v>
      </c>
      <c r="CF455" s="4" t="str">
        <f ca="1">IFERROR(__xludf.DUMMYFUNCTION("""COMPUTED_VALUE"""),"| 5 L PHP-CGM % | 6 L NS % | 7 P JAVA @ | 9 P Python % ")</f>
        <v xml:space="preserve">| 5 L PHP-CGM % | 6 L NS % | 7 P JAVA @ | 9 P Python % </v>
      </c>
      <c r="CG455" s="4" t="str">
        <f ca="1">IFERROR(__xludf.DUMMYFUNCTION("""COMPUTED_VALUE"""),"| 6 L PHP-CGM @ | 7 L JAVA @ | 8 L CPT % ")</f>
        <v xml:space="preserve">| 6 L PHP-CGM @ | 7 L JAVA @ | 8 L CPT % </v>
      </c>
      <c r="CH455" s="4" t="str">
        <f ca="1">IFERROR(__xludf.DUMMYFUNCTION("""COMPUTED_VALUE"""),"| 5 L CPT @ | 6 L NS % ")</f>
        <v xml:space="preserve">| 5 L CPT @ | 6 L NS % </v>
      </c>
      <c r="CI455" s="4" t="str">
        <f ca="1">IFERROR(__xludf.DUMMYFUNCTION("""COMPUTED_VALUE"""),"| 5 L JAVA @ | 6 L JAVA @ | 7 P JAVA % | 9 P PRO @ ")</f>
        <v xml:space="preserve">| 5 L JAVA @ | 6 L JAVA @ | 7 P JAVA % | 9 P PRO @ </v>
      </c>
      <c r="CJ455" s="4" t="str">
        <f ca="1">IFERROR(__xludf.DUMMYFUNCTION("""COMPUTED_VALUE"""),"| 5 L PHP-CGM @ | 9 L INE @ ")</f>
        <v xml:space="preserve">| 5 L PHP-CGM @ | 9 L INE @ </v>
      </c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</row>
    <row r="456" spans="1:102" ht="12.5" x14ac:dyDescent="0.25">
      <c r="A456" s="3">
        <f ca="1">IFERROR(__xludf.DUMMYFUNCTION("""COMPUTED_VALUE"""),3)</f>
        <v>3</v>
      </c>
      <c r="B456" s="3" t="str">
        <f ca="1">IFERROR(__xludf.DUMMYFUNCTION("""COMPUTED_VALUE"""),"ITB")</f>
        <v>ITB</v>
      </c>
      <c r="C456" s="32" t="str">
        <f ca="1">IFERROR(__xludf.DUMMYFUNCTION("""COMPUTED_VALUE"""),"23291371116")</f>
        <v>23291371116</v>
      </c>
      <c r="D456" s="4" t="str">
        <f ca="1">IFERROR(__xludf.DUMMYFUNCTION("""COMPUTED_VALUE"""),"PRAJAPATI PRATHAM MEHULKUMAR")</f>
        <v>PRAJAPATI PRATHAM MEHULKUMAR</v>
      </c>
      <c r="E456" s="3" t="str">
        <f ca="1">IFERROR(__xludf.DUMMYFUNCTION("""COMPUTED_VALUE"""),"VSP - Eve")</f>
        <v>VSP - Eve</v>
      </c>
      <c r="F456" s="3">
        <f ca="1">IFERROR(__xludf.DUMMYFUNCTION("""COMPUTED_VALUE"""),6351636606)</f>
        <v>6351636606</v>
      </c>
      <c r="G456" s="3">
        <f ca="1">IFERROR(__xludf.DUMMYFUNCTION("""COMPUTED_VALUE"""),9925063863)</f>
        <v>9925063863</v>
      </c>
      <c r="H456" s="33">
        <f ca="1">IFERROR(__xludf.DUMMYFUNCTION("""COMPUTED_VALUE"""),0.535398230088495)</f>
        <v>0.53539823008849496</v>
      </c>
      <c r="I456" s="25">
        <f ca="1">IFERROR(__xludf.DUMMYFUNCTION("""COMPUTED_VALUE"""),0.5)</f>
        <v>0.5</v>
      </c>
      <c r="J456" s="25">
        <f ca="1">IFERROR(__xludf.DUMMYFUNCTION("""COMPUTED_VALUE"""),0.2)</f>
        <v>0.2</v>
      </c>
      <c r="K456" s="25">
        <f ca="1">IFERROR(__xludf.DUMMYFUNCTION("""COMPUTED_VALUE"""),0.727272727272727)</f>
        <v>0.72727272727272696</v>
      </c>
      <c r="L456" s="25">
        <f ca="1">IFERROR(__xludf.DUMMYFUNCTION("""COMPUTED_VALUE"""),0.666666666666666)</f>
        <v>0.66666666666666596</v>
      </c>
      <c r="M456" s="25">
        <f ca="1">IFERROR(__xludf.DUMMYFUNCTION("""COMPUTED_VALUE"""),0.588235294117647)</f>
        <v>0.58823529411764697</v>
      </c>
      <c r="N456" s="25">
        <f ca="1">IFERROR(__xludf.DUMMYFUNCTION("""COMPUTED_VALUE"""),1)</f>
        <v>1</v>
      </c>
      <c r="O456" s="25">
        <f ca="1">IFERROR(__xludf.DUMMYFUNCTION("""COMPUTED_VALUE"""),0.564102564102564)</f>
        <v>0.56410256410256399</v>
      </c>
      <c r="P456" s="25">
        <f ca="1">IFERROR(__xludf.DUMMYFUNCTION("""COMPUTED_VALUE"""),0.461538461538461)</f>
        <v>0.46153846153846101</v>
      </c>
      <c r="Q456" s="25">
        <f ca="1">IFERROR(__xludf.DUMMYFUNCTION("""COMPUTED_VALUE"""),0)</f>
        <v>0</v>
      </c>
      <c r="R456" s="25">
        <f ca="1">IFERROR(__xludf.DUMMYFUNCTION("""COMPUTED_VALUE"""),0.526315789473684)</f>
        <v>0.52631578947368396</v>
      </c>
      <c r="S456" s="25">
        <f ca="1">IFERROR(__xludf.DUMMYFUNCTION("""COMPUTED_VALUE"""),0)</f>
        <v>0</v>
      </c>
      <c r="T456" s="25">
        <f ca="1">IFERROR(__xludf.DUMMYFUNCTION("""COMPUTED_VALUE"""),0.111111111111111)</f>
        <v>0.11111111111111099</v>
      </c>
      <c r="U456" s="25">
        <f ca="1">IFERROR(__xludf.DUMMYFUNCTION("""COMPUTED_VALUE"""),0.166666666666666)</f>
        <v>0.16666666666666599</v>
      </c>
      <c r="V456" s="25">
        <f ca="1">IFERROR(__xludf.DUMMYFUNCTION("""COMPUTED_VALUE"""),0)</f>
        <v>0</v>
      </c>
      <c r="W456" s="4"/>
      <c r="X456" s="4" t="str">
        <f ca="1">IFERROR(__xludf.DUMMYFUNCTION("""COMPUTED_VALUE"""),"| 5 L PHP-CGM % | 6 L NS % | 7 P JAVA % | 9 P Python @ ")</f>
        <v xml:space="preserve">| 5 L PHP-CGM % | 6 L NS % | 7 P JAVA % | 9 P Python @ </v>
      </c>
      <c r="Y456" s="4" t="str">
        <f ca="1">IFERROR(__xludf.DUMMYFUNCTION("""COMPUTED_VALUE"""),"| 5 L NS @ | 6 L PHP-CGM @ | 7 L JAVA @ | 8 L CPT @ ")</f>
        <v xml:space="preserve">| 5 L NS @ | 6 L PHP-CGM @ | 7 L JAVA @ | 8 L CPT @ </v>
      </c>
      <c r="Z456" s="4" t="str">
        <f ca="1">IFERROR(__xludf.DUMMYFUNCTION("""COMPUTED_VALUE"""),"| 5 L JAVA % | 6 L NS % | 7 P Python % | 9 P NS % ")</f>
        <v xml:space="preserve">| 5 L JAVA % | 6 L NS % | 7 P Python % | 9 P NS % </v>
      </c>
      <c r="AA456" s="4" t="str">
        <f ca="1">IFERROR(__xludf.DUMMYFUNCTION("""COMPUTED_VALUE"""),"| 5 L CPT @ | 6 L JAVA @ | 7 P JAVA @ | 9 P PRO @ ")</f>
        <v xml:space="preserve">| 5 L CPT @ | 6 L JAVA @ | 7 P JAVA @ | 9 P PRO @ </v>
      </c>
      <c r="AB456" s="4" t="str">
        <f ca="1">IFERROR(__xludf.DUMMYFUNCTION("""COMPUTED_VALUE"""),"| 5 L PHP-CGM @ | 6 L CPT @ | 7 P CPT @ ")</f>
        <v xml:space="preserve">| 5 L PHP-CGM @ | 6 L CPT @ | 7 P CPT @ </v>
      </c>
      <c r="AC456" s="4" t="str">
        <f ca="1">IFERROR(__xludf.DUMMYFUNCTION("""COMPUTED_VALUE"""),"| 5 L PHP-CGM % | 6 L NS % | 7 P JAVA % | 9 P Python @ ")</f>
        <v xml:space="preserve">| 5 L PHP-CGM % | 6 L NS % | 7 P JAVA % | 9 P Python @ </v>
      </c>
      <c r="AD456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56" s="4" t="str">
        <f ca="1">IFERROR(__xludf.DUMMYFUNCTION("""COMPUTED_VALUE"""),"| 5 L JAVA % | 6 L NS % | 7 P Python % | 9 P NS % ")</f>
        <v xml:space="preserve">| 5 L JAVA % | 6 L NS % | 7 P Python % | 9 P NS % </v>
      </c>
      <c r="AF456" s="4" t="str">
        <f ca="1">IFERROR(__xludf.DUMMYFUNCTION("""COMPUTED_VALUE"""),"| 5 L CPT @ | 6 L JAVA @ | 7 P JAVA % | 9 P PRO @ ")</f>
        <v xml:space="preserve">| 5 L CPT @ | 6 L JAVA @ | 7 P JAVA % | 9 P PRO @ </v>
      </c>
      <c r="AG456" s="4" t="str">
        <f ca="1">IFERROR(__xludf.DUMMYFUNCTION("""COMPUTED_VALUE"""),"| 5 L PHP-CGM % | 6 L CPT % | 8 P CPT % ")</f>
        <v xml:space="preserve">| 5 L PHP-CGM % | 6 L CPT % | 8 P CPT % </v>
      </c>
      <c r="AH456" s="4" t="str">
        <f ca="1">IFERROR(__xludf.DUMMYFUNCTION("""COMPUTED_VALUE"""),"| 5 L CPT @ | 6 L JAVA @ | 7 P JAVA @ | 9 P PRO @ ")</f>
        <v xml:space="preserve">| 5 L CPT @ | 6 L JAVA @ | 7 P JAVA @ | 9 P PRO @ </v>
      </c>
      <c r="AI456" s="4" t="str">
        <f ca="1">IFERROR(__xludf.DUMMYFUNCTION("""COMPUTED_VALUE"""),"| 5 L PHP-CGM @ | 6 L CPT @ | 7 P CPT @ ")</f>
        <v xml:space="preserve">| 5 L PHP-CGM @ | 6 L CPT @ | 7 P CPT @ </v>
      </c>
      <c r="AJ456" s="4" t="str">
        <f ca="1">IFERROR(__xludf.DUMMYFUNCTION("""COMPUTED_VALUE"""),"| 5 L PHP-CGM % | 6 L NS % | 7 P JAVA % | 9 P Python @ ")</f>
        <v xml:space="preserve">| 5 L PHP-CGM % | 6 L NS % | 7 P JAVA % | 9 P Python @ </v>
      </c>
      <c r="AK456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L456" s="4" t="str">
        <f ca="1">IFERROR(__xludf.DUMMYFUNCTION("""COMPUTED_VALUE"""),"| 5 L JAVA % | 6 L NS % | 7 P Python % | 9 P NS % ")</f>
        <v xml:space="preserve">| 5 L JAVA % | 6 L NS % | 7 P Python % | 9 P NS % </v>
      </c>
      <c r="AM456" s="4" t="str">
        <f ca="1">IFERROR(__xludf.DUMMYFUNCTION("""COMPUTED_VALUE"""),"| 5 L CPT % | 6 L JAVA % | 7 P JAVA @ | 9 P PRO @ ")</f>
        <v xml:space="preserve">| 5 L CPT % | 6 L JAVA % | 7 P JAVA @ | 9 P PRO @ </v>
      </c>
      <c r="AN456" s="4" t="str">
        <f ca="1">IFERROR(__xludf.DUMMYFUNCTION("""COMPUTED_VALUE"""),"| 5 L PHP-CGM % | 6 L CPT % | 7 P CPT @ ")</f>
        <v xml:space="preserve">| 5 L PHP-CGM % | 6 L CPT % | 7 P CPT @ </v>
      </c>
      <c r="AO456" s="4" t="str">
        <f ca="1">IFERROR(__xludf.DUMMYFUNCTION("""COMPUTED_VALUE"""),"| 5 L PHP-CGM % | 6 L NS % | 7 P JAVA % ")</f>
        <v xml:space="preserve">| 5 L PHP-CGM % | 6 L NS % | 7 P JAVA % </v>
      </c>
      <c r="AP456" s="4" t="str">
        <f ca="1">IFERROR(__xludf.DUMMYFUNCTION("""COMPUTED_VALUE"""),"| 5 L NS % | 7 L JAVA % | 8 L CPT % ")</f>
        <v xml:space="preserve">| 5 L NS % | 7 L JAVA % | 8 L CPT % </v>
      </c>
      <c r="AQ456" s="4" t="str">
        <f ca="1">IFERROR(__xludf.DUMMYFUNCTION("""COMPUTED_VALUE"""),"| 5 L CPT % | 6 L NS % | 7 P Python % | 9 P NS % ")</f>
        <v xml:space="preserve">| 5 L CPT % | 6 L NS % | 7 P Python % | 9 P NS % </v>
      </c>
      <c r="AR456" s="4" t="str">
        <f ca="1">IFERROR(__xludf.DUMMYFUNCTION("""COMPUTED_VALUE"""),"| 5 L JAVA @ | 6 L JAVA @ | 5 L CPT @ | 7 P JAVA @ ")</f>
        <v xml:space="preserve">| 5 L JAVA @ | 6 L JAVA @ | 5 L CPT @ | 7 P JAVA @ </v>
      </c>
      <c r="AS456" s="4" t="str">
        <f ca="1">IFERROR(__xludf.DUMMYFUNCTION("""COMPUTED_VALUE"""),"| 5 L PHP-CGM @ | 6 L NS @ | 7 P JAVA @ | 9 P Python @ ")</f>
        <v xml:space="preserve">| 5 L PHP-CGM @ | 6 L NS @ | 7 P JAVA @ | 9 P Python @ </v>
      </c>
      <c r="AT456" s="4" t="str">
        <f ca="1">IFERROR(__xludf.DUMMYFUNCTION("""COMPUTED_VALUE"""),"| 5 L NS @ | 6 L PHP-CGM @ | 7 L JAVA @ | 8 L CPT @ ")</f>
        <v xml:space="preserve">| 5 L NS @ | 6 L PHP-CGM @ | 7 L JAVA @ | 8 L CPT @ </v>
      </c>
      <c r="AU456" s="4" t="str">
        <f ca="1">IFERROR(__xludf.DUMMYFUNCTION("""COMPUTED_VALUE"""),"| 5 L CPT @ | 6 L NS @ | 7 P Python @ | 9 P NS @ ")</f>
        <v xml:space="preserve">| 5 L CPT @ | 6 L NS @ | 7 P Python @ | 9 P NS @ </v>
      </c>
      <c r="AV456" s="4" t="str">
        <f ca="1">IFERROR(__xludf.DUMMYFUNCTION("""COMPUTED_VALUE"""),"| 5 L JAVA @ | 6 L JAVA @ | 7 P JAVA @ | 9 P PRO @ ")</f>
        <v xml:space="preserve">| 5 L JAVA @ | 6 L JAVA @ | 7 P JAVA @ | 9 P PRO @ </v>
      </c>
      <c r="AW456" s="4" t="str">
        <f ca="1">IFERROR(__xludf.DUMMYFUNCTION("""COMPUTED_VALUE"""),"| 5 L PHP-CGM @ | 6 L CPT @ | 7 P CPT @ | 9 L INE @ ")</f>
        <v xml:space="preserve">| 5 L PHP-CGM @ | 6 L CPT @ | 7 P CPT @ | 9 L INE @ </v>
      </c>
      <c r="AX456" s="4" t="str">
        <f ca="1">IFERROR(__xludf.DUMMYFUNCTION("""COMPUTED_VALUE"""),"| 5 L PHP-CGM % | 6 L NS % | 7 P JAVA % | 9 P Python % ")</f>
        <v xml:space="preserve">| 5 L PHP-CGM % | 6 L NS % | 7 P JAVA % | 9 P Python % </v>
      </c>
      <c r="AY456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56" s="4" t="str">
        <f ca="1">IFERROR(__xludf.DUMMYFUNCTION("""COMPUTED_VALUE"""),"| 5 L JAVA % | 6 L JAVA % | 7 P JAVA % ")</f>
        <v xml:space="preserve">| 5 L JAVA % | 6 L JAVA % | 7 P JAVA % </v>
      </c>
      <c r="BA456" s="4" t="str">
        <f ca="1">IFERROR(__xludf.DUMMYFUNCTION("""COMPUTED_VALUE"""),"| 5 L PHP-CGM % | 6 L CPT % | 9 P CPT % | 9 L INE % ")</f>
        <v xml:space="preserve">| 5 L PHP-CGM % | 6 L CPT % | 9 P CPT % | 9 L INE % </v>
      </c>
      <c r="BB456" s="4" t="str">
        <f ca="1">IFERROR(__xludf.DUMMYFUNCTION("""COMPUTED_VALUE"""),"| 5 L PHP-CGM % | 6 L NS % | 7 P JAVA % | 9 P Python % ")</f>
        <v xml:space="preserve">| 5 L PHP-CGM % | 6 L NS % | 7 P JAVA % | 9 P Python % </v>
      </c>
      <c r="BC456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56" s="4" t="str">
        <f ca="1">IFERROR(__xludf.DUMMYFUNCTION("""COMPUTED_VALUE"""),"| 5 L CPT % | 6 L NS % | 7 P Python % | 9 P NS % ")</f>
        <v xml:space="preserve">| 5 L CPT % | 6 L NS % | 7 P Python % | 9 P NS % </v>
      </c>
      <c r="BE456" s="4" t="str">
        <f ca="1">IFERROR(__xludf.DUMMYFUNCTION("""COMPUTED_VALUE"""),"| 5 L JAVA % | 6 L JAVA % | 7 P JAVA % | 9 P PRO % ")</f>
        <v xml:space="preserve">| 5 L JAVA % | 6 L JAVA % | 7 P JAVA % | 9 P PRO % </v>
      </c>
      <c r="BF456" s="4" t="str">
        <f ca="1">IFERROR(__xludf.DUMMYFUNCTION("""COMPUTED_VALUE"""),"| 5 L PHP-CGM @ | 6 L CPT @ | 7 P CPT @ ")</f>
        <v xml:space="preserve">| 5 L PHP-CGM @ | 6 L CPT @ | 7 P CPT @ </v>
      </c>
      <c r="BG456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56" s="4" t="str">
        <f ca="1">IFERROR(__xludf.DUMMYFUNCTION("""COMPUTED_VALUE"""),"| 5 L CPT % | 6 L NS % | 7 P Python % | 9 P NS % ")</f>
        <v xml:space="preserve">| 5 L CPT % | 6 L NS % | 7 P Python % | 9 P NS % </v>
      </c>
      <c r="BI456" s="4" t="str">
        <f ca="1">IFERROR(__xludf.DUMMYFUNCTION("""COMPUTED_VALUE"""),"| 5 L JAVA % | 6 L JAVA % | 7 P JAVA @ | 9 P PRO @ ")</f>
        <v xml:space="preserve">| 5 L JAVA % | 6 L JAVA % | 7 P JAVA @ | 9 P PRO @ </v>
      </c>
      <c r="BJ456" s="4" t="str">
        <f ca="1">IFERROR(__xludf.DUMMYFUNCTION("""COMPUTED_VALUE"""),"| 5 L PHP-CGM % | 6 L CPT % | 9 L INE @ ")</f>
        <v xml:space="preserve">| 5 L PHP-CGM % | 6 L CPT % | 9 L INE @ </v>
      </c>
      <c r="BK456" s="4" t="str">
        <f ca="1">IFERROR(__xludf.DUMMYFUNCTION("""COMPUTED_VALUE"""),"| 5 L PHP-CGM @ | 6 L NS @ | 7 P JAVA @ ")</f>
        <v xml:space="preserve">| 5 L PHP-CGM @ | 6 L NS @ | 7 P JAVA @ </v>
      </c>
      <c r="BL456" s="4" t="str">
        <f ca="1">IFERROR(__xludf.DUMMYFUNCTION("""COMPUTED_VALUE"""),"| 5 L NS @ | 6 L PHP-CGM @ | 7 L JAVA @ | 8 L CPT @ ")</f>
        <v xml:space="preserve">| 5 L NS @ | 6 L PHP-CGM @ | 7 L JAVA @ | 8 L CPT @ </v>
      </c>
      <c r="BM456" s="4" t="str">
        <f ca="1">IFERROR(__xludf.DUMMYFUNCTION("""COMPUTED_VALUE"""),"| 5 L CPT @ | 6 L NS @ | 7 P Python @ | 9 P NS @ ")</f>
        <v xml:space="preserve">| 5 L CPT @ | 6 L NS @ | 7 P Python @ | 9 P NS @ </v>
      </c>
      <c r="BN456" s="4" t="str">
        <f ca="1">IFERROR(__xludf.DUMMYFUNCTION("""COMPUTED_VALUE"""),"| 5 L JAVA @ | 6 L JAVA @ ")</f>
        <v xml:space="preserve">| 5 L JAVA @ | 6 L JAVA @ </v>
      </c>
      <c r="BO456" s="4" t="str">
        <f ca="1">IFERROR(__xludf.DUMMYFUNCTION("""COMPUTED_VALUE"""),"| 5 L PHP-CGM @ | 9 L INE @ | 6 L CPT @ | 7 P CPT @ ")</f>
        <v xml:space="preserve">| 5 L PHP-CGM @ | 9 L INE @ | 6 L CPT @ | 7 P CPT @ </v>
      </c>
      <c r="BP456" s="4" t="str">
        <f ca="1">IFERROR(__xludf.DUMMYFUNCTION("""COMPUTED_VALUE"""),"| 5 L PHP-CGM % | 6 L NS % | 7 P JAVA % ")</f>
        <v xml:space="preserve">| 5 L PHP-CGM % | 6 L NS % | 7 P JAVA % </v>
      </c>
      <c r="BQ456" s="4" t="str">
        <f ca="1">IFERROR(__xludf.DUMMYFUNCTION("""COMPUTED_VALUE"""),"| 5 L CPT % ")</f>
        <v xml:space="preserve">| 5 L CPT % </v>
      </c>
      <c r="BR456" s="4" t="str">
        <f ca="1">IFERROR(__xludf.DUMMYFUNCTION("""COMPUTED_VALUE"""),"| 5 L JAVA % | 6 L JAVA % ")</f>
        <v xml:space="preserve">| 5 L JAVA % | 6 L JAVA % </v>
      </c>
      <c r="BS456" s="4"/>
      <c r="BT456" s="4" t="str">
        <f ca="1">IFERROR(__xludf.DUMMYFUNCTION("""COMPUTED_VALUE"""),"| 7 P JAVA @ ")</f>
        <v xml:space="preserve">| 7 P JAVA @ </v>
      </c>
      <c r="BU456" s="4" t="str">
        <f ca="1">IFERROR(__xludf.DUMMYFUNCTION("""COMPUTED_VALUE"""),"| 7 L JAVA @ ")</f>
        <v xml:space="preserve">| 7 L JAVA @ </v>
      </c>
      <c r="BV456" s="4" t="str">
        <f ca="1">IFERROR(__xludf.DUMMYFUNCTION("""COMPUTED_VALUE"""),"| 5 L PHP-CGM @ | 6 L NS @ | 7 P JAVA @ | 9 P Python @ ")</f>
        <v xml:space="preserve">| 5 L PHP-CGM @ | 6 L NS @ | 7 P JAVA @ | 9 P Python @ </v>
      </c>
      <c r="BW456" s="4"/>
      <c r="BX456" s="4" t="str">
        <f ca="1">IFERROR(__xludf.DUMMYFUNCTION("""COMPUTED_VALUE"""),"| 5 L CPT % | 6 L NS % | 7 P Python % ")</f>
        <v xml:space="preserve">| 5 L CPT % | 6 L NS % | 7 P Python % </v>
      </c>
      <c r="BY456" s="4" t="str">
        <f ca="1">IFERROR(__xludf.DUMMYFUNCTION("""COMPUTED_VALUE"""),"| 5 L JAVA % | 6 L JAVA % | 7 P JAVA % ")</f>
        <v xml:space="preserve">| 5 L JAVA % | 6 L JAVA % | 7 P JAVA % </v>
      </c>
      <c r="BZ456" s="4" t="str">
        <f ca="1">IFERROR(__xludf.DUMMYFUNCTION("""COMPUTED_VALUE"""),"| 5 L PHP-CGM % | 6 L CPT % | 7 P CPT @ ")</f>
        <v xml:space="preserve">| 5 L PHP-CGM % | 6 L CPT % | 7 P CPT @ </v>
      </c>
      <c r="CA456" s="4" t="str">
        <f ca="1">IFERROR(__xludf.DUMMYFUNCTION("""COMPUTED_VALUE"""),"| 5 L PHP-CGM % | 6 L NS % | 7 P JAVA @ | 9 P Python @ ")</f>
        <v xml:space="preserve">| 5 L PHP-CGM % | 6 L NS % | 7 P JAVA @ | 9 P Python @ </v>
      </c>
      <c r="CB456" s="4" t="str">
        <f ca="1">IFERROR(__xludf.DUMMYFUNCTION("""COMPUTED_VALUE"""),"| 5 L NS % | 6 L PHP-CGM % | 7 L JAVA @ | 8 L CPT @ | 9 P JAVA @ ")</f>
        <v xml:space="preserve">| 5 L NS % | 6 L PHP-CGM % | 7 L JAVA @ | 8 L CPT @ | 9 P JAVA @ </v>
      </c>
      <c r="CC456" s="4" t="str">
        <f ca="1">IFERROR(__xludf.DUMMYFUNCTION("""COMPUTED_VALUE"""),"| 6 L NS @ | 5 L CPT @ | 7 P Python @ | 9 P NS @ ")</f>
        <v xml:space="preserve">| 6 L NS @ | 5 L CPT @ | 7 P Python @ | 9 P NS @ </v>
      </c>
      <c r="CD456" s="4" t="str">
        <f ca="1">IFERROR(__xludf.DUMMYFUNCTION("""COMPUTED_VALUE"""),"| 5 L JAVA % | 6 L JAVA % | 7 P JAVA @ | 9 P PRO @ ")</f>
        <v xml:space="preserve">| 5 L JAVA % | 6 L JAVA % | 7 P JAVA @ | 9 P PRO @ </v>
      </c>
      <c r="CE456" s="4" t="str">
        <f ca="1">IFERROR(__xludf.DUMMYFUNCTION("""COMPUTED_VALUE"""),"| 5 L PHP-CGM @ | 6 L CPT @ | 7 P CPT @ | 9 L INE @ ")</f>
        <v xml:space="preserve">| 5 L PHP-CGM @ | 6 L CPT @ | 7 P CPT @ | 9 L INE @ </v>
      </c>
      <c r="CF456" s="4" t="str">
        <f ca="1">IFERROR(__xludf.DUMMYFUNCTION("""COMPUTED_VALUE"""),"| 5 L PHP-CGM % | 6 L NS % | 7 P JAVA @ | 9 P Python % ")</f>
        <v xml:space="preserve">| 5 L PHP-CGM % | 6 L NS % | 7 P JAVA @ | 9 P Python % </v>
      </c>
      <c r="CG456" s="4" t="str">
        <f ca="1">IFERROR(__xludf.DUMMYFUNCTION("""COMPUTED_VALUE"""),"| 6 L PHP-CGM @ | 7 L JAVA @ | 8 L CPT % ")</f>
        <v xml:space="preserve">| 6 L PHP-CGM @ | 7 L JAVA @ | 8 L CPT % </v>
      </c>
      <c r="CH456" s="4" t="str">
        <f ca="1">IFERROR(__xludf.DUMMYFUNCTION("""COMPUTED_VALUE"""),"| 5 L CPT @ | 6 L NS % ")</f>
        <v xml:space="preserve">| 5 L CPT @ | 6 L NS % </v>
      </c>
      <c r="CI456" s="4" t="str">
        <f ca="1">IFERROR(__xludf.DUMMYFUNCTION("""COMPUTED_VALUE"""),"| 5 L JAVA @ | 6 L JAVA @ | 7 P JAVA % | 9 P PRO @ ")</f>
        <v xml:space="preserve">| 5 L JAVA @ | 6 L JAVA @ | 7 P JAVA % | 9 P PRO @ </v>
      </c>
      <c r="CJ456" s="4" t="str">
        <f ca="1">IFERROR(__xludf.DUMMYFUNCTION("""COMPUTED_VALUE"""),"| 5 L PHP-CGM @ | 9 L INE @ ")</f>
        <v xml:space="preserve">| 5 L PHP-CGM @ | 9 L INE @ </v>
      </c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</row>
    <row r="457" spans="1:102" ht="12.5" x14ac:dyDescent="0.25">
      <c r="A457" s="3">
        <f ca="1">IFERROR(__xludf.DUMMYFUNCTION("""COMPUTED_VALUE"""),3)</f>
        <v>3</v>
      </c>
      <c r="B457" s="3" t="str">
        <f ca="1">IFERROR(__xludf.DUMMYFUNCTION("""COMPUTED_VALUE"""),"ITB")</f>
        <v>ITB</v>
      </c>
      <c r="C457" s="32" t="str">
        <f ca="1">IFERROR(__xludf.DUMMYFUNCTION("""COMPUTED_VALUE"""),"23291371117")</f>
        <v>23291371117</v>
      </c>
      <c r="D457" s="4" t="str">
        <f ca="1">IFERROR(__xludf.DUMMYFUNCTION("""COMPUTED_VALUE"""),"PRAJAPATI VEDANTKUMAR KIRTANBHAI")</f>
        <v>PRAJAPATI VEDANTKUMAR KIRTANBHAI</v>
      </c>
      <c r="E457" s="3" t="str">
        <f ca="1">IFERROR(__xludf.DUMMYFUNCTION("""COMPUTED_VALUE"""),"VSP - Eve")</f>
        <v>VSP - Eve</v>
      </c>
      <c r="F457" s="3">
        <f ca="1">IFERROR(__xludf.DUMMYFUNCTION("""COMPUTED_VALUE"""),9104655527)</f>
        <v>9104655527</v>
      </c>
      <c r="G457" s="3">
        <f ca="1">IFERROR(__xludf.DUMMYFUNCTION("""COMPUTED_VALUE"""),8238260981)</f>
        <v>8238260981</v>
      </c>
      <c r="H457" s="33">
        <f ca="1">IFERROR(__xludf.DUMMYFUNCTION("""COMPUTED_VALUE"""),0.676991150442477)</f>
        <v>0.67699115044247704</v>
      </c>
      <c r="I457" s="25">
        <f ca="1">IFERROR(__xludf.DUMMYFUNCTION("""COMPUTED_VALUE"""),0.694444444444444)</f>
        <v>0.69444444444444398</v>
      </c>
      <c r="J457" s="25">
        <f ca="1">IFERROR(__xludf.DUMMYFUNCTION("""COMPUTED_VALUE"""),0.3)</f>
        <v>0.3</v>
      </c>
      <c r="K457" s="25">
        <f ca="1">IFERROR(__xludf.DUMMYFUNCTION("""COMPUTED_VALUE"""),0.757575757575757)</f>
        <v>0.75757575757575701</v>
      </c>
      <c r="L457" s="25">
        <f ca="1">IFERROR(__xludf.DUMMYFUNCTION("""COMPUTED_VALUE"""),0.666666666666666)</f>
        <v>0.66666666666666596</v>
      </c>
      <c r="M457" s="25">
        <f ca="1">IFERROR(__xludf.DUMMYFUNCTION("""COMPUTED_VALUE"""),0.705882352941176)</f>
        <v>0.70588235294117596</v>
      </c>
      <c r="N457" s="25">
        <f ca="1">IFERROR(__xludf.DUMMYFUNCTION("""COMPUTED_VALUE"""),0.8)</f>
        <v>0.8</v>
      </c>
      <c r="O457" s="25">
        <f ca="1">IFERROR(__xludf.DUMMYFUNCTION("""COMPUTED_VALUE"""),0.743589743589743)</f>
        <v>0.74358974358974295</v>
      </c>
      <c r="P457" s="25">
        <f ca="1">IFERROR(__xludf.DUMMYFUNCTION("""COMPUTED_VALUE"""),0.653846153846153)</f>
        <v>0.65384615384615297</v>
      </c>
      <c r="Q457" s="25">
        <f ca="1">IFERROR(__xludf.DUMMYFUNCTION("""COMPUTED_VALUE"""),0)</f>
        <v>0</v>
      </c>
      <c r="R457" s="25">
        <f ca="1">IFERROR(__xludf.DUMMYFUNCTION("""COMPUTED_VALUE"""),0.736842105263157)</f>
        <v>0.73684210526315697</v>
      </c>
      <c r="S457" s="25">
        <f ca="1">IFERROR(__xludf.DUMMYFUNCTION("""COMPUTED_VALUE"""),0)</f>
        <v>0</v>
      </c>
      <c r="T457" s="25">
        <f ca="1">IFERROR(__xludf.DUMMYFUNCTION("""COMPUTED_VALUE"""),0.666666666666666)</f>
        <v>0.66666666666666596</v>
      </c>
      <c r="U457" s="25">
        <f ca="1">IFERROR(__xludf.DUMMYFUNCTION("""COMPUTED_VALUE"""),0)</f>
        <v>0</v>
      </c>
      <c r="V457" s="25">
        <f ca="1">IFERROR(__xludf.DUMMYFUNCTION("""COMPUTED_VALUE"""),0)</f>
        <v>0</v>
      </c>
      <c r="W457" s="4"/>
      <c r="X457" s="4" t="str">
        <f ca="1">IFERROR(__xludf.DUMMYFUNCTION("""COMPUTED_VALUE"""),"| 5 L PHP-CGM % | 6 L NS % | 7 P JAVA % | 9 P Python @ ")</f>
        <v xml:space="preserve">| 5 L PHP-CGM % | 6 L NS % | 7 P JAVA % | 9 P Python @ </v>
      </c>
      <c r="Y457" s="4" t="str">
        <f ca="1">IFERROR(__xludf.DUMMYFUNCTION("""COMPUTED_VALUE"""),"| 5 L NS % | 6 L PHP-CGM % | 7 L JAVA % | 8 L CPT % ")</f>
        <v xml:space="preserve">| 5 L NS % | 6 L PHP-CGM % | 7 L JAVA % | 8 L CPT % </v>
      </c>
      <c r="Z457" s="4" t="str">
        <f ca="1">IFERROR(__xludf.DUMMYFUNCTION("""COMPUTED_VALUE"""),"| 5 L JAVA % | 6 L NS % | 7 P Python % | 9 P NS % ")</f>
        <v xml:space="preserve">| 5 L JAVA % | 6 L NS % | 7 P Python % | 9 P NS % </v>
      </c>
      <c r="AA457" s="4" t="str">
        <f ca="1">IFERROR(__xludf.DUMMYFUNCTION("""COMPUTED_VALUE"""),"| 5 L CPT % | 6 L JAVA % | 7 P JAVA % | 9 P PRO % ")</f>
        <v xml:space="preserve">| 5 L CPT % | 6 L JAVA % | 7 P JAVA % | 9 P PRO % </v>
      </c>
      <c r="AB457" s="4" t="str">
        <f ca="1">IFERROR(__xludf.DUMMYFUNCTION("""COMPUTED_VALUE"""),"| 5 L PHP-CGM % | 6 L CPT % | 7 P CPT @ ")</f>
        <v xml:space="preserve">| 5 L PHP-CGM % | 6 L CPT % | 7 P CPT @ </v>
      </c>
      <c r="AC457" s="4" t="str">
        <f ca="1">IFERROR(__xludf.DUMMYFUNCTION("""COMPUTED_VALUE"""),"| 5 L PHP-CGM % | 6 L NS % | 7 P JAVA % | 9 P Python % ")</f>
        <v xml:space="preserve">| 5 L PHP-CGM % | 6 L NS % | 7 P JAVA % | 9 P Python % </v>
      </c>
      <c r="AD457" s="4" t="str">
        <f ca="1">IFERROR(__xludf.DUMMYFUNCTION("""COMPUTED_VALUE"""),"| 5 L NS @ | 7 L JAVA @ | 8 L CPT @ | 9 P PHP-CGM @ | 6 L PHP-CGM @ ")</f>
        <v xml:space="preserve">| 5 L NS @ | 7 L JAVA @ | 8 L CPT @ | 9 P PHP-CGM @ | 6 L PHP-CGM @ </v>
      </c>
      <c r="AE457" s="4" t="str">
        <f ca="1">IFERROR(__xludf.DUMMYFUNCTION("""COMPUTED_VALUE"""),"| 5 L JAVA % | 6 L NS % | 7 P Python % | 9 P NS % ")</f>
        <v xml:space="preserve">| 5 L JAVA % | 6 L NS % | 7 P Python % | 9 P NS % </v>
      </c>
      <c r="AF457" s="4" t="str">
        <f ca="1">IFERROR(__xludf.DUMMYFUNCTION("""COMPUTED_VALUE"""),"| 5 L CPT % | 6 L JAVA % | 7 P JAVA % | 9 P PRO % ")</f>
        <v xml:space="preserve">| 5 L CPT % | 6 L JAVA % | 7 P JAVA % | 9 P PRO % </v>
      </c>
      <c r="AG457" s="4" t="str">
        <f ca="1">IFERROR(__xludf.DUMMYFUNCTION("""COMPUTED_VALUE"""),"| 5 L PHP-CGM % | 6 L CPT % | 8 P CPT % ")</f>
        <v xml:space="preserve">| 5 L PHP-CGM % | 6 L CPT % | 8 P CPT % </v>
      </c>
      <c r="AH457" s="4" t="str">
        <f ca="1">IFERROR(__xludf.DUMMYFUNCTION("""COMPUTED_VALUE"""),"| 5 L CPT % | 6 L JAVA % | 7 P JAVA % | 9 P PRO % ")</f>
        <v xml:space="preserve">| 5 L CPT % | 6 L JAVA % | 7 P JAVA % | 9 P PRO % </v>
      </c>
      <c r="AI457" s="4" t="str">
        <f ca="1">IFERROR(__xludf.DUMMYFUNCTION("""COMPUTED_VALUE"""),"| 5 L PHP-CGM % | 6 L CPT % | 7 P CPT % ")</f>
        <v xml:space="preserve">| 5 L PHP-CGM % | 6 L CPT % | 7 P CPT % </v>
      </c>
      <c r="AJ457" s="4" t="str">
        <f ca="1">IFERROR(__xludf.DUMMYFUNCTION("""COMPUTED_VALUE"""),"| 5 L PHP-CGM % | 6 L NS % | 7 P JAVA % | 9 P Python % ")</f>
        <v xml:space="preserve">| 5 L PHP-CGM % | 6 L NS % | 7 P JAVA % | 9 P Python % </v>
      </c>
      <c r="AK457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L457" s="4" t="str">
        <f ca="1">IFERROR(__xludf.DUMMYFUNCTION("""COMPUTED_VALUE"""),"| 5 L JAVA % | 6 L NS % | 7 P Python % | 9 P NS % ")</f>
        <v xml:space="preserve">| 5 L JAVA % | 6 L NS % | 7 P Python % | 9 P NS % </v>
      </c>
      <c r="AM457" s="4" t="str">
        <f ca="1">IFERROR(__xludf.DUMMYFUNCTION("""COMPUTED_VALUE"""),"| 5 L CPT @ | 6 L JAVA @ | 7 P JAVA @ | 9 P PRO @ ")</f>
        <v xml:space="preserve">| 5 L CPT @ | 6 L JAVA @ | 7 P JAVA @ | 9 P PRO @ </v>
      </c>
      <c r="AN457" s="4" t="str">
        <f ca="1">IFERROR(__xludf.DUMMYFUNCTION("""COMPUTED_VALUE"""),"| 5 L PHP-CGM @ | 6 L CPT @ | 7 P CPT @ ")</f>
        <v xml:space="preserve">| 5 L PHP-CGM @ | 6 L CPT @ | 7 P CPT @ </v>
      </c>
      <c r="AO457" s="4" t="str">
        <f ca="1">IFERROR(__xludf.DUMMYFUNCTION("""COMPUTED_VALUE"""),"| 5 L PHP-CGM @ | 6 L NS @ | 7 P JAVA @ ")</f>
        <v xml:space="preserve">| 5 L PHP-CGM @ | 6 L NS @ | 7 P JAVA @ </v>
      </c>
      <c r="AP457" s="4" t="str">
        <f ca="1">IFERROR(__xludf.DUMMYFUNCTION("""COMPUTED_VALUE"""),"| 5 L NS @ | 7 L JAVA @ | 8 L CPT @ ")</f>
        <v xml:space="preserve">| 5 L NS @ | 7 L JAVA @ | 8 L CPT @ </v>
      </c>
      <c r="AQ457" s="4" t="str">
        <f ca="1">IFERROR(__xludf.DUMMYFUNCTION("""COMPUTED_VALUE"""),"| 5 L CPT @ | 6 L NS @ | 7 P Python @ | 9 P NS @ ")</f>
        <v xml:space="preserve">| 5 L CPT @ | 6 L NS @ | 7 P Python @ | 9 P NS @ </v>
      </c>
      <c r="AR457" s="4" t="str">
        <f ca="1">IFERROR(__xludf.DUMMYFUNCTION("""COMPUTED_VALUE"""),"| 5 L JAVA @ | 6 L JAVA @ | 5 L CPT @ | 7 P JAVA @ ")</f>
        <v xml:space="preserve">| 5 L JAVA @ | 6 L JAVA @ | 5 L CPT @ | 7 P JAVA @ </v>
      </c>
      <c r="AS457" s="4" t="str">
        <f ca="1">IFERROR(__xludf.DUMMYFUNCTION("""COMPUTED_VALUE"""),"| 5 L PHP-CGM % | 6 L NS % | 7 P JAVA % | 9 P Python % ")</f>
        <v xml:space="preserve">| 5 L PHP-CGM % | 6 L NS % | 7 P JAVA % | 9 P Python % </v>
      </c>
      <c r="AT457" s="4" t="str">
        <f ca="1">IFERROR(__xludf.DUMMYFUNCTION("""COMPUTED_VALUE"""),"| 5 L NS % | 6 L PHP-CGM % | 7 L JAVA % | 8 L CPT % ")</f>
        <v xml:space="preserve">| 5 L NS % | 6 L PHP-CGM % | 7 L JAVA % | 8 L CPT % </v>
      </c>
      <c r="AU457" s="4" t="str">
        <f ca="1">IFERROR(__xludf.DUMMYFUNCTION("""COMPUTED_VALUE"""),"| 5 L CPT % | 6 L NS % | 7 P Python % | 9 P NS % ")</f>
        <v xml:space="preserve">| 5 L CPT % | 6 L NS % | 7 P Python % | 9 P NS % </v>
      </c>
      <c r="AV457" s="4" t="str">
        <f ca="1">IFERROR(__xludf.DUMMYFUNCTION("""COMPUTED_VALUE"""),"| 5 L JAVA % | 6 L JAVA % | 7 P JAVA % | 9 P PRO % ")</f>
        <v xml:space="preserve">| 5 L JAVA % | 6 L JAVA % | 7 P JAVA % | 9 P PRO % </v>
      </c>
      <c r="AW457" s="4" t="str">
        <f ca="1">IFERROR(__xludf.DUMMYFUNCTION("""COMPUTED_VALUE"""),"| 5 L PHP-CGM % | 6 L CPT % | 7 P CPT @ | 9 L INE @ ")</f>
        <v xml:space="preserve">| 5 L PHP-CGM % | 6 L CPT % | 7 P CPT @ | 9 L INE @ </v>
      </c>
      <c r="AX457" s="4" t="str">
        <f ca="1">IFERROR(__xludf.DUMMYFUNCTION("""COMPUTED_VALUE"""),"| 5 L PHP-CGM % | 6 L NS % | 7 P JAVA % | 9 P Python % ")</f>
        <v xml:space="preserve">| 5 L PHP-CGM % | 6 L NS % | 7 P JAVA % | 9 P Python % </v>
      </c>
      <c r="AY457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57" s="4" t="str">
        <f ca="1">IFERROR(__xludf.DUMMYFUNCTION("""COMPUTED_VALUE"""),"| 5 L JAVA % | 6 L JAVA % | 7 P JAVA % ")</f>
        <v xml:space="preserve">| 5 L JAVA % | 6 L JAVA % | 7 P JAVA % </v>
      </c>
      <c r="BA457" s="4" t="str">
        <f ca="1">IFERROR(__xludf.DUMMYFUNCTION("""COMPUTED_VALUE"""),"| 5 L PHP-CGM % | 6 L CPT % | 9 P CPT @ | 9 L INE @ ")</f>
        <v xml:space="preserve">| 5 L PHP-CGM % | 6 L CPT % | 9 P CPT @ | 9 L INE @ </v>
      </c>
      <c r="BB457" s="4" t="str">
        <f ca="1">IFERROR(__xludf.DUMMYFUNCTION("""COMPUTED_VALUE"""),"| 5 L PHP-CGM % | 6 L NS % | 7 P JAVA % | 9 P Python % ")</f>
        <v xml:space="preserve">| 5 L PHP-CGM % | 6 L NS % | 7 P JAVA % | 9 P Python % </v>
      </c>
      <c r="BC457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57" s="4" t="str">
        <f ca="1">IFERROR(__xludf.DUMMYFUNCTION("""COMPUTED_VALUE"""),"| 5 L CPT % | 6 L NS % | 7 P Python % | 9 P NS % ")</f>
        <v xml:space="preserve">| 5 L CPT % | 6 L NS % | 7 P Python % | 9 P NS % </v>
      </c>
      <c r="BE457" s="4" t="str">
        <f ca="1">IFERROR(__xludf.DUMMYFUNCTION("""COMPUTED_VALUE"""),"| 5 L JAVA % | 6 L JAVA % | 7 P JAVA % | 9 P PRO % ")</f>
        <v xml:space="preserve">| 5 L JAVA % | 6 L JAVA % | 7 P JAVA % | 9 P PRO % </v>
      </c>
      <c r="BF457" s="4" t="str">
        <f ca="1">IFERROR(__xludf.DUMMYFUNCTION("""COMPUTED_VALUE"""),"| 5 L PHP-CGM % | 6 L CPT % | 7 P CPT @ ")</f>
        <v xml:space="preserve">| 5 L PHP-CGM % | 6 L CPT % | 7 P CPT @ </v>
      </c>
      <c r="BG457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57" s="4" t="str">
        <f ca="1">IFERROR(__xludf.DUMMYFUNCTION("""COMPUTED_VALUE"""),"| 5 L CPT % | 6 L NS % | 7 P Python % | 9 P NS @ ")</f>
        <v xml:space="preserve">| 5 L CPT % | 6 L NS % | 7 P Python % | 9 P NS @ </v>
      </c>
      <c r="BI457" s="4" t="str">
        <f ca="1">IFERROR(__xludf.DUMMYFUNCTION("""COMPUTED_VALUE"""),"| 5 L JAVA % | 6 L JAVA % | 7 P JAVA @ | 9 P PRO @ ")</f>
        <v xml:space="preserve">| 5 L JAVA % | 6 L JAVA % | 7 P JAVA @ | 9 P PRO @ </v>
      </c>
      <c r="BJ457" s="4" t="str">
        <f ca="1">IFERROR(__xludf.DUMMYFUNCTION("""COMPUTED_VALUE"""),"| 5 L PHP-CGM % | 6 L CPT % | 9 L INE @ ")</f>
        <v xml:space="preserve">| 5 L PHP-CGM % | 6 L CPT % | 9 L INE @ </v>
      </c>
      <c r="BK457" s="4" t="str">
        <f ca="1">IFERROR(__xludf.DUMMYFUNCTION("""COMPUTED_VALUE"""),"| 5 L PHP-CGM @ | 6 L NS @ | 7 P JAVA @ ")</f>
        <v xml:space="preserve">| 5 L PHP-CGM @ | 6 L NS @ | 7 P JAVA @ </v>
      </c>
      <c r="BL457" s="4" t="str">
        <f ca="1">IFERROR(__xludf.DUMMYFUNCTION("""COMPUTED_VALUE"""),"| 5 L NS @ | 6 L PHP-CGM @ | 7 L JAVA @ | 8 L CPT @ ")</f>
        <v xml:space="preserve">| 5 L NS @ | 6 L PHP-CGM @ | 7 L JAVA @ | 8 L CPT @ </v>
      </c>
      <c r="BM457" s="4" t="str">
        <f ca="1">IFERROR(__xludf.DUMMYFUNCTION("""COMPUTED_VALUE"""),"| 5 L CPT @ | 6 L NS @ | 7 P Python @ | 9 P NS @ ")</f>
        <v xml:space="preserve">| 5 L CPT @ | 6 L NS @ | 7 P Python @ | 9 P NS @ </v>
      </c>
      <c r="BN457" s="4" t="str">
        <f ca="1">IFERROR(__xludf.DUMMYFUNCTION("""COMPUTED_VALUE"""),"| 5 L JAVA @ | 6 L JAVA @ ")</f>
        <v xml:space="preserve">| 5 L JAVA @ | 6 L JAVA @ </v>
      </c>
      <c r="BO457" s="4" t="str">
        <f ca="1">IFERROR(__xludf.DUMMYFUNCTION("""COMPUTED_VALUE"""),"| 5 L PHP-CGM @ | 9 L INE @ | 6 L CPT @ | 7 P CPT @ ")</f>
        <v xml:space="preserve">| 5 L PHP-CGM @ | 9 L INE @ | 6 L CPT @ | 7 P CPT @ </v>
      </c>
      <c r="BP457" s="4" t="str">
        <f ca="1">IFERROR(__xludf.DUMMYFUNCTION("""COMPUTED_VALUE"""),"| 5 L PHP-CGM % | 6 L NS % | 7 P JAVA % ")</f>
        <v xml:space="preserve">| 5 L PHP-CGM % | 6 L NS % | 7 P JAVA % </v>
      </c>
      <c r="BQ457" s="4" t="str">
        <f ca="1">IFERROR(__xludf.DUMMYFUNCTION("""COMPUTED_VALUE"""),"| 5 L CPT @ ")</f>
        <v xml:space="preserve">| 5 L CPT @ </v>
      </c>
      <c r="BR457" s="4" t="str">
        <f ca="1">IFERROR(__xludf.DUMMYFUNCTION("""COMPUTED_VALUE"""),"| 5 L JAVA % | 6 L JAVA % ")</f>
        <v xml:space="preserve">| 5 L JAVA % | 6 L JAVA % </v>
      </c>
      <c r="BS457" s="4"/>
      <c r="BT457" s="4" t="str">
        <f ca="1">IFERROR(__xludf.DUMMYFUNCTION("""COMPUTED_VALUE"""),"| 7 P JAVA @ ")</f>
        <v xml:space="preserve">| 7 P JAVA @ </v>
      </c>
      <c r="BU457" s="4" t="str">
        <f ca="1">IFERROR(__xludf.DUMMYFUNCTION("""COMPUTED_VALUE"""),"| 7 L JAVA @ ")</f>
        <v xml:space="preserve">| 7 L JAVA @ </v>
      </c>
      <c r="BV457" s="4" t="str">
        <f ca="1">IFERROR(__xludf.DUMMYFUNCTION("""COMPUTED_VALUE"""),"| 5 L PHP-CGM % | 6 L NS % | 7 P JAVA @ | 9 P Python @ ")</f>
        <v xml:space="preserve">| 5 L PHP-CGM % | 6 L NS % | 7 P JAVA @ | 9 P Python @ </v>
      </c>
      <c r="BW457" s="4"/>
      <c r="BX457" s="4" t="str">
        <f ca="1">IFERROR(__xludf.DUMMYFUNCTION("""COMPUTED_VALUE"""),"| 5 L CPT % | 6 L NS % | 7 P Python % ")</f>
        <v xml:space="preserve">| 5 L CPT % | 6 L NS % | 7 P Python % </v>
      </c>
      <c r="BY457" s="4" t="str">
        <f ca="1">IFERROR(__xludf.DUMMYFUNCTION("""COMPUTED_VALUE"""),"| 5 L JAVA % | 6 L JAVA % | 7 P JAVA % ")</f>
        <v xml:space="preserve">| 5 L JAVA % | 6 L JAVA % | 7 P JAVA % </v>
      </c>
      <c r="BZ457" s="4" t="str">
        <f ca="1">IFERROR(__xludf.DUMMYFUNCTION("""COMPUTED_VALUE"""),"| 5 L PHP-CGM % | 6 L CPT % | 7 P CPT % ")</f>
        <v xml:space="preserve">| 5 L PHP-CGM % | 6 L CPT % | 7 P CPT % </v>
      </c>
      <c r="CA457" s="4" t="str">
        <f ca="1">IFERROR(__xludf.DUMMYFUNCTION("""COMPUTED_VALUE"""),"| 5 L PHP-CGM % | 6 L NS % | 7 P JAVA % | 9 P Python @ ")</f>
        <v xml:space="preserve">| 5 L PHP-CGM % | 6 L NS % | 7 P JAVA % | 9 P Python @ </v>
      </c>
      <c r="CB457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57" s="4" t="str">
        <f ca="1">IFERROR(__xludf.DUMMYFUNCTION("""COMPUTED_VALUE"""),"| 6 L NS % | 5 L CPT % | 7 P Python % | 9 P NS % ")</f>
        <v xml:space="preserve">| 6 L NS % | 5 L CPT % | 7 P Python % | 9 P NS % </v>
      </c>
      <c r="CD457" s="4" t="str">
        <f ca="1">IFERROR(__xludf.DUMMYFUNCTION("""COMPUTED_VALUE"""),"| 5 L JAVA % | 6 L JAVA % | 7 P JAVA % | 9 P PRO % ")</f>
        <v xml:space="preserve">| 5 L JAVA % | 6 L JAVA % | 7 P JAVA % | 9 P PRO % </v>
      </c>
      <c r="CE457" s="4" t="str">
        <f ca="1">IFERROR(__xludf.DUMMYFUNCTION("""COMPUTED_VALUE"""),"| 5 L PHP-CGM @ | 6 L CPT @ | 7 P CPT @ | 9 L INE @ ")</f>
        <v xml:space="preserve">| 5 L PHP-CGM @ | 6 L CPT @ | 7 P CPT @ | 9 L INE @ </v>
      </c>
      <c r="CF457" s="4" t="str">
        <f ca="1">IFERROR(__xludf.DUMMYFUNCTION("""COMPUTED_VALUE"""),"| 5 L PHP-CGM @ | 6 L NS @ | 7 P JAVA % | 9 P Python % ")</f>
        <v xml:space="preserve">| 5 L PHP-CGM @ | 6 L NS @ | 7 P JAVA % | 9 P Python % </v>
      </c>
      <c r="CG457" s="4" t="str">
        <f ca="1">IFERROR(__xludf.DUMMYFUNCTION("""COMPUTED_VALUE"""),"| 6 L PHP-CGM @ | 7 L JAVA @ | 8 L CPT % ")</f>
        <v xml:space="preserve">| 6 L PHP-CGM @ | 7 L JAVA @ | 8 L CPT % </v>
      </c>
      <c r="CH457" s="4" t="str">
        <f ca="1">IFERROR(__xludf.DUMMYFUNCTION("""COMPUTED_VALUE"""),"| 5 L CPT % | 6 L NS % ")</f>
        <v xml:space="preserve">| 5 L CPT % | 6 L NS % </v>
      </c>
      <c r="CI457" s="4" t="str">
        <f ca="1">IFERROR(__xludf.DUMMYFUNCTION("""COMPUTED_VALUE"""),"| 5 L JAVA % | 6 L JAVA % | 7 P JAVA @ | 9 P PRO @ ")</f>
        <v xml:space="preserve">| 5 L JAVA % | 6 L JAVA % | 7 P JAVA @ | 9 P PRO @ </v>
      </c>
      <c r="CJ457" s="4" t="str">
        <f ca="1">IFERROR(__xludf.DUMMYFUNCTION("""COMPUTED_VALUE"""),"| 5 L PHP-CGM @ | 9 L INE @ ")</f>
        <v xml:space="preserve">| 5 L PHP-CGM @ | 9 L INE @ </v>
      </c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</row>
    <row r="458" spans="1:102" ht="12.5" x14ac:dyDescent="0.25">
      <c r="A458" s="3">
        <f ca="1">IFERROR(__xludf.DUMMYFUNCTION("""COMPUTED_VALUE"""),3)</f>
        <v>3</v>
      </c>
      <c r="B458" s="3" t="str">
        <f ca="1">IFERROR(__xludf.DUMMYFUNCTION("""COMPUTED_VALUE"""),"ITB")</f>
        <v>ITB</v>
      </c>
      <c r="C458" s="32" t="str">
        <f ca="1">IFERROR(__xludf.DUMMYFUNCTION("""COMPUTED_VALUE"""),"23291371128")</f>
        <v>23291371128</v>
      </c>
      <c r="D458" s="4" t="str">
        <f ca="1">IFERROR(__xludf.DUMMYFUNCTION("""COMPUTED_VALUE"""),"RAVAL HARSHKUMAR SHAILESHBHAI")</f>
        <v>RAVAL HARSHKUMAR SHAILESHBHAI</v>
      </c>
      <c r="E458" s="3" t="str">
        <f ca="1">IFERROR(__xludf.DUMMYFUNCTION("""COMPUTED_VALUE"""),"VSP - Eve")</f>
        <v>VSP - Eve</v>
      </c>
      <c r="F458" s="3">
        <f ca="1">IFERROR(__xludf.DUMMYFUNCTION("""COMPUTED_VALUE"""),7567605531)</f>
        <v>7567605531</v>
      </c>
      <c r="G458" s="3">
        <f ca="1">IFERROR(__xludf.DUMMYFUNCTION("""COMPUTED_VALUE"""),9974540377)</f>
        <v>9974540377</v>
      </c>
      <c r="H458" s="33">
        <f ca="1">IFERROR(__xludf.DUMMYFUNCTION("""COMPUTED_VALUE"""),0.849557522123893)</f>
        <v>0.84955752212389302</v>
      </c>
      <c r="I458" s="25">
        <f ca="1">IFERROR(__xludf.DUMMYFUNCTION("""COMPUTED_VALUE"""),0.833333333333333)</f>
        <v>0.83333333333333304</v>
      </c>
      <c r="J458" s="25">
        <f ca="1">IFERROR(__xludf.DUMMYFUNCTION("""COMPUTED_VALUE"""),0.9)</f>
        <v>0.9</v>
      </c>
      <c r="K458" s="25">
        <f ca="1">IFERROR(__xludf.DUMMYFUNCTION("""COMPUTED_VALUE"""),0.848484848484848)</f>
        <v>0.84848484848484795</v>
      </c>
      <c r="L458" s="25">
        <f ca="1">IFERROR(__xludf.DUMMYFUNCTION("""COMPUTED_VALUE"""),0.777777777777777)</f>
        <v>0.77777777777777701</v>
      </c>
      <c r="M458" s="25">
        <f ca="1">IFERROR(__xludf.DUMMYFUNCTION("""COMPUTED_VALUE"""),0.794117647058823)</f>
        <v>0.79411764705882304</v>
      </c>
      <c r="N458" s="25">
        <f ca="1">IFERROR(__xludf.DUMMYFUNCTION("""COMPUTED_VALUE"""),0.8)</f>
        <v>0.8</v>
      </c>
      <c r="O458" s="25">
        <f ca="1">IFERROR(__xludf.DUMMYFUNCTION("""COMPUTED_VALUE"""),0.871794871794871)</f>
        <v>0.87179487179487103</v>
      </c>
      <c r="P458" s="25">
        <f ca="1">IFERROR(__xludf.DUMMYFUNCTION("""COMPUTED_VALUE"""),0.923076923076923)</f>
        <v>0.92307692307692302</v>
      </c>
      <c r="Q458" s="25">
        <f ca="1">IFERROR(__xludf.DUMMYFUNCTION("""COMPUTED_VALUE"""),0)</f>
        <v>0</v>
      </c>
      <c r="R458" s="25">
        <f ca="1">IFERROR(__xludf.DUMMYFUNCTION("""COMPUTED_VALUE"""),0.894736842105263)</f>
        <v>0.89473684210526305</v>
      </c>
      <c r="S458" s="25">
        <f ca="1">IFERROR(__xludf.DUMMYFUNCTION("""COMPUTED_VALUE"""),0)</f>
        <v>0</v>
      </c>
      <c r="T458" s="25">
        <f ca="1">IFERROR(__xludf.DUMMYFUNCTION("""COMPUTED_VALUE"""),1)</f>
        <v>1</v>
      </c>
      <c r="U458" s="25">
        <f ca="1">IFERROR(__xludf.DUMMYFUNCTION("""COMPUTED_VALUE"""),0.5)</f>
        <v>0.5</v>
      </c>
      <c r="V458" s="25">
        <f ca="1">IFERROR(__xludf.DUMMYFUNCTION("""COMPUTED_VALUE"""),0)</f>
        <v>0</v>
      </c>
      <c r="W458" s="4"/>
      <c r="X458" s="4" t="str">
        <f ca="1">IFERROR(__xludf.DUMMYFUNCTION("""COMPUTED_VALUE"""),"| 5 L PHP-CGM % | 6 L NS % | 7 P JAVA % | 9 P Python @ ")</f>
        <v xml:space="preserve">| 5 L PHP-CGM % | 6 L NS % | 7 P JAVA % | 9 P Python @ </v>
      </c>
      <c r="Y458" s="4" t="str">
        <f ca="1">IFERROR(__xludf.DUMMYFUNCTION("""COMPUTED_VALUE"""),"| 5 L NS % | 6 L PHP-CGM % | 7 L JAVA % | 8 L CPT % ")</f>
        <v xml:space="preserve">| 5 L NS % | 6 L PHP-CGM % | 7 L JAVA % | 8 L CPT % </v>
      </c>
      <c r="Z458" s="4" t="str">
        <f ca="1">IFERROR(__xludf.DUMMYFUNCTION("""COMPUTED_VALUE"""),"| 5 L JAVA % | 6 L NS % | 7 P Python % | 9 P NS % ")</f>
        <v xml:space="preserve">| 5 L JAVA % | 6 L NS % | 7 P Python % | 9 P NS % </v>
      </c>
      <c r="AA458" s="4" t="str">
        <f ca="1">IFERROR(__xludf.DUMMYFUNCTION("""COMPUTED_VALUE"""),"| 5 L CPT % | 6 L JAVA % | 7 P JAVA % | 9 P PRO % ")</f>
        <v xml:space="preserve">| 5 L CPT % | 6 L JAVA % | 7 P JAVA % | 9 P PRO % </v>
      </c>
      <c r="AB458" s="4" t="str">
        <f ca="1">IFERROR(__xludf.DUMMYFUNCTION("""COMPUTED_VALUE"""),"| 5 L PHP-CGM % | 6 L CPT % | 7 P CPT % ")</f>
        <v xml:space="preserve">| 5 L PHP-CGM % | 6 L CPT % | 7 P CPT % </v>
      </c>
      <c r="AC458" s="4" t="str">
        <f ca="1">IFERROR(__xludf.DUMMYFUNCTION("""COMPUTED_VALUE"""),"| 5 L PHP-CGM % | 6 L NS % | 7 P JAVA % | 9 P Python % ")</f>
        <v xml:space="preserve">| 5 L PHP-CGM % | 6 L NS % | 7 P JAVA % | 9 P Python % </v>
      </c>
      <c r="AD458" s="4" t="str">
        <f ca="1">IFERROR(__xludf.DUMMYFUNCTION("""COMPUTED_VALUE"""),"| 5 L NS @ | 7 L JAVA % | 8 L CPT % | 9 P PHP-CGM % | 6 L PHP-CGM @ ")</f>
        <v xml:space="preserve">| 5 L NS @ | 7 L JAVA % | 8 L CPT % | 9 P PHP-CGM % | 6 L PHP-CGM @ </v>
      </c>
      <c r="AE458" s="4" t="str">
        <f ca="1">IFERROR(__xludf.DUMMYFUNCTION("""COMPUTED_VALUE"""),"| 5 L JAVA % | 6 L NS % | 7 P Python % | 9 P NS % ")</f>
        <v xml:space="preserve">| 5 L JAVA % | 6 L NS % | 7 P Python % | 9 P NS % </v>
      </c>
      <c r="AF458" s="4" t="str">
        <f ca="1">IFERROR(__xludf.DUMMYFUNCTION("""COMPUTED_VALUE"""),"| 5 L CPT % | 6 L JAVA % | 7 P JAVA % | 9 P PRO % ")</f>
        <v xml:space="preserve">| 5 L CPT % | 6 L JAVA % | 7 P JAVA % | 9 P PRO % </v>
      </c>
      <c r="AG458" s="4" t="str">
        <f ca="1">IFERROR(__xludf.DUMMYFUNCTION("""COMPUTED_VALUE"""),"| 5 L PHP-CGM % | 6 L CPT % | 8 P CPT % ")</f>
        <v xml:space="preserve">| 5 L PHP-CGM % | 6 L CPT % | 8 P CPT % </v>
      </c>
      <c r="AH458" s="4" t="str">
        <f ca="1">IFERROR(__xludf.DUMMYFUNCTION("""COMPUTED_VALUE"""),"| 5 L CPT % | 6 L JAVA % | 7 P JAVA % | 9 P PRO % ")</f>
        <v xml:space="preserve">| 5 L CPT % | 6 L JAVA % | 7 P JAVA % | 9 P PRO % </v>
      </c>
      <c r="AI458" s="4" t="str">
        <f ca="1">IFERROR(__xludf.DUMMYFUNCTION("""COMPUTED_VALUE"""),"| 5 L PHP-CGM % | 6 L CPT % | 7 P CPT % ")</f>
        <v xml:space="preserve">| 5 L PHP-CGM % | 6 L CPT % | 7 P CPT % </v>
      </c>
      <c r="AJ458" s="4" t="str">
        <f ca="1">IFERROR(__xludf.DUMMYFUNCTION("""COMPUTED_VALUE"""),"| 5 L PHP-CGM % | 6 L NS % | 7 P JAVA % | 9 P Python % ")</f>
        <v xml:space="preserve">| 5 L PHP-CGM % | 6 L NS % | 7 P JAVA % | 9 P Python % </v>
      </c>
      <c r="AK458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L458" s="4" t="str">
        <f ca="1">IFERROR(__xludf.DUMMYFUNCTION("""COMPUTED_VALUE"""),"| 5 L JAVA % | 6 L NS % | 7 P Python % | 9 P NS % ")</f>
        <v xml:space="preserve">| 5 L JAVA % | 6 L NS % | 7 P Python % | 9 P NS % </v>
      </c>
      <c r="AM458" s="4" t="str">
        <f ca="1">IFERROR(__xludf.DUMMYFUNCTION("""COMPUTED_VALUE"""),"| 5 L CPT % | 6 L JAVA % | 7 P JAVA % | 9 P PRO % ")</f>
        <v xml:space="preserve">| 5 L CPT % | 6 L JAVA % | 7 P JAVA % | 9 P PRO % </v>
      </c>
      <c r="AN458" s="4" t="str">
        <f ca="1">IFERROR(__xludf.DUMMYFUNCTION("""COMPUTED_VALUE"""),"| 5 L PHP-CGM % | 6 L CPT % | 7 P CPT % ")</f>
        <v xml:space="preserve">| 5 L PHP-CGM % | 6 L CPT % | 7 P CPT % </v>
      </c>
      <c r="AO458" s="4" t="str">
        <f ca="1">IFERROR(__xludf.DUMMYFUNCTION("""COMPUTED_VALUE"""),"| 5 L PHP-CGM % | 6 L NS % | 7 P JAVA % ")</f>
        <v xml:space="preserve">| 5 L PHP-CGM % | 6 L NS % | 7 P JAVA % </v>
      </c>
      <c r="AP458" s="4" t="str">
        <f ca="1">IFERROR(__xludf.DUMMYFUNCTION("""COMPUTED_VALUE"""),"| 5 L NS % | 7 L JAVA % | 8 L CPT % ")</f>
        <v xml:space="preserve">| 5 L NS % | 7 L JAVA % | 8 L CPT % </v>
      </c>
      <c r="AQ458" s="4" t="str">
        <f ca="1">IFERROR(__xludf.DUMMYFUNCTION("""COMPUTED_VALUE"""),"| 5 L CPT % | 6 L NS % | 7 P Python % | 9 P NS % ")</f>
        <v xml:space="preserve">| 5 L CPT % | 6 L NS % | 7 P Python % | 9 P NS % </v>
      </c>
      <c r="AR458" s="4" t="str">
        <f ca="1">IFERROR(__xludf.DUMMYFUNCTION("""COMPUTED_VALUE"""),"| 5 L JAVA % | 6 L JAVA % | 5 L CPT @ | 7 P JAVA % ")</f>
        <v xml:space="preserve">| 5 L JAVA % | 6 L JAVA % | 5 L CPT @ | 7 P JAVA % </v>
      </c>
      <c r="AS458" s="4" t="str">
        <f ca="1">IFERROR(__xludf.DUMMYFUNCTION("""COMPUTED_VALUE"""),"| 5 L PHP-CGM % | 6 L NS % | 7 P JAVA % | 9 P Python % ")</f>
        <v xml:space="preserve">| 5 L PHP-CGM % | 6 L NS % | 7 P JAVA % | 9 P Python % </v>
      </c>
      <c r="AT458" s="4" t="str">
        <f ca="1">IFERROR(__xludf.DUMMYFUNCTION("""COMPUTED_VALUE"""),"| 5 L NS % | 6 L PHP-CGM % | 7 L JAVA % | 8 L CPT % ")</f>
        <v xml:space="preserve">| 5 L NS % | 6 L PHP-CGM % | 7 L JAVA % | 8 L CPT % </v>
      </c>
      <c r="AU458" s="4" t="str">
        <f ca="1">IFERROR(__xludf.DUMMYFUNCTION("""COMPUTED_VALUE"""),"| 5 L CPT % | 6 L NS % | 7 P Python % | 9 P NS % ")</f>
        <v xml:space="preserve">| 5 L CPT % | 6 L NS % | 7 P Python % | 9 P NS % </v>
      </c>
      <c r="AV458" s="4" t="str">
        <f ca="1">IFERROR(__xludf.DUMMYFUNCTION("""COMPUTED_VALUE"""),"| 5 L JAVA % | 6 L JAVA % | 7 P JAVA % | 9 P PRO % ")</f>
        <v xml:space="preserve">| 5 L JAVA % | 6 L JAVA % | 7 P JAVA % | 9 P PRO % </v>
      </c>
      <c r="AW458" s="4" t="str">
        <f ca="1">IFERROR(__xludf.DUMMYFUNCTION("""COMPUTED_VALUE"""),"| 5 L PHP-CGM % | 6 L CPT % | 7 P CPT % | 9 L INE % ")</f>
        <v xml:space="preserve">| 5 L PHP-CGM % | 6 L CPT % | 7 P CPT % | 9 L INE % </v>
      </c>
      <c r="AX458" s="4" t="str">
        <f ca="1">IFERROR(__xludf.DUMMYFUNCTION("""COMPUTED_VALUE"""),"| 5 L PHP-CGM % | 6 L NS % | 7 P JAVA % | 9 P Python % ")</f>
        <v xml:space="preserve">| 5 L PHP-CGM % | 6 L NS % | 7 P JAVA % | 9 P Python % </v>
      </c>
      <c r="AY458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58" s="4" t="str">
        <f ca="1">IFERROR(__xludf.DUMMYFUNCTION("""COMPUTED_VALUE"""),"| 5 L JAVA % | 6 L JAVA % | 7 P JAVA % ")</f>
        <v xml:space="preserve">| 5 L JAVA % | 6 L JAVA % | 7 P JAVA % </v>
      </c>
      <c r="BA458" s="4" t="str">
        <f ca="1">IFERROR(__xludf.DUMMYFUNCTION("""COMPUTED_VALUE"""),"| 5 L PHP-CGM % | 6 L CPT % | 9 P CPT % | 9 L INE % ")</f>
        <v xml:space="preserve">| 5 L PHP-CGM % | 6 L CPT % | 9 P CPT % | 9 L INE % </v>
      </c>
      <c r="BB458" s="4" t="str">
        <f ca="1">IFERROR(__xludf.DUMMYFUNCTION("""COMPUTED_VALUE"""),"| 5 L PHP-CGM % | 6 L NS % | 7 P JAVA % | 9 P Python % ")</f>
        <v xml:space="preserve">| 5 L PHP-CGM % | 6 L NS % | 7 P JAVA % | 9 P Python % </v>
      </c>
      <c r="BC458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BD458" s="4" t="str">
        <f ca="1">IFERROR(__xludf.DUMMYFUNCTION("""COMPUTED_VALUE"""),"| 5 L CPT @ | 6 L NS @ | 7 P Python @ | 9 P NS @ ")</f>
        <v xml:space="preserve">| 5 L CPT @ | 6 L NS @ | 7 P Python @ | 9 P NS @ </v>
      </c>
      <c r="BE458" s="4" t="str">
        <f ca="1">IFERROR(__xludf.DUMMYFUNCTION("""COMPUTED_VALUE"""),"| 5 L JAVA % | 6 L JAVA % | 7 P JAVA % | 9 P PRO % ")</f>
        <v xml:space="preserve">| 5 L JAVA % | 6 L JAVA % | 7 P JAVA % | 9 P PRO % </v>
      </c>
      <c r="BF458" s="4" t="str">
        <f ca="1">IFERROR(__xludf.DUMMYFUNCTION("""COMPUTED_VALUE"""),"| 5 L PHP-CGM % | 6 L CPT % | 7 P CPT % ")</f>
        <v xml:space="preserve">| 5 L PHP-CGM % | 6 L CPT % | 7 P CPT % </v>
      </c>
      <c r="BG458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58" s="4" t="str">
        <f ca="1">IFERROR(__xludf.DUMMYFUNCTION("""COMPUTED_VALUE"""),"| 5 L CPT % | 6 L NS % | 7 P Python % | 9 P NS % ")</f>
        <v xml:space="preserve">| 5 L CPT % | 6 L NS % | 7 P Python % | 9 P NS % </v>
      </c>
      <c r="BI458" s="4" t="str">
        <f ca="1">IFERROR(__xludf.DUMMYFUNCTION("""COMPUTED_VALUE"""),"| 5 L JAVA % | 6 L JAVA % | 7 P JAVA % | 9 P PRO % ")</f>
        <v xml:space="preserve">| 5 L JAVA % | 6 L JAVA % | 7 P JAVA % | 9 P PRO % </v>
      </c>
      <c r="BJ458" s="4" t="str">
        <f ca="1">IFERROR(__xludf.DUMMYFUNCTION("""COMPUTED_VALUE"""),"| 5 L PHP-CGM % | 6 L CPT @ | 9 L INE @ ")</f>
        <v xml:space="preserve">| 5 L PHP-CGM % | 6 L CPT @ | 9 L INE @ </v>
      </c>
      <c r="BK458" s="4" t="str">
        <f ca="1">IFERROR(__xludf.DUMMYFUNCTION("""COMPUTED_VALUE"""),"| 5 L PHP-CGM % | 6 L NS % | 7 P JAVA % ")</f>
        <v xml:space="preserve">| 5 L PHP-CGM % | 6 L NS % | 7 P JAVA % </v>
      </c>
      <c r="BL458" s="4" t="str">
        <f ca="1">IFERROR(__xludf.DUMMYFUNCTION("""COMPUTED_VALUE"""),"| 5 L NS @ | 6 L PHP-CGM @ | 7 L JAVA @ | 8 L CPT @ ")</f>
        <v xml:space="preserve">| 5 L NS @ | 6 L PHP-CGM @ | 7 L JAVA @ | 8 L CPT @ </v>
      </c>
      <c r="BM458" s="4" t="str">
        <f ca="1">IFERROR(__xludf.DUMMYFUNCTION("""COMPUTED_VALUE"""),"| 5 L CPT % | 6 L NS % | 7 P Python % | 9 P NS % ")</f>
        <v xml:space="preserve">| 5 L CPT % | 6 L NS % | 7 P Python % | 9 P NS % </v>
      </c>
      <c r="BN458" s="4" t="str">
        <f ca="1">IFERROR(__xludf.DUMMYFUNCTION("""COMPUTED_VALUE"""),"| 5 L JAVA % | 6 L JAVA % ")</f>
        <v xml:space="preserve">| 5 L JAVA % | 6 L JAVA % </v>
      </c>
      <c r="BO458" s="4" t="str">
        <f ca="1">IFERROR(__xludf.DUMMYFUNCTION("""COMPUTED_VALUE"""),"| 5 L PHP-CGM @ | 9 L INE @ | 6 L CPT @ | 7 P CPT @ ")</f>
        <v xml:space="preserve">| 5 L PHP-CGM @ | 9 L INE @ | 6 L CPT @ | 7 P CPT @ </v>
      </c>
      <c r="BP458" s="4" t="str">
        <f ca="1">IFERROR(__xludf.DUMMYFUNCTION("""COMPUTED_VALUE"""),"| 5 L PHP-CGM % | 6 L NS % | 7 P JAVA % ")</f>
        <v xml:space="preserve">| 5 L PHP-CGM % | 6 L NS % | 7 P JAVA % </v>
      </c>
      <c r="BQ458" s="4" t="str">
        <f ca="1">IFERROR(__xludf.DUMMYFUNCTION("""COMPUTED_VALUE"""),"| 5 L CPT % ")</f>
        <v xml:space="preserve">| 5 L CPT % </v>
      </c>
      <c r="BR458" s="4" t="str">
        <f ca="1">IFERROR(__xludf.DUMMYFUNCTION("""COMPUTED_VALUE"""),"| 5 L JAVA % | 6 L JAVA % ")</f>
        <v xml:space="preserve">| 5 L JAVA % | 6 L JAVA % </v>
      </c>
      <c r="BS458" s="4"/>
      <c r="BT458" s="4" t="str">
        <f ca="1">IFERROR(__xludf.DUMMYFUNCTION("""COMPUTED_VALUE"""),"| 7 P JAVA % ")</f>
        <v xml:space="preserve">| 7 P JAVA % </v>
      </c>
      <c r="BU458" s="4" t="str">
        <f ca="1">IFERROR(__xludf.DUMMYFUNCTION("""COMPUTED_VALUE"""),"| 7 L JAVA @ ")</f>
        <v xml:space="preserve">| 7 L JAVA @ </v>
      </c>
      <c r="BV458" s="4" t="str">
        <f ca="1">IFERROR(__xludf.DUMMYFUNCTION("""COMPUTED_VALUE"""),"| 5 L PHP-CGM % | 6 L NS % | 7 P JAVA @ | 9 P Python % ")</f>
        <v xml:space="preserve">| 5 L PHP-CGM % | 6 L NS % | 7 P JAVA @ | 9 P Python % </v>
      </c>
      <c r="BW458" s="4"/>
      <c r="BX458" s="4" t="str">
        <f ca="1">IFERROR(__xludf.DUMMYFUNCTION("""COMPUTED_VALUE"""),"| 5 L CPT % | 6 L NS % | 7 P Python % ")</f>
        <v xml:space="preserve">| 5 L CPT % | 6 L NS % | 7 P Python % </v>
      </c>
      <c r="BY458" s="4" t="str">
        <f ca="1">IFERROR(__xludf.DUMMYFUNCTION("""COMPUTED_VALUE"""),"| 5 L JAVA % | 6 L JAVA % | 7 P JAVA % ")</f>
        <v xml:space="preserve">| 5 L JAVA % | 6 L JAVA % | 7 P JAVA % </v>
      </c>
      <c r="BZ458" s="4" t="str">
        <f ca="1">IFERROR(__xludf.DUMMYFUNCTION("""COMPUTED_VALUE"""),"| 5 L PHP-CGM % | 6 L CPT % | 7 P CPT % ")</f>
        <v xml:space="preserve">| 5 L PHP-CGM % | 6 L CPT % | 7 P CPT % </v>
      </c>
      <c r="CA458" s="4" t="str">
        <f ca="1">IFERROR(__xludf.DUMMYFUNCTION("""COMPUTED_VALUE"""),"| 5 L PHP-CGM % | 6 L NS % | 7 P JAVA % | 9 P Python % ")</f>
        <v xml:space="preserve">| 5 L PHP-CGM % | 6 L NS % | 7 P JAVA % | 9 P Python % </v>
      </c>
      <c r="CB458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58" s="4" t="str">
        <f ca="1">IFERROR(__xludf.DUMMYFUNCTION("""COMPUTED_VALUE"""),"| 6 L NS % | 5 L CPT % | 7 P Python % | 9 P NS @ ")</f>
        <v xml:space="preserve">| 6 L NS % | 5 L CPT % | 7 P Python % | 9 P NS @ </v>
      </c>
      <c r="CD458" s="4" t="str">
        <f ca="1">IFERROR(__xludf.DUMMYFUNCTION("""COMPUTED_VALUE"""),"| 5 L JAVA % | 6 L JAVA % | 7 P JAVA % | 9 P PRO % ")</f>
        <v xml:space="preserve">| 5 L JAVA % | 6 L JAVA % | 7 P JAVA % | 9 P PRO % </v>
      </c>
      <c r="CE458" s="4" t="str">
        <f ca="1">IFERROR(__xludf.DUMMYFUNCTION("""COMPUTED_VALUE"""),"| 5 L PHP-CGM @ | 6 L CPT % | 7 P CPT % | 9 L INE % ")</f>
        <v xml:space="preserve">| 5 L PHP-CGM @ | 6 L CPT % | 7 P CPT % | 9 L INE % </v>
      </c>
      <c r="CF458" s="4" t="str">
        <f ca="1">IFERROR(__xludf.DUMMYFUNCTION("""COMPUTED_VALUE"""),"| 5 L PHP-CGM @ | 6 L NS @ | 7 P JAVA % | 9 P Python % ")</f>
        <v xml:space="preserve">| 5 L PHP-CGM @ | 6 L NS @ | 7 P JAVA % | 9 P Python % </v>
      </c>
      <c r="CG458" s="4" t="str">
        <f ca="1">IFERROR(__xludf.DUMMYFUNCTION("""COMPUTED_VALUE"""),"| 6 L PHP-CGM % | 7 L JAVA % | 8 L CPT % ")</f>
        <v xml:space="preserve">| 6 L PHP-CGM % | 7 L JAVA % | 8 L CPT % </v>
      </c>
      <c r="CH458" s="4" t="str">
        <f ca="1">IFERROR(__xludf.DUMMYFUNCTION("""COMPUTED_VALUE"""),"| 5 L CPT % | 6 L NS % ")</f>
        <v xml:space="preserve">| 5 L CPT % | 6 L NS % </v>
      </c>
      <c r="CI458" s="4" t="str">
        <f ca="1">IFERROR(__xludf.DUMMYFUNCTION("""COMPUTED_VALUE"""),"| 5 L JAVA @ | 6 L JAVA @ | 7 P JAVA % | 9 P PRO % ")</f>
        <v xml:space="preserve">| 5 L JAVA @ | 6 L JAVA @ | 7 P JAVA % | 9 P PRO % </v>
      </c>
      <c r="CJ458" s="4" t="str">
        <f ca="1">IFERROR(__xludf.DUMMYFUNCTION("""COMPUTED_VALUE"""),"| 5 L PHP-CGM @ | 9 L INE @ ")</f>
        <v xml:space="preserve">| 5 L PHP-CGM @ | 9 L INE @ </v>
      </c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</row>
    <row r="459" spans="1:102" ht="12.5" x14ac:dyDescent="0.25">
      <c r="A459" s="3">
        <f ca="1">IFERROR(__xludf.DUMMYFUNCTION("""COMPUTED_VALUE"""),3)</f>
        <v>3</v>
      </c>
      <c r="B459" s="3" t="str">
        <f ca="1">IFERROR(__xludf.DUMMYFUNCTION("""COMPUTED_VALUE"""),"ITB")</f>
        <v>ITB</v>
      </c>
      <c r="C459" s="32" t="str">
        <f ca="1">IFERROR(__xludf.DUMMYFUNCTION("""COMPUTED_VALUE"""),"23291371134")</f>
        <v>23291371134</v>
      </c>
      <c r="D459" s="4" t="str">
        <f ca="1">IFERROR(__xludf.DUMMYFUNCTION("""COMPUTED_VALUE"""),"SHAH SHYAM PARESH")</f>
        <v>SHAH SHYAM PARESH</v>
      </c>
      <c r="E459" s="3" t="str">
        <f ca="1">IFERROR(__xludf.DUMMYFUNCTION("""COMPUTED_VALUE"""),"VSP - Eve")</f>
        <v>VSP - Eve</v>
      </c>
      <c r="F459" s="3">
        <f ca="1">IFERROR(__xludf.DUMMYFUNCTION("""COMPUTED_VALUE"""),7862044479)</f>
        <v>7862044479</v>
      </c>
      <c r="G459" s="3">
        <f ca="1">IFERROR(__xludf.DUMMYFUNCTION("""COMPUTED_VALUE"""),9998789716)</f>
        <v>9998789716</v>
      </c>
      <c r="H459" s="33">
        <f ca="1">IFERROR(__xludf.DUMMYFUNCTION("""COMPUTED_VALUE"""),0.460176991150442)</f>
        <v>0.46017699115044203</v>
      </c>
      <c r="I459" s="25">
        <f ca="1">IFERROR(__xludf.DUMMYFUNCTION("""COMPUTED_VALUE"""),0.527777777777777)</f>
        <v>0.52777777777777701</v>
      </c>
      <c r="J459" s="25">
        <f ca="1">IFERROR(__xludf.DUMMYFUNCTION("""COMPUTED_VALUE"""),0.6)</f>
        <v>0.6</v>
      </c>
      <c r="K459" s="25">
        <f ca="1">IFERROR(__xludf.DUMMYFUNCTION("""COMPUTED_VALUE"""),0.454545454545454)</f>
        <v>0.45454545454545398</v>
      </c>
      <c r="L459" s="25">
        <f ca="1">IFERROR(__xludf.DUMMYFUNCTION("""COMPUTED_VALUE"""),0.333333333333333)</f>
        <v>0.33333333333333298</v>
      </c>
      <c r="M459" s="25">
        <f ca="1">IFERROR(__xludf.DUMMYFUNCTION("""COMPUTED_VALUE"""),0.294117647058823)</f>
        <v>0.29411764705882298</v>
      </c>
      <c r="N459" s="25">
        <f ca="1">IFERROR(__xludf.DUMMYFUNCTION("""COMPUTED_VALUE"""),0.2)</f>
        <v>0.2</v>
      </c>
      <c r="O459" s="25">
        <f ca="1">IFERROR(__xludf.DUMMYFUNCTION("""COMPUTED_VALUE"""),0.615384615384615)</f>
        <v>0.61538461538461497</v>
      </c>
      <c r="P459" s="25">
        <f ca="1">IFERROR(__xludf.DUMMYFUNCTION("""COMPUTED_VALUE"""),0.538461538461538)</f>
        <v>0.53846153846153799</v>
      </c>
      <c r="Q459" s="25">
        <f ca="1">IFERROR(__xludf.DUMMYFUNCTION("""COMPUTED_VALUE"""),0)</f>
        <v>0</v>
      </c>
      <c r="R459" s="25">
        <f ca="1">IFERROR(__xludf.DUMMYFUNCTION("""COMPUTED_VALUE"""),0.526315789473684)</f>
        <v>0.52631578947368396</v>
      </c>
      <c r="S459" s="25">
        <f ca="1">IFERROR(__xludf.DUMMYFUNCTION("""COMPUTED_VALUE"""),0)</f>
        <v>0</v>
      </c>
      <c r="T459" s="25">
        <f ca="1">IFERROR(__xludf.DUMMYFUNCTION("""COMPUTED_VALUE"""),0.111111111111111)</f>
        <v>0.11111111111111099</v>
      </c>
      <c r="U459" s="25">
        <f ca="1">IFERROR(__xludf.DUMMYFUNCTION("""COMPUTED_VALUE"""),0.166666666666666)</f>
        <v>0.16666666666666599</v>
      </c>
      <c r="V459" s="25">
        <f ca="1">IFERROR(__xludf.DUMMYFUNCTION("""COMPUTED_VALUE"""),0)</f>
        <v>0</v>
      </c>
      <c r="W459" s="4"/>
      <c r="X459" s="4" t="str">
        <f ca="1">IFERROR(__xludf.DUMMYFUNCTION("""COMPUTED_VALUE"""),"| 5 L PHP-CGM @ | 6 L NS @ | 7 P JAVA @ | 9 P Python @ ")</f>
        <v xml:space="preserve">| 5 L PHP-CGM @ | 6 L NS @ | 7 P JAVA @ | 9 P Python @ </v>
      </c>
      <c r="Y459" s="4" t="str">
        <f ca="1">IFERROR(__xludf.DUMMYFUNCTION("""COMPUTED_VALUE"""),"| 5 L NS @ | 6 L PHP-CGM @ | 7 L JAVA @ | 8 L CPT @ ")</f>
        <v xml:space="preserve">| 5 L NS @ | 6 L PHP-CGM @ | 7 L JAVA @ | 8 L CPT @ </v>
      </c>
      <c r="Z459" s="4" t="str">
        <f ca="1">IFERROR(__xludf.DUMMYFUNCTION("""COMPUTED_VALUE"""),"| 5 L JAVA @ | 6 L NS @ | 7 P Python @ | 9 P NS @ ")</f>
        <v xml:space="preserve">| 5 L JAVA @ | 6 L NS @ | 7 P Python @ | 9 P NS @ </v>
      </c>
      <c r="AA459" s="4" t="str">
        <f ca="1">IFERROR(__xludf.DUMMYFUNCTION("""COMPUTED_VALUE"""),"| 5 L CPT @ | 6 L JAVA @ | 7 P JAVA @ | 9 P PRO @ ")</f>
        <v xml:space="preserve">| 5 L CPT @ | 6 L JAVA @ | 7 P JAVA @ | 9 P PRO @ </v>
      </c>
      <c r="AB459" s="4" t="str">
        <f ca="1">IFERROR(__xludf.DUMMYFUNCTION("""COMPUTED_VALUE"""),"| 5 L PHP-CGM @ | 6 L CPT @ | 7 P CPT @ ")</f>
        <v xml:space="preserve">| 5 L PHP-CGM @ | 6 L CPT @ | 7 P CPT @ </v>
      </c>
      <c r="AC459" s="4" t="str">
        <f ca="1">IFERROR(__xludf.DUMMYFUNCTION("""COMPUTED_VALUE"""),"| 5 L PHP-CGM @ | 6 L NS @ | 7 P JAVA @ | 9 P Python % ")</f>
        <v xml:space="preserve">| 5 L PHP-CGM @ | 6 L NS @ | 7 P JAVA @ | 9 P Python % </v>
      </c>
      <c r="AD459" s="4" t="str">
        <f ca="1">IFERROR(__xludf.DUMMYFUNCTION("""COMPUTED_VALUE"""),"| 5 L NS @ | 7 L JAVA % | 8 L CPT % | 9 P PHP-CGM % | 6 L PHP-CGM @ ")</f>
        <v xml:space="preserve">| 5 L NS @ | 7 L JAVA % | 8 L CPT % | 9 P PHP-CGM % | 6 L PHP-CGM @ </v>
      </c>
      <c r="AE459" s="4" t="str">
        <f ca="1">IFERROR(__xludf.DUMMYFUNCTION("""COMPUTED_VALUE"""),"| 5 L JAVA @ | 6 L NS % | 7 P Python % | 9 P NS % ")</f>
        <v xml:space="preserve">| 5 L JAVA @ | 6 L NS % | 7 P Python % | 9 P NS % </v>
      </c>
      <c r="AF459" s="4" t="str">
        <f ca="1">IFERROR(__xludf.DUMMYFUNCTION("""COMPUTED_VALUE"""),"| 5 L CPT @ | 6 L JAVA % | 7 P JAVA % | 9 P PRO @ ")</f>
        <v xml:space="preserve">| 5 L CPT @ | 6 L JAVA % | 7 P JAVA % | 9 P PRO @ </v>
      </c>
      <c r="AG459" s="4" t="str">
        <f ca="1">IFERROR(__xludf.DUMMYFUNCTION("""COMPUTED_VALUE"""),"| 5 L PHP-CGM @ | 6 L CPT @ | 8 P CPT @ ")</f>
        <v xml:space="preserve">| 5 L PHP-CGM @ | 6 L CPT @ | 8 P CPT @ </v>
      </c>
      <c r="AH459" s="4" t="str">
        <f ca="1">IFERROR(__xludf.DUMMYFUNCTION("""COMPUTED_VALUE"""),"| 5 L CPT % | 6 L JAVA % | 7 P JAVA % | 9 P PRO @ ")</f>
        <v xml:space="preserve">| 5 L CPT % | 6 L JAVA % | 7 P JAVA % | 9 P PRO @ </v>
      </c>
      <c r="AI459" s="4" t="str">
        <f ca="1">IFERROR(__xludf.DUMMYFUNCTION("""COMPUTED_VALUE"""),"| 5 L PHP-CGM @ | 6 L CPT % | 7 P CPT % ")</f>
        <v xml:space="preserve">| 5 L PHP-CGM @ | 6 L CPT % | 7 P CPT % </v>
      </c>
      <c r="AJ459" s="4" t="str">
        <f ca="1">IFERROR(__xludf.DUMMYFUNCTION("""COMPUTED_VALUE"""),"| 5 L PHP-CGM % | 6 L NS % | 7 P JAVA % | 9 P Python % ")</f>
        <v xml:space="preserve">| 5 L PHP-CGM % | 6 L NS % | 7 P JAVA % | 9 P Python % </v>
      </c>
      <c r="AK459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AL459" s="4" t="str">
        <f ca="1">IFERROR(__xludf.DUMMYFUNCTION("""COMPUTED_VALUE"""),"| 5 L JAVA % | 6 L NS % | 7 P Python % | 9 P NS % ")</f>
        <v xml:space="preserve">| 5 L JAVA % | 6 L NS % | 7 P Python % | 9 P NS % </v>
      </c>
      <c r="AM459" s="4" t="str">
        <f ca="1">IFERROR(__xludf.DUMMYFUNCTION("""COMPUTED_VALUE"""),"| 5 L CPT % | 6 L JAVA % | 7 P JAVA % | 9 P PRO @ ")</f>
        <v xml:space="preserve">| 5 L CPT % | 6 L JAVA % | 7 P JAVA % | 9 P PRO @ </v>
      </c>
      <c r="AN459" s="4" t="str">
        <f ca="1">IFERROR(__xludf.DUMMYFUNCTION("""COMPUTED_VALUE"""),"| 5 L PHP-CGM % | 6 L CPT % | 7 P CPT % ")</f>
        <v xml:space="preserve">| 5 L PHP-CGM % | 6 L CPT % | 7 P CPT % </v>
      </c>
      <c r="AO459" s="4" t="str">
        <f ca="1">IFERROR(__xludf.DUMMYFUNCTION("""COMPUTED_VALUE"""),"| 5 L PHP-CGM % | 6 L NS % | 7 P JAVA % ")</f>
        <v xml:space="preserve">| 5 L PHP-CGM % | 6 L NS % | 7 P JAVA % </v>
      </c>
      <c r="AP459" s="4" t="str">
        <f ca="1">IFERROR(__xludf.DUMMYFUNCTION("""COMPUTED_VALUE"""),"| 5 L NS % | 7 L JAVA % | 8 L CPT % ")</f>
        <v xml:space="preserve">| 5 L NS % | 7 L JAVA % | 8 L CPT % </v>
      </c>
      <c r="AQ459" s="4" t="str">
        <f ca="1">IFERROR(__xludf.DUMMYFUNCTION("""COMPUTED_VALUE"""),"| 5 L CPT % | 6 L NS % | 7 P Python % | 9 P NS @ ")</f>
        <v xml:space="preserve">| 5 L CPT % | 6 L NS % | 7 P Python % | 9 P NS @ </v>
      </c>
      <c r="AR459" s="4" t="str">
        <f ca="1">IFERROR(__xludf.DUMMYFUNCTION("""COMPUTED_VALUE"""),"| 5 L JAVA @ | 6 L JAVA @ | 5 L CPT @ | 7 P JAVA @ ")</f>
        <v xml:space="preserve">| 5 L JAVA @ | 6 L JAVA @ | 5 L CPT @ | 7 P JAVA @ </v>
      </c>
      <c r="AS459" s="4" t="str">
        <f ca="1">IFERROR(__xludf.DUMMYFUNCTION("""COMPUTED_VALUE"""),"| 5 L PHP-CGM @ | 6 L NS @ | 7 P JAVA @ | 9 P Python @ ")</f>
        <v xml:space="preserve">| 5 L PHP-CGM @ | 6 L NS @ | 7 P JAVA @ | 9 P Python @ </v>
      </c>
      <c r="AT459" s="4" t="str">
        <f ca="1">IFERROR(__xludf.DUMMYFUNCTION("""COMPUTED_VALUE"""),"| 5 L NS @ | 6 L PHP-CGM @ | 7 L JAVA @ | 8 L CPT % ")</f>
        <v xml:space="preserve">| 5 L NS @ | 6 L PHP-CGM @ | 7 L JAVA @ | 8 L CPT % </v>
      </c>
      <c r="AU459" s="4" t="str">
        <f ca="1">IFERROR(__xludf.DUMMYFUNCTION("""COMPUTED_VALUE"""),"| 5 L CPT @ | 6 L NS % | 7 P Python % | 9 P NS @ ")</f>
        <v xml:space="preserve">| 5 L CPT @ | 6 L NS % | 7 P Python % | 9 P NS @ </v>
      </c>
      <c r="AV459" s="4" t="str">
        <f ca="1">IFERROR(__xludf.DUMMYFUNCTION("""COMPUTED_VALUE"""),"| 5 L JAVA % | 6 L JAVA % | 7 P JAVA % | 9 P PRO % ")</f>
        <v xml:space="preserve">| 5 L JAVA % | 6 L JAVA % | 7 P JAVA % | 9 P PRO % </v>
      </c>
      <c r="AW459" s="4" t="str">
        <f ca="1">IFERROR(__xludf.DUMMYFUNCTION("""COMPUTED_VALUE"""),"| 5 L PHP-CGM % | 6 L CPT % | 7 P CPT % | 9 L INE @ ")</f>
        <v xml:space="preserve">| 5 L PHP-CGM % | 6 L CPT % | 7 P CPT % | 9 L INE @ </v>
      </c>
      <c r="AX459" s="4" t="str">
        <f ca="1">IFERROR(__xludf.DUMMYFUNCTION("""COMPUTED_VALUE"""),"| 5 L PHP-CGM % | 6 L NS % | 7 P JAVA % | 9 P Python @ ")</f>
        <v xml:space="preserve">| 5 L PHP-CGM % | 6 L NS % | 7 P JAVA % | 9 P Python @ </v>
      </c>
      <c r="AY459" s="4" t="str">
        <f ca="1">IFERROR(__xludf.DUMMYFUNCTION("""COMPUTED_VALUE"""),"| 5 L NS @ | 6 L PHP-CGM % | 7 L JAVA % | 8 L CPT % | 9 P PHP-CGM @ ")</f>
        <v xml:space="preserve">| 5 L NS @ | 6 L PHP-CGM % | 7 L JAVA % | 8 L CPT % | 9 P PHP-CGM @ </v>
      </c>
      <c r="AZ459" s="4" t="str">
        <f ca="1">IFERROR(__xludf.DUMMYFUNCTION("""COMPUTED_VALUE"""),"| 5 L JAVA % | 6 L JAVA % | 7 P JAVA % ")</f>
        <v xml:space="preserve">| 5 L JAVA % | 6 L JAVA % | 7 P JAVA % </v>
      </c>
      <c r="BA459" s="4" t="str">
        <f ca="1">IFERROR(__xludf.DUMMYFUNCTION("""COMPUTED_VALUE"""),"| 5 L PHP-CGM @ | 6 L CPT @ | 9 P CPT @ | 9 L INE @ ")</f>
        <v xml:space="preserve">| 5 L PHP-CGM @ | 6 L CPT @ | 9 P CPT @ | 9 L INE @ </v>
      </c>
      <c r="BB459" s="4" t="str">
        <f ca="1">IFERROR(__xludf.DUMMYFUNCTION("""COMPUTED_VALUE"""),"| 5 L PHP-CGM @ | 6 L NS @ | 7 P JAVA @ | 9 P Python @ ")</f>
        <v xml:space="preserve">| 5 L PHP-CGM @ | 6 L NS @ | 7 P JAVA @ | 9 P Python @ </v>
      </c>
      <c r="BC459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D459" s="4" t="str">
        <f ca="1">IFERROR(__xludf.DUMMYFUNCTION("""COMPUTED_VALUE"""),"| 5 L CPT @ | 6 L NS % | 7 P Python % | 9 P NS % ")</f>
        <v xml:space="preserve">| 5 L CPT @ | 6 L NS % | 7 P Python % | 9 P NS % </v>
      </c>
      <c r="BE459" s="4" t="str">
        <f ca="1">IFERROR(__xludf.DUMMYFUNCTION("""COMPUTED_VALUE"""),"| 5 L JAVA % | 6 L JAVA % | 7 P JAVA % | 9 P PRO @ ")</f>
        <v xml:space="preserve">| 5 L JAVA % | 6 L JAVA % | 7 P JAVA % | 9 P PRO @ </v>
      </c>
      <c r="BF459" s="4" t="str">
        <f ca="1">IFERROR(__xludf.DUMMYFUNCTION("""COMPUTED_VALUE"""),"| 5 L PHP-CGM @ | 6 L CPT @ | 7 P CPT % ")</f>
        <v xml:space="preserve">| 5 L PHP-CGM @ | 6 L CPT @ | 7 P CPT % </v>
      </c>
      <c r="BG459" s="4" t="str">
        <f ca="1">IFERROR(__xludf.DUMMYFUNCTION("""COMPUTED_VALUE"""),"| 5 L NS @ | 6 L PHP-CGM % | 7 L JAVA % | 8 L CPT % | 9 P PHP-CGM @ ")</f>
        <v xml:space="preserve">| 5 L NS @ | 6 L PHP-CGM % | 7 L JAVA % | 8 L CPT % | 9 P PHP-CGM @ </v>
      </c>
      <c r="BH459" s="4" t="str">
        <f ca="1">IFERROR(__xludf.DUMMYFUNCTION("""COMPUTED_VALUE"""),"| 5 L CPT % | 6 L NS % | 7 P Python % | 9 P NS @ ")</f>
        <v xml:space="preserve">| 5 L CPT % | 6 L NS % | 7 P Python % | 9 P NS @ </v>
      </c>
      <c r="BI459" s="4" t="str">
        <f ca="1">IFERROR(__xludf.DUMMYFUNCTION("""COMPUTED_VALUE"""),"| 5 L JAVA % | 6 L JAVA % | 7 P JAVA % | 9 P PRO @ ")</f>
        <v xml:space="preserve">| 5 L JAVA % | 6 L JAVA % | 7 P JAVA % | 9 P PRO @ </v>
      </c>
      <c r="BJ459" s="4" t="str">
        <f ca="1">IFERROR(__xludf.DUMMYFUNCTION("""COMPUTED_VALUE"""),"| 5 L PHP-CGM @ | 6 L CPT % | 9 L INE @ ")</f>
        <v xml:space="preserve">| 5 L PHP-CGM @ | 6 L CPT % | 9 L INE @ </v>
      </c>
      <c r="BK459" s="4" t="str">
        <f ca="1">IFERROR(__xludf.DUMMYFUNCTION("""COMPUTED_VALUE"""),"| 5 L PHP-CGM @ | 6 L NS @ | 7 P JAVA @ ")</f>
        <v xml:space="preserve">| 5 L PHP-CGM @ | 6 L NS @ | 7 P JAVA @ </v>
      </c>
      <c r="BL459" s="4" t="str">
        <f ca="1">IFERROR(__xludf.DUMMYFUNCTION("""COMPUTED_VALUE"""),"| 5 L NS @ | 6 L PHP-CGM @ | 7 L JAVA @ | 8 L CPT @ ")</f>
        <v xml:space="preserve">| 5 L NS @ | 6 L PHP-CGM @ | 7 L JAVA @ | 8 L CPT @ </v>
      </c>
      <c r="BM459" s="4" t="str">
        <f ca="1">IFERROR(__xludf.DUMMYFUNCTION("""COMPUTED_VALUE"""),"| 5 L CPT @ | 6 L NS @ | 7 P Python @ | 9 P NS @ ")</f>
        <v xml:space="preserve">| 5 L CPT @ | 6 L NS @ | 7 P Python @ | 9 P NS @ </v>
      </c>
      <c r="BN459" s="4" t="str">
        <f ca="1">IFERROR(__xludf.DUMMYFUNCTION("""COMPUTED_VALUE"""),"| 5 L JAVA % | 6 L JAVA % ")</f>
        <v xml:space="preserve">| 5 L JAVA % | 6 L JAVA % </v>
      </c>
      <c r="BO459" s="4" t="str">
        <f ca="1">IFERROR(__xludf.DUMMYFUNCTION("""COMPUTED_VALUE"""),"| 5 L PHP-CGM @ | 9 L INE @ | 6 L CPT @ | 7 P CPT @ ")</f>
        <v xml:space="preserve">| 5 L PHP-CGM @ | 9 L INE @ | 6 L CPT @ | 7 P CPT @ </v>
      </c>
      <c r="BP459" s="4" t="str">
        <f ca="1">IFERROR(__xludf.DUMMYFUNCTION("""COMPUTED_VALUE"""),"| 5 L PHP-CGM @ | 6 L NS @ | 7 P JAVA @ ")</f>
        <v xml:space="preserve">| 5 L PHP-CGM @ | 6 L NS @ | 7 P JAVA @ </v>
      </c>
      <c r="BQ459" s="4" t="str">
        <f ca="1">IFERROR(__xludf.DUMMYFUNCTION("""COMPUTED_VALUE"""),"| 5 L CPT @ ")</f>
        <v xml:space="preserve">| 5 L CPT @ </v>
      </c>
      <c r="BR459" s="4" t="str">
        <f ca="1">IFERROR(__xludf.DUMMYFUNCTION("""COMPUTED_VALUE"""),"| 5 L JAVA % | 6 L JAVA % ")</f>
        <v xml:space="preserve">| 5 L JAVA % | 6 L JAVA % </v>
      </c>
      <c r="BS459" s="4"/>
      <c r="BT459" s="4" t="str">
        <f ca="1">IFERROR(__xludf.DUMMYFUNCTION("""COMPUTED_VALUE"""),"| 7 P JAVA @ ")</f>
        <v xml:space="preserve">| 7 P JAVA @ </v>
      </c>
      <c r="BU459" s="4" t="str">
        <f ca="1">IFERROR(__xludf.DUMMYFUNCTION("""COMPUTED_VALUE"""),"| 7 L JAVA @ ")</f>
        <v xml:space="preserve">| 7 L JAVA @ </v>
      </c>
      <c r="BV459" s="4" t="str">
        <f ca="1">IFERROR(__xludf.DUMMYFUNCTION("""COMPUTED_VALUE"""),"| 5 L PHP-CGM @ | 6 L NS @ | 7 P JAVA @ | 9 P Python @ ")</f>
        <v xml:space="preserve">| 5 L PHP-CGM @ | 6 L NS @ | 7 P JAVA @ | 9 P Python @ </v>
      </c>
      <c r="BW459" s="4"/>
      <c r="BX459" s="4" t="str">
        <f ca="1">IFERROR(__xludf.DUMMYFUNCTION("""COMPUTED_VALUE"""),"| 5 L CPT @ | 6 L NS @ | 7 P Python @ ")</f>
        <v xml:space="preserve">| 5 L CPT @ | 6 L NS @ | 7 P Python @ </v>
      </c>
      <c r="BY459" s="4" t="str">
        <f ca="1">IFERROR(__xludf.DUMMYFUNCTION("""COMPUTED_VALUE"""),"| 5 L JAVA % | 6 L JAVA % | 7 P JAVA % ")</f>
        <v xml:space="preserve">| 5 L JAVA % | 6 L JAVA % | 7 P JAVA % </v>
      </c>
      <c r="BZ459" s="4" t="str">
        <f ca="1">IFERROR(__xludf.DUMMYFUNCTION("""COMPUTED_VALUE"""),"| 5 L PHP-CGM % | 6 L CPT % | 7 P CPT % ")</f>
        <v xml:space="preserve">| 5 L PHP-CGM % | 6 L CPT % | 7 P CPT % </v>
      </c>
      <c r="CA459" s="4" t="str">
        <f ca="1">IFERROR(__xludf.DUMMYFUNCTION("""COMPUTED_VALUE"""),"| 5 L PHP-CGM @ | 6 L NS % | 7 P JAVA % | 9 P Python % ")</f>
        <v xml:space="preserve">| 5 L PHP-CGM @ | 6 L NS % | 7 P JAVA % | 9 P Python % </v>
      </c>
      <c r="CB459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CC459" s="4" t="str">
        <f ca="1">IFERROR(__xludf.DUMMYFUNCTION("""COMPUTED_VALUE"""),"| 6 L NS @ | 5 L CPT @ | 7 P Python @ | 9 P NS @ ")</f>
        <v xml:space="preserve">| 6 L NS @ | 5 L CPT @ | 7 P Python @ | 9 P NS @ </v>
      </c>
      <c r="CD459" s="4" t="str">
        <f ca="1">IFERROR(__xludf.DUMMYFUNCTION("""COMPUTED_VALUE"""),"| 5 L JAVA @ | 6 L JAVA @ | 7 P JAVA @ | 9 P PRO @ ")</f>
        <v xml:space="preserve">| 5 L JAVA @ | 6 L JAVA @ | 7 P JAVA @ | 9 P PRO @ </v>
      </c>
      <c r="CE459" s="4" t="str">
        <f ca="1">IFERROR(__xludf.DUMMYFUNCTION("""COMPUTED_VALUE"""),"| 5 L PHP-CGM @ | 6 L CPT % | 7 P CPT % | 9 L INE % ")</f>
        <v xml:space="preserve">| 5 L PHP-CGM @ | 6 L CPT % | 7 P CPT % | 9 L INE % </v>
      </c>
      <c r="CF459" s="4" t="str">
        <f ca="1">IFERROR(__xludf.DUMMYFUNCTION("""COMPUTED_VALUE"""),"| 5 L PHP-CGM @ | 6 L NS % | 7 P JAVA % | 9 P Python % ")</f>
        <v xml:space="preserve">| 5 L PHP-CGM @ | 6 L NS % | 7 P JAVA % | 9 P Python % </v>
      </c>
      <c r="CG459" s="4" t="str">
        <f ca="1">IFERROR(__xludf.DUMMYFUNCTION("""COMPUTED_VALUE"""),"| 6 L PHP-CGM @ | 7 L JAVA @ | 8 L CPT % ")</f>
        <v xml:space="preserve">| 6 L PHP-CGM @ | 7 L JAVA @ | 8 L CPT % </v>
      </c>
      <c r="CH459" s="4" t="str">
        <f ca="1">IFERROR(__xludf.DUMMYFUNCTION("""COMPUTED_VALUE"""),"| 5 L CPT % | 6 L NS % ")</f>
        <v xml:space="preserve">| 5 L CPT % | 6 L NS % </v>
      </c>
      <c r="CI459" s="4" t="str">
        <f ca="1">IFERROR(__xludf.DUMMYFUNCTION("""COMPUTED_VALUE"""),"| 5 L JAVA @ | 6 L JAVA @ | 7 P JAVA % | 9 P PRO @ ")</f>
        <v xml:space="preserve">| 5 L JAVA @ | 6 L JAVA @ | 7 P JAVA % | 9 P PRO @ </v>
      </c>
      <c r="CJ459" s="4" t="str">
        <f ca="1">IFERROR(__xludf.DUMMYFUNCTION("""COMPUTED_VALUE"""),"| 5 L PHP-CGM @ | 9 L INE @ ")</f>
        <v xml:space="preserve">| 5 L PHP-CGM @ | 9 L INE @ </v>
      </c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</row>
    <row r="460" spans="1:102" ht="12.5" x14ac:dyDescent="0.25">
      <c r="A460" s="3">
        <f ca="1">IFERROR(__xludf.DUMMYFUNCTION("""COMPUTED_VALUE"""),3)</f>
        <v>3</v>
      </c>
      <c r="B460" s="3" t="str">
        <f ca="1">IFERROR(__xludf.DUMMYFUNCTION("""COMPUTED_VALUE"""),"ITB")</f>
        <v>ITB</v>
      </c>
      <c r="C460" s="32" t="str">
        <f ca="1">IFERROR(__xludf.DUMMYFUNCTION("""COMPUTED_VALUE"""),"23291371137")</f>
        <v>23291371137</v>
      </c>
      <c r="D460" s="4" t="str">
        <f ca="1">IFERROR(__xludf.DUMMYFUNCTION("""COMPUTED_VALUE"""),"SHEKH MAHMADZUBER MAHMADASLAM")</f>
        <v>SHEKH MAHMADZUBER MAHMADASLAM</v>
      </c>
      <c r="E460" s="3" t="str">
        <f ca="1">IFERROR(__xludf.DUMMYFUNCTION("""COMPUTED_VALUE"""),"VSP - Eve")</f>
        <v>VSP - Eve</v>
      </c>
      <c r="F460" s="3">
        <f ca="1">IFERROR(__xludf.DUMMYFUNCTION("""COMPUTED_VALUE"""),9023682586)</f>
        <v>9023682586</v>
      </c>
      <c r="G460" s="3">
        <f ca="1">IFERROR(__xludf.DUMMYFUNCTION("""COMPUTED_VALUE"""),9033275907)</f>
        <v>9033275907</v>
      </c>
      <c r="H460" s="33">
        <f ca="1">IFERROR(__xludf.DUMMYFUNCTION("""COMPUTED_VALUE"""),0.730088495575221)</f>
        <v>0.73008849557522104</v>
      </c>
      <c r="I460" s="25">
        <f ca="1">IFERROR(__xludf.DUMMYFUNCTION("""COMPUTED_VALUE"""),0.722222222222222)</f>
        <v>0.72222222222222199</v>
      </c>
      <c r="J460" s="25">
        <f ca="1">IFERROR(__xludf.DUMMYFUNCTION("""COMPUTED_VALUE"""),0.7)</f>
        <v>0.7</v>
      </c>
      <c r="K460" s="25">
        <f ca="1">IFERROR(__xludf.DUMMYFUNCTION("""COMPUTED_VALUE"""),0.727272727272727)</f>
        <v>0.72727272727272696</v>
      </c>
      <c r="L460" s="25">
        <f ca="1">IFERROR(__xludf.DUMMYFUNCTION("""COMPUTED_VALUE"""),0.666666666666666)</f>
        <v>0.66666666666666596</v>
      </c>
      <c r="M460" s="25">
        <f ca="1">IFERROR(__xludf.DUMMYFUNCTION("""COMPUTED_VALUE"""),0.676470588235294)</f>
        <v>0.67647058823529405</v>
      </c>
      <c r="N460" s="25">
        <f ca="1">IFERROR(__xludf.DUMMYFUNCTION("""COMPUTED_VALUE"""),1)</f>
        <v>1</v>
      </c>
      <c r="O460" s="25">
        <f ca="1">IFERROR(__xludf.DUMMYFUNCTION("""COMPUTED_VALUE"""),0.743589743589743)</f>
        <v>0.74358974358974295</v>
      </c>
      <c r="P460" s="25">
        <f ca="1">IFERROR(__xludf.DUMMYFUNCTION("""COMPUTED_VALUE"""),0.73076923076923)</f>
        <v>0.73076923076922995</v>
      </c>
      <c r="Q460" s="25">
        <f ca="1">IFERROR(__xludf.DUMMYFUNCTION("""COMPUTED_VALUE"""),0)</f>
        <v>0</v>
      </c>
      <c r="R460" s="25">
        <f ca="1">IFERROR(__xludf.DUMMYFUNCTION("""COMPUTED_VALUE"""),0.789473684210526)</f>
        <v>0.78947368421052599</v>
      </c>
      <c r="S460" s="25">
        <f ca="1">IFERROR(__xludf.DUMMYFUNCTION("""COMPUTED_VALUE"""),0)</f>
        <v>0</v>
      </c>
      <c r="T460" s="25">
        <f ca="1">IFERROR(__xludf.DUMMYFUNCTION("""COMPUTED_VALUE"""),0.888888888888888)</f>
        <v>0.88888888888888795</v>
      </c>
      <c r="U460" s="25">
        <f ca="1">IFERROR(__xludf.DUMMYFUNCTION("""COMPUTED_VALUE"""),0.5)</f>
        <v>0.5</v>
      </c>
      <c r="V460" s="25">
        <f ca="1">IFERROR(__xludf.DUMMYFUNCTION("""COMPUTED_VALUE"""),0)</f>
        <v>0</v>
      </c>
      <c r="W460" s="4"/>
      <c r="X460" s="4" t="str">
        <f ca="1">IFERROR(__xludf.DUMMYFUNCTION("""COMPUTED_VALUE"""),"| 5 L PHP-CGM @ | 6 L NS @ | 7 P JAVA @ | 9 P Python @ ")</f>
        <v xml:space="preserve">| 5 L PHP-CGM @ | 6 L NS @ | 7 P JAVA @ | 9 P Python @ </v>
      </c>
      <c r="Y460" s="4" t="str">
        <f ca="1">IFERROR(__xludf.DUMMYFUNCTION("""COMPUTED_VALUE"""),"| 5 L NS @ | 6 L PHP-CGM @ | 7 L JAVA @ | 8 L CPT @ ")</f>
        <v xml:space="preserve">| 5 L NS @ | 6 L PHP-CGM @ | 7 L JAVA @ | 8 L CPT @ </v>
      </c>
      <c r="Z460" s="4" t="str">
        <f ca="1">IFERROR(__xludf.DUMMYFUNCTION("""COMPUTED_VALUE"""),"| 5 L JAVA @ | 6 L NS @ | 7 P Python @ | 9 P NS @ ")</f>
        <v xml:space="preserve">| 5 L JAVA @ | 6 L NS @ | 7 P Python @ | 9 P NS @ </v>
      </c>
      <c r="AA460" s="4" t="str">
        <f ca="1">IFERROR(__xludf.DUMMYFUNCTION("""COMPUTED_VALUE"""),"| 5 L CPT @ | 6 L JAVA @ | 7 P JAVA @ | 9 P PRO @ ")</f>
        <v xml:space="preserve">| 5 L CPT @ | 6 L JAVA @ | 7 P JAVA @ | 9 P PRO @ </v>
      </c>
      <c r="AB460" s="4" t="str">
        <f ca="1">IFERROR(__xludf.DUMMYFUNCTION("""COMPUTED_VALUE"""),"| 5 L PHP-CGM @ | 6 L CPT @ | 7 P CPT @ ")</f>
        <v xml:space="preserve">| 5 L PHP-CGM @ | 6 L CPT @ | 7 P CPT @ </v>
      </c>
      <c r="AC460" s="4" t="str">
        <f ca="1">IFERROR(__xludf.DUMMYFUNCTION("""COMPUTED_VALUE"""),"| 5 L PHP-CGM % | 6 L NS % | 7 P JAVA % | 9 P Python % ")</f>
        <v xml:space="preserve">| 5 L PHP-CGM % | 6 L NS % | 7 P JAVA % | 9 P Python % </v>
      </c>
      <c r="AD460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60" s="4" t="str">
        <f ca="1">IFERROR(__xludf.DUMMYFUNCTION("""COMPUTED_VALUE"""),"| 5 L JAVA % | 6 L NS % | 7 P Python % | 9 P NS % ")</f>
        <v xml:space="preserve">| 5 L JAVA % | 6 L NS % | 7 P Python % | 9 P NS % </v>
      </c>
      <c r="AF460" s="4" t="str">
        <f ca="1">IFERROR(__xludf.DUMMYFUNCTION("""COMPUTED_VALUE"""),"| 5 L CPT % | 6 L JAVA % | 7 P JAVA % | 9 P PRO % ")</f>
        <v xml:space="preserve">| 5 L CPT % | 6 L JAVA % | 7 P JAVA % | 9 P PRO % </v>
      </c>
      <c r="AG460" s="4" t="str">
        <f ca="1">IFERROR(__xludf.DUMMYFUNCTION("""COMPUTED_VALUE"""),"| 5 L PHP-CGM % | 6 L CPT % | 8 P CPT % ")</f>
        <v xml:space="preserve">| 5 L PHP-CGM % | 6 L CPT % | 8 P CPT % </v>
      </c>
      <c r="AH460" s="4" t="str">
        <f ca="1">IFERROR(__xludf.DUMMYFUNCTION("""COMPUTED_VALUE"""),"| 5 L CPT % | 6 L JAVA % | 7 P JAVA % | 9 P PRO % ")</f>
        <v xml:space="preserve">| 5 L CPT % | 6 L JAVA % | 7 P JAVA % | 9 P PRO % </v>
      </c>
      <c r="AI460" s="4" t="str">
        <f ca="1">IFERROR(__xludf.DUMMYFUNCTION("""COMPUTED_VALUE"""),"| 5 L PHP-CGM % | 6 L CPT % | 7 P CPT % ")</f>
        <v xml:space="preserve">| 5 L PHP-CGM % | 6 L CPT % | 7 P CPT % </v>
      </c>
      <c r="AJ460" s="4" t="str">
        <f ca="1">IFERROR(__xludf.DUMMYFUNCTION("""COMPUTED_VALUE"""),"| 5 L PHP-CGM % | 6 L NS % | 7 P JAVA % | 9 P Python % ")</f>
        <v xml:space="preserve">| 5 L PHP-CGM % | 6 L NS % | 7 P JAVA % | 9 P Python % </v>
      </c>
      <c r="AK46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L460" s="4" t="str">
        <f ca="1">IFERROR(__xludf.DUMMYFUNCTION("""COMPUTED_VALUE"""),"| 5 L JAVA % | 6 L NS % | 7 P Python % | 9 P NS % ")</f>
        <v xml:space="preserve">| 5 L JAVA % | 6 L NS % | 7 P Python % | 9 P NS % </v>
      </c>
      <c r="AM460" s="4" t="str">
        <f ca="1">IFERROR(__xludf.DUMMYFUNCTION("""COMPUTED_VALUE"""),"| 5 L CPT % | 6 L JAVA % | 7 P JAVA % | 9 P PRO % ")</f>
        <v xml:space="preserve">| 5 L CPT % | 6 L JAVA % | 7 P JAVA % | 9 P PRO % </v>
      </c>
      <c r="AN460" s="4" t="str">
        <f ca="1">IFERROR(__xludf.DUMMYFUNCTION("""COMPUTED_VALUE"""),"| 5 L PHP-CGM % | 6 L CPT % | 7 P CPT % ")</f>
        <v xml:space="preserve">| 5 L PHP-CGM % | 6 L CPT % | 7 P CPT % </v>
      </c>
      <c r="AO460" s="4" t="str">
        <f ca="1">IFERROR(__xludf.DUMMYFUNCTION("""COMPUTED_VALUE"""),"| 5 L PHP-CGM @ | 6 L NS @ | 7 P JAVA @ ")</f>
        <v xml:space="preserve">| 5 L PHP-CGM @ | 6 L NS @ | 7 P JAVA @ </v>
      </c>
      <c r="AP460" s="4" t="str">
        <f ca="1">IFERROR(__xludf.DUMMYFUNCTION("""COMPUTED_VALUE"""),"| 5 L NS @ | 7 L JAVA @ | 8 L CPT @ ")</f>
        <v xml:space="preserve">| 5 L NS @ | 7 L JAVA @ | 8 L CPT @ </v>
      </c>
      <c r="AQ460" s="4" t="str">
        <f ca="1">IFERROR(__xludf.DUMMYFUNCTION("""COMPUTED_VALUE"""),"| 5 L CPT @ | 6 L NS @ | 7 P Python @ | 9 P NS @ ")</f>
        <v xml:space="preserve">| 5 L CPT @ | 6 L NS @ | 7 P Python @ | 9 P NS @ </v>
      </c>
      <c r="AR460" s="4" t="str">
        <f ca="1">IFERROR(__xludf.DUMMYFUNCTION("""COMPUTED_VALUE"""),"| 5 L JAVA @ | 6 L JAVA @ | 5 L CPT @ | 7 P JAVA @ ")</f>
        <v xml:space="preserve">| 5 L JAVA @ | 6 L JAVA @ | 5 L CPT @ | 7 P JAVA @ </v>
      </c>
      <c r="AS460" s="4" t="str">
        <f ca="1">IFERROR(__xludf.DUMMYFUNCTION("""COMPUTED_VALUE"""),"| 5 L PHP-CGM % | 6 L NS % | 7 P JAVA % | 9 P Python % ")</f>
        <v xml:space="preserve">| 5 L PHP-CGM % | 6 L NS % | 7 P JAVA % | 9 P Python % </v>
      </c>
      <c r="AT460" s="4" t="str">
        <f ca="1">IFERROR(__xludf.DUMMYFUNCTION("""COMPUTED_VALUE"""),"| 5 L NS % | 6 L PHP-CGM % | 7 L JAVA % | 8 L CPT % ")</f>
        <v xml:space="preserve">| 5 L NS % | 6 L PHP-CGM % | 7 L JAVA % | 8 L CPT % </v>
      </c>
      <c r="AU460" s="4" t="str">
        <f ca="1">IFERROR(__xludf.DUMMYFUNCTION("""COMPUTED_VALUE"""),"| 5 L CPT % | 6 L NS % | 7 P Python % | 9 P NS % ")</f>
        <v xml:space="preserve">| 5 L CPT % | 6 L NS % | 7 P Python % | 9 P NS % </v>
      </c>
      <c r="AV460" s="4" t="str">
        <f ca="1">IFERROR(__xludf.DUMMYFUNCTION("""COMPUTED_VALUE"""),"| 5 L JAVA % | 6 L JAVA % | 7 P JAVA % | 9 P PRO % ")</f>
        <v xml:space="preserve">| 5 L JAVA % | 6 L JAVA % | 7 P JAVA % | 9 P PRO % </v>
      </c>
      <c r="AW460" s="4" t="str">
        <f ca="1">IFERROR(__xludf.DUMMYFUNCTION("""COMPUTED_VALUE"""),"| 5 L PHP-CGM % | 6 L CPT % | 7 P CPT % | 9 L INE % ")</f>
        <v xml:space="preserve">| 5 L PHP-CGM % | 6 L CPT % | 7 P CPT % | 9 L INE % </v>
      </c>
      <c r="AX460" s="4" t="str">
        <f ca="1">IFERROR(__xludf.DUMMYFUNCTION("""COMPUTED_VALUE"""),"| 5 L PHP-CGM % | 6 L NS % | 7 P JAVA % | 9 P Python % ")</f>
        <v xml:space="preserve">| 5 L PHP-CGM % | 6 L NS % | 7 P JAVA % | 9 P Python % </v>
      </c>
      <c r="AY46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60" s="4" t="str">
        <f ca="1">IFERROR(__xludf.DUMMYFUNCTION("""COMPUTED_VALUE"""),"| 5 L JAVA % | 6 L JAVA % | 7 P JAVA % ")</f>
        <v xml:space="preserve">| 5 L JAVA % | 6 L JAVA % | 7 P JAVA % </v>
      </c>
      <c r="BA460" s="4" t="str">
        <f ca="1">IFERROR(__xludf.DUMMYFUNCTION("""COMPUTED_VALUE"""),"| 5 L PHP-CGM % | 6 L CPT % | 9 P CPT % | 9 L INE % ")</f>
        <v xml:space="preserve">| 5 L PHP-CGM % | 6 L CPT % | 9 P CPT % | 9 L INE % </v>
      </c>
      <c r="BB460" s="4" t="str">
        <f ca="1">IFERROR(__xludf.DUMMYFUNCTION("""COMPUTED_VALUE"""),"| 5 L PHP-CGM % | 6 L NS % | 7 P JAVA % | 9 P Python % ")</f>
        <v xml:space="preserve">| 5 L PHP-CGM % | 6 L NS % | 7 P JAVA % | 9 P Python % </v>
      </c>
      <c r="BC46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60" s="4" t="str">
        <f ca="1">IFERROR(__xludf.DUMMYFUNCTION("""COMPUTED_VALUE"""),"| 5 L CPT % | 6 L NS % | 7 P Python % | 9 P NS % ")</f>
        <v xml:space="preserve">| 5 L CPT % | 6 L NS % | 7 P Python % | 9 P NS % </v>
      </c>
      <c r="BE460" s="4" t="str">
        <f ca="1">IFERROR(__xludf.DUMMYFUNCTION("""COMPUTED_VALUE"""),"| 5 L JAVA % | 6 L JAVA % | 7 P JAVA % | 9 P PRO % ")</f>
        <v xml:space="preserve">| 5 L JAVA % | 6 L JAVA % | 7 P JAVA % | 9 P PRO % </v>
      </c>
      <c r="BF460" s="4" t="str">
        <f ca="1">IFERROR(__xludf.DUMMYFUNCTION("""COMPUTED_VALUE"""),"| 5 L PHP-CGM @ | 6 L CPT @ | 7 P CPT @ ")</f>
        <v xml:space="preserve">| 5 L PHP-CGM @ | 6 L CPT @ | 7 P CPT @ </v>
      </c>
      <c r="BG460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H460" s="4" t="str">
        <f ca="1">IFERROR(__xludf.DUMMYFUNCTION("""COMPUTED_VALUE"""),"| 5 L CPT % | 6 L NS % | 7 P Python % | 9 P NS % ")</f>
        <v xml:space="preserve">| 5 L CPT % | 6 L NS % | 7 P Python % | 9 P NS % </v>
      </c>
      <c r="BI460" s="4" t="str">
        <f ca="1">IFERROR(__xludf.DUMMYFUNCTION("""COMPUTED_VALUE"""),"| 5 L JAVA % | 6 L JAVA % | 7 P JAVA % | 9 P PRO % ")</f>
        <v xml:space="preserve">| 5 L JAVA % | 6 L JAVA % | 7 P JAVA % | 9 P PRO % </v>
      </c>
      <c r="BJ460" s="4" t="str">
        <f ca="1">IFERROR(__xludf.DUMMYFUNCTION("""COMPUTED_VALUE"""),"| 5 L PHP-CGM % | 6 L CPT % | 9 L INE @ ")</f>
        <v xml:space="preserve">| 5 L PHP-CGM % | 6 L CPT % | 9 L INE @ </v>
      </c>
      <c r="BK460" s="4" t="str">
        <f ca="1">IFERROR(__xludf.DUMMYFUNCTION("""COMPUTED_VALUE"""),"| 5 L PHP-CGM % | 6 L NS % | 7 P JAVA % ")</f>
        <v xml:space="preserve">| 5 L PHP-CGM % | 6 L NS % | 7 P JAVA % </v>
      </c>
      <c r="BL460" s="4" t="str">
        <f ca="1">IFERROR(__xludf.DUMMYFUNCTION("""COMPUTED_VALUE"""),"| 5 L NS @ | 6 L PHP-CGM @ | 7 L JAVA @ | 8 L CPT @ ")</f>
        <v xml:space="preserve">| 5 L NS @ | 6 L PHP-CGM @ | 7 L JAVA @ | 8 L CPT @ </v>
      </c>
      <c r="BM460" s="4" t="str">
        <f ca="1">IFERROR(__xludf.DUMMYFUNCTION("""COMPUTED_VALUE"""),"| 5 L CPT % | 6 L NS % | 7 P Python % | 9 P NS % ")</f>
        <v xml:space="preserve">| 5 L CPT % | 6 L NS % | 7 P Python % | 9 P NS % </v>
      </c>
      <c r="BN460" s="4" t="str">
        <f ca="1">IFERROR(__xludf.DUMMYFUNCTION("""COMPUTED_VALUE"""),"| 5 L JAVA % | 6 L JAVA % ")</f>
        <v xml:space="preserve">| 5 L JAVA % | 6 L JAVA % </v>
      </c>
      <c r="BO460" s="4" t="str">
        <f ca="1">IFERROR(__xludf.DUMMYFUNCTION("""COMPUTED_VALUE"""),"| 5 L PHP-CGM @ | 9 L INE @ | 6 L CPT @ | 7 P CPT @ ")</f>
        <v xml:space="preserve">| 5 L PHP-CGM @ | 9 L INE @ | 6 L CPT @ | 7 P CPT @ </v>
      </c>
      <c r="BP460" s="4" t="str">
        <f ca="1">IFERROR(__xludf.DUMMYFUNCTION("""COMPUTED_VALUE"""),"| 5 L PHP-CGM % | 6 L NS % | 7 P JAVA % ")</f>
        <v xml:space="preserve">| 5 L PHP-CGM % | 6 L NS % | 7 P JAVA % </v>
      </c>
      <c r="BQ460" s="4" t="str">
        <f ca="1">IFERROR(__xludf.DUMMYFUNCTION("""COMPUTED_VALUE"""),"| 5 L CPT % ")</f>
        <v xml:space="preserve">| 5 L CPT % </v>
      </c>
      <c r="BR460" s="4" t="str">
        <f ca="1">IFERROR(__xludf.DUMMYFUNCTION("""COMPUTED_VALUE"""),"| 5 L JAVA % | 6 L JAVA % ")</f>
        <v xml:space="preserve">| 5 L JAVA % | 6 L JAVA % </v>
      </c>
      <c r="BS460" s="4"/>
      <c r="BT460" s="4" t="str">
        <f ca="1">IFERROR(__xludf.DUMMYFUNCTION("""COMPUTED_VALUE"""),"| 7 P JAVA @ ")</f>
        <v xml:space="preserve">| 7 P JAVA @ </v>
      </c>
      <c r="BU460" s="4" t="str">
        <f ca="1">IFERROR(__xludf.DUMMYFUNCTION("""COMPUTED_VALUE"""),"| 7 L JAVA @ ")</f>
        <v xml:space="preserve">| 7 L JAVA @ </v>
      </c>
      <c r="BV460" s="4" t="str">
        <f ca="1">IFERROR(__xludf.DUMMYFUNCTION("""COMPUTED_VALUE"""),"| 5 L PHP-CGM @ | 6 L NS @ | 7 P JAVA @ | 9 P Python @ ")</f>
        <v xml:space="preserve">| 5 L PHP-CGM @ | 6 L NS @ | 7 P JAVA @ | 9 P Python @ </v>
      </c>
      <c r="BW460" s="4"/>
      <c r="BX460" s="4" t="str">
        <f ca="1">IFERROR(__xludf.DUMMYFUNCTION("""COMPUTED_VALUE"""),"| 5 L CPT % | 6 L NS % | 7 P Python % ")</f>
        <v xml:space="preserve">| 5 L CPT % | 6 L NS % | 7 P Python % </v>
      </c>
      <c r="BY460" s="4" t="str">
        <f ca="1">IFERROR(__xludf.DUMMYFUNCTION("""COMPUTED_VALUE"""),"| 5 L JAVA % | 6 L JAVA % | 7 P JAVA % ")</f>
        <v xml:space="preserve">| 5 L JAVA % | 6 L JAVA % | 7 P JAVA % </v>
      </c>
      <c r="BZ460" s="4" t="str">
        <f ca="1">IFERROR(__xludf.DUMMYFUNCTION("""COMPUTED_VALUE"""),"| 5 L PHP-CGM % | 6 L CPT % | 7 P CPT % ")</f>
        <v xml:space="preserve">| 5 L PHP-CGM % | 6 L CPT % | 7 P CPT % </v>
      </c>
      <c r="CA460" s="4" t="str">
        <f ca="1">IFERROR(__xludf.DUMMYFUNCTION("""COMPUTED_VALUE"""),"| 5 L PHP-CGM % | 6 L NS % | 7 P JAVA % | 9 P Python % ")</f>
        <v xml:space="preserve">| 5 L PHP-CGM % | 6 L NS % | 7 P JAVA % | 9 P Python % </v>
      </c>
      <c r="CB460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60" s="4" t="str">
        <f ca="1">IFERROR(__xludf.DUMMYFUNCTION("""COMPUTED_VALUE"""),"| 6 L NS % | 5 L CPT % | 7 P Python % | 9 P NS @ ")</f>
        <v xml:space="preserve">| 6 L NS % | 5 L CPT % | 7 P Python % | 9 P NS @ </v>
      </c>
      <c r="CD460" s="4" t="str">
        <f ca="1">IFERROR(__xludf.DUMMYFUNCTION("""COMPUTED_VALUE"""),"| 5 L JAVA % | 6 L JAVA % | 7 P JAVA % | 9 P PRO % ")</f>
        <v xml:space="preserve">| 5 L JAVA % | 6 L JAVA % | 7 P JAVA % | 9 P PRO % </v>
      </c>
      <c r="CE460" s="4" t="str">
        <f ca="1">IFERROR(__xludf.DUMMYFUNCTION("""COMPUTED_VALUE"""),"| 5 L PHP-CGM @ | 6 L CPT % | 7 P CPT % | 9 L INE % ")</f>
        <v xml:space="preserve">| 5 L PHP-CGM @ | 6 L CPT % | 7 P CPT % | 9 L INE % </v>
      </c>
      <c r="CF460" s="4" t="str">
        <f ca="1">IFERROR(__xludf.DUMMYFUNCTION("""COMPUTED_VALUE"""),"| 5 L PHP-CGM @ | 6 L NS @ | 7 P JAVA % | 9 P Python % ")</f>
        <v xml:space="preserve">| 5 L PHP-CGM @ | 6 L NS @ | 7 P JAVA % | 9 P Python % </v>
      </c>
      <c r="CG460" s="4" t="str">
        <f ca="1">IFERROR(__xludf.DUMMYFUNCTION("""COMPUTED_VALUE"""),"| 6 L PHP-CGM % | 7 L JAVA % | 8 L CPT % ")</f>
        <v xml:space="preserve">| 6 L PHP-CGM % | 7 L JAVA % | 8 L CPT % </v>
      </c>
      <c r="CH460" s="4" t="str">
        <f ca="1">IFERROR(__xludf.DUMMYFUNCTION("""COMPUTED_VALUE"""),"| 5 L CPT @ | 6 L NS % ")</f>
        <v xml:space="preserve">| 5 L CPT @ | 6 L NS % </v>
      </c>
      <c r="CI460" s="4" t="str">
        <f ca="1">IFERROR(__xludf.DUMMYFUNCTION("""COMPUTED_VALUE"""),"| 5 L JAVA @ | 6 L JAVA @ | 7 P JAVA % | 9 P PRO % ")</f>
        <v xml:space="preserve">| 5 L JAVA @ | 6 L JAVA @ | 7 P JAVA % | 9 P PRO % </v>
      </c>
      <c r="CJ460" s="4" t="str">
        <f ca="1">IFERROR(__xludf.DUMMYFUNCTION("""COMPUTED_VALUE"""),"| 5 L PHP-CGM @ | 9 L INE @ ")</f>
        <v xml:space="preserve">| 5 L PHP-CGM @ | 9 L INE @ </v>
      </c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</row>
    <row r="461" spans="1:102" ht="12.5" x14ac:dyDescent="0.25">
      <c r="A461" s="3">
        <f ca="1">IFERROR(__xludf.DUMMYFUNCTION("""COMPUTED_VALUE"""),3)</f>
        <v>3</v>
      </c>
      <c r="B461" s="3" t="str">
        <f ca="1">IFERROR(__xludf.DUMMYFUNCTION("""COMPUTED_VALUE"""),"ITB")</f>
        <v>ITB</v>
      </c>
      <c r="C461" s="32" t="str">
        <f ca="1">IFERROR(__xludf.DUMMYFUNCTION("""COMPUTED_VALUE"""),"23291371138")</f>
        <v>23291371138</v>
      </c>
      <c r="D461" s="4" t="str">
        <f ca="1">IFERROR(__xludf.DUMMYFUNCTION("""COMPUTED_VALUE"""),"SHRIMALI TAKSHKUMAR SANJAYBHAI")</f>
        <v>SHRIMALI TAKSHKUMAR SANJAYBHAI</v>
      </c>
      <c r="E461" s="3" t="str">
        <f ca="1">IFERROR(__xludf.DUMMYFUNCTION("""COMPUTED_VALUE"""),"VSP - Eve")</f>
        <v>VSP - Eve</v>
      </c>
      <c r="F461" s="3">
        <f ca="1">IFERROR(__xludf.DUMMYFUNCTION("""COMPUTED_VALUE"""),6354273339)</f>
        <v>6354273339</v>
      </c>
      <c r="G461" s="3">
        <f ca="1">IFERROR(__xludf.DUMMYFUNCTION("""COMPUTED_VALUE"""),9510987287)</f>
        <v>9510987287</v>
      </c>
      <c r="H461" s="33">
        <f ca="1">IFERROR(__xludf.DUMMYFUNCTION("""COMPUTED_VALUE"""),0.526548672566371)</f>
        <v>0.52654867256637095</v>
      </c>
      <c r="I461" s="25">
        <f ca="1">IFERROR(__xludf.DUMMYFUNCTION("""COMPUTED_VALUE"""),0.555555555555555)</f>
        <v>0.55555555555555503</v>
      </c>
      <c r="J461" s="25">
        <f ca="1">IFERROR(__xludf.DUMMYFUNCTION("""COMPUTED_VALUE"""),0.3)</f>
        <v>0.3</v>
      </c>
      <c r="K461" s="25">
        <f ca="1">IFERROR(__xludf.DUMMYFUNCTION("""COMPUTED_VALUE"""),0.636363636363636)</f>
        <v>0.63636363636363602</v>
      </c>
      <c r="L461" s="25">
        <f ca="1">IFERROR(__xludf.DUMMYFUNCTION("""COMPUTED_VALUE"""),0.333333333333333)</f>
        <v>0.33333333333333298</v>
      </c>
      <c r="M461" s="25">
        <f ca="1">IFERROR(__xludf.DUMMYFUNCTION("""COMPUTED_VALUE"""),0.558823529411764)</f>
        <v>0.55882352941176405</v>
      </c>
      <c r="N461" s="25">
        <f ca="1">IFERROR(__xludf.DUMMYFUNCTION("""COMPUTED_VALUE"""),0.4)</f>
        <v>0.4</v>
      </c>
      <c r="O461" s="25">
        <f ca="1">IFERROR(__xludf.DUMMYFUNCTION("""COMPUTED_VALUE"""),0.666666666666666)</f>
        <v>0.66666666666666596</v>
      </c>
      <c r="P461" s="25">
        <f ca="1">IFERROR(__xludf.DUMMYFUNCTION("""COMPUTED_VALUE"""),0.461538461538461)</f>
        <v>0.46153846153846101</v>
      </c>
      <c r="Q461" s="25">
        <f ca="1">IFERROR(__xludf.DUMMYFUNCTION("""COMPUTED_VALUE"""),0)</f>
        <v>0</v>
      </c>
      <c r="R461" s="25">
        <f ca="1">IFERROR(__xludf.DUMMYFUNCTION("""COMPUTED_VALUE"""),0.526315789473684)</f>
        <v>0.52631578947368396</v>
      </c>
      <c r="S461" s="25">
        <f ca="1">IFERROR(__xludf.DUMMYFUNCTION("""COMPUTED_VALUE"""),0)</f>
        <v>0</v>
      </c>
      <c r="T461" s="25">
        <f ca="1">IFERROR(__xludf.DUMMYFUNCTION("""COMPUTED_VALUE"""),0.333333333333333)</f>
        <v>0.33333333333333298</v>
      </c>
      <c r="U461" s="25">
        <f ca="1">IFERROR(__xludf.DUMMYFUNCTION("""COMPUTED_VALUE"""),0)</f>
        <v>0</v>
      </c>
      <c r="V461" s="25">
        <f ca="1">IFERROR(__xludf.DUMMYFUNCTION("""COMPUTED_VALUE"""),0)</f>
        <v>0</v>
      </c>
      <c r="W461" s="4"/>
      <c r="X461" s="4" t="str">
        <f ca="1">IFERROR(__xludf.DUMMYFUNCTION("""COMPUTED_VALUE"""),"| 5 L PHP-CGM @ | 6 L NS @ | 7 P JAVA @ | 9 P Python @ ")</f>
        <v xml:space="preserve">| 5 L PHP-CGM @ | 6 L NS @ | 7 P JAVA @ | 9 P Python @ </v>
      </c>
      <c r="Y461" s="4" t="str">
        <f ca="1">IFERROR(__xludf.DUMMYFUNCTION("""COMPUTED_VALUE"""),"| 5 L NS % | 6 L PHP-CGM % | 7 L JAVA % | 8 L CPT % ")</f>
        <v xml:space="preserve">| 5 L NS % | 6 L PHP-CGM % | 7 L JAVA % | 8 L CPT % </v>
      </c>
      <c r="Z461" s="4" t="str">
        <f ca="1">IFERROR(__xludf.DUMMYFUNCTION("""COMPUTED_VALUE"""),"| 5 L JAVA % | 6 L NS % | 7 P Python % | 9 P NS % ")</f>
        <v xml:space="preserve">| 5 L JAVA % | 6 L NS % | 7 P Python % | 9 P NS % </v>
      </c>
      <c r="AA461" s="4" t="str">
        <f ca="1">IFERROR(__xludf.DUMMYFUNCTION("""COMPUTED_VALUE"""),"| 5 L CPT % | 6 L JAVA % | 7 P JAVA % | 9 P PRO % ")</f>
        <v xml:space="preserve">| 5 L CPT % | 6 L JAVA % | 7 P JAVA % | 9 P PRO % </v>
      </c>
      <c r="AB461" s="4" t="str">
        <f ca="1">IFERROR(__xludf.DUMMYFUNCTION("""COMPUTED_VALUE"""),"| 5 L PHP-CGM % | 6 L CPT % | 7 P CPT % ")</f>
        <v xml:space="preserve">| 5 L PHP-CGM % | 6 L CPT % | 7 P CPT % </v>
      </c>
      <c r="AC461" s="4" t="str">
        <f ca="1">IFERROR(__xludf.DUMMYFUNCTION("""COMPUTED_VALUE"""),"| 5 L PHP-CGM % | 6 L NS % | 7 P JAVA % | 9 P Python % ")</f>
        <v xml:space="preserve">| 5 L PHP-CGM % | 6 L NS % | 7 P JAVA % | 9 P Python % </v>
      </c>
      <c r="AD461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61" s="4" t="str">
        <f ca="1">IFERROR(__xludf.DUMMYFUNCTION("""COMPUTED_VALUE"""),"| 5 L JAVA % | 6 L NS % | 7 P Python % | 9 P NS % ")</f>
        <v xml:space="preserve">| 5 L JAVA % | 6 L NS % | 7 P Python % | 9 P NS % </v>
      </c>
      <c r="AF461" s="4" t="str">
        <f ca="1">IFERROR(__xludf.DUMMYFUNCTION("""COMPUTED_VALUE"""),"| 5 L CPT % | 6 L JAVA % | 7 P JAVA @ | 9 P PRO % ")</f>
        <v xml:space="preserve">| 5 L CPT % | 6 L JAVA % | 7 P JAVA @ | 9 P PRO % </v>
      </c>
      <c r="AG461" s="4" t="str">
        <f ca="1">IFERROR(__xludf.DUMMYFUNCTION("""COMPUTED_VALUE"""),"| 5 L PHP-CGM @ | 6 L CPT @ | 8 P CPT @ ")</f>
        <v xml:space="preserve">| 5 L PHP-CGM @ | 6 L CPT @ | 8 P CPT @ </v>
      </c>
      <c r="AH461" s="4" t="str">
        <f ca="1">IFERROR(__xludf.DUMMYFUNCTION("""COMPUTED_VALUE"""),"| 5 L CPT % | 6 L JAVA % | 7 P JAVA % | 9 P PRO @ ")</f>
        <v xml:space="preserve">| 5 L CPT % | 6 L JAVA % | 7 P JAVA % | 9 P PRO @ </v>
      </c>
      <c r="AI461" s="4" t="str">
        <f ca="1">IFERROR(__xludf.DUMMYFUNCTION("""COMPUTED_VALUE"""),"| 5 L PHP-CGM % | 6 L CPT % | 7 P CPT % ")</f>
        <v xml:space="preserve">| 5 L PHP-CGM % | 6 L CPT % | 7 P CPT % </v>
      </c>
      <c r="AJ461" s="4" t="str">
        <f ca="1">IFERROR(__xludf.DUMMYFUNCTION("""COMPUTED_VALUE"""),"| 5 L PHP-CGM % | 6 L NS % | 7 P JAVA % | 9 P Python % ")</f>
        <v xml:space="preserve">| 5 L PHP-CGM % | 6 L NS % | 7 P JAVA % | 9 P Python % </v>
      </c>
      <c r="AK461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AL461" s="4" t="str">
        <f ca="1">IFERROR(__xludf.DUMMYFUNCTION("""COMPUTED_VALUE"""),"| 5 L JAVA % | 6 L NS % | 7 P Python @ | 9 P NS @ ")</f>
        <v xml:space="preserve">| 5 L JAVA % | 6 L NS % | 7 P Python @ | 9 P NS @ </v>
      </c>
      <c r="AM461" s="4" t="str">
        <f ca="1">IFERROR(__xludf.DUMMYFUNCTION("""COMPUTED_VALUE"""),"| 5 L CPT @ | 6 L JAVA @ | 7 P JAVA @ | 9 P PRO @ ")</f>
        <v xml:space="preserve">| 5 L CPT @ | 6 L JAVA @ | 7 P JAVA @ | 9 P PRO @ </v>
      </c>
      <c r="AN461" s="4" t="str">
        <f ca="1">IFERROR(__xludf.DUMMYFUNCTION("""COMPUTED_VALUE"""),"| 5 L PHP-CGM @ | 6 L CPT @ | 7 P CPT @ ")</f>
        <v xml:space="preserve">| 5 L PHP-CGM @ | 6 L CPT @ | 7 P CPT @ </v>
      </c>
      <c r="AO461" s="4" t="str">
        <f ca="1">IFERROR(__xludf.DUMMYFUNCTION("""COMPUTED_VALUE"""),"| 5 L PHP-CGM % | 6 L NS @ | 7 P JAVA @ ")</f>
        <v xml:space="preserve">| 5 L PHP-CGM % | 6 L NS @ | 7 P JAVA @ </v>
      </c>
      <c r="AP461" s="4" t="str">
        <f ca="1">IFERROR(__xludf.DUMMYFUNCTION("""COMPUTED_VALUE"""),"| 5 L NS % | 7 L JAVA % | 8 L CPT % ")</f>
        <v xml:space="preserve">| 5 L NS % | 7 L JAVA % | 8 L CPT % </v>
      </c>
      <c r="AQ461" s="4" t="str">
        <f ca="1">IFERROR(__xludf.DUMMYFUNCTION("""COMPUTED_VALUE"""),"| 5 L CPT % | 6 L NS % | 7 P Python % | 9 P NS @ ")</f>
        <v xml:space="preserve">| 5 L CPT % | 6 L NS % | 7 P Python % | 9 P NS @ </v>
      </c>
      <c r="AR461" s="4" t="str">
        <f ca="1">IFERROR(__xludf.DUMMYFUNCTION("""COMPUTED_VALUE"""),"| 5 L JAVA @ | 6 L JAVA @ | 5 L CPT @ | 7 P JAVA @ ")</f>
        <v xml:space="preserve">| 5 L JAVA @ | 6 L JAVA @ | 5 L CPT @ | 7 P JAVA @ </v>
      </c>
      <c r="AS461" s="4" t="str">
        <f ca="1">IFERROR(__xludf.DUMMYFUNCTION("""COMPUTED_VALUE"""),"| 5 L PHP-CGM % | 6 L NS % | 7 P JAVA % | 9 P Python @ ")</f>
        <v xml:space="preserve">| 5 L PHP-CGM % | 6 L NS % | 7 P JAVA % | 9 P Python @ </v>
      </c>
      <c r="AT461" s="4" t="str">
        <f ca="1">IFERROR(__xludf.DUMMYFUNCTION("""COMPUTED_VALUE"""),"| 5 L NS % | 6 L PHP-CGM % | 7 L JAVA % | 8 L CPT % ")</f>
        <v xml:space="preserve">| 5 L NS % | 6 L PHP-CGM % | 7 L JAVA % | 8 L CPT % </v>
      </c>
      <c r="AU461" s="4" t="str">
        <f ca="1">IFERROR(__xludf.DUMMYFUNCTION("""COMPUTED_VALUE"""),"| 5 L CPT % | 6 L NS % | 7 P Python % | 9 P NS @ ")</f>
        <v xml:space="preserve">| 5 L CPT % | 6 L NS % | 7 P Python % | 9 P NS @ </v>
      </c>
      <c r="AV461" s="4" t="str">
        <f ca="1">IFERROR(__xludf.DUMMYFUNCTION("""COMPUTED_VALUE"""),"| 5 L JAVA % | 6 L JAVA % | 7 P JAVA % | 9 P PRO @ ")</f>
        <v xml:space="preserve">| 5 L JAVA % | 6 L JAVA % | 7 P JAVA % | 9 P PRO @ </v>
      </c>
      <c r="AW461" s="4" t="str">
        <f ca="1">IFERROR(__xludf.DUMMYFUNCTION("""COMPUTED_VALUE"""),"| 5 L PHP-CGM % | 6 L CPT % | 7 P CPT % | 9 L INE @ ")</f>
        <v xml:space="preserve">| 5 L PHP-CGM % | 6 L CPT % | 7 P CPT % | 9 L INE @ </v>
      </c>
      <c r="AX461" s="4" t="str">
        <f ca="1">IFERROR(__xludf.DUMMYFUNCTION("""COMPUTED_VALUE"""),"| 5 L PHP-CGM @ | 6 L NS @ | 7 P JAVA @ | 9 P Python @ ")</f>
        <v xml:space="preserve">| 5 L PHP-CGM @ | 6 L NS @ | 7 P JAVA @ | 9 P Python @ </v>
      </c>
      <c r="AY461" s="4" t="str">
        <f ca="1">IFERROR(__xludf.DUMMYFUNCTION("""COMPUTED_VALUE"""),"| 5 L NS % | 6 L PHP-CGM % | 7 L JAVA % | 8 L CPT @ | 9 P PHP-CGM @ ")</f>
        <v xml:space="preserve">| 5 L NS % | 6 L PHP-CGM % | 7 L JAVA % | 8 L CPT @ | 9 P PHP-CGM @ </v>
      </c>
      <c r="AZ461" s="4" t="str">
        <f ca="1">IFERROR(__xludf.DUMMYFUNCTION("""COMPUTED_VALUE"""),"| 5 L JAVA % | 6 L JAVA @ | 7 P JAVA % ")</f>
        <v xml:space="preserve">| 5 L JAVA % | 6 L JAVA @ | 7 P JAVA % </v>
      </c>
      <c r="BA461" s="4" t="str">
        <f ca="1">IFERROR(__xludf.DUMMYFUNCTION("""COMPUTED_VALUE"""),"| 5 L PHP-CGM @ | 6 L CPT @ | 9 P CPT @ | 9 L INE @ ")</f>
        <v xml:space="preserve">| 5 L PHP-CGM @ | 6 L CPT @ | 9 P CPT @ | 9 L INE @ </v>
      </c>
      <c r="BB461" s="4" t="str">
        <f ca="1">IFERROR(__xludf.DUMMYFUNCTION("""COMPUTED_VALUE"""),"| 5 L PHP-CGM % | 6 L NS % | 7 P JAVA % | 9 P Python % ")</f>
        <v xml:space="preserve">| 5 L PHP-CGM % | 6 L NS % | 7 P JAVA % | 9 P Python % </v>
      </c>
      <c r="BC461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61" s="4" t="str">
        <f ca="1">IFERROR(__xludf.DUMMYFUNCTION("""COMPUTED_VALUE"""),"| 5 L CPT % | 6 L NS % | 7 P Python % | 9 P NS % ")</f>
        <v xml:space="preserve">| 5 L CPT % | 6 L NS % | 7 P Python % | 9 P NS % </v>
      </c>
      <c r="BE461" s="4" t="str">
        <f ca="1">IFERROR(__xludf.DUMMYFUNCTION("""COMPUTED_VALUE"""),"| 5 L JAVA % | 6 L JAVA % | 7 P JAVA % | 9 P PRO % ")</f>
        <v xml:space="preserve">| 5 L JAVA % | 6 L JAVA % | 7 P JAVA % | 9 P PRO % </v>
      </c>
      <c r="BF461" s="4" t="str">
        <f ca="1">IFERROR(__xludf.DUMMYFUNCTION("""COMPUTED_VALUE"""),"| 5 L PHP-CGM % | 6 L CPT % | 7 P CPT @ ")</f>
        <v xml:space="preserve">| 5 L PHP-CGM % | 6 L CPT % | 7 P CPT @ </v>
      </c>
      <c r="BG461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H461" s="4" t="str">
        <f ca="1">IFERROR(__xludf.DUMMYFUNCTION("""COMPUTED_VALUE"""),"| 5 L CPT % | 6 L NS % | 7 P Python % | 9 P NS @ ")</f>
        <v xml:space="preserve">| 5 L CPT % | 6 L NS % | 7 P Python % | 9 P NS @ </v>
      </c>
      <c r="BI461" s="4" t="str">
        <f ca="1">IFERROR(__xludf.DUMMYFUNCTION("""COMPUTED_VALUE"""),"| 5 L JAVA @ | 6 L JAVA @ | 7 P JAVA @ | 9 P PRO @ ")</f>
        <v xml:space="preserve">| 5 L JAVA @ | 6 L JAVA @ | 7 P JAVA @ | 9 P PRO @ </v>
      </c>
      <c r="BJ461" s="4" t="str">
        <f ca="1">IFERROR(__xludf.DUMMYFUNCTION("""COMPUTED_VALUE"""),"| 5 L PHP-CGM @ | 6 L CPT @ | 9 L INE @ ")</f>
        <v xml:space="preserve">| 5 L PHP-CGM @ | 6 L CPT @ | 9 L INE @ </v>
      </c>
      <c r="BK461" s="4" t="str">
        <f ca="1">IFERROR(__xludf.DUMMYFUNCTION("""COMPUTED_VALUE"""),"| 5 L PHP-CGM @ | 6 L NS @ | 7 P JAVA @ ")</f>
        <v xml:space="preserve">| 5 L PHP-CGM @ | 6 L NS @ | 7 P JAVA @ </v>
      </c>
      <c r="BL461" s="4" t="str">
        <f ca="1">IFERROR(__xludf.DUMMYFUNCTION("""COMPUTED_VALUE"""),"| 5 L NS @ | 6 L PHP-CGM @ | 7 L JAVA @ | 8 L CPT @ ")</f>
        <v xml:space="preserve">| 5 L NS @ | 6 L PHP-CGM @ | 7 L JAVA @ | 8 L CPT @ </v>
      </c>
      <c r="BM461" s="4" t="str">
        <f ca="1">IFERROR(__xludf.DUMMYFUNCTION("""COMPUTED_VALUE"""),"| 5 L CPT @ | 6 L NS @ | 7 P Python @ | 9 P NS @ ")</f>
        <v xml:space="preserve">| 5 L CPT @ | 6 L NS @ | 7 P Python @ | 9 P NS @ </v>
      </c>
      <c r="BN461" s="4" t="str">
        <f ca="1">IFERROR(__xludf.DUMMYFUNCTION("""COMPUTED_VALUE"""),"| 5 L JAVA @ | 6 L JAVA @ ")</f>
        <v xml:space="preserve">| 5 L JAVA @ | 6 L JAVA @ </v>
      </c>
      <c r="BO461" s="4" t="str">
        <f ca="1">IFERROR(__xludf.DUMMYFUNCTION("""COMPUTED_VALUE"""),"| 5 L PHP-CGM @ | 9 L INE @ | 6 L CPT @ | 7 P CPT @ ")</f>
        <v xml:space="preserve">| 5 L PHP-CGM @ | 9 L INE @ | 6 L CPT @ | 7 P CPT @ </v>
      </c>
      <c r="BP461" s="4" t="str">
        <f ca="1">IFERROR(__xludf.DUMMYFUNCTION("""COMPUTED_VALUE"""),"| 5 L PHP-CGM @ | 6 L NS @ | 7 P JAVA @ ")</f>
        <v xml:space="preserve">| 5 L PHP-CGM @ | 6 L NS @ | 7 P JAVA @ </v>
      </c>
      <c r="BQ461" s="4" t="str">
        <f ca="1">IFERROR(__xludf.DUMMYFUNCTION("""COMPUTED_VALUE"""),"| 5 L CPT @ ")</f>
        <v xml:space="preserve">| 5 L CPT @ </v>
      </c>
      <c r="BR461" s="4" t="str">
        <f ca="1">IFERROR(__xludf.DUMMYFUNCTION("""COMPUTED_VALUE"""),"| 5 L JAVA % | 6 L JAVA % ")</f>
        <v xml:space="preserve">| 5 L JAVA % | 6 L JAVA % </v>
      </c>
      <c r="BS461" s="4"/>
      <c r="BT461" s="4" t="str">
        <f ca="1">IFERROR(__xludf.DUMMYFUNCTION("""COMPUTED_VALUE"""),"| 7 P JAVA @ ")</f>
        <v xml:space="preserve">| 7 P JAVA @ </v>
      </c>
      <c r="BU461" s="4" t="str">
        <f ca="1">IFERROR(__xludf.DUMMYFUNCTION("""COMPUTED_VALUE"""),"| 7 L JAVA @ ")</f>
        <v xml:space="preserve">| 7 L JAVA @ </v>
      </c>
      <c r="BV461" s="4" t="str">
        <f ca="1">IFERROR(__xludf.DUMMYFUNCTION("""COMPUTED_VALUE"""),"| 5 L PHP-CGM @ | 6 L NS @ | 7 P JAVA @ | 9 P Python @ ")</f>
        <v xml:space="preserve">| 5 L PHP-CGM @ | 6 L NS @ | 7 P JAVA @ | 9 P Python @ </v>
      </c>
      <c r="BW461" s="4"/>
      <c r="BX461" s="4" t="str">
        <f ca="1">IFERROR(__xludf.DUMMYFUNCTION("""COMPUTED_VALUE"""),"| 5 L CPT @ | 6 L NS @ | 7 P Python @ ")</f>
        <v xml:space="preserve">| 5 L CPT @ | 6 L NS @ | 7 P Python @ </v>
      </c>
      <c r="BY461" s="4" t="str">
        <f ca="1">IFERROR(__xludf.DUMMYFUNCTION("""COMPUTED_VALUE"""),"| 5 L JAVA % | 6 L JAVA % | 7 P JAVA % ")</f>
        <v xml:space="preserve">| 5 L JAVA % | 6 L JAVA % | 7 P JAVA % </v>
      </c>
      <c r="BZ461" s="4" t="str">
        <f ca="1">IFERROR(__xludf.DUMMYFUNCTION("""COMPUTED_VALUE"""),"| 5 L PHP-CGM @ | 6 L CPT @ | 7 P CPT @ ")</f>
        <v xml:space="preserve">| 5 L PHP-CGM @ | 6 L CPT @ | 7 P CPT @ </v>
      </c>
      <c r="CA461" s="4" t="str">
        <f ca="1">IFERROR(__xludf.DUMMYFUNCTION("""COMPUTED_VALUE"""),"| 5 L PHP-CGM % | 6 L NS % | 7 P JAVA % | 9 P Python % ")</f>
        <v xml:space="preserve">| 5 L PHP-CGM % | 6 L NS % | 7 P JAVA % | 9 P Python % </v>
      </c>
      <c r="CB461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61" s="4" t="str">
        <f ca="1">IFERROR(__xludf.DUMMYFUNCTION("""COMPUTED_VALUE"""),"| 6 L NS @ | 5 L CPT @ | 7 P Python @ | 9 P NS @ ")</f>
        <v xml:space="preserve">| 6 L NS @ | 5 L CPT @ | 7 P Python @ | 9 P NS @ </v>
      </c>
      <c r="CD461" s="4" t="str">
        <f ca="1">IFERROR(__xludf.DUMMYFUNCTION("""COMPUTED_VALUE"""),"| 5 L JAVA % | 6 L JAVA % | 7 P JAVA @ | 9 P PRO @ ")</f>
        <v xml:space="preserve">| 5 L JAVA % | 6 L JAVA % | 7 P JAVA @ | 9 P PRO @ </v>
      </c>
      <c r="CE461" s="4" t="str">
        <f ca="1">IFERROR(__xludf.DUMMYFUNCTION("""COMPUTED_VALUE"""),"| 5 L PHP-CGM @ | 6 L CPT @ | 7 P CPT @ | 9 L INE @ ")</f>
        <v xml:space="preserve">| 5 L PHP-CGM @ | 6 L CPT @ | 7 P CPT @ | 9 L INE @ </v>
      </c>
      <c r="CF461" s="4" t="str">
        <f ca="1">IFERROR(__xludf.DUMMYFUNCTION("""COMPUTED_VALUE"""),"| 5 L PHP-CGM @ | 6 L NS @ | 7 P JAVA @ | 9 P Python @ ")</f>
        <v xml:space="preserve">| 5 L PHP-CGM @ | 6 L NS @ | 7 P JAVA @ | 9 P Python @ </v>
      </c>
      <c r="CG461" s="4" t="str">
        <f ca="1">IFERROR(__xludf.DUMMYFUNCTION("""COMPUTED_VALUE"""),"| 6 L PHP-CGM @ | 7 L JAVA @ | 8 L CPT % ")</f>
        <v xml:space="preserve">| 6 L PHP-CGM @ | 7 L JAVA @ | 8 L CPT % </v>
      </c>
      <c r="CH461" s="4" t="str">
        <f ca="1">IFERROR(__xludf.DUMMYFUNCTION("""COMPUTED_VALUE"""),"| 5 L CPT @ | 6 L NS @ ")</f>
        <v xml:space="preserve">| 5 L CPT @ | 6 L NS @ </v>
      </c>
      <c r="CI461" s="4" t="str">
        <f ca="1">IFERROR(__xludf.DUMMYFUNCTION("""COMPUTED_VALUE"""),"| 5 L JAVA @ | 6 L JAVA @ | 7 P JAVA % | 9 P PRO @ ")</f>
        <v xml:space="preserve">| 5 L JAVA @ | 6 L JAVA @ | 7 P JAVA % | 9 P PRO @ </v>
      </c>
      <c r="CJ461" s="4" t="str">
        <f ca="1">IFERROR(__xludf.DUMMYFUNCTION("""COMPUTED_VALUE"""),"| 5 L PHP-CGM % | 9 L INE @ ")</f>
        <v xml:space="preserve">| 5 L PHP-CGM % | 9 L INE @ </v>
      </c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</row>
    <row r="462" spans="1:102" ht="12.5" x14ac:dyDescent="0.25">
      <c r="A462" s="3">
        <f ca="1">IFERROR(__xludf.DUMMYFUNCTION("""COMPUTED_VALUE"""),3)</f>
        <v>3</v>
      </c>
      <c r="B462" s="3" t="str">
        <f ca="1">IFERROR(__xludf.DUMMYFUNCTION("""COMPUTED_VALUE"""),"ITB")</f>
        <v>ITB</v>
      </c>
      <c r="C462" s="32" t="str">
        <f ca="1">IFERROR(__xludf.DUMMYFUNCTION("""COMPUTED_VALUE"""),"23291371140")</f>
        <v>23291371140</v>
      </c>
      <c r="D462" s="4" t="str">
        <f ca="1">IFERROR(__xludf.DUMMYFUNCTION("""COMPUTED_VALUE"""),"SOLANKI MITESHKUMAR SAVDANBHAI")</f>
        <v>SOLANKI MITESHKUMAR SAVDANBHAI</v>
      </c>
      <c r="E462" s="3" t="str">
        <f ca="1">IFERROR(__xludf.DUMMYFUNCTION("""COMPUTED_VALUE"""),"VSP - Eve")</f>
        <v>VSP - Eve</v>
      </c>
      <c r="F462" s="3">
        <f ca="1">IFERROR(__xludf.DUMMYFUNCTION("""COMPUTED_VALUE"""),9106196899)</f>
        <v>9106196899</v>
      </c>
      <c r="G462" s="3">
        <f ca="1">IFERROR(__xludf.DUMMYFUNCTION("""COMPUTED_VALUE"""),9727813525)</f>
        <v>9727813525</v>
      </c>
      <c r="H462" s="33">
        <f ca="1">IFERROR(__xludf.DUMMYFUNCTION("""COMPUTED_VALUE"""),0.442477876106194)</f>
        <v>0.44247787610619399</v>
      </c>
      <c r="I462" s="25">
        <f ca="1">IFERROR(__xludf.DUMMYFUNCTION("""COMPUTED_VALUE"""),0.638888888888888)</f>
        <v>0.63888888888888795</v>
      </c>
      <c r="J462" s="25">
        <f ca="1">IFERROR(__xludf.DUMMYFUNCTION("""COMPUTED_VALUE"""),0.4)</f>
        <v>0.4</v>
      </c>
      <c r="K462" s="25">
        <f ca="1">IFERROR(__xludf.DUMMYFUNCTION("""COMPUTED_VALUE"""),0.484848484848484)</f>
        <v>0.48484848484848397</v>
      </c>
      <c r="L462" s="25">
        <f ca="1">IFERROR(__xludf.DUMMYFUNCTION("""COMPUTED_VALUE"""),0.111111111111111)</f>
        <v>0.11111111111111099</v>
      </c>
      <c r="M462" s="25">
        <f ca="1">IFERROR(__xludf.DUMMYFUNCTION("""COMPUTED_VALUE"""),0.558823529411764)</f>
        <v>0.55882352941176405</v>
      </c>
      <c r="N462" s="25">
        <f ca="1">IFERROR(__xludf.DUMMYFUNCTION("""COMPUTED_VALUE"""),0)</f>
        <v>0</v>
      </c>
      <c r="O462" s="25">
        <f ca="1">IFERROR(__xludf.DUMMYFUNCTION("""COMPUTED_VALUE"""),0.615384615384615)</f>
        <v>0.61538461538461497</v>
      </c>
      <c r="P462" s="25">
        <f ca="1">IFERROR(__xludf.DUMMYFUNCTION("""COMPUTED_VALUE"""),0.23076923076923)</f>
        <v>0.23076923076923</v>
      </c>
      <c r="Q462" s="25">
        <f ca="1">IFERROR(__xludf.DUMMYFUNCTION("""COMPUTED_VALUE"""),0)</f>
        <v>0</v>
      </c>
      <c r="R462" s="25">
        <f ca="1">IFERROR(__xludf.DUMMYFUNCTION("""COMPUTED_VALUE"""),0.210526315789473)</f>
        <v>0.21052631578947301</v>
      </c>
      <c r="S462" s="25">
        <f ca="1">IFERROR(__xludf.DUMMYFUNCTION("""COMPUTED_VALUE"""),0)</f>
        <v>0</v>
      </c>
      <c r="T462" s="25">
        <f ca="1">IFERROR(__xludf.DUMMYFUNCTION("""COMPUTED_VALUE"""),0.333333333333333)</f>
        <v>0.33333333333333298</v>
      </c>
      <c r="U462" s="25">
        <f ca="1">IFERROR(__xludf.DUMMYFUNCTION("""COMPUTED_VALUE"""),0)</f>
        <v>0</v>
      </c>
      <c r="V462" s="25">
        <f ca="1">IFERROR(__xludf.DUMMYFUNCTION("""COMPUTED_VALUE"""),0)</f>
        <v>0</v>
      </c>
      <c r="W462" s="4"/>
      <c r="X462" s="4" t="str">
        <f ca="1">IFERROR(__xludf.DUMMYFUNCTION("""COMPUTED_VALUE"""),"| 5 L PHP-CGM @ | 6 L NS @ | 7 P JAVA @ | 9 P Python @ ")</f>
        <v xml:space="preserve">| 5 L PHP-CGM @ | 6 L NS @ | 7 P JAVA @ | 9 P Python @ </v>
      </c>
      <c r="Y462" s="4" t="str">
        <f ca="1">IFERROR(__xludf.DUMMYFUNCTION("""COMPUTED_VALUE"""),"| 5 L NS @ | 6 L PHP-CGM @ | 7 L JAVA @ | 8 L CPT @ ")</f>
        <v xml:space="preserve">| 5 L NS @ | 6 L PHP-CGM @ | 7 L JAVA @ | 8 L CPT @ </v>
      </c>
      <c r="Z462" s="4" t="str">
        <f ca="1">IFERROR(__xludf.DUMMYFUNCTION("""COMPUTED_VALUE"""),"| 5 L JAVA @ | 6 L NS @ | 7 P Python @ | 9 P NS @ ")</f>
        <v xml:space="preserve">| 5 L JAVA @ | 6 L NS @ | 7 P Python @ | 9 P NS @ </v>
      </c>
      <c r="AA462" s="4" t="str">
        <f ca="1">IFERROR(__xludf.DUMMYFUNCTION("""COMPUTED_VALUE"""),"| 5 L CPT % | 6 L JAVA % | 7 P JAVA @ | 9 P PRO @ ")</f>
        <v xml:space="preserve">| 5 L CPT % | 6 L JAVA % | 7 P JAVA @ | 9 P PRO @ </v>
      </c>
      <c r="AB462" s="4" t="str">
        <f ca="1">IFERROR(__xludf.DUMMYFUNCTION("""COMPUTED_VALUE"""),"| 5 L PHP-CGM % | 6 L CPT % | 7 P CPT @ ")</f>
        <v xml:space="preserve">| 5 L PHP-CGM % | 6 L CPT % | 7 P CPT @ </v>
      </c>
      <c r="AC462" s="4" t="str">
        <f ca="1">IFERROR(__xludf.DUMMYFUNCTION("""COMPUTED_VALUE"""),"| 5 L PHP-CGM % | 6 L NS @ | 7 P JAVA @ | 9 P Python @ ")</f>
        <v xml:space="preserve">| 5 L PHP-CGM % | 6 L NS @ | 7 P JAVA @ | 9 P Python @ </v>
      </c>
      <c r="AD462" s="4" t="str">
        <f ca="1">IFERROR(__xludf.DUMMYFUNCTION("""COMPUTED_VALUE"""),"| 5 L NS @ | 7 L JAVA % | 8 L CPT % | 9 P PHP-CGM @ | 6 L PHP-CGM @ ")</f>
        <v xml:space="preserve">| 5 L NS @ | 7 L JAVA % | 8 L CPT % | 9 P PHP-CGM @ | 6 L PHP-CGM @ </v>
      </c>
      <c r="AE462" s="4" t="str">
        <f ca="1">IFERROR(__xludf.DUMMYFUNCTION("""COMPUTED_VALUE"""),"| 5 L JAVA % | 6 L NS % | 7 P Python @ | 9 P NS @ ")</f>
        <v xml:space="preserve">| 5 L JAVA % | 6 L NS % | 7 P Python @ | 9 P NS @ </v>
      </c>
      <c r="AF462" s="4" t="str">
        <f ca="1">IFERROR(__xludf.DUMMYFUNCTION("""COMPUTED_VALUE"""),"| 5 L CPT % | 6 L JAVA % | 7 P JAVA @ | 9 P PRO @ ")</f>
        <v xml:space="preserve">| 5 L CPT % | 6 L JAVA % | 7 P JAVA @ | 9 P PRO @ </v>
      </c>
      <c r="AG462" s="4" t="str">
        <f ca="1">IFERROR(__xludf.DUMMYFUNCTION("""COMPUTED_VALUE"""),"| 5 L PHP-CGM % | 6 L CPT % | 8 P CPT % ")</f>
        <v xml:space="preserve">| 5 L PHP-CGM % | 6 L CPT % | 8 P CPT % </v>
      </c>
      <c r="AH462" s="4" t="str">
        <f ca="1">IFERROR(__xludf.DUMMYFUNCTION("""COMPUTED_VALUE"""),"| 5 L CPT % | 6 L JAVA % | 7 P JAVA % | 9 P PRO % ")</f>
        <v xml:space="preserve">| 5 L CPT % | 6 L JAVA % | 7 P JAVA % | 9 P PRO % </v>
      </c>
      <c r="AI462" s="4" t="str">
        <f ca="1">IFERROR(__xludf.DUMMYFUNCTION("""COMPUTED_VALUE"""),"| 5 L PHP-CGM % | 6 L CPT % | 7 P CPT % ")</f>
        <v xml:space="preserve">| 5 L PHP-CGM % | 6 L CPT % | 7 P CPT % </v>
      </c>
      <c r="AJ462" s="4" t="str">
        <f ca="1">IFERROR(__xludf.DUMMYFUNCTION("""COMPUTED_VALUE"""),"| 5 L PHP-CGM % | 6 L NS % | 7 P JAVA @ | 9 P Python @ ")</f>
        <v xml:space="preserve">| 5 L PHP-CGM % | 6 L NS % | 7 P JAVA @ | 9 P Python @ </v>
      </c>
      <c r="AK462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L462" s="4" t="str">
        <f ca="1">IFERROR(__xludf.DUMMYFUNCTION("""COMPUTED_VALUE"""),"| 5 L JAVA % | 6 L NS % | 7 P Python @ | 9 P NS @ ")</f>
        <v xml:space="preserve">| 5 L JAVA % | 6 L NS % | 7 P Python @ | 9 P NS @ </v>
      </c>
      <c r="AM462" s="4" t="str">
        <f ca="1">IFERROR(__xludf.DUMMYFUNCTION("""COMPUTED_VALUE"""),"| 5 L CPT % | 6 L JAVA % | 7 P JAVA @ | 9 P PRO @ ")</f>
        <v xml:space="preserve">| 5 L CPT % | 6 L JAVA % | 7 P JAVA @ | 9 P PRO @ </v>
      </c>
      <c r="AN462" s="4" t="str">
        <f ca="1">IFERROR(__xludf.DUMMYFUNCTION("""COMPUTED_VALUE"""),"| 5 L PHP-CGM @ | 6 L CPT @ | 7 P CPT @ ")</f>
        <v xml:space="preserve">| 5 L PHP-CGM @ | 6 L CPT @ | 7 P CPT @ </v>
      </c>
      <c r="AO462" s="4" t="str">
        <f ca="1">IFERROR(__xludf.DUMMYFUNCTION("""COMPUTED_VALUE"""),"| 5 L PHP-CGM @ | 6 L NS @ | 7 P JAVA @ ")</f>
        <v xml:space="preserve">| 5 L PHP-CGM @ | 6 L NS @ | 7 P JAVA @ </v>
      </c>
      <c r="AP462" s="4" t="str">
        <f ca="1">IFERROR(__xludf.DUMMYFUNCTION("""COMPUTED_VALUE"""),"| 5 L NS @ | 7 L JAVA @ | 8 L CPT @ ")</f>
        <v xml:space="preserve">| 5 L NS @ | 7 L JAVA @ | 8 L CPT @ </v>
      </c>
      <c r="AQ462" s="4" t="str">
        <f ca="1">IFERROR(__xludf.DUMMYFUNCTION("""COMPUTED_VALUE"""),"| 5 L CPT @ | 6 L NS @ | 7 P Python @ | 9 P NS @ ")</f>
        <v xml:space="preserve">| 5 L CPT @ | 6 L NS @ | 7 P Python @ | 9 P NS @ </v>
      </c>
      <c r="AR462" s="4" t="str">
        <f ca="1">IFERROR(__xludf.DUMMYFUNCTION("""COMPUTED_VALUE"""),"| 5 L JAVA @ | 6 L JAVA @ | 5 L CPT @ | 7 P JAVA @ ")</f>
        <v xml:space="preserve">| 5 L JAVA @ | 6 L JAVA @ | 5 L CPT @ | 7 P JAVA @ </v>
      </c>
      <c r="AS462" s="4" t="str">
        <f ca="1">IFERROR(__xludf.DUMMYFUNCTION("""COMPUTED_VALUE"""),"| 5 L PHP-CGM @ | 6 L NS @ | 7 P JAVA @ | 9 P Python @ ")</f>
        <v xml:space="preserve">| 5 L PHP-CGM @ | 6 L NS @ | 7 P JAVA @ | 9 P Python @ </v>
      </c>
      <c r="AT462" s="4" t="str">
        <f ca="1">IFERROR(__xludf.DUMMYFUNCTION("""COMPUTED_VALUE"""),"| 5 L NS % | 6 L PHP-CGM % | 7 L JAVA @ | 8 L CPT @ ")</f>
        <v xml:space="preserve">| 5 L NS % | 6 L PHP-CGM % | 7 L JAVA @ | 8 L CPT @ </v>
      </c>
      <c r="AU462" s="4" t="str">
        <f ca="1">IFERROR(__xludf.DUMMYFUNCTION("""COMPUTED_VALUE"""),"| 5 L CPT % | 6 L NS % | 7 P Python @ | 9 P NS @ ")</f>
        <v xml:space="preserve">| 5 L CPT % | 6 L NS % | 7 P Python @ | 9 P NS @ </v>
      </c>
      <c r="AV462" s="4" t="str">
        <f ca="1">IFERROR(__xludf.DUMMYFUNCTION("""COMPUTED_VALUE"""),"| 5 L JAVA % | 6 L JAVA % | 7 P JAVA @ | 9 P PRO @ ")</f>
        <v xml:space="preserve">| 5 L JAVA % | 6 L JAVA % | 7 P JAVA @ | 9 P PRO @ </v>
      </c>
      <c r="AW462" s="4" t="str">
        <f ca="1">IFERROR(__xludf.DUMMYFUNCTION("""COMPUTED_VALUE"""),"| 5 L PHP-CGM % | 6 L CPT % | 7 P CPT % | 9 L INE @ ")</f>
        <v xml:space="preserve">| 5 L PHP-CGM % | 6 L CPT % | 7 P CPT % | 9 L INE @ </v>
      </c>
      <c r="AX462" s="4" t="str">
        <f ca="1">IFERROR(__xludf.DUMMYFUNCTION("""COMPUTED_VALUE"""),"| 5 L PHP-CGM % | 6 L NS % | 7 P JAVA % | 9 P Python % ")</f>
        <v xml:space="preserve">| 5 L PHP-CGM % | 6 L NS % | 7 P JAVA % | 9 P Python % </v>
      </c>
      <c r="AY462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AZ462" s="4" t="str">
        <f ca="1">IFERROR(__xludf.DUMMYFUNCTION("""COMPUTED_VALUE"""),"| 5 L JAVA % | 6 L JAVA @ | 7 P JAVA % ")</f>
        <v xml:space="preserve">| 5 L JAVA % | 6 L JAVA @ | 7 P JAVA % </v>
      </c>
      <c r="BA462" s="4" t="str">
        <f ca="1">IFERROR(__xludf.DUMMYFUNCTION("""COMPUTED_VALUE"""),"| 5 L PHP-CGM % | 6 L CPT @ | 9 P CPT @ | 9 L INE @ ")</f>
        <v xml:space="preserve">| 5 L PHP-CGM % | 6 L CPT @ | 9 P CPT @ | 9 L INE @ </v>
      </c>
      <c r="BB462" s="4" t="str">
        <f ca="1">IFERROR(__xludf.DUMMYFUNCTION("""COMPUTED_VALUE"""),"| 5 L PHP-CGM % | 6 L NS @ | 7 P JAVA % | 9 P Python % ")</f>
        <v xml:space="preserve">| 5 L PHP-CGM % | 6 L NS @ | 7 P JAVA % | 9 P Python % </v>
      </c>
      <c r="BC462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D462" s="4" t="str">
        <f ca="1">IFERROR(__xludf.DUMMYFUNCTION("""COMPUTED_VALUE"""),"| 5 L CPT % | 6 L NS % | 7 P Python % | 9 P NS % ")</f>
        <v xml:space="preserve">| 5 L CPT % | 6 L NS % | 7 P Python % | 9 P NS % </v>
      </c>
      <c r="BE462" s="4" t="str">
        <f ca="1">IFERROR(__xludf.DUMMYFUNCTION("""COMPUTED_VALUE"""),"| 5 L JAVA % | 6 L JAVA % | 7 P JAVA % | 9 P PRO % ")</f>
        <v xml:space="preserve">| 5 L JAVA % | 6 L JAVA % | 7 P JAVA % | 9 P PRO % </v>
      </c>
      <c r="BF462" s="4" t="str">
        <f ca="1">IFERROR(__xludf.DUMMYFUNCTION("""COMPUTED_VALUE"""),"| 5 L PHP-CGM % | 6 L CPT % | 7 P CPT % ")</f>
        <v xml:space="preserve">| 5 L PHP-CGM % | 6 L CPT % | 7 P CPT % </v>
      </c>
      <c r="BG462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H462" s="4" t="str">
        <f ca="1">IFERROR(__xludf.DUMMYFUNCTION("""COMPUTED_VALUE"""),"| 5 L CPT % | 6 L NS % | 7 P Python % | 9 P NS @ ")</f>
        <v xml:space="preserve">| 5 L CPT % | 6 L NS % | 7 P Python % | 9 P NS @ </v>
      </c>
      <c r="BI462" s="4" t="str">
        <f ca="1">IFERROR(__xludf.DUMMYFUNCTION("""COMPUTED_VALUE"""),"| 5 L JAVA % | 6 L JAVA % | 7 P JAVA @ | 9 P PRO @ ")</f>
        <v xml:space="preserve">| 5 L JAVA % | 6 L JAVA % | 7 P JAVA @ | 9 P PRO @ </v>
      </c>
      <c r="BJ462" s="4" t="str">
        <f ca="1">IFERROR(__xludf.DUMMYFUNCTION("""COMPUTED_VALUE"""),"| 5 L PHP-CGM % | 6 L CPT % | 9 L INE @ ")</f>
        <v xml:space="preserve">| 5 L PHP-CGM % | 6 L CPT % | 9 L INE @ </v>
      </c>
      <c r="BK462" s="4" t="str">
        <f ca="1">IFERROR(__xludf.DUMMYFUNCTION("""COMPUTED_VALUE"""),"| 5 L PHP-CGM @ | 6 L NS @ | 7 P JAVA @ ")</f>
        <v xml:space="preserve">| 5 L PHP-CGM @ | 6 L NS @ | 7 P JAVA @ </v>
      </c>
      <c r="BL462" s="4" t="str">
        <f ca="1">IFERROR(__xludf.DUMMYFUNCTION("""COMPUTED_VALUE"""),"| 5 L NS @ | 6 L PHP-CGM @ | 7 L JAVA @ | 8 L CPT @ ")</f>
        <v xml:space="preserve">| 5 L NS @ | 6 L PHP-CGM @ | 7 L JAVA @ | 8 L CPT @ </v>
      </c>
      <c r="BM462" s="4" t="str">
        <f ca="1">IFERROR(__xludf.DUMMYFUNCTION("""COMPUTED_VALUE"""),"| 5 L CPT % | 6 L NS % | 7 P Python @ | 9 P NS @ ")</f>
        <v xml:space="preserve">| 5 L CPT % | 6 L NS % | 7 P Python @ | 9 P NS @ </v>
      </c>
      <c r="BN462" s="4" t="str">
        <f ca="1">IFERROR(__xludf.DUMMYFUNCTION("""COMPUTED_VALUE"""),"| 5 L JAVA % | 6 L JAVA % ")</f>
        <v xml:space="preserve">| 5 L JAVA % | 6 L JAVA % </v>
      </c>
      <c r="BO462" s="4" t="str">
        <f ca="1">IFERROR(__xludf.DUMMYFUNCTION("""COMPUTED_VALUE"""),"| 5 L PHP-CGM @ | 9 L INE @ | 6 L CPT @ | 7 P CPT @ ")</f>
        <v xml:space="preserve">| 5 L PHP-CGM @ | 9 L INE @ | 6 L CPT @ | 7 P CPT @ </v>
      </c>
      <c r="BP462" s="4" t="str">
        <f ca="1">IFERROR(__xludf.DUMMYFUNCTION("""COMPUTED_VALUE"""),"| 5 L PHP-CGM @ | 6 L NS @ | 7 P JAVA @ ")</f>
        <v xml:space="preserve">| 5 L PHP-CGM @ | 6 L NS @ | 7 P JAVA @ </v>
      </c>
      <c r="BQ462" s="4" t="str">
        <f ca="1">IFERROR(__xludf.DUMMYFUNCTION("""COMPUTED_VALUE"""),"| 5 L CPT @ ")</f>
        <v xml:space="preserve">| 5 L CPT @ </v>
      </c>
      <c r="BR462" s="4" t="str">
        <f ca="1">IFERROR(__xludf.DUMMYFUNCTION("""COMPUTED_VALUE"""),"| 5 L JAVA % | 6 L JAVA % ")</f>
        <v xml:space="preserve">| 5 L JAVA % | 6 L JAVA % </v>
      </c>
      <c r="BS462" s="4"/>
      <c r="BT462" s="4" t="str">
        <f ca="1">IFERROR(__xludf.DUMMYFUNCTION("""COMPUTED_VALUE"""),"| 7 P JAVA @ ")</f>
        <v xml:space="preserve">| 7 P JAVA @ </v>
      </c>
      <c r="BU462" s="4" t="str">
        <f ca="1">IFERROR(__xludf.DUMMYFUNCTION("""COMPUTED_VALUE"""),"| 7 L JAVA @ ")</f>
        <v xml:space="preserve">| 7 L JAVA @ </v>
      </c>
      <c r="BV462" s="4" t="str">
        <f ca="1">IFERROR(__xludf.DUMMYFUNCTION("""COMPUTED_VALUE"""),"| 5 L PHP-CGM @ | 6 L NS @ | 7 P JAVA @ | 9 P Python @ ")</f>
        <v xml:space="preserve">| 5 L PHP-CGM @ | 6 L NS @ | 7 P JAVA @ | 9 P Python @ </v>
      </c>
      <c r="BW462" s="4"/>
      <c r="BX462" s="4" t="str">
        <f ca="1">IFERROR(__xludf.DUMMYFUNCTION("""COMPUTED_VALUE"""),"| 5 L CPT % | 6 L NS % | 7 P Python @ ")</f>
        <v xml:space="preserve">| 5 L CPT % | 6 L NS % | 7 P Python @ </v>
      </c>
      <c r="BY462" s="4" t="str">
        <f ca="1">IFERROR(__xludf.DUMMYFUNCTION("""COMPUTED_VALUE"""),"| 5 L JAVA @ | 6 L JAVA @ | 7 P JAVA @ ")</f>
        <v xml:space="preserve">| 5 L JAVA @ | 6 L JAVA @ | 7 P JAVA @ </v>
      </c>
      <c r="BZ462" s="4" t="str">
        <f ca="1">IFERROR(__xludf.DUMMYFUNCTION("""COMPUTED_VALUE"""),"| 5 L PHP-CGM @ | 6 L CPT @ | 7 P CPT @ ")</f>
        <v xml:space="preserve">| 5 L PHP-CGM @ | 6 L CPT @ | 7 P CPT @ </v>
      </c>
      <c r="CA462" s="4" t="str">
        <f ca="1">IFERROR(__xludf.DUMMYFUNCTION("""COMPUTED_VALUE"""),"| 5 L PHP-CGM % | 6 L NS % | 7 P JAVA @ | 9 P Python @ ")</f>
        <v xml:space="preserve">| 5 L PHP-CGM % | 6 L NS % | 7 P JAVA @ | 9 P Python @ </v>
      </c>
      <c r="CB462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62" s="4" t="str">
        <f ca="1">IFERROR(__xludf.DUMMYFUNCTION("""COMPUTED_VALUE"""),"| 6 L NS % | 5 L CPT % | 7 P Python @ | 9 P NS @ ")</f>
        <v xml:space="preserve">| 6 L NS % | 5 L CPT % | 7 P Python @ | 9 P NS @ </v>
      </c>
      <c r="CD462" s="4" t="str">
        <f ca="1">IFERROR(__xludf.DUMMYFUNCTION("""COMPUTED_VALUE"""),"| 5 L JAVA % | 6 L JAVA % | 7 P JAVA @ | 9 P PRO @ ")</f>
        <v xml:space="preserve">| 5 L JAVA % | 6 L JAVA % | 7 P JAVA @ | 9 P PRO @ </v>
      </c>
      <c r="CE462" s="4" t="str">
        <f ca="1">IFERROR(__xludf.DUMMYFUNCTION("""COMPUTED_VALUE"""),"| 5 L PHP-CGM % | 6 L CPT % | 7 P CPT @ | 9 L INE @ ")</f>
        <v xml:space="preserve">| 5 L PHP-CGM % | 6 L CPT % | 7 P CPT @ | 9 L INE @ </v>
      </c>
      <c r="CF462" s="4" t="str">
        <f ca="1">IFERROR(__xludf.DUMMYFUNCTION("""COMPUTED_VALUE"""),"| 5 L PHP-CGM @ | 6 L NS @ | 7 P JAVA @ | 9 P Python @ ")</f>
        <v xml:space="preserve">| 5 L PHP-CGM @ | 6 L NS @ | 7 P JAVA @ | 9 P Python @ </v>
      </c>
      <c r="CG462" s="4" t="str">
        <f ca="1">IFERROR(__xludf.DUMMYFUNCTION("""COMPUTED_VALUE"""),"| 6 L PHP-CGM @ | 7 L JAVA @ | 8 L CPT % ")</f>
        <v xml:space="preserve">| 6 L PHP-CGM @ | 7 L JAVA @ | 8 L CPT % </v>
      </c>
      <c r="CH462" s="4" t="str">
        <f ca="1">IFERROR(__xludf.DUMMYFUNCTION("""COMPUTED_VALUE"""),"| 5 L CPT @ | 6 L NS @ ")</f>
        <v xml:space="preserve">| 5 L CPT @ | 6 L NS @ </v>
      </c>
      <c r="CI462" s="4" t="str">
        <f ca="1">IFERROR(__xludf.DUMMYFUNCTION("""COMPUTED_VALUE"""),"| 5 L JAVA @ | 6 L JAVA @ | 7 P JAVA % | 9 P PRO % ")</f>
        <v xml:space="preserve">| 5 L JAVA @ | 6 L JAVA @ | 7 P JAVA % | 9 P PRO % </v>
      </c>
      <c r="CJ462" s="4" t="str">
        <f ca="1">IFERROR(__xludf.DUMMYFUNCTION("""COMPUTED_VALUE"""),"| 5 L PHP-CGM % | 9 L INE @ ")</f>
        <v xml:space="preserve">| 5 L PHP-CGM % | 9 L INE @ </v>
      </c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</row>
    <row r="463" spans="1:102" ht="12.5" x14ac:dyDescent="0.25">
      <c r="A463" s="3">
        <f ca="1">IFERROR(__xludf.DUMMYFUNCTION("""COMPUTED_VALUE"""),3)</f>
        <v>3</v>
      </c>
      <c r="B463" s="3" t="str">
        <f ca="1">IFERROR(__xludf.DUMMYFUNCTION("""COMPUTED_VALUE"""),"ITB")</f>
        <v>ITB</v>
      </c>
      <c r="C463" s="32" t="str">
        <f ca="1">IFERROR(__xludf.DUMMYFUNCTION("""COMPUTED_VALUE"""),"23291371141")</f>
        <v>23291371141</v>
      </c>
      <c r="D463" s="4" t="str">
        <f ca="1">IFERROR(__xludf.DUMMYFUNCTION("""COMPUTED_VALUE"""),"SOLANKI NEEL JIVABHAI")</f>
        <v>SOLANKI NEEL JIVABHAI</v>
      </c>
      <c r="E463" s="3" t="str">
        <f ca="1">IFERROR(__xludf.DUMMYFUNCTION("""COMPUTED_VALUE"""),"VSP - Eve")</f>
        <v>VSP - Eve</v>
      </c>
      <c r="F463" s="3">
        <f ca="1">IFERROR(__xludf.DUMMYFUNCTION("""COMPUTED_VALUE"""),9537020034)</f>
        <v>9537020034</v>
      </c>
      <c r="G463" s="3">
        <f ca="1">IFERROR(__xludf.DUMMYFUNCTION("""COMPUTED_VALUE"""),9428625722)</f>
        <v>9428625722</v>
      </c>
      <c r="H463" s="33">
        <f ca="1">IFERROR(__xludf.DUMMYFUNCTION("""COMPUTED_VALUE"""),0.45575221238938)</f>
        <v>0.45575221238938002</v>
      </c>
      <c r="I463" s="25">
        <f ca="1">IFERROR(__xludf.DUMMYFUNCTION("""COMPUTED_VALUE"""),0.5)</f>
        <v>0.5</v>
      </c>
      <c r="J463" s="25">
        <f ca="1">IFERROR(__xludf.DUMMYFUNCTION("""COMPUTED_VALUE"""),0.3)</f>
        <v>0.3</v>
      </c>
      <c r="K463" s="25">
        <f ca="1">IFERROR(__xludf.DUMMYFUNCTION("""COMPUTED_VALUE"""),0.545454545454545)</f>
        <v>0.54545454545454497</v>
      </c>
      <c r="L463" s="25">
        <f ca="1">IFERROR(__xludf.DUMMYFUNCTION("""COMPUTED_VALUE"""),0.444444444444444)</f>
        <v>0.44444444444444398</v>
      </c>
      <c r="M463" s="25">
        <f ca="1">IFERROR(__xludf.DUMMYFUNCTION("""COMPUTED_VALUE"""),0.38235294117647)</f>
        <v>0.38235294117647001</v>
      </c>
      <c r="N463" s="25">
        <f ca="1">IFERROR(__xludf.DUMMYFUNCTION("""COMPUTED_VALUE"""),0.6)</f>
        <v>0.6</v>
      </c>
      <c r="O463" s="25">
        <f ca="1">IFERROR(__xludf.DUMMYFUNCTION("""COMPUTED_VALUE"""),0.564102564102564)</f>
        <v>0.56410256410256399</v>
      </c>
      <c r="P463" s="25">
        <f ca="1">IFERROR(__xludf.DUMMYFUNCTION("""COMPUTED_VALUE"""),0.423076923076923)</f>
        <v>0.42307692307692302</v>
      </c>
      <c r="Q463" s="25">
        <f ca="1">IFERROR(__xludf.DUMMYFUNCTION("""COMPUTED_VALUE"""),0)</f>
        <v>0</v>
      </c>
      <c r="R463" s="25">
        <f ca="1">IFERROR(__xludf.DUMMYFUNCTION("""COMPUTED_VALUE"""),0.368421052631578)</f>
        <v>0.36842105263157798</v>
      </c>
      <c r="S463" s="25">
        <f ca="1">IFERROR(__xludf.DUMMYFUNCTION("""COMPUTED_VALUE"""),0)</f>
        <v>0</v>
      </c>
      <c r="T463" s="25">
        <f ca="1">IFERROR(__xludf.DUMMYFUNCTION("""COMPUTED_VALUE"""),0.444444444444444)</f>
        <v>0.44444444444444398</v>
      </c>
      <c r="U463" s="25">
        <f ca="1">IFERROR(__xludf.DUMMYFUNCTION("""COMPUTED_VALUE"""),0)</f>
        <v>0</v>
      </c>
      <c r="V463" s="25">
        <f ca="1">IFERROR(__xludf.DUMMYFUNCTION("""COMPUTED_VALUE"""),0)</f>
        <v>0</v>
      </c>
      <c r="W463" s="4"/>
      <c r="X463" s="4" t="str">
        <f ca="1">IFERROR(__xludf.DUMMYFUNCTION("""COMPUTED_VALUE"""),"| 5 L PHP-CGM @ | 6 L NS @ | 7 P JAVA @ | 9 P Python @ ")</f>
        <v xml:space="preserve">| 5 L PHP-CGM @ | 6 L NS @ | 7 P JAVA @ | 9 P Python @ </v>
      </c>
      <c r="Y463" s="4" t="str">
        <f ca="1">IFERROR(__xludf.DUMMYFUNCTION("""COMPUTED_VALUE"""),"| 5 L NS @ | 6 L PHP-CGM @ | 7 L JAVA @ | 8 L CPT @ ")</f>
        <v xml:space="preserve">| 5 L NS @ | 6 L PHP-CGM @ | 7 L JAVA @ | 8 L CPT @ </v>
      </c>
      <c r="Z463" s="4" t="str">
        <f ca="1">IFERROR(__xludf.DUMMYFUNCTION("""COMPUTED_VALUE"""),"| 5 L JAVA @ | 6 L NS @ | 7 P Python @ | 9 P NS @ ")</f>
        <v xml:space="preserve">| 5 L JAVA @ | 6 L NS @ | 7 P Python @ | 9 P NS @ </v>
      </c>
      <c r="AA463" s="4" t="str">
        <f ca="1">IFERROR(__xludf.DUMMYFUNCTION("""COMPUTED_VALUE"""),"| 5 L CPT @ | 6 L JAVA @ | 7 P JAVA @ | 9 P PRO @ ")</f>
        <v xml:space="preserve">| 5 L CPT @ | 6 L JAVA @ | 7 P JAVA @ | 9 P PRO @ </v>
      </c>
      <c r="AB463" s="4" t="str">
        <f ca="1">IFERROR(__xludf.DUMMYFUNCTION("""COMPUTED_VALUE"""),"| 5 L PHP-CGM @ | 6 L CPT @ | 7 P CPT @ ")</f>
        <v xml:space="preserve">| 5 L PHP-CGM @ | 6 L CPT @ | 7 P CPT @ </v>
      </c>
      <c r="AC463" s="4" t="str">
        <f ca="1">IFERROR(__xludf.DUMMYFUNCTION("""COMPUTED_VALUE"""),"| 5 L PHP-CGM % | 6 L NS % | 7 P JAVA % | 9 P Python % ")</f>
        <v xml:space="preserve">| 5 L PHP-CGM % | 6 L NS % | 7 P JAVA % | 9 P Python % </v>
      </c>
      <c r="AD463" s="4" t="str">
        <f ca="1">IFERROR(__xludf.DUMMYFUNCTION("""COMPUTED_VALUE"""),"| 5 L NS % | 7 L JAVA % | 8 L CPT % | 9 P PHP-CGM % | 6 L PHP-CGM % ")</f>
        <v xml:space="preserve">| 5 L NS % | 7 L JAVA % | 8 L CPT % | 9 P PHP-CGM % | 6 L PHP-CGM % </v>
      </c>
      <c r="AE463" s="4" t="str">
        <f ca="1">IFERROR(__xludf.DUMMYFUNCTION("""COMPUTED_VALUE"""),"| 5 L JAVA % | 6 L NS % | 7 P Python % | 9 P NS % ")</f>
        <v xml:space="preserve">| 5 L JAVA % | 6 L NS % | 7 P Python % | 9 P NS % </v>
      </c>
      <c r="AF463" s="4" t="str">
        <f ca="1">IFERROR(__xludf.DUMMYFUNCTION("""COMPUTED_VALUE"""),"| 5 L CPT % | 6 L JAVA % | 7 P JAVA % | 9 P PRO % ")</f>
        <v xml:space="preserve">| 5 L CPT % | 6 L JAVA % | 7 P JAVA % | 9 P PRO % </v>
      </c>
      <c r="AG463" s="4" t="str">
        <f ca="1">IFERROR(__xludf.DUMMYFUNCTION("""COMPUTED_VALUE"""),"| 5 L PHP-CGM % | 6 L CPT % | 8 P CPT % ")</f>
        <v xml:space="preserve">| 5 L PHP-CGM % | 6 L CPT % | 8 P CPT % </v>
      </c>
      <c r="AH463" s="4" t="str">
        <f ca="1">IFERROR(__xludf.DUMMYFUNCTION("""COMPUTED_VALUE"""),"| 5 L CPT % | 6 L JAVA % | 7 P JAVA % | 9 P PRO % ")</f>
        <v xml:space="preserve">| 5 L CPT % | 6 L JAVA % | 7 P JAVA % | 9 P PRO % </v>
      </c>
      <c r="AI463" s="4" t="str">
        <f ca="1">IFERROR(__xludf.DUMMYFUNCTION("""COMPUTED_VALUE"""),"| 5 L PHP-CGM % | 6 L CPT % | 7 P CPT % ")</f>
        <v xml:space="preserve">| 5 L PHP-CGM % | 6 L CPT % | 7 P CPT % </v>
      </c>
      <c r="AJ463" s="4" t="str">
        <f ca="1">IFERROR(__xludf.DUMMYFUNCTION("""COMPUTED_VALUE"""),"| 5 L PHP-CGM % | 6 L NS % | 7 P JAVA % | 9 P Python @ ")</f>
        <v xml:space="preserve">| 5 L PHP-CGM % | 6 L NS % | 7 P JAVA % | 9 P Python @ </v>
      </c>
      <c r="AK463" s="4" t="str">
        <f ca="1">IFERROR(__xludf.DUMMYFUNCTION("""COMPUTED_VALUE"""),"| 5 L NS @ | 6 L PHP-CGM @ | 7 L JAVA @ | 8 L CPT @ | 9 P PHP-CGM @ ")</f>
        <v xml:space="preserve">| 5 L NS @ | 6 L PHP-CGM @ | 7 L JAVA @ | 8 L CPT @ | 9 P PHP-CGM @ </v>
      </c>
      <c r="AL463" s="4" t="str">
        <f ca="1">IFERROR(__xludf.DUMMYFUNCTION("""COMPUTED_VALUE"""),"| 5 L JAVA % | 6 L NS % | 7 P Python % | 9 P NS % ")</f>
        <v xml:space="preserve">| 5 L JAVA % | 6 L NS % | 7 P Python % | 9 P NS % </v>
      </c>
      <c r="AM463" s="4" t="str">
        <f ca="1">IFERROR(__xludf.DUMMYFUNCTION("""COMPUTED_VALUE"""),"| 5 L CPT % | 6 L JAVA % | 7 P JAVA % | 9 P PRO % ")</f>
        <v xml:space="preserve">| 5 L CPT % | 6 L JAVA % | 7 P JAVA % | 9 P PRO % </v>
      </c>
      <c r="AN463" s="4" t="str">
        <f ca="1">IFERROR(__xludf.DUMMYFUNCTION("""COMPUTED_VALUE"""),"| 5 L PHP-CGM % | 6 L CPT % | 7 P CPT % ")</f>
        <v xml:space="preserve">| 5 L PHP-CGM % | 6 L CPT % | 7 P CPT % </v>
      </c>
      <c r="AO463" s="4" t="str">
        <f ca="1">IFERROR(__xludf.DUMMYFUNCTION("""COMPUTED_VALUE"""),"| 5 L PHP-CGM % | 6 L NS % | 7 P JAVA % ")</f>
        <v xml:space="preserve">| 5 L PHP-CGM % | 6 L NS % | 7 P JAVA % </v>
      </c>
      <c r="AP463" s="4" t="str">
        <f ca="1">IFERROR(__xludf.DUMMYFUNCTION("""COMPUTED_VALUE"""),"| 5 L NS % | 7 L JAVA % | 8 L CPT % ")</f>
        <v xml:space="preserve">| 5 L NS % | 7 L JAVA % | 8 L CPT % </v>
      </c>
      <c r="AQ463" s="4" t="str">
        <f ca="1">IFERROR(__xludf.DUMMYFUNCTION("""COMPUTED_VALUE"""),"| 5 L CPT % | 6 L NS % | 7 P Python % | 9 P NS % ")</f>
        <v xml:space="preserve">| 5 L CPT % | 6 L NS % | 7 P Python % | 9 P NS % </v>
      </c>
      <c r="AR463" s="4" t="str">
        <f ca="1">IFERROR(__xludf.DUMMYFUNCTION("""COMPUTED_VALUE"""),"| 5 L JAVA % | 6 L JAVA % | 5 L CPT @ | 7 P JAVA @ ")</f>
        <v xml:space="preserve">| 5 L JAVA % | 6 L JAVA % | 5 L CPT @ | 7 P JAVA @ </v>
      </c>
      <c r="AS463" s="4" t="str">
        <f ca="1">IFERROR(__xludf.DUMMYFUNCTION("""COMPUTED_VALUE"""),"| 5 L PHP-CGM @ | 6 L NS @ | 7 P JAVA @ | 9 P Python @ ")</f>
        <v xml:space="preserve">| 5 L PHP-CGM @ | 6 L NS @ | 7 P JAVA @ | 9 P Python @ </v>
      </c>
      <c r="AT463" s="4" t="str">
        <f ca="1">IFERROR(__xludf.DUMMYFUNCTION("""COMPUTED_VALUE"""),"| 5 L NS % | 6 L PHP-CGM % | 7 L JAVA @ | 8 L CPT @ ")</f>
        <v xml:space="preserve">| 5 L NS % | 6 L PHP-CGM % | 7 L JAVA @ | 8 L CPT @ </v>
      </c>
      <c r="AU463" s="4" t="str">
        <f ca="1">IFERROR(__xludf.DUMMYFUNCTION("""COMPUTED_VALUE"""),"| 5 L CPT @ | 6 L NS @ | 7 P Python @ | 9 P NS @ ")</f>
        <v xml:space="preserve">| 5 L CPT @ | 6 L NS @ | 7 P Python @ | 9 P NS @ </v>
      </c>
      <c r="AV463" s="4" t="str">
        <f ca="1">IFERROR(__xludf.DUMMYFUNCTION("""COMPUTED_VALUE"""),"| 5 L JAVA % | 6 L JAVA % | 7 P JAVA % | 9 P PRO % ")</f>
        <v xml:space="preserve">| 5 L JAVA % | 6 L JAVA % | 7 P JAVA % | 9 P PRO % </v>
      </c>
      <c r="AW463" s="4" t="str">
        <f ca="1">IFERROR(__xludf.DUMMYFUNCTION("""COMPUTED_VALUE"""),"| 5 L PHP-CGM @ | 6 L CPT @ | 7 P CPT @ | 9 L INE @ ")</f>
        <v xml:space="preserve">| 5 L PHP-CGM @ | 6 L CPT @ | 7 P CPT @ | 9 L INE @ </v>
      </c>
      <c r="AX463" s="4" t="str">
        <f ca="1">IFERROR(__xludf.DUMMYFUNCTION("""COMPUTED_VALUE"""),"| 5 L PHP-CGM @ | 6 L NS @ | 7 P JAVA @ | 9 P Python @ ")</f>
        <v xml:space="preserve">| 5 L PHP-CGM @ | 6 L NS @ | 7 P JAVA @ | 9 P Python @ </v>
      </c>
      <c r="AY463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AZ463" s="4" t="str">
        <f ca="1">IFERROR(__xludf.DUMMYFUNCTION("""COMPUTED_VALUE"""),"| 5 L JAVA % | 6 L JAVA % | 7 P JAVA % ")</f>
        <v xml:space="preserve">| 5 L JAVA % | 6 L JAVA % | 7 P JAVA % </v>
      </c>
      <c r="BA463" s="4" t="str">
        <f ca="1">IFERROR(__xludf.DUMMYFUNCTION("""COMPUTED_VALUE"""),"| 5 L PHP-CGM @ | 6 L CPT % | 9 P CPT @ | 9 L INE @ ")</f>
        <v xml:space="preserve">| 5 L PHP-CGM @ | 6 L CPT % | 9 P CPT @ | 9 L INE @ </v>
      </c>
      <c r="BB463" s="4" t="str">
        <f ca="1">IFERROR(__xludf.DUMMYFUNCTION("""COMPUTED_VALUE"""),"| 5 L PHP-CGM % | 6 L NS % | 7 P JAVA % | 9 P Python % ")</f>
        <v xml:space="preserve">| 5 L PHP-CGM % | 6 L NS % | 7 P JAVA % | 9 P Python % </v>
      </c>
      <c r="BC463" s="4" t="str">
        <f ca="1">IFERROR(__xludf.DUMMYFUNCTION("""COMPUTED_VALUE"""),"| 5 L NS % | 6 L PHP-CGM % | 7 L JAVA % | 8 L CPT % | 9 P PHP-CGM % ")</f>
        <v xml:space="preserve">| 5 L NS % | 6 L PHP-CGM % | 7 L JAVA % | 8 L CPT % | 9 P PHP-CGM % </v>
      </c>
      <c r="BD463" s="4" t="str">
        <f ca="1">IFERROR(__xludf.DUMMYFUNCTION("""COMPUTED_VALUE"""),"| 5 L CPT % | 6 L NS % | 7 P Python % | 9 P NS % ")</f>
        <v xml:space="preserve">| 5 L CPT % | 6 L NS % | 7 P Python % | 9 P NS % </v>
      </c>
      <c r="BE463" s="4" t="str">
        <f ca="1">IFERROR(__xludf.DUMMYFUNCTION("""COMPUTED_VALUE"""),"| 5 L JAVA @ | 6 L JAVA @ | 7 P JAVA @ | 9 P PRO @ ")</f>
        <v xml:space="preserve">| 5 L JAVA @ | 6 L JAVA @ | 7 P JAVA @ | 9 P PRO @ </v>
      </c>
      <c r="BF463" s="4" t="str">
        <f ca="1">IFERROR(__xludf.DUMMYFUNCTION("""COMPUTED_VALUE"""),"| 5 L PHP-CGM @ | 6 L CPT @ | 7 P CPT @ ")</f>
        <v xml:space="preserve">| 5 L PHP-CGM @ | 6 L CPT @ | 7 P CPT @ </v>
      </c>
      <c r="BG463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H463" s="4" t="str">
        <f ca="1">IFERROR(__xludf.DUMMYFUNCTION("""COMPUTED_VALUE"""),"| 5 L CPT @ | 6 L NS @ | 7 P Python @ | 9 P NS @ ")</f>
        <v xml:space="preserve">| 5 L CPT @ | 6 L NS @ | 7 P Python @ | 9 P NS @ </v>
      </c>
      <c r="BI463" s="4" t="str">
        <f ca="1">IFERROR(__xludf.DUMMYFUNCTION("""COMPUTED_VALUE"""),"| 5 L JAVA @ | 6 L JAVA @ | 7 P JAVA @ | 9 P PRO @ ")</f>
        <v xml:space="preserve">| 5 L JAVA @ | 6 L JAVA @ | 7 P JAVA @ | 9 P PRO @ </v>
      </c>
      <c r="BJ463" s="4" t="str">
        <f ca="1">IFERROR(__xludf.DUMMYFUNCTION("""COMPUTED_VALUE"""),"| 5 L PHP-CGM @ | 6 L CPT @ | 9 L INE @ ")</f>
        <v xml:space="preserve">| 5 L PHP-CGM @ | 6 L CPT @ | 9 L INE @ </v>
      </c>
      <c r="BK463" s="4" t="str">
        <f ca="1">IFERROR(__xludf.DUMMYFUNCTION("""COMPUTED_VALUE"""),"| 5 L PHP-CGM @ | 6 L NS @ | 7 P JAVA @ ")</f>
        <v xml:space="preserve">| 5 L PHP-CGM @ | 6 L NS @ | 7 P JAVA @ </v>
      </c>
      <c r="BL463" s="4" t="str">
        <f ca="1">IFERROR(__xludf.DUMMYFUNCTION("""COMPUTED_VALUE"""),"| 5 L NS @ | 6 L PHP-CGM @ | 7 L JAVA @ | 8 L CPT @ ")</f>
        <v xml:space="preserve">| 5 L NS @ | 6 L PHP-CGM @ | 7 L JAVA @ | 8 L CPT @ </v>
      </c>
      <c r="BM463" s="4" t="str">
        <f ca="1">IFERROR(__xludf.DUMMYFUNCTION("""COMPUTED_VALUE"""),"| 5 L CPT @ | 6 L NS @ | 7 P Python @ | 9 P NS @ ")</f>
        <v xml:space="preserve">| 5 L CPT @ | 6 L NS @ | 7 P Python @ | 9 P NS @ </v>
      </c>
      <c r="BN463" s="4" t="str">
        <f ca="1">IFERROR(__xludf.DUMMYFUNCTION("""COMPUTED_VALUE"""),"| 5 L JAVA @ | 6 L JAVA @ ")</f>
        <v xml:space="preserve">| 5 L JAVA @ | 6 L JAVA @ </v>
      </c>
      <c r="BO463" s="4" t="str">
        <f ca="1">IFERROR(__xludf.DUMMYFUNCTION("""COMPUTED_VALUE"""),"| 5 L PHP-CGM @ | 9 L INE @ | 6 L CPT @ | 7 P CPT @ ")</f>
        <v xml:space="preserve">| 5 L PHP-CGM @ | 9 L INE @ | 6 L CPT @ | 7 P CPT @ </v>
      </c>
      <c r="BP463" s="4" t="str">
        <f ca="1">IFERROR(__xludf.DUMMYFUNCTION("""COMPUTED_VALUE"""),"| 5 L PHP-CGM % | 6 L NS % | 7 P JAVA @ ")</f>
        <v xml:space="preserve">| 5 L PHP-CGM % | 6 L NS % | 7 P JAVA @ </v>
      </c>
      <c r="BQ463" s="4" t="str">
        <f ca="1">IFERROR(__xludf.DUMMYFUNCTION("""COMPUTED_VALUE"""),"| 5 L CPT % ")</f>
        <v xml:space="preserve">| 5 L CPT % </v>
      </c>
      <c r="BR463" s="4" t="str">
        <f ca="1">IFERROR(__xludf.DUMMYFUNCTION("""COMPUTED_VALUE"""),"| 5 L JAVA % | 6 L JAVA % ")</f>
        <v xml:space="preserve">| 5 L JAVA % | 6 L JAVA % </v>
      </c>
      <c r="BS463" s="4"/>
      <c r="BT463" s="4" t="str">
        <f ca="1">IFERROR(__xludf.DUMMYFUNCTION("""COMPUTED_VALUE"""),"| 7 P JAVA @ ")</f>
        <v xml:space="preserve">| 7 P JAVA @ </v>
      </c>
      <c r="BU463" s="4" t="str">
        <f ca="1">IFERROR(__xludf.DUMMYFUNCTION("""COMPUTED_VALUE"""),"| 7 L JAVA @ ")</f>
        <v xml:space="preserve">| 7 L JAVA @ </v>
      </c>
      <c r="BV463" s="4" t="str">
        <f ca="1">IFERROR(__xludf.DUMMYFUNCTION("""COMPUTED_VALUE"""),"| 5 L PHP-CGM @ | 6 L NS @ | 7 P JAVA @ | 9 P Python @ ")</f>
        <v xml:space="preserve">| 5 L PHP-CGM @ | 6 L NS @ | 7 P JAVA @ | 9 P Python @ </v>
      </c>
      <c r="BW463" s="4"/>
      <c r="BX463" s="4" t="str">
        <f ca="1">IFERROR(__xludf.DUMMYFUNCTION("""COMPUTED_VALUE"""),"| 5 L CPT % | 6 L NS % | 7 P Python @ ")</f>
        <v xml:space="preserve">| 5 L CPT % | 6 L NS % | 7 P Python @ </v>
      </c>
      <c r="BY463" s="4" t="str">
        <f ca="1">IFERROR(__xludf.DUMMYFUNCTION("""COMPUTED_VALUE"""),"| 5 L JAVA % | 6 L JAVA % | 7 P JAVA % ")</f>
        <v xml:space="preserve">| 5 L JAVA % | 6 L JAVA % | 7 P JAVA % </v>
      </c>
      <c r="BZ463" s="4" t="str">
        <f ca="1">IFERROR(__xludf.DUMMYFUNCTION("""COMPUTED_VALUE"""),"| 5 L PHP-CGM @ | 6 L CPT @ | 7 P CPT @ ")</f>
        <v xml:space="preserve">| 5 L PHP-CGM @ | 6 L CPT @ | 7 P CPT @ </v>
      </c>
      <c r="CA463" s="4" t="str">
        <f ca="1">IFERROR(__xludf.DUMMYFUNCTION("""COMPUTED_VALUE"""),"| 5 L PHP-CGM @ | 6 L NS @ | 7 P JAVA @ | 9 P Python @ ")</f>
        <v xml:space="preserve">| 5 L PHP-CGM @ | 6 L NS @ | 7 P JAVA @ | 9 P Python @ </v>
      </c>
      <c r="CB463" s="4" t="str">
        <f ca="1">IFERROR(__xludf.DUMMYFUNCTION("""COMPUTED_VALUE"""),"| 5 L NS @ | 6 L PHP-CGM @ | 7 L JAVA @ | 8 L CPT @ | 9 P JAVA @ ")</f>
        <v xml:space="preserve">| 5 L NS @ | 6 L PHP-CGM @ | 7 L JAVA @ | 8 L CPT @ | 9 P JAVA @ </v>
      </c>
      <c r="CC463" s="4" t="str">
        <f ca="1">IFERROR(__xludf.DUMMYFUNCTION("""COMPUTED_VALUE"""),"| 6 L NS @ | 5 L CPT @ | 7 P Python @ | 9 P NS @ ")</f>
        <v xml:space="preserve">| 6 L NS @ | 5 L CPT @ | 7 P Python @ | 9 P NS @ </v>
      </c>
      <c r="CD463" s="4" t="str">
        <f ca="1">IFERROR(__xludf.DUMMYFUNCTION("""COMPUTED_VALUE"""),"| 5 L JAVA @ | 6 L JAVA @ | 7 P JAVA @ | 9 P PRO @ ")</f>
        <v xml:space="preserve">| 5 L JAVA @ | 6 L JAVA @ | 7 P JAVA @ | 9 P PRO @ </v>
      </c>
      <c r="CE463" s="4" t="str">
        <f ca="1">IFERROR(__xludf.DUMMYFUNCTION("""COMPUTED_VALUE"""),"| 5 L PHP-CGM @ | 6 L CPT @ | 7 P CPT @ | 9 L INE @ ")</f>
        <v xml:space="preserve">| 5 L PHP-CGM @ | 6 L CPT @ | 7 P CPT @ | 9 L INE @ </v>
      </c>
      <c r="CF463" s="4" t="str">
        <f ca="1">IFERROR(__xludf.DUMMYFUNCTION("""COMPUTED_VALUE"""),"| 5 L PHP-CGM @ | 6 L NS % | 7 P JAVA % | 9 P Python % ")</f>
        <v xml:space="preserve">| 5 L PHP-CGM @ | 6 L NS % | 7 P JAVA % | 9 P Python % </v>
      </c>
      <c r="CG463" s="4" t="str">
        <f ca="1">IFERROR(__xludf.DUMMYFUNCTION("""COMPUTED_VALUE"""),"| 6 L PHP-CGM @ | 7 L JAVA @ | 8 L CPT % ")</f>
        <v xml:space="preserve">| 6 L PHP-CGM @ | 7 L JAVA @ | 8 L CPT % </v>
      </c>
      <c r="CH463" s="4" t="str">
        <f ca="1">IFERROR(__xludf.DUMMYFUNCTION("""COMPUTED_VALUE"""),"| 5 L CPT % | 6 L NS % ")</f>
        <v xml:space="preserve">| 5 L CPT % | 6 L NS % </v>
      </c>
      <c r="CI463" s="4" t="str">
        <f ca="1">IFERROR(__xludf.DUMMYFUNCTION("""COMPUTED_VALUE"""),"| 5 L JAVA % | 6 L JAVA % | 7 P JAVA @ | 9 P PRO @ ")</f>
        <v xml:space="preserve">| 5 L JAVA % | 6 L JAVA % | 7 P JAVA @ | 9 P PRO @ </v>
      </c>
      <c r="CJ463" s="4" t="str">
        <f ca="1">IFERROR(__xludf.DUMMYFUNCTION("""COMPUTED_VALUE"""),"| 5 L PHP-CGM @ | 9 L INE @ ")</f>
        <v xml:space="preserve">| 5 L PHP-CGM @ | 9 L INE @ </v>
      </c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</row>
    <row r="464" spans="1:102" ht="12.5" x14ac:dyDescent="0.25">
      <c r="A464" s="3">
        <f ca="1">IFERROR(__xludf.DUMMYFUNCTION("""COMPUTED_VALUE"""),3)</f>
        <v>3</v>
      </c>
      <c r="B464" s="3" t="str">
        <f ca="1">IFERROR(__xludf.DUMMYFUNCTION("""COMPUTED_VALUE"""),"ITB")</f>
        <v>ITB</v>
      </c>
      <c r="C464" s="32" t="str">
        <f ca="1">IFERROR(__xludf.DUMMYFUNCTION("""COMPUTED_VALUE"""),"23291371142")</f>
        <v>23291371142</v>
      </c>
      <c r="D464" s="4" t="str">
        <f ca="1">IFERROR(__xludf.DUMMYFUNCTION("""COMPUTED_VALUE"""),"SOLANKI PIYUSHBHAI NARBHABHAI")</f>
        <v>SOLANKI PIYUSHBHAI NARBHABHAI</v>
      </c>
      <c r="E464" s="3" t="str">
        <f ca="1">IFERROR(__xludf.DUMMYFUNCTION("""COMPUTED_VALUE"""),"VSP - Eve")</f>
        <v>VSP - Eve</v>
      </c>
      <c r="F464" s="3">
        <f ca="1">IFERROR(__xludf.DUMMYFUNCTION("""COMPUTED_VALUE"""),9726933548)</f>
        <v>9726933548</v>
      </c>
      <c r="G464" s="3">
        <f ca="1">IFERROR(__xludf.DUMMYFUNCTION("""COMPUTED_VALUE"""),9825612826)</f>
        <v>9825612826</v>
      </c>
      <c r="H464" s="33">
        <f ca="1">IFERROR(__xludf.DUMMYFUNCTION("""COMPUTED_VALUE"""),0.402654867256637)</f>
        <v>0.40265486725663702</v>
      </c>
      <c r="I464" s="25">
        <f ca="1">IFERROR(__xludf.DUMMYFUNCTION("""COMPUTED_VALUE"""),0.555555555555555)</f>
        <v>0.55555555555555503</v>
      </c>
      <c r="J464" s="25">
        <f ca="1">IFERROR(__xludf.DUMMYFUNCTION("""COMPUTED_VALUE"""),0.5)</f>
        <v>0.5</v>
      </c>
      <c r="K464" s="25">
        <f ca="1">IFERROR(__xludf.DUMMYFUNCTION("""COMPUTED_VALUE"""),0.424242424242424)</f>
        <v>0.42424242424242398</v>
      </c>
      <c r="L464" s="25">
        <f ca="1">IFERROR(__xludf.DUMMYFUNCTION("""COMPUTED_VALUE"""),0.111111111111111)</f>
        <v>0.11111111111111099</v>
      </c>
      <c r="M464" s="25">
        <f ca="1">IFERROR(__xludf.DUMMYFUNCTION("""COMPUTED_VALUE"""),0.5)</f>
        <v>0.5</v>
      </c>
      <c r="N464" s="25">
        <f ca="1">IFERROR(__xludf.DUMMYFUNCTION("""COMPUTED_VALUE"""),0)</f>
        <v>0</v>
      </c>
      <c r="O464" s="25">
        <f ca="1">IFERROR(__xludf.DUMMYFUNCTION("""COMPUTED_VALUE"""),0.538461538461538)</f>
        <v>0.53846153846153799</v>
      </c>
      <c r="P464" s="25">
        <f ca="1">IFERROR(__xludf.DUMMYFUNCTION("""COMPUTED_VALUE"""),0.269230769230769)</f>
        <v>0.269230769230769</v>
      </c>
      <c r="Q464" s="25">
        <f ca="1">IFERROR(__xludf.DUMMYFUNCTION("""COMPUTED_VALUE"""),0)</f>
        <v>0</v>
      </c>
      <c r="R464" s="25">
        <f ca="1">IFERROR(__xludf.DUMMYFUNCTION("""COMPUTED_VALUE"""),0.105263157894736)</f>
        <v>0.105263157894736</v>
      </c>
      <c r="S464" s="25">
        <f ca="1">IFERROR(__xludf.DUMMYFUNCTION("""COMPUTED_VALUE"""),0)</f>
        <v>0</v>
      </c>
      <c r="T464" s="25">
        <f ca="1">IFERROR(__xludf.DUMMYFUNCTION("""COMPUTED_VALUE"""),0.444444444444444)</f>
        <v>0.44444444444444398</v>
      </c>
      <c r="U464" s="25">
        <f ca="1">IFERROR(__xludf.DUMMYFUNCTION("""COMPUTED_VALUE"""),0)</f>
        <v>0</v>
      </c>
      <c r="V464" s="25">
        <f ca="1">IFERROR(__xludf.DUMMYFUNCTION("""COMPUTED_VALUE"""),0)</f>
        <v>0</v>
      </c>
      <c r="W464" s="4"/>
      <c r="X464" s="4" t="str">
        <f ca="1">IFERROR(__xludf.DUMMYFUNCTION("""COMPUTED_VALUE"""),"| 5 L PHP-CGM @ | 6 L NS @ | 7 P JAVA @ | 9 P Python @ ")</f>
        <v xml:space="preserve">| 5 L PHP-CGM @ | 6 L NS @ | 7 P JAVA @ | 9 P Python @ </v>
      </c>
      <c r="Y464" s="4" t="str">
        <f ca="1">IFERROR(__xludf.DUMMYFUNCTION("""COMPUTED_VALUE"""),"| 5 L NS @ | 6 L PHP-CGM @ | 7 L JAVA @ | 8 L CPT @ ")</f>
        <v xml:space="preserve">| 5 L NS @ | 6 L PHP-CGM @ | 7 L JAVA @ | 8 L CPT @ </v>
      </c>
      <c r="Z464" s="4" t="str">
        <f ca="1">IFERROR(__xludf.DUMMYFUNCTION("""COMPUTED_VALUE"""),"| 5 L JAVA @ | 6 L NS @ | 7 P Python @ | 9 P NS @ ")</f>
        <v xml:space="preserve">| 5 L JAVA @ | 6 L NS @ | 7 P Python @ | 9 P NS @ </v>
      </c>
      <c r="AA464" s="4" t="str">
        <f ca="1">IFERROR(__xludf.DUMMYFUNCTION("""COMPUTED_VALUE"""),"| 5 L CPT @ | 6 L JAVA @ | 7 P JAVA @ | 9 P PRO @ ")</f>
        <v xml:space="preserve">| 5 L CPT @ | 6 L JAVA @ | 7 P JAVA @ | 9 P PRO @ </v>
      </c>
      <c r="AB464" s="4" t="str">
        <f ca="1">IFERROR(__xludf.DUMMYFUNCTION("""COMPUTED_VALUE"""),"| 5 L PHP-CGM @ | 6 L CPT @ | 7 P CPT @ ")</f>
        <v xml:space="preserve">| 5 L PHP-CGM @ | 6 L CPT @ | 7 P CPT @ </v>
      </c>
      <c r="AC464" s="4" t="str">
        <f ca="1">IFERROR(__xludf.DUMMYFUNCTION("""COMPUTED_VALUE"""),"| 5 L PHP-CGM % | 6 L NS @ | 7 P JAVA @ | 9 P Python @ ")</f>
        <v xml:space="preserve">| 5 L PHP-CGM % | 6 L NS @ | 7 P JAVA @ | 9 P Python @ </v>
      </c>
      <c r="AD464" s="4" t="str">
        <f ca="1">IFERROR(__xludf.DUMMYFUNCTION("""COMPUTED_VALUE"""),"| 5 L NS @ | 7 L JAVA % | 8 L CPT % | 9 P PHP-CGM @ | 6 L PHP-CGM @ ")</f>
        <v xml:space="preserve">| 5 L NS @ | 7 L JAVA % | 8 L CPT % | 9 P PHP-CGM @ | 6 L PHP-CGM @ </v>
      </c>
      <c r="AE464" s="4" t="str">
        <f ca="1">IFERROR(__xludf.DUMMYFUNCTION("""COMPUTED_VALUE"""),"| 5 L JAVA % | 6 L NS % | 7 P Python @ | 9 P NS @ ")</f>
        <v xml:space="preserve">| 5 L JAVA % | 6 L NS % | 7 P Python @ | 9 P NS @ </v>
      </c>
      <c r="AF464" s="4" t="str">
        <f ca="1">IFERROR(__xludf.DUMMYFUNCTION("""COMPUTED_VALUE"""),"| 5 L CPT % | 6 L JAVA % | 7 P JAVA @ | 9 P PRO % ")</f>
        <v xml:space="preserve">| 5 L CPT % | 6 L JAVA % | 7 P JAVA @ | 9 P PRO % </v>
      </c>
      <c r="AG464" s="4" t="str">
        <f ca="1">IFERROR(__xludf.DUMMYFUNCTION("""COMPUTED_VALUE"""),"| 5 L PHP-CGM % | 6 L CPT % | 8 P CPT % ")</f>
        <v xml:space="preserve">| 5 L PHP-CGM % | 6 L CPT % | 8 P CPT % </v>
      </c>
      <c r="AH464" s="4" t="str">
        <f ca="1">IFERROR(__xludf.DUMMYFUNCTION("""COMPUTED_VALUE"""),"| 5 L CPT % | 6 L JAVA % | 7 P JAVA % | 9 P PRO % ")</f>
        <v xml:space="preserve">| 5 L CPT % | 6 L JAVA % | 7 P JAVA % | 9 P PRO % </v>
      </c>
      <c r="AI464" s="4" t="str">
        <f ca="1">IFERROR(__xludf.DUMMYFUNCTION("""COMPUTED_VALUE"""),"| 5 L PHP-CGM % | 6 L CPT % | 7 P CPT % ")</f>
        <v xml:space="preserve">| 5 L PHP-CGM % | 6 L CPT % | 7 P CPT % </v>
      </c>
      <c r="AJ464" s="4" t="str">
        <f ca="1">IFERROR(__xludf.DUMMYFUNCTION("""COMPUTED_VALUE"""),"| 5 L PHP-CGM @ | 6 L NS @ | 7 P JAVA @ | 9 P Python @ ")</f>
        <v xml:space="preserve">| 5 L PHP-CGM @ | 6 L NS @ | 7 P JAVA @ | 9 P Python @ </v>
      </c>
      <c r="AK464" s="4" t="str">
        <f ca="1">IFERROR(__xludf.DUMMYFUNCTION("""COMPUTED_VALUE"""),"| 5 L NS % | 6 L PHP-CGM % | 7 L JAVA @ | 8 L CPT @ | 9 P PHP-CGM @ ")</f>
        <v xml:space="preserve">| 5 L NS % | 6 L PHP-CGM % | 7 L JAVA @ | 8 L CPT @ | 9 P PHP-CGM @ </v>
      </c>
      <c r="AL464" s="4" t="str">
        <f ca="1">IFERROR(__xludf.DUMMYFUNCTION("""COMPUTED_VALUE"""),"| 5 L JAVA % | 6 L NS % | 7 P Python @ | 9 P NS @ ")</f>
        <v xml:space="preserve">| 5 L JAVA % | 6 L NS % | 7 P Python @ | 9 P NS @ </v>
      </c>
      <c r="AM464" s="4" t="str">
        <f ca="1">IFERROR(__xludf.DUMMYFUNCTION("""COMPUTED_VALUE"""),"| 5 L CPT % | 6 L JAVA % | 7 P JAVA @ | 9 P PRO @ ")</f>
        <v xml:space="preserve">| 5 L CPT % | 6 L JAVA % | 7 P JAVA @ | 9 P PRO @ </v>
      </c>
      <c r="AN464" s="4" t="str">
        <f ca="1">IFERROR(__xludf.DUMMYFUNCTION("""COMPUTED_VALUE"""),"| 5 L PHP-CGM % | 6 L CPT % | 7 P CPT @ ")</f>
        <v xml:space="preserve">| 5 L PHP-CGM % | 6 L CPT % | 7 P CPT @ </v>
      </c>
      <c r="AO464" s="4" t="str">
        <f ca="1">IFERROR(__xludf.DUMMYFUNCTION("""COMPUTED_VALUE"""),"| 5 L PHP-CGM @ | 6 L NS @ | 7 P JAVA @ ")</f>
        <v xml:space="preserve">| 5 L PHP-CGM @ | 6 L NS @ | 7 P JAVA @ </v>
      </c>
      <c r="AP464" s="4" t="str">
        <f ca="1">IFERROR(__xludf.DUMMYFUNCTION("""COMPUTED_VALUE"""),"| 5 L NS @ | 7 L JAVA @ | 8 L CPT @ ")</f>
        <v xml:space="preserve">| 5 L NS @ | 7 L JAVA @ | 8 L CPT @ </v>
      </c>
      <c r="AQ464" s="4" t="str">
        <f ca="1">IFERROR(__xludf.DUMMYFUNCTION("""COMPUTED_VALUE"""),"| 5 L CPT % | 6 L NS % | 7 P Python @ | 9 P NS @ ")</f>
        <v xml:space="preserve">| 5 L CPT % | 6 L NS % | 7 P Python @ | 9 P NS @ </v>
      </c>
      <c r="AR464" s="4" t="str">
        <f ca="1">IFERROR(__xludf.DUMMYFUNCTION("""COMPUTED_VALUE"""),"| 5 L JAVA @ | 6 L JAVA @ | 5 L CPT @ | 7 P JAVA @ ")</f>
        <v xml:space="preserve">| 5 L JAVA @ | 6 L JAVA @ | 5 L CPT @ | 7 P JAVA @ </v>
      </c>
      <c r="AS464" s="4" t="str">
        <f ca="1">IFERROR(__xludf.DUMMYFUNCTION("""COMPUTED_VALUE"""),"| 5 L PHP-CGM @ | 6 L NS @ | 7 P JAVA @ | 9 P Python @ ")</f>
        <v xml:space="preserve">| 5 L PHP-CGM @ | 6 L NS @ | 7 P JAVA @ | 9 P Python @ </v>
      </c>
      <c r="AT464" s="4" t="str">
        <f ca="1">IFERROR(__xludf.DUMMYFUNCTION("""COMPUTED_VALUE"""),"| 5 L NS @ | 6 L PHP-CGM @ | 7 L JAVA @ | 8 L CPT @ ")</f>
        <v xml:space="preserve">| 5 L NS @ | 6 L PHP-CGM @ | 7 L JAVA @ | 8 L CPT @ </v>
      </c>
      <c r="AU464" s="4" t="str">
        <f ca="1">IFERROR(__xludf.DUMMYFUNCTION("""COMPUTED_VALUE"""),"| 5 L CPT % | 6 L NS % | 7 P Python @ | 9 P NS @ ")</f>
        <v xml:space="preserve">| 5 L CPT % | 6 L NS % | 7 P Python @ | 9 P NS @ </v>
      </c>
      <c r="AV464" s="4" t="str">
        <f ca="1">IFERROR(__xludf.DUMMYFUNCTION("""COMPUTED_VALUE"""),"| 5 L JAVA % | 6 L JAVA % | 7 P JAVA @ | 9 P PRO @ ")</f>
        <v xml:space="preserve">| 5 L JAVA % | 6 L JAVA % | 7 P JAVA @ | 9 P PRO @ </v>
      </c>
      <c r="AW464" s="4" t="str">
        <f ca="1">IFERROR(__xludf.DUMMYFUNCTION("""COMPUTED_VALUE"""),"| 5 L PHP-CGM % | 6 L CPT % | 7 P CPT % | 9 L INE @ ")</f>
        <v xml:space="preserve">| 5 L PHP-CGM % | 6 L CPT % | 7 P CPT % | 9 L INE @ </v>
      </c>
      <c r="AX464" s="4" t="str">
        <f ca="1">IFERROR(__xludf.DUMMYFUNCTION("""COMPUTED_VALUE"""),"| 5 L PHP-CGM % | 6 L NS % | 7 P JAVA % | 9 P Python @ ")</f>
        <v xml:space="preserve">| 5 L PHP-CGM % | 6 L NS % | 7 P JAVA % | 9 P Python @ </v>
      </c>
      <c r="AY464" s="4" t="str">
        <f ca="1">IFERROR(__xludf.DUMMYFUNCTION("""COMPUTED_VALUE"""),"| 5 L NS % | 6 L PHP-CGM % | 7 L JAVA % | 8 L CPT @ | 9 P PHP-CGM @ ")</f>
        <v xml:space="preserve">| 5 L NS % | 6 L PHP-CGM % | 7 L JAVA % | 8 L CPT @ | 9 P PHP-CGM @ </v>
      </c>
      <c r="AZ464" s="4" t="str">
        <f ca="1">IFERROR(__xludf.DUMMYFUNCTION("""COMPUTED_VALUE"""),"| 5 L JAVA % | 6 L JAVA @ | 7 P JAVA % ")</f>
        <v xml:space="preserve">| 5 L JAVA % | 6 L JAVA @ | 7 P JAVA % </v>
      </c>
      <c r="BA464" s="4" t="str">
        <f ca="1">IFERROR(__xludf.DUMMYFUNCTION("""COMPUTED_VALUE"""),"| 5 L PHP-CGM @ | 6 L CPT @ | 9 P CPT @ | 9 L INE @ ")</f>
        <v xml:space="preserve">| 5 L PHP-CGM @ | 6 L CPT @ | 9 P CPT @ | 9 L INE @ </v>
      </c>
      <c r="BB464" s="4" t="str">
        <f ca="1">IFERROR(__xludf.DUMMYFUNCTION("""COMPUTED_VALUE"""),"| 5 L PHP-CGM % | 6 L NS @ | 7 P JAVA % | 9 P Python @ ")</f>
        <v xml:space="preserve">| 5 L PHP-CGM % | 6 L NS @ | 7 P JAVA % | 9 P Python @ </v>
      </c>
      <c r="BC464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D464" s="4" t="str">
        <f ca="1">IFERROR(__xludf.DUMMYFUNCTION("""COMPUTED_VALUE"""),"| 5 L CPT % | 6 L NS % | 7 P Python % | 9 P NS % ")</f>
        <v xml:space="preserve">| 5 L CPT % | 6 L NS % | 7 P Python % | 9 P NS % </v>
      </c>
      <c r="BE464" s="4" t="str">
        <f ca="1">IFERROR(__xludf.DUMMYFUNCTION("""COMPUTED_VALUE"""),"| 5 L JAVA % | 6 L JAVA % | 7 P JAVA % | 9 P PRO % ")</f>
        <v xml:space="preserve">| 5 L JAVA % | 6 L JAVA % | 7 P JAVA % | 9 P PRO % </v>
      </c>
      <c r="BF464" s="4" t="str">
        <f ca="1">IFERROR(__xludf.DUMMYFUNCTION("""COMPUTED_VALUE"""),"| 5 L PHP-CGM % | 6 L CPT % | 7 P CPT % ")</f>
        <v xml:space="preserve">| 5 L PHP-CGM % | 6 L CPT % | 7 P CPT % </v>
      </c>
      <c r="BG464" s="4" t="str">
        <f ca="1">IFERROR(__xludf.DUMMYFUNCTION("""COMPUTED_VALUE"""),"| 5 L NS % | 6 L PHP-CGM % | 7 L JAVA % | 8 L CPT % | 9 P PHP-CGM @ ")</f>
        <v xml:space="preserve">| 5 L NS % | 6 L PHP-CGM % | 7 L JAVA % | 8 L CPT % | 9 P PHP-CGM @ </v>
      </c>
      <c r="BH464" s="4" t="str">
        <f ca="1">IFERROR(__xludf.DUMMYFUNCTION("""COMPUTED_VALUE"""),"| 5 L CPT % | 6 L NS % | 7 P Python % | 9 P NS @ ")</f>
        <v xml:space="preserve">| 5 L CPT % | 6 L NS % | 7 P Python % | 9 P NS @ </v>
      </c>
      <c r="BI464" s="4" t="str">
        <f ca="1">IFERROR(__xludf.DUMMYFUNCTION("""COMPUTED_VALUE"""),"| 5 L JAVA % | 6 L JAVA % | 7 P JAVA % | 9 P PRO @ ")</f>
        <v xml:space="preserve">| 5 L JAVA % | 6 L JAVA % | 7 P JAVA % | 9 P PRO @ </v>
      </c>
      <c r="BJ464" s="4" t="str">
        <f ca="1">IFERROR(__xludf.DUMMYFUNCTION("""COMPUTED_VALUE"""),"| 5 L PHP-CGM % | 6 L CPT % | 9 L INE @ ")</f>
        <v xml:space="preserve">| 5 L PHP-CGM % | 6 L CPT % | 9 L INE @ </v>
      </c>
      <c r="BK464" s="4" t="str">
        <f ca="1">IFERROR(__xludf.DUMMYFUNCTION("""COMPUTED_VALUE"""),"| 5 L PHP-CGM @ | 6 L NS @ | 7 P JAVA @ ")</f>
        <v xml:space="preserve">| 5 L PHP-CGM @ | 6 L NS @ | 7 P JAVA @ </v>
      </c>
      <c r="BL464" s="4" t="str">
        <f ca="1">IFERROR(__xludf.DUMMYFUNCTION("""COMPUTED_VALUE"""),"| 5 L NS @ | 6 L PHP-CGM @ | 7 L JAVA @ | 8 L CPT @ ")</f>
        <v xml:space="preserve">| 5 L NS @ | 6 L PHP-CGM @ | 7 L JAVA @ | 8 L CPT @ </v>
      </c>
      <c r="BM464" s="4" t="str">
        <f ca="1">IFERROR(__xludf.DUMMYFUNCTION("""COMPUTED_VALUE"""),"| 5 L CPT @ | 6 L NS @ | 7 P Python @ | 9 P NS @ ")</f>
        <v xml:space="preserve">| 5 L CPT @ | 6 L NS @ | 7 P Python @ | 9 P NS @ </v>
      </c>
      <c r="BN464" s="4" t="str">
        <f ca="1">IFERROR(__xludf.DUMMYFUNCTION("""COMPUTED_VALUE"""),"| 5 L JAVA @ | 6 L JAVA @ ")</f>
        <v xml:space="preserve">| 5 L JAVA @ | 6 L JAVA @ </v>
      </c>
      <c r="BO464" s="4" t="str">
        <f ca="1">IFERROR(__xludf.DUMMYFUNCTION("""COMPUTED_VALUE"""),"| 5 L PHP-CGM @ | 9 L INE @ | 6 L CPT @ | 7 P CPT @ ")</f>
        <v xml:space="preserve">| 5 L PHP-CGM @ | 9 L INE @ | 6 L CPT @ | 7 P CPT @ </v>
      </c>
      <c r="BP464" s="4" t="str">
        <f ca="1">IFERROR(__xludf.DUMMYFUNCTION("""COMPUTED_VALUE"""),"| 5 L PHP-CGM @ | 6 L NS @ | 7 P JAVA @ ")</f>
        <v xml:space="preserve">| 5 L PHP-CGM @ | 6 L NS @ | 7 P JAVA @ </v>
      </c>
      <c r="BQ464" s="4" t="str">
        <f ca="1">IFERROR(__xludf.DUMMYFUNCTION("""COMPUTED_VALUE"""),"| 5 L CPT @ ")</f>
        <v xml:space="preserve">| 5 L CPT @ </v>
      </c>
      <c r="BR464" s="4" t="str">
        <f ca="1">IFERROR(__xludf.DUMMYFUNCTION("""COMPUTED_VALUE"""),"| 5 L JAVA % | 6 L JAVA % ")</f>
        <v xml:space="preserve">| 5 L JAVA % | 6 L JAVA % </v>
      </c>
      <c r="BS464" s="4"/>
      <c r="BT464" s="4" t="str">
        <f ca="1">IFERROR(__xludf.DUMMYFUNCTION("""COMPUTED_VALUE"""),"| 7 P JAVA @ ")</f>
        <v xml:space="preserve">| 7 P JAVA @ </v>
      </c>
      <c r="BU464" s="4" t="str">
        <f ca="1">IFERROR(__xludf.DUMMYFUNCTION("""COMPUTED_VALUE"""),"| 7 L JAVA @ ")</f>
        <v xml:space="preserve">| 7 L JAVA @ </v>
      </c>
      <c r="BV464" s="4" t="str">
        <f ca="1">IFERROR(__xludf.DUMMYFUNCTION("""COMPUTED_VALUE"""),"| 5 L PHP-CGM @ | 6 L NS @ | 7 P JAVA @ | 9 P Python @ ")</f>
        <v xml:space="preserve">| 5 L PHP-CGM @ | 6 L NS @ | 7 P JAVA @ | 9 P Python @ </v>
      </c>
      <c r="BW464" s="4"/>
      <c r="BX464" s="4" t="str">
        <f ca="1">IFERROR(__xludf.DUMMYFUNCTION("""COMPUTED_VALUE"""),"| 5 L CPT @ | 6 L NS @ | 7 P Python @ ")</f>
        <v xml:space="preserve">| 5 L CPT @ | 6 L NS @ | 7 P Python @ </v>
      </c>
      <c r="BY464" s="4" t="str">
        <f ca="1">IFERROR(__xludf.DUMMYFUNCTION("""COMPUTED_VALUE"""),"| 5 L JAVA @ | 6 L JAVA @ | 7 P JAVA @ ")</f>
        <v xml:space="preserve">| 5 L JAVA @ | 6 L JAVA @ | 7 P JAVA @ </v>
      </c>
      <c r="BZ464" s="4" t="str">
        <f ca="1">IFERROR(__xludf.DUMMYFUNCTION("""COMPUTED_VALUE"""),"| 5 L PHP-CGM @ | 6 L CPT @ | 7 P CPT @ ")</f>
        <v xml:space="preserve">| 5 L PHP-CGM @ | 6 L CPT @ | 7 P CPT @ </v>
      </c>
      <c r="CA464" s="4" t="str">
        <f ca="1">IFERROR(__xludf.DUMMYFUNCTION("""COMPUTED_VALUE"""),"| 5 L PHP-CGM % | 6 L NS % | 7 P JAVA @ | 9 P Python @ ")</f>
        <v xml:space="preserve">| 5 L PHP-CGM % | 6 L NS % | 7 P JAVA @ | 9 P Python @ </v>
      </c>
      <c r="CB464" s="4" t="str">
        <f ca="1">IFERROR(__xludf.DUMMYFUNCTION("""COMPUTED_VALUE"""),"| 5 L NS % | 6 L PHP-CGM % | 7 L JAVA % | 8 L CPT % | 9 P JAVA @ ")</f>
        <v xml:space="preserve">| 5 L NS % | 6 L PHP-CGM % | 7 L JAVA % | 8 L CPT % | 9 P JAVA @ </v>
      </c>
      <c r="CC464" s="4" t="str">
        <f ca="1">IFERROR(__xludf.DUMMYFUNCTION("""COMPUTED_VALUE"""),"| 6 L NS % | 5 L CPT % | 7 P Python @ | 9 P NS @ ")</f>
        <v xml:space="preserve">| 6 L NS % | 5 L CPT % | 7 P Python @ | 9 P NS @ </v>
      </c>
      <c r="CD464" s="4" t="str">
        <f ca="1">IFERROR(__xludf.DUMMYFUNCTION("""COMPUTED_VALUE"""),"| 5 L JAVA % | 6 L JAVA % | 7 P JAVA @ | 9 P PRO @ ")</f>
        <v xml:space="preserve">| 5 L JAVA % | 6 L JAVA % | 7 P JAVA @ | 9 P PRO @ </v>
      </c>
      <c r="CE464" s="4" t="str">
        <f ca="1">IFERROR(__xludf.DUMMYFUNCTION("""COMPUTED_VALUE"""),"| 5 L PHP-CGM % | 6 L CPT % | 7 P CPT % | 9 L INE @ ")</f>
        <v xml:space="preserve">| 5 L PHP-CGM % | 6 L CPT % | 7 P CPT % | 9 L INE @ </v>
      </c>
      <c r="CF464" s="4" t="str">
        <f ca="1">IFERROR(__xludf.DUMMYFUNCTION("""COMPUTED_VALUE"""),"| 5 L PHP-CGM @ | 6 L NS @ | 7 P JAVA @ | 9 P Python @ ")</f>
        <v xml:space="preserve">| 5 L PHP-CGM @ | 6 L NS @ | 7 P JAVA @ | 9 P Python @ </v>
      </c>
      <c r="CG464" s="4" t="str">
        <f ca="1">IFERROR(__xludf.DUMMYFUNCTION("""COMPUTED_VALUE"""),"| 6 L PHP-CGM @ | 7 L JAVA @ | 8 L CPT % ")</f>
        <v xml:space="preserve">| 6 L PHP-CGM @ | 7 L JAVA @ | 8 L CPT % </v>
      </c>
      <c r="CH464" s="4" t="str">
        <f ca="1">IFERROR(__xludf.DUMMYFUNCTION("""COMPUTED_VALUE"""),"| 5 L CPT @ | 6 L NS @ ")</f>
        <v xml:space="preserve">| 5 L CPT @ | 6 L NS @ </v>
      </c>
      <c r="CI464" s="4" t="str">
        <f ca="1">IFERROR(__xludf.DUMMYFUNCTION("""COMPUTED_VALUE"""),"| 5 L JAVA @ | 6 L JAVA @ | 7 P JAVA % | 9 P PRO % ")</f>
        <v xml:space="preserve">| 5 L JAVA @ | 6 L JAVA @ | 7 P JAVA % | 9 P PRO % </v>
      </c>
      <c r="CJ464" s="4" t="str">
        <f ca="1">IFERROR(__xludf.DUMMYFUNCTION("""COMPUTED_VALUE"""),"| 5 L PHP-CGM % | 9 L INE @ ")</f>
        <v xml:space="preserve">| 5 L PHP-CGM % | 9 L INE @ </v>
      </c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</row>
    <row r="465" spans="1:102" ht="12.5" x14ac:dyDescent="0.25">
      <c r="A465" s="3">
        <f ca="1">IFERROR(__xludf.DUMMYFUNCTION("""COMPUTED_VALUE"""),1)</f>
        <v>1</v>
      </c>
      <c r="B465" s="3" t="str">
        <f ca="1">IFERROR(__xludf.DUMMYFUNCTION("""COMPUTED_VALUE"""),"ITC")</f>
        <v>ITC</v>
      </c>
      <c r="C465" s="32" t="str">
        <f ca="1">IFERROR(__xludf.DUMMYFUNCTION("""COMPUTED_VALUE"""),"20171371026")</f>
        <v>20171371026</v>
      </c>
      <c r="D465" s="4" t="str">
        <f ca="1">IFERROR(__xludf.DUMMYFUNCTION("""COMPUTED_VALUE"""),"PARMAR VARUN JITENDRA")</f>
        <v>PARMAR VARUN JITENDRA</v>
      </c>
      <c r="E465" s="3" t="str">
        <f ca="1">IFERROR(__xludf.DUMMYFUNCTION("""COMPUTED_VALUE"""),"SDP&amp;KKP - Mor")</f>
        <v>SDP&amp;KKP - Mor</v>
      </c>
      <c r="F465" s="3">
        <f ca="1">IFERROR(__xludf.DUMMYFUNCTION("""COMPUTED_VALUE"""),9265178802)</f>
        <v>9265178802</v>
      </c>
      <c r="G465" s="3">
        <f ca="1">IFERROR(__xludf.DUMMYFUNCTION("""COMPUTED_VALUE"""),9898242763)</f>
        <v>9898242763</v>
      </c>
      <c r="H465" s="33">
        <f ca="1">IFERROR(__xludf.DUMMYFUNCTION("""COMPUTED_VALUE"""),0.305555555555555)</f>
        <v>0.30555555555555503</v>
      </c>
      <c r="I465" s="25">
        <f ca="1">IFERROR(__xludf.DUMMYFUNCTION("""COMPUTED_VALUE"""),0.2)</f>
        <v>0.2</v>
      </c>
      <c r="J465" s="25">
        <f ca="1">IFERROR(__xludf.DUMMYFUNCTION("""COMPUTED_VALUE"""),0.5)</f>
        <v>0.5</v>
      </c>
      <c r="K465" s="25">
        <f ca="1">IFERROR(__xludf.DUMMYFUNCTION("""COMPUTED_VALUE"""),0.333333333333333)</f>
        <v>0.33333333333333298</v>
      </c>
      <c r="L465" s="25">
        <f ca="1">IFERROR(__xludf.DUMMYFUNCTION("""COMPUTED_VALUE"""),0.5)</f>
        <v>0.5</v>
      </c>
      <c r="M465" s="25">
        <f ca="1">IFERROR(__xludf.DUMMYFUNCTION("""COMPUTED_VALUE"""),0.25)</f>
        <v>0.25</v>
      </c>
      <c r="N465" s="25">
        <f ca="1">IFERROR(__xludf.DUMMYFUNCTION("""COMPUTED_VALUE"""),0)</f>
        <v>0</v>
      </c>
      <c r="O465" s="25">
        <f ca="1">IFERROR(__xludf.DUMMYFUNCTION("""COMPUTED_VALUE"""),0.333333333333333)</f>
        <v>0.33333333333333298</v>
      </c>
      <c r="P465" s="25">
        <f ca="1">IFERROR(__xludf.DUMMYFUNCTION("""COMPUTED_VALUE"""),0.75)</f>
        <v>0.75</v>
      </c>
      <c r="Q465" s="25">
        <f ca="1">IFERROR(__xludf.DUMMYFUNCTION("""COMPUTED_VALUE"""),0)</f>
        <v>0</v>
      </c>
      <c r="R465" s="25">
        <f ca="1">IFERROR(__xludf.DUMMYFUNCTION("""COMPUTED_VALUE"""),0)</f>
        <v>0</v>
      </c>
      <c r="S465" s="25">
        <f ca="1">IFERROR(__xludf.DUMMYFUNCTION("""COMPUTED_VALUE"""),0)</f>
        <v>0</v>
      </c>
      <c r="T465" s="25">
        <f ca="1">IFERROR(__xludf.DUMMYFUNCTION("""COMPUTED_VALUE"""),0)</f>
        <v>0</v>
      </c>
      <c r="U465" s="25">
        <f ca="1">IFERROR(__xludf.DUMMYFUNCTION("""COMPUTED_VALUE"""),0)</f>
        <v>0</v>
      </c>
      <c r="V465" s="25">
        <f ca="1">IFERROR(__xludf.DUMMYFUNCTION("""COMPUTED_VALUE"""),0)</f>
        <v>0</v>
      </c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 t="str">
        <f ca="1">IFERROR(__xludf.DUMMYFUNCTION("""COMPUTED_VALUE"""),"| 4 L JAVA @ | 5 L NS @ | 6 L CPT @ ")</f>
        <v xml:space="preserve">| 4 L JAVA @ | 5 L NS @ | 6 L CPT @ </v>
      </c>
      <c r="CA465" s="4" t="str">
        <f ca="1">IFERROR(__xludf.DUMMYFUNCTION("""COMPUTED_VALUE"""),"| 1 P CPT @ | 3 L CPT @ | 4 L JAVA @ | 5 L INE @ ")</f>
        <v xml:space="preserve">| 1 P CPT @ | 3 L CPT @ | 4 L JAVA @ | 5 L INE @ </v>
      </c>
      <c r="CB465" s="4" t="str">
        <f ca="1">IFERROR(__xludf.DUMMYFUNCTION("""COMPUTED_VALUE"""),"| 1 P NS @ | 3 L JAVA @ | 4 L NS @ | 5 P PRO @ ")</f>
        <v xml:space="preserve">| 1 P NS @ | 3 L JAVA @ | 4 L NS @ | 5 P PRO @ </v>
      </c>
      <c r="CC465" s="4" t="str">
        <f ca="1">IFERROR(__xludf.DUMMYFUNCTION("""COMPUTED_VALUE"""),"| 1 P Python @ | 3 L PHP-CGM @ | 4 L NS @ | 5 P PHP-CGM @ ")</f>
        <v xml:space="preserve">| 1 P Python @ | 3 L PHP-CGM @ | 4 L NS @ | 5 P PHP-CGM @ </v>
      </c>
      <c r="CD465" s="4" t="str">
        <f ca="1">IFERROR(__xludf.DUMMYFUNCTION("""COMPUTED_VALUE"""),"| 1 P JAVA % | 3 L CPT @ | 4 L PHP-CGM @ | 5 P Python @ ")</f>
        <v xml:space="preserve">| 1 P JAVA % | 3 L CPT @ | 4 L PHP-CGM @ | 5 P Python @ </v>
      </c>
      <c r="CE465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65" s="4" t="str">
        <f ca="1">IFERROR(__xludf.DUMMYFUNCTION("""COMPUTED_VALUE"""),"| 1 P CPT % | 3 L CPT % | 4 L JAVA % | 5 L INE @ ")</f>
        <v xml:space="preserve">| 1 P CPT % | 3 L CPT % | 4 L JAVA % | 5 L INE @ </v>
      </c>
      <c r="CG465" s="4" t="str">
        <f ca="1">IFERROR(__xludf.DUMMYFUNCTION("""COMPUTED_VALUE"""),"| 1 P NS % | 4 L NS % ")</f>
        <v xml:space="preserve">| 1 P NS % | 4 L NS % </v>
      </c>
      <c r="CH465" s="4" t="str">
        <f ca="1">IFERROR(__xludf.DUMMYFUNCTION("""COMPUTED_VALUE"""),"| 3 L PHP-CGM % | 4 L NS % | 1 P Python @ ")</f>
        <v xml:space="preserve">| 3 L PHP-CGM % | 4 L NS % | 1 P Python @ </v>
      </c>
      <c r="CI465" s="4" t="str">
        <f ca="1">IFERROR(__xludf.DUMMYFUNCTION("""COMPUTED_VALUE"""),"| 1 P JAVA % ")</f>
        <v xml:space="preserve">| 1 P JAVA % </v>
      </c>
      <c r="CJ465" s="4" t="str">
        <f ca="1">IFERROR(__xludf.DUMMYFUNCTION("""COMPUTED_VALUE"""),"| 1 P JAVA % | 4 L JAVA % ")</f>
        <v xml:space="preserve">| 1 P JAVA % | 4 L JAVA % </v>
      </c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</row>
    <row r="466" spans="1:102" ht="12.5" x14ac:dyDescent="0.25">
      <c r="A466" s="3">
        <f ca="1">IFERROR(__xludf.DUMMYFUNCTION("""COMPUTED_VALUE"""),1)</f>
        <v>1</v>
      </c>
      <c r="B466" s="3" t="str">
        <f ca="1">IFERROR(__xludf.DUMMYFUNCTION("""COMPUTED_VALUE"""),"ITC")</f>
        <v>ITC</v>
      </c>
      <c r="C466" s="32" t="str">
        <f ca="1">IFERROR(__xludf.DUMMYFUNCTION("""COMPUTED_VALUE"""),"22171371137")</f>
        <v>22171371137</v>
      </c>
      <c r="D466" s="4" t="str">
        <f ca="1">IFERROR(__xludf.DUMMYFUNCTION("""COMPUTED_VALUE"""),"SUNASARA MOHAMMAD HAADI ALIAKBAR")</f>
        <v>SUNASARA MOHAMMAD HAADI ALIAKBAR</v>
      </c>
      <c r="E466" s="3" t="str">
        <f ca="1">IFERROR(__xludf.DUMMYFUNCTION("""COMPUTED_VALUE"""),"SDP&amp;KKP - Mor")</f>
        <v>SDP&amp;KKP - Mor</v>
      </c>
      <c r="F466" s="3">
        <f ca="1">IFERROR(__xludf.DUMMYFUNCTION("""COMPUTED_VALUE"""),9173343255)</f>
        <v>9173343255</v>
      </c>
      <c r="G466" s="3">
        <f ca="1">IFERROR(__xludf.DUMMYFUNCTION("""COMPUTED_VALUE"""),9722352425)</f>
        <v>9722352425</v>
      </c>
      <c r="H466" s="33">
        <f ca="1">IFERROR(__xludf.DUMMYFUNCTION("""COMPUTED_VALUE"""),0.460905349794238)</f>
        <v>0.46090534979423797</v>
      </c>
      <c r="I466" s="25">
        <f ca="1">IFERROR(__xludf.DUMMYFUNCTION("""COMPUTED_VALUE"""),0.388888888888888)</f>
        <v>0.38888888888888801</v>
      </c>
      <c r="J466" s="25">
        <f ca="1">IFERROR(__xludf.DUMMYFUNCTION("""COMPUTED_VALUE"""),0.461538461538461)</f>
        <v>0.46153846153846101</v>
      </c>
      <c r="K466" s="25">
        <f ca="1">IFERROR(__xludf.DUMMYFUNCTION("""COMPUTED_VALUE"""),0.527777777777777)</f>
        <v>0.52777777777777701</v>
      </c>
      <c r="L466" s="25">
        <f ca="1">IFERROR(__xludf.DUMMYFUNCTION("""COMPUTED_VALUE"""),0.615384615384615)</f>
        <v>0.61538461538461497</v>
      </c>
      <c r="M466" s="25">
        <f ca="1">IFERROR(__xludf.DUMMYFUNCTION("""COMPUTED_VALUE"""),0.515151515151515)</f>
        <v>0.51515151515151503</v>
      </c>
      <c r="N466" s="25">
        <f ca="1">IFERROR(__xludf.DUMMYFUNCTION("""COMPUTED_VALUE"""),0.4)</f>
        <v>0.4</v>
      </c>
      <c r="O466" s="25">
        <f ca="1">IFERROR(__xludf.DUMMYFUNCTION("""COMPUTED_VALUE"""),0.513513513513513)</f>
        <v>0.51351351351351304</v>
      </c>
      <c r="P466" s="25">
        <f ca="1">IFERROR(__xludf.DUMMYFUNCTION("""COMPUTED_VALUE"""),0.4)</f>
        <v>0.4</v>
      </c>
      <c r="Q466" s="25">
        <f ca="1">IFERROR(__xludf.DUMMYFUNCTION("""COMPUTED_VALUE"""),0)</f>
        <v>0</v>
      </c>
      <c r="R466" s="25">
        <f ca="1">IFERROR(__xludf.DUMMYFUNCTION("""COMPUTED_VALUE"""),0.565217391304347)</f>
        <v>0.56521739130434701</v>
      </c>
      <c r="S466" s="25">
        <f ca="1">IFERROR(__xludf.DUMMYFUNCTION("""COMPUTED_VALUE"""),0)</f>
        <v>0</v>
      </c>
      <c r="T466" s="25">
        <f ca="1">IFERROR(__xludf.DUMMYFUNCTION("""COMPUTED_VALUE"""),0.111111111111111)</f>
        <v>0.11111111111111099</v>
      </c>
      <c r="U466" s="25">
        <f ca="1">IFERROR(__xludf.DUMMYFUNCTION("""COMPUTED_VALUE"""),0.125)</f>
        <v>0.125</v>
      </c>
      <c r="V466" s="25">
        <f ca="1">IFERROR(__xludf.DUMMYFUNCTION("""COMPUTED_VALUE"""),0)</f>
        <v>0</v>
      </c>
      <c r="W466" s="4"/>
      <c r="X466" s="4" t="str">
        <f ca="1">IFERROR(__xludf.DUMMYFUNCTION("""COMPUTED_VALUE"""),"| 1 P JAVA @ | 3 L CPT @ | 4 L JAVA @ ")</f>
        <v xml:space="preserve">| 1 P JAVA @ | 3 L CPT @ | 4 L JAVA @ </v>
      </c>
      <c r="Y466" s="4" t="str">
        <f ca="1">IFERROR(__xludf.DUMMYFUNCTION("""COMPUTED_VALUE"""),"| 1 P PHP-CGM @ | 3 L JAVA @ | 4 L NS @ | 5 P PRO @ ")</f>
        <v xml:space="preserve">| 1 P PHP-CGM @ | 3 L JAVA @ | 4 L NS @ | 5 P PRO @ </v>
      </c>
      <c r="Z466" s="4" t="str">
        <f ca="1">IFERROR(__xludf.DUMMYFUNCTION("""COMPUTED_VALUE"""),"| 1 P Python @ | 3 L PHP-CGM % | 4 L NS @ | 5 P JAVA @ ")</f>
        <v xml:space="preserve">| 1 P Python @ | 3 L PHP-CGM % | 4 L NS @ | 5 P JAVA @ </v>
      </c>
      <c r="AA466" s="4" t="str">
        <f ca="1">IFERROR(__xludf.DUMMYFUNCTION("""COMPUTED_VALUE"""),"| 1 P Python @ | 3 L CPT @ | 5 P NS @ ")</f>
        <v xml:space="preserve">| 1 P Python @ | 3 L CPT @ | 5 P NS @ </v>
      </c>
      <c r="AB466" s="4" t="str">
        <f ca="1">IFERROR(__xludf.DUMMYFUNCTION("""COMPUTED_VALUE"""),"| 1 P CPT @ | 3 L PHP-CGM @ | 4 L JAVA @ | 5 L CPT @ | 6 L NS @ | 5 L PHP-CGM @ ")</f>
        <v xml:space="preserve">| 1 P CPT @ | 3 L PHP-CGM @ | 4 L JAVA @ | 5 L CPT @ | 6 L NS @ | 5 L PHP-CGM @ </v>
      </c>
      <c r="AC466" s="4" t="str">
        <f ca="1">IFERROR(__xludf.DUMMYFUNCTION("""COMPUTED_VALUE"""),"| 1 P CPT % | 3 L CPT @ | 4 L JAVA @ ")</f>
        <v xml:space="preserve">| 1 P CPT % | 3 L CPT @ | 4 L JAVA @ </v>
      </c>
      <c r="AD466" s="4" t="str">
        <f ca="1">IFERROR(__xludf.DUMMYFUNCTION("""COMPUTED_VALUE"""),"| 1 P NS % | 3 L JAVA % | 4 L NS % | 5 P PRO @ ")</f>
        <v xml:space="preserve">| 1 P NS % | 3 L JAVA % | 4 L NS % | 5 P PRO @ </v>
      </c>
      <c r="AE466" s="4" t="str">
        <f ca="1">IFERROR(__xludf.DUMMYFUNCTION("""COMPUTED_VALUE"""),"| 1 P Python % | 3 L PHP-CGM % | 4 L NS % | 5 P PHP-CGM @ ")</f>
        <v xml:space="preserve">| 1 P Python % | 3 L PHP-CGM % | 4 L NS % | 5 P PHP-CGM @ </v>
      </c>
      <c r="AF466" s="4" t="str">
        <f ca="1">IFERROR(__xludf.DUMMYFUNCTION("""COMPUTED_VALUE"""),"| 1 P JAVA @ | 3 L CPT @ | 4 L PHP-CGM @ | 5 P Python @ ")</f>
        <v xml:space="preserve">| 1 P JAVA @ | 3 L CPT @ | 4 L PHP-CGM @ | 5 P Python @ </v>
      </c>
      <c r="AG466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H466" s="4" t="str">
        <f ca="1">IFERROR(__xludf.DUMMYFUNCTION("""COMPUTED_VALUE"""),"| 1 P JAVA % | 3 L CPT % | 4 L PHP-CGM % | 5 P Python @ ")</f>
        <v xml:space="preserve">| 1 P JAVA % | 3 L CPT % | 4 L PHP-CGM % | 5 P Python @ </v>
      </c>
      <c r="AI466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66" s="4" t="str">
        <f ca="1">IFERROR(__xludf.DUMMYFUNCTION("""COMPUTED_VALUE"""),"| 1 P CPT @ | 3 L CPT @ | 4 L JAVA @ ")</f>
        <v xml:space="preserve">| 1 P CPT @ | 3 L CPT @ | 4 L JAVA @ </v>
      </c>
      <c r="AK466" s="4" t="str">
        <f ca="1">IFERROR(__xludf.DUMMYFUNCTION("""COMPUTED_VALUE"""),"| 1 P NS % | 4 L NS @ | 3 L JAVA @ | 5 P PRO @ ")</f>
        <v xml:space="preserve">| 1 P NS % | 4 L NS @ | 3 L JAVA @ | 5 P PRO @ </v>
      </c>
      <c r="AL466" s="4" t="str">
        <f ca="1">IFERROR(__xludf.DUMMYFUNCTION("""COMPUTED_VALUE"""),"| 1 P Python % | 3 L PHP-CGM % | 4 L NS % | 5 P PHP-CGM @ ")</f>
        <v xml:space="preserve">| 1 P Python % | 3 L PHP-CGM % | 4 L NS % | 5 P PHP-CGM @ </v>
      </c>
      <c r="AM466" s="4" t="str">
        <f ca="1">IFERROR(__xludf.DUMMYFUNCTION("""COMPUTED_VALUE"""),"| 1 P JAVA % | 3 L CPT @ | 4 L PHP-CGM @ | 5 P Python @ ")</f>
        <v xml:space="preserve">| 1 P JAVA % | 3 L CPT @ | 4 L PHP-CGM @ | 5 P Python @ </v>
      </c>
      <c r="AN466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66" s="4" t="str">
        <f ca="1">IFERROR(__xludf.DUMMYFUNCTION("""COMPUTED_VALUE"""),"| 1 P CPT @ | 3 L CPT @ | 4 L JAVA @ | 5 L INE @ ")</f>
        <v xml:space="preserve">| 1 P CPT @ | 3 L CPT @ | 4 L JAVA @ | 5 L INE @ </v>
      </c>
      <c r="AP466" s="4" t="str">
        <f ca="1">IFERROR(__xludf.DUMMYFUNCTION("""COMPUTED_VALUE"""),"| 1 P NS % | 3 L JAVA @ | 4 L NS @ | 5 P PRO @ ")</f>
        <v xml:space="preserve">| 1 P NS % | 3 L JAVA @ | 4 L NS @ | 5 P PRO @ </v>
      </c>
      <c r="AQ466" s="4" t="str">
        <f ca="1">IFERROR(__xludf.DUMMYFUNCTION("""COMPUTED_VALUE"""),"| 1 P Python % | 3 L PHP-CGM % | 4 L NS % | 5 P PHP-CGM % ")</f>
        <v xml:space="preserve">| 1 P Python % | 3 L PHP-CGM % | 4 L NS % | 5 P PHP-CGM % </v>
      </c>
      <c r="AR466" s="4" t="str">
        <f ca="1">IFERROR(__xludf.DUMMYFUNCTION("""COMPUTED_VALUE"""),"| 1 P JAVA % | 3 L CPT % | 5 P Python @ ")</f>
        <v xml:space="preserve">| 1 P JAVA % | 3 L CPT % | 5 P Python @ </v>
      </c>
      <c r="AS466" s="4" t="str">
        <f ca="1">IFERROR(__xludf.DUMMYFUNCTION("""COMPUTED_VALUE"""),"| 1 P CPT @ | 3 L CPT @ | 4 L JAVA @ | 5 L INE @ ")</f>
        <v xml:space="preserve">| 1 P CPT @ | 3 L CPT @ | 4 L JAVA @ | 5 L INE @ </v>
      </c>
      <c r="AT466" s="4" t="str">
        <f ca="1">IFERROR(__xludf.DUMMYFUNCTION("""COMPUTED_VALUE"""),"| 1 P NS @ | 3 L JAVA % | 4 L NS % | 5 P PRO @ ")</f>
        <v xml:space="preserve">| 1 P NS @ | 3 L JAVA % | 4 L NS % | 5 P PRO @ </v>
      </c>
      <c r="AU466" s="4" t="str">
        <f ca="1">IFERROR(__xludf.DUMMYFUNCTION("""COMPUTED_VALUE"""),"| 1 P Python % | 3 L PHP-CGM @ | 4 L NS @ | 5 P PHP-CGM @ ")</f>
        <v xml:space="preserve">| 1 P Python % | 3 L PHP-CGM @ | 4 L NS @ | 5 P PHP-CGM @ </v>
      </c>
      <c r="AV466" s="4" t="str">
        <f ca="1">IFERROR(__xludf.DUMMYFUNCTION("""COMPUTED_VALUE"""),"| 1 P JAVA @ | 3 L CPT @ | 4 L PHP-CGM @ | 5 P Python @ ")</f>
        <v xml:space="preserve">| 1 P JAVA @ | 3 L CPT @ | 4 L PHP-CGM @ | 5 P Python @ </v>
      </c>
      <c r="AW466" s="4" t="str">
        <f ca="1">IFERROR(__xludf.DUMMYFUNCTION("""COMPUTED_VALUE"""),"| 1 P JAVA @ | 3 L PHP-CGM @ | 4 L JAVA @ | 5 L NS @ | 5 L CPT @ ")</f>
        <v xml:space="preserve">| 1 P JAVA @ | 3 L PHP-CGM @ | 4 L JAVA @ | 5 L NS @ | 5 L CPT @ </v>
      </c>
      <c r="AX466" s="4" t="str">
        <f ca="1">IFERROR(__xludf.DUMMYFUNCTION("""COMPUTED_VALUE"""),"| 1 P CPT @ | 3 L CPT % | 4 L JAVA % | 5 L INE @ ")</f>
        <v xml:space="preserve">| 1 P CPT @ | 3 L CPT % | 4 L JAVA % | 5 L INE @ </v>
      </c>
      <c r="AY466" s="4" t="str">
        <f ca="1">IFERROR(__xludf.DUMMYFUNCTION("""COMPUTED_VALUE"""),"| 1 P NS % | 3 L JAVA % | 4 L NS % | 5 P PRO @ ")</f>
        <v xml:space="preserve">| 1 P NS % | 3 L JAVA % | 4 L NS % | 5 P PRO @ </v>
      </c>
      <c r="AZ466" s="4" t="str">
        <f ca="1">IFERROR(__xludf.DUMMYFUNCTION("""COMPUTED_VALUE"""),"| 1 P JAVA % | 3 L CPT % | 4 L PHP-CGM % | 5 P Python @ ")</f>
        <v xml:space="preserve">| 1 P JAVA % | 3 L CPT % | 4 L PHP-CGM % | 5 P Python @ </v>
      </c>
      <c r="BA466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B466" s="4" t="str">
        <f ca="1">IFERROR(__xludf.DUMMYFUNCTION("""COMPUTED_VALUE"""),"| 1 P CPT @ | 3 L CPT @ | 4 L JAVA @ | 5 L INE @ ")</f>
        <v xml:space="preserve">| 1 P CPT @ | 3 L CPT @ | 4 L JAVA @ | 5 L INE @ </v>
      </c>
      <c r="BC466" s="4" t="str">
        <f ca="1">IFERROR(__xludf.DUMMYFUNCTION("""COMPUTED_VALUE"""),"| 1 P NS @ | 3 L JAVA % | 4 L NS % | 5 P PRO % ")</f>
        <v xml:space="preserve">| 1 P NS @ | 3 L JAVA % | 4 L NS % | 5 P PRO % </v>
      </c>
      <c r="BD466" s="4" t="str">
        <f ca="1">IFERROR(__xludf.DUMMYFUNCTION("""COMPUTED_VALUE"""),"| 1 P Python % | 4 L NS %  | 3 L PHP-CGM % | 5 P PHP-CGM % ")</f>
        <v xml:space="preserve">| 1 P Python % | 4 L NS %  | 3 L PHP-CGM % | 5 P PHP-CGM % </v>
      </c>
      <c r="BE466" s="4" t="str">
        <f ca="1">IFERROR(__xludf.DUMMYFUNCTION("""COMPUTED_VALUE"""),"| 1 P JAVA @ | 3 L CPT % | 4 L PHP-CGM % | 5 P Python % ")</f>
        <v xml:space="preserve">| 1 P JAVA @ | 3 L CPT % | 4 L PHP-CGM % | 5 P Python % </v>
      </c>
      <c r="BF46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66" s="4" t="str">
        <f ca="1">IFERROR(__xludf.DUMMYFUNCTION("""COMPUTED_VALUE"""),"| 1 P NS % | 3 L JAVA % | 4 L NS % | 5 P PRO @ ")</f>
        <v xml:space="preserve">| 1 P NS % | 3 L JAVA % | 4 L NS % | 5 P PRO @ </v>
      </c>
      <c r="BH466" s="4" t="str">
        <f ca="1">IFERROR(__xludf.DUMMYFUNCTION("""COMPUTED_VALUE"""),"| 1 P Python % | 3 L PHP-CGM % | 4 L NS % | 5 P PHP-CGM % ")</f>
        <v xml:space="preserve">| 1 P Python % | 3 L PHP-CGM % | 4 L NS % | 5 P PHP-CGM % </v>
      </c>
      <c r="BI466" s="4" t="str">
        <f ca="1">IFERROR(__xludf.DUMMYFUNCTION("""COMPUTED_VALUE"""),"| 1 P JAVA % | 3 L CPT % | 4 L PHP-CGM % | 5 P Python % ")</f>
        <v xml:space="preserve">| 1 P JAVA % | 3 L CPT % | 4 L PHP-CGM % | 5 P Python % </v>
      </c>
      <c r="BJ46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66" s="4" t="str">
        <f ca="1">IFERROR(__xludf.DUMMYFUNCTION("""COMPUTED_VALUE"""),"| 1 P CPT % | 3 L CPT % | 4 L JAVA % | 5 L INE @ ")</f>
        <v xml:space="preserve">| 1 P CPT % | 3 L CPT % | 4 L JAVA % | 5 L INE @ </v>
      </c>
      <c r="BL466" s="4" t="str">
        <f ca="1">IFERROR(__xludf.DUMMYFUNCTION("""COMPUTED_VALUE"""),"| 1 P NS % | 3 L JAVA % | 4 L NS % ")</f>
        <v xml:space="preserve">| 1 P NS % | 3 L JAVA % | 4 L NS % </v>
      </c>
      <c r="BM466" s="4" t="str">
        <f ca="1">IFERROR(__xludf.DUMMYFUNCTION("""COMPUTED_VALUE"""),"| 1 P Python % | 3 L PHP-CGM % | 4 L NS % | 5 P PHP-CGM % ")</f>
        <v xml:space="preserve">| 1 P Python % | 3 L PHP-CGM % | 4 L NS % | 5 P PHP-CGM % </v>
      </c>
      <c r="BN466" s="4" t="str">
        <f ca="1">IFERROR(__xludf.DUMMYFUNCTION("""COMPUTED_VALUE"""),"| 1 P JAVA % | 3 L CPT % | 4 L PHP-CGM % | 5 P Python % ")</f>
        <v xml:space="preserve">| 1 P JAVA % | 3 L CPT % | 4 L PHP-CGM % | 5 P Python % </v>
      </c>
      <c r="BO466" s="4" t="str">
        <f ca="1">IFERROR(__xludf.DUMMYFUNCTION("""COMPUTED_VALUE"""),"| 1 P JAVA @ | 3 L PHP-CGM % | 4 L JAVA % | 5 L NS % | 6 L CPT % ")</f>
        <v xml:space="preserve">| 1 P JAVA @ | 3 L PHP-CGM % | 4 L JAVA % | 5 L NS % | 6 L CPT % </v>
      </c>
      <c r="BP466" s="4" t="str">
        <f ca="1">IFERROR(__xludf.DUMMYFUNCTION("""COMPUTED_VALUE"""),"| 1 P CPT % | 3 L CPT % | 4 L JAVA % | 5 L INE @ ")</f>
        <v xml:space="preserve">| 1 P CPT % | 3 L CPT % | 4 L JAVA % | 5 L INE @ </v>
      </c>
      <c r="BQ466" s="4" t="str">
        <f ca="1">IFERROR(__xludf.DUMMYFUNCTION("""COMPUTED_VALUE"""),"| 4 L NS % ")</f>
        <v xml:space="preserve">| 4 L NS % </v>
      </c>
      <c r="BR466" s="4"/>
      <c r="BS466" s="4"/>
      <c r="BT466" s="4" t="str">
        <f ca="1">IFERROR(__xludf.DUMMYFUNCTION("""COMPUTED_VALUE"""),"| 1 P CPT % | 3 L CPT % | 4 L JAVA % ")</f>
        <v xml:space="preserve">| 1 P CPT % | 3 L CPT % | 4 L JAVA % </v>
      </c>
      <c r="BU466" s="4" t="str">
        <f ca="1">IFERROR(__xludf.DUMMYFUNCTION("""COMPUTED_VALUE"""),"| 1 P NS % | 4 L NS % | 3 L JAVA % ")</f>
        <v xml:space="preserve">| 1 P NS % | 4 L NS % | 3 L JAVA % </v>
      </c>
      <c r="BV466" s="4" t="str">
        <f ca="1">IFERROR(__xludf.DUMMYFUNCTION("""COMPUTED_VALUE"""),"| 1 P CPT % | 3 L CPT % | 4 L JAVA % ")</f>
        <v xml:space="preserve">| 1 P CPT % | 3 L CPT % | 4 L JAVA % </v>
      </c>
      <c r="BW466" s="4" t="str">
        <f ca="1">IFERROR(__xludf.DUMMYFUNCTION("""COMPUTED_VALUE"""),"| 1 P NS % | 3 L JAVA % | 4 L NS % ")</f>
        <v xml:space="preserve">| 1 P NS % | 3 L JAVA % | 4 L NS % </v>
      </c>
      <c r="BX466" s="4" t="str">
        <f ca="1">IFERROR(__xludf.DUMMYFUNCTION("""COMPUTED_VALUE"""),"| 1 P Python % | 3 L PHP-CGM % | 4 L NS % | 5 P PHP-CGM @ ")</f>
        <v xml:space="preserve">| 1 P Python % | 3 L PHP-CGM % | 4 L NS % | 5 P PHP-CGM @ </v>
      </c>
      <c r="BY466" s="4" t="str">
        <f ca="1">IFERROR(__xludf.DUMMYFUNCTION("""COMPUTED_VALUE"""),"| 1 P JAVA @ | 3 L CPT @ | 4 L PHP-CGM @ | 5 P Python @ ")</f>
        <v xml:space="preserve">| 1 P JAVA @ | 3 L CPT @ | 4 L PHP-CGM @ | 5 P Python @ </v>
      </c>
      <c r="BZ46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66" s="4" t="str">
        <f ca="1">IFERROR(__xludf.DUMMYFUNCTION("""COMPUTED_VALUE"""),"| 1 P CPT @ | 3 L CPT % | 4 L JAVA % | 5 L INE % ")</f>
        <v xml:space="preserve">| 1 P CPT @ | 3 L CPT % | 4 L JAVA % | 5 L INE % </v>
      </c>
      <c r="CB466" s="4" t="str">
        <f ca="1">IFERROR(__xludf.DUMMYFUNCTION("""COMPUTED_VALUE"""),"| 1 P NS @ | 3 L JAVA @ | 4 L NS @ | 5 P PRO @ ")</f>
        <v xml:space="preserve">| 1 P NS @ | 3 L JAVA @ | 4 L NS @ | 5 P PRO @ </v>
      </c>
      <c r="CC466" s="4" t="str">
        <f ca="1">IFERROR(__xludf.DUMMYFUNCTION("""COMPUTED_VALUE"""),"| 1 P Python % | 3 L PHP-CGM % | 4 L NS % | 5 P PHP-CGM @ ")</f>
        <v xml:space="preserve">| 1 P Python % | 3 L PHP-CGM % | 4 L NS % | 5 P PHP-CGM @ </v>
      </c>
      <c r="CD466" s="4" t="str">
        <f ca="1">IFERROR(__xludf.DUMMYFUNCTION("""COMPUTED_VALUE"""),"| 1 P JAVA @ | 3 L CPT @ | 4 L PHP-CGM @ | 5 P Python @ ")</f>
        <v xml:space="preserve">| 1 P JAVA @ | 3 L CPT @ | 4 L PHP-CGM @ | 5 P Python @ </v>
      </c>
      <c r="CE466" s="4" t="str">
        <f ca="1">IFERROR(__xludf.DUMMYFUNCTION("""COMPUTED_VALUE"""),"| 1 P JAVA % | 3 L PHP-CGM @ | 4 L JAVA % | 5 L NS % | 6 L CPT % ")</f>
        <v xml:space="preserve">| 1 P JAVA % | 3 L PHP-CGM @ | 4 L JAVA % | 5 L NS % | 6 L CPT % </v>
      </c>
      <c r="CF466" s="4" t="str">
        <f ca="1">IFERROR(__xludf.DUMMYFUNCTION("""COMPUTED_VALUE"""),"| 1 P CPT % | 3 L CPT @ | 4 L JAVA @ | 5 L INE @ ")</f>
        <v xml:space="preserve">| 1 P CPT % | 3 L CPT @ | 4 L JAVA @ | 5 L INE @ </v>
      </c>
      <c r="CG466" s="4" t="str">
        <f ca="1">IFERROR(__xludf.DUMMYFUNCTION("""COMPUTED_VALUE"""),"| 1 P NS @ | 4 L NS @ ")</f>
        <v xml:space="preserve">| 1 P NS @ | 4 L NS @ </v>
      </c>
      <c r="CH466" s="4" t="str">
        <f ca="1">IFERROR(__xludf.DUMMYFUNCTION("""COMPUTED_VALUE"""),"| 3 L PHP-CGM @ | 4 L NS @ | 1 P Python % ")</f>
        <v xml:space="preserve">| 3 L PHP-CGM @ | 4 L NS @ | 1 P Python % </v>
      </c>
      <c r="CI466" s="4" t="str">
        <f ca="1">IFERROR(__xludf.DUMMYFUNCTION("""COMPUTED_VALUE"""),"| 1 P JAVA @ ")</f>
        <v xml:space="preserve">| 1 P JAVA @ </v>
      </c>
      <c r="CJ466" s="4" t="str">
        <f ca="1">IFERROR(__xludf.DUMMYFUNCTION("""COMPUTED_VALUE"""),"| 1 P JAVA % | 4 L JAVA % ")</f>
        <v xml:space="preserve">| 1 P JAVA % | 4 L JAVA % </v>
      </c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</row>
    <row r="467" spans="1:102" ht="12.5" x14ac:dyDescent="0.25">
      <c r="A467" s="3">
        <f ca="1">IFERROR(__xludf.DUMMYFUNCTION("""COMPUTED_VALUE"""),1)</f>
        <v>1</v>
      </c>
      <c r="B467" s="3" t="str">
        <f ca="1">IFERROR(__xludf.DUMMYFUNCTION("""COMPUTED_VALUE"""),"ITC")</f>
        <v>ITC</v>
      </c>
      <c r="C467" s="32" t="str">
        <f ca="1">IFERROR(__xludf.DUMMYFUNCTION("""COMPUTED_VALUE"""),"23171371003")</f>
        <v>23171371003</v>
      </c>
      <c r="D467" s="4" t="str">
        <f ca="1">IFERROR(__xludf.DUMMYFUNCTION("""COMPUTED_VALUE"""),"BAHELIM ROHANKHAN MAHAMMADARIF")</f>
        <v>BAHELIM ROHANKHAN MAHAMMADARIF</v>
      </c>
      <c r="E467" s="3" t="str">
        <f ca="1">IFERROR(__xludf.DUMMYFUNCTION("""COMPUTED_VALUE"""),"SDP&amp;KKP - Mor")</f>
        <v>SDP&amp;KKP - Mor</v>
      </c>
      <c r="F467" s="3">
        <f ca="1">IFERROR(__xludf.DUMMYFUNCTION("""COMPUTED_VALUE"""),8511448631)</f>
        <v>8511448631</v>
      </c>
      <c r="G467" s="3">
        <f ca="1">IFERROR(__xludf.DUMMYFUNCTION("""COMPUTED_VALUE"""),8154043967)</f>
        <v>8154043967</v>
      </c>
      <c r="H467" s="33">
        <f ca="1">IFERROR(__xludf.DUMMYFUNCTION("""COMPUTED_VALUE"""),0.545454545454545)</f>
        <v>0.54545454545454497</v>
      </c>
      <c r="I467" s="25">
        <f ca="1">IFERROR(__xludf.DUMMYFUNCTION("""COMPUTED_VALUE"""),0.444444444444444)</f>
        <v>0.44444444444444398</v>
      </c>
      <c r="J467" s="25">
        <f ca="1">IFERROR(__xludf.DUMMYFUNCTION("""COMPUTED_VALUE"""),0.538461538461538)</f>
        <v>0.53846153846153799</v>
      </c>
      <c r="K467" s="25">
        <f ca="1">IFERROR(__xludf.DUMMYFUNCTION("""COMPUTED_VALUE"""),0.611111111111111)</f>
        <v>0.61111111111111105</v>
      </c>
      <c r="L467" s="25">
        <f ca="1">IFERROR(__xludf.DUMMYFUNCTION("""COMPUTED_VALUE"""),0.692307692307692)</f>
        <v>0.69230769230769196</v>
      </c>
      <c r="M467" s="25">
        <f ca="1">IFERROR(__xludf.DUMMYFUNCTION("""COMPUTED_VALUE"""),0.5625)</f>
        <v>0.5625</v>
      </c>
      <c r="N467" s="25">
        <f ca="1">IFERROR(__xludf.DUMMYFUNCTION("""COMPUTED_VALUE"""),0.4)</f>
        <v>0.4</v>
      </c>
      <c r="O467" s="25">
        <f ca="1">IFERROR(__xludf.DUMMYFUNCTION("""COMPUTED_VALUE"""),0.513513513513513)</f>
        <v>0.51351351351351304</v>
      </c>
      <c r="P467" s="25">
        <f ca="1">IFERROR(__xludf.DUMMYFUNCTION("""COMPUTED_VALUE"""),0.64)</f>
        <v>0.64</v>
      </c>
      <c r="Q467" s="25">
        <f ca="1">IFERROR(__xludf.DUMMYFUNCTION("""COMPUTED_VALUE"""),0)</f>
        <v>0</v>
      </c>
      <c r="R467" s="25">
        <f ca="1">IFERROR(__xludf.DUMMYFUNCTION("""COMPUTED_VALUE"""),0.565217391304347)</f>
        <v>0.56521739130434701</v>
      </c>
      <c r="S467" s="25">
        <f ca="1">IFERROR(__xludf.DUMMYFUNCTION("""COMPUTED_VALUE"""),0)</f>
        <v>0</v>
      </c>
      <c r="T467" s="25">
        <f ca="1">IFERROR(__xludf.DUMMYFUNCTION("""COMPUTED_VALUE"""),0.666666666666666)</f>
        <v>0.66666666666666596</v>
      </c>
      <c r="U467" s="25">
        <f ca="1">IFERROR(__xludf.DUMMYFUNCTION("""COMPUTED_VALUE"""),0.25)</f>
        <v>0.25</v>
      </c>
      <c r="V467" s="25">
        <f ca="1">IFERROR(__xludf.DUMMYFUNCTION("""COMPUTED_VALUE"""),0)</f>
        <v>0</v>
      </c>
      <c r="W467" s="4"/>
      <c r="X467" s="4" t="str">
        <f ca="1">IFERROR(__xludf.DUMMYFUNCTION("""COMPUTED_VALUE"""),"| 1 P CPT % | 3 L CPT % | 4 L JAVA % ")</f>
        <v xml:space="preserve">| 1 P CPT % | 3 L CPT % | 4 L JAVA % </v>
      </c>
      <c r="Y467" s="4" t="str">
        <f ca="1">IFERROR(__xludf.DUMMYFUNCTION("""COMPUTED_VALUE"""),"| 1 P NS % | 3 L JAVA % | 4 L NS % | 5 P PRO @ ")</f>
        <v xml:space="preserve">| 1 P NS % | 3 L JAVA % | 4 L NS % | 5 P PRO @ </v>
      </c>
      <c r="Z467" s="4" t="str">
        <f ca="1">IFERROR(__xludf.DUMMYFUNCTION("""COMPUTED_VALUE"""),"| 1 P Python @ | 3 L PHP-CGM @ | 4 L NS @ | 5 P PHP-CGM @ ")</f>
        <v xml:space="preserve">| 1 P Python @ | 3 L PHP-CGM @ | 4 L NS @ | 5 P PHP-CGM @ </v>
      </c>
      <c r="AA467" s="4" t="str">
        <f ca="1">IFERROR(__xludf.DUMMYFUNCTION("""COMPUTED_VALUE"""),"| 1 P JAVA % | 3 L CPT % | 5 P Python @ ")</f>
        <v xml:space="preserve">| 1 P JAVA % | 3 L CPT % | 5 P Python @ </v>
      </c>
      <c r="AB467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67" s="4" t="str">
        <f ca="1">IFERROR(__xludf.DUMMYFUNCTION("""COMPUTED_VALUE"""),"| 1 P CPT % | 3 L CPT @ | 4 L JAVA @ ")</f>
        <v xml:space="preserve">| 1 P CPT % | 3 L CPT @ | 4 L JAVA @ </v>
      </c>
      <c r="AD467" s="4" t="str">
        <f ca="1">IFERROR(__xludf.DUMMYFUNCTION("""COMPUTED_VALUE"""),"| 1 P NS % | 3 L JAVA % | 4 L NS % | 5 P PRO % ")</f>
        <v xml:space="preserve">| 1 P NS % | 3 L JAVA % | 4 L NS % | 5 P PRO % </v>
      </c>
      <c r="AE467" s="4" t="str">
        <f ca="1">IFERROR(__xludf.DUMMYFUNCTION("""COMPUTED_VALUE"""),"| 1 P Python % | 3 L PHP-CGM % | 4 L NS % | 5 P PHP-CGM % ")</f>
        <v xml:space="preserve">| 1 P Python % | 3 L PHP-CGM % | 4 L NS % | 5 P PHP-CGM % </v>
      </c>
      <c r="AF467" s="4" t="str">
        <f ca="1">IFERROR(__xludf.DUMMYFUNCTION("""COMPUTED_VALUE"""),"| 1 P JAVA @ | 3 L CPT @ | 4 L PHP-CGM @ | 5 P Python @ ")</f>
        <v xml:space="preserve">| 1 P JAVA @ | 3 L CPT @ | 4 L PHP-CGM @ | 5 P Python @ </v>
      </c>
      <c r="AG467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H467" s="4" t="str">
        <f ca="1">IFERROR(__xludf.DUMMYFUNCTION("""COMPUTED_VALUE"""),"| 1 P JAVA % | 3 L CPT % | 4 L PHP-CGM % | 5 P Python % ")</f>
        <v xml:space="preserve">| 1 P JAVA % | 3 L CPT % | 4 L PHP-CGM % | 5 P Python % </v>
      </c>
      <c r="AI467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67" s="4" t="str">
        <f ca="1">IFERROR(__xludf.DUMMYFUNCTION("""COMPUTED_VALUE"""),"| 1 P CPT % | 3 L CPT % | 4 L JAVA % ")</f>
        <v xml:space="preserve">| 1 P CPT % | 3 L CPT % | 4 L JAVA % </v>
      </c>
      <c r="AK467" s="4" t="str">
        <f ca="1">IFERROR(__xludf.DUMMYFUNCTION("""COMPUTED_VALUE"""),"| 1 P NS % | 4 L NS % | 3 L JAVA % | 5 P PRO % ")</f>
        <v xml:space="preserve">| 1 P NS % | 4 L NS % | 3 L JAVA % | 5 P PRO % </v>
      </c>
      <c r="AL467" s="4" t="str">
        <f ca="1">IFERROR(__xludf.DUMMYFUNCTION("""COMPUTED_VALUE"""),"| 1 P Python % | 3 L PHP-CGM % | 4 L NS % | 5 P PHP-CGM @ ")</f>
        <v xml:space="preserve">| 1 P Python % | 3 L PHP-CGM % | 4 L NS % | 5 P PHP-CGM @ </v>
      </c>
      <c r="AM467" s="4" t="str">
        <f ca="1">IFERROR(__xludf.DUMMYFUNCTION("""COMPUTED_VALUE"""),"| 1 P JAVA @ | 3 L CPT @ | 4 L PHP-CGM @ | 5 P Python @ ")</f>
        <v xml:space="preserve">| 1 P JAVA @ | 3 L CPT @ | 4 L PHP-CGM @ | 5 P Python @ </v>
      </c>
      <c r="AN467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67" s="4" t="str">
        <f ca="1">IFERROR(__xludf.DUMMYFUNCTION("""COMPUTED_VALUE"""),"| 1 P CPT @ | 3 L CPT @ | 4 L JAVA @ | 5 L INE @ ")</f>
        <v xml:space="preserve">| 1 P CPT @ | 3 L CPT @ | 4 L JAVA @ | 5 L INE @ </v>
      </c>
      <c r="AP467" s="4" t="str">
        <f ca="1">IFERROR(__xludf.DUMMYFUNCTION("""COMPUTED_VALUE"""),"| 1 P NS % | 3 L JAVA % | 4 L NS % | 5 P PRO % ")</f>
        <v xml:space="preserve">| 1 P NS % | 3 L JAVA % | 4 L NS % | 5 P PRO % </v>
      </c>
      <c r="AQ467" s="4" t="str">
        <f ca="1">IFERROR(__xludf.DUMMYFUNCTION("""COMPUTED_VALUE"""),"| 1 P Python % | 3 L PHP-CGM % | 4 L NS % | 5 P PHP-CGM % ")</f>
        <v xml:space="preserve">| 1 P Python % | 3 L PHP-CGM % | 4 L NS % | 5 P PHP-CGM % </v>
      </c>
      <c r="AR467" s="4" t="str">
        <f ca="1">IFERROR(__xludf.DUMMYFUNCTION("""COMPUTED_VALUE"""),"| 1 P JAVA % | 3 L CPT % | 5 P Python @ ")</f>
        <v xml:space="preserve">| 1 P JAVA % | 3 L CPT % | 5 P Python @ </v>
      </c>
      <c r="AS467" s="4" t="str">
        <f ca="1">IFERROR(__xludf.DUMMYFUNCTION("""COMPUTED_VALUE"""),"| 1 P CPT % | 3 L CPT % | 4 L JAVA % | 5 L INE % ")</f>
        <v xml:space="preserve">| 1 P CPT % | 3 L CPT % | 4 L JAVA % | 5 L INE % </v>
      </c>
      <c r="AT467" s="4" t="str">
        <f ca="1">IFERROR(__xludf.DUMMYFUNCTION("""COMPUTED_VALUE"""),"| 1 P NS @ | 3 L JAVA % | 4 L NS % | 5 P PRO @ ")</f>
        <v xml:space="preserve">| 1 P NS @ | 3 L JAVA % | 4 L NS % | 5 P PRO @ </v>
      </c>
      <c r="AU467" s="4" t="str">
        <f ca="1">IFERROR(__xludf.DUMMYFUNCTION("""COMPUTED_VALUE"""),"| 1 P Python @ | 3 L PHP-CGM % | 4 L NS % | 5 P PHP-CGM @ ")</f>
        <v xml:space="preserve">| 1 P Python @ | 3 L PHP-CGM % | 4 L NS % | 5 P PHP-CGM @ </v>
      </c>
      <c r="AV467" s="4" t="str">
        <f ca="1">IFERROR(__xludf.DUMMYFUNCTION("""COMPUTED_VALUE"""),"| 1 P JAVA % | 3 L CPT % | 4 L PHP-CGM % | 5 P Python % ")</f>
        <v xml:space="preserve">| 1 P JAVA % | 3 L CPT % | 4 L PHP-CGM % | 5 P Python % </v>
      </c>
      <c r="AW467" s="4" t="str">
        <f ca="1">IFERROR(__xludf.DUMMYFUNCTION("""COMPUTED_VALUE"""),"| 1 P JAVA % | 3 L PHP-CGM @ | 4 L JAVA @ | 5 L NS @ | 5 L CPT @ ")</f>
        <v xml:space="preserve">| 1 P JAVA % | 3 L PHP-CGM @ | 4 L JAVA @ | 5 L NS @ | 5 L CPT @ </v>
      </c>
      <c r="AX467" s="4" t="str">
        <f ca="1">IFERROR(__xludf.DUMMYFUNCTION("""COMPUTED_VALUE"""),"| 1 P CPT @ | 3 L CPT @ | 4 L JAVA @ | 5 L INE @ ")</f>
        <v xml:space="preserve">| 1 P CPT @ | 3 L CPT @ | 4 L JAVA @ | 5 L INE @ </v>
      </c>
      <c r="AY467" s="4" t="str">
        <f ca="1">IFERROR(__xludf.DUMMYFUNCTION("""COMPUTED_VALUE"""),"| 1 P NS % | 3 L JAVA % | 4 L NS % | 5 P PRO % ")</f>
        <v xml:space="preserve">| 1 P NS % | 3 L JAVA % | 4 L NS % | 5 P PRO % </v>
      </c>
      <c r="AZ467" s="4" t="str">
        <f ca="1">IFERROR(__xludf.DUMMYFUNCTION("""COMPUTED_VALUE"""),"| 1 P JAVA % | 3 L CPT @ | 4 L PHP-CGM % | 5 P Python % ")</f>
        <v xml:space="preserve">| 1 P JAVA % | 3 L CPT @ | 4 L PHP-CGM % | 5 P Python % </v>
      </c>
      <c r="BA467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B467" s="4" t="str">
        <f ca="1">IFERROR(__xludf.DUMMYFUNCTION("""COMPUTED_VALUE"""),"| 1 P CPT % | 3 L CPT % | 4 L JAVA % | 5 L INE % ")</f>
        <v xml:space="preserve">| 1 P CPT % | 3 L CPT % | 4 L JAVA % | 5 L INE % </v>
      </c>
      <c r="BC467" s="4" t="str">
        <f ca="1">IFERROR(__xludf.DUMMYFUNCTION("""COMPUTED_VALUE"""),"| 1 P NS % | 3 L JAVA % | 4 L NS % | 5 P PRO % ")</f>
        <v xml:space="preserve">| 1 P NS % | 3 L JAVA % | 4 L NS % | 5 P PRO % </v>
      </c>
      <c r="BD467" s="4" t="str">
        <f ca="1">IFERROR(__xludf.DUMMYFUNCTION("""COMPUTED_VALUE"""),"| 1 P Python % | 4 L NS %  | 3 L PHP-CGM % | 5 P PHP-CGM % ")</f>
        <v xml:space="preserve">| 1 P Python % | 4 L NS %  | 3 L PHP-CGM % | 5 P PHP-CGM % </v>
      </c>
      <c r="BE467" s="4" t="str">
        <f ca="1">IFERROR(__xludf.DUMMYFUNCTION("""COMPUTED_VALUE"""),"| 1 P JAVA % | 3 L CPT % | 4 L PHP-CGM % | 5 P Python % ")</f>
        <v xml:space="preserve">| 1 P JAVA % | 3 L CPT % | 4 L PHP-CGM % | 5 P Python % </v>
      </c>
      <c r="BF467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67" s="4" t="str">
        <f ca="1">IFERROR(__xludf.DUMMYFUNCTION("""COMPUTED_VALUE"""),"| 1 P NS % | 3 L JAVA % | 4 L NS % | 5 P PRO % ")</f>
        <v xml:space="preserve">| 1 P NS % | 3 L JAVA % | 4 L NS % | 5 P PRO % </v>
      </c>
      <c r="BH467" s="4" t="str">
        <f ca="1">IFERROR(__xludf.DUMMYFUNCTION("""COMPUTED_VALUE"""),"| 1 P Python % | 3 L PHP-CGM % | 4 L NS % | 5 P PHP-CGM % ")</f>
        <v xml:space="preserve">| 1 P Python % | 3 L PHP-CGM % | 4 L NS % | 5 P PHP-CGM % </v>
      </c>
      <c r="BI467" s="4" t="str">
        <f ca="1">IFERROR(__xludf.DUMMYFUNCTION("""COMPUTED_VALUE"""),"| 1 P JAVA % | 3 L CPT % | 4 L PHP-CGM % | 5 P Python % ")</f>
        <v xml:space="preserve">| 1 P JAVA % | 3 L CPT % | 4 L PHP-CGM % | 5 P Python % </v>
      </c>
      <c r="BJ467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K467" s="4" t="str">
        <f ca="1">IFERROR(__xludf.DUMMYFUNCTION("""COMPUTED_VALUE"""),"| 1 P CPT @ | 3 L CPT @ | 4 L JAVA @ | 5 L INE @ ")</f>
        <v xml:space="preserve">| 1 P CPT @ | 3 L CPT @ | 4 L JAVA @ | 5 L INE @ </v>
      </c>
      <c r="BL467" s="4" t="str">
        <f ca="1">IFERROR(__xludf.DUMMYFUNCTION("""COMPUTED_VALUE"""),"| 1 P NS % | 3 L JAVA % | 4 L NS % ")</f>
        <v xml:space="preserve">| 1 P NS % | 3 L JAVA % | 4 L NS % </v>
      </c>
      <c r="BM467" s="4" t="str">
        <f ca="1">IFERROR(__xludf.DUMMYFUNCTION("""COMPUTED_VALUE"""),"| 1 P Python @ | 3 L PHP-CGM % | 4 L NS % | 5 P PHP-CGM @ ")</f>
        <v xml:space="preserve">| 1 P Python @ | 3 L PHP-CGM % | 4 L NS % | 5 P PHP-CGM @ </v>
      </c>
      <c r="BN467" s="4" t="str">
        <f ca="1">IFERROR(__xludf.DUMMYFUNCTION("""COMPUTED_VALUE"""),"| 1 P JAVA % | 3 L CPT % | 4 L PHP-CGM % | 5 P Python @ ")</f>
        <v xml:space="preserve">| 1 P JAVA % | 3 L CPT % | 4 L PHP-CGM % | 5 P Python @ </v>
      </c>
      <c r="BO467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67" s="4" t="str">
        <f ca="1">IFERROR(__xludf.DUMMYFUNCTION("""COMPUTED_VALUE"""),"| 1 P CPT @ | 3 L CPT @ | 4 L JAVA @ | 5 L INE @ ")</f>
        <v xml:space="preserve">| 1 P CPT @ | 3 L CPT @ | 4 L JAVA @ | 5 L INE @ </v>
      </c>
      <c r="BQ467" s="4" t="str">
        <f ca="1">IFERROR(__xludf.DUMMYFUNCTION("""COMPUTED_VALUE"""),"| 4 L NS % ")</f>
        <v xml:space="preserve">| 4 L NS % </v>
      </c>
      <c r="BR467" s="4"/>
      <c r="BS467" s="4"/>
      <c r="BT467" s="4" t="str">
        <f ca="1">IFERROR(__xludf.DUMMYFUNCTION("""COMPUTED_VALUE"""),"| 1 P CPT @ | 3 L CPT % | 4 L JAVA % ")</f>
        <v xml:space="preserve">| 1 P CPT @ | 3 L CPT % | 4 L JAVA % </v>
      </c>
      <c r="BU467" s="4" t="str">
        <f ca="1">IFERROR(__xludf.DUMMYFUNCTION("""COMPUTED_VALUE"""),"| 1 P NS @ | 4 L NS @ | 3 L JAVA @ ")</f>
        <v xml:space="preserve">| 1 P NS @ | 4 L NS @ | 3 L JAVA @ </v>
      </c>
      <c r="BV467" s="4" t="str">
        <f ca="1">IFERROR(__xludf.DUMMYFUNCTION("""COMPUTED_VALUE"""),"| 1 P CPT @ | 3 L CPT @ | 4 L JAVA @ ")</f>
        <v xml:space="preserve">| 1 P CPT @ | 3 L CPT @ | 4 L JAVA @ </v>
      </c>
      <c r="BW467" s="4" t="str">
        <f ca="1">IFERROR(__xludf.DUMMYFUNCTION("""COMPUTED_VALUE"""),"| 1 P NS @ | 3 L JAVA % | 4 L NS % ")</f>
        <v xml:space="preserve">| 1 P NS @ | 3 L JAVA % | 4 L NS % </v>
      </c>
      <c r="BX467" s="4" t="str">
        <f ca="1">IFERROR(__xludf.DUMMYFUNCTION("""COMPUTED_VALUE"""),"| 1 P Python % | 3 L PHP-CGM % | 4 L NS % | 5 P PHP-CGM @ ")</f>
        <v xml:space="preserve">| 1 P Python % | 3 L PHP-CGM % | 4 L NS % | 5 P PHP-CGM @ </v>
      </c>
      <c r="BY467" s="4" t="str">
        <f ca="1">IFERROR(__xludf.DUMMYFUNCTION("""COMPUTED_VALUE"""),"| 1 P JAVA % | 3 L CPT @ | 4 L PHP-CGM @ | 5 P Python @ ")</f>
        <v xml:space="preserve">| 1 P JAVA % | 3 L CPT @ | 4 L PHP-CGM @ | 5 P Python @ </v>
      </c>
      <c r="BZ467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67" s="4" t="str">
        <f ca="1">IFERROR(__xludf.DUMMYFUNCTION("""COMPUTED_VALUE"""),"| 1 P CPT % | 3 L CPT @ | 4 L JAVA @ | 5 L INE @ ")</f>
        <v xml:space="preserve">| 1 P CPT % | 3 L CPT @ | 4 L JAVA @ | 5 L INE @ </v>
      </c>
      <c r="CB467" s="4" t="str">
        <f ca="1">IFERROR(__xludf.DUMMYFUNCTION("""COMPUTED_VALUE"""),"| 1 P NS @ | 3 L JAVA @ | 4 L NS @ | 5 P PRO @ ")</f>
        <v xml:space="preserve">| 1 P NS @ | 3 L JAVA @ | 4 L NS @ | 5 P PRO @ </v>
      </c>
      <c r="CC467" s="4" t="str">
        <f ca="1">IFERROR(__xludf.DUMMYFUNCTION("""COMPUTED_VALUE"""),"| 1 P Python % | 3 L PHP-CGM % | 4 L NS % | 5 P PHP-CGM @ ")</f>
        <v xml:space="preserve">| 1 P Python % | 3 L PHP-CGM % | 4 L NS % | 5 P PHP-CGM @ </v>
      </c>
      <c r="CD467" s="4" t="str">
        <f ca="1">IFERROR(__xludf.DUMMYFUNCTION("""COMPUTED_VALUE"""),"| 1 P JAVA % | 3 L CPT @ | 4 L PHP-CGM @ | 5 P Python @ ")</f>
        <v xml:space="preserve">| 1 P JAVA % | 3 L CPT @ | 4 L PHP-CGM @ | 5 P Python @ </v>
      </c>
      <c r="CE467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67" s="4" t="str">
        <f ca="1">IFERROR(__xludf.DUMMYFUNCTION("""COMPUTED_VALUE"""),"| 1 P CPT % | 3 L CPT % | 4 L JAVA @ | 5 L INE @ ")</f>
        <v xml:space="preserve">| 1 P CPT % | 3 L CPT % | 4 L JAVA @ | 5 L INE @ </v>
      </c>
      <c r="CG467" s="4" t="str">
        <f ca="1">IFERROR(__xludf.DUMMYFUNCTION("""COMPUTED_VALUE"""),"| 1 P NS % | 4 L NS @ ")</f>
        <v xml:space="preserve">| 1 P NS % | 4 L NS @ </v>
      </c>
      <c r="CH467" s="4" t="str">
        <f ca="1">IFERROR(__xludf.DUMMYFUNCTION("""COMPUTED_VALUE"""),"| 3 L PHP-CGM @ | 4 L NS @ | 1 P Python % ")</f>
        <v xml:space="preserve">| 3 L PHP-CGM @ | 4 L NS @ | 1 P Python % </v>
      </c>
      <c r="CI467" s="4" t="str">
        <f ca="1">IFERROR(__xludf.DUMMYFUNCTION("""COMPUTED_VALUE"""),"| 1 P JAVA % ")</f>
        <v xml:space="preserve">| 1 P JAVA % </v>
      </c>
      <c r="CJ467" s="4" t="str">
        <f ca="1">IFERROR(__xludf.DUMMYFUNCTION("""COMPUTED_VALUE"""),"| 1 P JAVA % | 4 L JAVA % ")</f>
        <v xml:space="preserve">| 1 P JAVA % | 4 L JAVA % </v>
      </c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</row>
    <row r="468" spans="1:102" ht="12.5" x14ac:dyDescent="0.25">
      <c r="A468" s="3">
        <f ca="1">IFERROR(__xludf.DUMMYFUNCTION("""COMPUTED_VALUE"""),1)</f>
        <v>1</v>
      </c>
      <c r="B468" s="3" t="str">
        <f ca="1">IFERROR(__xludf.DUMMYFUNCTION("""COMPUTED_VALUE"""),"ITC")</f>
        <v>ITC</v>
      </c>
      <c r="C468" s="32" t="str">
        <f ca="1">IFERROR(__xludf.DUMMYFUNCTION("""COMPUTED_VALUE"""),"23171371008")</f>
        <v>23171371008</v>
      </c>
      <c r="D468" s="4" t="str">
        <f ca="1">IFERROR(__xludf.DUMMYFUNCTION("""COMPUTED_VALUE"""),"CHAUDHARY HETANGKUMAR RAKESHBHAI")</f>
        <v>CHAUDHARY HETANGKUMAR RAKESHBHAI</v>
      </c>
      <c r="E468" s="3" t="str">
        <f ca="1">IFERROR(__xludf.DUMMYFUNCTION("""COMPUTED_VALUE"""),"SDP&amp;KKP - Mor")</f>
        <v>SDP&amp;KKP - Mor</v>
      </c>
      <c r="F468" s="3">
        <f ca="1">IFERROR(__xludf.DUMMYFUNCTION("""COMPUTED_VALUE"""),8905631075)</f>
        <v>8905631075</v>
      </c>
      <c r="G468" s="3">
        <f ca="1">IFERROR(__xludf.DUMMYFUNCTION("""COMPUTED_VALUE"""),9724027898)</f>
        <v>9724027898</v>
      </c>
      <c r="H468" s="33">
        <f ca="1">IFERROR(__xludf.DUMMYFUNCTION("""COMPUTED_VALUE"""),0.421487603305785)</f>
        <v>0.421487603305785</v>
      </c>
      <c r="I468" s="25">
        <f ca="1">IFERROR(__xludf.DUMMYFUNCTION("""COMPUTED_VALUE"""),0.527777777777777)</f>
        <v>0.52777777777777701</v>
      </c>
      <c r="J468" s="25">
        <f ca="1">IFERROR(__xludf.DUMMYFUNCTION("""COMPUTED_VALUE"""),0.23076923076923)</f>
        <v>0.23076923076923</v>
      </c>
      <c r="K468" s="25">
        <f ca="1">IFERROR(__xludf.DUMMYFUNCTION("""COMPUTED_VALUE"""),0.472222222222222)</f>
        <v>0.47222222222222199</v>
      </c>
      <c r="L468" s="25">
        <f ca="1">IFERROR(__xludf.DUMMYFUNCTION("""COMPUTED_VALUE"""),0.615384615384615)</f>
        <v>0.61538461538461497</v>
      </c>
      <c r="M468" s="25">
        <f ca="1">IFERROR(__xludf.DUMMYFUNCTION("""COMPUTED_VALUE"""),0.40625)</f>
        <v>0.40625</v>
      </c>
      <c r="N468" s="25">
        <f ca="1">IFERROR(__xludf.DUMMYFUNCTION("""COMPUTED_VALUE"""),0.5)</f>
        <v>0.5</v>
      </c>
      <c r="O468" s="25">
        <f ca="1">IFERROR(__xludf.DUMMYFUNCTION("""COMPUTED_VALUE"""),0.378378378378378)</f>
        <v>0.37837837837837801</v>
      </c>
      <c r="P468" s="25">
        <f ca="1">IFERROR(__xludf.DUMMYFUNCTION("""COMPUTED_VALUE"""),0.36)</f>
        <v>0.36</v>
      </c>
      <c r="Q468" s="25">
        <f ca="1">IFERROR(__xludf.DUMMYFUNCTION("""COMPUTED_VALUE"""),0)</f>
        <v>0</v>
      </c>
      <c r="R468" s="25">
        <f ca="1">IFERROR(__xludf.DUMMYFUNCTION("""COMPUTED_VALUE"""),0.347826086956521)</f>
        <v>0.34782608695652101</v>
      </c>
      <c r="S468" s="25">
        <f ca="1">IFERROR(__xludf.DUMMYFUNCTION("""COMPUTED_VALUE"""),0)</f>
        <v>0</v>
      </c>
      <c r="T468" s="25">
        <f ca="1">IFERROR(__xludf.DUMMYFUNCTION("""COMPUTED_VALUE"""),0.555555555555555)</f>
        <v>0.55555555555555503</v>
      </c>
      <c r="U468" s="25">
        <f ca="1">IFERROR(__xludf.DUMMYFUNCTION("""COMPUTED_VALUE"""),0.125)</f>
        <v>0.125</v>
      </c>
      <c r="V468" s="25">
        <f ca="1">IFERROR(__xludf.DUMMYFUNCTION("""COMPUTED_VALUE"""),0)</f>
        <v>0</v>
      </c>
      <c r="W468" s="4"/>
      <c r="X468" s="4" t="str">
        <f ca="1">IFERROR(__xludf.DUMMYFUNCTION("""COMPUTED_VALUE"""),"| 1 P CPT % | 3 L CPT % | 4 L JAVA % ")</f>
        <v xml:space="preserve">| 1 P CPT % | 3 L CPT % | 4 L JAVA % </v>
      </c>
      <c r="Y468" s="4" t="str">
        <f ca="1">IFERROR(__xludf.DUMMYFUNCTION("""COMPUTED_VALUE"""),"| 1 P NS % | 3 L JAVA @ | 4 L NS @ | 5 P PRO @ ")</f>
        <v xml:space="preserve">| 1 P NS % | 3 L JAVA @ | 4 L NS @ | 5 P PRO @ </v>
      </c>
      <c r="Z468" s="4" t="str">
        <f ca="1">IFERROR(__xludf.DUMMYFUNCTION("""COMPUTED_VALUE"""),"| 1 P Python @ | 3 L PHP-CGM @ | 4 L NS @ | 5 P PHP-CGM @ ")</f>
        <v xml:space="preserve">| 1 P Python @ | 3 L PHP-CGM @ | 4 L NS @ | 5 P PHP-CGM @ </v>
      </c>
      <c r="AA468" s="4" t="str">
        <f ca="1">IFERROR(__xludf.DUMMYFUNCTION("""COMPUTED_VALUE"""),"| 1 P JAVA % | 3 L CPT % | 5 P Python @ ")</f>
        <v xml:space="preserve">| 1 P JAVA % | 3 L CPT % | 5 P Python @ </v>
      </c>
      <c r="AB468" s="4" t="str">
        <f ca="1">IFERROR(__xludf.DUMMYFUNCTION("""COMPUTED_VALUE"""),"| 1 P JAVA @ | 3 L PHP-CGM @ | 4 L JAVA @ | 5 L CPT % | 6 L NS % ")</f>
        <v xml:space="preserve">| 1 P JAVA @ | 3 L PHP-CGM @ | 4 L JAVA @ | 5 L CPT % | 6 L NS % </v>
      </c>
      <c r="AC468" s="4" t="str">
        <f ca="1">IFERROR(__xludf.DUMMYFUNCTION("""COMPUTED_VALUE"""),"| 1 P CPT % | 3 L CPT % | 4 L JAVA % ")</f>
        <v xml:space="preserve">| 1 P CPT % | 3 L CPT % | 4 L JAVA % </v>
      </c>
      <c r="AD468" s="4" t="str">
        <f ca="1">IFERROR(__xludf.DUMMYFUNCTION("""COMPUTED_VALUE"""),"| 1 P NS % | 3 L JAVA % | 4 L NS % | 5 P PRO @ ")</f>
        <v xml:space="preserve">| 1 P NS % | 3 L JAVA % | 4 L NS % | 5 P PRO @ </v>
      </c>
      <c r="AE468" s="4" t="str">
        <f ca="1">IFERROR(__xludf.DUMMYFUNCTION("""COMPUTED_VALUE"""),"| 1 P Python @ | 3 L PHP-CGM @ | 4 L NS % | 5 P PHP-CGM @ ")</f>
        <v xml:space="preserve">| 1 P Python @ | 3 L PHP-CGM @ | 4 L NS % | 5 P PHP-CGM @ </v>
      </c>
      <c r="AF468" s="4" t="str">
        <f ca="1">IFERROR(__xludf.DUMMYFUNCTION("""COMPUTED_VALUE"""),"| 1 P JAVA % | 3 L CPT % | 4 L PHP-CGM % | 5 P Python % ")</f>
        <v xml:space="preserve">| 1 P JAVA % | 3 L CPT % | 4 L PHP-CGM % | 5 P Python % </v>
      </c>
      <c r="AG468" s="4" t="str">
        <f ca="1">IFERROR(__xludf.DUMMYFUNCTION("""COMPUTED_VALUE"""),"| 1 P JAVA % | 3 L PHP-CGM @ | 4 L JAVA % | 5 L CPT % | 6 L NS @ ")</f>
        <v xml:space="preserve">| 1 P JAVA % | 3 L PHP-CGM @ | 4 L JAVA % | 5 L CPT % | 6 L NS @ </v>
      </c>
      <c r="AH468" s="4" t="str">
        <f ca="1">IFERROR(__xludf.DUMMYFUNCTION("""COMPUTED_VALUE"""),"| 1 P JAVA @ | 3 L CPT % | 4 L PHP-CGM % | 5 P Python % ")</f>
        <v xml:space="preserve">| 1 P JAVA @ | 3 L CPT % | 4 L PHP-CGM % | 5 P Python % </v>
      </c>
      <c r="AI468" s="4" t="str">
        <f ca="1">IFERROR(__xludf.DUMMYFUNCTION("""COMPUTED_VALUE"""),"| 1 P JAVA @ | 3 L PHP-CGM @ | 4 L JAVA @ | 5 L CPT % | 6 L NS % ")</f>
        <v xml:space="preserve">| 1 P JAVA @ | 3 L PHP-CGM @ | 4 L JAVA @ | 5 L CPT % | 6 L NS % </v>
      </c>
      <c r="AJ468" s="4" t="str">
        <f ca="1">IFERROR(__xludf.DUMMYFUNCTION("""COMPUTED_VALUE"""),"| 1 P CPT @ | 3 L CPT % | 4 L JAVA % ")</f>
        <v xml:space="preserve">| 1 P CPT @ | 3 L CPT % | 4 L JAVA % </v>
      </c>
      <c r="AK468" s="4" t="str">
        <f ca="1">IFERROR(__xludf.DUMMYFUNCTION("""COMPUTED_VALUE"""),"| 1 P NS % | 4 L NS % | 3 L JAVA % | 5 P PRO % ")</f>
        <v xml:space="preserve">| 1 P NS % | 4 L NS % | 3 L JAVA % | 5 P PRO % </v>
      </c>
      <c r="AL468" s="4" t="str">
        <f ca="1">IFERROR(__xludf.DUMMYFUNCTION("""COMPUTED_VALUE"""),"| 1 P Python @ | 3 L PHP-CGM % | 4 L NS % | 5 P PHP-CGM % ")</f>
        <v xml:space="preserve">| 1 P Python @ | 3 L PHP-CGM % | 4 L NS % | 5 P PHP-CGM % </v>
      </c>
      <c r="AM468" s="4" t="str">
        <f ca="1">IFERROR(__xludf.DUMMYFUNCTION("""COMPUTED_VALUE"""),"| 1 P JAVA @ | 3 L CPT % | 4 L PHP-CGM % | 5 P Python @ ")</f>
        <v xml:space="preserve">| 1 P JAVA @ | 3 L CPT % | 4 L PHP-CGM % | 5 P Python @ </v>
      </c>
      <c r="AN468" s="4" t="str">
        <f ca="1">IFERROR(__xludf.DUMMYFUNCTION("""COMPUTED_VALUE"""),"| 1 P JAVA % | 3 L PHP-CGM @ | 4 L JAVA @ | 5 L CPT @ | 6 L NS @ ")</f>
        <v xml:space="preserve">| 1 P JAVA % | 3 L PHP-CGM @ | 4 L JAVA @ | 5 L CPT @ | 6 L NS @ </v>
      </c>
      <c r="AO468" s="4" t="str">
        <f ca="1">IFERROR(__xludf.DUMMYFUNCTION("""COMPUTED_VALUE"""),"| 1 P CPT @ | 3 L CPT @ | 4 L JAVA @ | 5 L INE @ ")</f>
        <v xml:space="preserve">| 1 P CPT @ | 3 L CPT @ | 4 L JAVA @ | 5 L INE @ </v>
      </c>
      <c r="AP468" s="4" t="str">
        <f ca="1">IFERROR(__xludf.DUMMYFUNCTION("""COMPUTED_VALUE"""),"| 1 P NS % | 3 L JAVA % | 4 L NS % | 5 P PRO % ")</f>
        <v xml:space="preserve">| 1 P NS % | 3 L JAVA % | 4 L NS % | 5 P PRO % </v>
      </c>
      <c r="AQ468" s="4" t="str">
        <f ca="1">IFERROR(__xludf.DUMMYFUNCTION("""COMPUTED_VALUE"""),"| 1 P Python % | 3 L PHP-CGM % | 4 L NS % | 5 P PHP-CGM % ")</f>
        <v xml:space="preserve">| 1 P Python % | 3 L PHP-CGM % | 4 L NS % | 5 P PHP-CGM % </v>
      </c>
      <c r="AR468" s="4" t="str">
        <f ca="1">IFERROR(__xludf.DUMMYFUNCTION("""COMPUTED_VALUE"""),"| 1 P JAVA % | 3 L CPT % | 5 P Python @ ")</f>
        <v xml:space="preserve">| 1 P JAVA % | 3 L CPT % | 5 P Python @ </v>
      </c>
      <c r="AS468" s="4" t="str">
        <f ca="1">IFERROR(__xludf.DUMMYFUNCTION("""COMPUTED_VALUE"""),"| 1 P CPT @ | 3 L CPT @ | 4 L JAVA @ | 5 L INE @ ")</f>
        <v xml:space="preserve">| 1 P CPT @ | 3 L CPT @ | 4 L JAVA @ | 5 L INE @ </v>
      </c>
      <c r="AT468" s="4" t="str">
        <f ca="1">IFERROR(__xludf.DUMMYFUNCTION("""COMPUTED_VALUE"""),"| 1 P NS % | 3 L JAVA % | 4 L NS % | 5 P PRO % ")</f>
        <v xml:space="preserve">| 1 P NS % | 3 L JAVA % | 4 L NS % | 5 P PRO % </v>
      </c>
      <c r="AU468" s="4" t="str">
        <f ca="1">IFERROR(__xludf.DUMMYFUNCTION("""COMPUTED_VALUE"""),"| 1 P Python % | 3 L PHP-CGM % | 4 L NS % | 5 P PHP-CGM % ")</f>
        <v xml:space="preserve">| 1 P Python % | 3 L PHP-CGM % | 4 L NS % | 5 P PHP-CGM % </v>
      </c>
      <c r="AV468" s="4" t="str">
        <f ca="1">IFERROR(__xludf.DUMMYFUNCTION("""COMPUTED_VALUE"""),"| 1 P JAVA @ | 3 L CPT % | 4 L PHP-CGM % | 5 P Python @ ")</f>
        <v xml:space="preserve">| 1 P JAVA @ | 3 L CPT % | 4 L PHP-CGM % | 5 P Python @ </v>
      </c>
      <c r="AW468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68" s="4" t="str">
        <f ca="1">IFERROR(__xludf.DUMMYFUNCTION("""COMPUTED_VALUE"""),"| 1 P CPT @ | 3 L CPT @ | 4 L JAVA @ | 5 L INE @ ")</f>
        <v xml:space="preserve">| 1 P CPT @ | 3 L CPT @ | 4 L JAVA @ | 5 L INE @ </v>
      </c>
      <c r="AY468" s="4" t="str">
        <f ca="1">IFERROR(__xludf.DUMMYFUNCTION("""COMPUTED_VALUE"""),"| 1 P NS % | 3 L JAVA % | 4 L NS % | 5 P PRO % ")</f>
        <v xml:space="preserve">| 1 P NS % | 3 L JAVA % | 4 L NS % | 5 P PRO % </v>
      </c>
      <c r="AZ468" s="4" t="str">
        <f ca="1">IFERROR(__xludf.DUMMYFUNCTION("""COMPUTED_VALUE"""),"| 1 P JAVA @ | 3 L CPT % | 4 L PHP-CGM % | 5 P Python @ ")</f>
        <v xml:space="preserve">| 1 P JAVA @ | 3 L CPT % | 4 L PHP-CGM % | 5 P Python @ </v>
      </c>
      <c r="BA468" s="4" t="str">
        <f ca="1">IFERROR(__xludf.DUMMYFUNCTION("""COMPUTED_VALUE"""),"| 1 P JAVA % | 3 L PHP-CGM % | 4 L JAVA @ | 5 L NS @ | 6 L CPT @ ")</f>
        <v xml:space="preserve">| 1 P JAVA % | 3 L PHP-CGM % | 4 L JAVA @ | 5 L NS @ | 6 L CPT @ </v>
      </c>
      <c r="BB468" s="4" t="str">
        <f ca="1">IFERROR(__xludf.DUMMYFUNCTION("""COMPUTED_VALUE"""),"| 1 P CPT % | 3 L CPT % | 4 L JAVA % | 5 L INE % ")</f>
        <v xml:space="preserve">| 1 P CPT % | 3 L CPT % | 4 L JAVA % | 5 L INE % </v>
      </c>
      <c r="BC468" s="4" t="str">
        <f ca="1">IFERROR(__xludf.DUMMYFUNCTION("""COMPUTED_VALUE"""),"| 1 P NS % | 3 L JAVA % | 4 L NS % | 5 P PRO % ")</f>
        <v xml:space="preserve">| 1 P NS % | 3 L JAVA % | 4 L NS % | 5 P PRO % </v>
      </c>
      <c r="BD468" s="4" t="str">
        <f ca="1">IFERROR(__xludf.DUMMYFUNCTION("""COMPUTED_VALUE"""),"| 1 P Python % | 4 L NS %  | 3 L PHP-CGM % | 5 P PHP-CGM % ")</f>
        <v xml:space="preserve">| 1 P Python % | 4 L NS %  | 3 L PHP-CGM % | 5 P PHP-CGM % </v>
      </c>
      <c r="BE468" s="4" t="str">
        <f ca="1">IFERROR(__xludf.DUMMYFUNCTION("""COMPUTED_VALUE"""),"| 1 P JAVA % | 3 L CPT % | 4 L PHP-CGM % | 5 P Python % ")</f>
        <v xml:space="preserve">| 1 P JAVA % | 3 L CPT % | 4 L PHP-CGM % | 5 P Python % </v>
      </c>
      <c r="BF468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68" s="4" t="str">
        <f ca="1">IFERROR(__xludf.DUMMYFUNCTION("""COMPUTED_VALUE"""),"| 1 P NS % | 3 L JAVA % | 4 L NS % | 5 P PRO @ ")</f>
        <v xml:space="preserve">| 1 P NS % | 3 L JAVA % | 4 L NS % | 5 P PRO @ </v>
      </c>
      <c r="BH468" s="4" t="str">
        <f ca="1">IFERROR(__xludf.DUMMYFUNCTION("""COMPUTED_VALUE"""),"| 1 P Python % | 3 L PHP-CGM % | 4 L NS % | 5 P PHP-CGM % ")</f>
        <v xml:space="preserve">| 1 P Python % | 3 L PHP-CGM % | 4 L NS % | 5 P PHP-CGM % </v>
      </c>
      <c r="BI468" s="4" t="str">
        <f ca="1">IFERROR(__xludf.DUMMYFUNCTION("""COMPUTED_VALUE"""),"| 1 P JAVA @ | 3 L CPT @ | 4 L PHP-CGM @ | 5 P Python @ ")</f>
        <v xml:space="preserve">| 1 P JAVA @ | 3 L CPT @ | 4 L PHP-CGM @ | 5 P Python @ </v>
      </c>
      <c r="BJ468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K468" s="4" t="str">
        <f ca="1">IFERROR(__xludf.DUMMYFUNCTION("""COMPUTED_VALUE"""),"| 1 P CPT @ | 3 L CPT @ | 4 L JAVA @ | 5 L INE @ ")</f>
        <v xml:space="preserve">| 1 P CPT @ | 3 L CPT @ | 4 L JAVA @ | 5 L INE @ </v>
      </c>
      <c r="BL468" s="4" t="str">
        <f ca="1">IFERROR(__xludf.DUMMYFUNCTION("""COMPUTED_VALUE"""),"| 1 P NS @ | 3 L JAVA @ | 4 L NS @ ")</f>
        <v xml:space="preserve">| 1 P NS @ | 3 L JAVA @ | 4 L NS @ </v>
      </c>
      <c r="BM468" s="4" t="str">
        <f ca="1">IFERROR(__xludf.DUMMYFUNCTION("""COMPUTED_VALUE"""),"| 1 P Python @ | 3 L PHP-CGM @ | 4 L NS @ | 5 P PHP-CGM @ ")</f>
        <v xml:space="preserve">| 1 P Python @ | 3 L PHP-CGM @ | 4 L NS @ | 5 P PHP-CGM @ </v>
      </c>
      <c r="BN468" s="4" t="str">
        <f ca="1">IFERROR(__xludf.DUMMYFUNCTION("""COMPUTED_VALUE"""),"| 1 P JAVA @ | 3 L CPT @ | 4 L PHP-CGM @ | 5 P Python @ ")</f>
        <v xml:space="preserve">| 1 P JAVA @ | 3 L CPT @ | 4 L PHP-CGM @ | 5 P Python @ </v>
      </c>
      <c r="BO468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68" s="4" t="str">
        <f ca="1">IFERROR(__xludf.DUMMYFUNCTION("""COMPUTED_VALUE"""),"| 1 P CPT @ | 3 L CPT @ | 4 L JAVA @ | 5 L INE @ ")</f>
        <v xml:space="preserve">| 1 P CPT @ | 3 L CPT @ | 4 L JAVA @ | 5 L INE @ </v>
      </c>
      <c r="BQ468" s="4" t="str">
        <f ca="1">IFERROR(__xludf.DUMMYFUNCTION("""COMPUTED_VALUE"""),"| 4 L NS @ ")</f>
        <v xml:space="preserve">| 4 L NS @ </v>
      </c>
      <c r="BR468" s="4"/>
      <c r="BS468" s="4"/>
      <c r="BT468" s="4" t="str">
        <f ca="1">IFERROR(__xludf.DUMMYFUNCTION("""COMPUTED_VALUE"""),"| 1 P CPT @ | 3 L CPT @ | 4 L JAVA @ ")</f>
        <v xml:space="preserve">| 1 P CPT @ | 3 L CPT @ | 4 L JAVA @ </v>
      </c>
      <c r="BU468" s="4" t="str">
        <f ca="1">IFERROR(__xludf.DUMMYFUNCTION("""COMPUTED_VALUE"""),"| 1 P NS @ | 4 L NS @ | 3 L JAVA @ ")</f>
        <v xml:space="preserve">| 1 P NS @ | 4 L NS @ | 3 L JAVA @ </v>
      </c>
      <c r="BV468" s="4" t="str">
        <f ca="1">IFERROR(__xludf.DUMMYFUNCTION("""COMPUTED_VALUE"""),"| 1 P CPT @ | 3 L CPT @ | 4 L JAVA @ ")</f>
        <v xml:space="preserve">| 1 P CPT @ | 3 L CPT @ | 4 L JAVA @ </v>
      </c>
      <c r="BW468" s="4" t="str">
        <f ca="1">IFERROR(__xludf.DUMMYFUNCTION("""COMPUTED_VALUE"""),"| 1 P NS @ | 3 L JAVA @ | 4 L NS @ ")</f>
        <v xml:space="preserve">| 1 P NS @ | 3 L JAVA @ | 4 L NS @ </v>
      </c>
      <c r="BX468" s="4" t="str">
        <f ca="1">IFERROR(__xludf.DUMMYFUNCTION("""COMPUTED_VALUE"""),"| 1 P Python @ | 3 L PHP-CGM @ | 4 L NS @ | 5 P PHP-CGM @ ")</f>
        <v xml:space="preserve">| 1 P Python @ | 3 L PHP-CGM @ | 4 L NS @ | 5 P PHP-CGM @ </v>
      </c>
      <c r="BY468" s="4" t="str">
        <f ca="1">IFERROR(__xludf.DUMMYFUNCTION("""COMPUTED_VALUE"""),"| 1 P JAVA @ | 3 L CPT @ | 4 L PHP-CGM @ | 5 P Python @ ")</f>
        <v xml:space="preserve">| 1 P JAVA @ | 3 L CPT @ | 4 L PHP-CGM @ | 5 P Python @ </v>
      </c>
      <c r="BZ468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68" s="4" t="str">
        <f ca="1">IFERROR(__xludf.DUMMYFUNCTION("""COMPUTED_VALUE"""),"| 1 P CPT @ | 3 L CPT @ | 4 L JAVA @ | 5 L INE @ ")</f>
        <v xml:space="preserve">| 1 P CPT @ | 3 L CPT @ | 4 L JAVA @ | 5 L INE @ </v>
      </c>
      <c r="CB468" s="4" t="str">
        <f ca="1">IFERROR(__xludf.DUMMYFUNCTION("""COMPUTED_VALUE"""),"| 1 P NS @ | 3 L JAVA @ | 4 L NS @ | 5 P PRO @ ")</f>
        <v xml:space="preserve">| 1 P NS @ | 3 L JAVA @ | 4 L NS @ | 5 P PRO @ </v>
      </c>
      <c r="CC468" s="4" t="str">
        <f ca="1">IFERROR(__xludf.DUMMYFUNCTION("""COMPUTED_VALUE"""),"| 1 P Python @ | 3 L PHP-CGM @ | 4 L NS @ | 5 P PHP-CGM @ ")</f>
        <v xml:space="preserve">| 1 P Python @ | 3 L PHP-CGM @ | 4 L NS @ | 5 P PHP-CGM @ </v>
      </c>
      <c r="CD468" s="4" t="str">
        <f ca="1">IFERROR(__xludf.DUMMYFUNCTION("""COMPUTED_VALUE"""),"| 1 P JAVA @ | 3 L CPT @ | 4 L PHP-CGM @ | 5 P Python @ ")</f>
        <v xml:space="preserve">| 1 P JAVA @ | 3 L CPT @ | 4 L PHP-CGM @ | 5 P Python @ </v>
      </c>
      <c r="CE468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68" s="4" t="str">
        <f ca="1">IFERROR(__xludf.DUMMYFUNCTION("""COMPUTED_VALUE"""),"| 1 P CPT @ | 3 L CPT % | 4 L JAVA @ | 5 L INE @ ")</f>
        <v xml:space="preserve">| 1 P CPT @ | 3 L CPT % | 4 L JAVA @ | 5 L INE @ </v>
      </c>
      <c r="CG468" s="4" t="str">
        <f ca="1">IFERROR(__xludf.DUMMYFUNCTION("""COMPUTED_VALUE"""),"| 1 P NS @ | 4 L NS @ ")</f>
        <v xml:space="preserve">| 1 P NS @ | 4 L NS @ </v>
      </c>
      <c r="CH468" s="4" t="str">
        <f ca="1">IFERROR(__xludf.DUMMYFUNCTION("""COMPUTED_VALUE"""),"| 3 L PHP-CGM @ | 4 L NS @ | 1 P Python % ")</f>
        <v xml:space="preserve">| 3 L PHP-CGM @ | 4 L NS @ | 1 P Python % </v>
      </c>
      <c r="CI468" s="4" t="str">
        <f ca="1">IFERROR(__xludf.DUMMYFUNCTION("""COMPUTED_VALUE"""),"| 1 P JAVA @ ")</f>
        <v xml:space="preserve">| 1 P JAVA @ </v>
      </c>
      <c r="CJ468" s="4" t="str">
        <f ca="1">IFERROR(__xludf.DUMMYFUNCTION("""COMPUTED_VALUE"""),"| 1 P JAVA % | 4 L JAVA % ")</f>
        <v xml:space="preserve">| 1 P JAVA % | 4 L JAVA % </v>
      </c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</row>
    <row r="469" spans="1:102" ht="12.5" x14ac:dyDescent="0.25">
      <c r="A469" s="3">
        <f ca="1">IFERROR(__xludf.DUMMYFUNCTION("""COMPUTED_VALUE"""),1)</f>
        <v>1</v>
      </c>
      <c r="B469" s="3" t="str">
        <f ca="1">IFERROR(__xludf.DUMMYFUNCTION("""COMPUTED_VALUE"""),"ITC")</f>
        <v>ITC</v>
      </c>
      <c r="C469" s="32" t="str">
        <f ca="1">IFERROR(__xludf.DUMMYFUNCTION("""COMPUTED_VALUE"""),"23171371010")</f>
        <v>23171371010</v>
      </c>
      <c r="D469" s="4" t="str">
        <f ca="1">IFERROR(__xludf.DUMMYFUNCTION("""COMPUTED_VALUE"""),"CHAUDHARY VAISHIL GOVINDBHAI")</f>
        <v>CHAUDHARY VAISHIL GOVINDBHAI</v>
      </c>
      <c r="E469" s="3" t="str">
        <f ca="1">IFERROR(__xludf.DUMMYFUNCTION("""COMPUTED_VALUE"""),"SDP&amp;KKP - Mor")</f>
        <v>SDP&amp;KKP - Mor</v>
      </c>
      <c r="F469" s="3">
        <f ca="1">IFERROR(__xludf.DUMMYFUNCTION("""COMPUTED_VALUE"""),7862038296)</f>
        <v>7862038296</v>
      </c>
      <c r="G469" s="3">
        <f ca="1">IFERROR(__xludf.DUMMYFUNCTION("""COMPUTED_VALUE"""),7600350445)</f>
        <v>7600350445</v>
      </c>
      <c r="H469" s="33">
        <f ca="1">IFERROR(__xludf.DUMMYFUNCTION("""COMPUTED_VALUE"""),0.628099173553719)</f>
        <v>0.62809917355371903</v>
      </c>
      <c r="I469" s="25">
        <f ca="1">IFERROR(__xludf.DUMMYFUNCTION("""COMPUTED_VALUE"""),0.694444444444444)</f>
        <v>0.69444444444444398</v>
      </c>
      <c r="J469" s="25">
        <f ca="1">IFERROR(__xludf.DUMMYFUNCTION("""COMPUTED_VALUE"""),0.538461538461538)</f>
        <v>0.53846153846153799</v>
      </c>
      <c r="K469" s="25">
        <f ca="1">IFERROR(__xludf.DUMMYFUNCTION("""COMPUTED_VALUE"""),0.638888888888888)</f>
        <v>0.63888888888888795</v>
      </c>
      <c r="L469" s="25">
        <f ca="1">IFERROR(__xludf.DUMMYFUNCTION("""COMPUTED_VALUE"""),0.846153846153846)</f>
        <v>0.84615384615384603</v>
      </c>
      <c r="M469" s="25">
        <f ca="1">IFERROR(__xludf.DUMMYFUNCTION("""COMPUTED_VALUE"""),0.625)</f>
        <v>0.625</v>
      </c>
      <c r="N469" s="25">
        <f ca="1">IFERROR(__xludf.DUMMYFUNCTION("""COMPUTED_VALUE"""),0.3)</f>
        <v>0.3</v>
      </c>
      <c r="O469" s="25">
        <f ca="1">IFERROR(__xludf.DUMMYFUNCTION("""COMPUTED_VALUE"""),0.648648648648648)</f>
        <v>0.64864864864864802</v>
      </c>
      <c r="P469" s="25">
        <f ca="1">IFERROR(__xludf.DUMMYFUNCTION("""COMPUTED_VALUE"""),0.56)</f>
        <v>0.56000000000000005</v>
      </c>
      <c r="Q469" s="25">
        <f ca="1">IFERROR(__xludf.DUMMYFUNCTION("""COMPUTED_VALUE"""),0)</f>
        <v>0</v>
      </c>
      <c r="R469" s="25">
        <f ca="1">IFERROR(__xludf.DUMMYFUNCTION("""COMPUTED_VALUE"""),0.608695652173913)</f>
        <v>0.60869565217391297</v>
      </c>
      <c r="S469" s="25">
        <f ca="1">IFERROR(__xludf.DUMMYFUNCTION("""COMPUTED_VALUE"""),0)</f>
        <v>0</v>
      </c>
      <c r="T469" s="25">
        <f ca="1">IFERROR(__xludf.DUMMYFUNCTION("""COMPUTED_VALUE"""),0.666666666666666)</f>
        <v>0.66666666666666596</v>
      </c>
      <c r="U469" s="25">
        <f ca="1">IFERROR(__xludf.DUMMYFUNCTION("""COMPUTED_VALUE"""),0.625)</f>
        <v>0.625</v>
      </c>
      <c r="V469" s="25">
        <f ca="1">IFERROR(__xludf.DUMMYFUNCTION("""COMPUTED_VALUE"""),0)</f>
        <v>0</v>
      </c>
      <c r="W469" s="4"/>
      <c r="X469" s="4" t="str">
        <f ca="1">IFERROR(__xludf.DUMMYFUNCTION("""COMPUTED_VALUE"""),"| 1 P CPT @ | 3 L CPT % | 4 L JAVA % ")</f>
        <v xml:space="preserve">| 1 P CPT @ | 3 L CPT % | 4 L JAVA % </v>
      </c>
      <c r="Y469" s="4" t="str">
        <f ca="1">IFERROR(__xludf.DUMMYFUNCTION("""COMPUTED_VALUE"""),"| 1 P NS % | 3 L JAVA @ | 4 L NS @ | 5 P PRO @ ")</f>
        <v xml:space="preserve">| 1 P NS % | 3 L JAVA @ | 4 L NS @ | 5 P PRO @ </v>
      </c>
      <c r="Z469" s="4" t="str">
        <f ca="1">IFERROR(__xludf.DUMMYFUNCTION("""COMPUTED_VALUE"""),"| 1 P Python @ | 3 L PHP-CGM @ | 4 L NS @ | 5 P PHP-CGM @ ")</f>
        <v xml:space="preserve">| 1 P Python @ | 3 L PHP-CGM @ | 4 L NS @ | 5 P PHP-CGM @ </v>
      </c>
      <c r="AA469" s="4" t="str">
        <f ca="1">IFERROR(__xludf.DUMMYFUNCTION("""COMPUTED_VALUE"""),"| 1 P JAVA % | 3 L CPT % | 5 P Python @ ")</f>
        <v xml:space="preserve">| 1 P JAVA % | 3 L CPT % | 5 P Python @ </v>
      </c>
      <c r="AB469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69" s="4" t="str">
        <f ca="1">IFERROR(__xludf.DUMMYFUNCTION("""COMPUTED_VALUE"""),"| 1 P CPT @ | 3 L CPT @ | 4 L JAVA @ ")</f>
        <v xml:space="preserve">| 1 P CPT @ | 3 L CPT @ | 4 L JAVA @ </v>
      </c>
      <c r="AD469" s="4" t="str">
        <f ca="1">IFERROR(__xludf.DUMMYFUNCTION("""COMPUTED_VALUE"""),"| 1 P NS % | 3 L JAVA % | 4 L NS % | 5 P PRO @ ")</f>
        <v xml:space="preserve">| 1 P NS % | 3 L JAVA % | 4 L NS % | 5 P PRO @ </v>
      </c>
      <c r="AE469" s="4" t="str">
        <f ca="1">IFERROR(__xludf.DUMMYFUNCTION("""COMPUTED_VALUE"""),"| 1 P Python % | 3 L PHP-CGM % | 4 L NS % | 5 P PHP-CGM @ ")</f>
        <v xml:space="preserve">| 1 P Python % | 3 L PHP-CGM % | 4 L NS % | 5 P PHP-CGM @ </v>
      </c>
      <c r="AF469" s="4" t="str">
        <f ca="1">IFERROR(__xludf.DUMMYFUNCTION("""COMPUTED_VALUE"""),"| 1 P JAVA @ | 3 L CPT % | 4 L PHP-CGM % | 5 P Python @ ")</f>
        <v xml:space="preserve">| 1 P JAVA @ | 3 L CPT % | 4 L PHP-CGM % | 5 P Python @ </v>
      </c>
      <c r="AG469" s="4" t="str">
        <f ca="1">IFERROR(__xludf.DUMMYFUNCTION("""COMPUTED_VALUE"""),"| 1 P JAVA @ | 3 L PHP-CGM % | 4 L JAVA @ | 5 L CPT @ | 6 L NS @ ")</f>
        <v xml:space="preserve">| 1 P JAVA @ | 3 L PHP-CGM % | 4 L JAVA @ | 5 L CPT @ | 6 L NS @ </v>
      </c>
      <c r="AH469" s="4" t="str">
        <f ca="1">IFERROR(__xludf.DUMMYFUNCTION("""COMPUTED_VALUE"""),"| 1 P JAVA @ | 3 L CPT % | 4 L PHP-CGM % | 5 P Python % ")</f>
        <v xml:space="preserve">| 1 P JAVA @ | 3 L CPT % | 4 L PHP-CGM % | 5 P Python % </v>
      </c>
      <c r="AI469" s="4" t="str">
        <f ca="1">IFERROR(__xludf.DUMMYFUNCTION("""COMPUTED_VALUE"""),"| 1 P JAVA @ | 3 L PHP-CGM % | 4 L JAVA % | 5 L CPT % | 6 L NS % ")</f>
        <v xml:space="preserve">| 1 P JAVA @ | 3 L PHP-CGM % | 4 L JAVA % | 5 L CPT % | 6 L NS % </v>
      </c>
      <c r="AJ469" s="4" t="str">
        <f ca="1">IFERROR(__xludf.DUMMYFUNCTION("""COMPUTED_VALUE"""),"| 1 P CPT % | 3 L CPT % | 4 L JAVA % ")</f>
        <v xml:space="preserve">| 1 P CPT % | 3 L CPT % | 4 L JAVA % </v>
      </c>
      <c r="AK469" s="4" t="str">
        <f ca="1">IFERROR(__xludf.DUMMYFUNCTION("""COMPUTED_VALUE"""),"| 1 P NS % | 4 L NS % | 3 L JAVA % | 5 P PRO % ")</f>
        <v xml:space="preserve">| 1 P NS % | 4 L NS % | 3 L JAVA % | 5 P PRO % </v>
      </c>
      <c r="AL469" s="4" t="str">
        <f ca="1">IFERROR(__xludf.DUMMYFUNCTION("""COMPUTED_VALUE"""),"| 1 P Python % | 3 L PHP-CGM % | 4 L NS % | 5 P PHP-CGM % ")</f>
        <v xml:space="preserve">| 1 P Python % | 3 L PHP-CGM % | 4 L NS % | 5 P PHP-CGM % </v>
      </c>
      <c r="AM469" s="4" t="str">
        <f ca="1">IFERROR(__xludf.DUMMYFUNCTION("""COMPUTED_VALUE"""),"| 1 P JAVA % | 3 L CPT % | 4 L PHP-CGM % | 5 P Python % ")</f>
        <v xml:space="preserve">| 1 P JAVA % | 3 L CPT % | 4 L PHP-CGM % | 5 P Python % </v>
      </c>
      <c r="AN469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69" s="4" t="str">
        <f ca="1">IFERROR(__xludf.DUMMYFUNCTION("""COMPUTED_VALUE"""),"| 1 P CPT % | 3 L CPT % | 4 L JAVA % | 5 L INE % ")</f>
        <v xml:space="preserve">| 1 P CPT % | 3 L CPT % | 4 L JAVA % | 5 L INE % </v>
      </c>
      <c r="AP469" s="4" t="str">
        <f ca="1">IFERROR(__xludf.DUMMYFUNCTION("""COMPUTED_VALUE"""),"| 1 P NS % | 3 L JAVA % | 4 L NS % | 5 P PRO % ")</f>
        <v xml:space="preserve">| 1 P NS % | 3 L JAVA % | 4 L NS % | 5 P PRO % </v>
      </c>
      <c r="AQ469" s="4" t="str">
        <f ca="1">IFERROR(__xludf.DUMMYFUNCTION("""COMPUTED_VALUE"""),"| 1 P Python % | 3 L PHP-CGM % | 4 L NS % | 5 P PHP-CGM % ")</f>
        <v xml:space="preserve">| 1 P Python % | 3 L PHP-CGM % | 4 L NS % | 5 P PHP-CGM % </v>
      </c>
      <c r="AR469" s="4" t="str">
        <f ca="1">IFERROR(__xludf.DUMMYFUNCTION("""COMPUTED_VALUE"""),"| 1 P JAVA % | 3 L CPT % | 5 P Python % ")</f>
        <v xml:space="preserve">| 1 P JAVA % | 3 L CPT % | 5 P Python % </v>
      </c>
      <c r="AS469" s="4" t="str">
        <f ca="1">IFERROR(__xludf.DUMMYFUNCTION("""COMPUTED_VALUE"""),"| 1 P CPT % | 3 L CPT % | 4 L JAVA % | 5 L INE % ")</f>
        <v xml:space="preserve">| 1 P CPT % | 3 L CPT % | 4 L JAVA % | 5 L INE % </v>
      </c>
      <c r="AT469" s="4" t="str">
        <f ca="1">IFERROR(__xludf.DUMMYFUNCTION("""COMPUTED_VALUE"""),"| 1 P NS % | 3 L JAVA % | 4 L NS % | 5 P PRO % ")</f>
        <v xml:space="preserve">| 1 P NS % | 3 L JAVA % | 4 L NS % | 5 P PRO % </v>
      </c>
      <c r="AU469" s="4" t="str">
        <f ca="1">IFERROR(__xludf.DUMMYFUNCTION("""COMPUTED_VALUE"""),"| 1 P Python % | 3 L PHP-CGM % | 4 L NS % | 5 P PHP-CGM % ")</f>
        <v xml:space="preserve">| 1 P Python % | 3 L PHP-CGM % | 4 L NS % | 5 P PHP-CGM % </v>
      </c>
      <c r="AV469" s="4" t="str">
        <f ca="1">IFERROR(__xludf.DUMMYFUNCTION("""COMPUTED_VALUE"""),"| 1 P JAVA % | 3 L CPT % | 4 L PHP-CGM % | 5 P Python % ")</f>
        <v xml:space="preserve">| 1 P JAVA % | 3 L CPT % | 4 L PHP-CGM % | 5 P Python % </v>
      </c>
      <c r="AW469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69" s="4" t="str">
        <f ca="1">IFERROR(__xludf.DUMMYFUNCTION("""COMPUTED_VALUE"""),"| 1 P CPT % | 3 L CPT % | 4 L JAVA % | 5 L INE % ")</f>
        <v xml:space="preserve">| 1 P CPT % | 3 L CPT % | 4 L JAVA % | 5 L INE % </v>
      </c>
      <c r="AY469" s="4" t="str">
        <f ca="1">IFERROR(__xludf.DUMMYFUNCTION("""COMPUTED_VALUE"""),"| 1 P NS % | 3 L JAVA % | 4 L NS % | 5 P PRO % ")</f>
        <v xml:space="preserve">| 1 P NS % | 3 L JAVA % | 4 L NS % | 5 P PRO % </v>
      </c>
      <c r="AZ469" s="4" t="str">
        <f ca="1">IFERROR(__xludf.DUMMYFUNCTION("""COMPUTED_VALUE"""),"| 1 P JAVA % | 3 L CPT % | 4 L PHP-CGM % | 5 P Python % ")</f>
        <v xml:space="preserve">| 1 P JAVA % | 3 L CPT % | 4 L PHP-CGM % | 5 P Python % </v>
      </c>
      <c r="BA469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69" s="4" t="str">
        <f ca="1">IFERROR(__xludf.DUMMYFUNCTION("""COMPUTED_VALUE"""),"| 1 P CPT @ | 3 L CPT @ | 4 L JAVA @ | 5 L INE @ ")</f>
        <v xml:space="preserve">| 1 P CPT @ | 3 L CPT @ | 4 L JAVA @ | 5 L INE @ </v>
      </c>
      <c r="BC469" s="4" t="str">
        <f ca="1">IFERROR(__xludf.DUMMYFUNCTION("""COMPUTED_VALUE"""),"| 1 P NS % | 3 L JAVA % | 4 L NS % | 5 P PRO % ")</f>
        <v xml:space="preserve">| 1 P NS % | 3 L JAVA % | 4 L NS % | 5 P PRO % </v>
      </c>
      <c r="BD469" s="4" t="str">
        <f ca="1">IFERROR(__xludf.DUMMYFUNCTION("""COMPUTED_VALUE"""),"| 1 P Python % | 4 L NS %  | 3 L PHP-CGM % | 5 P PHP-CGM @ ")</f>
        <v xml:space="preserve">| 1 P Python % | 4 L NS %  | 3 L PHP-CGM % | 5 P PHP-CGM @ </v>
      </c>
      <c r="BE469" s="4" t="str">
        <f ca="1">IFERROR(__xludf.DUMMYFUNCTION("""COMPUTED_VALUE"""),"| 1 P JAVA % | 3 L CPT % | 4 L PHP-CGM % | 5 P Python % ")</f>
        <v xml:space="preserve">| 1 P JAVA % | 3 L CPT % | 4 L PHP-CGM % | 5 P Python % </v>
      </c>
      <c r="BF469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G469" s="4" t="str">
        <f ca="1">IFERROR(__xludf.DUMMYFUNCTION("""COMPUTED_VALUE"""),"| 1 P NS % | 3 L JAVA % | 4 L NS % | 5 P PRO % ")</f>
        <v xml:space="preserve">| 1 P NS % | 3 L JAVA % | 4 L NS % | 5 P PRO % </v>
      </c>
      <c r="BH469" s="4" t="str">
        <f ca="1">IFERROR(__xludf.DUMMYFUNCTION("""COMPUTED_VALUE"""),"| 1 P Python % | 3 L PHP-CGM % | 4 L NS % | 5 P PHP-CGM @ ")</f>
        <v xml:space="preserve">| 1 P Python % | 3 L PHP-CGM % | 4 L NS % | 5 P PHP-CGM @ </v>
      </c>
      <c r="BI469" s="4" t="str">
        <f ca="1">IFERROR(__xludf.DUMMYFUNCTION("""COMPUTED_VALUE"""),"| 1 P JAVA % | 3 L CPT % | 4 L PHP-CGM % | 5 P Python % ")</f>
        <v xml:space="preserve">| 1 P JAVA % | 3 L CPT % | 4 L PHP-CGM % | 5 P Python % </v>
      </c>
      <c r="BJ469" s="4" t="str">
        <f ca="1">IFERROR(__xludf.DUMMYFUNCTION("""COMPUTED_VALUE"""),"| 1 P JAVA % | 3 L PHP-CGM @ | 4 L JAVA % | 5 L NS % | 6 L CPT % ")</f>
        <v xml:space="preserve">| 1 P JAVA % | 3 L PHP-CGM @ | 4 L JAVA % | 5 L NS % | 6 L CPT % </v>
      </c>
      <c r="BK469" s="4" t="str">
        <f ca="1">IFERROR(__xludf.DUMMYFUNCTION("""COMPUTED_VALUE"""),"| 1 P CPT % | 3 L CPT % | 4 L JAVA % | 5 L INE @ ")</f>
        <v xml:space="preserve">| 1 P CPT % | 3 L CPT % | 4 L JAVA % | 5 L INE @ </v>
      </c>
      <c r="BL469" s="4" t="str">
        <f ca="1">IFERROR(__xludf.DUMMYFUNCTION("""COMPUTED_VALUE"""),"| 1 P NS % | 3 L JAVA % | 4 L NS % ")</f>
        <v xml:space="preserve">| 1 P NS % | 3 L JAVA % | 4 L NS % </v>
      </c>
      <c r="BM469" s="4" t="str">
        <f ca="1">IFERROR(__xludf.DUMMYFUNCTION("""COMPUTED_VALUE"""),"| 1 P Python @ | 3 L PHP-CGM @ | 4 L NS @ | 5 P PHP-CGM @ ")</f>
        <v xml:space="preserve">| 1 P Python @ | 3 L PHP-CGM @ | 4 L NS @ | 5 P PHP-CGM @ </v>
      </c>
      <c r="BN469" s="4" t="str">
        <f ca="1">IFERROR(__xludf.DUMMYFUNCTION("""COMPUTED_VALUE"""),"| 1 P JAVA @ | 3 L CPT @ | 4 L PHP-CGM @ | 5 P Python @ ")</f>
        <v xml:space="preserve">| 1 P JAVA @ | 3 L CPT @ | 4 L PHP-CGM @ | 5 P Python @ </v>
      </c>
      <c r="BO469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69" s="4" t="str">
        <f ca="1">IFERROR(__xludf.DUMMYFUNCTION("""COMPUTED_VALUE"""),"| 1 P CPT @ | 3 L CPT % | 4 L JAVA % | 5 L INE @ ")</f>
        <v xml:space="preserve">| 1 P CPT @ | 3 L CPT % | 4 L JAVA % | 5 L INE @ </v>
      </c>
      <c r="BQ469" s="4" t="str">
        <f ca="1">IFERROR(__xludf.DUMMYFUNCTION("""COMPUTED_VALUE"""),"| 4 L NS % ")</f>
        <v xml:space="preserve">| 4 L NS % </v>
      </c>
      <c r="BR469" s="4"/>
      <c r="BS469" s="4"/>
      <c r="BT469" s="4" t="str">
        <f ca="1">IFERROR(__xludf.DUMMYFUNCTION("""COMPUTED_VALUE"""),"| 1 P CPT @ | 3 L CPT @ | 4 L JAVA @ ")</f>
        <v xml:space="preserve">| 1 P CPT @ | 3 L CPT @ | 4 L JAVA @ </v>
      </c>
      <c r="BU469" s="4" t="str">
        <f ca="1">IFERROR(__xludf.DUMMYFUNCTION("""COMPUTED_VALUE"""),"| 1 P NS @ | 4 L NS @ | 3 L JAVA @ ")</f>
        <v xml:space="preserve">| 1 P NS @ | 4 L NS @ | 3 L JAVA @ </v>
      </c>
      <c r="BV469" s="4" t="str">
        <f ca="1">IFERROR(__xludf.DUMMYFUNCTION("""COMPUTED_VALUE"""),"| 1 P CPT @ | 3 L CPT @ | 4 L JAVA @ ")</f>
        <v xml:space="preserve">| 1 P CPT @ | 3 L CPT @ | 4 L JAVA @ </v>
      </c>
      <c r="BW469" s="4" t="str">
        <f ca="1">IFERROR(__xludf.DUMMYFUNCTION("""COMPUTED_VALUE"""),"| 1 P NS % | 3 L JAVA % | 4 L NS % ")</f>
        <v xml:space="preserve">| 1 P NS % | 3 L JAVA % | 4 L NS % </v>
      </c>
      <c r="BX469" s="4" t="str">
        <f ca="1">IFERROR(__xludf.DUMMYFUNCTION("""COMPUTED_VALUE"""),"| 1 P Python @ | 3 L PHP-CGM @ | 4 L NS @ | 5 P PHP-CGM @ ")</f>
        <v xml:space="preserve">| 1 P Python @ | 3 L PHP-CGM @ | 4 L NS @ | 5 P PHP-CGM @ </v>
      </c>
      <c r="BY469" s="4" t="str">
        <f ca="1">IFERROR(__xludf.DUMMYFUNCTION("""COMPUTED_VALUE"""),"| 1 P JAVA @ | 3 L CPT @ | 4 L PHP-CGM @ | 5 P Python @ ")</f>
        <v xml:space="preserve">| 1 P JAVA @ | 3 L CPT @ | 4 L PHP-CGM @ | 5 P Python @ </v>
      </c>
      <c r="BZ469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69" s="4" t="str">
        <f ca="1">IFERROR(__xludf.DUMMYFUNCTION("""COMPUTED_VALUE"""),"| 1 P CPT % | 3 L CPT @ | 4 L JAVA @ | 5 L INE % ")</f>
        <v xml:space="preserve">| 1 P CPT % | 3 L CPT @ | 4 L JAVA @ | 5 L INE % </v>
      </c>
      <c r="CB469" s="4" t="str">
        <f ca="1">IFERROR(__xludf.DUMMYFUNCTION("""COMPUTED_VALUE"""),"| 1 P NS @ | 3 L JAVA @ | 4 L NS @ | 5 P PRO @ ")</f>
        <v xml:space="preserve">| 1 P NS @ | 3 L JAVA @ | 4 L NS @ | 5 P PRO @ </v>
      </c>
      <c r="CC469" s="4" t="str">
        <f ca="1">IFERROR(__xludf.DUMMYFUNCTION("""COMPUTED_VALUE"""),"| 1 P Python @ | 3 L PHP-CGM @ | 4 L NS @ | 5 P PHP-CGM @ ")</f>
        <v xml:space="preserve">| 1 P Python @ | 3 L PHP-CGM @ | 4 L NS @ | 5 P PHP-CGM @ </v>
      </c>
      <c r="CD469" s="4" t="str">
        <f ca="1">IFERROR(__xludf.DUMMYFUNCTION("""COMPUTED_VALUE"""),"| 1 P JAVA @ | 3 L CPT @ | 4 L PHP-CGM @ | 5 P Python @ ")</f>
        <v xml:space="preserve">| 1 P JAVA @ | 3 L CPT @ | 4 L PHP-CGM @ | 5 P Python @ </v>
      </c>
      <c r="CE469" s="4" t="str">
        <f ca="1">IFERROR(__xludf.DUMMYFUNCTION("""COMPUTED_VALUE"""),"| 1 P JAVA % | 3 L PHP-CGM % | 4 L JAVA @ | 5 L NS % | 6 L CPT % ")</f>
        <v xml:space="preserve">| 1 P JAVA % | 3 L PHP-CGM % | 4 L JAVA @ | 5 L NS % | 6 L CPT % </v>
      </c>
      <c r="CF469" s="4" t="str">
        <f ca="1">IFERROR(__xludf.DUMMYFUNCTION("""COMPUTED_VALUE"""),"| 1 P CPT % | 3 L CPT % | 4 L JAVA % | 5 L INE % ")</f>
        <v xml:space="preserve">| 1 P CPT % | 3 L CPT % | 4 L JAVA % | 5 L INE % </v>
      </c>
      <c r="CG469" s="4" t="str">
        <f ca="1">IFERROR(__xludf.DUMMYFUNCTION("""COMPUTED_VALUE"""),"| 1 P NS % | 4 L NS @ ")</f>
        <v xml:space="preserve">| 1 P NS % | 4 L NS @ </v>
      </c>
      <c r="CH469" s="4" t="str">
        <f ca="1">IFERROR(__xludf.DUMMYFUNCTION("""COMPUTED_VALUE"""),"| 3 L PHP-CGM @ | 4 L NS @ | 1 P Python % ")</f>
        <v xml:space="preserve">| 3 L PHP-CGM @ | 4 L NS @ | 1 P Python % </v>
      </c>
      <c r="CI469" s="4" t="str">
        <f ca="1">IFERROR(__xludf.DUMMYFUNCTION("""COMPUTED_VALUE"""),"| 1 P JAVA @ ")</f>
        <v xml:space="preserve">| 1 P JAVA @ </v>
      </c>
      <c r="CJ469" s="4" t="str">
        <f ca="1">IFERROR(__xludf.DUMMYFUNCTION("""COMPUTED_VALUE"""),"| 1 P JAVA % | 4 L JAVA % ")</f>
        <v xml:space="preserve">| 1 P JAVA % | 4 L JAVA % </v>
      </c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</row>
    <row r="470" spans="1:102" ht="12.5" x14ac:dyDescent="0.25">
      <c r="A470" s="3">
        <f ca="1">IFERROR(__xludf.DUMMYFUNCTION("""COMPUTED_VALUE"""),1)</f>
        <v>1</v>
      </c>
      <c r="B470" s="3" t="str">
        <f ca="1">IFERROR(__xludf.DUMMYFUNCTION("""COMPUTED_VALUE"""),"ITC")</f>
        <v>ITC</v>
      </c>
      <c r="C470" s="32" t="str">
        <f ca="1">IFERROR(__xludf.DUMMYFUNCTION("""COMPUTED_VALUE"""),"23171371015")</f>
        <v>23171371015</v>
      </c>
      <c r="D470" s="4" t="str">
        <f ca="1">IFERROR(__xludf.DUMMYFUNCTION("""COMPUTED_VALUE"""),"DARJI VRAJ PRAKASHKUMAR")</f>
        <v>DARJI VRAJ PRAKASHKUMAR</v>
      </c>
      <c r="E470" s="3" t="str">
        <f ca="1">IFERROR(__xludf.DUMMYFUNCTION("""COMPUTED_VALUE"""),"SDP&amp;KKP - Mor")</f>
        <v>SDP&amp;KKP - Mor</v>
      </c>
      <c r="F470" s="3">
        <f ca="1">IFERROR(__xludf.DUMMYFUNCTION("""COMPUTED_VALUE"""),9925379834)</f>
        <v>9925379834</v>
      </c>
      <c r="G470" s="3">
        <f ca="1">IFERROR(__xludf.DUMMYFUNCTION("""COMPUTED_VALUE"""),9925379834)</f>
        <v>9925379834</v>
      </c>
      <c r="H470" s="33">
        <f ca="1">IFERROR(__xludf.DUMMYFUNCTION("""COMPUTED_VALUE"""),0.52892561983471)</f>
        <v>0.52892561983470998</v>
      </c>
      <c r="I470" s="25">
        <f ca="1">IFERROR(__xludf.DUMMYFUNCTION("""COMPUTED_VALUE"""),0.527777777777777)</f>
        <v>0.52777777777777701</v>
      </c>
      <c r="J470" s="25">
        <f ca="1">IFERROR(__xludf.DUMMYFUNCTION("""COMPUTED_VALUE"""),0.538461538461538)</f>
        <v>0.53846153846153799</v>
      </c>
      <c r="K470" s="25">
        <f ca="1">IFERROR(__xludf.DUMMYFUNCTION("""COMPUTED_VALUE"""),0.333333333333333)</f>
        <v>0.33333333333333298</v>
      </c>
      <c r="L470" s="25">
        <f ca="1">IFERROR(__xludf.DUMMYFUNCTION("""COMPUTED_VALUE"""),0.692307692307692)</f>
        <v>0.69230769230769196</v>
      </c>
      <c r="M470" s="25">
        <f ca="1">IFERROR(__xludf.DUMMYFUNCTION("""COMPUTED_VALUE"""),0.5625)</f>
        <v>0.5625</v>
      </c>
      <c r="N470" s="25">
        <f ca="1">IFERROR(__xludf.DUMMYFUNCTION("""COMPUTED_VALUE"""),0.3)</f>
        <v>0.3</v>
      </c>
      <c r="O470" s="25">
        <f ca="1">IFERROR(__xludf.DUMMYFUNCTION("""COMPUTED_VALUE"""),0.513513513513513)</f>
        <v>0.51351351351351304</v>
      </c>
      <c r="P470" s="25">
        <f ca="1">IFERROR(__xludf.DUMMYFUNCTION("""COMPUTED_VALUE"""),0.68)</f>
        <v>0.68</v>
      </c>
      <c r="Q470" s="25">
        <f ca="1">IFERROR(__xludf.DUMMYFUNCTION("""COMPUTED_VALUE"""),0)</f>
        <v>0</v>
      </c>
      <c r="R470" s="25">
        <f ca="1">IFERROR(__xludf.DUMMYFUNCTION("""COMPUTED_VALUE"""),0.565217391304347)</f>
        <v>0.56521739130434701</v>
      </c>
      <c r="S470" s="25">
        <f ca="1">IFERROR(__xludf.DUMMYFUNCTION("""COMPUTED_VALUE"""),0)</f>
        <v>0</v>
      </c>
      <c r="T470" s="25">
        <f ca="1">IFERROR(__xludf.DUMMYFUNCTION("""COMPUTED_VALUE"""),0.888888888888888)</f>
        <v>0.88888888888888795</v>
      </c>
      <c r="U470" s="25">
        <f ca="1">IFERROR(__xludf.DUMMYFUNCTION("""COMPUTED_VALUE"""),0.375)</f>
        <v>0.375</v>
      </c>
      <c r="V470" s="25">
        <f ca="1">IFERROR(__xludf.DUMMYFUNCTION("""COMPUTED_VALUE"""),0)</f>
        <v>0</v>
      </c>
      <c r="W470" s="4"/>
      <c r="X470" s="4" t="str">
        <f ca="1">IFERROR(__xludf.DUMMYFUNCTION("""COMPUTED_VALUE"""),"| 1 P CPT % | 3 L CPT % | 4 L JAVA % ")</f>
        <v xml:space="preserve">| 1 P CPT % | 3 L CPT % | 4 L JAVA % </v>
      </c>
      <c r="Y470" s="4" t="str">
        <f ca="1">IFERROR(__xludf.DUMMYFUNCTION("""COMPUTED_VALUE"""),"| 1 P NS % | 3 L JAVA % | 4 L NS % | 5 P PRO % ")</f>
        <v xml:space="preserve">| 1 P NS % | 3 L JAVA % | 4 L NS % | 5 P PRO % </v>
      </c>
      <c r="Z470" s="4" t="str">
        <f ca="1">IFERROR(__xludf.DUMMYFUNCTION("""COMPUTED_VALUE"""),"| 1 P Python % | 3 L PHP-CGM % | 4 L NS % | 5 P PHP-CGM % ")</f>
        <v xml:space="preserve">| 1 P Python % | 3 L PHP-CGM % | 4 L NS % | 5 P PHP-CGM % </v>
      </c>
      <c r="AA470" s="4" t="str">
        <f ca="1">IFERROR(__xludf.DUMMYFUNCTION("""COMPUTED_VALUE"""),"| 1 P JAVA % | 3 L CPT % | 5 P Python % ")</f>
        <v xml:space="preserve">| 1 P JAVA % | 3 L CPT % | 5 P Python % </v>
      </c>
      <c r="AB470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70" s="4" t="str">
        <f ca="1">IFERROR(__xludf.DUMMYFUNCTION("""COMPUTED_VALUE"""),"| 1 P CPT % | 3 L CPT % | 4 L JAVA % ")</f>
        <v xml:space="preserve">| 1 P CPT % | 3 L CPT % | 4 L JAVA % </v>
      </c>
      <c r="AD470" s="4" t="str">
        <f ca="1">IFERROR(__xludf.DUMMYFUNCTION("""COMPUTED_VALUE"""),"| 1 P NS % | 3 L JAVA % | 4 L NS % | 5 P PRO % ")</f>
        <v xml:space="preserve">| 1 P NS % | 3 L JAVA % | 4 L NS % | 5 P PRO % </v>
      </c>
      <c r="AE470" s="4" t="str">
        <f ca="1">IFERROR(__xludf.DUMMYFUNCTION("""COMPUTED_VALUE"""),"| 1 P Python @ | 3 L PHP-CGM @ | 4 L NS @ | 5 P PHP-CGM @ ")</f>
        <v xml:space="preserve">| 1 P Python @ | 3 L PHP-CGM @ | 4 L NS @ | 5 P PHP-CGM @ </v>
      </c>
      <c r="AF470" s="4" t="str">
        <f ca="1">IFERROR(__xludf.DUMMYFUNCTION("""COMPUTED_VALUE"""),"| 1 P JAVA % | 3 L CPT % | 4 L PHP-CGM % | 5 P Python % ")</f>
        <v xml:space="preserve">| 1 P JAVA % | 3 L CPT % | 4 L PHP-CGM % | 5 P Python % </v>
      </c>
      <c r="AG470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70" s="4" t="str">
        <f ca="1">IFERROR(__xludf.DUMMYFUNCTION("""COMPUTED_VALUE"""),"| 1 P JAVA @ | 3 L CPT @ | 4 L PHP-CGM % | 5 P Python @ ")</f>
        <v xml:space="preserve">| 1 P JAVA @ | 3 L CPT @ | 4 L PHP-CGM % | 5 P Python @ </v>
      </c>
      <c r="AI470" s="4" t="str">
        <f ca="1">IFERROR(__xludf.DUMMYFUNCTION("""COMPUTED_VALUE"""),"| 1 P JAVA @ | 3 L PHP-CGM % | 4 L JAVA % | 5 L CPT % | 6 L NS % ")</f>
        <v xml:space="preserve">| 1 P JAVA @ | 3 L PHP-CGM % | 4 L JAVA % | 5 L CPT % | 6 L NS % </v>
      </c>
      <c r="AJ470" s="4" t="str">
        <f ca="1">IFERROR(__xludf.DUMMYFUNCTION("""COMPUTED_VALUE"""),"| 1 P CPT % | 3 L CPT % | 4 L JAVA % ")</f>
        <v xml:space="preserve">| 1 P CPT % | 3 L CPT % | 4 L JAVA % </v>
      </c>
      <c r="AK470" s="4" t="str">
        <f ca="1">IFERROR(__xludf.DUMMYFUNCTION("""COMPUTED_VALUE"""),"| 1 P NS % | 4 L NS @ | 3 L JAVA @ | 5 P PRO % ")</f>
        <v xml:space="preserve">| 1 P NS % | 4 L NS @ | 3 L JAVA @ | 5 P PRO % </v>
      </c>
      <c r="AL470" s="4" t="str">
        <f ca="1">IFERROR(__xludf.DUMMYFUNCTION("""COMPUTED_VALUE"""),"| 1 P Python @ | 3 L PHP-CGM @ | 4 L NS @ | 5 P PHP-CGM @ ")</f>
        <v xml:space="preserve">| 1 P Python @ | 3 L PHP-CGM @ | 4 L NS @ | 5 P PHP-CGM @ </v>
      </c>
      <c r="AM470" s="4" t="str">
        <f ca="1">IFERROR(__xludf.DUMMYFUNCTION("""COMPUTED_VALUE"""),"| 1 P JAVA @ | 3 L CPT @ | 4 L PHP-CGM @ | 5 P Python @ ")</f>
        <v xml:space="preserve">| 1 P JAVA @ | 3 L CPT @ | 4 L PHP-CGM @ | 5 P Python @ </v>
      </c>
      <c r="AN470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O470" s="4" t="str">
        <f ca="1">IFERROR(__xludf.DUMMYFUNCTION("""COMPUTED_VALUE"""),"| 1 P CPT % | 3 L CPT % | 4 L JAVA % | 5 L INE % ")</f>
        <v xml:space="preserve">| 1 P CPT % | 3 L CPT % | 4 L JAVA % | 5 L INE % </v>
      </c>
      <c r="AP470" s="4" t="str">
        <f ca="1">IFERROR(__xludf.DUMMYFUNCTION("""COMPUTED_VALUE"""),"| 1 P NS % | 3 L JAVA % | 4 L NS % | 5 P PRO % ")</f>
        <v xml:space="preserve">| 1 P NS % | 3 L JAVA % | 4 L NS % | 5 P PRO % </v>
      </c>
      <c r="AQ470" s="4" t="str">
        <f ca="1">IFERROR(__xludf.DUMMYFUNCTION("""COMPUTED_VALUE"""),"| 1 P Python @ | 3 L PHP-CGM @ | 4 L NS @ | 5 P PHP-CGM @ ")</f>
        <v xml:space="preserve">| 1 P Python @ | 3 L PHP-CGM @ | 4 L NS @ | 5 P PHP-CGM @ </v>
      </c>
      <c r="AR470" s="4" t="str">
        <f ca="1">IFERROR(__xludf.DUMMYFUNCTION("""COMPUTED_VALUE"""),"| 1 P JAVA % | 3 L CPT % | 5 P Python % ")</f>
        <v xml:space="preserve">| 1 P JAVA % | 3 L CPT % | 5 P Python % </v>
      </c>
      <c r="AS470" s="4" t="str">
        <f ca="1">IFERROR(__xludf.DUMMYFUNCTION("""COMPUTED_VALUE"""),"| 1 P CPT @ | 3 L CPT @ | 4 L JAVA @ | 5 L INE @ ")</f>
        <v xml:space="preserve">| 1 P CPT @ | 3 L CPT @ | 4 L JAVA @ | 5 L INE @ </v>
      </c>
      <c r="AT470" s="4" t="str">
        <f ca="1">IFERROR(__xludf.DUMMYFUNCTION("""COMPUTED_VALUE"""),"| 1 P NS @ | 3 L JAVA % | 4 L NS % | 5 P PRO % ")</f>
        <v xml:space="preserve">| 1 P NS @ | 3 L JAVA % | 4 L NS % | 5 P PRO % </v>
      </c>
      <c r="AU470" s="4" t="str">
        <f ca="1">IFERROR(__xludf.DUMMYFUNCTION("""COMPUTED_VALUE"""),"| 1 P Python % | 3 L PHP-CGM % | 4 L NS % | 5 P PHP-CGM % ")</f>
        <v xml:space="preserve">| 1 P Python % | 3 L PHP-CGM % | 4 L NS % | 5 P PHP-CGM % </v>
      </c>
      <c r="AV470" s="4" t="str">
        <f ca="1">IFERROR(__xludf.DUMMYFUNCTION("""COMPUTED_VALUE"""),"| 1 P JAVA % | 3 L CPT % | 4 L PHP-CGM % | 5 P Python % ")</f>
        <v xml:space="preserve">| 1 P JAVA % | 3 L CPT % | 4 L PHP-CGM % | 5 P Python % </v>
      </c>
      <c r="AW470" s="4" t="str">
        <f ca="1">IFERROR(__xludf.DUMMYFUNCTION("""COMPUTED_VALUE"""),"| 1 P JAVA % | 3 L PHP-CGM % | 4 L JAVA % | 5 L NS @ | 5 L CPT @ ")</f>
        <v xml:space="preserve">| 1 P JAVA % | 3 L PHP-CGM % | 4 L JAVA % | 5 L NS @ | 5 L CPT @ </v>
      </c>
      <c r="AX470" s="4" t="str">
        <f ca="1">IFERROR(__xludf.DUMMYFUNCTION("""COMPUTED_VALUE"""),"| 1 P CPT @ | 3 L CPT % | 4 L JAVA % | 5 L INE % ")</f>
        <v xml:space="preserve">| 1 P CPT @ | 3 L CPT % | 4 L JAVA % | 5 L INE % </v>
      </c>
      <c r="AY470" s="4" t="str">
        <f ca="1">IFERROR(__xludf.DUMMYFUNCTION("""COMPUTED_VALUE"""),"| 1 P NS % | 3 L JAVA @ | 4 L NS @ | 5 P PRO % ")</f>
        <v xml:space="preserve">| 1 P NS % | 3 L JAVA @ | 4 L NS @ | 5 P PRO % </v>
      </c>
      <c r="AZ470" s="4" t="str">
        <f ca="1">IFERROR(__xludf.DUMMYFUNCTION("""COMPUTED_VALUE"""),"| 1 P JAVA % | 3 L CPT @ | 4 L PHP-CGM @ | 5 P Python % ")</f>
        <v xml:space="preserve">| 1 P JAVA % | 3 L CPT @ | 4 L PHP-CGM @ | 5 P Python % </v>
      </c>
      <c r="BA470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70" s="4" t="str">
        <f ca="1">IFERROR(__xludf.DUMMYFUNCTION("""COMPUTED_VALUE"""),"| 1 P CPT % | 3 L CPT % | 4 L JAVA % | 5 L INE @ ")</f>
        <v xml:space="preserve">| 1 P CPT % | 3 L CPT % | 4 L JAVA % | 5 L INE @ </v>
      </c>
      <c r="BC470" s="4" t="str">
        <f ca="1">IFERROR(__xludf.DUMMYFUNCTION("""COMPUTED_VALUE"""),"| 1 P NS % | 3 L JAVA @ | 4 L NS @ | 5 P PRO % ")</f>
        <v xml:space="preserve">| 1 P NS % | 3 L JAVA @ | 4 L NS @ | 5 P PRO % </v>
      </c>
      <c r="BD470" s="4" t="str">
        <f ca="1">IFERROR(__xludf.DUMMYFUNCTION("""COMPUTED_VALUE"""),"| 1 P Python % | 4 L NS %  | 3 L PHP-CGM % | 5 P PHP-CGM @ ")</f>
        <v xml:space="preserve">| 1 P Python % | 4 L NS %  | 3 L PHP-CGM % | 5 P PHP-CGM @ </v>
      </c>
      <c r="BE470" s="4" t="str">
        <f ca="1">IFERROR(__xludf.DUMMYFUNCTION("""COMPUTED_VALUE"""),"| 1 P JAVA @ | 3 L CPT @ | 4 L PHP-CGM @ | 5 P Python @ ")</f>
        <v xml:space="preserve">| 1 P JAVA @ | 3 L CPT @ | 4 L PHP-CGM @ | 5 P Python @ </v>
      </c>
      <c r="BF470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70" s="4" t="str">
        <f ca="1">IFERROR(__xludf.DUMMYFUNCTION("""COMPUTED_VALUE"""),"| 1 P NS % | 3 L JAVA @ | 4 L NS @ | 5 P PRO % ")</f>
        <v xml:space="preserve">| 1 P NS % | 3 L JAVA @ | 4 L NS @ | 5 P PRO % </v>
      </c>
      <c r="BH470" s="4" t="str">
        <f ca="1">IFERROR(__xludf.DUMMYFUNCTION("""COMPUTED_VALUE"""),"| 1 P Python % | 3 L PHP-CGM % | 4 L NS % | 5 P PHP-CGM % ")</f>
        <v xml:space="preserve">| 1 P Python % | 3 L PHP-CGM % | 4 L NS % | 5 P PHP-CGM % </v>
      </c>
      <c r="BI470" s="4" t="str">
        <f ca="1">IFERROR(__xludf.DUMMYFUNCTION("""COMPUTED_VALUE"""),"| 1 P JAVA % | 3 L CPT % | 4 L PHP-CGM % | 5 P Python % ")</f>
        <v xml:space="preserve">| 1 P JAVA % | 3 L CPT % | 4 L PHP-CGM % | 5 P Python % </v>
      </c>
      <c r="BJ470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K470" s="4" t="str">
        <f ca="1">IFERROR(__xludf.DUMMYFUNCTION("""COMPUTED_VALUE"""),"| 1 P CPT @ | 3 L CPT @ | 4 L JAVA @ | 5 L INE @ ")</f>
        <v xml:space="preserve">| 1 P CPT @ | 3 L CPT @ | 4 L JAVA @ | 5 L INE @ </v>
      </c>
      <c r="BL470" s="4" t="str">
        <f ca="1">IFERROR(__xludf.DUMMYFUNCTION("""COMPUTED_VALUE"""),"| 1 P NS % | 3 L JAVA @ | 4 L NS @ ")</f>
        <v xml:space="preserve">| 1 P NS % | 3 L JAVA @ | 4 L NS @ </v>
      </c>
      <c r="BM470" s="4" t="str">
        <f ca="1">IFERROR(__xludf.DUMMYFUNCTION("""COMPUTED_VALUE"""),"| 1 P Python % | 3 L PHP-CGM @ | 4 L NS @ | 5 P PHP-CGM @ ")</f>
        <v xml:space="preserve">| 1 P Python % | 3 L PHP-CGM @ | 4 L NS @ | 5 P PHP-CGM @ </v>
      </c>
      <c r="BN470" s="4" t="str">
        <f ca="1">IFERROR(__xludf.DUMMYFUNCTION("""COMPUTED_VALUE"""),"| 1 P JAVA @ | 3 L CPT % | 4 L PHP-CGM % | 5 P Python @ ")</f>
        <v xml:space="preserve">| 1 P JAVA @ | 3 L CPT % | 4 L PHP-CGM % | 5 P Python @ </v>
      </c>
      <c r="BO470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70" s="4" t="str">
        <f ca="1">IFERROR(__xludf.DUMMYFUNCTION("""COMPUTED_VALUE"""),"| 1 P CPT @ | 3 L CPT @ | 4 L JAVA @ | 5 L INE @ ")</f>
        <v xml:space="preserve">| 1 P CPT @ | 3 L CPT @ | 4 L JAVA @ | 5 L INE @ </v>
      </c>
      <c r="BQ470" s="4" t="str">
        <f ca="1">IFERROR(__xludf.DUMMYFUNCTION("""COMPUTED_VALUE"""),"| 4 L NS @ ")</f>
        <v xml:space="preserve">| 4 L NS @ </v>
      </c>
      <c r="BR470" s="4"/>
      <c r="BS470" s="4"/>
      <c r="BT470" s="4" t="str">
        <f ca="1">IFERROR(__xludf.DUMMYFUNCTION("""COMPUTED_VALUE"""),"| 1 P CPT @ | 3 L CPT @ | 4 L JAVA @ ")</f>
        <v xml:space="preserve">| 1 P CPT @ | 3 L CPT @ | 4 L JAVA @ </v>
      </c>
      <c r="BU470" s="4" t="str">
        <f ca="1">IFERROR(__xludf.DUMMYFUNCTION("""COMPUTED_VALUE"""),"| 1 P NS @ | 4 L NS @ | 3 L JAVA @ ")</f>
        <v xml:space="preserve">| 1 P NS @ | 4 L NS @ | 3 L JAVA @ </v>
      </c>
      <c r="BV470" s="4" t="str">
        <f ca="1">IFERROR(__xludf.DUMMYFUNCTION("""COMPUTED_VALUE"""),"| 1 P CPT @ | 3 L CPT @ | 4 L JAVA @ ")</f>
        <v xml:space="preserve">| 1 P CPT @ | 3 L CPT @ | 4 L JAVA @ </v>
      </c>
      <c r="BW470" s="4" t="str">
        <f ca="1">IFERROR(__xludf.DUMMYFUNCTION("""COMPUTED_VALUE"""),"| 1 P NS @ | 3 L JAVA @ | 4 L NS @ ")</f>
        <v xml:space="preserve">| 1 P NS @ | 3 L JAVA @ | 4 L NS @ </v>
      </c>
      <c r="BX470" s="4" t="str">
        <f ca="1">IFERROR(__xludf.DUMMYFUNCTION("""COMPUTED_VALUE"""),"| 1 P Python @ | 3 L PHP-CGM % | 4 L NS @ | 5 P PHP-CGM @ ")</f>
        <v xml:space="preserve">| 1 P Python @ | 3 L PHP-CGM % | 4 L NS @ | 5 P PHP-CGM @ </v>
      </c>
      <c r="BY470" s="4" t="str">
        <f ca="1">IFERROR(__xludf.DUMMYFUNCTION("""COMPUTED_VALUE"""),"| 1 P JAVA % | 3 L CPT % | 4 L PHP-CGM % | 5 P Python @ ")</f>
        <v xml:space="preserve">| 1 P JAVA % | 3 L CPT % | 4 L PHP-CGM % | 5 P Python @ </v>
      </c>
      <c r="BZ470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70" s="4" t="str">
        <f ca="1">IFERROR(__xludf.DUMMYFUNCTION("""COMPUTED_VALUE"""),"| 1 P CPT % | 3 L CPT % | 4 L JAVA % | 5 L INE % ")</f>
        <v xml:space="preserve">| 1 P CPT % | 3 L CPT % | 4 L JAVA % | 5 L INE % </v>
      </c>
      <c r="CB470" s="4" t="str">
        <f ca="1">IFERROR(__xludf.DUMMYFUNCTION("""COMPUTED_VALUE"""),"| 1 P NS @ | 3 L JAVA @ | 4 L NS @ | 5 P PRO @ ")</f>
        <v xml:space="preserve">| 1 P NS @ | 3 L JAVA @ | 4 L NS @ | 5 P PRO @ </v>
      </c>
      <c r="CC470" s="4" t="str">
        <f ca="1">IFERROR(__xludf.DUMMYFUNCTION("""COMPUTED_VALUE"""),"| 1 P Python % | 3 L PHP-CGM @ | 4 L NS @ | 5 P PHP-CGM @ ")</f>
        <v xml:space="preserve">| 1 P Python % | 3 L PHP-CGM @ | 4 L NS @ | 5 P PHP-CGM @ </v>
      </c>
      <c r="CD470" s="4" t="str">
        <f ca="1">IFERROR(__xludf.DUMMYFUNCTION("""COMPUTED_VALUE"""),"| 1 P JAVA % | 3 L CPT @ | 4 L PHP-CGM @ | 5 P Python @ ")</f>
        <v xml:space="preserve">| 1 P JAVA % | 3 L CPT @ | 4 L PHP-CGM @ | 5 P Python @ </v>
      </c>
      <c r="CE470" s="4" t="str">
        <f ca="1">IFERROR(__xludf.DUMMYFUNCTION("""COMPUTED_VALUE"""),"| 1 P JAVA % | 3 L PHP-CGM @ | 4 L JAVA @ | 5 L NS @ | 6 L CPT @ ")</f>
        <v xml:space="preserve">| 1 P JAVA % | 3 L PHP-CGM @ | 4 L JAVA @ | 5 L NS @ | 6 L CPT @ </v>
      </c>
      <c r="CF470" s="4" t="str">
        <f ca="1">IFERROR(__xludf.DUMMYFUNCTION("""COMPUTED_VALUE"""),"| 1 P CPT % | 3 L CPT @ | 4 L JAVA @ | 5 L INE @ ")</f>
        <v xml:space="preserve">| 1 P CPT % | 3 L CPT @ | 4 L JAVA @ | 5 L INE @ </v>
      </c>
      <c r="CG470" s="4" t="str">
        <f ca="1">IFERROR(__xludf.DUMMYFUNCTION("""COMPUTED_VALUE"""),"| 1 P NS % | 4 L NS @ ")</f>
        <v xml:space="preserve">| 1 P NS % | 4 L NS @ </v>
      </c>
      <c r="CH470" s="4" t="str">
        <f ca="1">IFERROR(__xludf.DUMMYFUNCTION("""COMPUTED_VALUE"""),"| 3 L PHP-CGM @ | 4 L NS @ | 1 P Python % ")</f>
        <v xml:space="preserve">| 3 L PHP-CGM @ | 4 L NS @ | 1 P Python % </v>
      </c>
      <c r="CI470" s="4" t="str">
        <f ca="1">IFERROR(__xludf.DUMMYFUNCTION("""COMPUTED_VALUE"""),"| 1 P JAVA % ")</f>
        <v xml:space="preserve">| 1 P JAVA % </v>
      </c>
      <c r="CJ470" s="4" t="str">
        <f ca="1">IFERROR(__xludf.DUMMYFUNCTION("""COMPUTED_VALUE"""),"| 1 P JAVA % | 4 L JAVA % ")</f>
        <v xml:space="preserve">| 1 P JAVA % | 4 L JAVA % </v>
      </c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</row>
    <row r="471" spans="1:102" ht="12.5" x14ac:dyDescent="0.25">
      <c r="A471" s="3">
        <f ca="1">IFERROR(__xludf.DUMMYFUNCTION("""COMPUTED_VALUE"""),1)</f>
        <v>1</v>
      </c>
      <c r="B471" s="3" t="str">
        <f ca="1">IFERROR(__xludf.DUMMYFUNCTION("""COMPUTED_VALUE"""),"ITC")</f>
        <v>ITC</v>
      </c>
      <c r="C471" s="32" t="str">
        <f ca="1">IFERROR(__xludf.DUMMYFUNCTION("""COMPUTED_VALUE"""),"23171371016")</f>
        <v>23171371016</v>
      </c>
      <c r="D471" s="4" t="str">
        <f ca="1">IFERROR(__xludf.DUMMYFUNCTION("""COMPUTED_VALUE"""),"DAVE DEV KALPESHKUMAR")</f>
        <v>DAVE DEV KALPESHKUMAR</v>
      </c>
      <c r="E471" s="3" t="str">
        <f ca="1">IFERROR(__xludf.DUMMYFUNCTION("""COMPUTED_VALUE"""),"SDP&amp;KKP - Mor")</f>
        <v>SDP&amp;KKP - Mor</v>
      </c>
      <c r="F471" s="3">
        <f ca="1">IFERROR(__xludf.DUMMYFUNCTION("""COMPUTED_VALUE"""),9054044352)</f>
        <v>9054044352</v>
      </c>
      <c r="G471" s="3">
        <f ca="1">IFERROR(__xludf.DUMMYFUNCTION("""COMPUTED_VALUE"""),9904944352)</f>
        <v>9904944352</v>
      </c>
      <c r="H471" s="33">
        <f ca="1">IFERROR(__xludf.DUMMYFUNCTION("""COMPUTED_VALUE"""),0.677685950413223)</f>
        <v>0.67768595041322299</v>
      </c>
      <c r="I471" s="25">
        <f ca="1">IFERROR(__xludf.DUMMYFUNCTION("""COMPUTED_VALUE"""),0.722222222222222)</f>
        <v>0.72222222222222199</v>
      </c>
      <c r="J471" s="25">
        <f ca="1">IFERROR(__xludf.DUMMYFUNCTION("""COMPUTED_VALUE"""),0.615384615384615)</f>
        <v>0.61538461538461497</v>
      </c>
      <c r="K471" s="25">
        <f ca="1">IFERROR(__xludf.DUMMYFUNCTION("""COMPUTED_VALUE"""),0.722222222222222)</f>
        <v>0.72222222222222199</v>
      </c>
      <c r="L471" s="25">
        <f ca="1">IFERROR(__xludf.DUMMYFUNCTION("""COMPUTED_VALUE"""),0.692307692307692)</f>
        <v>0.69230769230769196</v>
      </c>
      <c r="M471" s="25">
        <f ca="1">IFERROR(__xludf.DUMMYFUNCTION("""COMPUTED_VALUE"""),0.6875)</f>
        <v>0.6875</v>
      </c>
      <c r="N471" s="25">
        <f ca="1">IFERROR(__xludf.DUMMYFUNCTION("""COMPUTED_VALUE"""),0.8)</f>
        <v>0.8</v>
      </c>
      <c r="O471" s="25">
        <f ca="1">IFERROR(__xludf.DUMMYFUNCTION("""COMPUTED_VALUE"""),0.702702702702702)</f>
        <v>0.70270270270270196</v>
      </c>
      <c r="P471" s="25">
        <f ca="1">IFERROR(__xludf.DUMMYFUNCTION("""COMPUTED_VALUE"""),0.52)</f>
        <v>0.52</v>
      </c>
      <c r="Q471" s="25">
        <f ca="1">IFERROR(__xludf.DUMMYFUNCTION("""COMPUTED_VALUE"""),0)</f>
        <v>0</v>
      </c>
      <c r="R471" s="25">
        <f ca="1">IFERROR(__xludf.DUMMYFUNCTION("""COMPUTED_VALUE"""),0.608695652173913)</f>
        <v>0.60869565217391297</v>
      </c>
      <c r="S471" s="25">
        <f ca="1">IFERROR(__xludf.DUMMYFUNCTION("""COMPUTED_VALUE"""),0)</f>
        <v>0</v>
      </c>
      <c r="T471" s="25">
        <f ca="1">IFERROR(__xludf.DUMMYFUNCTION("""COMPUTED_VALUE"""),0.666666666666666)</f>
        <v>0.66666666666666596</v>
      </c>
      <c r="U471" s="25">
        <f ca="1">IFERROR(__xludf.DUMMYFUNCTION("""COMPUTED_VALUE"""),0.75)</f>
        <v>0.75</v>
      </c>
      <c r="V471" s="25">
        <f ca="1">IFERROR(__xludf.DUMMYFUNCTION("""COMPUTED_VALUE"""),0)</f>
        <v>0</v>
      </c>
      <c r="W471" s="4"/>
      <c r="X471" s="4" t="str">
        <f ca="1">IFERROR(__xludf.DUMMYFUNCTION("""COMPUTED_VALUE"""),"| 1 P JAVA % | 3 L CPT % | 4 L JAVA % ")</f>
        <v xml:space="preserve">| 1 P JAVA % | 3 L CPT % | 4 L JAVA % </v>
      </c>
      <c r="Y471" s="4" t="str">
        <f ca="1">IFERROR(__xludf.DUMMYFUNCTION("""COMPUTED_VALUE"""),"| 1 P PHP-CGM % | 3 L JAVA % | 4 L NS % | 5 P PRO % ")</f>
        <v xml:space="preserve">| 1 P PHP-CGM % | 3 L JAVA % | 4 L NS % | 5 P PRO % </v>
      </c>
      <c r="Z471" s="4" t="str">
        <f ca="1">IFERROR(__xludf.DUMMYFUNCTION("""COMPUTED_VALUE"""),"| 1 P Python @ | 3 L PHP-CGM @ | 4 L NS @ | 5 P JAVA @ ")</f>
        <v xml:space="preserve">| 1 P Python @ | 3 L PHP-CGM @ | 4 L NS @ | 5 P JAVA @ </v>
      </c>
      <c r="AA471" s="4" t="str">
        <f ca="1">IFERROR(__xludf.DUMMYFUNCTION("""COMPUTED_VALUE"""),"| 1 P Python % | 3 L CPT % | 5 P NS % ")</f>
        <v xml:space="preserve">| 1 P Python % | 3 L CPT % | 5 P NS % </v>
      </c>
      <c r="AB471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471" s="4" t="str">
        <f ca="1">IFERROR(__xludf.DUMMYFUNCTION("""COMPUTED_VALUE"""),"| 1 P CPT % | 3 L CPT % | 4 L JAVA % ")</f>
        <v xml:space="preserve">| 1 P CPT % | 3 L CPT % | 4 L JAVA % </v>
      </c>
      <c r="AD471" s="4" t="str">
        <f ca="1">IFERROR(__xludf.DUMMYFUNCTION("""COMPUTED_VALUE"""),"| 1 P NS % | 3 L JAVA % | 4 L NS % | 5 P PRO % ")</f>
        <v xml:space="preserve">| 1 P NS % | 3 L JAVA % | 4 L NS % | 5 P PRO % </v>
      </c>
      <c r="AE471" s="4" t="str">
        <f ca="1">IFERROR(__xludf.DUMMYFUNCTION("""COMPUTED_VALUE"""),"| 1 P Python % | 3 L PHP-CGM % | 4 L NS % | 5 P PHP-CGM % ")</f>
        <v xml:space="preserve">| 1 P Python % | 3 L PHP-CGM % | 4 L NS % | 5 P PHP-CGM % </v>
      </c>
      <c r="AF471" s="4" t="str">
        <f ca="1">IFERROR(__xludf.DUMMYFUNCTION("""COMPUTED_VALUE"""),"| 1 P JAVA % | 3 L CPT % | 4 L PHP-CGM % | 5 P Python @ ")</f>
        <v xml:space="preserve">| 1 P JAVA % | 3 L CPT % | 4 L PHP-CGM % | 5 P Python @ </v>
      </c>
      <c r="AG471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71" s="4" t="str">
        <f ca="1">IFERROR(__xludf.DUMMYFUNCTION("""COMPUTED_VALUE"""),"| 1 P JAVA % | 3 L CPT % | 4 L PHP-CGM % | 5 P Python % ")</f>
        <v xml:space="preserve">| 1 P JAVA % | 3 L CPT % | 4 L PHP-CGM % | 5 P Python % </v>
      </c>
      <c r="AI471" s="4" t="str">
        <f ca="1">IFERROR(__xludf.DUMMYFUNCTION("""COMPUTED_VALUE"""),"| 1 P JAVA % | 3 L PHP-CGM @ | 4 L JAVA @ | 5 L CPT % | 6 L NS % ")</f>
        <v xml:space="preserve">| 1 P JAVA % | 3 L PHP-CGM @ | 4 L JAVA @ | 5 L CPT % | 6 L NS % </v>
      </c>
      <c r="AJ471" s="4" t="str">
        <f ca="1">IFERROR(__xludf.DUMMYFUNCTION("""COMPUTED_VALUE"""),"| 1 P CPT @ | 3 L CPT @ | 4 L JAVA @ ")</f>
        <v xml:space="preserve">| 1 P CPT @ | 3 L CPT @ | 4 L JAVA @ </v>
      </c>
      <c r="AK471" s="4" t="str">
        <f ca="1">IFERROR(__xludf.DUMMYFUNCTION("""COMPUTED_VALUE"""),"| 1 P NS % | 4 L NS % | 3 L JAVA % | 5 P PRO @ ")</f>
        <v xml:space="preserve">| 1 P NS % | 4 L NS % | 3 L JAVA % | 5 P PRO @ </v>
      </c>
      <c r="AL471" s="4" t="str">
        <f ca="1">IFERROR(__xludf.DUMMYFUNCTION("""COMPUTED_VALUE"""),"| 1 P Python % | 3 L PHP-CGM % | 4 L NS % | 5 P PHP-CGM % ")</f>
        <v xml:space="preserve">| 1 P Python % | 3 L PHP-CGM % | 4 L NS % | 5 P PHP-CGM % </v>
      </c>
      <c r="AM471" s="4" t="str">
        <f ca="1">IFERROR(__xludf.DUMMYFUNCTION("""COMPUTED_VALUE"""),"| 1 P JAVA % | 3 L CPT % | 4 L PHP-CGM % | 5 P Python % ")</f>
        <v xml:space="preserve">| 1 P JAVA % | 3 L CPT % | 4 L PHP-CGM % | 5 P Python % </v>
      </c>
      <c r="AN471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71" s="4" t="str">
        <f ca="1">IFERROR(__xludf.DUMMYFUNCTION("""COMPUTED_VALUE"""),"| 1 P CPT % | 3 L CPT % | 4 L JAVA % | 5 L INE % ")</f>
        <v xml:space="preserve">| 1 P CPT % | 3 L CPT % | 4 L JAVA % | 5 L INE % </v>
      </c>
      <c r="AP471" s="4" t="str">
        <f ca="1">IFERROR(__xludf.DUMMYFUNCTION("""COMPUTED_VALUE"""),"| 1 P NS % | 3 L JAVA % | 4 L NS % | 5 P PRO % ")</f>
        <v xml:space="preserve">| 1 P NS % | 3 L JAVA % | 4 L NS % | 5 P PRO % </v>
      </c>
      <c r="AQ471" s="4" t="str">
        <f ca="1">IFERROR(__xludf.DUMMYFUNCTION("""COMPUTED_VALUE"""),"| 1 P Python % | 3 L PHP-CGM % | 4 L NS % | 5 P PHP-CGM % ")</f>
        <v xml:space="preserve">| 1 P Python % | 3 L PHP-CGM % | 4 L NS % | 5 P PHP-CGM % </v>
      </c>
      <c r="AR471" s="4" t="str">
        <f ca="1">IFERROR(__xludf.DUMMYFUNCTION("""COMPUTED_VALUE"""),"| 1 P JAVA @ | 3 L CPT @ | 5 P Python @ ")</f>
        <v xml:space="preserve">| 1 P JAVA @ | 3 L CPT @ | 5 P Python @ </v>
      </c>
      <c r="AS471" s="4" t="str">
        <f ca="1">IFERROR(__xludf.DUMMYFUNCTION("""COMPUTED_VALUE"""),"| 1 P CPT % | 3 L CPT % | 4 L JAVA % | 5 L INE @ ")</f>
        <v xml:space="preserve">| 1 P CPT % | 3 L CPT % | 4 L JAVA % | 5 L INE @ </v>
      </c>
      <c r="AT471" s="4" t="str">
        <f ca="1">IFERROR(__xludf.DUMMYFUNCTION("""COMPUTED_VALUE"""),"| 1 P NS @ | 3 L JAVA % | 4 L NS % | 5 P PRO % ")</f>
        <v xml:space="preserve">| 1 P NS @ | 3 L JAVA % | 4 L NS % | 5 P PRO % </v>
      </c>
      <c r="AU471" s="4" t="str">
        <f ca="1">IFERROR(__xludf.DUMMYFUNCTION("""COMPUTED_VALUE"""),"| 1 P Python @ | 3 L PHP-CGM % | 4 L NS % | 5 P PHP-CGM % ")</f>
        <v xml:space="preserve">| 1 P Python @ | 3 L PHP-CGM % | 4 L NS % | 5 P PHP-CGM % </v>
      </c>
      <c r="AV471" s="4" t="str">
        <f ca="1">IFERROR(__xludf.DUMMYFUNCTION("""COMPUTED_VALUE"""),"| 1 P JAVA @ | 3 L CPT @ | 4 L PHP-CGM @ | 5 P Python % ")</f>
        <v xml:space="preserve">| 1 P JAVA @ | 3 L CPT @ | 4 L PHP-CGM @ | 5 P Python % </v>
      </c>
      <c r="AW471" s="4" t="str">
        <f ca="1">IFERROR(__xludf.DUMMYFUNCTION("""COMPUTED_VALUE"""),"| 1 P JAVA @ | 3 L PHP-CGM % | 4 L JAVA % | 5 L NS % | 5 L CPT % ")</f>
        <v xml:space="preserve">| 1 P JAVA @ | 3 L PHP-CGM % | 4 L JAVA % | 5 L NS % | 5 L CPT % </v>
      </c>
      <c r="AX471" s="4" t="str">
        <f ca="1">IFERROR(__xludf.DUMMYFUNCTION("""COMPUTED_VALUE"""),"| 1 P CPT @ | 3 L CPT % | 4 L JAVA % | 5 L INE % ")</f>
        <v xml:space="preserve">| 1 P CPT @ | 3 L CPT % | 4 L JAVA % | 5 L INE % </v>
      </c>
      <c r="AY471" s="4" t="str">
        <f ca="1">IFERROR(__xludf.DUMMYFUNCTION("""COMPUTED_VALUE"""),"| 1 P NS @ | 3 L JAVA % | 4 L NS % | 5 P PRO % ")</f>
        <v xml:space="preserve">| 1 P NS @ | 3 L JAVA % | 4 L NS % | 5 P PRO % </v>
      </c>
      <c r="AZ471" s="4" t="str">
        <f ca="1">IFERROR(__xludf.DUMMYFUNCTION("""COMPUTED_VALUE"""),"| 1 P JAVA % | 3 L CPT % | 4 L PHP-CGM % | 5 P Python % ")</f>
        <v xml:space="preserve">| 1 P JAVA % | 3 L CPT % | 4 L PHP-CGM % | 5 P Python % </v>
      </c>
      <c r="BA471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B471" s="4" t="str">
        <f ca="1">IFERROR(__xludf.DUMMYFUNCTION("""COMPUTED_VALUE"""),"| 1 P CPT @ | 3 L CPT % | 4 L JAVA % | 5 L INE % ")</f>
        <v xml:space="preserve">| 1 P CPT @ | 3 L CPT % | 4 L JAVA % | 5 L INE % </v>
      </c>
      <c r="BC471" s="4" t="str">
        <f ca="1">IFERROR(__xludf.DUMMYFUNCTION("""COMPUTED_VALUE"""),"| 1 P NS % | 3 L JAVA % | 4 L NS % | 5 P PRO % ")</f>
        <v xml:space="preserve">| 1 P NS % | 3 L JAVA % | 4 L NS % | 5 P PRO % </v>
      </c>
      <c r="BD471" s="4" t="str">
        <f ca="1">IFERROR(__xludf.DUMMYFUNCTION("""COMPUTED_VALUE"""),"| 1 P Python % | 4 L NS %  | 3 L PHP-CGM % | 5 P PHP-CGM @ ")</f>
        <v xml:space="preserve">| 1 P Python % | 4 L NS %  | 3 L PHP-CGM % | 5 P PHP-CGM @ </v>
      </c>
      <c r="BE471" s="4" t="str">
        <f ca="1">IFERROR(__xludf.DUMMYFUNCTION("""COMPUTED_VALUE"""),"| 1 P JAVA % | 3 L CPT % | 4 L PHP-CGM % | 5 P Python % ")</f>
        <v xml:space="preserve">| 1 P JAVA % | 3 L CPT % | 4 L PHP-CGM % | 5 P Python % </v>
      </c>
      <c r="BF471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G471" s="4" t="str">
        <f ca="1">IFERROR(__xludf.DUMMYFUNCTION("""COMPUTED_VALUE"""),"| 1 P NS @ | 3 L JAVA @ | 4 L NS @ | 5 P PRO @ ")</f>
        <v xml:space="preserve">| 1 P NS @ | 3 L JAVA @ | 4 L NS @ | 5 P PRO @ </v>
      </c>
      <c r="BH471" s="4" t="str">
        <f ca="1">IFERROR(__xludf.DUMMYFUNCTION("""COMPUTED_VALUE"""),"| 1 P Python % | 3 L PHP-CGM % | 4 L NS % | 5 P PHP-CGM % ")</f>
        <v xml:space="preserve">| 1 P Python % | 3 L PHP-CGM % | 4 L NS % | 5 P PHP-CGM % </v>
      </c>
      <c r="BI471" s="4" t="str">
        <f ca="1">IFERROR(__xludf.DUMMYFUNCTION("""COMPUTED_VALUE"""),"| 1 P JAVA @ | 3 L CPT % | 4 L PHP-CGM % | 5 P Python % ")</f>
        <v xml:space="preserve">| 1 P JAVA @ | 3 L CPT % | 4 L PHP-CGM % | 5 P Python % </v>
      </c>
      <c r="BJ471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71" s="4" t="str">
        <f ca="1">IFERROR(__xludf.DUMMYFUNCTION("""COMPUTED_VALUE"""),"| 1 P CPT @ | 3 L CPT @ | 4 L JAVA @ | 5 L INE @ ")</f>
        <v xml:space="preserve">| 1 P CPT @ | 3 L CPT @ | 4 L JAVA @ | 5 L INE @ </v>
      </c>
      <c r="BL471" s="4" t="str">
        <f ca="1">IFERROR(__xludf.DUMMYFUNCTION("""COMPUTED_VALUE"""),"| 1 P NS @ | 3 L JAVA @ | 4 L NS @ ")</f>
        <v xml:space="preserve">| 1 P NS @ | 3 L JAVA @ | 4 L NS @ </v>
      </c>
      <c r="BM471" s="4" t="str">
        <f ca="1">IFERROR(__xludf.DUMMYFUNCTION("""COMPUTED_VALUE"""),"| 1 P Python @ | 3 L PHP-CGM % | 4 L NS % | 5 P PHP-CGM % ")</f>
        <v xml:space="preserve">| 1 P Python @ | 3 L PHP-CGM % | 4 L NS % | 5 P PHP-CGM % </v>
      </c>
      <c r="BN471" s="4" t="str">
        <f ca="1">IFERROR(__xludf.DUMMYFUNCTION("""COMPUTED_VALUE"""),"| 1 P JAVA @ | 3 L CPT @ | 4 L PHP-CGM @ | 5 P Python @ ")</f>
        <v xml:space="preserve">| 1 P JAVA @ | 3 L CPT @ | 4 L PHP-CGM @ | 5 P Python @ </v>
      </c>
      <c r="BO471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71" s="4" t="str">
        <f ca="1">IFERROR(__xludf.DUMMYFUNCTION("""COMPUTED_VALUE"""),"| 1 P CPT % | 3 L CPT % | 4 L JAVA % | 5 L INE % ")</f>
        <v xml:space="preserve">| 1 P CPT % | 3 L CPT % | 4 L JAVA % | 5 L INE % </v>
      </c>
      <c r="BQ471" s="4" t="str">
        <f ca="1">IFERROR(__xludf.DUMMYFUNCTION("""COMPUTED_VALUE"""),"| 4 L NS % ")</f>
        <v xml:space="preserve">| 4 L NS % </v>
      </c>
      <c r="BR471" s="4"/>
      <c r="BS471" s="4"/>
      <c r="BT471" s="4" t="str">
        <f ca="1">IFERROR(__xludf.DUMMYFUNCTION("""COMPUTED_VALUE"""),"| 1 P CPT @ | 3 L CPT @ | 4 L JAVA @ ")</f>
        <v xml:space="preserve">| 1 P CPT @ | 3 L CPT @ | 4 L JAVA @ </v>
      </c>
      <c r="BU471" s="4" t="str">
        <f ca="1">IFERROR(__xludf.DUMMYFUNCTION("""COMPUTED_VALUE"""),"| 1 P NS % | 4 L NS % | 3 L JAVA % ")</f>
        <v xml:space="preserve">| 1 P NS % | 4 L NS % | 3 L JAVA % </v>
      </c>
      <c r="BV471" s="4" t="str">
        <f ca="1">IFERROR(__xludf.DUMMYFUNCTION("""COMPUTED_VALUE"""),"| 1 P CPT % | 3 L CPT % | 4 L JAVA % ")</f>
        <v xml:space="preserve">| 1 P CPT % | 3 L CPT % | 4 L JAVA % </v>
      </c>
      <c r="BW471" s="4" t="str">
        <f ca="1">IFERROR(__xludf.DUMMYFUNCTION("""COMPUTED_VALUE"""),"| 1 P NS % | 3 L JAVA % | 4 L NS % ")</f>
        <v xml:space="preserve">| 1 P NS % | 3 L JAVA % | 4 L NS % </v>
      </c>
      <c r="BX471" s="4" t="str">
        <f ca="1">IFERROR(__xludf.DUMMYFUNCTION("""COMPUTED_VALUE"""),"| 1 P Python % | 3 L PHP-CGM % | 4 L NS % | 5 P PHP-CGM % ")</f>
        <v xml:space="preserve">| 1 P Python % | 3 L PHP-CGM % | 4 L NS % | 5 P PHP-CGM % </v>
      </c>
      <c r="BY471" s="4" t="str">
        <f ca="1">IFERROR(__xludf.DUMMYFUNCTION("""COMPUTED_VALUE"""),"| 1 P JAVA % | 3 L CPT % | 4 L PHP-CGM % | 5 P Python @ ")</f>
        <v xml:space="preserve">| 1 P JAVA % | 3 L CPT % | 4 L PHP-CGM % | 5 P Python @ </v>
      </c>
      <c r="BZ471" s="4" t="str">
        <f ca="1">IFERROR(__xludf.DUMMYFUNCTION("""COMPUTED_VALUE"""),"| 1 P JAVA @ | 3 L PHP-CGM % | 4 L JAVA % | 5 L NS % | 6 L CPT % ")</f>
        <v xml:space="preserve">| 1 P JAVA @ | 3 L PHP-CGM % | 4 L JAVA % | 5 L NS % | 6 L CPT % </v>
      </c>
      <c r="CA471" s="4" t="str">
        <f ca="1">IFERROR(__xludf.DUMMYFUNCTION("""COMPUTED_VALUE"""),"| 1 P CPT % | 3 L CPT % | 4 L JAVA % | 5 L INE % ")</f>
        <v xml:space="preserve">| 1 P CPT % | 3 L CPT % | 4 L JAVA % | 5 L INE % </v>
      </c>
      <c r="CB471" s="4" t="str">
        <f ca="1">IFERROR(__xludf.DUMMYFUNCTION("""COMPUTED_VALUE"""),"| 1 P NS % | 3 L JAVA % | 4 L NS % | 5 P PRO @ ")</f>
        <v xml:space="preserve">| 1 P NS % | 3 L JAVA % | 4 L NS % | 5 P PRO @ </v>
      </c>
      <c r="CC471" s="4" t="str">
        <f ca="1">IFERROR(__xludf.DUMMYFUNCTION("""COMPUTED_VALUE"""),"| 1 P Python @ | 3 L PHP-CGM @ | 4 L NS @ | 5 P PHP-CGM @ ")</f>
        <v xml:space="preserve">| 1 P Python @ | 3 L PHP-CGM @ | 4 L NS @ | 5 P PHP-CGM @ </v>
      </c>
      <c r="CD471" s="4" t="str">
        <f ca="1">IFERROR(__xludf.DUMMYFUNCTION("""COMPUTED_VALUE"""),"| 1 P JAVA % | 3 L CPT % | 4 L PHP-CGM % | 5 P Python @ ")</f>
        <v xml:space="preserve">| 1 P JAVA % | 3 L CPT % | 4 L PHP-CGM % | 5 P Python @ </v>
      </c>
      <c r="CE471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CF471" s="4" t="str">
        <f ca="1">IFERROR(__xludf.DUMMYFUNCTION("""COMPUTED_VALUE"""),"| 1 P CPT % | 3 L CPT % | 4 L JAVA % | 5 L INE % ")</f>
        <v xml:space="preserve">| 1 P CPT % | 3 L CPT % | 4 L JAVA % | 5 L INE % </v>
      </c>
      <c r="CG471" s="4" t="str">
        <f ca="1">IFERROR(__xludf.DUMMYFUNCTION("""COMPUTED_VALUE"""),"| 1 P NS % | 4 L NS @ ")</f>
        <v xml:space="preserve">| 1 P NS % | 4 L NS @ </v>
      </c>
      <c r="CH471" s="4" t="str">
        <f ca="1">IFERROR(__xludf.DUMMYFUNCTION("""COMPUTED_VALUE"""),"| 3 L PHP-CGM % | 4 L NS % | 1 P Python % ")</f>
        <v xml:space="preserve">| 3 L PHP-CGM % | 4 L NS % | 1 P Python % </v>
      </c>
      <c r="CI471" s="4" t="str">
        <f ca="1">IFERROR(__xludf.DUMMYFUNCTION("""COMPUTED_VALUE"""),"| 1 P JAVA % ")</f>
        <v xml:space="preserve">| 1 P JAVA % </v>
      </c>
      <c r="CJ471" s="4" t="str">
        <f ca="1">IFERROR(__xludf.DUMMYFUNCTION("""COMPUTED_VALUE"""),"| 1 P JAVA % | 4 L JAVA % ")</f>
        <v xml:space="preserve">| 1 P JAVA % | 4 L JAVA % </v>
      </c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</row>
    <row r="472" spans="1:102" ht="12.5" x14ac:dyDescent="0.25">
      <c r="A472" s="3">
        <f ca="1">IFERROR(__xludf.DUMMYFUNCTION("""COMPUTED_VALUE"""),1)</f>
        <v>1</v>
      </c>
      <c r="B472" s="3" t="str">
        <f ca="1">IFERROR(__xludf.DUMMYFUNCTION("""COMPUTED_VALUE"""),"ITC")</f>
        <v>ITC</v>
      </c>
      <c r="C472" s="32" t="str">
        <f ca="1">IFERROR(__xludf.DUMMYFUNCTION("""COMPUTED_VALUE"""),"23171371017")</f>
        <v>23171371017</v>
      </c>
      <c r="D472" s="4" t="str">
        <f ca="1">IFERROR(__xludf.DUMMYFUNCTION("""COMPUTED_VALUE"""),"DAVE TRUSHA MITESHKUMAR")</f>
        <v>DAVE TRUSHA MITESHKUMAR</v>
      </c>
      <c r="E472" s="3" t="str">
        <f ca="1">IFERROR(__xludf.DUMMYFUNCTION("""COMPUTED_VALUE"""),"SDP&amp;KKP - Mor")</f>
        <v>SDP&amp;KKP - Mor</v>
      </c>
      <c r="F472" s="3">
        <f ca="1">IFERROR(__xludf.DUMMYFUNCTION("""COMPUTED_VALUE"""),9712913158)</f>
        <v>9712913158</v>
      </c>
      <c r="G472" s="3">
        <f ca="1">IFERROR(__xludf.DUMMYFUNCTION("""COMPUTED_VALUE"""),9712913158)</f>
        <v>9712913158</v>
      </c>
      <c r="H472" s="33">
        <f ca="1">IFERROR(__xludf.DUMMYFUNCTION("""COMPUTED_VALUE"""),0.710743801652892)</f>
        <v>0.71074380165289197</v>
      </c>
      <c r="I472" s="25">
        <f ca="1">IFERROR(__xludf.DUMMYFUNCTION("""COMPUTED_VALUE"""),0.638888888888888)</f>
        <v>0.63888888888888795</v>
      </c>
      <c r="J472" s="25">
        <f ca="1">IFERROR(__xludf.DUMMYFUNCTION("""COMPUTED_VALUE"""),0.615384615384615)</f>
        <v>0.61538461538461497</v>
      </c>
      <c r="K472" s="25">
        <f ca="1">IFERROR(__xludf.DUMMYFUNCTION("""COMPUTED_VALUE"""),0.694444444444444)</f>
        <v>0.69444444444444398</v>
      </c>
      <c r="L472" s="25">
        <f ca="1">IFERROR(__xludf.DUMMYFUNCTION("""COMPUTED_VALUE"""),0.846153846153846)</f>
        <v>0.84615384615384603</v>
      </c>
      <c r="M472" s="25">
        <f ca="1">IFERROR(__xludf.DUMMYFUNCTION("""COMPUTED_VALUE"""),0.75)</f>
        <v>0.75</v>
      </c>
      <c r="N472" s="25">
        <f ca="1">IFERROR(__xludf.DUMMYFUNCTION("""COMPUTED_VALUE"""),0.7)</f>
        <v>0.7</v>
      </c>
      <c r="O472" s="25">
        <f ca="1">IFERROR(__xludf.DUMMYFUNCTION("""COMPUTED_VALUE"""),0.675675675675675)</f>
        <v>0.67567567567567499</v>
      </c>
      <c r="P472" s="25">
        <f ca="1">IFERROR(__xludf.DUMMYFUNCTION("""COMPUTED_VALUE"""),0.8)</f>
        <v>0.8</v>
      </c>
      <c r="Q472" s="25">
        <f ca="1">IFERROR(__xludf.DUMMYFUNCTION("""COMPUTED_VALUE"""),0)</f>
        <v>0</v>
      </c>
      <c r="R472" s="25">
        <f ca="1">IFERROR(__xludf.DUMMYFUNCTION("""COMPUTED_VALUE"""),0.739130434782608)</f>
        <v>0.73913043478260798</v>
      </c>
      <c r="S472" s="25">
        <f ca="1">IFERROR(__xludf.DUMMYFUNCTION("""COMPUTED_VALUE"""),0)</f>
        <v>0</v>
      </c>
      <c r="T472" s="25">
        <f ca="1">IFERROR(__xludf.DUMMYFUNCTION("""COMPUTED_VALUE"""),0.888888888888888)</f>
        <v>0.88888888888888795</v>
      </c>
      <c r="U472" s="25">
        <f ca="1">IFERROR(__xludf.DUMMYFUNCTION("""COMPUTED_VALUE"""),0.5)</f>
        <v>0.5</v>
      </c>
      <c r="V472" s="25">
        <f ca="1">IFERROR(__xludf.DUMMYFUNCTION("""COMPUTED_VALUE"""),0)</f>
        <v>0</v>
      </c>
      <c r="W472" s="4"/>
      <c r="X472" s="4" t="str">
        <f ca="1">IFERROR(__xludf.DUMMYFUNCTION("""COMPUTED_VALUE"""),"| 1 P CPT % | 3 L CPT % | 4 L JAVA % ")</f>
        <v xml:space="preserve">| 1 P CPT % | 3 L CPT % | 4 L JAVA % </v>
      </c>
      <c r="Y472" s="4" t="str">
        <f ca="1">IFERROR(__xludf.DUMMYFUNCTION("""COMPUTED_VALUE"""),"| 1 P NS % | 3 L JAVA % | 4 L NS % | 5 P PRO % ")</f>
        <v xml:space="preserve">| 1 P NS % | 3 L JAVA % | 4 L NS % | 5 P PRO % </v>
      </c>
      <c r="Z472" s="4" t="str">
        <f ca="1">IFERROR(__xludf.DUMMYFUNCTION("""COMPUTED_VALUE"""),"| 1 P Python % | 3 L PHP-CGM % | 4 L NS % | 5 P PHP-CGM % ")</f>
        <v xml:space="preserve">| 1 P Python % | 3 L PHP-CGM % | 4 L NS % | 5 P PHP-CGM % </v>
      </c>
      <c r="AA472" s="4" t="str">
        <f ca="1">IFERROR(__xludf.DUMMYFUNCTION("""COMPUTED_VALUE"""),"| 1 P JAVA % | 3 L CPT % | 5 P Python % ")</f>
        <v xml:space="preserve">| 1 P JAVA % | 3 L CPT % | 5 P Python % </v>
      </c>
      <c r="AB472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72" s="4" t="str">
        <f ca="1">IFERROR(__xludf.DUMMYFUNCTION("""COMPUTED_VALUE"""),"| 1 P CPT % | 3 L CPT % | 4 L JAVA % ")</f>
        <v xml:space="preserve">| 1 P CPT % | 3 L CPT % | 4 L JAVA % </v>
      </c>
      <c r="AD472" s="4" t="str">
        <f ca="1">IFERROR(__xludf.DUMMYFUNCTION("""COMPUTED_VALUE"""),"| 1 P NS % | 3 L JAVA % | 4 L NS % | 5 P PRO % ")</f>
        <v xml:space="preserve">| 1 P NS % | 3 L JAVA % | 4 L NS % | 5 P PRO % </v>
      </c>
      <c r="AE472" s="4" t="str">
        <f ca="1">IFERROR(__xludf.DUMMYFUNCTION("""COMPUTED_VALUE"""),"| 1 P Python % | 3 L PHP-CGM % | 4 L NS % | 5 P PHP-CGM % ")</f>
        <v xml:space="preserve">| 1 P Python % | 3 L PHP-CGM % | 4 L NS % | 5 P PHP-CGM % </v>
      </c>
      <c r="AF472" s="4" t="str">
        <f ca="1">IFERROR(__xludf.DUMMYFUNCTION("""COMPUTED_VALUE"""),"| 1 P JAVA % | 3 L CPT % | 4 L PHP-CGM % | 5 P Python % ")</f>
        <v xml:space="preserve">| 1 P JAVA % | 3 L CPT % | 4 L PHP-CGM % | 5 P Python % </v>
      </c>
      <c r="AG472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72" s="4" t="str">
        <f ca="1">IFERROR(__xludf.DUMMYFUNCTION("""COMPUTED_VALUE"""),"| 1 P JAVA % | 3 L CPT % | 4 L PHP-CGM % | 5 P Python % ")</f>
        <v xml:space="preserve">| 1 P JAVA % | 3 L CPT % | 4 L PHP-CGM % | 5 P Python % </v>
      </c>
      <c r="AI472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J472" s="4" t="str">
        <f ca="1">IFERROR(__xludf.DUMMYFUNCTION("""COMPUTED_VALUE"""),"| 1 P CPT @ | 3 L CPT @ | 4 L JAVA @ ")</f>
        <v xml:space="preserve">| 1 P CPT @ | 3 L CPT @ | 4 L JAVA @ </v>
      </c>
      <c r="AK472" s="4" t="str">
        <f ca="1">IFERROR(__xludf.DUMMYFUNCTION("""COMPUTED_VALUE"""),"| 1 P NS % | 4 L NS % | 3 L JAVA % | 5 P PRO % ")</f>
        <v xml:space="preserve">| 1 P NS % | 4 L NS % | 3 L JAVA % | 5 P PRO % </v>
      </c>
      <c r="AL472" s="4" t="str">
        <f ca="1">IFERROR(__xludf.DUMMYFUNCTION("""COMPUTED_VALUE"""),"| 1 P Python % | 3 L PHP-CGM % | 4 L NS % | 5 P PHP-CGM % ")</f>
        <v xml:space="preserve">| 1 P Python % | 3 L PHP-CGM % | 4 L NS % | 5 P PHP-CGM % </v>
      </c>
      <c r="AM472" s="4" t="str">
        <f ca="1">IFERROR(__xludf.DUMMYFUNCTION("""COMPUTED_VALUE"""),"| 1 P JAVA % | 3 L CPT % | 4 L PHP-CGM % | 5 P Python % ")</f>
        <v xml:space="preserve">| 1 P JAVA % | 3 L CPT % | 4 L PHP-CGM % | 5 P Python % </v>
      </c>
      <c r="AN472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O472" s="4" t="str">
        <f ca="1">IFERROR(__xludf.DUMMYFUNCTION("""COMPUTED_VALUE"""),"| 1 P CPT % | 3 L CPT % | 4 L JAVA % | 5 L INE % ")</f>
        <v xml:space="preserve">| 1 P CPT % | 3 L CPT % | 4 L JAVA % | 5 L INE % </v>
      </c>
      <c r="AP472" s="4" t="str">
        <f ca="1">IFERROR(__xludf.DUMMYFUNCTION("""COMPUTED_VALUE"""),"| 1 P NS % | 3 L JAVA % | 4 L NS % | 5 P PRO % ")</f>
        <v xml:space="preserve">| 1 P NS % | 3 L JAVA % | 4 L NS % | 5 P PRO % </v>
      </c>
      <c r="AQ472" s="4" t="str">
        <f ca="1">IFERROR(__xludf.DUMMYFUNCTION("""COMPUTED_VALUE"""),"| 1 P Python % | 3 L PHP-CGM % | 4 L NS % | 5 P PHP-CGM % ")</f>
        <v xml:space="preserve">| 1 P Python % | 3 L PHP-CGM % | 4 L NS % | 5 P PHP-CGM % </v>
      </c>
      <c r="AR472" s="4" t="str">
        <f ca="1">IFERROR(__xludf.DUMMYFUNCTION("""COMPUTED_VALUE"""),"| 1 P JAVA @ | 3 L CPT @ | 5 P Python @ ")</f>
        <v xml:space="preserve">| 1 P JAVA @ | 3 L CPT @ | 5 P Python @ </v>
      </c>
      <c r="AS472" s="4" t="str">
        <f ca="1">IFERROR(__xludf.DUMMYFUNCTION("""COMPUTED_VALUE"""),"| 1 P CPT @ | 3 L CPT @ | 4 L JAVA @ | 5 L INE @ ")</f>
        <v xml:space="preserve">| 1 P CPT @ | 3 L CPT @ | 4 L JAVA @ | 5 L INE @ </v>
      </c>
      <c r="AT472" s="4" t="str">
        <f ca="1">IFERROR(__xludf.DUMMYFUNCTION("""COMPUTED_VALUE"""),"| 1 P NS % | 3 L JAVA % | 4 L NS % | 5 P PRO % ")</f>
        <v xml:space="preserve">| 1 P NS % | 3 L JAVA % | 4 L NS % | 5 P PRO % </v>
      </c>
      <c r="AU472" s="4" t="str">
        <f ca="1">IFERROR(__xludf.DUMMYFUNCTION("""COMPUTED_VALUE"""),"| 1 P Python % | 3 L PHP-CGM % | 4 L NS % | 5 P PHP-CGM % ")</f>
        <v xml:space="preserve">| 1 P Python % | 3 L PHP-CGM % | 4 L NS % | 5 P PHP-CGM % </v>
      </c>
      <c r="AV472" s="4" t="str">
        <f ca="1">IFERROR(__xludf.DUMMYFUNCTION("""COMPUTED_VALUE"""),"| 1 P JAVA % | 3 L CPT % | 4 L PHP-CGM % | 5 P Python % ")</f>
        <v xml:space="preserve">| 1 P JAVA % | 3 L CPT % | 4 L PHP-CGM % | 5 P Python % </v>
      </c>
      <c r="AW472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72" s="4" t="str">
        <f ca="1">IFERROR(__xludf.DUMMYFUNCTION("""COMPUTED_VALUE"""),"| 1 P CPT @ | 3 L CPT @ | 4 L JAVA @ | 5 L INE @ ")</f>
        <v xml:space="preserve">| 1 P CPT @ | 3 L CPT @ | 4 L JAVA @ | 5 L INE @ </v>
      </c>
      <c r="AY472" s="4" t="str">
        <f ca="1">IFERROR(__xludf.DUMMYFUNCTION("""COMPUTED_VALUE"""),"| 1 P NS % | 3 L JAVA % | 4 L NS % | 5 P PRO % ")</f>
        <v xml:space="preserve">| 1 P NS % | 3 L JAVA % | 4 L NS % | 5 P PRO % </v>
      </c>
      <c r="AZ472" s="4" t="str">
        <f ca="1">IFERROR(__xludf.DUMMYFUNCTION("""COMPUTED_VALUE"""),"| 1 P JAVA % | 3 L CPT % | 4 L PHP-CGM % | 5 P Python % ")</f>
        <v xml:space="preserve">| 1 P JAVA % | 3 L CPT % | 4 L PHP-CGM % | 5 P Python % </v>
      </c>
      <c r="BA472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72" s="4" t="str">
        <f ca="1">IFERROR(__xludf.DUMMYFUNCTION("""COMPUTED_VALUE"""),"| 1 P CPT @ | 3 L CPT @ | 4 L JAVA @ | 5 L INE @ ")</f>
        <v xml:space="preserve">| 1 P CPT @ | 3 L CPT @ | 4 L JAVA @ | 5 L INE @ </v>
      </c>
      <c r="BC472" s="4" t="str">
        <f ca="1">IFERROR(__xludf.DUMMYFUNCTION("""COMPUTED_VALUE"""),"| 1 P NS % | 3 L JAVA @ | 4 L NS @ | 5 P PRO @ ")</f>
        <v xml:space="preserve">| 1 P NS % | 3 L JAVA @ | 4 L NS @ | 5 P PRO @ </v>
      </c>
      <c r="BD472" s="4" t="str">
        <f ca="1">IFERROR(__xludf.DUMMYFUNCTION("""COMPUTED_VALUE"""),"| 1 P Python % | 4 L NS %  | 3 L PHP-CGM % | 5 P PHP-CGM @ ")</f>
        <v xml:space="preserve">| 1 P Python % | 4 L NS %  | 3 L PHP-CGM % | 5 P PHP-CGM @ </v>
      </c>
      <c r="BE472" s="4" t="str">
        <f ca="1">IFERROR(__xludf.DUMMYFUNCTION("""COMPUTED_VALUE"""),"| 1 P JAVA % | 3 L CPT % | 4 L PHP-CGM % | 5 P Python % ")</f>
        <v xml:space="preserve">| 1 P JAVA % | 3 L CPT % | 4 L PHP-CGM % | 5 P Python % </v>
      </c>
      <c r="BF472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G472" s="4" t="str">
        <f ca="1">IFERROR(__xludf.DUMMYFUNCTION("""COMPUTED_VALUE"""),"| 1 P NS % | 3 L JAVA % | 4 L NS % | 5 P PRO % ")</f>
        <v xml:space="preserve">| 1 P NS % | 3 L JAVA % | 4 L NS % | 5 P PRO % </v>
      </c>
      <c r="BH472" s="4" t="str">
        <f ca="1">IFERROR(__xludf.DUMMYFUNCTION("""COMPUTED_VALUE"""),"| 1 P Python % | 3 L PHP-CGM % | 4 L NS % | 5 P PHP-CGM % ")</f>
        <v xml:space="preserve">| 1 P Python % | 3 L PHP-CGM % | 4 L NS % | 5 P PHP-CGM % </v>
      </c>
      <c r="BI472" s="4" t="str">
        <f ca="1">IFERROR(__xludf.DUMMYFUNCTION("""COMPUTED_VALUE"""),"| 1 P JAVA % | 3 L CPT % | 4 L PHP-CGM % | 5 P Python % ")</f>
        <v xml:space="preserve">| 1 P JAVA % | 3 L CPT % | 4 L PHP-CGM % | 5 P Python % </v>
      </c>
      <c r="BJ472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72" s="4" t="str">
        <f ca="1">IFERROR(__xludf.DUMMYFUNCTION("""COMPUTED_VALUE"""),"| 1 P CPT % | 3 L CPT @ | 4 L JAVA @ | 5 L INE % ")</f>
        <v xml:space="preserve">| 1 P CPT % | 3 L CPT @ | 4 L JAVA @ | 5 L INE % </v>
      </c>
      <c r="BL472" s="4" t="str">
        <f ca="1">IFERROR(__xludf.DUMMYFUNCTION("""COMPUTED_VALUE"""),"| 1 P NS @ | 3 L JAVA @ | 4 L NS @ ")</f>
        <v xml:space="preserve">| 1 P NS @ | 3 L JAVA @ | 4 L NS @ </v>
      </c>
      <c r="BM472" s="4" t="str">
        <f ca="1">IFERROR(__xludf.DUMMYFUNCTION("""COMPUTED_VALUE"""),"| 1 P Python @ | 3 L PHP-CGM @ | 4 L NS @ | 5 P PHP-CGM @ ")</f>
        <v xml:space="preserve">| 1 P Python @ | 3 L PHP-CGM @ | 4 L NS @ | 5 P PHP-CGM @ </v>
      </c>
      <c r="BN472" s="4" t="str">
        <f ca="1">IFERROR(__xludf.DUMMYFUNCTION("""COMPUTED_VALUE"""),"| 1 P JAVA @ | 3 L CPT @ | 4 L PHP-CGM @ | 5 P Python @ ")</f>
        <v xml:space="preserve">| 1 P JAVA @ | 3 L CPT @ | 4 L PHP-CGM @ | 5 P Python @ </v>
      </c>
      <c r="BO472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72" s="4" t="str">
        <f ca="1">IFERROR(__xludf.DUMMYFUNCTION("""COMPUTED_VALUE"""),"| 1 P CPT % | 3 L CPT % | 4 L JAVA % | 5 L INE % ")</f>
        <v xml:space="preserve">| 1 P CPT % | 3 L CPT % | 4 L JAVA % | 5 L INE % </v>
      </c>
      <c r="BQ472" s="4" t="str">
        <f ca="1">IFERROR(__xludf.DUMMYFUNCTION("""COMPUTED_VALUE"""),"| 4 L NS @ ")</f>
        <v xml:space="preserve">| 4 L NS @ </v>
      </c>
      <c r="BR472" s="4"/>
      <c r="BS472" s="4"/>
      <c r="BT472" s="4" t="str">
        <f ca="1">IFERROR(__xludf.DUMMYFUNCTION("""COMPUTED_VALUE"""),"| 1 P CPT @ | 3 L CPT @ | 4 L JAVA @ ")</f>
        <v xml:space="preserve">| 1 P CPT @ | 3 L CPT @ | 4 L JAVA @ </v>
      </c>
      <c r="BU472" s="4" t="str">
        <f ca="1">IFERROR(__xludf.DUMMYFUNCTION("""COMPUTED_VALUE"""),"| 1 P NS @ | 4 L NS @ | 3 L JAVA @ ")</f>
        <v xml:space="preserve">| 1 P NS @ | 4 L NS @ | 3 L JAVA @ </v>
      </c>
      <c r="BV472" s="4" t="str">
        <f ca="1">IFERROR(__xludf.DUMMYFUNCTION("""COMPUTED_VALUE"""),"| 1 P CPT % | 3 L CPT % | 4 L JAVA % ")</f>
        <v xml:space="preserve">| 1 P CPT % | 3 L CPT % | 4 L JAVA % </v>
      </c>
      <c r="BW472" s="4" t="str">
        <f ca="1">IFERROR(__xludf.DUMMYFUNCTION("""COMPUTED_VALUE"""),"| 1 P NS % | 3 L JAVA % | 4 L NS % ")</f>
        <v xml:space="preserve">| 1 P NS % | 3 L JAVA % | 4 L NS % </v>
      </c>
      <c r="BX472" s="4" t="str">
        <f ca="1">IFERROR(__xludf.DUMMYFUNCTION("""COMPUTED_VALUE"""),"| 1 P Python % | 3 L PHP-CGM % | 4 L NS % | 5 P PHP-CGM % ")</f>
        <v xml:space="preserve">| 1 P Python % | 3 L PHP-CGM % | 4 L NS % | 5 P PHP-CGM % </v>
      </c>
      <c r="BY472" s="4" t="str">
        <f ca="1">IFERROR(__xludf.DUMMYFUNCTION("""COMPUTED_VALUE"""),"| 1 P JAVA % | 3 L CPT % | 4 L PHP-CGM % | 5 P Python @ ")</f>
        <v xml:space="preserve">| 1 P JAVA % | 3 L CPT % | 4 L PHP-CGM % | 5 P Python @ </v>
      </c>
      <c r="BZ472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A472" s="4" t="str">
        <f ca="1">IFERROR(__xludf.DUMMYFUNCTION("""COMPUTED_VALUE"""),"| 1 P CPT % | 3 L CPT % | 4 L JAVA % | 5 L INE % ")</f>
        <v xml:space="preserve">| 1 P CPT % | 3 L CPT % | 4 L JAVA % | 5 L INE % </v>
      </c>
      <c r="CB472" s="4" t="str">
        <f ca="1">IFERROR(__xludf.DUMMYFUNCTION("""COMPUTED_VALUE"""),"| 1 P NS % | 3 L JAVA % | 4 L NS % | 5 P PRO % ")</f>
        <v xml:space="preserve">| 1 P NS % | 3 L JAVA % | 4 L NS % | 5 P PRO % </v>
      </c>
      <c r="CC472" s="4" t="str">
        <f ca="1">IFERROR(__xludf.DUMMYFUNCTION("""COMPUTED_VALUE"""),"| 1 P Python @ | 3 L PHP-CGM @ | 4 L NS @ | 5 P PHP-CGM @ ")</f>
        <v xml:space="preserve">| 1 P Python @ | 3 L PHP-CGM @ | 4 L NS @ | 5 P PHP-CGM @ </v>
      </c>
      <c r="CD472" s="4" t="str">
        <f ca="1">IFERROR(__xludf.DUMMYFUNCTION("""COMPUTED_VALUE"""),"| 1 P JAVA @ | 3 L CPT @ | 4 L PHP-CGM @ | 5 P Python @ ")</f>
        <v xml:space="preserve">| 1 P JAVA @ | 3 L CPT @ | 4 L PHP-CGM @ | 5 P Python @ </v>
      </c>
      <c r="CE472" s="4" t="str">
        <f ca="1">IFERROR(__xludf.DUMMYFUNCTION("""COMPUTED_VALUE"""),"| 1 P JAVA % | 3 L PHP-CGM @ | 4 L JAVA @ | 5 L NS % | 6 L CPT % ")</f>
        <v xml:space="preserve">| 1 P JAVA % | 3 L PHP-CGM @ | 4 L JAVA @ | 5 L NS % | 6 L CPT % </v>
      </c>
      <c r="CF472" s="4" t="str">
        <f ca="1">IFERROR(__xludf.DUMMYFUNCTION("""COMPUTED_VALUE"""),"| 1 P CPT % | 3 L CPT % | 4 L JAVA % | 5 L INE @ ")</f>
        <v xml:space="preserve">| 1 P CPT % | 3 L CPT % | 4 L JAVA % | 5 L INE @ </v>
      </c>
      <c r="CG472" s="4" t="str">
        <f ca="1">IFERROR(__xludf.DUMMYFUNCTION("""COMPUTED_VALUE"""),"| 1 P NS % | 4 L NS % ")</f>
        <v xml:space="preserve">| 1 P NS % | 4 L NS % </v>
      </c>
      <c r="CH472" s="4" t="str">
        <f ca="1">IFERROR(__xludf.DUMMYFUNCTION("""COMPUTED_VALUE"""),"| 3 L PHP-CGM @ | 4 L NS @ | 1 P Python % ")</f>
        <v xml:space="preserve">| 3 L PHP-CGM @ | 4 L NS @ | 1 P Python % </v>
      </c>
      <c r="CI472" s="4" t="str">
        <f ca="1">IFERROR(__xludf.DUMMYFUNCTION("""COMPUTED_VALUE"""),"| 1 P JAVA % ")</f>
        <v xml:space="preserve">| 1 P JAVA % </v>
      </c>
      <c r="CJ472" s="4" t="str">
        <f ca="1">IFERROR(__xludf.DUMMYFUNCTION("""COMPUTED_VALUE"""),"| 1 P JAVA % | 4 L JAVA % ")</f>
        <v xml:space="preserve">| 1 P JAVA % | 4 L JAVA % </v>
      </c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</row>
    <row r="473" spans="1:102" ht="12.5" x14ac:dyDescent="0.25">
      <c r="A473" s="3">
        <f ca="1">IFERROR(__xludf.DUMMYFUNCTION("""COMPUTED_VALUE"""),1)</f>
        <v>1</v>
      </c>
      <c r="B473" s="3" t="str">
        <f ca="1">IFERROR(__xludf.DUMMYFUNCTION("""COMPUTED_VALUE"""),"ITC")</f>
        <v>ITC</v>
      </c>
      <c r="C473" s="32" t="str">
        <f ca="1">IFERROR(__xludf.DUMMYFUNCTION("""COMPUTED_VALUE"""),"23171371022")</f>
        <v>23171371022</v>
      </c>
      <c r="D473" s="4" t="str">
        <f ca="1">IFERROR(__xludf.DUMMYFUNCTION("""COMPUTED_VALUE"""),"GOSWAMI DEEPGIRI DINESHGIRI")</f>
        <v>GOSWAMI DEEPGIRI DINESHGIRI</v>
      </c>
      <c r="E473" s="3" t="str">
        <f ca="1">IFERROR(__xludf.DUMMYFUNCTION("""COMPUTED_VALUE"""),"SDP&amp;KKP - Mor")</f>
        <v>SDP&amp;KKP - Mor</v>
      </c>
      <c r="F473" s="3">
        <f ca="1">IFERROR(__xludf.DUMMYFUNCTION("""COMPUTED_VALUE"""),6352656881)</f>
        <v>6352656881</v>
      </c>
      <c r="G473" s="3">
        <f ca="1">IFERROR(__xludf.DUMMYFUNCTION("""COMPUTED_VALUE"""),9624589013)</f>
        <v>9624589013</v>
      </c>
      <c r="H473" s="33">
        <f ca="1">IFERROR(__xludf.DUMMYFUNCTION("""COMPUTED_VALUE"""),0.272727272727272)</f>
        <v>0.27272727272727199</v>
      </c>
      <c r="I473" s="25">
        <f ca="1">IFERROR(__xludf.DUMMYFUNCTION("""COMPUTED_VALUE"""),0.277777777777777)</f>
        <v>0.27777777777777701</v>
      </c>
      <c r="J473" s="25">
        <f ca="1">IFERROR(__xludf.DUMMYFUNCTION("""COMPUTED_VALUE"""),0.307692307692307)</f>
        <v>0.30769230769230699</v>
      </c>
      <c r="K473" s="25">
        <f ca="1">IFERROR(__xludf.DUMMYFUNCTION("""COMPUTED_VALUE"""),0.25)</f>
        <v>0.25</v>
      </c>
      <c r="L473" s="25">
        <f ca="1">IFERROR(__xludf.DUMMYFUNCTION("""COMPUTED_VALUE"""),0.384615384615384)</f>
        <v>0.38461538461538403</v>
      </c>
      <c r="M473" s="25">
        <f ca="1">IFERROR(__xludf.DUMMYFUNCTION("""COMPUTED_VALUE"""),0.25)</f>
        <v>0.25</v>
      </c>
      <c r="N473" s="25">
        <f ca="1">IFERROR(__xludf.DUMMYFUNCTION("""COMPUTED_VALUE"""),0.1)</f>
        <v>0.1</v>
      </c>
      <c r="O473" s="25">
        <f ca="1">IFERROR(__xludf.DUMMYFUNCTION("""COMPUTED_VALUE"""),0.378378378378378)</f>
        <v>0.37837837837837801</v>
      </c>
      <c r="P473" s="25">
        <f ca="1">IFERROR(__xludf.DUMMYFUNCTION("""COMPUTED_VALUE"""),0.32)</f>
        <v>0.32</v>
      </c>
      <c r="Q473" s="25">
        <f ca="1">IFERROR(__xludf.DUMMYFUNCTION("""COMPUTED_VALUE"""),0)</f>
        <v>0</v>
      </c>
      <c r="R473" s="25">
        <f ca="1">IFERROR(__xludf.DUMMYFUNCTION("""COMPUTED_VALUE"""),0.17391304347826)</f>
        <v>0.17391304347826</v>
      </c>
      <c r="S473" s="25">
        <f ca="1">IFERROR(__xludf.DUMMYFUNCTION("""COMPUTED_VALUE"""),0)</f>
        <v>0</v>
      </c>
      <c r="T473" s="25">
        <f ca="1">IFERROR(__xludf.DUMMYFUNCTION("""COMPUTED_VALUE"""),0.111111111111111)</f>
        <v>0.11111111111111099</v>
      </c>
      <c r="U473" s="25">
        <f ca="1">IFERROR(__xludf.DUMMYFUNCTION("""COMPUTED_VALUE"""),0.25)</f>
        <v>0.25</v>
      </c>
      <c r="V473" s="25">
        <f ca="1">IFERROR(__xludf.DUMMYFUNCTION("""COMPUTED_VALUE"""),0)</f>
        <v>0</v>
      </c>
      <c r="W473" s="4"/>
      <c r="X473" s="4" t="str">
        <f ca="1">IFERROR(__xludf.DUMMYFUNCTION("""COMPUTED_VALUE"""),"| 1 P CPT @ | 3 L CPT @ | 4 L JAVA @ ")</f>
        <v xml:space="preserve">| 1 P CPT @ | 3 L CPT @ | 4 L JAVA @ </v>
      </c>
      <c r="Y473" s="4" t="str">
        <f ca="1">IFERROR(__xludf.DUMMYFUNCTION("""COMPUTED_VALUE"""),"| 1 P NS @ | 3 L JAVA @ | 4 L NS @ | 5 P PRO @ ")</f>
        <v xml:space="preserve">| 1 P NS @ | 3 L JAVA @ | 4 L NS @ | 5 P PRO @ </v>
      </c>
      <c r="Z473" s="4" t="str">
        <f ca="1">IFERROR(__xludf.DUMMYFUNCTION("""COMPUTED_VALUE"""),"| 1 P Python @ | 3 L PHP-CGM @ | 4 L NS @ | 5 P PHP-CGM @ ")</f>
        <v xml:space="preserve">| 1 P Python @ | 3 L PHP-CGM @ | 4 L NS @ | 5 P PHP-CGM @ </v>
      </c>
      <c r="AA473" s="4" t="str">
        <f ca="1">IFERROR(__xludf.DUMMYFUNCTION("""COMPUTED_VALUE"""),"| 1 P JAVA @ | 3 L CPT @ | 5 P Python @ ")</f>
        <v xml:space="preserve">| 1 P JAVA @ | 3 L CPT @ | 5 P Python @ </v>
      </c>
      <c r="AB473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73" s="4" t="str">
        <f ca="1">IFERROR(__xludf.DUMMYFUNCTION("""COMPUTED_VALUE"""),"| 1 P CPT @ | 3 L CPT @ | 4 L JAVA % ")</f>
        <v xml:space="preserve">| 1 P CPT @ | 3 L CPT @ | 4 L JAVA % </v>
      </c>
      <c r="AD473" s="4" t="str">
        <f ca="1">IFERROR(__xludf.DUMMYFUNCTION("""COMPUTED_VALUE"""),"| 1 P NS @ | 3 L JAVA @ | 4 L NS @ | 5 P PRO @ ")</f>
        <v xml:space="preserve">| 1 P NS @ | 3 L JAVA @ | 4 L NS @ | 5 P PRO @ </v>
      </c>
      <c r="AE473" s="4" t="str">
        <f ca="1">IFERROR(__xludf.DUMMYFUNCTION("""COMPUTED_VALUE"""),"| 1 P Python @ | 3 L PHP-CGM @ | 4 L NS @ | 5 P PHP-CGM @ ")</f>
        <v xml:space="preserve">| 1 P Python @ | 3 L PHP-CGM @ | 4 L NS @ | 5 P PHP-CGM @ </v>
      </c>
      <c r="AF473" s="4" t="str">
        <f ca="1">IFERROR(__xludf.DUMMYFUNCTION("""COMPUTED_VALUE"""),"| 1 P JAVA @ | 3 L CPT @ | 4 L PHP-CGM @ | 5 P Python @ ")</f>
        <v xml:space="preserve">| 1 P JAVA @ | 3 L CPT @ | 4 L PHP-CGM @ | 5 P Python @ </v>
      </c>
      <c r="AG473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H473" s="4" t="str">
        <f ca="1">IFERROR(__xludf.DUMMYFUNCTION("""COMPUTED_VALUE"""),"| 1 P JAVA @ | 3 L CPT @ | 4 L PHP-CGM @ | 5 P Python @ ")</f>
        <v xml:space="preserve">| 1 P JAVA @ | 3 L CPT @ | 4 L PHP-CGM @ | 5 P Python @ </v>
      </c>
      <c r="AI473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73" s="4" t="str">
        <f ca="1">IFERROR(__xludf.DUMMYFUNCTION("""COMPUTED_VALUE"""),"| 1 P CPT @ | 3 L CPT @ | 4 L JAVA @ ")</f>
        <v xml:space="preserve">| 1 P CPT @ | 3 L CPT @ | 4 L JAVA @ </v>
      </c>
      <c r="AK473" s="4" t="str">
        <f ca="1">IFERROR(__xludf.DUMMYFUNCTION("""COMPUTED_VALUE"""),"| 1 P NS @ | 4 L NS @ | 3 L JAVA @ | 5 P PRO @ ")</f>
        <v xml:space="preserve">| 1 P NS @ | 4 L NS @ | 3 L JAVA @ | 5 P PRO @ </v>
      </c>
      <c r="AL473" s="4" t="str">
        <f ca="1">IFERROR(__xludf.DUMMYFUNCTION("""COMPUTED_VALUE"""),"| 1 P Python @ | 3 L PHP-CGM @ | 4 L NS @ | 5 P PHP-CGM @ ")</f>
        <v xml:space="preserve">| 1 P Python @ | 3 L PHP-CGM @ | 4 L NS @ | 5 P PHP-CGM @ </v>
      </c>
      <c r="AM473" s="4" t="str">
        <f ca="1">IFERROR(__xludf.DUMMYFUNCTION("""COMPUTED_VALUE"""),"| 1 P JAVA @ | 3 L CPT % | 4 L PHP-CGM @ | 5 P Python @ ")</f>
        <v xml:space="preserve">| 1 P JAVA @ | 3 L CPT % | 4 L PHP-CGM @ | 5 P Python @ </v>
      </c>
      <c r="AN473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73" s="4" t="str">
        <f ca="1">IFERROR(__xludf.DUMMYFUNCTION("""COMPUTED_VALUE"""),"| 1 P CPT @ | 3 L CPT @ | 4 L JAVA @ | 5 L INE @ ")</f>
        <v xml:space="preserve">| 1 P CPT @ | 3 L CPT @ | 4 L JAVA @ | 5 L INE @ </v>
      </c>
      <c r="AP473" s="4" t="str">
        <f ca="1">IFERROR(__xludf.DUMMYFUNCTION("""COMPUTED_VALUE"""),"| 1 P NS @ | 3 L JAVA @ | 4 L NS @ | 5 P PRO @ ")</f>
        <v xml:space="preserve">| 1 P NS @ | 3 L JAVA @ | 4 L NS @ | 5 P PRO @ </v>
      </c>
      <c r="AQ473" s="4" t="str">
        <f ca="1">IFERROR(__xludf.DUMMYFUNCTION("""COMPUTED_VALUE"""),"| 1 P Python @ | 3 L PHP-CGM @ | 4 L NS @ | 5 P PHP-CGM @ ")</f>
        <v xml:space="preserve">| 1 P Python @ | 3 L PHP-CGM @ | 4 L NS @ | 5 P PHP-CGM @ </v>
      </c>
      <c r="AR473" s="4" t="str">
        <f ca="1">IFERROR(__xludf.DUMMYFUNCTION("""COMPUTED_VALUE"""),"| 1 P JAVA @ | 3 L CPT @ | 5 P Python @ ")</f>
        <v xml:space="preserve">| 1 P JAVA @ | 3 L CPT @ | 5 P Python @ </v>
      </c>
      <c r="AS473" s="4" t="str">
        <f ca="1">IFERROR(__xludf.DUMMYFUNCTION("""COMPUTED_VALUE"""),"| 1 P CPT @ | 3 L CPT @ | 4 L JAVA @ | 5 L INE @ ")</f>
        <v xml:space="preserve">| 1 P CPT @ | 3 L CPT @ | 4 L JAVA @ | 5 L INE @ </v>
      </c>
      <c r="AT473" s="4" t="str">
        <f ca="1">IFERROR(__xludf.DUMMYFUNCTION("""COMPUTED_VALUE"""),"| 1 P NS @ | 3 L JAVA @ | 4 L NS @ | 5 P PRO @ ")</f>
        <v xml:space="preserve">| 1 P NS @ | 3 L JAVA @ | 4 L NS @ | 5 P PRO @ </v>
      </c>
      <c r="AU473" s="4" t="str">
        <f ca="1">IFERROR(__xludf.DUMMYFUNCTION("""COMPUTED_VALUE"""),"| 1 P Python @ | 3 L PHP-CGM @ | 4 L NS @ | 5 P PHP-CGM @ ")</f>
        <v xml:space="preserve">| 1 P Python @ | 3 L PHP-CGM @ | 4 L NS @ | 5 P PHP-CGM @ </v>
      </c>
      <c r="AV473" s="4" t="str">
        <f ca="1">IFERROR(__xludf.DUMMYFUNCTION("""COMPUTED_VALUE"""),"| 1 P JAVA @ | 3 L CPT @ | 4 L PHP-CGM @ | 5 P Python @ ")</f>
        <v xml:space="preserve">| 1 P JAVA @ | 3 L CPT @ | 4 L PHP-CGM @ | 5 P Python @ </v>
      </c>
      <c r="AW473" s="4" t="str">
        <f ca="1">IFERROR(__xludf.DUMMYFUNCTION("""COMPUTED_VALUE"""),"| 1 P JAVA @ | 3 L PHP-CGM @ | 4 L JAVA @ | 5 L NS @ | 5 L CPT @ ")</f>
        <v xml:space="preserve">| 1 P JAVA @ | 3 L PHP-CGM @ | 4 L JAVA @ | 5 L NS @ | 5 L CPT @ </v>
      </c>
      <c r="AX473" s="4" t="str">
        <f ca="1">IFERROR(__xludf.DUMMYFUNCTION("""COMPUTED_VALUE"""),"| 1 P CPT @ | 3 L CPT @ | 4 L JAVA @ | 5 L INE @ ")</f>
        <v xml:space="preserve">| 1 P CPT @ | 3 L CPT @ | 4 L JAVA @ | 5 L INE @ </v>
      </c>
      <c r="AY473" s="4" t="str">
        <f ca="1">IFERROR(__xludf.DUMMYFUNCTION("""COMPUTED_VALUE"""),"| 1 P NS @ | 3 L JAVA @ | 4 L NS @ | 5 P PRO @ ")</f>
        <v xml:space="preserve">| 1 P NS @ | 3 L JAVA @ | 4 L NS @ | 5 P PRO @ </v>
      </c>
      <c r="AZ473" s="4" t="str">
        <f ca="1">IFERROR(__xludf.DUMMYFUNCTION("""COMPUTED_VALUE"""),"| 1 P JAVA @ | 3 L CPT @ | 4 L PHP-CGM @ | 5 P Python @ ")</f>
        <v xml:space="preserve">| 1 P JAVA @ | 3 L CPT @ | 4 L PHP-CGM @ | 5 P Python @ </v>
      </c>
      <c r="BA473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B473" s="4" t="str">
        <f ca="1">IFERROR(__xludf.DUMMYFUNCTION("""COMPUTED_VALUE"""),"| 1 P CPT @ | 3 L CPT @ | 4 L JAVA @ | 5 L INE @ ")</f>
        <v xml:space="preserve">| 1 P CPT @ | 3 L CPT @ | 4 L JAVA @ | 5 L INE @ </v>
      </c>
      <c r="BC473" s="4" t="str">
        <f ca="1">IFERROR(__xludf.DUMMYFUNCTION("""COMPUTED_VALUE"""),"| 1 P NS @ | 3 L JAVA @ | 4 L NS @ | 5 P PRO @ ")</f>
        <v xml:space="preserve">| 1 P NS @ | 3 L JAVA @ | 4 L NS @ | 5 P PRO @ </v>
      </c>
      <c r="BD473" s="4" t="str">
        <f ca="1">IFERROR(__xludf.DUMMYFUNCTION("""COMPUTED_VALUE"""),"| 1 P Python @ | 4 L NS @  | 3 L PHP-CGM @ | 5 P PHP-CGM @ ")</f>
        <v xml:space="preserve">| 1 P Python @ | 4 L NS @  | 3 L PHP-CGM @ | 5 P PHP-CGM @ </v>
      </c>
      <c r="BE473" s="4" t="str">
        <f ca="1">IFERROR(__xludf.DUMMYFUNCTION("""COMPUTED_VALUE"""),"| 1 P JAVA @ | 3 L CPT @ | 4 L PHP-CGM @ | 5 P Python @ ")</f>
        <v xml:space="preserve">| 1 P JAVA @ | 3 L CPT @ | 4 L PHP-CGM @ | 5 P Python @ </v>
      </c>
      <c r="BF473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73" s="4" t="str">
        <f ca="1">IFERROR(__xludf.DUMMYFUNCTION("""COMPUTED_VALUE"""),"| 1 P NS @ | 3 L JAVA @ | 4 L NS @ | 5 P PRO @ ")</f>
        <v xml:space="preserve">| 1 P NS @ | 3 L JAVA @ | 4 L NS @ | 5 P PRO @ </v>
      </c>
      <c r="BH473" s="4" t="str">
        <f ca="1">IFERROR(__xludf.DUMMYFUNCTION("""COMPUTED_VALUE"""),"| 1 P Python @ | 3 L PHP-CGM @ | 4 L NS @ | 5 P PHP-CGM @ ")</f>
        <v xml:space="preserve">| 1 P Python @ | 3 L PHP-CGM @ | 4 L NS @ | 5 P PHP-CGM @ </v>
      </c>
      <c r="BI473" s="4" t="str">
        <f ca="1">IFERROR(__xludf.DUMMYFUNCTION("""COMPUTED_VALUE"""),"| 1 P JAVA @ | 3 L CPT @ | 4 L PHP-CGM @ | 5 P Python @ ")</f>
        <v xml:space="preserve">| 1 P JAVA @ | 3 L CPT @ | 4 L PHP-CGM @ | 5 P Python @ </v>
      </c>
      <c r="BJ473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73" s="4" t="str">
        <f ca="1">IFERROR(__xludf.DUMMYFUNCTION("""COMPUTED_VALUE"""),"| 1 P CPT @ | 3 L CPT @ | 4 L JAVA @ | 5 L INE @ ")</f>
        <v xml:space="preserve">| 1 P CPT @ | 3 L CPT @ | 4 L JAVA @ | 5 L INE @ </v>
      </c>
      <c r="BL473" s="4" t="str">
        <f ca="1">IFERROR(__xludf.DUMMYFUNCTION("""COMPUTED_VALUE"""),"| 1 P NS % | 3 L JAVA % | 4 L NS % ")</f>
        <v xml:space="preserve">| 1 P NS % | 3 L JAVA % | 4 L NS % </v>
      </c>
      <c r="BM473" s="4" t="str">
        <f ca="1">IFERROR(__xludf.DUMMYFUNCTION("""COMPUTED_VALUE"""),"| 1 P Python % | 3 L PHP-CGM % | 4 L NS % | 5 P PHP-CGM @ ")</f>
        <v xml:space="preserve">| 1 P Python % | 3 L PHP-CGM % | 4 L NS % | 5 P PHP-CGM @ </v>
      </c>
      <c r="BN473" s="4" t="str">
        <f ca="1">IFERROR(__xludf.DUMMYFUNCTION("""COMPUTED_VALUE"""),"| 1 P JAVA % | 3 L CPT % | 4 L PHP-CGM % | 5 P Python @ ")</f>
        <v xml:space="preserve">| 1 P JAVA % | 3 L CPT % | 4 L PHP-CGM % | 5 P Python @ </v>
      </c>
      <c r="BO473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P473" s="4" t="str">
        <f ca="1">IFERROR(__xludf.DUMMYFUNCTION("""COMPUTED_VALUE"""),"| 1 P CPT @ | 3 L CPT % | 4 L JAVA % | 5 L INE @ ")</f>
        <v xml:space="preserve">| 1 P CPT @ | 3 L CPT % | 4 L JAVA % | 5 L INE @ </v>
      </c>
      <c r="BQ473" s="4" t="str">
        <f ca="1">IFERROR(__xludf.DUMMYFUNCTION("""COMPUTED_VALUE"""),"| 4 L NS @ ")</f>
        <v xml:space="preserve">| 4 L NS @ </v>
      </c>
      <c r="BR473" s="4"/>
      <c r="BS473" s="4"/>
      <c r="BT473" s="4" t="str">
        <f ca="1">IFERROR(__xludf.DUMMYFUNCTION("""COMPUTED_VALUE"""),"| 1 P CPT % | 3 L CPT @ | 4 L JAVA % ")</f>
        <v xml:space="preserve">| 1 P CPT % | 3 L CPT @ | 4 L JAVA % </v>
      </c>
      <c r="BU473" s="4" t="str">
        <f ca="1">IFERROR(__xludf.DUMMYFUNCTION("""COMPUTED_VALUE"""),"| 1 P NS % | 4 L NS % | 3 L JAVA % ")</f>
        <v xml:space="preserve">| 1 P NS % | 4 L NS % | 3 L JAVA % </v>
      </c>
      <c r="BV473" s="4" t="str">
        <f ca="1">IFERROR(__xludf.DUMMYFUNCTION("""COMPUTED_VALUE"""),"| 1 P CPT % | 3 L CPT % | 4 L JAVA % ")</f>
        <v xml:space="preserve">| 1 P CPT % | 3 L CPT % | 4 L JAVA % </v>
      </c>
      <c r="BW473" s="4" t="str">
        <f ca="1">IFERROR(__xludf.DUMMYFUNCTION("""COMPUTED_VALUE"""),"| 1 P NS % | 3 L JAVA % | 4 L NS % ")</f>
        <v xml:space="preserve">| 1 P NS % | 3 L JAVA % | 4 L NS % </v>
      </c>
      <c r="BX473" s="4" t="str">
        <f ca="1">IFERROR(__xludf.DUMMYFUNCTION("""COMPUTED_VALUE"""),"| 1 P Python @ | 3 L PHP-CGM @ | 4 L NS @ | 5 P PHP-CGM @ ")</f>
        <v xml:space="preserve">| 1 P Python @ | 3 L PHP-CGM @ | 4 L NS @ | 5 P PHP-CGM @ </v>
      </c>
      <c r="BY473" s="4" t="str">
        <f ca="1">IFERROR(__xludf.DUMMYFUNCTION("""COMPUTED_VALUE"""),"| 1 P JAVA % | 3 L CPT % | 4 L PHP-CGM % | 5 P Python % ")</f>
        <v xml:space="preserve">| 1 P JAVA % | 3 L CPT % | 4 L PHP-CGM % | 5 P Python % </v>
      </c>
      <c r="BZ473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A473" s="4" t="str">
        <f ca="1">IFERROR(__xludf.DUMMYFUNCTION("""COMPUTED_VALUE"""),"| 1 P CPT % | 3 L CPT % | 4 L JAVA % | 5 L INE % ")</f>
        <v xml:space="preserve">| 1 P CPT % | 3 L CPT % | 4 L JAVA % | 5 L INE % </v>
      </c>
      <c r="CB473" s="4" t="str">
        <f ca="1">IFERROR(__xludf.DUMMYFUNCTION("""COMPUTED_VALUE"""),"| 1 P NS % | 3 L JAVA % | 4 L NS % | 5 P PRO % ")</f>
        <v xml:space="preserve">| 1 P NS % | 3 L JAVA % | 4 L NS % | 5 P PRO % </v>
      </c>
      <c r="CC473" s="4" t="str">
        <f ca="1">IFERROR(__xludf.DUMMYFUNCTION("""COMPUTED_VALUE"""),"| 1 P Python % | 3 L PHP-CGM % | 4 L NS % | 5 P PHP-CGM % ")</f>
        <v xml:space="preserve">| 1 P Python % | 3 L PHP-CGM % | 4 L NS % | 5 P PHP-CGM % </v>
      </c>
      <c r="CD473" s="4" t="str">
        <f ca="1">IFERROR(__xludf.DUMMYFUNCTION("""COMPUTED_VALUE"""),"| 1 P JAVA % | 3 L CPT % | 4 L PHP-CGM % | 5 P Python % ")</f>
        <v xml:space="preserve">| 1 P JAVA % | 3 L CPT % | 4 L PHP-CGM % | 5 P Python % </v>
      </c>
      <c r="CE473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CF473" s="4" t="str">
        <f ca="1">IFERROR(__xludf.DUMMYFUNCTION("""COMPUTED_VALUE"""),"| 1 P CPT % | 3 L CPT % | 4 L JAVA % | 5 L INE % ")</f>
        <v xml:space="preserve">| 1 P CPT % | 3 L CPT % | 4 L JAVA % | 5 L INE % </v>
      </c>
      <c r="CG473" s="4" t="str">
        <f ca="1">IFERROR(__xludf.DUMMYFUNCTION("""COMPUTED_VALUE"""),"| 1 P NS % | 4 L NS % ")</f>
        <v xml:space="preserve">| 1 P NS % | 4 L NS % </v>
      </c>
      <c r="CH473" s="4" t="str">
        <f ca="1">IFERROR(__xludf.DUMMYFUNCTION("""COMPUTED_VALUE"""),"| 3 L PHP-CGM @ | 4 L NS @ | 1 P Python @ ")</f>
        <v xml:space="preserve">| 3 L PHP-CGM @ | 4 L NS @ | 1 P Python @ </v>
      </c>
      <c r="CI473" s="4" t="str">
        <f ca="1">IFERROR(__xludf.DUMMYFUNCTION("""COMPUTED_VALUE"""),"| 1 P JAVA % ")</f>
        <v xml:space="preserve">| 1 P JAVA % </v>
      </c>
      <c r="CJ473" s="4" t="str">
        <f ca="1">IFERROR(__xludf.DUMMYFUNCTION("""COMPUTED_VALUE"""),"| 1 P JAVA % | 4 L JAVA % ")</f>
        <v xml:space="preserve">| 1 P JAVA % | 4 L JAVA % </v>
      </c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</row>
    <row r="474" spans="1:102" ht="12.5" x14ac:dyDescent="0.25">
      <c r="A474" s="3">
        <f ca="1">IFERROR(__xludf.DUMMYFUNCTION("""COMPUTED_VALUE"""),1)</f>
        <v>1</v>
      </c>
      <c r="B474" s="3" t="str">
        <f ca="1">IFERROR(__xludf.DUMMYFUNCTION("""COMPUTED_VALUE"""),"ITC")</f>
        <v>ITC</v>
      </c>
      <c r="C474" s="32" t="str">
        <f ca="1">IFERROR(__xludf.DUMMYFUNCTION("""COMPUTED_VALUE"""),"23171371024")</f>
        <v>23171371024</v>
      </c>
      <c r="D474" s="4" t="str">
        <f ca="1">IFERROR(__xludf.DUMMYFUNCTION("""COMPUTED_VALUE"""),"GOSWAMI RUDRAPURI ALPESHPURI")</f>
        <v>GOSWAMI RUDRAPURI ALPESHPURI</v>
      </c>
      <c r="E474" s="3" t="str">
        <f ca="1">IFERROR(__xludf.DUMMYFUNCTION("""COMPUTED_VALUE"""),"SDP&amp;KKP - Mor")</f>
        <v>SDP&amp;KKP - Mor</v>
      </c>
      <c r="F474" s="3">
        <f ca="1">IFERROR(__xludf.DUMMYFUNCTION("""COMPUTED_VALUE"""),9408888601)</f>
        <v>9408888601</v>
      </c>
      <c r="G474" s="3">
        <f ca="1">IFERROR(__xludf.DUMMYFUNCTION("""COMPUTED_VALUE"""),9427372184)</f>
        <v>9427372184</v>
      </c>
      <c r="H474" s="33">
        <f ca="1">IFERROR(__xludf.DUMMYFUNCTION("""COMPUTED_VALUE"""),0.595041322314049)</f>
        <v>0.59504132231404905</v>
      </c>
      <c r="I474" s="25">
        <f ca="1">IFERROR(__xludf.DUMMYFUNCTION("""COMPUTED_VALUE"""),0.583333333333333)</f>
        <v>0.58333333333333304</v>
      </c>
      <c r="J474" s="25">
        <f ca="1">IFERROR(__xludf.DUMMYFUNCTION("""COMPUTED_VALUE"""),0.769230769230769)</f>
        <v>0.76923076923076905</v>
      </c>
      <c r="K474" s="25">
        <f ca="1">IFERROR(__xludf.DUMMYFUNCTION("""COMPUTED_VALUE"""),0.583333333333333)</f>
        <v>0.58333333333333304</v>
      </c>
      <c r="L474" s="25">
        <f ca="1">IFERROR(__xludf.DUMMYFUNCTION("""COMPUTED_VALUE"""),0.692307692307692)</f>
        <v>0.69230769230769196</v>
      </c>
      <c r="M474" s="25">
        <f ca="1">IFERROR(__xludf.DUMMYFUNCTION("""COMPUTED_VALUE"""),0.5625)</f>
        <v>0.5625</v>
      </c>
      <c r="N474" s="25">
        <f ca="1">IFERROR(__xludf.DUMMYFUNCTION("""COMPUTED_VALUE"""),0.5)</f>
        <v>0.5</v>
      </c>
      <c r="O474" s="25">
        <f ca="1">IFERROR(__xludf.DUMMYFUNCTION("""COMPUTED_VALUE"""),0.648648648648648)</f>
        <v>0.64864864864864802</v>
      </c>
      <c r="P474" s="25">
        <f ca="1">IFERROR(__xludf.DUMMYFUNCTION("""COMPUTED_VALUE"""),0.6)</f>
        <v>0.6</v>
      </c>
      <c r="Q474" s="25">
        <f ca="1">IFERROR(__xludf.DUMMYFUNCTION("""COMPUTED_VALUE"""),0)</f>
        <v>0</v>
      </c>
      <c r="R474" s="25">
        <f ca="1">IFERROR(__xludf.DUMMYFUNCTION("""COMPUTED_VALUE"""),0.521739130434782)</f>
        <v>0.52173913043478204</v>
      </c>
      <c r="S474" s="25">
        <f ca="1">IFERROR(__xludf.DUMMYFUNCTION("""COMPUTED_VALUE"""),0)</f>
        <v>0</v>
      </c>
      <c r="T474" s="25">
        <f ca="1">IFERROR(__xludf.DUMMYFUNCTION("""COMPUTED_VALUE"""),0.555555555555555)</f>
        <v>0.55555555555555503</v>
      </c>
      <c r="U474" s="25">
        <f ca="1">IFERROR(__xludf.DUMMYFUNCTION("""COMPUTED_VALUE"""),0.5)</f>
        <v>0.5</v>
      </c>
      <c r="V474" s="25">
        <f ca="1">IFERROR(__xludf.DUMMYFUNCTION("""COMPUTED_VALUE"""),0)</f>
        <v>0</v>
      </c>
      <c r="W474" s="4"/>
      <c r="X474" s="4" t="str">
        <f ca="1">IFERROR(__xludf.DUMMYFUNCTION("""COMPUTED_VALUE"""),"| 1 P CPT @ | 3 L CPT @ | 4 L JAVA @ ")</f>
        <v xml:space="preserve">| 1 P CPT @ | 3 L CPT @ | 4 L JAVA @ </v>
      </c>
      <c r="Y474" s="4" t="str">
        <f ca="1">IFERROR(__xludf.DUMMYFUNCTION("""COMPUTED_VALUE"""),"| 1 P NS @ | 3 L JAVA @ | 4 L NS @ | 5 P PRO @ ")</f>
        <v xml:space="preserve">| 1 P NS @ | 3 L JAVA @ | 4 L NS @ | 5 P PRO @ </v>
      </c>
      <c r="Z474" s="4" t="str">
        <f ca="1">IFERROR(__xludf.DUMMYFUNCTION("""COMPUTED_VALUE"""),"| 1 P Python @ | 3 L PHP-CGM @ | 4 L NS @ | 5 P PHP-CGM @ ")</f>
        <v xml:space="preserve">| 1 P Python @ | 3 L PHP-CGM @ | 4 L NS @ | 5 P PHP-CGM @ </v>
      </c>
      <c r="AA474" s="4" t="str">
        <f ca="1">IFERROR(__xludf.DUMMYFUNCTION("""COMPUTED_VALUE"""),"| 1 P JAVA @ | 3 L CPT @ | 5 P Python @ ")</f>
        <v xml:space="preserve">| 1 P JAVA @ | 3 L CPT @ | 5 P Python @ </v>
      </c>
      <c r="AB474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74" s="4" t="str">
        <f ca="1">IFERROR(__xludf.DUMMYFUNCTION("""COMPUTED_VALUE"""),"| 1 P CPT % | 3 L CPT % | 4 L JAVA % ")</f>
        <v xml:space="preserve">| 1 P CPT % | 3 L CPT % | 4 L JAVA % </v>
      </c>
      <c r="AD474" s="4" t="str">
        <f ca="1">IFERROR(__xludf.DUMMYFUNCTION("""COMPUTED_VALUE"""),"| 1 P NS % | 3 L JAVA % | 4 L NS % | 5 P PRO % ")</f>
        <v xml:space="preserve">| 1 P NS % | 3 L JAVA % | 4 L NS % | 5 P PRO % </v>
      </c>
      <c r="AE474" s="4" t="str">
        <f ca="1">IFERROR(__xludf.DUMMYFUNCTION("""COMPUTED_VALUE"""),"| 1 P Python % | 3 L PHP-CGM % | 4 L NS % | 5 P PHP-CGM % ")</f>
        <v xml:space="preserve">| 1 P Python % | 3 L PHP-CGM % | 4 L NS % | 5 P PHP-CGM % </v>
      </c>
      <c r="AF474" s="4" t="str">
        <f ca="1">IFERROR(__xludf.DUMMYFUNCTION("""COMPUTED_VALUE"""),"| 1 P JAVA % | 3 L CPT % | 4 L PHP-CGM % | 5 P Python % ")</f>
        <v xml:space="preserve">| 1 P JAVA % | 3 L CPT % | 4 L PHP-CGM % | 5 P Python % </v>
      </c>
      <c r="AG474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74" s="4" t="str">
        <f ca="1">IFERROR(__xludf.DUMMYFUNCTION("""COMPUTED_VALUE"""),"| 1 P JAVA % | 3 L CPT % | 4 L PHP-CGM % | 5 P Python % ")</f>
        <v xml:space="preserve">| 1 P JAVA % | 3 L CPT % | 4 L PHP-CGM % | 5 P Python % </v>
      </c>
      <c r="AI474" s="4" t="str">
        <f ca="1">IFERROR(__xludf.DUMMYFUNCTION("""COMPUTED_VALUE"""),"| 1 P JAVA % | 3 L PHP-CGM % | 4 L JAVA % | 5 L CPT @ | 6 L NS % ")</f>
        <v xml:space="preserve">| 1 P JAVA % | 3 L PHP-CGM % | 4 L JAVA % | 5 L CPT @ | 6 L NS % </v>
      </c>
      <c r="AJ474" s="4" t="str">
        <f ca="1">IFERROR(__xludf.DUMMYFUNCTION("""COMPUTED_VALUE"""),"| 1 P CPT % | 3 L CPT % | 4 L JAVA % ")</f>
        <v xml:space="preserve">| 1 P CPT % | 3 L CPT % | 4 L JAVA % </v>
      </c>
      <c r="AK474" s="4" t="str">
        <f ca="1">IFERROR(__xludf.DUMMYFUNCTION("""COMPUTED_VALUE"""),"| 1 P NS % | 4 L NS % | 3 L JAVA % | 5 P PRO % ")</f>
        <v xml:space="preserve">| 1 P NS % | 4 L NS % | 3 L JAVA % | 5 P PRO % </v>
      </c>
      <c r="AL474" s="4" t="str">
        <f ca="1">IFERROR(__xludf.DUMMYFUNCTION("""COMPUTED_VALUE"""),"| 1 P Python % | 3 L PHP-CGM % | 4 L NS % | 5 P PHP-CGM % ")</f>
        <v xml:space="preserve">| 1 P Python % | 3 L PHP-CGM % | 4 L NS % | 5 P PHP-CGM % </v>
      </c>
      <c r="AM474" s="4" t="str">
        <f ca="1">IFERROR(__xludf.DUMMYFUNCTION("""COMPUTED_VALUE"""),"| 1 P JAVA % | 3 L CPT % | 4 L PHP-CGM % | 5 P Python @ ")</f>
        <v xml:space="preserve">| 1 P JAVA % | 3 L CPT % | 4 L PHP-CGM % | 5 P Python @ </v>
      </c>
      <c r="AN474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74" s="4" t="str">
        <f ca="1">IFERROR(__xludf.DUMMYFUNCTION("""COMPUTED_VALUE"""),"| 1 P CPT % | 3 L CPT % | 4 L JAVA % | 5 L INE @ ")</f>
        <v xml:space="preserve">| 1 P CPT % | 3 L CPT % | 4 L JAVA % | 5 L INE @ </v>
      </c>
      <c r="AP474" s="4" t="str">
        <f ca="1">IFERROR(__xludf.DUMMYFUNCTION("""COMPUTED_VALUE"""),"| 1 P NS @ | 3 L JAVA @ | 4 L NS @ | 5 P PRO @ ")</f>
        <v xml:space="preserve">| 1 P NS @ | 3 L JAVA @ | 4 L NS @ | 5 P PRO @ </v>
      </c>
      <c r="AQ474" s="4" t="str">
        <f ca="1">IFERROR(__xludf.DUMMYFUNCTION("""COMPUTED_VALUE"""),"| 1 P Python @ | 3 L PHP-CGM @ | 4 L NS @ | 5 P PHP-CGM @ ")</f>
        <v xml:space="preserve">| 1 P Python @ | 3 L PHP-CGM @ | 4 L NS @ | 5 P PHP-CGM @ </v>
      </c>
      <c r="AR474" s="4" t="str">
        <f ca="1">IFERROR(__xludf.DUMMYFUNCTION("""COMPUTED_VALUE"""),"| 1 P JAVA @ | 3 L CPT @ | 5 P Python @ ")</f>
        <v xml:space="preserve">| 1 P JAVA @ | 3 L CPT @ | 5 P Python @ </v>
      </c>
      <c r="AS474" s="4" t="str">
        <f ca="1">IFERROR(__xludf.DUMMYFUNCTION("""COMPUTED_VALUE"""),"| 1 P CPT % | 3 L CPT % | 4 L JAVA % | 5 L INE % ")</f>
        <v xml:space="preserve">| 1 P CPT % | 3 L CPT % | 4 L JAVA % | 5 L INE % </v>
      </c>
      <c r="AT474" s="4" t="str">
        <f ca="1">IFERROR(__xludf.DUMMYFUNCTION("""COMPUTED_VALUE"""),"| 1 P NS % | 3 L JAVA % | 4 L NS % | 5 P PRO % ")</f>
        <v xml:space="preserve">| 1 P NS % | 3 L JAVA % | 4 L NS % | 5 P PRO % </v>
      </c>
      <c r="AU474" s="4" t="str">
        <f ca="1">IFERROR(__xludf.DUMMYFUNCTION("""COMPUTED_VALUE"""),"| 1 P Python % | 3 L PHP-CGM % | 4 L NS % | 5 P PHP-CGM % ")</f>
        <v xml:space="preserve">| 1 P Python % | 3 L PHP-CGM % | 4 L NS % | 5 P PHP-CGM % </v>
      </c>
      <c r="AV474" s="4" t="str">
        <f ca="1">IFERROR(__xludf.DUMMYFUNCTION("""COMPUTED_VALUE"""),"| 1 P JAVA % | 3 L CPT % | 4 L PHP-CGM % | 5 P Python % ")</f>
        <v xml:space="preserve">| 1 P JAVA % | 3 L CPT % | 4 L PHP-CGM % | 5 P Python % </v>
      </c>
      <c r="AW474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74" s="4" t="str">
        <f ca="1">IFERROR(__xludf.DUMMYFUNCTION("""COMPUTED_VALUE"""),"| 1 P CPT % | 3 L CPT % | 4 L JAVA % | 5 L INE % ")</f>
        <v xml:space="preserve">| 1 P CPT % | 3 L CPT % | 4 L JAVA % | 5 L INE % </v>
      </c>
      <c r="AY474" s="4" t="str">
        <f ca="1">IFERROR(__xludf.DUMMYFUNCTION("""COMPUTED_VALUE"""),"| 1 P NS @ | 3 L JAVA @ | 4 L NS @ | 5 P PRO @ ")</f>
        <v xml:space="preserve">| 1 P NS @ | 3 L JAVA @ | 4 L NS @ | 5 P PRO @ </v>
      </c>
      <c r="AZ474" s="4" t="str">
        <f ca="1">IFERROR(__xludf.DUMMYFUNCTION("""COMPUTED_VALUE"""),"| 1 P JAVA @ | 3 L CPT @ | 4 L PHP-CGM @ | 5 P Python @ ")</f>
        <v xml:space="preserve">| 1 P JAVA @ | 3 L CPT @ | 4 L PHP-CGM @ | 5 P Python @ </v>
      </c>
      <c r="BA474" s="4" t="str">
        <f ca="1">IFERROR(__xludf.DUMMYFUNCTION("""COMPUTED_VALUE"""),"| 1 P JAVA @ | 3 L PHP-CGM @ | 4 L JAVA @ | 5 L NS % | 6 L CPT @ ")</f>
        <v xml:space="preserve">| 1 P JAVA @ | 3 L PHP-CGM @ | 4 L JAVA @ | 5 L NS % | 6 L CPT @ </v>
      </c>
      <c r="BB474" s="4" t="str">
        <f ca="1">IFERROR(__xludf.DUMMYFUNCTION("""COMPUTED_VALUE"""),"| 1 P CPT @ | 3 L CPT @ | 4 L JAVA @ | 5 L INE @ ")</f>
        <v xml:space="preserve">| 1 P CPT @ | 3 L CPT @ | 4 L JAVA @ | 5 L INE @ </v>
      </c>
      <c r="BC474" s="4" t="str">
        <f ca="1">IFERROR(__xludf.DUMMYFUNCTION("""COMPUTED_VALUE"""),"| 1 P NS % | 3 L JAVA % | 4 L NS % | 5 P PRO @ ")</f>
        <v xml:space="preserve">| 1 P NS % | 3 L JAVA % | 4 L NS % | 5 P PRO @ </v>
      </c>
      <c r="BD474" s="4" t="str">
        <f ca="1">IFERROR(__xludf.DUMMYFUNCTION("""COMPUTED_VALUE"""),"| 1 P Python @ | 4 L NS @  | 3 L PHP-CGM @ | 5 P PHP-CGM @ ")</f>
        <v xml:space="preserve">| 1 P Python @ | 4 L NS @  | 3 L PHP-CGM @ | 5 P PHP-CGM @ </v>
      </c>
      <c r="BE474" s="4" t="str">
        <f ca="1">IFERROR(__xludf.DUMMYFUNCTION("""COMPUTED_VALUE"""),"| 1 P JAVA @ | 3 L CPT @ | 4 L PHP-CGM @ | 5 P Python @ ")</f>
        <v xml:space="preserve">| 1 P JAVA @ | 3 L CPT @ | 4 L PHP-CGM @ | 5 P Python @ </v>
      </c>
      <c r="BF474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74" s="4" t="str">
        <f ca="1">IFERROR(__xludf.DUMMYFUNCTION("""COMPUTED_VALUE"""),"| 1 P NS % | 3 L JAVA % | 4 L NS % | 5 P PRO % ")</f>
        <v xml:space="preserve">| 1 P NS % | 3 L JAVA % | 4 L NS % | 5 P PRO % </v>
      </c>
      <c r="BH474" s="4" t="str">
        <f ca="1">IFERROR(__xludf.DUMMYFUNCTION("""COMPUTED_VALUE"""),"| 1 P Python % | 3 L PHP-CGM % | 4 L NS % | 5 P PHP-CGM % ")</f>
        <v xml:space="preserve">| 1 P Python % | 3 L PHP-CGM % | 4 L NS % | 5 P PHP-CGM % </v>
      </c>
      <c r="BI474" s="4" t="str">
        <f ca="1">IFERROR(__xludf.DUMMYFUNCTION("""COMPUTED_VALUE"""),"| 1 P JAVA % | 3 L CPT % | 4 L PHP-CGM % | 5 P Python % ")</f>
        <v xml:space="preserve">| 1 P JAVA % | 3 L CPT % | 4 L PHP-CGM % | 5 P Python % </v>
      </c>
      <c r="BJ474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K474" s="4" t="str">
        <f ca="1">IFERROR(__xludf.DUMMYFUNCTION("""COMPUTED_VALUE"""),"| 1 P CPT % | 3 L CPT @ | 4 L JAVA % | 5 L INE % ")</f>
        <v xml:space="preserve">| 1 P CPT % | 3 L CPT @ | 4 L JAVA % | 5 L INE % </v>
      </c>
      <c r="BL474" s="4" t="str">
        <f ca="1">IFERROR(__xludf.DUMMYFUNCTION("""COMPUTED_VALUE"""),"| 1 P NS @ | 3 L JAVA @ | 4 L NS @ ")</f>
        <v xml:space="preserve">| 1 P NS @ | 3 L JAVA @ | 4 L NS @ </v>
      </c>
      <c r="BM474" s="4" t="str">
        <f ca="1">IFERROR(__xludf.DUMMYFUNCTION("""COMPUTED_VALUE"""),"| 1 P Python @ | 3 L PHP-CGM @ | 4 L NS @ | 5 P PHP-CGM @ ")</f>
        <v xml:space="preserve">| 1 P Python @ | 3 L PHP-CGM @ | 4 L NS @ | 5 P PHP-CGM @ </v>
      </c>
      <c r="BN474" s="4" t="str">
        <f ca="1">IFERROR(__xludf.DUMMYFUNCTION("""COMPUTED_VALUE"""),"| 1 P JAVA @ | 3 L CPT @ | 4 L PHP-CGM @ | 5 P Python @ ")</f>
        <v xml:space="preserve">| 1 P JAVA @ | 3 L CPT @ | 4 L PHP-CGM @ | 5 P Python @ </v>
      </c>
      <c r="BO474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74" s="4" t="str">
        <f ca="1">IFERROR(__xludf.DUMMYFUNCTION("""COMPUTED_VALUE"""),"| 1 P CPT % | 3 L CPT % | 4 L JAVA % | 5 L INE % ")</f>
        <v xml:space="preserve">| 1 P CPT % | 3 L CPT % | 4 L JAVA % | 5 L INE % </v>
      </c>
      <c r="BQ474" s="4" t="str">
        <f ca="1">IFERROR(__xludf.DUMMYFUNCTION("""COMPUTED_VALUE"""),"| 4 L NS @ ")</f>
        <v xml:space="preserve">| 4 L NS @ </v>
      </c>
      <c r="BR474" s="4"/>
      <c r="BS474" s="4"/>
      <c r="BT474" s="4" t="str">
        <f ca="1">IFERROR(__xludf.DUMMYFUNCTION("""COMPUTED_VALUE"""),"| 1 P CPT @ | 3 L CPT @ | 4 L JAVA @ ")</f>
        <v xml:space="preserve">| 1 P CPT @ | 3 L CPT @ | 4 L JAVA @ </v>
      </c>
      <c r="BU474" s="4" t="str">
        <f ca="1">IFERROR(__xludf.DUMMYFUNCTION("""COMPUTED_VALUE"""),"| 1 P NS % | 4 L NS % | 3 L JAVA % ")</f>
        <v xml:space="preserve">| 1 P NS % | 4 L NS % | 3 L JAVA % </v>
      </c>
      <c r="BV474" s="4" t="str">
        <f ca="1">IFERROR(__xludf.DUMMYFUNCTION("""COMPUTED_VALUE"""),"| 1 P CPT % | 3 L CPT % | 4 L JAVA % ")</f>
        <v xml:space="preserve">| 1 P CPT % | 3 L CPT % | 4 L JAVA % </v>
      </c>
      <c r="BW474" s="4" t="str">
        <f ca="1">IFERROR(__xludf.DUMMYFUNCTION("""COMPUTED_VALUE"""),"| 1 P NS % | 3 L JAVA % | 4 L NS % ")</f>
        <v xml:space="preserve">| 1 P NS % | 3 L JAVA % | 4 L NS % </v>
      </c>
      <c r="BX474" s="4" t="str">
        <f ca="1">IFERROR(__xludf.DUMMYFUNCTION("""COMPUTED_VALUE"""),"| 1 P Python % | 3 L PHP-CGM % | 4 L NS % | 5 P PHP-CGM % ")</f>
        <v xml:space="preserve">| 1 P Python % | 3 L PHP-CGM % | 4 L NS % | 5 P PHP-CGM % </v>
      </c>
      <c r="BY474" s="4" t="str">
        <f ca="1">IFERROR(__xludf.DUMMYFUNCTION("""COMPUTED_VALUE"""),"| 1 P JAVA % | 3 L CPT % | 4 L PHP-CGM % | 5 P Python % ")</f>
        <v xml:space="preserve">| 1 P JAVA % | 3 L CPT % | 4 L PHP-CGM % | 5 P Python % </v>
      </c>
      <c r="BZ474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CA474" s="4" t="str">
        <f ca="1">IFERROR(__xludf.DUMMYFUNCTION("""COMPUTED_VALUE"""),"| 1 P CPT % | 3 L CPT % | 4 L JAVA % | 5 L INE @ ")</f>
        <v xml:space="preserve">| 1 P CPT % | 3 L CPT % | 4 L JAVA % | 5 L INE @ </v>
      </c>
      <c r="CB474" s="4" t="str">
        <f ca="1">IFERROR(__xludf.DUMMYFUNCTION("""COMPUTED_VALUE"""),"| 1 P NS % | 3 L JAVA % | 4 L NS % | 5 P PRO % ")</f>
        <v xml:space="preserve">| 1 P NS % | 3 L JAVA % | 4 L NS % | 5 P PRO % </v>
      </c>
      <c r="CC474" s="4" t="str">
        <f ca="1">IFERROR(__xludf.DUMMYFUNCTION("""COMPUTED_VALUE"""),"| 1 P Python % | 3 L PHP-CGM % | 4 L NS % | 5 P PHP-CGM @ ")</f>
        <v xml:space="preserve">| 1 P Python % | 3 L PHP-CGM % | 4 L NS % | 5 P PHP-CGM @ </v>
      </c>
      <c r="CD474" s="4" t="str">
        <f ca="1">IFERROR(__xludf.DUMMYFUNCTION("""COMPUTED_VALUE"""),"| 1 P JAVA % | 3 L CPT % | 4 L PHP-CGM % | 5 P Python @ ")</f>
        <v xml:space="preserve">| 1 P JAVA % | 3 L CPT % | 4 L PHP-CGM % | 5 P Python @ </v>
      </c>
      <c r="CE474" s="4" t="str">
        <f ca="1">IFERROR(__xludf.DUMMYFUNCTION("""COMPUTED_VALUE"""),"| 1 P JAVA % | 3 L PHP-CGM @ | 4 L JAVA @ | 5 L NS @ | 6 L CPT @ ")</f>
        <v xml:space="preserve">| 1 P JAVA % | 3 L PHP-CGM @ | 4 L JAVA @ | 5 L NS @ | 6 L CPT @ </v>
      </c>
      <c r="CF474" s="4" t="str">
        <f ca="1">IFERROR(__xludf.DUMMYFUNCTION("""COMPUTED_VALUE"""),"| 1 P CPT % | 3 L CPT % | 4 L JAVA % | 5 L INE @ ")</f>
        <v xml:space="preserve">| 1 P CPT % | 3 L CPT % | 4 L JAVA % | 5 L INE @ </v>
      </c>
      <c r="CG474" s="4" t="str">
        <f ca="1">IFERROR(__xludf.DUMMYFUNCTION("""COMPUTED_VALUE"""),"| 1 P NS % | 4 L NS % ")</f>
        <v xml:space="preserve">| 1 P NS % | 4 L NS % </v>
      </c>
      <c r="CH474" s="4" t="str">
        <f ca="1">IFERROR(__xludf.DUMMYFUNCTION("""COMPUTED_VALUE"""),"| 3 L PHP-CGM @ | 4 L NS @ | 1 P Python % ")</f>
        <v xml:space="preserve">| 3 L PHP-CGM @ | 4 L NS @ | 1 P Python % </v>
      </c>
      <c r="CI474" s="4" t="str">
        <f ca="1">IFERROR(__xludf.DUMMYFUNCTION("""COMPUTED_VALUE"""),"| 1 P JAVA % ")</f>
        <v xml:space="preserve">| 1 P JAVA % </v>
      </c>
      <c r="CJ474" s="4" t="str">
        <f ca="1">IFERROR(__xludf.DUMMYFUNCTION("""COMPUTED_VALUE"""),"| 1 P JAVA % | 4 L JAVA % ")</f>
        <v xml:space="preserve">| 1 P JAVA % | 4 L JAVA % </v>
      </c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</row>
    <row r="475" spans="1:102" ht="12.5" x14ac:dyDescent="0.25">
      <c r="A475" s="3">
        <f ca="1">IFERROR(__xludf.DUMMYFUNCTION("""COMPUTED_VALUE"""),1)</f>
        <v>1</v>
      </c>
      <c r="B475" s="3" t="str">
        <f ca="1">IFERROR(__xludf.DUMMYFUNCTION("""COMPUTED_VALUE"""),"ITC")</f>
        <v>ITC</v>
      </c>
      <c r="C475" s="32" t="str">
        <f ca="1">IFERROR(__xludf.DUMMYFUNCTION("""COMPUTED_VALUE"""),"23171371025")</f>
        <v>23171371025</v>
      </c>
      <c r="D475" s="4" t="str">
        <f ca="1">IFERROR(__xludf.DUMMYFUNCTION("""COMPUTED_VALUE"""),"GOSWAMI VANSHIKA CHETANGIRI")</f>
        <v>GOSWAMI VANSHIKA CHETANGIRI</v>
      </c>
      <c r="E475" s="3" t="str">
        <f ca="1">IFERROR(__xludf.DUMMYFUNCTION("""COMPUTED_VALUE"""),"SDP&amp;KKP - Mor")</f>
        <v>SDP&amp;KKP - Mor</v>
      </c>
      <c r="F475" s="3">
        <f ca="1">IFERROR(__xludf.DUMMYFUNCTION("""COMPUTED_VALUE"""),9016218783)</f>
        <v>9016218783</v>
      </c>
      <c r="G475" s="3">
        <f ca="1">IFERROR(__xludf.DUMMYFUNCTION("""COMPUTED_VALUE"""),7698766832)</f>
        <v>7698766832</v>
      </c>
      <c r="H475" s="33">
        <f ca="1">IFERROR(__xludf.DUMMYFUNCTION("""COMPUTED_VALUE"""),0.636363636363636)</f>
        <v>0.63636363636363602</v>
      </c>
      <c r="I475" s="25">
        <f ca="1">IFERROR(__xludf.DUMMYFUNCTION("""COMPUTED_VALUE"""),0.638888888888888)</f>
        <v>0.63888888888888795</v>
      </c>
      <c r="J475" s="25">
        <f ca="1">IFERROR(__xludf.DUMMYFUNCTION("""COMPUTED_VALUE"""),0.769230769230769)</f>
        <v>0.76923076923076905</v>
      </c>
      <c r="K475" s="25">
        <f ca="1">IFERROR(__xludf.DUMMYFUNCTION("""COMPUTED_VALUE"""),0.611111111111111)</f>
        <v>0.61111111111111105</v>
      </c>
      <c r="L475" s="25">
        <f ca="1">IFERROR(__xludf.DUMMYFUNCTION("""COMPUTED_VALUE"""),0.769230769230769)</f>
        <v>0.76923076923076905</v>
      </c>
      <c r="M475" s="25">
        <f ca="1">IFERROR(__xludf.DUMMYFUNCTION("""COMPUTED_VALUE"""),0.53125)</f>
        <v>0.53125</v>
      </c>
      <c r="N475" s="25">
        <f ca="1">IFERROR(__xludf.DUMMYFUNCTION("""COMPUTED_VALUE"""),0.4)</f>
        <v>0.4</v>
      </c>
      <c r="O475" s="25">
        <f ca="1">IFERROR(__xludf.DUMMYFUNCTION("""COMPUTED_VALUE"""),0.729729729729729)</f>
        <v>0.72972972972972905</v>
      </c>
      <c r="P475" s="25">
        <f ca="1">IFERROR(__xludf.DUMMYFUNCTION("""COMPUTED_VALUE"""),0.76)</f>
        <v>0.76</v>
      </c>
      <c r="Q475" s="25">
        <f ca="1">IFERROR(__xludf.DUMMYFUNCTION("""COMPUTED_VALUE"""),0)</f>
        <v>0</v>
      </c>
      <c r="R475" s="25">
        <f ca="1">IFERROR(__xludf.DUMMYFUNCTION("""COMPUTED_VALUE"""),0.608695652173913)</f>
        <v>0.60869565217391297</v>
      </c>
      <c r="S475" s="25">
        <f ca="1">IFERROR(__xludf.DUMMYFUNCTION("""COMPUTED_VALUE"""),0)</f>
        <v>0</v>
      </c>
      <c r="T475" s="25">
        <f ca="1">IFERROR(__xludf.DUMMYFUNCTION("""COMPUTED_VALUE"""),0.666666666666666)</f>
        <v>0.66666666666666596</v>
      </c>
      <c r="U475" s="25">
        <f ca="1">IFERROR(__xludf.DUMMYFUNCTION("""COMPUTED_VALUE"""),0.25)</f>
        <v>0.25</v>
      </c>
      <c r="V475" s="25">
        <f ca="1">IFERROR(__xludf.DUMMYFUNCTION("""COMPUTED_VALUE"""),0)</f>
        <v>0</v>
      </c>
      <c r="W475" s="4"/>
      <c r="X475" s="4" t="str">
        <f ca="1">IFERROR(__xludf.DUMMYFUNCTION("""COMPUTED_VALUE"""),"| 1 P CPT % | 3 L CPT % | 4 L JAVA % ")</f>
        <v xml:space="preserve">| 1 P CPT % | 3 L CPT % | 4 L JAVA % </v>
      </c>
      <c r="Y475" s="4" t="str">
        <f ca="1">IFERROR(__xludf.DUMMYFUNCTION("""COMPUTED_VALUE"""),"| 1 P NS @ | 3 L JAVA @ | 4 L NS @ | 5 P PRO @ ")</f>
        <v xml:space="preserve">| 1 P NS @ | 3 L JAVA @ | 4 L NS @ | 5 P PRO @ </v>
      </c>
      <c r="Z475" s="4" t="str">
        <f ca="1">IFERROR(__xludf.DUMMYFUNCTION("""COMPUTED_VALUE"""),"| 1 P Python @ | 3 L PHP-CGM @ | 4 L NS @ | 5 P PHP-CGM @ ")</f>
        <v xml:space="preserve">| 1 P Python @ | 3 L PHP-CGM @ | 4 L NS @ | 5 P PHP-CGM @ </v>
      </c>
      <c r="AA475" s="4" t="str">
        <f ca="1">IFERROR(__xludf.DUMMYFUNCTION("""COMPUTED_VALUE"""),"| 1 P JAVA % | 3 L CPT % | 5 P Python @ ")</f>
        <v xml:space="preserve">| 1 P JAVA % | 3 L CPT % | 5 P Python @ </v>
      </c>
      <c r="AB475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75" s="4" t="str">
        <f ca="1">IFERROR(__xludf.DUMMYFUNCTION("""COMPUTED_VALUE"""),"| 1 P CPT % | 3 L CPT % | 4 L JAVA % ")</f>
        <v xml:space="preserve">| 1 P CPT % | 3 L CPT % | 4 L JAVA % </v>
      </c>
      <c r="AD475" s="4" t="str">
        <f ca="1">IFERROR(__xludf.DUMMYFUNCTION("""COMPUTED_VALUE"""),"| 1 P NS % | 3 L JAVA % | 4 L NS % | 5 P PRO % ")</f>
        <v xml:space="preserve">| 1 P NS % | 3 L JAVA % | 4 L NS % | 5 P PRO % </v>
      </c>
      <c r="AE475" s="4" t="str">
        <f ca="1">IFERROR(__xludf.DUMMYFUNCTION("""COMPUTED_VALUE"""),"| 1 P Python % | 3 L PHP-CGM % | 4 L NS % | 5 P PHP-CGM % ")</f>
        <v xml:space="preserve">| 1 P Python % | 3 L PHP-CGM % | 4 L NS % | 5 P PHP-CGM % </v>
      </c>
      <c r="AF475" s="4" t="str">
        <f ca="1">IFERROR(__xludf.DUMMYFUNCTION("""COMPUTED_VALUE"""),"| 1 P JAVA @ | 3 L CPT % | 4 L PHP-CGM % | 5 P Python @ ")</f>
        <v xml:space="preserve">| 1 P JAVA @ | 3 L CPT % | 4 L PHP-CGM % | 5 P Python @ </v>
      </c>
      <c r="AG475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H475" s="4" t="str">
        <f ca="1">IFERROR(__xludf.DUMMYFUNCTION("""COMPUTED_VALUE"""),"| 1 P JAVA % | 3 L CPT % | 4 L PHP-CGM % | 5 P Python % ")</f>
        <v xml:space="preserve">| 1 P JAVA % | 3 L CPT % | 4 L PHP-CGM % | 5 P Python % </v>
      </c>
      <c r="AI475" s="4" t="str">
        <f ca="1">IFERROR(__xludf.DUMMYFUNCTION("""COMPUTED_VALUE"""),"| 1 P JAVA % | 3 L PHP-CGM @ | 4 L JAVA @ | 5 L CPT @ | 6 L NS @ ")</f>
        <v xml:space="preserve">| 1 P JAVA % | 3 L PHP-CGM @ | 4 L JAVA @ | 5 L CPT @ | 6 L NS @ </v>
      </c>
      <c r="AJ475" s="4" t="str">
        <f ca="1">IFERROR(__xludf.DUMMYFUNCTION("""COMPUTED_VALUE"""),"| 1 P CPT % | 3 L CPT % | 4 L JAVA % ")</f>
        <v xml:space="preserve">| 1 P CPT % | 3 L CPT % | 4 L JAVA % </v>
      </c>
      <c r="AK475" s="4" t="str">
        <f ca="1">IFERROR(__xludf.DUMMYFUNCTION("""COMPUTED_VALUE"""),"| 1 P NS % | 4 L NS % | 3 L JAVA % | 5 P PRO % ")</f>
        <v xml:space="preserve">| 1 P NS % | 4 L NS % | 3 L JAVA % | 5 P PRO % </v>
      </c>
      <c r="AL475" s="4" t="str">
        <f ca="1">IFERROR(__xludf.DUMMYFUNCTION("""COMPUTED_VALUE"""),"| 1 P Python % | 3 L PHP-CGM % | 4 L NS % | 5 P PHP-CGM @ ")</f>
        <v xml:space="preserve">| 1 P Python % | 3 L PHP-CGM % | 4 L NS % | 5 P PHP-CGM @ </v>
      </c>
      <c r="AM475" s="4" t="str">
        <f ca="1">IFERROR(__xludf.DUMMYFUNCTION("""COMPUTED_VALUE"""),"| 1 P JAVA @ | 3 L CPT @ | 4 L PHP-CGM @ | 5 P Python @ ")</f>
        <v xml:space="preserve">| 1 P JAVA @ | 3 L CPT @ | 4 L PHP-CGM @ | 5 P Python @ </v>
      </c>
      <c r="AN475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75" s="4" t="str">
        <f ca="1">IFERROR(__xludf.DUMMYFUNCTION("""COMPUTED_VALUE"""),"| 1 P CPT @ | 3 L CPT @ | 4 L JAVA @ | 5 L INE @ ")</f>
        <v xml:space="preserve">| 1 P CPT @ | 3 L CPT @ | 4 L JAVA @ | 5 L INE @ </v>
      </c>
      <c r="AP475" s="4" t="str">
        <f ca="1">IFERROR(__xludf.DUMMYFUNCTION("""COMPUTED_VALUE"""),"| 1 P NS % | 3 L JAVA % | 4 L NS % | 5 P PRO % ")</f>
        <v xml:space="preserve">| 1 P NS % | 3 L JAVA % | 4 L NS % | 5 P PRO % </v>
      </c>
      <c r="AQ475" s="4" t="str">
        <f ca="1">IFERROR(__xludf.DUMMYFUNCTION("""COMPUTED_VALUE"""),"| 1 P Python % | 3 L PHP-CGM % | 4 L NS % | 5 P PHP-CGM % ")</f>
        <v xml:space="preserve">| 1 P Python % | 3 L PHP-CGM % | 4 L NS % | 5 P PHP-CGM % </v>
      </c>
      <c r="AR475" s="4" t="str">
        <f ca="1">IFERROR(__xludf.DUMMYFUNCTION("""COMPUTED_VALUE"""),"| 1 P JAVA % | 3 L CPT % | 5 P Python % ")</f>
        <v xml:space="preserve">| 1 P JAVA % | 3 L CPT % | 5 P Python % </v>
      </c>
      <c r="AS475" s="4" t="str">
        <f ca="1">IFERROR(__xludf.DUMMYFUNCTION("""COMPUTED_VALUE"""),"| 1 P CPT % | 3 L CPT % | 4 L JAVA % | 5 L INE @ ")</f>
        <v xml:space="preserve">| 1 P CPT % | 3 L CPT % | 4 L JAVA % | 5 L INE @ </v>
      </c>
      <c r="AT475" s="4" t="str">
        <f ca="1">IFERROR(__xludf.DUMMYFUNCTION("""COMPUTED_VALUE"""),"| 1 P NS % | 3 L JAVA % | 4 L NS % | 5 P PRO % ")</f>
        <v xml:space="preserve">| 1 P NS % | 3 L JAVA % | 4 L NS % | 5 P PRO % </v>
      </c>
      <c r="AU475" s="4" t="str">
        <f ca="1">IFERROR(__xludf.DUMMYFUNCTION("""COMPUTED_VALUE"""),"| 1 P Python % | 3 L PHP-CGM % | 4 L NS % | 5 P PHP-CGM @ ")</f>
        <v xml:space="preserve">| 1 P Python % | 3 L PHP-CGM % | 4 L NS % | 5 P PHP-CGM @ </v>
      </c>
      <c r="AV475" s="4" t="str">
        <f ca="1">IFERROR(__xludf.DUMMYFUNCTION("""COMPUTED_VALUE"""),"| 1 P JAVA % | 3 L CPT % | 4 L PHP-CGM % | 5 P Python % ")</f>
        <v xml:space="preserve">| 1 P JAVA % | 3 L CPT % | 4 L PHP-CGM % | 5 P Python % </v>
      </c>
      <c r="AW475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75" s="4" t="str">
        <f ca="1">IFERROR(__xludf.DUMMYFUNCTION("""COMPUTED_VALUE"""),"| 1 P CPT % | 3 L CPT % | 4 L JAVA % | 5 L INE @ ")</f>
        <v xml:space="preserve">| 1 P CPT % | 3 L CPT % | 4 L JAVA % | 5 L INE @ </v>
      </c>
      <c r="AY475" s="4" t="str">
        <f ca="1">IFERROR(__xludf.DUMMYFUNCTION("""COMPUTED_VALUE"""),"| 1 P NS @ | 3 L JAVA @ | 4 L NS @ | 5 P PRO @ ")</f>
        <v xml:space="preserve">| 1 P NS @ | 3 L JAVA @ | 4 L NS @ | 5 P PRO @ </v>
      </c>
      <c r="AZ475" s="4" t="str">
        <f ca="1">IFERROR(__xludf.DUMMYFUNCTION("""COMPUTED_VALUE"""),"| 1 P JAVA % | 3 L CPT @ | 4 L PHP-CGM @ | 5 P Python @ ")</f>
        <v xml:space="preserve">| 1 P JAVA % | 3 L CPT @ | 4 L PHP-CGM @ | 5 P Python @ </v>
      </c>
      <c r="BA475" s="4" t="str">
        <f ca="1">IFERROR(__xludf.DUMMYFUNCTION("""COMPUTED_VALUE"""),"| 1 P JAVA @ | 3 L PHP-CGM % | 4 L JAVA % | 5 L NS @ | 6 L CPT @ ")</f>
        <v xml:space="preserve">| 1 P JAVA @ | 3 L PHP-CGM % | 4 L JAVA % | 5 L NS @ | 6 L CPT @ </v>
      </c>
      <c r="BB475" s="4" t="str">
        <f ca="1">IFERROR(__xludf.DUMMYFUNCTION("""COMPUTED_VALUE"""),"| 1 P CPT @ | 3 L CPT % | 4 L JAVA % | 5 L INE % ")</f>
        <v xml:space="preserve">| 1 P CPT @ | 3 L CPT % | 4 L JAVA % | 5 L INE % </v>
      </c>
      <c r="BC475" s="4" t="str">
        <f ca="1">IFERROR(__xludf.DUMMYFUNCTION("""COMPUTED_VALUE"""),"| 1 P NS % | 3 L JAVA % | 4 L NS % | 5 P PRO % ")</f>
        <v xml:space="preserve">| 1 P NS % | 3 L JAVA % | 4 L NS % | 5 P PRO % </v>
      </c>
      <c r="BD475" s="4" t="str">
        <f ca="1">IFERROR(__xludf.DUMMYFUNCTION("""COMPUTED_VALUE"""),"| 1 P Python % | 4 L NS %  | 3 L PHP-CGM % | 5 P PHP-CGM % ")</f>
        <v xml:space="preserve">| 1 P Python % | 4 L NS %  | 3 L PHP-CGM % | 5 P PHP-CGM % </v>
      </c>
      <c r="BE475" s="4" t="str">
        <f ca="1">IFERROR(__xludf.DUMMYFUNCTION("""COMPUTED_VALUE"""),"| 1 P JAVA % | 3 L CPT % | 4 L PHP-CGM % | 5 P Python % ")</f>
        <v xml:space="preserve">| 1 P JAVA % | 3 L CPT % | 4 L PHP-CGM % | 5 P Python % </v>
      </c>
      <c r="BF475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G475" s="4" t="str">
        <f ca="1">IFERROR(__xludf.DUMMYFUNCTION("""COMPUTED_VALUE"""),"| 1 P NS % | 3 L JAVA % | 4 L NS % | 5 P PRO % ")</f>
        <v xml:space="preserve">| 1 P NS % | 3 L JAVA % | 4 L NS % | 5 P PRO % </v>
      </c>
      <c r="BH475" s="4" t="str">
        <f ca="1">IFERROR(__xludf.DUMMYFUNCTION("""COMPUTED_VALUE"""),"| 1 P Python @ | 3 L PHP-CGM @ | 4 L NS % | 5 P PHP-CGM @ ")</f>
        <v xml:space="preserve">| 1 P Python @ | 3 L PHP-CGM @ | 4 L NS % | 5 P PHP-CGM @ </v>
      </c>
      <c r="BI475" s="4" t="str">
        <f ca="1">IFERROR(__xludf.DUMMYFUNCTION("""COMPUTED_VALUE"""),"| 1 P JAVA % | 3 L CPT % | 4 L PHP-CGM @ | 5 P Python % ")</f>
        <v xml:space="preserve">| 1 P JAVA % | 3 L CPT % | 4 L PHP-CGM @ | 5 P Python % </v>
      </c>
      <c r="BJ475" s="4" t="str">
        <f ca="1">IFERROR(__xludf.DUMMYFUNCTION("""COMPUTED_VALUE"""),"| 1 P JAVA % | 3 L PHP-CGM @ | 4 L JAVA % | 5 L NS @ | 6 L CPT @ ")</f>
        <v xml:space="preserve">| 1 P JAVA % | 3 L PHP-CGM @ | 4 L JAVA % | 5 L NS @ | 6 L CPT @ </v>
      </c>
      <c r="BK475" s="4" t="str">
        <f ca="1">IFERROR(__xludf.DUMMYFUNCTION("""COMPUTED_VALUE"""),"| 1 P CPT % | 3 L CPT % | 4 L JAVA % | 5 L INE @ ")</f>
        <v xml:space="preserve">| 1 P CPT % | 3 L CPT % | 4 L JAVA % | 5 L INE @ </v>
      </c>
      <c r="BL475" s="4" t="str">
        <f ca="1">IFERROR(__xludf.DUMMYFUNCTION("""COMPUTED_VALUE"""),"| 1 P NS % | 3 L JAVA % | 4 L NS % ")</f>
        <v xml:space="preserve">| 1 P NS % | 3 L JAVA % | 4 L NS % </v>
      </c>
      <c r="BM475" s="4" t="str">
        <f ca="1">IFERROR(__xludf.DUMMYFUNCTION("""COMPUTED_VALUE"""),"| 1 P Python @ | 3 L PHP-CGM % | 4 L NS % | 5 P PHP-CGM @ ")</f>
        <v xml:space="preserve">| 1 P Python @ | 3 L PHP-CGM % | 4 L NS % | 5 P PHP-CGM @ </v>
      </c>
      <c r="BN475" s="4" t="str">
        <f ca="1">IFERROR(__xludf.DUMMYFUNCTION("""COMPUTED_VALUE"""),"| 1 P JAVA % | 3 L CPT @ | 4 L PHP-CGM @ | 5 P Python @ ")</f>
        <v xml:space="preserve">| 1 P JAVA % | 3 L CPT @ | 4 L PHP-CGM @ | 5 P Python @ </v>
      </c>
      <c r="BO475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75" s="4" t="str">
        <f ca="1">IFERROR(__xludf.DUMMYFUNCTION("""COMPUTED_VALUE"""),"| 1 P CPT % | 3 L CPT % | 4 L JAVA % | 5 L INE @ ")</f>
        <v xml:space="preserve">| 1 P CPT % | 3 L CPT % | 4 L JAVA % | 5 L INE @ </v>
      </c>
      <c r="BQ475" s="4" t="str">
        <f ca="1">IFERROR(__xludf.DUMMYFUNCTION("""COMPUTED_VALUE"""),"| 4 L NS % ")</f>
        <v xml:space="preserve">| 4 L NS % </v>
      </c>
      <c r="BR475" s="4"/>
      <c r="BS475" s="4"/>
      <c r="BT475" s="4" t="str">
        <f ca="1">IFERROR(__xludf.DUMMYFUNCTION("""COMPUTED_VALUE"""),"| 1 P CPT % | 3 L CPT % | 4 L JAVA % ")</f>
        <v xml:space="preserve">| 1 P CPT % | 3 L CPT % | 4 L JAVA % </v>
      </c>
      <c r="BU475" s="4" t="str">
        <f ca="1">IFERROR(__xludf.DUMMYFUNCTION("""COMPUTED_VALUE"""),"| 1 P NS @ | 4 L NS @ | 3 L JAVA @ ")</f>
        <v xml:space="preserve">| 1 P NS @ | 4 L NS @ | 3 L JAVA @ </v>
      </c>
      <c r="BV475" s="4" t="str">
        <f ca="1">IFERROR(__xludf.DUMMYFUNCTION("""COMPUTED_VALUE"""),"| 1 P CPT @ | 3 L CPT @ | 4 L JAVA @ ")</f>
        <v xml:space="preserve">| 1 P CPT @ | 3 L CPT @ | 4 L JAVA @ </v>
      </c>
      <c r="BW475" s="4" t="str">
        <f ca="1">IFERROR(__xludf.DUMMYFUNCTION("""COMPUTED_VALUE"""),"| 1 P NS % | 3 L JAVA % | 4 L NS % ")</f>
        <v xml:space="preserve">| 1 P NS % | 3 L JAVA % | 4 L NS % </v>
      </c>
      <c r="BX475" s="4" t="str">
        <f ca="1">IFERROR(__xludf.DUMMYFUNCTION("""COMPUTED_VALUE"""),"| 1 P Python % | 3 L PHP-CGM % | 4 L NS % | 5 P PHP-CGM % ")</f>
        <v xml:space="preserve">| 1 P Python % | 3 L PHP-CGM % | 4 L NS % | 5 P PHP-CGM % </v>
      </c>
      <c r="BY475" s="4" t="str">
        <f ca="1">IFERROR(__xludf.DUMMYFUNCTION("""COMPUTED_VALUE"""),"| 1 P JAVA % | 3 L CPT @ | 4 L PHP-CGM @ | 5 P Python @ ")</f>
        <v xml:space="preserve">| 1 P JAVA % | 3 L CPT @ | 4 L PHP-CGM @ | 5 P Python @ </v>
      </c>
      <c r="BZ475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A475" s="4" t="str">
        <f ca="1">IFERROR(__xludf.DUMMYFUNCTION("""COMPUTED_VALUE"""),"| 1 P CPT % | 3 L CPT % | 4 L JAVA % | 5 L INE % ")</f>
        <v xml:space="preserve">| 1 P CPT % | 3 L CPT % | 4 L JAVA % | 5 L INE % </v>
      </c>
      <c r="CB475" s="4" t="str">
        <f ca="1">IFERROR(__xludf.DUMMYFUNCTION("""COMPUTED_VALUE"""),"| 1 P NS % | 3 L JAVA % | 4 L NS % | 5 P PRO @ ")</f>
        <v xml:space="preserve">| 1 P NS % | 3 L JAVA % | 4 L NS % | 5 P PRO @ </v>
      </c>
      <c r="CC475" s="4" t="str">
        <f ca="1">IFERROR(__xludf.DUMMYFUNCTION("""COMPUTED_VALUE"""),"| 1 P Python % | 3 L PHP-CGM @ | 4 L NS @ | 5 P PHP-CGM @ ")</f>
        <v xml:space="preserve">| 1 P Python % | 3 L PHP-CGM @ | 4 L NS @ | 5 P PHP-CGM @ </v>
      </c>
      <c r="CD475" s="4" t="str">
        <f ca="1">IFERROR(__xludf.DUMMYFUNCTION("""COMPUTED_VALUE"""),"| 1 P JAVA % | 3 L CPT % | 4 L PHP-CGM % | 5 P Python % ")</f>
        <v xml:space="preserve">| 1 P JAVA % | 3 L CPT % | 4 L PHP-CGM % | 5 P Python % </v>
      </c>
      <c r="CE475" s="4" t="str">
        <f ca="1">IFERROR(__xludf.DUMMYFUNCTION("""COMPUTED_VALUE"""),"| 1 P JAVA % | 3 L PHP-CGM @ | 4 L JAVA @ | 5 L NS % | 6 L CPT % ")</f>
        <v xml:space="preserve">| 1 P JAVA % | 3 L PHP-CGM @ | 4 L JAVA @ | 5 L NS % | 6 L CPT % </v>
      </c>
      <c r="CF475" s="4" t="str">
        <f ca="1">IFERROR(__xludf.DUMMYFUNCTION("""COMPUTED_VALUE"""),"| 1 P CPT % | 3 L CPT % | 4 L JAVA % | 5 L INE @ ")</f>
        <v xml:space="preserve">| 1 P CPT % | 3 L CPT % | 4 L JAVA % | 5 L INE @ </v>
      </c>
      <c r="CG475" s="4" t="str">
        <f ca="1">IFERROR(__xludf.DUMMYFUNCTION("""COMPUTED_VALUE"""),"| 1 P NS % | 4 L NS % ")</f>
        <v xml:space="preserve">| 1 P NS % | 4 L NS % </v>
      </c>
      <c r="CH475" s="4" t="str">
        <f ca="1">IFERROR(__xludf.DUMMYFUNCTION("""COMPUTED_VALUE"""),"| 3 L PHP-CGM @ | 4 L NS @ | 1 P Python % ")</f>
        <v xml:space="preserve">| 3 L PHP-CGM @ | 4 L NS @ | 1 P Python % </v>
      </c>
      <c r="CI475" s="4" t="str">
        <f ca="1">IFERROR(__xludf.DUMMYFUNCTION("""COMPUTED_VALUE"""),"| 1 P JAVA % ")</f>
        <v xml:space="preserve">| 1 P JAVA % </v>
      </c>
      <c r="CJ475" s="4" t="str">
        <f ca="1">IFERROR(__xludf.DUMMYFUNCTION("""COMPUTED_VALUE"""),"| 1 P JAVA % | 4 L JAVA % ")</f>
        <v xml:space="preserve">| 1 P JAVA % | 4 L JAVA % </v>
      </c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</row>
    <row r="476" spans="1:102" ht="12.5" x14ac:dyDescent="0.25">
      <c r="A476" s="3">
        <f ca="1">IFERROR(__xludf.DUMMYFUNCTION("""COMPUTED_VALUE"""),1)</f>
        <v>1</v>
      </c>
      <c r="B476" s="3" t="str">
        <f ca="1">IFERROR(__xludf.DUMMYFUNCTION("""COMPUTED_VALUE"""),"ITC")</f>
        <v>ITC</v>
      </c>
      <c r="C476" s="32" t="str">
        <f ca="1">IFERROR(__xludf.DUMMYFUNCTION("""COMPUTED_VALUE"""),"23171371026")</f>
        <v>23171371026</v>
      </c>
      <c r="D476" s="4" t="str">
        <f ca="1">IFERROR(__xludf.DUMMYFUNCTION("""COMPUTED_VALUE"""),"JADAV JEET RAVINDRAKUMAR")</f>
        <v>JADAV JEET RAVINDRAKUMAR</v>
      </c>
      <c r="E476" s="3" t="str">
        <f ca="1">IFERROR(__xludf.DUMMYFUNCTION("""COMPUTED_VALUE"""),"SDP&amp;KKP - Mor")</f>
        <v>SDP&amp;KKP - Mor</v>
      </c>
      <c r="F476" s="3">
        <f ca="1">IFERROR(__xludf.DUMMYFUNCTION("""COMPUTED_VALUE"""),9313014619)</f>
        <v>9313014619</v>
      </c>
      <c r="G476" s="3">
        <f ca="1">IFERROR(__xludf.DUMMYFUNCTION("""COMPUTED_VALUE"""),8511864027)</f>
        <v>8511864027</v>
      </c>
      <c r="H476" s="33">
        <f ca="1">IFERROR(__xludf.DUMMYFUNCTION("""COMPUTED_VALUE"""),0.570247933884297)</f>
        <v>0.57024793388429695</v>
      </c>
      <c r="I476" s="25">
        <f ca="1">IFERROR(__xludf.DUMMYFUNCTION("""COMPUTED_VALUE"""),0.5)</f>
        <v>0.5</v>
      </c>
      <c r="J476" s="25">
        <f ca="1">IFERROR(__xludf.DUMMYFUNCTION("""COMPUTED_VALUE"""),0.615384615384615)</f>
        <v>0.61538461538461497</v>
      </c>
      <c r="K476" s="25">
        <f ca="1">IFERROR(__xludf.DUMMYFUNCTION("""COMPUTED_VALUE"""),0.5)</f>
        <v>0.5</v>
      </c>
      <c r="L476" s="25">
        <f ca="1">IFERROR(__xludf.DUMMYFUNCTION("""COMPUTED_VALUE"""),0.692307692307692)</f>
        <v>0.69230769230769196</v>
      </c>
      <c r="M476" s="25">
        <f ca="1">IFERROR(__xludf.DUMMYFUNCTION("""COMPUTED_VALUE"""),0.625)</f>
        <v>0.625</v>
      </c>
      <c r="N476" s="25">
        <f ca="1">IFERROR(__xludf.DUMMYFUNCTION("""COMPUTED_VALUE"""),0.3)</f>
        <v>0.3</v>
      </c>
      <c r="O476" s="25">
        <f ca="1">IFERROR(__xludf.DUMMYFUNCTION("""COMPUTED_VALUE"""),0.675675675675675)</f>
        <v>0.67567567567567499</v>
      </c>
      <c r="P476" s="25">
        <f ca="1">IFERROR(__xludf.DUMMYFUNCTION("""COMPUTED_VALUE"""),0.64)</f>
        <v>0.64</v>
      </c>
      <c r="Q476" s="25">
        <f ca="1">IFERROR(__xludf.DUMMYFUNCTION("""COMPUTED_VALUE"""),0)</f>
        <v>0</v>
      </c>
      <c r="R476" s="25">
        <f ca="1">IFERROR(__xludf.DUMMYFUNCTION("""COMPUTED_VALUE"""),0.521739130434782)</f>
        <v>0.52173913043478204</v>
      </c>
      <c r="S476" s="25">
        <f ca="1">IFERROR(__xludf.DUMMYFUNCTION("""COMPUTED_VALUE"""),0)</f>
        <v>0</v>
      </c>
      <c r="T476" s="25">
        <f ca="1">IFERROR(__xludf.DUMMYFUNCTION("""COMPUTED_VALUE"""),0.777777777777777)</f>
        <v>0.77777777777777701</v>
      </c>
      <c r="U476" s="25">
        <f ca="1">IFERROR(__xludf.DUMMYFUNCTION("""COMPUTED_VALUE"""),0.25)</f>
        <v>0.25</v>
      </c>
      <c r="V476" s="25">
        <f ca="1">IFERROR(__xludf.DUMMYFUNCTION("""COMPUTED_VALUE"""),0)</f>
        <v>0</v>
      </c>
      <c r="W476" s="4"/>
      <c r="X476" s="4" t="str">
        <f ca="1">IFERROR(__xludf.DUMMYFUNCTION("""COMPUTED_VALUE"""),"| 1 P CPT @ | 3 L CPT @ | 4 L JAVA @ ")</f>
        <v xml:space="preserve">| 1 P CPT @ | 3 L CPT @ | 4 L JAVA @ </v>
      </c>
      <c r="Y476" s="4" t="str">
        <f ca="1">IFERROR(__xludf.DUMMYFUNCTION("""COMPUTED_VALUE"""),"| 1 P NS @ | 3 L JAVA @ | 4 L NS @ | 5 P PRO @ ")</f>
        <v xml:space="preserve">| 1 P NS @ | 3 L JAVA @ | 4 L NS @ | 5 P PRO @ </v>
      </c>
      <c r="Z476" s="4" t="str">
        <f ca="1">IFERROR(__xludf.DUMMYFUNCTION("""COMPUTED_VALUE"""),"| 1 P Python % | 3 L PHP-CGM % | 4 L NS % | 5 P PHP-CGM @ ")</f>
        <v xml:space="preserve">| 1 P Python % | 3 L PHP-CGM % | 4 L NS % | 5 P PHP-CGM @ </v>
      </c>
      <c r="AA476" s="4" t="str">
        <f ca="1">IFERROR(__xludf.DUMMYFUNCTION("""COMPUTED_VALUE"""),"| 1 P JAVA % | 3 L CPT % | 5 P Python @ ")</f>
        <v xml:space="preserve">| 1 P JAVA % | 3 L CPT % | 5 P Python @ </v>
      </c>
      <c r="AB476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76" s="4" t="str">
        <f ca="1">IFERROR(__xludf.DUMMYFUNCTION("""COMPUTED_VALUE"""),"| 1 P CPT % | 3 L CPT % | 4 L JAVA % ")</f>
        <v xml:space="preserve">| 1 P CPT % | 3 L CPT % | 4 L JAVA % </v>
      </c>
      <c r="AD476" s="4" t="str">
        <f ca="1">IFERROR(__xludf.DUMMYFUNCTION("""COMPUTED_VALUE"""),"| 1 P NS % | 3 L JAVA % | 4 L NS % | 5 P PRO @ ")</f>
        <v xml:space="preserve">| 1 P NS % | 3 L JAVA % | 4 L NS % | 5 P PRO @ </v>
      </c>
      <c r="AE476" s="4" t="str">
        <f ca="1">IFERROR(__xludf.DUMMYFUNCTION("""COMPUTED_VALUE"""),"| 1 P Python % | 3 L PHP-CGM % | 4 L NS % | 5 P PHP-CGM @ ")</f>
        <v xml:space="preserve">| 1 P Python % | 3 L PHP-CGM % | 4 L NS % | 5 P PHP-CGM @ </v>
      </c>
      <c r="AF476" s="4" t="str">
        <f ca="1">IFERROR(__xludf.DUMMYFUNCTION("""COMPUTED_VALUE"""),"| 1 P JAVA % | 3 L CPT % | 4 L PHP-CGM % | 5 P Python @ ")</f>
        <v xml:space="preserve">| 1 P JAVA % | 3 L CPT % | 4 L PHP-CGM % | 5 P Python @ </v>
      </c>
      <c r="AG476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H476" s="4" t="str">
        <f ca="1">IFERROR(__xludf.DUMMYFUNCTION("""COMPUTED_VALUE"""),"| 1 P JAVA % | 3 L CPT % | 4 L PHP-CGM % | 5 P Python % ")</f>
        <v xml:space="preserve">| 1 P JAVA % | 3 L CPT % | 4 L PHP-CGM % | 5 P Python % </v>
      </c>
      <c r="AI476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J476" s="4" t="str">
        <f ca="1">IFERROR(__xludf.DUMMYFUNCTION("""COMPUTED_VALUE"""),"| 1 P CPT @ | 3 L CPT @ | 4 L JAVA @ ")</f>
        <v xml:space="preserve">| 1 P CPT @ | 3 L CPT @ | 4 L JAVA @ </v>
      </c>
      <c r="AK476" s="4" t="str">
        <f ca="1">IFERROR(__xludf.DUMMYFUNCTION("""COMPUTED_VALUE"""),"| 1 P NS % | 4 L NS % | 3 L JAVA % | 5 P PRO % ")</f>
        <v xml:space="preserve">| 1 P NS % | 4 L NS % | 3 L JAVA % | 5 P PRO % </v>
      </c>
      <c r="AL476" s="4" t="str">
        <f ca="1">IFERROR(__xludf.DUMMYFUNCTION("""COMPUTED_VALUE"""),"| 1 P Python % | 3 L PHP-CGM % | 4 L NS % | 5 P PHP-CGM % ")</f>
        <v xml:space="preserve">| 1 P Python % | 3 L PHP-CGM % | 4 L NS % | 5 P PHP-CGM % </v>
      </c>
      <c r="AM476" s="4" t="str">
        <f ca="1">IFERROR(__xludf.DUMMYFUNCTION("""COMPUTED_VALUE"""),"| 1 P JAVA % | 3 L CPT % | 4 L PHP-CGM % | 5 P Python @ ")</f>
        <v xml:space="preserve">| 1 P JAVA % | 3 L CPT % | 4 L PHP-CGM % | 5 P Python @ </v>
      </c>
      <c r="AN476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O476" s="4" t="str">
        <f ca="1">IFERROR(__xludf.DUMMYFUNCTION("""COMPUTED_VALUE"""),"| 1 P CPT % | 3 L CPT % | 4 L JAVA % | 5 L INE % ")</f>
        <v xml:space="preserve">| 1 P CPT % | 3 L CPT % | 4 L JAVA % | 5 L INE % </v>
      </c>
      <c r="AP476" s="4" t="str">
        <f ca="1">IFERROR(__xludf.DUMMYFUNCTION("""COMPUTED_VALUE"""),"| 1 P NS % | 3 L JAVA % | 4 L NS % | 5 P PRO % ")</f>
        <v xml:space="preserve">| 1 P NS % | 3 L JAVA % | 4 L NS % | 5 P PRO % </v>
      </c>
      <c r="AQ476" s="4" t="str">
        <f ca="1">IFERROR(__xludf.DUMMYFUNCTION("""COMPUTED_VALUE"""),"| 1 P Python % | 3 L PHP-CGM % | 4 L NS % | 5 P PHP-CGM @ ")</f>
        <v xml:space="preserve">| 1 P Python % | 3 L PHP-CGM % | 4 L NS % | 5 P PHP-CGM @ </v>
      </c>
      <c r="AR476" s="4" t="str">
        <f ca="1">IFERROR(__xludf.DUMMYFUNCTION("""COMPUTED_VALUE"""),"| 1 P JAVA @ | 3 L CPT @ | 5 P Python @ ")</f>
        <v xml:space="preserve">| 1 P JAVA @ | 3 L CPT @ | 5 P Python @ </v>
      </c>
      <c r="AS476" s="4" t="str">
        <f ca="1">IFERROR(__xludf.DUMMYFUNCTION("""COMPUTED_VALUE"""),"| 1 P CPT @ | 3 L CPT % | 4 L JAVA % | 5 L INE @ ")</f>
        <v xml:space="preserve">| 1 P CPT @ | 3 L CPT % | 4 L JAVA % | 5 L INE @ </v>
      </c>
      <c r="AT476" s="4" t="str">
        <f ca="1">IFERROR(__xludf.DUMMYFUNCTION("""COMPUTED_VALUE"""),"| 1 P NS @ | 3 L JAVA % | 4 L NS % | 5 P PRO % ")</f>
        <v xml:space="preserve">| 1 P NS @ | 3 L JAVA % | 4 L NS % | 5 P PRO % </v>
      </c>
      <c r="AU476" s="4" t="str">
        <f ca="1">IFERROR(__xludf.DUMMYFUNCTION("""COMPUTED_VALUE"""),"| 1 P Python @ | 3 L PHP-CGM @ | 4 L NS @ | 5 P PHP-CGM @ ")</f>
        <v xml:space="preserve">| 1 P Python @ | 3 L PHP-CGM @ | 4 L NS @ | 5 P PHP-CGM @ </v>
      </c>
      <c r="AV476" s="4" t="str">
        <f ca="1">IFERROR(__xludf.DUMMYFUNCTION("""COMPUTED_VALUE"""),"| 1 P JAVA % | 3 L CPT % | 4 L PHP-CGM % | 5 P Python % ")</f>
        <v xml:space="preserve">| 1 P JAVA % | 3 L CPT % | 4 L PHP-CGM % | 5 P Python % </v>
      </c>
      <c r="AW476" s="4" t="str">
        <f ca="1">IFERROR(__xludf.DUMMYFUNCTION("""COMPUTED_VALUE"""),"| 1 P JAVA % | 3 L PHP-CGM @ | 4 L JAVA % | 5 L NS @ | 5 L CPT @ ")</f>
        <v xml:space="preserve">| 1 P JAVA % | 3 L PHP-CGM @ | 4 L JAVA % | 5 L NS @ | 5 L CPT @ </v>
      </c>
      <c r="AX476" s="4" t="str">
        <f ca="1">IFERROR(__xludf.DUMMYFUNCTION("""COMPUTED_VALUE"""),"| 1 P CPT % | 3 L CPT % | 4 L JAVA % | 5 L INE @ ")</f>
        <v xml:space="preserve">| 1 P CPT % | 3 L CPT % | 4 L JAVA % | 5 L INE @ </v>
      </c>
      <c r="AY476" s="4" t="str">
        <f ca="1">IFERROR(__xludf.DUMMYFUNCTION("""COMPUTED_VALUE"""),"| 1 P NS % | 3 L JAVA % | 4 L NS % | 5 P PRO % ")</f>
        <v xml:space="preserve">| 1 P NS % | 3 L JAVA % | 4 L NS % | 5 P PRO % </v>
      </c>
      <c r="AZ476" s="4" t="str">
        <f ca="1">IFERROR(__xludf.DUMMYFUNCTION("""COMPUTED_VALUE"""),"| 1 P JAVA % | 3 L CPT % | 4 L PHP-CGM % | 5 P Python % ")</f>
        <v xml:space="preserve">| 1 P JAVA % | 3 L CPT % | 4 L PHP-CGM % | 5 P Python % </v>
      </c>
      <c r="BA476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B476" s="4" t="str">
        <f ca="1">IFERROR(__xludf.DUMMYFUNCTION("""COMPUTED_VALUE"""),"| 1 P CPT % | 3 L CPT % | 4 L JAVA % | 5 L INE @ ")</f>
        <v xml:space="preserve">| 1 P CPT % | 3 L CPT % | 4 L JAVA % | 5 L INE @ </v>
      </c>
      <c r="BC476" s="4" t="str">
        <f ca="1">IFERROR(__xludf.DUMMYFUNCTION("""COMPUTED_VALUE"""),"| 1 P NS % | 3 L JAVA % | 4 L NS % | 5 P PRO % ")</f>
        <v xml:space="preserve">| 1 P NS % | 3 L JAVA % | 4 L NS % | 5 P PRO % </v>
      </c>
      <c r="BD476" s="4" t="str">
        <f ca="1">IFERROR(__xludf.DUMMYFUNCTION("""COMPUTED_VALUE"""),"| 1 P Python % | 4 L NS %  | 3 L PHP-CGM % | 5 P PHP-CGM % ")</f>
        <v xml:space="preserve">| 1 P Python % | 4 L NS %  | 3 L PHP-CGM % | 5 P PHP-CGM % </v>
      </c>
      <c r="BE476" s="4" t="str">
        <f ca="1">IFERROR(__xludf.DUMMYFUNCTION("""COMPUTED_VALUE"""),"| 1 P JAVA @ | 3 L CPT @ | 4 L PHP-CGM @ | 5 P Python @ ")</f>
        <v xml:space="preserve">| 1 P JAVA @ | 3 L CPT @ | 4 L PHP-CGM @ | 5 P Python @ </v>
      </c>
      <c r="BF476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G476" s="4" t="str">
        <f ca="1">IFERROR(__xludf.DUMMYFUNCTION("""COMPUTED_VALUE"""),"| 1 P NS % | 3 L JAVA % | 4 L NS % | 5 P PRO % ")</f>
        <v xml:space="preserve">| 1 P NS % | 3 L JAVA % | 4 L NS % | 5 P PRO % </v>
      </c>
      <c r="BH476" s="4" t="str">
        <f ca="1">IFERROR(__xludf.DUMMYFUNCTION("""COMPUTED_VALUE"""),"| 1 P Python % | 3 L PHP-CGM % | 4 L NS % | 5 P PHP-CGM % ")</f>
        <v xml:space="preserve">| 1 P Python % | 3 L PHP-CGM % | 4 L NS % | 5 P PHP-CGM % </v>
      </c>
      <c r="BI476" s="4" t="str">
        <f ca="1">IFERROR(__xludf.DUMMYFUNCTION("""COMPUTED_VALUE"""),"| 1 P JAVA @ | 3 L CPT @ | 4 L PHP-CGM @ | 5 P Python @ ")</f>
        <v xml:space="preserve">| 1 P JAVA @ | 3 L CPT @ | 4 L PHP-CGM @ | 5 P Python @ </v>
      </c>
      <c r="BJ476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K476" s="4" t="str">
        <f ca="1">IFERROR(__xludf.DUMMYFUNCTION("""COMPUTED_VALUE"""),"| 1 P CPT @ | 3 L CPT @ | 4 L JAVA @ | 5 L INE @ ")</f>
        <v xml:space="preserve">| 1 P CPT @ | 3 L CPT @ | 4 L JAVA @ | 5 L INE @ </v>
      </c>
      <c r="BL476" s="4" t="str">
        <f ca="1">IFERROR(__xludf.DUMMYFUNCTION("""COMPUTED_VALUE"""),"| 1 P NS @ | 3 L JAVA @ | 4 L NS @ ")</f>
        <v xml:space="preserve">| 1 P NS @ | 3 L JAVA @ | 4 L NS @ </v>
      </c>
      <c r="BM476" s="4" t="str">
        <f ca="1">IFERROR(__xludf.DUMMYFUNCTION("""COMPUTED_VALUE"""),"| 1 P Python @ | 3 L PHP-CGM @ | 4 L NS @ | 5 P PHP-CGM @ ")</f>
        <v xml:space="preserve">| 1 P Python @ | 3 L PHP-CGM @ | 4 L NS @ | 5 P PHP-CGM @ </v>
      </c>
      <c r="BN476" s="4" t="str">
        <f ca="1">IFERROR(__xludf.DUMMYFUNCTION("""COMPUTED_VALUE"""),"| 1 P JAVA @ | 3 L CPT @ | 4 L PHP-CGM @ | 5 P Python @ ")</f>
        <v xml:space="preserve">| 1 P JAVA @ | 3 L CPT @ | 4 L PHP-CGM @ | 5 P Python @ </v>
      </c>
      <c r="BO476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76" s="4" t="str">
        <f ca="1">IFERROR(__xludf.DUMMYFUNCTION("""COMPUTED_VALUE"""),"| 1 P CPT % | 3 L CPT % | 4 L JAVA % | 5 L INE @ ")</f>
        <v xml:space="preserve">| 1 P CPT % | 3 L CPT % | 4 L JAVA % | 5 L INE @ </v>
      </c>
      <c r="BQ476" s="4" t="str">
        <f ca="1">IFERROR(__xludf.DUMMYFUNCTION("""COMPUTED_VALUE"""),"| 4 L NS @ ")</f>
        <v xml:space="preserve">| 4 L NS @ </v>
      </c>
      <c r="BR476" s="4"/>
      <c r="BS476" s="4"/>
      <c r="BT476" s="4" t="str">
        <f ca="1">IFERROR(__xludf.DUMMYFUNCTION("""COMPUTED_VALUE"""),"| 1 P CPT % | 3 L CPT % | 4 L JAVA % ")</f>
        <v xml:space="preserve">| 1 P CPT % | 3 L CPT % | 4 L JAVA % </v>
      </c>
      <c r="BU476" s="4" t="str">
        <f ca="1">IFERROR(__xludf.DUMMYFUNCTION("""COMPUTED_VALUE"""),"| 1 P NS @ | 4 L NS @ | 3 L JAVA @ ")</f>
        <v xml:space="preserve">| 1 P NS @ | 4 L NS @ | 3 L JAVA @ </v>
      </c>
      <c r="BV476" s="4" t="str">
        <f ca="1">IFERROR(__xludf.DUMMYFUNCTION("""COMPUTED_VALUE"""),"| 1 P CPT @ | 3 L CPT @ | 4 L JAVA @ ")</f>
        <v xml:space="preserve">| 1 P CPT @ | 3 L CPT @ | 4 L JAVA @ </v>
      </c>
      <c r="BW476" s="4" t="str">
        <f ca="1">IFERROR(__xludf.DUMMYFUNCTION("""COMPUTED_VALUE"""),"| 1 P NS % | 3 L JAVA % | 4 L NS % ")</f>
        <v xml:space="preserve">| 1 P NS % | 3 L JAVA % | 4 L NS % </v>
      </c>
      <c r="BX476" s="4" t="str">
        <f ca="1">IFERROR(__xludf.DUMMYFUNCTION("""COMPUTED_VALUE"""),"| 1 P Python @ | 3 L PHP-CGM % | 4 L NS % | 5 P PHP-CGM @ ")</f>
        <v xml:space="preserve">| 1 P Python @ | 3 L PHP-CGM % | 4 L NS % | 5 P PHP-CGM @ </v>
      </c>
      <c r="BY476" s="4" t="str">
        <f ca="1">IFERROR(__xludf.DUMMYFUNCTION("""COMPUTED_VALUE"""),"| 1 P JAVA % | 3 L CPT % | 4 L PHP-CGM % | 5 P Python % ")</f>
        <v xml:space="preserve">| 1 P JAVA % | 3 L CPT % | 4 L PHP-CGM % | 5 P Python % </v>
      </c>
      <c r="BZ47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76" s="4" t="str">
        <f ca="1">IFERROR(__xludf.DUMMYFUNCTION("""COMPUTED_VALUE"""),"| 1 P CPT % | 3 L CPT % | 4 L JAVA % | 5 L INE % ")</f>
        <v xml:space="preserve">| 1 P CPT % | 3 L CPT % | 4 L JAVA % | 5 L INE % </v>
      </c>
      <c r="CB476" s="4" t="str">
        <f ca="1">IFERROR(__xludf.DUMMYFUNCTION("""COMPUTED_VALUE"""),"| 1 P NS % | 3 L JAVA % | 4 L NS % | 5 P PRO % ")</f>
        <v xml:space="preserve">| 1 P NS % | 3 L JAVA % | 4 L NS % | 5 P PRO % </v>
      </c>
      <c r="CC476" s="4" t="str">
        <f ca="1">IFERROR(__xludf.DUMMYFUNCTION("""COMPUTED_VALUE"""),"| 1 P Python % | 3 L PHP-CGM % | 4 L NS % | 5 P PHP-CGM @ ")</f>
        <v xml:space="preserve">| 1 P Python % | 3 L PHP-CGM % | 4 L NS % | 5 P PHP-CGM @ </v>
      </c>
      <c r="CD476" s="4" t="str">
        <f ca="1">IFERROR(__xludf.DUMMYFUNCTION("""COMPUTED_VALUE"""),"| 1 P JAVA % | 3 L CPT % | 4 L PHP-CGM % | 5 P Python @ ")</f>
        <v xml:space="preserve">| 1 P JAVA % | 3 L CPT % | 4 L PHP-CGM % | 5 P Python @ </v>
      </c>
      <c r="CE47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76" s="4" t="str">
        <f ca="1">IFERROR(__xludf.DUMMYFUNCTION("""COMPUTED_VALUE"""),"| 1 P CPT % | 3 L CPT % | 4 L JAVA % | 5 L INE @ ")</f>
        <v xml:space="preserve">| 1 P CPT % | 3 L CPT % | 4 L JAVA % | 5 L INE @ </v>
      </c>
      <c r="CG476" s="4" t="str">
        <f ca="1">IFERROR(__xludf.DUMMYFUNCTION("""COMPUTED_VALUE"""),"| 1 P NS % | 4 L NS % ")</f>
        <v xml:space="preserve">| 1 P NS % | 4 L NS % </v>
      </c>
      <c r="CH476" s="4" t="str">
        <f ca="1">IFERROR(__xludf.DUMMYFUNCTION("""COMPUTED_VALUE"""),"| 3 L PHP-CGM @ | 4 L NS @ | 1 P Python % ")</f>
        <v xml:space="preserve">| 3 L PHP-CGM @ | 4 L NS @ | 1 P Python % </v>
      </c>
      <c r="CI476" s="4" t="str">
        <f ca="1">IFERROR(__xludf.DUMMYFUNCTION("""COMPUTED_VALUE"""),"| 1 P JAVA % ")</f>
        <v xml:space="preserve">| 1 P JAVA % </v>
      </c>
      <c r="CJ476" s="4" t="str">
        <f ca="1">IFERROR(__xludf.DUMMYFUNCTION("""COMPUTED_VALUE"""),"| 1 P JAVA % | 4 L JAVA % ")</f>
        <v xml:space="preserve">| 1 P JAVA % | 4 L JAVA % </v>
      </c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</row>
    <row r="477" spans="1:102" ht="12.5" x14ac:dyDescent="0.25">
      <c r="A477" s="3"/>
      <c r="B477" s="3"/>
      <c r="C477" s="32"/>
      <c r="D477" s="4"/>
      <c r="E477" s="3"/>
      <c r="F477" s="3"/>
      <c r="G477" s="3"/>
      <c r="H477" s="33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</row>
    <row r="478" spans="1:102" ht="12.5" x14ac:dyDescent="0.25">
      <c r="A478" s="3">
        <f ca="1">IFERROR(__xludf.DUMMYFUNCTION("""COMPUTED_VALUE"""),1)</f>
        <v>1</v>
      </c>
      <c r="B478" s="3" t="str">
        <f ca="1">IFERROR(__xludf.DUMMYFUNCTION("""COMPUTED_VALUE"""),"ITC")</f>
        <v>ITC</v>
      </c>
      <c r="C478" s="32" t="str">
        <f ca="1">IFERROR(__xludf.DUMMYFUNCTION("""COMPUTED_VALUE"""),"23171371029")</f>
        <v>23171371029</v>
      </c>
      <c r="D478" s="4" t="str">
        <f ca="1">IFERROR(__xludf.DUMMYFUNCTION("""COMPUTED_VALUE"""),"JOSHI HRITIK SACHINBHAI")</f>
        <v>JOSHI HRITIK SACHINBHAI</v>
      </c>
      <c r="E478" s="3" t="str">
        <f ca="1">IFERROR(__xludf.DUMMYFUNCTION("""COMPUTED_VALUE"""),"SDP&amp;KKP - Mor")</f>
        <v>SDP&amp;KKP - Mor</v>
      </c>
      <c r="F478" s="3">
        <f ca="1">IFERROR(__xludf.DUMMYFUNCTION("""COMPUTED_VALUE"""),9737696376)</f>
        <v>9737696376</v>
      </c>
      <c r="G478" s="3">
        <f ca="1">IFERROR(__xludf.DUMMYFUNCTION("""COMPUTED_VALUE"""),9909995139)</f>
        <v>9909995139</v>
      </c>
      <c r="H478" s="33">
        <f ca="1">IFERROR(__xludf.DUMMYFUNCTION("""COMPUTED_VALUE"""),0.640495867768595)</f>
        <v>0.64049586776859502</v>
      </c>
      <c r="I478" s="25">
        <f ca="1">IFERROR(__xludf.DUMMYFUNCTION("""COMPUTED_VALUE"""),0.583333333333333)</f>
        <v>0.58333333333333304</v>
      </c>
      <c r="J478" s="25">
        <f ca="1">IFERROR(__xludf.DUMMYFUNCTION("""COMPUTED_VALUE"""),0.769230769230769)</f>
        <v>0.76923076923076905</v>
      </c>
      <c r="K478" s="25">
        <f ca="1">IFERROR(__xludf.DUMMYFUNCTION("""COMPUTED_VALUE"""),0.472222222222222)</f>
        <v>0.47222222222222199</v>
      </c>
      <c r="L478" s="25">
        <f ca="1">IFERROR(__xludf.DUMMYFUNCTION("""COMPUTED_VALUE"""),0.692307692307692)</f>
        <v>0.69230769230769196</v>
      </c>
      <c r="M478" s="25">
        <f ca="1">IFERROR(__xludf.DUMMYFUNCTION("""COMPUTED_VALUE"""),0.65625)</f>
        <v>0.65625</v>
      </c>
      <c r="N478" s="25">
        <f ca="1">IFERROR(__xludf.DUMMYFUNCTION("""COMPUTED_VALUE"""),0.7)</f>
        <v>0.7</v>
      </c>
      <c r="O478" s="25">
        <f ca="1">IFERROR(__xludf.DUMMYFUNCTION("""COMPUTED_VALUE"""),0.621621621621621)</f>
        <v>0.62162162162162105</v>
      </c>
      <c r="P478" s="25">
        <f ca="1">IFERROR(__xludf.DUMMYFUNCTION("""COMPUTED_VALUE"""),0.76)</f>
        <v>0.76</v>
      </c>
      <c r="Q478" s="25">
        <f ca="1">IFERROR(__xludf.DUMMYFUNCTION("""COMPUTED_VALUE"""),0)</f>
        <v>0</v>
      </c>
      <c r="R478" s="25">
        <f ca="1">IFERROR(__xludf.DUMMYFUNCTION("""COMPUTED_VALUE"""),0.782608695652174)</f>
        <v>0.78260869565217395</v>
      </c>
      <c r="S478" s="25">
        <f ca="1">IFERROR(__xludf.DUMMYFUNCTION("""COMPUTED_VALUE"""),0)</f>
        <v>0</v>
      </c>
      <c r="T478" s="25">
        <f ca="1">IFERROR(__xludf.DUMMYFUNCTION("""COMPUTED_VALUE"""),0.555555555555555)</f>
        <v>0.55555555555555503</v>
      </c>
      <c r="U478" s="25">
        <f ca="1">IFERROR(__xludf.DUMMYFUNCTION("""COMPUTED_VALUE"""),0.625)</f>
        <v>0.625</v>
      </c>
      <c r="V478" s="25">
        <f ca="1">IFERROR(__xludf.DUMMYFUNCTION("""COMPUTED_VALUE"""),0)</f>
        <v>0</v>
      </c>
      <c r="W478" s="4"/>
      <c r="X478" s="4" t="str">
        <f ca="1">IFERROR(__xludf.DUMMYFUNCTION("""COMPUTED_VALUE"""),"| 1 P CPT % | 3 L CPT % | 4 L JAVA % ")</f>
        <v xml:space="preserve">| 1 P CPT % | 3 L CPT % | 4 L JAVA % </v>
      </c>
      <c r="Y478" s="4" t="str">
        <f ca="1">IFERROR(__xludf.DUMMYFUNCTION("""COMPUTED_VALUE"""),"| 1 P NS % | 3 L JAVA % | 4 L NS % | 5 P PRO % ")</f>
        <v xml:space="preserve">| 1 P NS % | 3 L JAVA % | 4 L NS % | 5 P PRO % </v>
      </c>
      <c r="Z478" s="4" t="str">
        <f ca="1">IFERROR(__xludf.DUMMYFUNCTION("""COMPUTED_VALUE"""),"| 1 P Python % | 3 L PHP-CGM % | 4 L NS % | 5 P PHP-CGM % ")</f>
        <v xml:space="preserve">| 1 P Python % | 3 L PHP-CGM % | 4 L NS % | 5 P PHP-CGM % </v>
      </c>
      <c r="AA478" s="4" t="str">
        <f ca="1">IFERROR(__xludf.DUMMYFUNCTION("""COMPUTED_VALUE"""),"| 1 P JAVA % | 3 L CPT % | 5 P Python % ")</f>
        <v xml:space="preserve">| 1 P JAVA % | 3 L CPT % | 5 P Python % </v>
      </c>
      <c r="AB478" s="4" t="str">
        <f ca="1">IFERROR(__xludf.DUMMYFUNCTION("""COMPUTED_VALUE"""),"| 1 P JAVA % | 3 L PHP-CGM % | 4 L JAVA % | 5 L CPT @ | 6 L NS % ")</f>
        <v xml:space="preserve">| 1 P JAVA % | 3 L PHP-CGM % | 4 L JAVA % | 5 L CPT @ | 6 L NS % </v>
      </c>
      <c r="AC478" s="4" t="str">
        <f ca="1">IFERROR(__xludf.DUMMYFUNCTION("""COMPUTED_VALUE"""),"| 1 P CPT % | 3 L CPT % | 4 L JAVA % ")</f>
        <v xml:space="preserve">| 1 P CPT % | 3 L CPT % | 4 L JAVA % </v>
      </c>
      <c r="AD478" s="4" t="str">
        <f ca="1">IFERROR(__xludf.DUMMYFUNCTION("""COMPUTED_VALUE"""),"| 1 P NS % | 3 L JAVA % | 4 L NS % | 5 P PRO % ")</f>
        <v xml:space="preserve">| 1 P NS % | 3 L JAVA % | 4 L NS % | 5 P PRO % </v>
      </c>
      <c r="AE478" s="4" t="str">
        <f ca="1">IFERROR(__xludf.DUMMYFUNCTION("""COMPUTED_VALUE"""),"| 1 P Python % | 3 L PHP-CGM % | 4 L NS % | 5 P PHP-CGM % ")</f>
        <v xml:space="preserve">| 1 P Python % | 3 L PHP-CGM % | 4 L NS % | 5 P PHP-CGM % </v>
      </c>
      <c r="AF478" s="4" t="str">
        <f ca="1">IFERROR(__xludf.DUMMYFUNCTION("""COMPUTED_VALUE"""),"| 1 P JAVA % | 3 L CPT % | 4 L PHP-CGM % | 5 P Python % ")</f>
        <v xml:space="preserve">| 1 P JAVA % | 3 L CPT % | 4 L PHP-CGM % | 5 P Python % </v>
      </c>
      <c r="AG478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78" s="4" t="str">
        <f ca="1">IFERROR(__xludf.DUMMYFUNCTION("""COMPUTED_VALUE"""),"| 1 P JAVA % | 3 L CPT % | 4 L PHP-CGM % | 5 P Python % ")</f>
        <v xml:space="preserve">| 1 P JAVA % | 3 L CPT % | 4 L PHP-CGM % | 5 P Python % </v>
      </c>
      <c r="AI478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J478" s="4" t="str">
        <f ca="1">IFERROR(__xludf.DUMMYFUNCTION("""COMPUTED_VALUE"""),"| 1 P CPT % | 3 L CPT % | 4 L JAVA % ")</f>
        <v xml:space="preserve">| 1 P CPT % | 3 L CPT % | 4 L JAVA % </v>
      </c>
      <c r="AK478" s="4" t="str">
        <f ca="1">IFERROR(__xludf.DUMMYFUNCTION("""COMPUTED_VALUE"""),"| 1 P NS % | 4 L NS % | 3 L JAVA % | 5 P PRO @ ")</f>
        <v xml:space="preserve">| 1 P NS % | 4 L NS % | 3 L JAVA % | 5 P PRO @ </v>
      </c>
      <c r="AL478" s="4" t="str">
        <f ca="1">IFERROR(__xludf.DUMMYFUNCTION("""COMPUTED_VALUE"""),"| 1 P Python % | 3 L PHP-CGM % | 4 L NS % | 5 P PHP-CGM % ")</f>
        <v xml:space="preserve">| 1 P Python % | 3 L PHP-CGM % | 4 L NS % | 5 P PHP-CGM % </v>
      </c>
      <c r="AM478" s="4" t="str">
        <f ca="1">IFERROR(__xludf.DUMMYFUNCTION("""COMPUTED_VALUE"""),"| 1 P JAVA % | 3 L CPT % | 4 L PHP-CGM % | 5 P Python % ")</f>
        <v xml:space="preserve">| 1 P JAVA % | 3 L CPT % | 4 L PHP-CGM % | 5 P Python % </v>
      </c>
      <c r="AN478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78" s="4" t="str">
        <f ca="1">IFERROR(__xludf.DUMMYFUNCTION("""COMPUTED_VALUE"""),"| 1 P CPT % | 3 L CPT % | 4 L JAVA % | 5 L INE % ")</f>
        <v xml:space="preserve">| 1 P CPT % | 3 L CPT % | 4 L JAVA % | 5 L INE % </v>
      </c>
      <c r="AP478" s="4" t="str">
        <f ca="1">IFERROR(__xludf.DUMMYFUNCTION("""COMPUTED_VALUE"""),"| 1 P NS % | 3 L JAVA % | 4 L NS % | 5 P PRO % ")</f>
        <v xml:space="preserve">| 1 P NS % | 3 L JAVA % | 4 L NS % | 5 P PRO % </v>
      </c>
      <c r="AQ478" s="4" t="str">
        <f ca="1">IFERROR(__xludf.DUMMYFUNCTION("""COMPUTED_VALUE"""),"| 1 P Python @ | 3 L PHP-CGM @ | 4 L NS @ | 5 P PHP-CGM @ ")</f>
        <v xml:space="preserve">| 1 P Python @ | 3 L PHP-CGM @ | 4 L NS @ | 5 P PHP-CGM @ </v>
      </c>
      <c r="AR478" s="4" t="str">
        <f ca="1">IFERROR(__xludf.DUMMYFUNCTION("""COMPUTED_VALUE"""),"| 1 P JAVA @ | 3 L CPT @ | 5 P Python @ ")</f>
        <v xml:space="preserve">| 1 P JAVA @ | 3 L CPT @ | 5 P Python @ </v>
      </c>
      <c r="AS478" s="4" t="str">
        <f ca="1">IFERROR(__xludf.DUMMYFUNCTION("""COMPUTED_VALUE"""),"| 1 P CPT % | 3 L CPT % | 4 L JAVA % | 5 L INE @ ")</f>
        <v xml:space="preserve">| 1 P CPT % | 3 L CPT % | 4 L JAVA % | 5 L INE @ </v>
      </c>
      <c r="AT478" s="4" t="str">
        <f ca="1">IFERROR(__xludf.DUMMYFUNCTION("""COMPUTED_VALUE"""),"| 1 P NS @ | 3 L JAVA @ | 4 L NS @ | 5 P PRO @ ")</f>
        <v xml:space="preserve">| 1 P NS @ | 3 L JAVA @ | 4 L NS @ | 5 P PRO @ </v>
      </c>
      <c r="AU478" s="4" t="str">
        <f ca="1">IFERROR(__xludf.DUMMYFUNCTION("""COMPUTED_VALUE"""),"| 1 P Python % | 3 L PHP-CGM % | 4 L NS % | 5 P PHP-CGM % ")</f>
        <v xml:space="preserve">| 1 P Python % | 3 L PHP-CGM % | 4 L NS % | 5 P PHP-CGM % </v>
      </c>
      <c r="AV478" s="4" t="str">
        <f ca="1">IFERROR(__xludf.DUMMYFUNCTION("""COMPUTED_VALUE"""),"| 1 P JAVA % | 3 L CPT % | 4 L PHP-CGM % | 5 P Python % ")</f>
        <v xml:space="preserve">| 1 P JAVA % | 3 L CPT % | 4 L PHP-CGM % | 5 P Python % </v>
      </c>
      <c r="AW478" s="4" t="str">
        <f ca="1">IFERROR(__xludf.DUMMYFUNCTION("""COMPUTED_VALUE"""),"| 1 P JAVA % | 3 L PHP-CGM % | 4 L JAVA % | 5 L NS @ | 5 L CPT @ ")</f>
        <v xml:space="preserve">| 1 P JAVA % | 3 L PHP-CGM % | 4 L JAVA % | 5 L NS @ | 5 L CPT @ </v>
      </c>
      <c r="AX478" s="4" t="str">
        <f ca="1">IFERROR(__xludf.DUMMYFUNCTION("""COMPUTED_VALUE"""),"| 1 P CPT % | 3 L CPT % | 4 L JAVA % | 5 L INE % ")</f>
        <v xml:space="preserve">| 1 P CPT % | 3 L CPT % | 4 L JAVA % | 5 L INE % </v>
      </c>
      <c r="AY478" s="4" t="str">
        <f ca="1">IFERROR(__xludf.DUMMYFUNCTION("""COMPUTED_VALUE"""),"| 1 P NS % | 3 L JAVA % | 4 L NS % | 5 P PRO % ")</f>
        <v xml:space="preserve">| 1 P NS % | 3 L JAVA % | 4 L NS % | 5 P PRO % </v>
      </c>
      <c r="AZ478" s="4" t="str">
        <f ca="1">IFERROR(__xludf.DUMMYFUNCTION("""COMPUTED_VALUE"""),"| 1 P JAVA % | 3 L CPT % | 4 L PHP-CGM % | 5 P Python % ")</f>
        <v xml:space="preserve">| 1 P JAVA % | 3 L CPT % | 4 L PHP-CGM % | 5 P Python % </v>
      </c>
      <c r="BA478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B478" s="4" t="str">
        <f ca="1">IFERROR(__xludf.DUMMYFUNCTION("""COMPUTED_VALUE"""),"| 1 P CPT @ | 3 L CPT % | 4 L JAVA % | 5 L INE % ")</f>
        <v xml:space="preserve">| 1 P CPT @ | 3 L CPT % | 4 L JAVA % | 5 L INE % </v>
      </c>
      <c r="BC478" s="4" t="str">
        <f ca="1">IFERROR(__xludf.DUMMYFUNCTION("""COMPUTED_VALUE"""),"| 1 P NS % | 3 L JAVA % | 4 L NS % | 5 P PRO % ")</f>
        <v xml:space="preserve">| 1 P NS % | 3 L JAVA % | 4 L NS % | 5 P PRO % </v>
      </c>
      <c r="BD478" s="4" t="str">
        <f ca="1">IFERROR(__xludf.DUMMYFUNCTION("""COMPUTED_VALUE"""),"| 1 P Python % | 4 L NS %  | 3 L PHP-CGM % | 5 P PHP-CGM % ")</f>
        <v xml:space="preserve">| 1 P Python % | 4 L NS %  | 3 L PHP-CGM % | 5 P PHP-CGM % </v>
      </c>
      <c r="BE478" s="4" t="str">
        <f ca="1">IFERROR(__xludf.DUMMYFUNCTION("""COMPUTED_VALUE"""),"| 1 P JAVA % | 3 L CPT % | 4 L PHP-CGM % | 5 P Python % ")</f>
        <v xml:space="preserve">| 1 P JAVA % | 3 L CPT % | 4 L PHP-CGM % | 5 P Python % </v>
      </c>
      <c r="BF478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G478" s="4" t="str">
        <f ca="1">IFERROR(__xludf.DUMMYFUNCTION("""COMPUTED_VALUE"""),"| 1 P NS @ | 3 L JAVA @ | 4 L NS @ | 5 P PRO @ ")</f>
        <v xml:space="preserve">| 1 P NS @ | 3 L JAVA @ | 4 L NS @ | 5 P PRO @ </v>
      </c>
      <c r="BH478" s="4" t="str">
        <f ca="1">IFERROR(__xludf.DUMMYFUNCTION("""COMPUTED_VALUE"""),"| 1 P Python % | 3 L PHP-CGM % | 4 L NS % | 5 P PHP-CGM % ")</f>
        <v xml:space="preserve">| 1 P Python % | 3 L PHP-CGM % | 4 L NS % | 5 P PHP-CGM % </v>
      </c>
      <c r="BI478" s="4" t="str">
        <f ca="1">IFERROR(__xludf.DUMMYFUNCTION("""COMPUTED_VALUE"""),"| 1 P JAVA % | 3 L CPT % | 4 L PHP-CGM % | 5 P Python % ")</f>
        <v xml:space="preserve">| 1 P JAVA % | 3 L CPT % | 4 L PHP-CGM % | 5 P Python % </v>
      </c>
      <c r="BJ478" s="4" t="str">
        <f ca="1">IFERROR(__xludf.DUMMYFUNCTION("""COMPUTED_VALUE"""),"| 1 P JAVA % | 3 L PHP-CGM @ | 4 L JAVA @ | 5 L NS @ | 6 L CPT @ ")</f>
        <v xml:space="preserve">| 1 P JAVA % | 3 L PHP-CGM @ | 4 L JAVA @ | 5 L NS @ | 6 L CPT @ </v>
      </c>
      <c r="BK478" s="4" t="str">
        <f ca="1">IFERROR(__xludf.DUMMYFUNCTION("""COMPUTED_VALUE"""),"| 1 P CPT % | 3 L CPT % | 4 L JAVA % | 5 L INE @ ")</f>
        <v xml:space="preserve">| 1 P CPT % | 3 L CPT % | 4 L JAVA % | 5 L INE @ </v>
      </c>
      <c r="BL478" s="4" t="str">
        <f ca="1">IFERROR(__xludf.DUMMYFUNCTION("""COMPUTED_VALUE"""),"| 1 P NS % | 3 L JAVA % | 4 L NS % ")</f>
        <v xml:space="preserve">| 1 P NS % | 3 L JAVA % | 4 L NS % </v>
      </c>
      <c r="BM478" s="4" t="str">
        <f ca="1">IFERROR(__xludf.DUMMYFUNCTION("""COMPUTED_VALUE"""),"| 1 P Python % | 3 L PHP-CGM @ | 4 L NS @ | 5 P PHP-CGM % ")</f>
        <v xml:space="preserve">| 1 P Python % | 3 L PHP-CGM @ | 4 L NS @ | 5 P PHP-CGM % </v>
      </c>
      <c r="BN478" s="4" t="str">
        <f ca="1">IFERROR(__xludf.DUMMYFUNCTION("""COMPUTED_VALUE"""),"| 1 P JAVA % | 3 L CPT % | 4 L PHP-CGM % | 5 P Python % ")</f>
        <v xml:space="preserve">| 1 P JAVA % | 3 L CPT % | 4 L PHP-CGM % | 5 P Python % </v>
      </c>
      <c r="BO478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78" s="4" t="str">
        <f ca="1">IFERROR(__xludf.DUMMYFUNCTION("""COMPUTED_VALUE"""),"| 1 P CPT % | 3 L CPT % | 4 L JAVA % | 5 L INE @ ")</f>
        <v xml:space="preserve">| 1 P CPT % | 3 L CPT % | 4 L JAVA % | 5 L INE @ </v>
      </c>
      <c r="BQ478" s="4" t="str">
        <f ca="1">IFERROR(__xludf.DUMMYFUNCTION("""COMPUTED_VALUE"""),"| 4 L NS @ ")</f>
        <v xml:space="preserve">| 4 L NS @ </v>
      </c>
      <c r="BR478" s="4"/>
      <c r="BS478" s="4"/>
      <c r="BT478" s="4" t="str">
        <f ca="1">IFERROR(__xludf.DUMMYFUNCTION("""COMPUTED_VALUE"""),"| 1 P CPT % | 3 L CPT @ | 4 L JAVA @ ")</f>
        <v xml:space="preserve">| 1 P CPT % | 3 L CPT @ | 4 L JAVA @ </v>
      </c>
      <c r="BU478" s="4" t="str">
        <f ca="1">IFERROR(__xludf.DUMMYFUNCTION("""COMPUTED_VALUE"""),"| 1 P NS @ | 4 L NS @ | 3 L JAVA @ ")</f>
        <v xml:space="preserve">| 1 P NS @ | 4 L NS @ | 3 L JAVA @ </v>
      </c>
      <c r="BV478" s="4" t="str">
        <f ca="1">IFERROR(__xludf.DUMMYFUNCTION("""COMPUTED_VALUE"""),"| 1 P CPT @ | 3 L CPT @ | 4 L JAVA @ ")</f>
        <v xml:space="preserve">| 1 P CPT @ | 3 L CPT @ | 4 L JAVA @ </v>
      </c>
      <c r="BW478" s="4" t="str">
        <f ca="1">IFERROR(__xludf.DUMMYFUNCTION("""COMPUTED_VALUE"""),"| 1 P NS % | 3 L JAVA @ | 4 L NS @ ")</f>
        <v xml:space="preserve">| 1 P NS % | 3 L JAVA @ | 4 L NS @ </v>
      </c>
      <c r="BX478" s="4" t="str">
        <f ca="1">IFERROR(__xludf.DUMMYFUNCTION("""COMPUTED_VALUE"""),"| 1 P Python @ | 3 L PHP-CGM % | 4 L NS % | 5 P PHP-CGM @ ")</f>
        <v xml:space="preserve">| 1 P Python @ | 3 L PHP-CGM % | 4 L NS % | 5 P PHP-CGM @ </v>
      </c>
      <c r="BY478" s="4" t="str">
        <f ca="1">IFERROR(__xludf.DUMMYFUNCTION("""COMPUTED_VALUE"""),"| 1 P JAVA % | 3 L CPT @ | 4 L PHP-CGM @ | 5 P Python @ ")</f>
        <v xml:space="preserve">| 1 P JAVA % | 3 L CPT @ | 4 L PHP-CGM @ | 5 P Python @ </v>
      </c>
      <c r="BZ478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78" s="4" t="str">
        <f ca="1">IFERROR(__xludf.DUMMYFUNCTION("""COMPUTED_VALUE"""),"| 1 P CPT @ | 3 L CPT @ | 4 L JAVA @ | 5 L INE % ")</f>
        <v xml:space="preserve">| 1 P CPT @ | 3 L CPT @ | 4 L JAVA @ | 5 L INE % </v>
      </c>
      <c r="CB478" s="4" t="str">
        <f ca="1">IFERROR(__xludf.DUMMYFUNCTION("""COMPUTED_VALUE"""),"| 1 P NS % | 3 L JAVA @ | 4 L NS @ | 5 P PRO @ ")</f>
        <v xml:space="preserve">| 1 P NS % | 3 L JAVA @ | 4 L NS @ | 5 P PRO @ </v>
      </c>
      <c r="CC478" s="4" t="str">
        <f ca="1">IFERROR(__xludf.DUMMYFUNCTION("""COMPUTED_VALUE"""),"| 1 P Python % | 3 L PHP-CGM @ | 4 L NS @ | 5 P PHP-CGM @ ")</f>
        <v xml:space="preserve">| 1 P Python % | 3 L PHP-CGM @ | 4 L NS @ | 5 P PHP-CGM @ </v>
      </c>
      <c r="CD478" s="4" t="str">
        <f ca="1">IFERROR(__xludf.DUMMYFUNCTION("""COMPUTED_VALUE"""),"| 1 P JAVA % | 3 L CPT @ | 4 L PHP-CGM @ | 5 P Python @ ")</f>
        <v xml:space="preserve">| 1 P JAVA % | 3 L CPT @ | 4 L PHP-CGM @ | 5 P Python @ </v>
      </c>
      <c r="CE478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78" s="4" t="str">
        <f ca="1">IFERROR(__xludf.DUMMYFUNCTION("""COMPUTED_VALUE"""),"| 1 P CPT % | 3 L CPT @ | 4 L JAVA @ | 5 L INE % ")</f>
        <v xml:space="preserve">| 1 P CPT % | 3 L CPT @ | 4 L JAVA @ | 5 L INE % </v>
      </c>
      <c r="CG478" s="4" t="str">
        <f ca="1">IFERROR(__xludf.DUMMYFUNCTION("""COMPUTED_VALUE"""),"| 1 P NS @ | 4 L NS @ ")</f>
        <v xml:space="preserve">| 1 P NS @ | 4 L NS @ </v>
      </c>
      <c r="CH478" s="4" t="str">
        <f ca="1">IFERROR(__xludf.DUMMYFUNCTION("""COMPUTED_VALUE"""),"| 3 L PHP-CGM @ | 4 L NS @ | 1 P Python % ")</f>
        <v xml:space="preserve">| 3 L PHP-CGM @ | 4 L NS @ | 1 P Python % </v>
      </c>
      <c r="CI478" s="4" t="str">
        <f ca="1">IFERROR(__xludf.DUMMYFUNCTION("""COMPUTED_VALUE"""),"| 1 P JAVA @ ")</f>
        <v xml:space="preserve">| 1 P JAVA @ </v>
      </c>
      <c r="CJ478" s="4" t="str">
        <f ca="1">IFERROR(__xludf.DUMMYFUNCTION("""COMPUTED_VALUE"""),"| 1 P JAVA % | 4 L JAVA % ")</f>
        <v xml:space="preserve">| 1 P JAVA % | 4 L JAVA % </v>
      </c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</row>
    <row r="479" spans="1:102" ht="12.5" x14ac:dyDescent="0.25">
      <c r="A479" s="3">
        <f ca="1">IFERROR(__xludf.DUMMYFUNCTION("""COMPUTED_VALUE"""),1)</f>
        <v>1</v>
      </c>
      <c r="B479" s="3" t="str">
        <f ca="1">IFERROR(__xludf.DUMMYFUNCTION("""COMPUTED_VALUE"""),"ITC")</f>
        <v>ITC</v>
      </c>
      <c r="C479" s="32" t="str">
        <f ca="1">IFERROR(__xludf.DUMMYFUNCTION("""COMPUTED_VALUE"""),"23171371036")</f>
        <v>23171371036</v>
      </c>
      <c r="D479" s="4" t="str">
        <f ca="1">IFERROR(__xludf.DUMMYFUNCTION("""COMPUTED_VALUE"""),"MALAVIYA DEVANSHI SHAILESHKUMAR")</f>
        <v>MALAVIYA DEVANSHI SHAILESHKUMAR</v>
      </c>
      <c r="E479" s="3" t="str">
        <f ca="1">IFERROR(__xludf.DUMMYFUNCTION("""COMPUTED_VALUE"""),"SDP&amp;KKP - Mor")</f>
        <v>SDP&amp;KKP - Mor</v>
      </c>
      <c r="F479" s="3">
        <f ca="1">IFERROR(__xludf.DUMMYFUNCTION("""COMPUTED_VALUE"""),9925372212)</f>
        <v>9925372212</v>
      </c>
      <c r="G479" s="3">
        <f ca="1">IFERROR(__xludf.DUMMYFUNCTION("""COMPUTED_VALUE"""),9974059280)</f>
        <v>9974059280</v>
      </c>
      <c r="H479" s="33">
        <f ca="1">IFERROR(__xludf.DUMMYFUNCTION("""COMPUTED_VALUE"""),0.603305785123966)</f>
        <v>0.60330578512396604</v>
      </c>
      <c r="I479" s="25">
        <f ca="1">IFERROR(__xludf.DUMMYFUNCTION("""COMPUTED_VALUE"""),0.555555555555555)</f>
        <v>0.55555555555555503</v>
      </c>
      <c r="J479" s="25">
        <f ca="1">IFERROR(__xludf.DUMMYFUNCTION("""COMPUTED_VALUE"""),0.615384615384615)</f>
        <v>0.61538461538461497</v>
      </c>
      <c r="K479" s="25">
        <f ca="1">IFERROR(__xludf.DUMMYFUNCTION("""COMPUTED_VALUE"""),0.583333333333333)</f>
        <v>0.58333333333333304</v>
      </c>
      <c r="L479" s="25">
        <f ca="1">IFERROR(__xludf.DUMMYFUNCTION("""COMPUTED_VALUE"""),0.692307692307692)</f>
        <v>0.69230769230769196</v>
      </c>
      <c r="M479" s="25">
        <f ca="1">IFERROR(__xludf.DUMMYFUNCTION("""COMPUTED_VALUE"""),0.59375)</f>
        <v>0.59375</v>
      </c>
      <c r="N479" s="25">
        <f ca="1">IFERROR(__xludf.DUMMYFUNCTION("""COMPUTED_VALUE"""),0.5)</f>
        <v>0.5</v>
      </c>
      <c r="O479" s="25">
        <f ca="1">IFERROR(__xludf.DUMMYFUNCTION("""COMPUTED_VALUE"""),0.621621621621621)</f>
        <v>0.62162162162162105</v>
      </c>
      <c r="P479" s="25">
        <f ca="1">IFERROR(__xludf.DUMMYFUNCTION("""COMPUTED_VALUE"""),0.64)</f>
        <v>0.64</v>
      </c>
      <c r="Q479" s="25">
        <f ca="1">IFERROR(__xludf.DUMMYFUNCTION("""COMPUTED_VALUE"""),0)</f>
        <v>0</v>
      </c>
      <c r="R479" s="25">
        <f ca="1">IFERROR(__xludf.DUMMYFUNCTION("""COMPUTED_VALUE"""),0.652173913043478)</f>
        <v>0.65217391304347805</v>
      </c>
      <c r="S479" s="25">
        <f ca="1">IFERROR(__xludf.DUMMYFUNCTION("""COMPUTED_VALUE"""),0)</f>
        <v>0</v>
      </c>
      <c r="T479" s="25">
        <f ca="1">IFERROR(__xludf.DUMMYFUNCTION("""COMPUTED_VALUE"""),0.888888888888888)</f>
        <v>0.88888888888888795</v>
      </c>
      <c r="U479" s="25">
        <f ca="1">IFERROR(__xludf.DUMMYFUNCTION("""COMPUTED_VALUE"""),0.25)</f>
        <v>0.25</v>
      </c>
      <c r="V479" s="25">
        <f ca="1">IFERROR(__xludf.DUMMYFUNCTION("""COMPUTED_VALUE"""),0)</f>
        <v>0</v>
      </c>
      <c r="W479" s="4"/>
      <c r="X479" s="4" t="str">
        <f ca="1">IFERROR(__xludf.DUMMYFUNCTION("""COMPUTED_VALUE"""),"| 1 P CPT % | 3 L CPT % | 4 L JAVA % ")</f>
        <v xml:space="preserve">| 1 P CPT % | 3 L CPT % | 4 L JAVA % </v>
      </c>
      <c r="Y479" s="4" t="str">
        <f ca="1">IFERROR(__xludf.DUMMYFUNCTION("""COMPUTED_VALUE"""),"| 1 P NS % | 3 L JAVA % | 4 L NS % | 5 P PRO % ")</f>
        <v xml:space="preserve">| 1 P NS % | 3 L JAVA % | 4 L NS % | 5 P PRO % </v>
      </c>
      <c r="Z479" s="4" t="str">
        <f ca="1">IFERROR(__xludf.DUMMYFUNCTION("""COMPUTED_VALUE"""),"| 1 P Python % | 3 L PHP-CGM % | 4 L NS % | 5 P PHP-CGM @ ")</f>
        <v xml:space="preserve">| 1 P Python % | 3 L PHP-CGM % | 4 L NS % | 5 P PHP-CGM @ </v>
      </c>
      <c r="AA479" s="4" t="str">
        <f ca="1">IFERROR(__xludf.DUMMYFUNCTION("""COMPUTED_VALUE"""),"| 1 P JAVA @ | 3 L CPT @ | 5 P Python @ ")</f>
        <v xml:space="preserve">| 1 P JAVA @ | 3 L CPT @ | 5 P Python @ </v>
      </c>
      <c r="AB479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79" s="4" t="str">
        <f ca="1">IFERROR(__xludf.DUMMYFUNCTION("""COMPUTED_VALUE"""),"| 1 P CPT @ | 3 L CPT @ | 4 L JAVA @ ")</f>
        <v xml:space="preserve">| 1 P CPT @ | 3 L CPT @ | 4 L JAVA @ </v>
      </c>
      <c r="AD479" s="4" t="str">
        <f ca="1">IFERROR(__xludf.DUMMYFUNCTION("""COMPUTED_VALUE"""),"| 1 P NS % | 3 L JAVA % | 4 L NS % | 5 P PRO % ")</f>
        <v xml:space="preserve">| 1 P NS % | 3 L JAVA % | 4 L NS % | 5 P PRO % </v>
      </c>
      <c r="AE479" s="4" t="str">
        <f ca="1">IFERROR(__xludf.DUMMYFUNCTION("""COMPUTED_VALUE"""),"| 1 P Python % | 3 L PHP-CGM % | 4 L NS % | 5 P PHP-CGM % ")</f>
        <v xml:space="preserve">| 1 P Python % | 3 L PHP-CGM % | 4 L NS % | 5 P PHP-CGM % </v>
      </c>
      <c r="AF479" s="4" t="str">
        <f ca="1">IFERROR(__xludf.DUMMYFUNCTION("""COMPUTED_VALUE"""),"| 1 P JAVA % | 3 L CPT % | 4 L PHP-CGM % | 5 P Python % ")</f>
        <v xml:space="preserve">| 1 P JAVA % | 3 L CPT % | 4 L PHP-CGM % | 5 P Python % </v>
      </c>
      <c r="AG479" s="4" t="str">
        <f ca="1">IFERROR(__xludf.DUMMYFUNCTION("""COMPUTED_VALUE"""),"| 1 P JAVA % | 3 L PHP-CGM % | 4 L JAVA % | 5 L CPT @ | 6 L NS % ")</f>
        <v xml:space="preserve">| 1 P JAVA % | 3 L PHP-CGM % | 4 L JAVA % | 5 L CPT @ | 6 L NS % </v>
      </c>
      <c r="AH479" s="4" t="str">
        <f ca="1">IFERROR(__xludf.DUMMYFUNCTION("""COMPUTED_VALUE"""),"| 1 P JAVA % | 3 L CPT % | 4 L PHP-CGM % | 5 P Python % ")</f>
        <v xml:space="preserve">| 1 P JAVA % | 3 L CPT % | 4 L PHP-CGM % | 5 P Python % </v>
      </c>
      <c r="AI479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79" s="4" t="str">
        <f ca="1">IFERROR(__xludf.DUMMYFUNCTION("""COMPUTED_VALUE"""),"| 1 P CPT % | 3 L CPT % | 4 L JAVA % ")</f>
        <v xml:space="preserve">| 1 P CPT % | 3 L CPT % | 4 L JAVA % </v>
      </c>
      <c r="AK479" s="4" t="str">
        <f ca="1">IFERROR(__xludf.DUMMYFUNCTION("""COMPUTED_VALUE"""),"| 1 P NS % | 4 L NS % | 3 L JAVA % | 5 P PRO % ")</f>
        <v xml:space="preserve">| 1 P NS % | 4 L NS % | 3 L JAVA % | 5 P PRO % </v>
      </c>
      <c r="AL479" s="4" t="str">
        <f ca="1">IFERROR(__xludf.DUMMYFUNCTION("""COMPUTED_VALUE"""),"| 1 P Python % | 3 L PHP-CGM % | 4 L NS % | 5 P PHP-CGM % ")</f>
        <v xml:space="preserve">| 1 P Python % | 3 L PHP-CGM % | 4 L NS % | 5 P PHP-CGM % </v>
      </c>
      <c r="AM479" s="4" t="str">
        <f ca="1">IFERROR(__xludf.DUMMYFUNCTION("""COMPUTED_VALUE"""),"| 1 P JAVA % | 3 L CPT % | 4 L PHP-CGM % | 5 P Python @ ")</f>
        <v xml:space="preserve">| 1 P JAVA % | 3 L CPT % | 4 L PHP-CGM % | 5 P Python @ </v>
      </c>
      <c r="AN479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79" s="4" t="str">
        <f ca="1">IFERROR(__xludf.DUMMYFUNCTION("""COMPUTED_VALUE"""),"| 1 P CPT @ | 3 L CPT @ | 4 L JAVA @ | 5 L INE @ ")</f>
        <v xml:space="preserve">| 1 P CPT @ | 3 L CPT @ | 4 L JAVA @ | 5 L INE @ </v>
      </c>
      <c r="AP479" s="4" t="str">
        <f ca="1">IFERROR(__xludf.DUMMYFUNCTION("""COMPUTED_VALUE"""),"| 1 P NS % | 3 L JAVA % | 4 L NS % | 5 P PRO % ")</f>
        <v xml:space="preserve">| 1 P NS % | 3 L JAVA % | 4 L NS % | 5 P PRO % </v>
      </c>
      <c r="AQ479" s="4" t="str">
        <f ca="1">IFERROR(__xludf.DUMMYFUNCTION("""COMPUTED_VALUE"""),"| 1 P Python % | 3 L PHP-CGM % | 4 L NS % | 5 P PHP-CGM % ")</f>
        <v xml:space="preserve">| 1 P Python % | 3 L PHP-CGM % | 4 L NS % | 5 P PHP-CGM % </v>
      </c>
      <c r="AR479" s="4" t="str">
        <f ca="1">IFERROR(__xludf.DUMMYFUNCTION("""COMPUTED_VALUE"""),"| 1 P JAVA % | 3 L CPT % | 5 P Python % ")</f>
        <v xml:space="preserve">| 1 P JAVA % | 3 L CPT % | 5 P Python % </v>
      </c>
      <c r="AS479" s="4" t="str">
        <f ca="1">IFERROR(__xludf.DUMMYFUNCTION("""COMPUTED_VALUE"""),"| 1 P CPT % | 3 L CPT % | 4 L JAVA % | 5 L INE @ ")</f>
        <v xml:space="preserve">| 1 P CPT % | 3 L CPT % | 4 L JAVA % | 5 L INE @ </v>
      </c>
      <c r="AT479" s="4" t="str">
        <f ca="1">IFERROR(__xludf.DUMMYFUNCTION("""COMPUTED_VALUE"""),"| 1 P NS % | 3 L JAVA % | 4 L NS % | 5 P PRO % ")</f>
        <v xml:space="preserve">| 1 P NS % | 3 L JAVA % | 4 L NS % | 5 P PRO % </v>
      </c>
      <c r="AU479" s="4" t="str">
        <f ca="1">IFERROR(__xludf.DUMMYFUNCTION("""COMPUTED_VALUE"""),"| 1 P Python % | 3 L PHP-CGM % | 4 L NS % | 5 P PHP-CGM % ")</f>
        <v xml:space="preserve">| 1 P Python % | 3 L PHP-CGM % | 4 L NS % | 5 P PHP-CGM % </v>
      </c>
      <c r="AV479" s="4" t="str">
        <f ca="1">IFERROR(__xludf.DUMMYFUNCTION("""COMPUTED_VALUE"""),"| 1 P JAVA % | 3 L CPT % | 4 L PHP-CGM % | 5 P Python % ")</f>
        <v xml:space="preserve">| 1 P JAVA % | 3 L CPT % | 4 L PHP-CGM % | 5 P Python % </v>
      </c>
      <c r="AW479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79" s="4" t="str">
        <f ca="1">IFERROR(__xludf.DUMMYFUNCTION("""COMPUTED_VALUE"""),"| 1 P CPT @ | 3 L CPT @ | 4 L JAVA @ | 5 L INE @ ")</f>
        <v xml:space="preserve">| 1 P CPT @ | 3 L CPT @ | 4 L JAVA @ | 5 L INE @ </v>
      </c>
      <c r="AY479" s="4" t="str">
        <f ca="1">IFERROR(__xludf.DUMMYFUNCTION("""COMPUTED_VALUE"""),"| 1 P NS @ | 3 L JAVA @ | 4 L NS @ | 5 P PRO @ ")</f>
        <v xml:space="preserve">| 1 P NS @ | 3 L JAVA @ | 4 L NS @ | 5 P PRO @ </v>
      </c>
      <c r="AZ479" s="4" t="str">
        <f ca="1">IFERROR(__xludf.DUMMYFUNCTION("""COMPUTED_VALUE"""),"| 1 P JAVA @ | 3 L CPT @ | 4 L PHP-CGM @ | 5 P Python @ ")</f>
        <v xml:space="preserve">| 1 P JAVA @ | 3 L CPT @ | 4 L PHP-CGM @ | 5 P Python @ </v>
      </c>
      <c r="BA479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B479" s="4" t="str">
        <f ca="1">IFERROR(__xludf.DUMMYFUNCTION("""COMPUTED_VALUE"""),"| 1 P CPT % | 3 L CPT % | 4 L JAVA % | 5 L INE @ ")</f>
        <v xml:space="preserve">| 1 P CPT % | 3 L CPT % | 4 L JAVA % | 5 L INE @ </v>
      </c>
      <c r="BC479" s="4" t="str">
        <f ca="1">IFERROR(__xludf.DUMMYFUNCTION("""COMPUTED_VALUE"""),"| 1 P NS % | 3 L JAVA % | 4 L NS % | 5 P PRO % ")</f>
        <v xml:space="preserve">| 1 P NS % | 3 L JAVA % | 4 L NS % | 5 P PRO % </v>
      </c>
      <c r="BD479" s="4" t="str">
        <f ca="1">IFERROR(__xludf.DUMMYFUNCTION("""COMPUTED_VALUE"""),"| 1 P Python % | 4 L NS %  | 3 L PHP-CGM % | 5 P PHP-CGM @ ")</f>
        <v xml:space="preserve">| 1 P Python % | 4 L NS %  | 3 L PHP-CGM % | 5 P PHP-CGM @ </v>
      </c>
      <c r="BE479" s="4" t="str">
        <f ca="1">IFERROR(__xludf.DUMMYFUNCTION("""COMPUTED_VALUE"""),"| 1 P JAVA % | 3 L CPT % | 4 L PHP-CGM % | 5 P Python % ")</f>
        <v xml:space="preserve">| 1 P JAVA % | 3 L CPT % | 4 L PHP-CGM % | 5 P Python % </v>
      </c>
      <c r="BF479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G479" s="4" t="str">
        <f ca="1">IFERROR(__xludf.DUMMYFUNCTION("""COMPUTED_VALUE"""),"| 1 P NS % | 3 L JAVA % | 4 L NS % | 5 P PRO % ")</f>
        <v xml:space="preserve">| 1 P NS % | 3 L JAVA % | 4 L NS % | 5 P PRO % </v>
      </c>
      <c r="BH479" s="4" t="str">
        <f ca="1">IFERROR(__xludf.DUMMYFUNCTION("""COMPUTED_VALUE"""),"| 1 P Python % | 3 L PHP-CGM % | 4 L NS % | 5 P PHP-CGM % ")</f>
        <v xml:space="preserve">| 1 P Python % | 3 L PHP-CGM % | 4 L NS % | 5 P PHP-CGM % </v>
      </c>
      <c r="BI479" s="4" t="str">
        <f ca="1">IFERROR(__xludf.DUMMYFUNCTION("""COMPUTED_VALUE"""),"| 1 P JAVA % | 3 L CPT % | 4 L PHP-CGM % | 5 P Python @ ")</f>
        <v xml:space="preserve">| 1 P JAVA % | 3 L CPT % | 4 L PHP-CGM % | 5 P Python @ </v>
      </c>
      <c r="BJ479" s="4" t="str">
        <f ca="1">IFERROR(__xludf.DUMMYFUNCTION("""COMPUTED_VALUE"""),"| 1 P JAVA % | 3 L PHP-CGM @ | 4 L JAVA % | 5 L NS % | 6 L CPT @ ")</f>
        <v xml:space="preserve">| 1 P JAVA % | 3 L PHP-CGM @ | 4 L JAVA % | 5 L NS % | 6 L CPT @ </v>
      </c>
      <c r="BK479" s="4" t="str">
        <f ca="1">IFERROR(__xludf.DUMMYFUNCTION("""COMPUTED_VALUE"""),"| 1 P CPT @ | 3 L CPT @ | 4 L JAVA @ | 5 L INE @ ")</f>
        <v xml:space="preserve">| 1 P CPT @ | 3 L CPT @ | 4 L JAVA @ | 5 L INE @ </v>
      </c>
      <c r="BL479" s="4" t="str">
        <f ca="1">IFERROR(__xludf.DUMMYFUNCTION("""COMPUTED_VALUE"""),"| 1 P NS @ | 3 L JAVA @ | 4 L NS @ ")</f>
        <v xml:space="preserve">| 1 P NS @ | 3 L JAVA @ | 4 L NS @ </v>
      </c>
      <c r="BM479" s="4" t="str">
        <f ca="1">IFERROR(__xludf.DUMMYFUNCTION("""COMPUTED_VALUE"""),"| 1 P Python @ | 3 L PHP-CGM @ | 4 L NS @ | 5 P PHP-CGM @ ")</f>
        <v xml:space="preserve">| 1 P Python @ | 3 L PHP-CGM @ | 4 L NS @ | 5 P PHP-CGM @ </v>
      </c>
      <c r="BN479" s="4" t="str">
        <f ca="1">IFERROR(__xludf.DUMMYFUNCTION("""COMPUTED_VALUE"""),"| 1 P JAVA @ | 3 L CPT @ | 4 L PHP-CGM @ | 5 P Python @ ")</f>
        <v xml:space="preserve">| 1 P JAVA @ | 3 L CPT @ | 4 L PHP-CGM @ | 5 P Python @ </v>
      </c>
      <c r="BO479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79" s="4" t="str">
        <f ca="1">IFERROR(__xludf.DUMMYFUNCTION("""COMPUTED_VALUE"""),"| 1 P CPT % | 3 L CPT % | 4 L JAVA % | 5 L INE % ")</f>
        <v xml:space="preserve">| 1 P CPT % | 3 L CPT % | 4 L JAVA % | 5 L INE % </v>
      </c>
      <c r="BQ479" s="4" t="str">
        <f ca="1">IFERROR(__xludf.DUMMYFUNCTION("""COMPUTED_VALUE"""),"| 4 L NS @ ")</f>
        <v xml:space="preserve">| 4 L NS @ </v>
      </c>
      <c r="BR479" s="4"/>
      <c r="BS479" s="4"/>
      <c r="BT479" s="4" t="str">
        <f ca="1">IFERROR(__xludf.DUMMYFUNCTION("""COMPUTED_VALUE"""),"| 1 P CPT % | 3 L CPT % | 4 L JAVA % ")</f>
        <v xml:space="preserve">| 1 P CPT % | 3 L CPT % | 4 L JAVA % </v>
      </c>
      <c r="BU479" s="4" t="str">
        <f ca="1">IFERROR(__xludf.DUMMYFUNCTION("""COMPUTED_VALUE"""),"| 1 P NS @ | 4 L NS @ | 3 L JAVA @ ")</f>
        <v xml:space="preserve">| 1 P NS @ | 4 L NS @ | 3 L JAVA @ </v>
      </c>
      <c r="BV479" s="4" t="str">
        <f ca="1">IFERROR(__xludf.DUMMYFUNCTION("""COMPUTED_VALUE"""),"| 1 P CPT @ | 3 L CPT @ | 4 L JAVA @ ")</f>
        <v xml:space="preserve">| 1 P CPT @ | 3 L CPT @ | 4 L JAVA @ </v>
      </c>
      <c r="BW479" s="4" t="str">
        <f ca="1">IFERROR(__xludf.DUMMYFUNCTION("""COMPUTED_VALUE"""),"| 1 P NS @ | 3 L JAVA @ | 4 L NS @ ")</f>
        <v xml:space="preserve">| 1 P NS @ | 3 L JAVA @ | 4 L NS @ </v>
      </c>
      <c r="BX479" s="4" t="str">
        <f ca="1">IFERROR(__xludf.DUMMYFUNCTION("""COMPUTED_VALUE"""),"| 1 P Python @ | 3 L PHP-CGM @ | 4 L NS @ | 5 P PHP-CGM @ ")</f>
        <v xml:space="preserve">| 1 P Python @ | 3 L PHP-CGM @ | 4 L NS @ | 5 P PHP-CGM @ </v>
      </c>
      <c r="BY479" s="4" t="str">
        <f ca="1">IFERROR(__xludf.DUMMYFUNCTION("""COMPUTED_VALUE"""),"| 1 P JAVA @ | 3 L CPT @ | 4 L PHP-CGM @ | 5 P Python @ ")</f>
        <v xml:space="preserve">| 1 P JAVA @ | 3 L CPT @ | 4 L PHP-CGM @ | 5 P Python @ </v>
      </c>
      <c r="BZ479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79" s="4" t="str">
        <f ca="1">IFERROR(__xludf.DUMMYFUNCTION("""COMPUTED_VALUE"""),"| 1 P CPT % | 3 L CPT % | 4 L JAVA % | 5 L INE % ")</f>
        <v xml:space="preserve">| 1 P CPT % | 3 L CPT % | 4 L JAVA % | 5 L INE % </v>
      </c>
      <c r="CB479" s="4" t="str">
        <f ca="1">IFERROR(__xludf.DUMMYFUNCTION("""COMPUTED_VALUE"""),"| 1 P NS % | 3 L JAVA % | 4 L NS % | 5 P PRO % ")</f>
        <v xml:space="preserve">| 1 P NS % | 3 L JAVA % | 4 L NS % | 5 P PRO % </v>
      </c>
      <c r="CC479" s="4" t="str">
        <f ca="1">IFERROR(__xludf.DUMMYFUNCTION("""COMPUTED_VALUE"""),"| 1 P Python % | 3 L PHP-CGM @ | 4 L NS @ | 5 P PHP-CGM @ ")</f>
        <v xml:space="preserve">| 1 P Python % | 3 L PHP-CGM @ | 4 L NS @ | 5 P PHP-CGM @ </v>
      </c>
      <c r="CD479" s="4" t="str">
        <f ca="1">IFERROR(__xludf.DUMMYFUNCTION("""COMPUTED_VALUE"""),"| 1 P JAVA % | 3 L CPT % | 4 L PHP-CGM % | 5 P Python % ")</f>
        <v xml:space="preserve">| 1 P JAVA % | 3 L CPT % | 4 L PHP-CGM % | 5 P Python % </v>
      </c>
      <c r="CE479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F479" s="4" t="str">
        <f ca="1">IFERROR(__xludf.DUMMYFUNCTION("""COMPUTED_VALUE"""),"| 1 P CPT % | 3 L CPT % | 4 L JAVA % | 5 L INE @ ")</f>
        <v xml:space="preserve">| 1 P CPT % | 3 L CPT % | 4 L JAVA % | 5 L INE @ </v>
      </c>
      <c r="CG479" s="4" t="str">
        <f ca="1">IFERROR(__xludf.DUMMYFUNCTION("""COMPUTED_VALUE"""),"| 1 P NS % | 4 L NS @ ")</f>
        <v xml:space="preserve">| 1 P NS % | 4 L NS @ </v>
      </c>
      <c r="CH479" s="4" t="str">
        <f ca="1">IFERROR(__xludf.DUMMYFUNCTION("""COMPUTED_VALUE"""),"| 3 L PHP-CGM @ | 4 L NS @ | 1 P Python % ")</f>
        <v xml:space="preserve">| 3 L PHP-CGM @ | 4 L NS @ | 1 P Python % </v>
      </c>
      <c r="CI479" s="4" t="str">
        <f ca="1">IFERROR(__xludf.DUMMYFUNCTION("""COMPUTED_VALUE"""),"| 1 P JAVA % ")</f>
        <v xml:space="preserve">| 1 P JAVA % </v>
      </c>
      <c r="CJ479" s="4" t="str">
        <f ca="1">IFERROR(__xludf.DUMMYFUNCTION("""COMPUTED_VALUE"""),"| 1 P JAVA % | 4 L JAVA % ")</f>
        <v xml:space="preserve">| 1 P JAVA % | 4 L JAVA % </v>
      </c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</row>
    <row r="480" spans="1:102" ht="12.5" x14ac:dyDescent="0.25">
      <c r="A480" s="3">
        <f ca="1">IFERROR(__xludf.DUMMYFUNCTION("""COMPUTED_VALUE"""),1)</f>
        <v>1</v>
      </c>
      <c r="B480" s="3" t="str">
        <f ca="1">IFERROR(__xludf.DUMMYFUNCTION("""COMPUTED_VALUE"""),"ITC")</f>
        <v>ITC</v>
      </c>
      <c r="C480" s="32" t="str">
        <f ca="1">IFERROR(__xludf.DUMMYFUNCTION("""COMPUTED_VALUE"""),"23171371039")</f>
        <v>23171371039</v>
      </c>
      <c r="D480" s="4" t="str">
        <f ca="1">IFERROR(__xludf.DUMMYFUNCTION("""COMPUTED_VALUE"""),"MANSURI ZIYAN ANISAHEMAD")</f>
        <v>MANSURI ZIYAN ANISAHEMAD</v>
      </c>
      <c r="E480" s="3" t="str">
        <f ca="1">IFERROR(__xludf.DUMMYFUNCTION("""COMPUTED_VALUE"""),"SDP&amp;KKP - Mor")</f>
        <v>SDP&amp;KKP - Mor</v>
      </c>
      <c r="F480" s="3">
        <f ca="1">IFERROR(__xludf.DUMMYFUNCTION("""COMPUTED_VALUE"""),8780945784)</f>
        <v>8780945784</v>
      </c>
      <c r="G480" s="3">
        <f ca="1">IFERROR(__xludf.DUMMYFUNCTION("""COMPUTED_VALUE"""),9904427111)</f>
        <v>9904427111</v>
      </c>
      <c r="H480" s="33">
        <f ca="1">IFERROR(__xludf.DUMMYFUNCTION("""COMPUTED_VALUE"""),0.557851239669421)</f>
        <v>0.55785123966942096</v>
      </c>
      <c r="I480" s="25">
        <f ca="1">IFERROR(__xludf.DUMMYFUNCTION("""COMPUTED_VALUE"""),0.555555555555555)</f>
        <v>0.55555555555555503</v>
      </c>
      <c r="J480" s="25">
        <f ca="1">IFERROR(__xludf.DUMMYFUNCTION("""COMPUTED_VALUE"""),0.538461538461538)</f>
        <v>0.53846153846153799</v>
      </c>
      <c r="K480" s="25">
        <f ca="1">IFERROR(__xludf.DUMMYFUNCTION("""COMPUTED_VALUE"""),0.416666666666666)</f>
        <v>0.41666666666666602</v>
      </c>
      <c r="L480" s="25">
        <f ca="1">IFERROR(__xludf.DUMMYFUNCTION("""COMPUTED_VALUE"""),0.769230769230769)</f>
        <v>0.76923076923076905</v>
      </c>
      <c r="M480" s="25">
        <f ca="1">IFERROR(__xludf.DUMMYFUNCTION("""COMPUTED_VALUE"""),0.5)</f>
        <v>0.5</v>
      </c>
      <c r="N480" s="25">
        <f ca="1">IFERROR(__xludf.DUMMYFUNCTION("""COMPUTED_VALUE"""),0.4)</f>
        <v>0.4</v>
      </c>
      <c r="O480" s="25">
        <f ca="1">IFERROR(__xludf.DUMMYFUNCTION("""COMPUTED_VALUE"""),0.513513513513513)</f>
        <v>0.51351351351351304</v>
      </c>
      <c r="P480" s="25">
        <f ca="1">IFERROR(__xludf.DUMMYFUNCTION("""COMPUTED_VALUE"""),0.68)</f>
        <v>0.68</v>
      </c>
      <c r="Q480" s="25">
        <f ca="1">IFERROR(__xludf.DUMMYFUNCTION("""COMPUTED_VALUE"""),0)</f>
        <v>0</v>
      </c>
      <c r="R480" s="25">
        <f ca="1">IFERROR(__xludf.DUMMYFUNCTION("""COMPUTED_VALUE"""),0.695652173913043)</f>
        <v>0.69565217391304301</v>
      </c>
      <c r="S480" s="25">
        <f ca="1">IFERROR(__xludf.DUMMYFUNCTION("""COMPUTED_VALUE"""),0)</f>
        <v>0</v>
      </c>
      <c r="T480" s="25">
        <f ca="1">IFERROR(__xludf.DUMMYFUNCTION("""COMPUTED_VALUE"""),0.888888888888888)</f>
        <v>0.88888888888888795</v>
      </c>
      <c r="U480" s="25">
        <f ca="1">IFERROR(__xludf.DUMMYFUNCTION("""COMPUTED_VALUE"""),0.375)</f>
        <v>0.375</v>
      </c>
      <c r="V480" s="25">
        <f ca="1">IFERROR(__xludf.DUMMYFUNCTION("""COMPUTED_VALUE"""),0)</f>
        <v>0</v>
      </c>
      <c r="W480" s="4"/>
      <c r="X480" s="4" t="str">
        <f ca="1">IFERROR(__xludf.DUMMYFUNCTION("""COMPUTED_VALUE"""),"| 1 P CPT % | 3 L CPT % | 4 L JAVA % ")</f>
        <v xml:space="preserve">| 1 P CPT % | 3 L CPT % | 4 L JAVA % </v>
      </c>
      <c r="Y480" s="4" t="str">
        <f ca="1">IFERROR(__xludf.DUMMYFUNCTION("""COMPUTED_VALUE"""),"| 1 P NS % | 3 L JAVA % | 4 L NS % | 5 P PRO % ")</f>
        <v xml:space="preserve">| 1 P NS % | 3 L JAVA % | 4 L NS % | 5 P PRO % </v>
      </c>
      <c r="Z480" s="4" t="str">
        <f ca="1">IFERROR(__xludf.DUMMYFUNCTION("""COMPUTED_VALUE"""),"| 1 P Python % | 3 L PHP-CGM % | 4 L NS % | 5 P PHP-CGM % ")</f>
        <v xml:space="preserve">| 1 P Python % | 3 L PHP-CGM % | 4 L NS % | 5 P PHP-CGM % </v>
      </c>
      <c r="AA480" s="4" t="str">
        <f ca="1">IFERROR(__xludf.DUMMYFUNCTION("""COMPUTED_VALUE"""),"| 1 P JAVA % | 3 L CPT % | 5 P Python % ")</f>
        <v xml:space="preserve">| 1 P JAVA % | 3 L CPT % | 5 P Python % </v>
      </c>
      <c r="AB480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80" s="4" t="str">
        <f ca="1">IFERROR(__xludf.DUMMYFUNCTION("""COMPUTED_VALUE"""),"| 1 P CPT % | 3 L CPT % | 4 L JAVA % ")</f>
        <v xml:space="preserve">| 1 P CPT % | 3 L CPT % | 4 L JAVA % </v>
      </c>
      <c r="AD480" s="4" t="str">
        <f ca="1">IFERROR(__xludf.DUMMYFUNCTION("""COMPUTED_VALUE"""),"| 1 P NS % | 3 L JAVA % | 4 L NS % | 5 P PRO % ")</f>
        <v xml:space="preserve">| 1 P NS % | 3 L JAVA % | 4 L NS % | 5 P PRO % </v>
      </c>
      <c r="AE480" s="4" t="str">
        <f ca="1">IFERROR(__xludf.DUMMYFUNCTION("""COMPUTED_VALUE"""),"| 1 P Python @ | 3 L PHP-CGM @ | 4 L NS @ | 5 P PHP-CGM @ ")</f>
        <v xml:space="preserve">| 1 P Python @ | 3 L PHP-CGM @ | 4 L NS @ | 5 P PHP-CGM @ </v>
      </c>
      <c r="AF480" s="4" t="str">
        <f ca="1">IFERROR(__xludf.DUMMYFUNCTION("""COMPUTED_VALUE"""),"| 1 P JAVA % | 3 L CPT % | 4 L PHP-CGM % | 5 P Python % ")</f>
        <v xml:space="preserve">| 1 P JAVA % | 3 L CPT % | 4 L PHP-CGM % | 5 P Python % </v>
      </c>
      <c r="AG480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0" s="4" t="str">
        <f ca="1">IFERROR(__xludf.DUMMYFUNCTION("""COMPUTED_VALUE"""),"| 1 P JAVA @ | 3 L CPT @ | 4 L PHP-CGM @ | 5 P Python @ ")</f>
        <v xml:space="preserve">| 1 P JAVA @ | 3 L CPT @ | 4 L PHP-CGM @ | 5 P Python @ </v>
      </c>
      <c r="AI480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80" s="4" t="str">
        <f ca="1">IFERROR(__xludf.DUMMYFUNCTION("""COMPUTED_VALUE"""),"| 1 P CPT % | 3 L CPT % | 4 L JAVA % ")</f>
        <v xml:space="preserve">| 1 P CPT % | 3 L CPT % | 4 L JAVA % </v>
      </c>
      <c r="AK480" s="4" t="str">
        <f ca="1">IFERROR(__xludf.DUMMYFUNCTION("""COMPUTED_VALUE"""),"| 1 P NS % | 4 L NS @ | 3 L JAVA @ | 5 P PRO % ")</f>
        <v xml:space="preserve">| 1 P NS % | 4 L NS @ | 3 L JAVA @ | 5 P PRO % </v>
      </c>
      <c r="AL480" s="4" t="str">
        <f ca="1">IFERROR(__xludf.DUMMYFUNCTION("""COMPUTED_VALUE"""),"| 1 P Python % | 3 L PHP-CGM % | 4 L NS % | 5 P PHP-CGM % ")</f>
        <v xml:space="preserve">| 1 P Python % | 3 L PHP-CGM % | 4 L NS % | 5 P PHP-CGM % </v>
      </c>
      <c r="AM480" s="4" t="str">
        <f ca="1">IFERROR(__xludf.DUMMYFUNCTION("""COMPUTED_VALUE"""),"| 1 P JAVA % | 3 L CPT % | 4 L PHP-CGM % | 5 P Python % ")</f>
        <v xml:space="preserve">| 1 P JAVA % | 3 L CPT % | 4 L PHP-CGM % | 5 P Python % </v>
      </c>
      <c r="AN480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O480" s="4" t="str">
        <f ca="1">IFERROR(__xludf.DUMMYFUNCTION("""COMPUTED_VALUE"""),"| 1 P CPT % | 3 L CPT % | 4 L JAVA % | 5 L INE % ")</f>
        <v xml:space="preserve">| 1 P CPT % | 3 L CPT % | 4 L JAVA % | 5 L INE % </v>
      </c>
      <c r="AP480" s="4" t="str">
        <f ca="1">IFERROR(__xludf.DUMMYFUNCTION("""COMPUTED_VALUE"""),"| 1 P NS % | 3 L JAVA % | 4 L NS % | 5 P PRO % ")</f>
        <v xml:space="preserve">| 1 P NS % | 3 L JAVA % | 4 L NS % | 5 P PRO % </v>
      </c>
      <c r="AQ480" s="4" t="str">
        <f ca="1">IFERROR(__xludf.DUMMYFUNCTION("""COMPUTED_VALUE"""),"| 1 P Python @ | 3 L PHP-CGM @ | 4 L NS @ | 5 P PHP-CGM @ ")</f>
        <v xml:space="preserve">| 1 P Python @ | 3 L PHP-CGM @ | 4 L NS @ | 5 P PHP-CGM @ </v>
      </c>
      <c r="AR480" s="4" t="str">
        <f ca="1">IFERROR(__xludf.DUMMYFUNCTION("""COMPUTED_VALUE"""),"| 1 P JAVA % | 3 L CPT % | 5 P Python % ")</f>
        <v xml:space="preserve">| 1 P JAVA % | 3 L CPT % | 5 P Python % </v>
      </c>
      <c r="AS480" s="4" t="str">
        <f ca="1">IFERROR(__xludf.DUMMYFUNCTION("""COMPUTED_VALUE"""),"| 1 P CPT @ | 3 L CPT @ | 4 L JAVA @ | 5 L INE @ ")</f>
        <v xml:space="preserve">| 1 P CPT @ | 3 L CPT @ | 4 L JAVA @ | 5 L INE @ </v>
      </c>
      <c r="AT480" s="4" t="str">
        <f ca="1">IFERROR(__xludf.DUMMYFUNCTION("""COMPUTED_VALUE"""),"| 1 P NS @ | 3 L JAVA % | 4 L NS % | 5 P PRO % ")</f>
        <v xml:space="preserve">| 1 P NS @ | 3 L JAVA % | 4 L NS % | 5 P PRO % </v>
      </c>
      <c r="AU480" s="4" t="str">
        <f ca="1">IFERROR(__xludf.DUMMYFUNCTION("""COMPUTED_VALUE"""),"| 1 P Python % | 3 L PHP-CGM % | 4 L NS % | 5 P PHP-CGM % ")</f>
        <v xml:space="preserve">| 1 P Python % | 3 L PHP-CGM % | 4 L NS % | 5 P PHP-CGM % </v>
      </c>
      <c r="AV480" s="4" t="str">
        <f ca="1">IFERROR(__xludf.DUMMYFUNCTION("""COMPUTED_VALUE"""),"| 1 P JAVA % | 3 L CPT % | 4 L PHP-CGM % | 5 P Python % ")</f>
        <v xml:space="preserve">| 1 P JAVA % | 3 L CPT % | 4 L PHP-CGM % | 5 P Python % </v>
      </c>
      <c r="AW480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80" s="4" t="str">
        <f ca="1">IFERROR(__xludf.DUMMYFUNCTION("""COMPUTED_VALUE"""),"| 1 P CPT @ | 3 L CPT % | 4 L JAVA % | 5 L INE % ")</f>
        <v xml:space="preserve">| 1 P CPT @ | 3 L CPT % | 4 L JAVA % | 5 L INE % </v>
      </c>
      <c r="AY480" s="4" t="str">
        <f ca="1">IFERROR(__xludf.DUMMYFUNCTION("""COMPUTED_VALUE"""),"| 1 P NS % | 3 L JAVA @ | 4 L NS @ | 5 P PRO % ")</f>
        <v xml:space="preserve">| 1 P NS % | 3 L JAVA @ | 4 L NS @ | 5 P PRO % </v>
      </c>
      <c r="AZ480" s="4" t="str">
        <f ca="1">IFERROR(__xludf.DUMMYFUNCTION("""COMPUTED_VALUE"""),"| 1 P JAVA % | 3 L CPT @ | 4 L PHP-CGM @ | 5 P Python % ")</f>
        <v xml:space="preserve">| 1 P JAVA % | 3 L CPT @ | 4 L PHP-CGM @ | 5 P Python % </v>
      </c>
      <c r="BA480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80" s="4" t="str">
        <f ca="1">IFERROR(__xludf.DUMMYFUNCTION("""COMPUTED_VALUE"""),"| 1 P CPT % | 3 L CPT % | 4 L JAVA % | 5 L INE @ ")</f>
        <v xml:space="preserve">| 1 P CPT % | 3 L CPT % | 4 L JAVA % | 5 L INE @ </v>
      </c>
      <c r="BC480" s="4" t="str">
        <f ca="1">IFERROR(__xludf.DUMMYFUNCTION("""COMPUTED_VALUE"""),"| 1 P NS % | 3 L JAVA @ | 4 L NS @ | 5 P PRO % ")</f>
        <v xml:space="preserve">| 1 P NS % | 3 L JAVA @ | 4 L NS @ | 5 P PRO % </v>
      </c>
      <c r="BD480" s="4" t="str">
        <f ca="1">IFERROR(__xludf.DUMMYFUNCTION("""COMPUTED_VALUE"""),"| 1 P Python % | 4 L NS %  | 3 L PHP-CGM % | 5 P PHP-CGM @ ")</f>
        <v xml:space="preserve">| 1 P Python % | 4 L NS %  | 3 L PHP-CGM % | 5 P PHP-CGM @ </v>
      </c>
      <c r="BE480" s="4" t="str">
        <f ca="1">IFERROR(__xludf.DUMMYFUNCTION("""COMPUTED_VALUE"""),"| 1 P JAVA @ | 3 L CPT @ | 4 L PHP-CGM @ | 5 P Python @ ")</f>
        <v xml:space="preserve">| 1 P JAVA @ | 3 L CPT @ | 4 L PHP-CGM @ | 5 P Python @ </v>
      </c>
      <c r="BF480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80" s="4" t="str">
        <f ca="1">IFERROR(__xludf.DUMMYFUNCTION("""COMPUTED_VALUE"""),"| 1 P NS % | 3 L JAVA % | 4 L NS % | 5 P PRO % ")</f>
        <v xml:space="preserve">| 1 P NS % | 3 L JAVA % | 4 L NS % | 5 P PRO % </v>
      </c>
      <c r="BH480" s="4" t="str">
        <f ca="1">IFERROR(__xludf.DUMMYFUNCTION("""COMPUTED_VALUE"""),"| 1 P Python % | 3 L PHP-CGM % | 4 L NS % | 5 P PHP-CGM % ")</f>
        <v xml:space="preserve">| 1 P Python % | 3 L PHP-CGM % | 4 L NS % | 5 P PHP-CGM % </v>
      </c>
      <c r="BI480" s="4" t="str">
        <f ca="1">IFERROR(__xludf.DUMMYFUNCTION("""COMPUTED_VALUE"""),"| 1 P JAVA % | 3 L CPT % | 4 L PHP-CGM % | 5 P Python % ")</f>
        <v xml:space="preserve">| 1 P JAVA % | 3 L CPT % | 4 L PHP-CGM % | 5 P Python % </v>
      </c>
      <c r="BJ480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K480" s="4" t="str">
        <f ca="1">IFERROR(__xludf.DUMMYFUNCTION("""COMPUTED_VALUE"""),"| 1 P CPT @ | 3 L CPT @ | 4 L JAVA @ | 5 L INE @ ")</f>
        <v xml:space="preserve">| 1 P CPT @ | 3 L CPT @ | 4 L JAVA @ | 5 L INE @ </v>
      </c>
      <c r="BL480" s="4" t="str">
        <f ca="1">IFERROR(__xludf.DUMMYFUNCTION("""COMPUTED_VALUE"""),"| 1 P NS % | 3 L JAVA @ | 4 L NS @ ")</f>
        <v xml:space="preserve">| 1 P NS % | 3 L JAVA @ | 4 L NS @ </v>
      </c>
      <c r="BM480" s="4" t="str">
        <f ca="1">IFERROR(__xludf.DUMMYFUNCTION("""COMPUTED_VALUE"""),"| 1 P Python % | 3 L PHP-CGM @ | 4 L NS @ | 5 P PHP-CGM @ ")</f>
        <v xml:space="preserve">| 1 P Python % | 3 L PHP-CGM @ | 4 L NS @ | 5 P PHP-CGM @ </v>
      </c>
      <c r="BN480" s="4" t="str">
        <f ca="1">IFERROR(__xludf.DUMMYFUNCTION("""COMPUTED_VALUE"""),"| 1 P JAVA % | 3 L CPT % | 4 L PHP-CGM % | 5 P Python % ")</f>
        <v xml:space="preserve">| 1 P JAVA % | 3 L CPT % | 4 L PHP-CGM % | 5 P Python % </v>
      </c>
      <c r="BO480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80" s="4" t="str">
        <f ca="1">IFERROR(__xludf.DUMMYFUNCTION("""COMPUTED_VALUE"""),"| 1 P CPT @ | 3 L CPT @ | 4 L JAVA @ | 5 L INE @ ")</f>
        <v xml:space="preserve">| 1 P CPT @ | 3 L CPT @ | 4 L JAVA @ | 5 L INE @ </v>
      </c>
      <c r="BQ480" s="4" t="str">
        <f ca="1">IFERROR(__xludf.DUMMYFUNCTION("""COMPUTED_VALUE"""),"| 4 L NS @ ")</f>
        <v xml:space="preserve">| 4 L NS @ </v>
      </c>
      <c r="BR480" s="4"/>
      <c r="BS480" s="4"/>
      <c r="BT480" s="4" t="str">
        <f ca="1">IFERROR(__xludf.DUMMYFUNCTION("""COMPUTED_VALUE"""),"| 1 P CPT @ | 3 L CPT @ | 4 L JAVA @ ")</f>
        <v xml:space="preserve">| 1 P CPT @ | 3 L CPT @ | 4 L JAVA @ </v>
      </c>
      <c r="BU480" s="4" t="str">
        <f ca="1">IFERROR(__xludf.DUMMYFUNCTION("""COMPUTED_VALUE"""),"| 1 P NS @ | 4 L NS @ | 3 L JAVA @ ")</f>
        <v xml:space="preserve">| 1 P NS @ | 4 L NS @ | 3 L JAVA @ </v>
      </c>
      <c r="BV480" s="4" t="str">
        <f ca="1">IFERROR(__xludf.DUMMYFUNCTION("""COMPUTED_VALUE"""),"| 1 P CPT @ | 3 L CPT @ | 4 L JAVA @ ")</f>
        <v xml:space="preserve">| 1 P CPT @ | 3 L CPT @ | 4 L JAVA @ </v>
      </c>
      <c r="BW480" s="4" t="str">
        <f ca="1">IFERROR(__xludf.DUMMYFUNCTION("""COMPUTED_VALUE"""),"| 1 P NS @ | 3 L JAVA @ | 4 L NS @ ")</f>
        <v xml:space="preserve">| 1 P NS @ | 3 L JAVA @ | 4 L NS @ </v>
      </c>
      <c r="BX480" s="4" t="str">
        <f ca="1">IFERROR(__xludf.DUMMYFUNCTION("""COMPUTED_VALUE"""),"| 1 P Python @ | 3 L PHP-CGM @ | 4 L NS @ | 5 P PHP-CGM @ ")</f>
        <v xml:space="preserve">| 1 P Python @ | 3 L PHP-CGM @ | 4 L NS @ | 5 P PHP-CGM @ </v>
      </c>
      <c r="BY480" s="4" t="str">
        <f ca="1">IFERROR(__xludf.DUMMYFUNCTION("""COMPUTED_VALUE"""),"| 1 P JAVA @ | 3 L CPT @ | 4 L PHP-CGM @ | 5 P Python @ ")</f>
        <v xml:space="preserve">| 1 P JAVA @ | 3 L CPT @ | 4 L PHP-CGM @ | 5 P Python @ </v>
      </c>
      <c r="BZ480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80" s="4" t="str">
        <f ca="1">IFERROR(__xludf.DUMMYFUNCTION("""COMPUTED_VALUE"""),"| 1 P CPT % | 3 L CPT % | 4 L JAVA % | 5 L INE % ")</f>
        <v xml:space="preserve">| 1 P CPT % | 3 L CPT % | 4 L JAVA % | 5 L INE % </v>
      </c>
      <c r="CB480" s="4" t="str">
        <f ca="1">IFERROR(__xludf.DUMMYFUNCTION("""COMPUTED_VALUE"""),"| 1 P NS % | 3 L JAVA @ | 4 L NS @ | 5 P PRO @ ")</f>
        <v xml:space="preserve">| 1 P NS % | 3 L JAVA @ | 4 L NS @ | 5 P PRO @ </v>
      </c>
      <c r="CC480" s="4" t="str">
        <f ca="1">IFERROR(__xludf.DUMMYFUNCTION("""COMPUTED_VALUE"""),"| 1 P Python % | 3 L PHP-CGM @ | 4 L NS @ | 5 P PHP-CGM @ ")</f>
        <v xml:space="preserve">| 1 P Python % | 3 L PHP-CGM @ | 4 L NS @ | 5 P PHP-CGM @ </v>
      </c>
      <c r="CD480" s="4" t="str">
        <f ca="1">IFERROR(__xludf.DUMMYFUNCTION("""COMPUTED_VALUE"""),"| 1 P JAVA @ | 3 L CPT @ | 4 L PHP-CGM @ | 5 P Python @ ")</f>
        <v xml:space="preserve">| 1 P JAVA @ | 3 L CPT @ | 4 L PHP-CGM @ | 5 P Python @ </v>
      </c>
      <c r="CE480" s="4" t="str">
        <f ca="1">IFERROR(__xludf.DUMMYFUNCTION("""COMPUTED_VALUE"""),"| 1 P JAVA % | 3 L PHP-CGM @ | 4 L JAVA @ | 5 L NS @ | 6 L CPT @ ")</f>
        <v xml:space="preserve">| 1 P JAVA % | 3 L PHP-CGM @ | 4 L JAVA @ | 5 L NS @ | 6 L CPT @ </v>
      </c>
      <c r="CF480" s="4" t="str">
        <f ca="1">IFERROR(__xludf.DUMMYFUNCTION("""COMPUTED_VALUE"""),"| 1 P CPT % | 3 L CPT @ | 4 L JAVA @ | 5 L INE @ ")</f>
        <v xml:space="preserve">| 1 P CPT % | 3 L CPT @ | 4 L JAVA @ | 5 L INE @ </v>
      </c>
      <c r="CG480" s="4" t="str">
        <f ca="1">IFERROR(__xludf.DUMMYFUNCTION("""COMPUTED_VALUE"""),"| 1 P NS % | 4 L NS @ ")</f>
        <v xml:space="preserve">| 1 P NS % | 4 L NS @ </v>
      </c>
      <c r="CH480" s="4" t="str">
        <f ca="1">IFERROR(__xludf.DUMMYFUNCTION("""COMPUTED_VALUE"""),"| 3 L PHP-CGM @ | 4 L NS @ | 1 P Python % ")</f>
        <v xml:space="preserve">| 3 L PHP-CGM @ | 4 L NS @ | 1 P Python % </v>
      </c>
      <c r="CI480" s="4" t="str">
        <f ca="1">IFERROR(__xludf.DUMMYFUNCTION("""COMPUTED_VALUE"""),"| 1 P JAVA % ")</f>
        <v xml:space="preserve">| 1 P JAVA % </v>
      </c>
      <c r="CJ480" s="4" t="str">
        <f ca="1">IFERROR(__xludf.DUMMYFUNCTION("""COMPUTED_VALUE"""),"| 1 P JAVA % | 4 L JAVA % ")</f>
        <v xml:space="preserve">| 1 P JAVA % | 4 L JAVA % </v>
      </c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</row>
    <row r="481" spans="1:102" ht="12.5" x14ac:dyDescent="0.25">
      <c r="A481" s="3">
        <f ca="1">IFERROR(__xludf.DUMMYFUNCTION("""COMPUTED_VALUE"""),1)</f>
        <v>1</v>
      </c>
      <c r="B481" s="3" t="str">
        <f ca="1">IFERROR(__xludf.DUMMYFUNCTION("""COMPUTED_VALUE"""),"ITC")</f>
        <v>ITC</v>
      </c>
      <c r="C481" s="32" t="str">
        <f ca="1">IFERROR(__xludf.DUMMYFUNCTION("""COMPUTED_VALUE"""),"23171371040")</f>
        <v>23171371040</v>
      </c>
      <c r="D481" s="4" t="str">
        <f ca="1">IFERROR(__xludf.DUMMYFUNCTION("""COMPUTED_VALUE"""),"MASI FAIZMAHAMMAD HASANABBAS")</f>
        <v>MASI FAIZMAHAMMAD HASANABBAS</v>
      </c>
      <c r="E481" s="3" t="str">
        <f ca="1">IFERROR(__xludf.DUMMYFUNCTION("""COMPUTED_VALUE"""),"SDP&amp;KKP - Mor")</f>
        <v>SDP&amp;KKP - Mor</v>
      </c>
      <c r="F481" s="3">
        <f ca="1">IFERROR(__xludf.DUMMYFUNCTION("""COMPUTED_VALUE"""),7600351440)</f>
        <v>7600351440</v>
      </c>
      <c r="G481" s="3">
        <f ca="1">IFERROR(__xludf.DUMMYFUNCTION("""COMPUTED_VALUE"""),9724349121)</f>
        <v>9724349121</v>
      </c>
      <c r="H481" s="33">
        <f ca="1">IFERROR(__xludf.DUMMYFUNCTION("""COMPUTED_VALUE"""),0.380165289256198)</f>
        <v>0.38016528925619802</v>
      </c>
      <c r="I481" s="25">
        <f ca="1">IFERROR(__xludf.DUMMYFUNCTION("""COMPUTED_VALUE"""),0.361111111111111)</f>
        <v>0.36111111111111099</v>
      </c>
      <c r="J481" s="25">
        <f ca="1">IFERROR(__xludf.DUMMYFUNCTION("""COMPUTED_VALUE"""),0.384615384615384)</f>
        <v>0.38461538461538403</v>
      </c>
      <c r="K481" s="25">
        <f ca="1">IFERROR(__xludf.DUMMYFUNCTION("""COMPUTED_VALUE"""),0.361111111111111)</f>
        <v>0.36111111111111099</v>
      </c>
      <c r="L481" s="25">
        <f ca="1">IFERROR(__xludf.DUMMYFUNCTION("""COMPUTED_VALUE"""),0.538461538461538)</f>
        <v>0.53846153846153799</v>
      </c>
      <c r="M481" s="25">
        <f ca="1">IFERROR(__xludf.DUMMYFUNCTION("""COMPUTED_VALUE"""),0.40625)</f>
        <v>0.40625</v>
      </c>
      <c r="N481" s="25">
        <f ca="1">IFERROR(__xludf.DUMMYFUNCTION("""COMPUTED_VALUE"""),0.4)</f>
        <v>0.4</v>
      </c>
      <c r="O481" s="25">
        <f ca="1">IFERROR(__xludf.DUMMYFUNCTION("""COMPUTED_VALUE"""),0.405405405405405)</f>
        <v>0.40540540540540498</v>
      </c>
      <c r="P481" s="25">
        <f ca="1">IFERROR(__xludf.DUMMYFUNCTION("""COMPUTED_VALUE"""),0.4)</f>
        <v>0.4</v>
      </c>
      <c r="Q481" s="25">
        <f ca="1">IFERROR(__xludf.DUMMYFUNCTION("""COMPUTED_VALUE"""),0)</f>
        <v>0</v>
      </c>
      <c r="R481" s="25">
        <f ca="1">IFERROR(__xludf.DUMMYFUNCTION("""COMPUTED_VALUE"""),0.260869565217391)</f>
        <v>0.26086956521739102</v>
      </c>
      <c r="S481" s="25">
        <f ca="1">IFERROR(__xludf.DUMMYFUNCTION("""COMPUTED_VALUE"""),0)</f>
        <v>0</v>
      </c>
      <c r="T481" s="25">
        <f ca="1">IFERROR(__xludf.DUMMYFUNCTION("""COMPUTED_VALUE"""),0.444444444444444)</f>
        <v>0.44444444444444398</v>
      </c>
      <c r="U481" s="25">
        <f ca="1">IFERROR(__xludf.DUMMYFUNCTION("""COMPUTED_VALUE"""),0.25)</f>
        <v>0.25</v>
      </c>
      <c r="V481" s="25">
        <f ca="1">IFERROR(__xludf.DUMMYFUNCTION("""COMPUTED_VALUE"""),0)</f>
        <v>0</v>
      </c>
      <c r="W481" s="4"/>
      <c r="X481" s="4" t="str">
        <f ca="1">IFERROR(__xludf.DUMMYFUNCTION("""COMPUTED_VALUE"""),"| 1 P JAVA @ | 3 L CPT @ | 4 L JAVA @ ")</f>
        <v xml:space="preserve">| 1 P JAVA @ | 3 L CPT @ | 4 L JAVA @ </v>
      </c>
      <c r="Y481" s="4" t="str">
        <f ca="1">IFERROR(__xludf.DUMMYFUNCTION("""COMPUTED_VALUE"""),"| 1 P PHP-CGM @ | 3 L JAVA @ | 4 L NS @ | 5 P PRO @ ")</f>
        <v xml:space="preserve">| 1 P PHP-CGM @ | 3 L JAVA @ | 4 L NS @ | 5 P PRO @ </v>
      </c>
      <c r="Z481" s="4" t="str">
        <f ca="1">IFERROR(__xludf.DUMMYFUNCTION("""COMPUTED_VALUE"""),"| 1 P Python @ | 3 L PHP-CGM @ | 4 L NS @ | 5 P JAVA @ ")</f>
        <v xml:space="preserve">| 1 P Python @ | 3 L PHP-CGM @ | 4 L NS @ | 5 P JAVA @ </v>
      </c>
      <c r="AA481" s="4" t="str">
        <f ca="1">IFERROR(__xludf.DUMMYFUNCTION("""COMPUTED_VALUE"""),"| 1 P Python @ | 3 L CPT @ | 5 P NS @ ")</f>
        <v xml:space="preserve">| 1 P Python @ | 3 L CPT @ | 5 P NS @ </v>
      </c>
      <c r="AB481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C481" s="4" t="str">
        <f ca="1">IFERROR(__xludf.DUMMYFUNCTION("""COMPUTED_VALUE"""),"| 1 P CPT @ | 3 L CPT @ | 4 L JAVA @ ")</f>
        <v xml:space="preserve">| 1 P CPT @ | 3 L CPT @ | 4 L JAVA @ </v>
      </c>
      <c r="AD481" s="4" t="str">
        <f ca="1">IFERROR(__xludf.DUMMYFUNCTION("""COMPUTED_VALUE"""),"| 1 P NS @ | 3 L JAVA @ | 4 L NS @ | 5 P PRO @ ")</f>
        <v xml:space="preserve">| 1 P NS @ | 3 L JAVA @ | 4 L NS @ | 5 P PRO @ </v>
      </c>
      <c r="AE481" s="4" t="str">
        <f ca="1">IFERROR(__xludf.DUMMYFUNCTION("""COMPUTED_VALUE"""),"| 1 P Python @ | 3 L PHP-CGM @ | 4 L NS @ | 5 P PHP-CGM @ ")</f>
        <v xml:space="preserve">| 1 P Python @ | 3 L PHP-CGM @ | 4 L NS @ | 5 P PHP-CGM @ </v>
      </c>
      <c r="AF481" s="4" t="str">
        <f ca="1">IFERROR(__xludf.DUMMYFUNCTION("""COMPUTED_VALUE"""),"| 1 P JAVA @ | 3 L CPT @ | 4 L PHP-CGM @ | 5 P Python @ ")</f>
        <v xml:space="preserve">| 1 P JAVA @ | 3 L CPT @ | 4 L PHP-CGM @ | 5 P Python @ </v>
      </c>
      <c r="AG481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H481" s="4" t="str">
        <f ca="1">IFERROR(__xludf.DUMMYFUNCTION("""COMPUTED_VALUE"""),"| 1 P JAVA % | 3 L CPT % | 4 L PHP-CGM % | 5 P Python @ ")</f>
        <v xml:space="preserve">| 1 P JAVA % | 3 L CPT % | 4 L PHP-CGM % | 5 P Python @ </v>
      </c>
      <c r="AI481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81" s="4" t="str">
        <f ca="1">IFERROR(__xludf.DUMMYFUNCTION("""COMPUTED_VALUE"""),"| 1 P CPT % | 3 L CPT % | 4 L JAVA % ")</f>
        <v xml:space="preserve">| 1 P CPT % | 3 L CPT % | 4 L JAVA % </v>
      </c>
      <c r="AK481" s="4" t="str">
        <f ca="1">IFERROR(__xludf.DUMMYFUNCTION("""COMPUTED_VALUE"""),"| 1 P NS % | 4 L NS % | 3 L JAVA % | 5 P PRO % ")</f>
        <v xml:space="preserve">| 1 P NS % | 4 L NS % | 3 L JAVA % | 5 P PRO % </v>
      </c>
      <c r="AL481" s="4" t="str">
        <f ca="1">IFERROR(__xludf.DUMMYFUNCTION("""COMPUTED_VALUE"""),"| 1 P Python % | 3 L PHP-CGM % | 4 L NS % | 5 P PHP-CGM % ")</f>
        <v xml:space="preserve">| 1 P Python % | 3 L PHP-CGM % | 4 L NS % | 5 P PHP-CGM % </v>
      </c>
      <c r="AM481" s="4" t="str">
        <f ca="1">IFERROR(__xludf.DUMMYFUNCTION("""COMPUTED_VALUE"""),"| 1 P JAVA % | 3 L CPT % | 4 L PHP-CGM % | 5 P Python @ ")</f>
        <v xml:space="preserve">| 1 P JAVA % | 3 L CPT % | 4 L PHP-CGM % | 5 P Python @ </v>
      </c>
      <c r="AN481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O481" s="4" t="str">
        <f ca="1">IFERROR(__xludf.DUMMYFUNCTION("""COMPUTED_VALUE"""),"| 1 P CPT % | 3 L CPT % | 4 L JAVA % | 5 L INE % ")</f>
        <v xml:space="preserve">| 1 P CPT % | 3 L CPT % | 4 L JAVA % | 5 L INE % </v>
      </c>
      <c r="AP481" s="4" t="str">
        <f ca="1">IFERROR(__xludf.DUMMYFUNCTION("""COMPUTED_VALUE"""),"| 1 P NS % | 3 L JAVA % | 4 L NS % | 5 P PRO @ ")</f>
        <v xml:space="preserve">| 1 P NS % | 3 L JAVA % | 4 L NS % | 5 P PRO @ </v>
      </c>
      <c r="AQ481" s="4" t="str">
        <f ca="1">IFERROR(__xludf.DUMMYFUNCTION("""COMPUTED_VALUE"""),"| 1 P Python @ | 3 L PHP-CGM @ | 4 L NS @ | 5 P PHP-CGM @ ")</f>
        <v xml:space="preserve">| 1 P Python @ | 3 L PHP-CGM @ | 4 L NS @ | 5 P PHP-CGM @ </v>
      </c>
      <c r="AR481" s="4" t="str">
        <f ca="1">IFERROR(__xludf.DUMMYFUNCTION("""COMPUTED_VALUE"""),"| 1 P JAVA @ | 3 L CPT @ | 5 P Python @ ")</f>
        <v xml:space="preserve">| 1 P JAVA @ | 3 L CPT @ | 5 P Python @ </v>
      </c>
      <c r="AS481" s="4" t="str">
        <f ca="1">IFERROR(__xludf.DUMMYFUNCTION("""COMPUTED_VALUE"""),"| 1 P CPT % | 3 L CPT % | 4 L JAVA % | 5 L INE @ ")</f>
        <v xml:space="preserve">| 1 P CPT % | 3 L CPT % | 4 L JAVA % | 5 L INE @ </v>
      </c>
      <c r="AT481" s="4" t="str">
        <f ca="1">IFERROR(__xludf.DUMMYFUNCTION("""COMPUTED_VALUE"""),"| 1 P NS % | 3 L JAVA % | 4 L NS % | 5 P PRO % ")</f>
        <v xml:space="preserve">| 1 P NS % | 3 L JAVA % | 4 L NS % | 5 P PRO % </v>
      </c>
      <c r="AU481" s="4" t="str">
        <f ca="1">IFERROR(__xludf.DUMMYFUNCTION("""COMPUTED_VALUE"""),"| 1 P Python % | 3 L PHP-CGM % | 4 L NS % | 5 P PHP-CGM % ")</f>
        <v xml:space="preserve">| 1 P Python % | 3 L PHP-CGM % | 4 L NS % | 5 P PHP-CGM % </v>
      </c>
      <c r="AV481" s="4" t="str">
        <f ca="1">IFERROR(__xludf.DUMMYFUNCTION("""COMPUTED_VALUE"""),"| 1 P JAVA % | 3 L CPT % | 4 L PHP-CGM % | 5 P Python % ")</f>
        <v xml:space="preserve">| 1 P JAVA % | 3 L CPT % | 4 L PHP-CGM % | 5 P Python % </v>
      </c>
      <c r="AW481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81" s="4" t="str">
        <f ca="1">IFERROR(__xludf.DUMMYFUNCTION("""COMPUTED_VALUE"""),"| 1 P CPT % | 3 L CPT % | 4 L JAVA % | 5 L INE % ")</f>
        <v xml:space="preserve">| 1 P CPT % | 3 L CPT % | 4 L JAVA % | 5 L INE % </v>
      </c>
      <c r="AY481" s="4" t="str">
        <f ca="1">IFERROR(__xludf.DUMMYFUNCTION("""COMPUTED_VALUE"""),"| 1 P NS % | 3 L JAVA % | 4 L NS % | 5 P PRO % ")</f>
        <v xml:space="preserve">| 1 P NS % | 3 L JAVA % | 4 L NS % | 5 P PRO % </v>
      </c>
      <c r="AZ481" s="4" t="str">
        <f ca="1">IFERROR(__xludf.DUMMYFUNCTION("""COMPUTED_VALUE"""),"| 1 P JAVA @ | 3 L CPT @ | 4 L PHP-CGM @ | 5 P Python @ ")</f>
        <v xml:space="preserve">| 1 P JAVA @ | 3 L CPT @ | 4 L PHP-CGM @ | 5 P Python @ </v>
      </c>
      <c r="BA481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B481" s="4" t="str">
        <f ca="1">IFERROR(__xludf.DUMMYFUNCTION("""COMPUTED_VALUE"""),"| 1 P CPT % | 3 L CPT % | 4 L JAVA % | 5 L INE @ ")</f>
        <v xml:space="preserve">| 1 P CPT % | 3 L CPT % | 4 L JAVA % | 5 L INE @ </v>
      </c>
      <c r="BC481" s="4" t="str">
        <f ca="1">IFERROR(__xludf.DUMMYFUNCTION("""COMPUTED_VALUE"""),"| 1 P NS % | 3 L JAVA % | 4 L NS % | 5 P PRO % ")</f>
        <v xml:space="preserve">| 1 P NS % | 3 L JAVA % | 4 L NS % | 5 P PRO % </v>
      </c>
      <c r="BD481" s="4" t="str">
        <f ca="1">IFERROR(__xludf.DUMMYFUNCTION("""COMPUTED_VALUE"""),"| 1 P Python % | 4 L NS %  | 3 L PHP-CGM % | 5 P PHP-CGM % ")</f>
        <v xml:space="preserve">| 1 P Python % | 4 L NS %  | 3 L PHP-CGM % | 5 P PHP-CGM % </v>
      </c>
      <c r="BE481" s="4" t="str">
        <f ca="1">IFERROR(__xludf.DUMMYFUNCTION("""COMPUTED_VALUE"""),"| 1 P JAVA % | 3 L CPT % | 4 L PHP-CGM % | 5 P Python % ")</f>
        <v xml:space="preserve">| 1 P JAVA % | 3 L CPT % | 4 L PHP-CGM % | 5 P Python % </v>
      </c>
      <c r="BF481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81" s="4" t="str">
        <f ca="1">IFERROR(__xludf.DUMMYFUNCTION("""COMPUTED_VALUE"""),"| 1 P NS % | 3 L JAVA % | 4 L NS % | 5 P PRO @ ")</f>
        <v xml:space="preserve">| 1 P NS % | 3 L JAVA % | 4 L NS % | 5 P PRO @ </v>
      </c>
      <c r="BH481" s="4" t="str">
        <f ca="1">IFERROR(__xludf.DUMMYFUNCTION("""COMPUTED_VALUE"""),"| 1 P Python % | 3 L PHP-CGM % | 4 L NS % | 5 P PHP-CGM % ")</f>
        <v xml:space="preserve">| 1 P Python % | 3 L PHP-CGM % | 4 L NS % | 5 P PHP-CGM % </v>
      </c>
      <c r="BI481" s="4" t="str">
        <f ca="1">IFERROR(__xludf.DUMMYFUNCTION("""COMPUTED_VALUE"""),"| 1 P JAVA % | 3 L CPT % | 4 L PHP-CGM % | 5 P Python @ ")</f>
        <v xml:space="preserve">| 1 P JAVA % | 3 L CPT % | 4 L PHP-CGM % | 5 P Python @ </v>
      </c>
      <c r="BJ481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K481" s="4" t="str">
        <f ca="1">IFERROR(__xludf.DUMMYFUNCTION("""COMPUTED_VALUE"""),"| 1 P CPT @ | 3 L CPT @ | 4 L JAVA @ | 5 L INE @ ")</f>
        <v xml:space="preserve">| 1 P CPT @ | 3 L CPT @ | 4 L JAVA @ | 5 L INE @ </v>
      </c>
      <c r="BL481" s="4" t="str">
        <f ca="1">IFERROR(__xludf.DUMMYFUNCTION("""COMPUTED_VALUE"""),"| 1 P NS @ | 3 L JAVA @ | 4 L NS @ ")</f>
        <v xml:space="preserve">| 1 P NS @ | 3 L JAVA @ | 4 L NS @ </v>
      </c>
      <c r="BM481" s="4" t="str">
        <f ca="1">IFERROR(__xludf.DUMMYFUNCTION("""COMPUTED_VALUE"""),"| 1 P Python @ | 3 L PHP-CGM @ | 4 L NS @ | 5 P PHP-CGM @ ")</f>
        <v xml:space="preserve">| 1 P Python @ | 3 L PHP-CGM @ | 4 L NS @ | 5 P PHP-CGM @ </v>
      </c>
      <c r="BN481" s="4" t="str">
        <f ca="1">IFERROR(__xludf.DUMMYFUNCTION("""COMPUTED_VALUE"""),"| 1 P JAVA @ | 3 L CPT @ | 4 L PHP-CGM @ | 5 P Python @ ")</f>
        <v xml:space="preserve">| 1 P JAVA @ | 3 L CPT @ | 4 L PHP-CGM @ | 5 P Python @ </v>
      </c>
      <c r="BO481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81" s="4" t="str">
        <f ca="1">IFERROR(__xludf.DUMMYFUNCTION("""COMPUTED_VALUE"""),"| 1 P CPT @ | 3 L CPT @ | 4 L JAVA @ | 5 L INE @ ")</f>
        <v xml:space="preserve">| 1 P CPT @ | 3 L CPT @ | 4 L JAVA @ | 5 L INE @ </v>
      </c>
      <c r="BQ481" s="4" t="str">
        <f ca="1">IFERROR(__xludf.DUMMYFUNCTION("""COMPUTED_VALUE"""),"| 4 L NS @ ")</f>
        <v xml:space="preserve">| 4 L NS @ </v>
      </c>
      <c r="BR481" s="4"/>
      <c r="BS481" s="4"/>
      <c r="BT481" s="4" t="str">
        <f ca="1">IFERROR(__xludf.DUMMYFUNCTION("""COMPUTED_VALUE"""),"| 1 P CPT @ | 3 L CPT @ | 4 L JAVA @ ")</f>
        <v xml:space="preserve">| 1 P CPT @ | 3 L CPT @ | 4 L JAVA @ </v>
      </c>
      <c r="BU481" s="4" t="str">
        <f ca="1">IFERROR(__xludf.DUMMYFUNCTION("""COMPUTED_VALUE"""),"| 1 P NS @ | 4 L NS @ | 3 L JAVA @ ")</f>
        <v xml:space="preserve">| 1 P NS @ | 4 L NS @ | 3 L JAVA @ </v>
      </c>
      <c r="BV481" s="4" t="str">
        <f ca="1">IFERROR(__xludf.DUMMYFUNCTION("""COMPUTED_VALUE"""),"| 1 P CPT @ | 3 L CPT @ | 4 L JAVA @ ")</f>
        <v xml:space="preserve">| 1 P CPT @ | 3 L CPT @ | 4 L JAVA @ </v>
      </c>
      <c r="BW481" s="4" t="str">
        <f ca="1">IFERROR(__xludf.DUMMYFUNCTION("""COMPUTED_VALUE"""),"| 1 P NS @ | 3 L JAVA @ | 4 L NS @ ")</f>
        <v xml:space="preserve">| 1 P NS @ | 3 L JAVA @ | 4 L NS @ </v>
      </c>
      <c r="BX481" s="4" t="str">
        <f ca="1">IFERROR(__xludf.DUMMYFUNCTION("""COMPUTED_VALUE"""),"| 1 P Python @ | 3 L PHP-CGM @ | 4 L NS @ | 5 P PHP-CGM @ ")</f>
        <v xml:space="preserve">| 1 P Python @ | 3 L PHP-CGM @ | 4 L NS @ | 5 P PHP-CGM @ </v>
      </c>
      <c r="BY481" s="4" t="str">
        <f ca="1">IFERROR(__xludf.DUMMYFUNCTION("""COMPUTED_VALUE"""),"| 1 P JAVA % | 3 L CPT % | 4 L PHP-CGM @ | 5 P Python @ ")</f>
        <v xml:space="preserve">| 1 P JAVA % | 3 L CPT % | 4 L PHP-CGM @ | 5 P Python @ </v>
      </c>
      <c r="BZ481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81" s="4" t="str">
        <f ca="1">IFERROR(__xludf.DUMMYFUNCTION("""COMPUTED_VALUE"""),"| 1 P CPT @ | 3 L CPT @ | 4 L JAVA @ | 5 L INE @ ")</f>
        <v xml:space="preserve">| 1 P CPT @ | 3 L CPT @ | 4 L JAVA @ | 5 L INE @ </v>
      </c>
      <c r="CB481" s="4" t="str">
        <f ca="1">IFERROR(__xludf.DUMMYFUNCTION("""COMPUTED_VALUE"""),"| 1 P NS @ | 3 L JAVA @ | 4 L NS @ | 5 P PRO @ ")</f>
        <v xml:space="preserve">| 1 P NS @ | 3 L JAVA @ | 4 L NS @ | 5 P PRO @ </v>
      </c>
      <c r="CC481" s="4" t="str">
        <f ca="1">IFERROR(__xludf.DUMMYFUNCTION("""COMPUTED_VALUE"""),"| 1 P Python @ | 3 L PHP-CGM @ | 4 L NS @ | 5 P PHP-CGM @ ")</f>
        <v xml:space="preserve">| 1 P Python @ | 3 L PHP-CGM @ | 4 L NS @ | 5 P PHP-CGM @ </v>
      </c>
      <c r="CD481" s="4" t="str">
        <f ca="1">IFERROR(__xludf.DUMMYFUNCTION("""COMPUTED_VALUE"""),"| 1 P JAVA @ | 3 L CPT @ | 4 L PHP-CGM @ | 5 P Python @ ")</f>
        <v xml:space="preserve">| 1 P JAVA @ | 3 L CPT @ | 4 L PHP-CGM @ | 5 P Python @ </v>
      </c>
      <c r="CE481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81" s="4" t="str">
        <f ca="1">IFERROR(__xludf.DUMMYFUNCTION("""COMPUTED_VALUE"""),"| 1 P CPT @ | 3 L CPT @ | 4 L JAVA @ | 5 L INE @ ")</f>
        <v xml:space="preserve">| 1 P CPT @ | 3 L CPT @ | 4 L JAVA @ | 5 L INE @ </v>
      </c>
      <c r="CG481" s="4" t="str">
        <f ca="1">IFERROR(__xludf.DUMMYFUNCTION("""COMPUTED_VALUE"""),"| 1 P NS % | 4 L NS @ ")</f>
        <v xml:space="preserve">| 1 P NS % | 4 L NS @ </v>
      </c>
      <c r="CH481" s="4" t="str">
        <f ca="1">IFERROR(__xludf.DUMMYFUNCTION("""COMPUTED_VALUE"""),"| 3 L PHP-CGM % | 4 L NS % | 1 P Python @ ")</f>
        <v xml:space="preserve">| 3 L PHP-CGM % | 4 L NS % | 1 P Python @ </v>
      </c>
      <c r="CI481" s="4" t="str">
        <f ca="1">IFERROR(__xludf.DUMMYFUNCTION("""COMPUTED_VALUE"""),"| 1 P JAVA @ ")</f>
        <v xml:space="preserve">| 1 P JAVA @ </v>
      </c>
      <c r="CJ481" s="4" t="str">
        <f ca="1">IFERROR(__xludf.DUMMYFUNCTION("""COMPUTED_VALUE"""),"| 1 P JAVA % | 4 L JAVA % ")</f>
        <v xml:space="preserve">| 1 P JAVA % | 4 L JAVA % </v>
      </c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</row>
    <row r="482" spans="1:102" ht="12.5" x14ac:dyDescent="0.25">
      <c r="A482" s="3">
        <f ca="1">IFERROR(__xludf.DUMMYFUNCTION("""COMPUTED_VALUE"""),1)</f>
        <v>1</v>
      </c>
      <c r="B482" s="3" t="str">
        <f ca="1">IFERROR(__xludf.DUMMYFUNCTION("""COMPUTED_VALUE"""),"ITC")</f>
        <v>ITC</v>
      </c>
      <c r="C482" s="32" t="str">
        <f ca="1">IFERROR(__xludf.DUMMYFUNCTION("""COMPUTED_VALUE"""),"23171371041")</f>
        <v>23171371041</v>
      </c>
      <c r="D482" s="4" t="str">
        <f ca="1">IFERROR(__xludf.DUMMYFUNCTION("""COMPUTED_VALUE"""),"MEMON MOHAMMAD JAKIRBHAI")</f>
        <v>MEMON MOHAMMAD JAKIRBHAI</v>
      </c>
      <c r="E482" s="3" t="str">
        <f ca="1">IFERROR(__xludf.DUMMYFUNCTION("""COMPUTED_VALUE"""),"SDP&amp;KKP - Mor")</f>
        <v>SDP&amp;KKP - Mor</v>
      </c>
      <c r="F482" s="3">
        <f ca="1">IFERROR(__xludf.DUMMYFUNCTION("""COMPUTED_VALUE"""),7861822099)</f>
        <v>7861822099</v>
      </c>
      <c r="G482" s="3">
        <f ca="1">IFERROR(__xludf.DUMMYFUNCTION("""COMPUTED_VALUE"""),9825777800)</f>
        <v>9825777800</v>
      </c>
      <c r="H482" s="33">
        <f ca="1">IFERROR(__xludf.DUMMYFUNCTION("""COMPUTED_VALUE"""),0.446280991735537)</f>
        <v>0.44628099173553698</v>
      </c>
      <c r="I482" s="25">
        <f ca="1">IFERROR(__xludf.DUMMYFUNCTION("""COMPUTED_VALUE"""),0.416666666666666)</f>
        <v>0.41666666666666602</v>
      </c>
      <c r="J482" s="25">
        <f ca="1">IFERROR(__xludf.DUMMYFUNCTION("""COMPUTED_VALUE"""),0.384615384615384)</f>
        <v>0.38461538461538403</v>
      </c>
      <c r="K482" s="25">
        <f ca="1">IFERROR(__xludf.DUMMYFUNCTION("""COMPUTED_VALUE"""),0.388888888888888)</f>
        <v>0.38888888888888801</v>
      </c>
      <c r="L482" s="25">
        <f ca="1">IFERROR(__xludf.DUMMYFUNCTION("""COMPUTED_VALUE"""),0.615384615384615)</f>
        <v>0.61538461538461497</v>
      </c>
      <c r="M482" s="25">
        <f ca="1">IFERROR(__xludf.DUMMYFUNCTION("""COMPUTED_VALUE"""),0.46875)</f>
        <v>0.46875</v>
      </c>
      <c r="N482" s="25">
        <f ca="1">IFERROR(__xludf.DUMMYFUNCTION("""COMPUTED_VALUE"""),0.4)</f>
        <v>0.4</v>
      </c>
      <c r="O482" s="25">
        <f ca="1">IFERROR(__xludf.DUMMYFUNCTION("""COMPUTED_VALUE"""),0.324324324324324)</f>
        <v>0.32432432432432401</v>
      </c>
      <c r="P482" s="25">
        <f ca="1">IFERROR(__xludf.DUMMYFUNCTION("""COMPUTED_VALUE"""),0.6)</f>
        <v>0.6</v>
      </c>
      <c r="Q482" s="25">
        <f ca="1">IFERROR(__xludf.DUMMYFUNCTION("""COMPUTED_VALUE"""),0)</f>
        <v>0</v>
      </c>
      <c r="R482" s="25">
        <f ca="1">IFERROR(__xludf.DUMMYFUNCTION("""COMPUTED_VALUE"""),0.565217391304347)</f>
        <v>0.56521739130434701</v>
      </c>
      <c r="S482" s="25">
        <f ca="1">IFERROR(__xludf.DUMMYFUNCTION("""COMPUTED_VALUE"""),0)</f>
        <v>0</v>
      </c>
      <c r="T482" s="25">
        <f ca="1">IFERROR(__xludf.DUMMYFUNCTION("""COMPUTED_VALUE"""),0.666666666666666)</f>
        <v>0.66666666666666596</v>
      </c>
      <c r="U482" s="25">
        <f ca="1">IFERROR(__xludf.DUMMYFUNCTION("""COMPUTED_VALUE"""),0.125)</f>
        <v>0.125</v>
      </c>
      <c r="V482" s="25">
        <f ca="1">IFERROR(__xludf.DUMMYFUNCTION("""COMPUTED_VALUE"""),0)</f>
        <v>0</v>
      </c>
      <c r="W482" s="4"/>
      <c r="X482" s="4" t="str">
        <f ca="1">IFERROR(__xludf.DUMMYFUNCTION("""COMPUTED_VALUE"""),"| 1 P CPT @ | 3 L CPT @ | 4 L JAVA @ ")</f>
        <v xml:space="preserve">| 1 P CPT @ | 3 L CPT @ | 4 L JAVA @ </v>
      </c>
      <c r="Y482" s="4" t="str">
        <f ca="1">IFERROR(__xludf.DUMMYFUNCTION("""COMPUTED_VALUE"""),"| 1 P NS % | 3 L JAVA % | 4 L NS % | 5 P PRO % ")</f>
        <v xml:space="preserve">| 1 P NS % | 3 L JAVA % | 4 L NS % | 5 P PRO % </v>
      </c>
      <c r="Z482" s="4" t="str">
        <f ca="1">IFERROR(__xludf.DUMMYFUNCTION("""COMPUTED_VALUE"""),"| 1 P Python % | 3 L PHP-CGM % | 4 L NS % | 5 P PHP-CGM % ")</f>
        <v xml:space="preserve">| 1 P Python % | 3 L PHP-CGM % | 4 L NS % | 5 P PHP-CGM % </v>
      </c>
      <c r="AA482" s="4" t="str">
        <f ca="1">IFERROR(__xludf.DUMMYFUNCTION("""COMPUTED_VALUE"""),"| 1 P JAVA % | 3 L CPT % | 5 P Python % ")</f>
        <v xml:space="preserve">| 1 P JAVA % | 3 L CPT % | 5 P Python % </v>
      </c>
      <c r="AB482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82" s="4" t="str">
        <f ca="1">IFERROR(__xludf.DUMMYFUNCTION("""COMPUTED_VALUE"""),"| 1 P CPT % | 3 L CPT % | 4 L JAVA % ")</f>
        <v xml:space="preserve">| 1 P CPT % | 3 L CPT % | 4 L JAVA % </v>
      </c>
      <c r="AD482" s="4" t="str">
        <f ca="1">IFERROR(__xludf.DUMMYFUNCTION("""COMPUTED_VALUE"""),"| 1 P NS % | 3 L JAVA % | 4 L NS % | 5 P PRO % ")</f>
        <v xml:space="preserve">| 1 P NS % | 3 L JAVA % | 4 L NS % | 5 P PRO % </v>
      </c>
      <c r="AE482" s="4" t="str">
        <f ca="1">IFERROR(__xludf.DUMMYFUNCTION("""COMPUTED_VALUE"""),"| 1 P Python @ | 3 L PHP-CGM @ | 4 L NS @ | 5 P PHP-CGM @ ")</f>
        <v xml:space="preserve">| 1 P Python @ | 3 L PHP-CGM @ | 4 L NS @ | 5 P PHP-CGM @ </v>
      </c>
      <c r="AF482" s="4" t="str">
        <f ca="1">IFERROR(__xludf.DUMMYFUNCTION("""COMPUTED_VALUE"""),"| 1 P JAVA % | 3 L CPT % | 4 L PHP-CGM % | 5 P Python % ")</f>
        <v xml:space="preserve">| 1 P JAVA % | 3 L CPT % | 4 L PHP-CGM % | 5 P Python % </v>
      </c>
      <c r="AG482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2" s="4" t="str">
        <f ca="1">IFERROR(__xludf.DUMMYFUNCTION("""COMPUTED_VALUE"""),"| 1 P JAVA @ | 3 L CPT @ | 4 L PHP-CGM @ | 5 P Python @ ")</f>
        <v xml:space="preserve">| 1 P JAVA @ | 3 L CPT @ | 4 L PHP-CGM @ | 5 P Python @ </v>
      </c>
      <c r="AI482" s="4" t="str">
        <f ca="1">IFERROR(__xludf.DUMMYFUNCTION("""COMPUTED_VALUE"""),"| 1 P JAVA @ | 3 L PHP-CGM % | 4 L JAVA % | 5 L CPT % | 6 L NS @ ")</f>
        <v xml:space="preserve">| 1 P JAVA @ | 3 L PHP-CGM % | 4 L JAVA % | 5 L CPT % | 6 L NS @ </v>
      </c>
      <c r="AJ482" s="4" t="str">
        <f ca="1">IFERROR(__xludf.DUMMYFUNCTION("""COMPUTED_VALUE"""),"| 1 P CPT % | 3 L CPT % | 4 L JAVA % ")</f>
        <v xml:space="preserve">| 1 P CPT % | 3 L CPT % | 4 L JAVA % </v>
      </c>
      <c r="AK482" s="4" t="str">
        <f ca="1">IFERROR(__xludf.DUMMYFUNCTION("""COMPUTED_VALUE"""),"| 1 P NS % | 4 L NS @ | 3 L JAVA @ | 5 P PRO % ")</f>
        <v xml:space="preserve">| 1 P NS % | 4 L NS @ | 3 L JAVA @ | 5 P PRO % </v>
      </c>
      <c r="AL482" s="4" t="str">
        <f ca="1">IFERROR(__xludf.DUMMYFUNCTION("""COMPUTED_VALUE"""),"| 1 P Python % | 3 L PHP-CGM % | 4 L NS % | 5 P PHP-CGM % ")</f>
        <v xml:space="preserve">| 1 P Python % | 3 L PHP-CGM % | 4 L NS % | 5 P PHP-CGM % </v>
      </c>
      <c r="AM482" s="4" t="str">
        <f ca="1">IFERROR(__xludf.DUMMYFUNCTION("""COMPUTED_VALUE"""),"| 1 P JAVA @ | 3 L CPT @ | 4 L PHP-CGM @ | 5 P Python @ ")</f>
        <v xml:space="preserve">| 1 P JAVA @ | 3 L CPT @ | 4 L PHP-CGM @ | 5 P Python @ </v>
      </c>
      <c r="AN482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82" s="4" t="str">
        <f ca="1">IFERROR(__xludf.DUMMYFUNCTION("""COMPUTED_VALUE"""),"| 1 P CPT % | 3 L CPT @ | 4 L JAVA @ | 5 L INE @ ")</f>
        <v xml:space="preserve">| 1 P CPT % | 3 L CPT @ | 4 L JAVA @ | 5 L INE @ </v>
      </c>
      <c r="AP482" s="4" t="str">
        <f ca="1">IFERROR(__xludf.DUMMYFUNCTION("""COMPUTED_VALUE"""),"| 1 P NS % | 3 L JAVA % | 4 L NS % | 5 P PRO % ")</f>
        <v xml:space="preserve">| 1 P NS % | 3 L JAVA % | 4 L NS % | 5 P PRO % </v>
      </c>
      <c r="AQ482" s="4" t="str">
        <f ca="1">IFERROR(__xludf.DUMMYFUNCTION("""COMPUTED_VALUE"""),"| 1 P Python @ | 3 L PHP-CGM @ | 4 L NS @ | 5 P PHP-CGM @ ")</f>
        <v xml:space="preserve">| 1 P Python @ | 3 L PHP-CGM @ | 4 L NS @ | 5 P PHP-CGM @ </v>
      </c>
      <c r="AR482" s="4" t="str">
        <f ca="1">IFERROR(__xludf.DUMMYFUNCTION("""COMPUTED_VALUE"""),"| 1 P JAVA % | 3 L CPT % | 5 P Python % ")</f>
        <v xml:space="preserve">| 1 P JAVA % | 3 L CPT % | 5 P Python % </v>
      </c>
      <c r="AS482" s="4" t="str">
        <f ca="1">IFERROR(__xludf.DUMMYFUNCTION("""COMPUTED_VALUE"""),"| 1 P CPT @ | 3 L CPT @ | 4 L JAVA @ | 5 L INE @ ")</f>
        <v xml:space="preserve">| 1 P CPT @ | 3 L CPT @ | 4 L JAVA @ | 5 L INE @ </v>
      </c>
      <c r="AT482" s="4" t="str">
        <f ca="1">IFERROR(__xludf.DUMMYFUNCTION("""COMPUTED_VALUE"""),"| 1 P NS @ | 3 L JAVA @ | 4 L NS @ | 5 P PRO @ ")</f>
        <v xml:space="preserve">| 1 P NS @ | 3 L JAVA @ | 4 L NS @ | 5 P PRO @ </v>
      </c>
      <c r="AU482" s="4" t="str">
        <f ca="1">IFERROR(__xludf.DUMMYFUNCTION("""COMPUTED_VALUE"""),"| 1 P Python % | 3 L PHP-CGM % | 4 L NS % | 5 P PHP-CGM % ")</f>
        <v xml:space="preserve">| 1 P Python % | 3 L PHP-CGM % | 4 L NS % | 5 P PHP-CGM % </v>
      </c>
      <c r="AV482" s="4" t="str">
        <f ca="1">IFERROR(__xludf.DUMMYFUNCTION("""COMPUTED_VALUE"""),"| 1 P JAVA % | 3 L CPT % | 4 L PHP-CGM % | 5 P Python % ")</f>
        <v xml:space="preserve">| 1 P JAVA % | 3 L CPT % | 4 L PHP-CGM % | 5 P Python % </v>
      </c>
      <c r="AW482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82" s="4" t="str">
        <f ca="1">IFERROR(__xludf.DUMMYFUNCTION("""COMPUTED_VALUE"""),"| 1 P CPT @ | 3 L CPT @ | 4 L JAVA @ | 5 L INE @ ")</f>
        <v xml:space="preserve">| 1 P CPT @ | 3 L CPT @ | 4 L JAVA @ | 5 L INE @ </v>
      </c>
      <c r="AY482" s="4" t="str">
        <f ca="1">IFERROR(__xludf.DUMMYFUNCTION("""COMPUTED_VALUE"""),"| 1 P NS @ | 3 L JAVA @ | 4 L NS @ | 5 P PRO @ ")</f>
        <v xml:space="preserve">| 1 P NS @ | 3 L JAVA @ | 4 L NS @ | 5 P PRO @ </v>
      </c>
      <c r="AZ482" s="4" t="str">
        <f ca="1">IFERROR(__xludf.DUMMYFUNCTION("""COMPUTED_VALUE"""),"| 1 P JAVA % | 3 L CPT @ | 4 L PHP-CGM @ | 5 P Python % ")</f>
        <v xml:space="preserve">| 1 P JAVA % | 3 L CPT @ | 4 L PHP-CGM @ | 5 P Python % </v>
      </c>
      <c r="BA482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82" s="4" t="str">
        <f ca="1">IFERROR(__xludf.DUMMYFUNCTION("""COMPUTED_VALUE"""),"| 1 P CPT @ | 3 L CPT @ | 4 L JAVA @ | 5 L INE @ ")</f>
        <v xml:space="preserve">| 1 P CPT @ | 3 L CPT @ | 4 L JAVA @ | 5 L INE @ </v>
      </c>
      <c r="BC482" s="4" t="str">
        <f ca="1">IFERROR(__xludf.DUMMYFUNCTION("""COMPUTED_VALUE"""),"| 1 P NS % | 3 L JAVA % | 4 L NS % | 5 P PRO % ")</f>
        <v xml:space="preserve">| 1 P NS % | 3 L JAVA % | 4 L NS % | 5 P PRO % </v>
      </c>
      <c r="BD482" s="4" t="str">
        <f ca="1">IFERROR(__xludf.DUMMYFUNCTION("""COMPUTED_VALUE"""),"| 1 P Python @ | 4 L NS @  | 3 L PHP-CGM @ | 5 P PHP-CGM @ ")</f>
        <v xml:space="preserve">| 1 P Python @ | 4 L NS @  | 3 L PHP-CGM @ | 5 P PHP-CGM @ </v>
      </c>
      <c r="BE482" s="4" t="str">
        <f ca="1">IFERROR(__xludf.DUMMYFUNCTION("""COMPUTED_VALUE"""),"| 1 P JAVA @ | 3 L CPT @ | 4 L PHP-CGM @ | 5 P Python @ ")</f>
        <v xml:space="preserve">| 1 P JAVA @ | 3 L CPT @ | 4 L PHP-CGM @ | 5 P Python @ </v>
      </c>
      <c r="BF482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82" s="4" t="str">
        <f ca="1">IFERROR(__xludf.DUMMYFUNCTION("""COMPUTED_VALUE"""),"| 1 P NS % | 3 L JAVA @ | 4 L NS @ | 5 P PRO % ")</f>
        <v xml:space="preserve">| 1 P NS % | 3 L JAVA @ | 4 L NS @ | 5 P PRO % </v>
      </c>
      <c r="BH482" s="4" t="str">
        <f ca="1">IFERROR(__xludf.DUMMYFUNCTION("""COMPUTED_VALUE"""),"| 1 P Python % | 3 L PHP-CGM % | 4 L NS % | 5 P PHP-CGM % ")</f>
        <v xml:space="preserve">| 1 P Python % | 3 L PHP-CGM % | 4 L NS % | 5 P PHP-CGM % </v>
      </c>
      <c r="BI482" s="4" t="str">
        <f ca="1">IFERROR(__xludf.DUMMYFUNCTION("""COMPUTED_VALUE"""),"| 1 P JAVA % | 3 L CPT % | 4 L PHP-CGM % | 5 P Python % ")</f>
        <v xml:space="preserve">| 1 P JAVA % | 3 L CPT % | 4 L PHP-CGM % | 5 P Python % </v>
      </c>
      <c r="BJ482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82" s="4" t="str">
        <f ca="1">IFERROR(__xludf.DUMMYFUNCTION("""COMPUTED_VALUE"""),"| 1 P CPT @ | 3 L CPT @ | 4 L JAVA @ | 5 L INE @ ")</f>
        <v xml:space="preserve">| 1 P CPT @ | 3 L CPT @ | 4 L JAVA @ | 5 L INE @ </v>
      </c>
      <c r="BL482" s="4" t="str">
        <f ca="1">IFERROR(__xludf.DUMMYFUNCTION("""COMPUTED_VALUE"""),"| 1 P NS % | 3 L JAVA @ | 4 L NS @ ")</f>
        <v xml:space="preserve">| 1 P NS % | 3 L JAVA @ | 4 L NS @ </v>
      </c>
      <c r="BM482" s="4" t="str">
        <f ca="1">IFERROR(__xludf.DUMMYFUNCTION("""COMPUTED_VALUE"""),"| 1 P Python @ | 3 L PHP-CGM @ | 4 L NS @ | 5 P PHP-CGM @ ")</f>
        <v xml:space="preserve">| 1 P Python @ | 3 L PHP-CGM @ | 4 L NS @ | 5 P PHP-CGM @ </v>
      </c>
      <c r="BN482" s="4" t="str">
        <f ca="1">IFERROR(__xludf.DUMMYFUNCTION("""COMPUTED_VALUE"""),"| 1 P JAVA % | 3 L CPT % | 4 L PHP-CGM % | 5 P Python % ")</f>
        <v xml:space="preserve">| 1 P JAVA % | 3 L CPT % | 4 L PHP-CGM % | 5 P Python % </v>
      </c>
      <c r="BO482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82" s="4" t="str">
        <f ca="1">IFERROR(__xludf.DUMMYFUNCTION("""COMPUTED_VALUE"""),"| 1 P CPT @ | 3 L CPT @ | 4 L JAVA @ | 5 L INE @ ")</f>
        <v xml:space="preserve">| 1 P CPT @ | 3 L CPT @ | 4 L JAVA @ | 5 L INE @ </v>
      </c>
      <c r="BQ482" s="4" t="str">
        <f ca="1">IFERROR(__xludf.DUMMYFUNCTION("""COMPUTED_VALUE"""),"| 4 L NS @ ")</f>
        <v xml:space="preserve">| 4 L NS @ </v>
      </c>
      <c r="BR482" s="4"/>
      <c r="BS482" s="4"/>
      <c r="BT482" s="4" t="str">
        <f ca="1">IFERROR(__xludf.DUMMYFUNCTION("""COMPUTED_VALUE"""),"| 1 P CPT @ | 3 L CPT @ | 4 L JAVA @ ")</f>
        <v xml:space="preserve">| 1 P CPT @ | 3 L CPT @ | 4 L JAVA @ </v>
      </c>
      <c r="BU482" s="4" t="str">
        <f ca="1">IFERROR(__xludf.DUMMYFUNCTION("""COMPUTED_VALUE"""),"| 1 P NS @ | 4 L NS @ | 3 L JAVA @ ")</f>
        <v xml:space="preserve">| 1 P NS @ | 4 L NS @ | 3 L JAVA @ </v>
      </c>
      <c r="BV482" s="4" t="str">
        <f ca="1">IFERROR(__xludf.DUMMYFUNCTION("""COMPUTED_VALUE"""),"| 1 P CPT @ | 3 L CPT @ | 4 L JAVA @ ")</f>
        <v xml:space="preserve">| 1 P CPT @ | 3 L CPT @ | 4 L JAVA @ </v>
      </c>
      <c r="BW482" s="4" t="str">
        <f ca="1">IFERROR(__xludf.DUMMYFUNCTION("""COMPUTED_VALUE"""),"| 1 P NS @ | 3 L JAVA @ | 4 L NS @ ")</f>
        <v xml:space="preserve">| 1 P NS @ | 3 L JAVA @ | 4 L NS @ </v>
      </c>
      <c r="BX482" s="4" t="str">
        <f ca="1">IFERROR(__xludf.DUMMYFUNCTION("""COMPUTED_VALUE"""),"| 1 P Python % | 3 L PHP-CGM % | 4 L NS % | 5 P PHP-CGM @ ")</f>
        <v xml:space="preserve">| 1 P Python % | 3 L PHP-CGM % | 4 L NS % | 5 P PHP-CGM @ </v>
      </c>
      <c r="BY482" s="4" t="str">
        <f ca="1">IFERROR(__xludf.DUMMYFUNCTION("""COMPUTED_VALUE"""),"| 1 P JAVA % | 3 L CPT % | 4 L PHP-CGM % | 5 P Python @ ")</f>
        <v xml:space="preserve">| 1 P JAVA % | 3 L CPT % | 4 L PHP-CGM % | 5 P Python @ </v>
      </c>
      <c r="BZ482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82" s="4" t="str">
        <f ca="1">IFERROR(__xludf.DUMMYFUNCTION("""COMPUTED_VALUE"""),"| 1 P CPT % | 3 L CPT @ | 4 L JAVA @ | 5 L INE % ")</f>
        <v xml:space="preserve">| 1 P CPT % | 3 L CPT @ | 4 L JAVA @ | 5 L INE % </v>
      </c>
      <c r="CB482" s="4" t="str">
        <f ca="1">IFERROR(__xludf.DUMMYFUNCTION("""COMPUTED_VALUE"""),"| 1 P NS @ | 3 L JAVA @ | 4 L NS @ | 5 P PRO @ ")</f>
        <v xml:space="preserve">| 1 P NS @ | 3 L JAVA @ | 4 L NS @ | 5 P PRO @ </v>
      </c>
      <c r="CC482" s="4" t="str">
        <f ca="1">IFERROR(__xludf.DUMMYFUNCTION("""COMPUTED_VALUE"""),"| 1 P Python @ | 3 L PHP-CGM @ | 4 L NS % | 5 P PHP-CGM @ ")</f>
        <v xml:space="preserve">| 1 P Python @ | 3 L PHP-CGM @ | 4 L NS % | 5 P PHP-CGM @ </v>
      </c>
      <c r="CD482" s="4" t="str">
        <f ca="1">IFERROR(__xludf.DUMMYFUNCTION("""COMPUTED_VALUE"""),"| 1 P JAVA @ | 3 L CPT @ | 4 L PHP-CGM @ | 5 P Python @ ")</f>
        <v xml:space="preserve">| 1 P JAVA @ | 3 L CPT @ | 4 L PHP-CGM @ | 5 P Python @ </v>
      </c>
      <c r="CE482" s="4" t="str">
        <f ca="1">IFERROR(__xludf.DUMMYFUNCTION("""COMPUTED_VALUE"""),"| 1 P JAVA % | 3 L PHP-CGM @ | 4 L JAVA @ | 5 L NS @ | 6 L CPT @ ")</f>
        <v xml:space="preserve">| 1 P JAVA % | 3 L PHP-CGM @ | 4 L JAVA @ | 5 L NS @ | 6 L CPT @ </v>
      </c>
      <c r="CF482" s="4" t="str">
        <f ca="1">IFERROR(__xludf.DUMMYFUNCTION("""COMPUTED_VALUE"""),"| 1 P CPT % | 3 L CPT @ | 4 L JAVA @ | 5 L INE @ ")</f>
        <v xml:space="preserve">| 1 P CPT % | 3 L CPT @ | 4 L JAVA @ | 5 L INE @ </v>
      </c>
      <c r="CG482" s="4" t="str">
        <f ca="1">IFERROR(__xludf.DUMMYFUNCTION("""COMPUTED_VALUE"""),"| 1 P NS % | 4 L NS @ ")</f>
        <v xml:space="preserve">| 1 P NS % | 4 L NS @ </v>
      </c>
      <c r="CH482" s="4" t="str">
        <f ca="1">IFERROR(__xludf.DUMMYFUNCTION("""COMPUTED_VALUE"""),"| 3 L PHP-CGM @ | 4 L NS @ | 1 P Python % ")</f>
        <v xml:space="preserve">| 3 L PHP-CGM @ | 4 L NS @ | 1 P Python % </v>
      </c>
      <c r="CI482" s="4" t="str">
        <f ca="1">IFERROR(__xludf.DUMMYFUNCTION("""COMPUTED_VALUE"""),"| 1 P JAVA % ")</f>
        <v xml:space="preserve">| 1 P JAVA % </v>
      </c>
      <c r="CJ482" s="4" t="str">
        <f ca="1">IFERROR(__xludf.DUMMYFUNCTION("""COMPUTED_VALUE"""),"| 1 P JAVA % | 4 L JAVA % ")</f>
        <v xml:space="preserve">| 1 P JAVA % | 4 L JAVA % </v>
      </c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</row>
    <row r="483" spans="1:102" ht="12.5" x14ac:dyDescent="0.25">
      <c r="A483" s="3">
        <f ca="1">IFERROR(__xludf.DUMMYFUNCTION("""COMPUTED_VALUE"""),1)</f>
        <v>1</v>
      </c>
      <c r="B483" s="3" t="str">
        <f ca="1">IFERROR(__xludf.DUMMYFUNCTION("""COMPUTED_VALUE"""),"ITC")</f>
        <v>ITC</v>
      </c>
      <c r="C483" s="32" t="str">
        <f ca="1">IFERROR(__xludf.DUMMYFUNCTION("""COMPUTED_VALUE"""),"23171371042")</f>
        <v>23171371042</v>
      </c>
      <c r="D483" s="4" t="str">
        <f ca="1">IFERROR(__xludf.DUMMYFUNCTION("""COMPUTED_VALUE"""),"MISTRY JAY NIRAVKUMAR")</f>
        <v>MISTRY JAY NIRAVKUMAR</v>
      </c>
      <c r="E483" s="3" t="str">
        <f ca="1">IFERROR(__xludf.DUMMYFUNCTION("""COMPUTED_VALUE"""),"SDP&amp;KKP - Mor")</f>
        <v>SDP&amp;KKP - Mor</v>
      </c>
      <c r="F483" s="3">
        <f ca="1">IFERROR(__xludf.DUMMYFUNCTION("""COMPUTED_VALUE"""),9978668755)</f>
        <v>9978668755</v>
      </c>
      <c r="G483" s="3">
        <f ca="1">IFERROR(__xludf.DUMMYFUNCTION("""COMPUTED_VALUE"""),9714888993)</f>
        <v>9714888993</v>
      </c>
      <c r="H483" s="33">
        <f ca="1">IFERROR(__xludf.DUMMYFUNCTION("""COMPUTED_VALUE"""),0.723140495867768)</f>
        <v>0.72314049586776796</v>
      </c>
      <c r="I483" s="25">
        <f ca="1">IFERROR(__xludf.DUMMYFUNCTION("""COMPUTED_VALUE"""),0.694444444444444)</f>
        <v>0.69444444444444398</v>
      </c>
      <c r="J483" s="25">
        <f ca="1">IFERROR(__xludf.DUMMYFUNCTION("""COMPUTED_VALUE"""),0.846153846153846)</f>
        <v>0.84615384615384603</v>
      </c>
      <c r="K483" s="25">
        <f ca="1">IFERROR(__xludf.DUMMYFUNCTION("""COMPUTED_VALUE"""),0.638888888888888)</f>
        <v>0.63888888888888795</v>
      </c>
      <c r="L483" s="25">
        <f ca="1">IFERROR(__xludf.DUMMYFUNCTION("""COMPUTED_VALUE"""),0.846153846153846)</f>
        <v>0.84615384615384603</v>
      </c>
      <c r="M483" s="25">
        <f ca="1">IFERROR(__xludf.DUMMYFUNCTION("""COMPUTED_VALUE"""),0.65625)</f>
        <v>0.65625</v>
      </c>
      <c r="N483" s="25">
        <f ca="1">IFERROR(__xludf.DUMMYFUNCTION("""COMPUTED_VALUE"""),0.8)</f>
        <v>0.8</v>
      </c>
      <c r="O483" s="25">
        <f ca="1">IFERROR(__xludf.DUMMYFUNCTION("""COMPUTED_VALUE"""),0.675675675675675)</f>
        <v>0.67567567567567499</v>
      </c>
      <c r="P483" s="25">
        <f ca="1">IFERROR(__xludf.DUMMYFUNCTION("""COMPUTED_VALUE"""),0.68)</f>
        <v>0.68</v>
      </c>
      <c r="Q483" s="25">
        <f ca="1">IFERROR(__xludf.DUMMYFUNCTION("""COMPUTED_VALUE"""),0)</f>
        <v>0</v>
      </c>
      <c r="R483" s="25">
        <f ca="1">IFERROR(__xludf.DUMMYFUNCTION("""COMPUTED_VALUE"""),0.956521739130434)</f>
        <v>0.95652173913043403</v>
      </c>
      <c r="S483" s="25">
        <f ca="1">IFERROR(__xludf.DUMMYFUNCTION("""COMPUTED_VALUE"""),0)</f>
        <v>0</v>
      </c>
      <c r="T483" s="25">
        <f ca="1">IFERROR(__xludf.DUMMYFUNCTION("""COMPUTED_VALUE"""),1)</f>
        <v>1</v>
      </c>
      <c r="U483" s="25">
        <f ca="1">IFERROR(__xludf.DUMMYFUNCTION("""COMPUTED_VALUE"""),0.375)</f>
        <v>0.375</v>
      </c>
      <c r="V483" s="25">
        <f ca="1">IFERROR(__xludf.DUMMYFUNCTION("""COMPUTED_VALUE"""),0)</f>
        <v>0</v>
      </c>
      <c r="W483" s="4"/>
      <c r="X483" s="4" t="str">
        <f ca="1">IFERROR(__xludf.DUMMYFUNCTION("""COMPUTED_VALUE"""),"| 1 P CPT % | 3 L CPT % | 4 L JAVA % ")</f>
        <v xml:space="preserve">| 1 P CPT % | 3 L CPT % | 4 L JAVA % </v>
      </c>
      <c r="Y483" s="4" t="str">
        <f ca="1">IFERROR(__xludf.DUMMYFUNCTION("""COMPUTED_VALUE"""),"| 1 P NS % | 3 L JAVA % | 4 L NS % | 5 P PRO % ")</f>
        <v xml:space="preserve">| 1 P NS % | 3 L JAVA % | 4 L NS % | 5 P PRO % </v>
      </c>
      <c r="Z483" s="4" t="str">
        <f ca="1">IFERROR(__xludf.DUMMYFUNCTION("""COMPUTED_VALUE"""),"| 1 P Python % | 3 L PHP-CGM % | 4 L NS % | 5 P PHP-CGM % ")</f>
        <v xml:space="preserve">| 1 P Python % | 3 L PHP-CGM % | 4 L NS % | 5 P PHP-CGM % </v>
      </c>
      <c r="AA483" s="4" t="str">
        <f ca="1">IFERROR(__xludf.DUMMYFUNCTION("""COMPUTED_VALUE"""),"| 1 P JAVA % | 3 L CPT % | 5 P Python % ")</f>
        <v xml:space="preserve">| 1 P JAVA % | 3 L CPT % | 5 P Python % </v>
      </c>
      <c r="AB483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83" s="4" t="str">
        <f ca="1">IFERROR(__xludf.DUMMYFUNCTION("""COMPUTED_VALUE"""),"| 1 P CPT % | 3 L CPT @ | 4 L JAVA % ")</f>
        <v xml:space="preserve">| 1 P CPT % | 3 L CPT @ | 4 L JAVA % </v>
      </c>
      <c r="AD483" s="4" t="str">
        <f ca="1">IFERROR(__xludf.DUMMYFUNCTION("""COMPUTED_VALUE"""),"| 1 P NS % | 3 L JAVA % | 4 L NS % | 5 P PRO % ")</f>
        <v xml:space="preserve">| 1 P NS % | 3 L JAVA % | 4 L NS % | 5 P PRO % </v>
      </c>
      <c r="AE483" s="4" t="str">
        <f ca="1">IFERROR(__xludf.DUMMYFUNCTION("""COMPUTED_VALUE"""),"| 1 P Python % | 3 L PHP-CGM % | 4 L NS % | 5 P PHP-CGM % ")</f>
        <v xml:space="preserve">| 1 P Python % | 3 L PHP-CGM % | 4 L NS % | 5 P PHP-CGM % </v>
      </c>
      <c r="AF483" s="4" t="str">
        <f ca="1">IFERROR(__xludf.DUMMYFUNCTION("""COMPUTED_VALUE"""),"| 1 P JAVA % | 3 L CPT % | 4 L PHP-CGM % | 5 P Python % ")</f>
        <v xml:space="preserve">| 1 P JAVA % | 3 L CPT % | 4 L PHP-CGM % | 5 P Python % </v>
      </c>
      <c r="AG483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3" s="4" t="str">
        <f ca="1">IFERROR(__xludf.DUMMYFUNCTION("""COMPUTED_VALUE"""),"| 1 P JAVA % | 3 L CPT % | 4 L PHP-CGM % | 5 P Python % ")</f>
        <v xml:space="preserve">| 1 P JAVA % | 3 L CPT % | 4 L PHP-CGM % | 5 P Python % </v>
      </c>
      <c r="AI483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J483" s="4" t="str">
        <f ca="1">IFERROR(__xludf.DUMMYFUNCTION("""COMPUTED_VALUE"""),"| 1 P CPT % | 3 L CPT % | 4 L JAVA % ")</f>
        <v xml:space="preserve">| 1 P CPT % | 3 L CPT % | 4 L JAVA % </v>
      </c>
      <c r="AK483" s="4" t="str">
        <f ca="1">IFERROR(__xludf.DUMMYFUNCTION("""COMPUTED_VALUE"""),"| 1 P NS % | 4 L NS % | 3 L JAVA % | 5 P PRO % ")</f>
        <v xml:space="preserve">| 1 P NS % | 4 L NS % | 3 L JAVA % | 5 P PRO % </v>
      </c>
      <c r="AL483" s="4" t="str">
        <f ca="1">IFERROR(__xludf.DUMMYFUNCTION("""COMPUTED_VALUE"""),"| 1 P Python % | 3 L PHP-CGM % | 4 L NS % | 5 P PHP-CGM % ")</f>
        <v xml:space="preserve">| 1 P Python % | 3 L PHP-CGM % | 4 L NS % | 5 P PHP-CGM % </v>
      </c>
      <c r="AM483" s="4" t="str">
        <f ca="1">IFERROR(__xludf.DUMMYFUNCTION("""COMPUTED_VALUE"""),"| 1 P JAVA % | 3 L CPT % | 4 L PHP-CGM % | 5 P Python % ")</f>
        <v xml:space="preserve">| 1 P JAVA % | 3 L CPT % | 4 L PHP-CGM % | 5 P Python % </v>
      </c>
      <c r="AN483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83" s="4" t="str">
        <f ca="1">IFERROR(__xludf.DUMMYFUNCTION("""COMPUTED_VALUE"""),"| 1 P CPT % | 3 L CPT % | 4 L JAVA % | 5 L INE % ")</f>
        <v xml:space="preserve">| 1 P CPT % | 3 L CPT % | 4 L JAVA % | 5 L INE % </v>
      </c>
      <c r="AP483" s="4" t="str">
        <f ca="1">IFERROR(__xludf.DUMMYFUNCTION("""COMPUTED_VALUE"""),"| 1 P NS % | 3 L JAVA % | 4 L NS % | 5 P PRO % ")</f>
        <v xml:space="preserve">| 1 P NS % | 3 L JAVA % | 4 L NS % | 5 P PRO % </v>
      </c>
      <c r="AQ483" s="4" t="str">
        <f ca="1">IFERROR(__xludf.DUMMYFUNCTION("""COMPUTED_VALUE"""),"| 1 P Python % | 3 L PHP-CGM % | 4 L NS % | 5 P PHP-CGM % ")</f>
        <v xml:space="preserve">| 1 P Python % | 3 L PHP-CGM % | 4 L NS % | 5 P PHP-CGM % </v>
      </c>
      <c r="AR483" s="4" t="str">
        <f ca="1">IFERROR(__xludf.DUMMYFUNCTION("""COMPUTED_VALUE"""),"| 1 P JAVA % | 3 L CPT % | 5 P Python % ")</f>
        <v xml:space="preserve">| 1 P JAVA % | 3 L CPT % | 5 P Python % </v>
      </c>
      <c r="AS483" s="4" t="str">
        <f ca="1">IFERROR(__xludf.DUMMYFUNCTION("""COMPUTED_VALUE"""),"| 1 P CPT % | 3 L CPT % | 4 L JAVA % | 5 L INE @ ")</f>
        <v xml:space="preserve">| 1 P CPT % | 3 L CPT % | 4 L JAVA % | 5 L INE @ </v>
      </c>
      <c r="AT483" s="4" t="str">
        <f ca="1">IFERROR(__xludf.DUMMYFUNCTION("""COMPUTED_VALUE"""),"| 1 P NS % | 3 L JAVA % | 4 L NS % | 5 P PRO % ")</f>
        <v xml:space="preserve">| 1 P NS % | 3 L JAVA % | 4 L NS % | 5 P PRO % </v>
      </c>
      <c r="AU483" s="4" t="str">
        <f ca="1">IFERROR(__xludf.DUMMYFUNCTION("""COMPUTED_VALUE"""),"| 1 P Python % | 3 L PHP-CGM % | 4 L NS % | 5 P PHP-CGM % ")</f>
        <v xml:space="preserve">| 1 P Python % | 3 L PHP-CGM % | 4 L NS % | 5 P PHP-CGM % </v>
      </c>
      <c r="AV483" s="4" t="str">
        <f ca="1">IFERROR(__xludf.DUMMYFUNCTION("""COMPUTED_VALUE"""),"| 1 P JAVA % | 3 L CPT % | 4 L PHP-CGM % | 5 P Python % ")</f>
        <v xml:space="preserve">| 1 P JAVA % | 3 L CPT % | 4 L PHP-CGM % | 5 P Python % </v>
      </c>
      <c r="AW483" s="4" t="str">
        <f ca="1">IFERROR(__xludf.DUMMYFUNCTION("""COMPUTED_VALUE"""),"| 1 P JAVA @ | 3 L PHP-CGM @ | 4 L JAVA @ | 5 L NS @ | 5 L CPT @ ")</f>
        <v xml:space="preserve">| 1 P JAVA @ | 3 L PHP-CGM @ | 4 L JAVA @ | 5 L NS @ | 5 L CPT @ </v>
      </c>
      <c r="AX483" s="4" t="str">
        <f ca="1">IFERROR(__xludf.DUMMYFUNCTION("""COMPUTED_VALUE"""),"| 1 P CPT @ | 3 L CPT @ | 4 L JAVA @ | 5 L INE @ ")</f>
        <v xml:space="preserve">| 1 P CPT @ | 3 L CPT @ | 4 L JAVA @ | 5 L INE @ </v>
      </c>
      <c r="AY483" s="4" t="str">
        <f ca="1">IFERROR(__xludf.DUMMYFUNCTION("""COMPUTED_VALUE"""),"| 1 P NS % | 3 L JAVA % | 4 L NS % | 5 P PRO % ")</f>
        <v xml:space="preserve">| 1 P NS % | 3 L JAVA % | 4 L NS % | 5 P PRO % </v>
      </c>
      <c r="AZ483" s="4" t="str">
        <f ca="1">IFERROR(__xludf.DUMMYFUNCTION("""COMPUTED_VALUE"""),"| 1 P JAVA % | 3 L CPT % | 4 L PHP-CGM % | 5 P Python % ")</f>
        <v xml:space="preserve">| 1 P JAVA % | 3 L CPT % | 4 L PHP-CGM % | 5 P Python % </v>
      </c>
      <c r="BA483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B483" s="4" t="str">
        <f ca="1">IFERROR(__xludf.DUMMYFUNCTION("""COMPUTED_VALUE"""),"| 1 P CPT % | 3 L CPT % | 4 L JAVA % | 5 L INE % ")</f>
        <v xml:space="preserve">| 1 P CPT % | 3 L CPT % | 4 L JAVA % | 5 L INE % </v>
      </c>
      <c r="BC483" s="4" t="str">
        <f ca="1">IFERROR(__xludf.DUMMYFUNCTION("""COMPUTED_VALUE"""),"| 1 P NS % | 3 L JAVA % | 4 L NS % | 5 P PRO % ")</f>
        <v xml:space="preserve">| 1 P NS % | 3 L JAVA % | 4 L NS % | 5 P PRO % </v>
      </c>
      <c r="BD483" s="4" t="str">
        <f ca="1">IFERROR(__xludf.DUMMYFUNCTION("""COMPUTED_VALUE"""),"| 1 P Python % | 4 L NS @  | 3 L PHP-CGM @ | 5 P PHP-CGM @ ")</f>
        <v xml:space="preserve">| 1 P Python % | 4 L NS @  | 3 L PHP-CGM @ | 5 P PHP-CGM @ </v>
      </c>
      <c r="BE483" s="4" t="str">
        <f ca="1">IFERROR(__xludf.DUMMYFUNCTION("""COMPUTED_VALUE"""),"| 1 P JAVA % | 3 L CPT % | 4 L PHP-CGM % | 5 P Python % ")</f>
        <v xml:space="preserve">| 1 P JAVA % | 3 L CPT % | 4 L PHP-CGM % | 5 P Python % </v>
      </c>
      <c r="BF483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83" s="4" t="str">
        <f ca="1">IFERROR(__xludf.DUMMYFUNCTION("""COMPUTED_VALUE"""),"| 1 P NS % | 3 L JAVA % | 4 L NS % | 5 P PRO % ")</f>
        <v xml:space="preserve">| 1 P NS % | 3 L JAVA % | 4 L NS % | 5 P PRO % </v>
      </c>
      <c r="BH483" s="4" t="str">
        <f ca="1">IFERROR(__xludf.DUMMYFUNCTION("""COMPUTED_VALUE"""),"| 1 P Python % | 3 L PHP-CGM % | 4 L NS % | 5 P PHP-CGM % ")</f>
        <v xml:space="preserve">| 1 P Python % | 3 L PHP-CGM % | 4 L NS % | 5 P PHP-CGM % </v>
      </c>
      <c r="BI483" s="4" t="str">
        <f ca="1">IFERROR(__xludf.DUMMYFUNCTION("""COMPUTED_VALUE"""),"| 1 P JAVA % | 3 L CPT % | 4 L PHP-CGM % | 5 P Python % ")</f>
        <v xml:space="preserve">| 1 P JAVA % | 3 L CPT % | 4 L PHP-CGM % | 5 P Python % </v>
      </c>
      <c r="BJ483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83" s="4" t="str">
        <f ca="1">IFERROR(__xludf.DUMMYFUNCTION("""COMPUTED_VALUE"""),"| 1 P CPT @ | 3 L CPT @ | 4 L JAVA @ | 5 L INE @ ")</f>
        <v xml:space="preserve">| 1 P CPT @ | 3 L CPT @ | 4 L JAVA @ | 5 L INE @ </v>
      </c>
      <c r="BL483" s="4" t="str">
        <f ca="1">IFERROR(__xludf.DUMMYFUNCTION("""COMPUTED_VALUE"""),"| 1 P NS @ | 3 L JAVA @ | 4 L NS @ ")</f>
        <v xml:space="preserve">| 1 P NS @ | 3 L JAVA @ | 4 L NS @ </v>
      </c>
      <c r="BM483" s="4" t="str">
        <f ca="1">IFERROR(__xludf.DUMMYFUNCTION("""COMPUTED_VALUE"""),"| 1 P Python % | 3 L PHP-CGM @ | 4 L NS @ | 5 P PHP-CGM % ")</f>
        <v xml:space="preserve">| 1 P Python % | 3 L PHP-CGM @ | 4 L NS @ | 5 P PHP-CGM % </v>
      </c>
      <c r="BN483" s="4" t="str">
        <f ca="1">IFERROR(__xludf.DUMMYFUNCTION("""COMPUTED_VALUE"""),"| 1 P JAVA % | 3 L CPT % | 4 L PHP-CGM @ | 5 P Python @ ")</f>
        <v xml:space="preserve">| 1 P JAVA % | 3 L CPT % | 4 L PHP-CGM @ | 5 P Python @ </v>
      </c>
      <c r="BO483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83" s="4" t="str">
        <f ca="1">IFERROR(__xludf.DUMMYFUNCTION("""COMPUTED_VALUE"""),"| 1 P CPT % | 3 L CPT % | 4 L JAVA % | 5 L INE @ ")</f>
        <v xml:space="preserve">| 1 P CPT % | 3 L CPT % | 4 L JAVA % | 5 L INE @ </v>
      </c>
      <c r="BQ483" s="4" t="str">
        <f ca="1">IFERROR(__xludf.DUMMYFUNCTION("""COMPUTED_VALUE"""),"| 4 L NS @ ")</f>
        <v xml:space="preserve">| 4 L NS @ </v>
      </c>
      <c r="BR483" s="4"/>
      <c r="BS483" s="4"/>
      <c r="BT483" s="4" t="str">
        <f ca="1">IFERROR(__xludf.DUMMYFUNCTION("""COMPUTED_VALUE"""),"| 1 P CPT % | 3 L CPT % | 4 L JAVA % ")</f>
        <v xml:space="preserve">| 1 P CPT % | 3 L CPT % | 4 L JAVA % </v>
      </c>
      <c r="BU483" s="4" t="str">
        <f ca="1">IFERROR(__xludf.DUMMYFUNCTION("""COMPUTED_VALUE"""),"| 1 P NS @ | 4 L NS @ | 3 L JAVA @ ")</f>
        <v xml:space="preserve">| 1 P NS @ | 4 L NS @ | 3 L JAVA @ </v>
      </c>
      <c r="BV483" s="4" t="str">
        <f ca="1">IFERROR(__xludf.DUMMYFUNCTION("""COMPUTED_VALUE"""),"| 1 P CPT % | 3 L CPT % | 4 L JAVA % ")</f>
        <v xml:space="preserve">| 1 P CPT % | 3 L CPT % | 4 L JAVA % </v>
      </c>
      <c r="BW483" s="4" t="str">
        <f ca="1">IFERROR(__xludf.DUMMYFUNCTION("""COMPUTED_VALUE"""),"| 1 P NS % | 3 L JAVA % | 4 L NS % ")</f>
        <v xml:space="preserve">| 1 P NS % | 3 L JAVA % | 4 L NS % </v>
      </c>
      <c r="BX483" s="4" t="str">
        <f ca="1">IFERROR(__xludf.DUMMYFUNCTION("""COMPUTED_VALUE"""),"| 1 P Python % | 3 L PHP-CGM % | 4 L NS % | 5 P PHP-CGM % ")</f>
        <v xml:space="preserve">| 1 P Python % | 3 L PHP-CGM % | 4 L NS % | 5 P PHP-CGM % </v>
      </c>
      <c r="BY483" s="4" t="str">
        <f ca="1">IFERROR(__xludf.DUMMYFUNCTION("""COMPUTED_VALUE"""),"| 1 P JAVA % | 3 L CPT % | 4 L PHP-CGM % | 5 P Python % ")</f>
        <v xml:space="preserve">| 1 P JAVA % | 3 L CPT % | 4 L PHP-CGM % | 5 P Python % </v>
      </c>
      <c r="BZ483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A483" s="4" t="str">
        <f ca="1">IFERROR(__xludf.DUMMYFUNCTION("""COMPUTED_VALUE"""),"| 1 P CPT % | 3 L CPT % | 4 L JAVA % | 5 L INE % ")</f>
        <v xml:space="preserve">| 1 P CPT % | 3 L CPT % | 4 L JAVA % | 5 L INE % </v>
      </c>
      <c r="CB483" s="4" t="str">
        <f ca="1">IFERROR(__xludf.DUMMYFUNCTION("""COMPUTED_VALUE"""),"| 1 P NS % | 3 L JAVA % | 4 L NS % | 5 P PRO % ")</f>
        <v xml:space="preserve">| 1 P NS % | 3 L JAVA % | 4 L NS % | 5 P PRO % </v>
      </c>
      <c r="CC483" s="4" t="str">
        <f ca="1">IFERROR(__xludf.DUMMYFUNCTION("""COMPUTED_VALUE"""),"| 1 P Python % | 3 L PHP-CGM % | 4 L NS % | 5 P PHP-CGM @ ")</f>
        <v xml:space="preserve">| 1 P Python % | 3 L PHP-CGM % | 4 L NS % | 5 P PHP-CGM @ </v>
      </c>
      <c r="CD483" s="4" t="str">
        <f ca="1">IFERROR(__xludf.DUMMYFUNCTION("""COMPUTED_VALUE"""),"| 1 P JAVA % | 3 L CPT % | 4 L PHP-CGM % | 5 P Python % ")</f>
        <v xml:space="preserve">| 1 P JAVA % | 3 L CPT % | 4 L PHP-CGM % | 5 P Python % </v>
      </c>
      <c r="CE483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83" s="4" t="str">
        <f ca="1">IFERROR(__xludf.DUMMYFUNCTION("""COMPUTED_VALUE"""),"| 1 P CPT % | 3 L CPT @ | 4 L JAVA @ | 5 L INE @ ")</f>
        <v xml:space="preserve">| 1 P CPT % | 3 L CPT @ | 4 L JAVA @ | 5 L INE @ </v>
      </c>
      <c r="CG483" s="4" t="str">
        <f ca="1">IFERROR(__xludf.DUMMYFUNCTION("""COMPUTED_VALUE"""),"| 1 P NS % | 4 L NS % ")</f>
        <v xml:space="preserve">| 1 P NS % | 4 L NS % </v>
      </c>
      <c r="CH483" s="4" t="str">
        <f ca="1">IFERROR(__xludf.DUMMYFUNCTION("""COMPUTED_VALUE"""),"| 3 L PHP-CGM @ | 4 L NS @ | 1 P Python % ")</f>
        <v xml:space="preserve">| 3 L PHP-CGM @ | 4 L NS @ | 1 P Python % </v>
      </c>
      <c r="CI483" s="4" t="str">
        <f ca="1">IFERROR(__xludf.DUMMYFUNCTION("""COMPUTED_VALUE"""),"| 1 P JAVA @ ")</f>
        <v xml:space="preserve">| 1 P JAVA @ </v>
      </c>
      <c r="CJ483" s="4" t="str">
        <f ca="1">IFERROR(__xludf.DUMMYFUNCTION("""COMPUTED_VALUE"""),"| 1 P JAVA % | 4 L JAVA % ")</f>
        <v xml:space="preserve">| 1 P JAVA % | 4 L JAVA % </v>
      </c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</row>
    <row r="484" spans="1:102" ht="12.5" x14ac:dyDescent="0.25">
      <c r="A484" s="3">
        <f ca="1">IFERROR(__xludf.DUMMYFUNCTION("""COMPUTED_VALUE"""),1)</f>
        <v>1</v>
      </c>
      <c r="B484" s="3" t="str">
        <f ca="1">IFERROR(__xludf.DUMMYFUNCTION("""COMPUTED_VALUE"""),"ITC")</f>
        <v>ITC</v>
      </c>
      <c r="C484" s="32" t="str">
        <f ca="1">IFERROR(__xludf.DUMMYFUNCTION("""COMPUTED_VALUE"""),"23171371043")</f>
        <v>23171371043</v>
      </c>
      <c r="D484" s="4" t="str">
        <f ca="1">IFERROR(__xludf.DUMMYFUNCTION("""COMPUTED_VALUE"""),"MITANSHU SHAH")</f>
        <v>MITANSHU SHAH</v>
      </c>
      <c r="E484" s="3" t="str">
        <f ca="1">IFERROR(__xludf.DUMMYFUNCTION("""COMPUTED_VALUE"""),"SDP&amp;KKP - Mor")</f>
        <v>SDP&amp;KKP - Mor</v>
      </c>
      <c r="F484" s="3">
        <f ca="1">IFERROR(__xludf.DUMMYFUNCTION("""COMPUTED_VALUE"""),7490827242)</f>
        <v>7490827242</v>
      </c>
      <c r="G484" s="3">
        <f ca="1">IFERROR(__xludf.DUMMYFUNCTION("""COMPUTED_VALUE"""),8290148777)</f>
        <v>8290148777</v>
      </c>
      <c r="H484" s="33">
        <f ca="1">IFERROR(__xludf.DUMMYFUNCTION("""COMPUTED_VALUE"""),0.74793388429752)</f>
        <v>0.74793388429751995</v>
      </c>
      <c r="I484" s="25">
        <f ca="1">IFERROR(__xludf.DUMMYFUNCTION("""COMPUTED_VALUE"""),0.75)</f>
        <v>0.75</v>
      </c>
      <c r="J484" s="25">
        <f ca="1">IFERROR(__xludf.DUMMYFUNCTION("""COMPUTED_VALUE"""),0.692307692307692)</f>
        <v>0.69230769230769196</v>
      </c>
      <c r="K484" s="25">
        <f ca="1">IFERROR(__xludf.DUMMYFUNCTION("""COMPUTED_VALUE"""),0.694444444444444)</f>
        <v>0.69444444444444398</v>
      </c>
      <c r="L484" s="25">
        <f ca="1">IFERROR(__xludf.DUMMYFUNCTION("""COMPUTED_VALUE"""),0.846153846153846)</f>
        <v>0.84615384615384603</v>
      </c>
      <c r="M484" s="25">
        <f ca="1">IFERROR(__xludf.DUMMYFUNCTION("""COMPUTED_VALUE"""),0.71875)</f>
        <v>0.71875</v>
      </c>
      <c r="N484" s="25">
        <f ca="1">IFERROR(__xludf.DUMMYFUNCTION("""COMPUTED_VALUE"""),0.8)</f>
        <v>0.8</v>
      </c>
      <c r="O484" s="25">
        <f ca="1">IFERROR(__xludf.DUMMYFUNCTION("""COMPUTED_VALUE"""),0.702702702702702)</f>
        <v>0.70270270270270196</v>
      </c>
      <c r="P484" s="25">
        <f ca="1">IFERROR(__xludf.DUMMYFUNCTION("""COMPUTED_VALUE"""),0.72)</f>
        <v>0.72</v>
      </c>
      <c r="Q484" s="25">
        <f ca="1">IFERROR(__xludf.DUMMYFUNCTION("""COMPUTED_VALUE"""),0)</f>
        <v>0</v>
      </c>
      <c r="R484" s="25">
        <f ca="1">IFERROR(__xludf.DUMMYFUNCTION("""COMPUTED_VALUE"""),0.956521739130434)</f>
        <v>0.95652173913043403</v>
      </c>
      <c r="S484" s="25">
        <f ca="1">IFERROR(__xludf.DUMMYFUNCTION("""COMPUTED_VALUE"""),0)</f>
        <v>0</v>
      </c>
      <c r="T484" s="25">
        <f ca="1">IFERROR(__xludf.DUMMYFUNCTION("""COMPUTED_VALUE"""),1)</f>
        <v>1</v>
      </c>
      <c r="U484" s="25">
        <f ca="1">IFERROR(__xludf.DUMMYFUNCTION("""COMPUTED_VALUE"""),0.375)</f>
        <v>0.375</v>
      </c>
      <c r="V484" s="25">
        <f ca="1">IFERROR(__xludf.DUMMYFUNCTION("""COMPUTED_VALUE"""),0)</f>
        <v>0</v>
      </c>
      <c r="W484" s="4"/>
      <c r="X484" s="4" t="str">
        <f ca="1">IFERROR(__xludf.DUMMYFUNCTION("""COMPUTED_VALUE"""),"| 1 P CPT % | 3 L CPT % | 4 L JAVA % ")</f>
        <v xml:space="preserve">| 1 P CPT % | 3 L CPT % | 4 L JAVA % </v>
      </c>
      <c r="Y484" s="4" t="str">
        <f ca="1">IFERROR(__xludf.DUMMYFUNCTION("""COMPUTED_VALUE"""),"| 1 P NS % | 3 L JAVA % | 4 L NS % | 5 P PRO % ")</f>
        <v xml:space="preserve">| 1 P NS % | 3 L JAVA % | 4 L NS % | 5 P PRO % </v>
      </c>
      <c r="Z484" s="4" t="str">
        <f ca="1">IFERROR(__xludf.DUMMYFUNCTION("""COMPUTED_VALUE"""),"| 1 P Python % | 3 L PHP-CGM % | 4 L NS % | 5 P PHP-CGM % ")</f>
        <v xml:space="preserve">| 1 P Python % | 3 L PHP-CGM % | 4 L NS % | 5 P PHP-CGM % </v>
      </c>
      <c r="AA484" s="4" t="str">
        <f ca="1">IFERROR(__xludf.DUMMYFUNCTION("""COMPUTED_VALUE"""),"| 1 P JAVA % | 3 L CPT % | 5 P Python % ")</f>
        <v xml:space="preserve">| 1 P JAVA % | 3 L CPT % | 5 P Python % </v>
      </c>
      <c r="AB484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84" s="4" t="str">
        <f ca="1">IFERROR(__xludf.DUMMYFUNCTION("""COMPUTED_VALUE"""),"| 1 P CPT @ | 3 L CPT % | 4 L JAVA @ ")</f>
        <v xml:space="preserve">| 1 P CPT @ | 3 L CPT % | 4 L JAVA @ </v>
      </c>
      <c r="AD484" s="4" t="str">
        <f ca="1">IFERROR(__xludf.DUMMYFUNCTION("""COMPUTED_VALUE"""),"| 1 P NS % | 3 L JAVA % | 4 L NS % | 5 P PRO % ")</f>
        <v xml:space="preserve">| 1 P NS % | 3 L JAVA % | 4 L NS % | 5 P PRO % </v>
      </c>
      <c r="AE484" s="4" t="str">
        <f ca="1">IFERROR(__xludf.DUMMYFUNCTION("""COMPUTED_VALUE"""),"| 1 P Python % | 3 L PHP-CGM % | 4 L NS % | 5 P PHP-CGM % ")</f>
        <v xml:space="preserve">| 1 P Python % | 3 L PHP-CGM % | 4 L NS % | 5 P PHP-CGM % </v>
      </c>
      <c r="AF484" s="4" t="str">
        <f ca="1">IFERROR(__xludf.DUMMYFUNCTION("""COMPUTED_VALUE"""),"| 1 P JAVA % | 3 L CPT % | 4 L PHP-CGM % | 5 P Python % ")</f>
        <v xml:space="preserve">| 1 P JAVA % | 3 L CPT % | 4 L PHP-CGM % | 5 P Python % </v>
      </c>
      <c r="AG484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4" s="4" t="str">
        <f ca="1">IFERROR(__xludf.DUMMYFUNCTION("""COMPUTED_VALUE"""),"| 1 P JAVA % | 3 L CPT % | 4 L PHP-CGM % | 5 P Python % ")</f>
        <v xml:space="preserve">| 1 P JAVA % | 3 L CPT % | 4 L PHP-CGM % | 5 P Python % </v>
      </c>
      <c r="AI484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J484" s="4" t="str">
        <f ca="1">IFERROR(__xludf.DUMMYFUNCTION("""COMPUTED_VALUE"""),"| 1 P CPT % | 3 L CPT % | 4 L JAVA % ")</f>
        <v xml:space="preserve">| 1 P CPT % | 3 L CPT % | 4 L JAVA % </v>
      </c>
      <c r="AK484" s="4" t="str">
        <f ca="1">IFERROR(__xludf.DUMMYFUNCTION("""COMPUTED_VALUE"""),"| 1 P NS % | 4 L NS % | 3 L JAVA % | 5 P PRO % ")</f>
        <v xml:space="preserve">| 1 P NS % | 4 L NS % | 3 L JAVA % | 5 P PRO % </v>
      </c>
      <c r="AL484" s="4" t="str">
        <f ca="1">IFERROR(__xludf.DUMMYFUNCTION("""COMPUTED_VALUE"""),"| 1 P Python % | 3 L PHP-CGM % | 4 L NS % | 5 P PHP-CGM % ")</f>
        <v xml:space="preserve">| 1 P Python % | 3 L PHP-CGM % | 4 L NS % | 5 P PHP-CGM % </v>
      </c>
      <c r="AM484" s="4" t="str">
        <f ca="1">IFERROR(__xludf.DUMMYFUNCTION("""COMPUTED_VALUE"""),"| 1 P JAVA % | 3 L CPT % | 4 L PHP-CGM % | 5 P Python % ")</f>
        <v xml:space="preserve">| 1 P JAVA % | 3 L CPT % | 4 L PHP-CGM % | 5 P Python % </v>
      </c>
      <c r="AN484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84" s="4" t="str">
        <f ca="1">IFERROR(__xludf.DUMMYFUNCTION("""COMPUTED_VALUE"""),"| 1 P CPT % | 3 L CPT % | 4 L JAVA % | 5 L INE % ")</f>
        <v xml:space="preserve">| 1 P CPT % | 3 L CPT % | 4 L JAVA % | 5 L INE % </v>
      </c>
      <c r="AP484" s="4" t="str">
        <f ca="1">IFERROR(__xludf.DUMMYFUNCTION("""COMPUTED_VALUE"""),"| 1 P NS % | 3 L JAVA % | 4 L NS % | 5 P PRO % ")</f>
        <v xml:space="preserve">| 1 P NS % | 3 L JAVA % | 4 L NS % | 5 P PRO % </v>
      </c>
      <c r="AQ484" s="4" t="str">
        <f ca="1">IFERROR(__xludf.DUMMYFUNCTION("""COMPUTED_VALUE"""),"| 1 P Python % | 3 L PHP-CGM % | 4 L NS % | 5 P PHP-CGM % ")</f>
        <v xml:space="preserve">| 1 P Python % | 3 L PHP-CGM % | 4 L NS % | 5 P PHP-CGM % </v>
      </c>
      <c r="AR484" s="4" t="str">
        <f ca="1">IFERROR(__xludf.DUMMYFUNCTION("""COMPUTED_VALUE"""),"| 1 P JAVA % | 3 L CPT % | 5 P Python % ")</f>
        <v xml:space="preserve">| 1 P JAVA % | 3 L CPT % | 5 P Python % </v>
      </c>
      <c r="AS484" s="4" t="str">
        <f ca="1">IFERROR(__xludf.DUMMYFUNCTION("""COMPUTED_VALUE"""),"| 1 P CPT % | 3 L CPT % | 4 L JAVA % | 5 L INE @ ")</f>
        <v xml:space="preserve">| 1 P CPT % | 3 L CPT % | 4 L JAVA % | 5 L INE @ </v>
      </c>
      <c r="AT484" s="4" t="str">
        <f ca="1">IFERROR(__xludf.DUMMYFUNCTION("""COMPUTED_VALUE"""),"| 1 P NS % | 3 L JAVA % | 4 L NS % | 5 P PRO % ")</f>
        <v xml:space="preserve">| 1 P NS % | 3 L JAVA % | 4 L NS % | 5 P PRO % </v>
      </c>
      <c r="AU484" s="4" t="str">
        <f ca="1">IFERROR(__xludf.DUMMYFUNCTION("""COMPUTED_VALUE"""),"| 1 P Python % | 3 L PHP-CGM % | 4 L NS % | 5 P PHP-CGM % ")</f>
        <v xml:space="preserve">| 1 P Python % | 3 L PHP-CGM % | 4 L NS % | 5 P PHP-CGM % </v>
      </c>
      <c r="AV484" s="4" t="str">
        <f ca="1">IFERROR(__xludf.DUMMYFUNCTION("""COMPUTED_VALUE"""),"| 1 P JAVA % | 3 L CPT % | 4 L PHP-CGM % | 5 P Python % ")</f>
        <v xml:space="preserve">| 1 P JAVA % | 3 L CPT % | 4 L PHP-CGM % | 5 P Python % </v>
      </c>
      <c r="AW484" s="4" t="str">
        <f ca="1">IFERROR(__xludf.DUMMYFUNCTION("""COMPUTED_VALUE"""),"| 1 P JAVA @ | 3 L PHP-CGM @ | 4 L JAVA @ | 5 L NS @ | 5 L CPT @ ")</f>
        <v xml:space="preserve">| 1 P JAVA @ | 3 L PHP-CGM @ | 4 L JAVA @ | 5 L NS @ | 5 L CPT @ </v>
      </c>
      <c r="AX484" s="4" t="str">
        <f ca="1">IFERROR(__xludf.DUMMYFUNCTION("""COMPUTED_VALUE"""),"| 1 P CPT @ | 3 L CPT @ | 4 L JAVA @ | 5 L INE @ ")</f>
        <v xml:space="preserve">| 1 P CPT @ | 3 L CPT @ | 4 L JAVA @ | 5 L INE @ </v>
      </c>
      <c r="AY484" s="4" t="str">
        <f ca="1">IFERROR(__xludf.DUMMYFUNCTION("""COMPUTED_VALUE"""),"| 1 P NS % | 3 L JAVA % | 4 L NS % | 5 P PRO % ")</f>
        <v xml:space="preserve">| 1 P NS % | 3 L JAVA % | 4 L NS % | 5 P PRO % </v>
      </c>
      <c r="AZ484" s="4" t="str">
        <f ca="1">IFERROR(__xludf.DUMMYFUNCTION("""COMPUTED_VALUE"""),"| 1 P JAVA % | 3 L CPT % | 4 L PHP-CGM % | 5 P Python % ")</f>
        <v xml:space="preserve">| 1 P JAVA % | 3 L CPT % | 4 L PHP-CGM % | 5 P Python % </v>
      </c>
      <c r="BA484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84" s="4" t="str">
        <f ca="1">IFERROR(__xludf.DUMMYFUNCTION("""COMPUTED_VALUE"""),"| 1 P CPT % | 3 L CPT % | 4 L JAVA % | 5 L INE % ")</f>
        <v xml:space="preserve">| 1 P CPT % | 3 L CPT % | 4 L JAVA % | 5 L INE % </v>
      </c>
      <c r="BC484" s="4" t="str">
        <f ca="1">IFERROR(__xludf.DUMMYFUNCTION("""COMPUTED_VALUE"""),"| 1 P NS % | 3 L JAVA % | 4 L NS % | 5 P PRO % ")</f>
        <v xml:space="preserve">| 1 P NS % | 3 L JAVA % | 4 L NS % | 5 P PRO % </v>
      </c>
      <c r="BD484" s="4" t="str">
        <f ca="1">IFERROR(__xludf.DUMMYFUNCTION("""COMPUTED_VALUE"""),"| 1 P Python % | 4 L NS @  | 3 L PHP-CGM @ | 5 P PHP-CGM @ ")</f>
        <v xml:space="preserve">| 1 P Python % | 4 L NS @  | 3 L PHP-CGM @ | 5 P PHP-CGM @ </v>
      </c>
      <c r="BE484" s="4" t="str">
        <f ca="1">IFERROR(__xludf.DUMMYFUNCTION("""COMPUTED_VALUE"""),"| 1 P JAVA % | 3 L CPT % | 4 L PHP-CGM % | 5 P Python % ")</f>
        <v xml:space="preserve">| 1 P JAVA % | 3 L CPT % | 4 L PHP-CGM % | 5 P Python % </v>
      </c>
      <c r="BF484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84" s="4" t="str">
        <f ca="1">IFERROR(__xludf.DUMMYFUNCTION("""COMPUTED_VALUE"""),"| 1 P NS % | 3 L JAVA % | 4 L NS % | 5 P PRO % ")</f>
        <v xml:space="preserve">| 1 P NS % | 3 L JAVA % | 4 L NS % | 5 P PRO % </v>
      </c>
      <c r="BH484" s="4" t="str">
        <f ca="1">IFERROR(__xludf.DUMMYFUNCTION("""COMPUTED_VALUE"""),"| 1 P Python % | 3 L PHP-CGM % | 4 L NS % | 5 P PHP-CGM % ")</f>
        <v xml:space="preserve">| 1 P Python % | 3 L PHP-CGM % | 4 L NS % | 5 P PHP-CGM % </v>
      </c>
      <c r="BI484" s="4" t="str">
        <f ca="1">IFERROR(__xludf.DUMMYFUNCTION("""COMPUTED_VALUE"""),"| 1 P JAVA % | 3 L CPT % | 4 L PHP-CGM % | 5 P Python % ")</f>
        <v xml:space="preserve">| 1 P JAVA % | 3 L CPT % | 4 L PHP-CGM % | 5 P Python % </v>
      </c>
      <c r="BJ484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84" s="4" t="str">
        <f ca="1">IFERROR(__xludf.DUMMYFUNCTION("""COMPUTED_VALUE"""),"| 1 P CPT @ | 3 L CPT @ | 4 L JAVA @ | 5 L INE @ ")</f>
        <v xml:space="preserve">| 1 P CPT @ | 3 L CPT @ | 4 L JAVA @ | 5 L INE @ </v>
      </c>
      <c r="BL484" s="4" t="str">
        <f ca="1">IFERROR(__xludf.DUMMYFUNCTION("""COMPUTED_VALUE"""),"| 1 P NS @ | 3 L JAVA @ | 4 L NS @ ")</f>
        <v xml:space="preserve">| 1 P NS @ | 3 L JAVA @ | 4 L NS @ </v>
      </c>
      <c r="BM484" s="4" t="str">
        <f ca="1">IFERROR(__xludf.DUMMYFUNCTION("""COMPUTED_VALUE"""),"| 1 P Python % | 3 L PHP-CGM @ | 4 L NS @ | 5 P PHP-CGM % ")</f>
        <v xml:space="preserve">| 1 P Python % | 3 L PHP-CGM @ | 4 L NS @ | 5 P PHP-CGM % </v>
      </c>
      <c r="BN484" s="4" t="str">
        <f ca="1">IFERROR(__xludf.DUMMYFUNCTION("""COMPUTED_VALUE"""),"| 1 P JAVA @ | 3 L CPT @ | 4 L PHP-CGM @ | 5 P Python @ ")</f>
        <v xml:space="preserve">| 1 P JAVA @ | 3 L CPT @ | 4 L PHP-CGM @ | 5 P Python @ </v>
      </c>
      <c r="BO484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84" s="4" t="str">
        <f ca="1">IFERROR(__xludf.DUMMYFUNCTION("""COMPUTED_VALUE"""),"| 1 P CPT % | 3 L CPT % | 4 L JAVA % | 5 L INE @ ")</f>
        <v xml:space="preserve">| 1 P CPT % | 3 L CPT % | 4 L JAVA % | 5 L INE @ </v>
      </c>
      <c r="BQ484" s="4" t="str">
        <f ca="1">IFERROR(__xludf.DUMMYFUNCTION("""COMPUTED_VALUE"""),"| 4 L NS @ ")</f>
        <v xml:space="preserve">| 4 L NS @ </v>
      </c>
      <c r="BR484" s="4"/>
      <c r="BS484" s="4"/>
      <c r="BT484" s="4" t="str">
        <f ca="1">IFERROR(__xludf.DUMMYFUNCTION("""COMPUTED_VALUE"""),"| 1 P CPT % | 3 L CPT % | 4 L JAVA % ")</f>
        <v xml:space="preserve">| 1 P CPT % | 3 L CPT % | 4 L JAVA % </v>
      </c>
      <c r="BU484" s="4" t="str">
        <f ca="1">IFERROR(__xludf.DUMMYFUNCTION("""COMPUTED_VALUE"""),"| 1 P NS @ | 4 L NS @ | 3 L JAVA @ ")</f>
        <v xml:space="preserve">| 1 P NS @ | 4 L NS @ | 3 L JAVA @ </v>
      </c>
      <c r="BV484" s="4" t="str">
        <f ca="1">IFERROR(__xludf.DUMMYFUNCTION("""COMPUTED_VALUE"""),"| 1 P CPT % | 3 L CPT % | 4 L JAVA % ")</f>
        <v xml:space="preserve">| 1 P CPT % | 3 L CPT % | 4 L JAVA % </v>
      </c>
      <c r="BW484" s="4" t="str">
        <f ca="1">IFERROR(__xludf.DUMMYFUNCTION("""COMPUTED_VALUE"""),"| 1 P NS % | 3 L JAVA % | 4 L NS % ")</f>
        <v xml:space="preserve">| 1 P NS % | 3 L JAVA % | 4 L NS % </v>
      </c>
      <c r="BX484" s="4" t="str">
        <f ca="1">IFERROR(__xludf.DUMMYFUNCTION("""COMPUTED_VALUE"""),"| 1 P Python % | 3 L PHP-CGM % | 4 L NS % | 5 P PHP-CGM % ")</f>
        <v xml:space="preserve">| 1 P Python % | 3 L PHP-CGM % | 4 L NS % | 5 P PHP-CGM % </v>
      </c>
      <c r="BY484" s="4" t="str">
        <f ca="1">IFERROR(__xludf.DUMMYFUNCTION("""COMPUTED_VALUE"""),"| 1 P JAVA % | 3 L CPT % | 4 L PHP-CGM % | 5 P Python % ")</f>
        <v xml:space="preserve">| 1 P JAVA % | 3 L CPT % | 4 L PHP-CGM % | 5 P Python % </v>
      </c>
      <c r="BZ484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A484" s="4" t="str">
        <f ca="1">IFERROR(__xludf.DUMMYFUNCTION("""COMPUTED_VALUE"""),"| 1 P CPT % | 3 L CPT % | 4 L JAVA % | 5 L INE % ")</f>
        <v xml:space="preserve">| 1 P CPT % | 3 L CPT % | 4 L JAVA % | 5 L INE % </v>
      </c>
      <c r="CB484" s="4" t="str">
        <f ca="1">IFERROR(__xludf.DUMMYFUNCTION("""COMPUTED_VALUE"""),"| 1 P NS % | 3 L JAVA % | 4 L NS % | 5 P PRO % ")</f>
        <v xml:space="preserve">| 1 P NS % | 3 L JAVA % | 4 L NS % | 5 P PRO % </v>
      </c>
      <c r="CC484" s="4" t="str">
        <f ca="1">IFERROR(__xludf.DUMMYFUNCTION("""COMPUTED_VALUE"""),"| 1 P Python % | 3 L PHP-CGM % | 4 L NS % | 5 P PHP-CGM @ ")</f>
        <v xml:space="preserve">| 1 P Python % | 3 L PHP-CGM % | 4 L NS % | 5 P PHP-CGM @ </v>
      </c>
      <c r="CD484" s="4" t="str">
        <f ca="1">IFERROR(__xludf.DUMMYFUNCTION("""COMPUTED_VALUE"""),"| 1 P JAVA % | 3 L CPT % | 4 L PHP-CGM % | 5 P Python % ")</f>
        <v xml:space="preserve">| 1 P JAVA % | 3 L CPT % | 4 L PHP-CGM % | 5 P Python % </v>
      </c>
      <c r="CE484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84" s="4" t="str">
        <f ca="1">IFERROR(__xludf.DUMMYFUNCTION("""COMPUTED_VALUE"""),"| 1 P CPT @ | 3 L CPT @ | 4 L JAVA @ | 5 L INE @ ")</f>
        <v xml:space="preserve">| 1 P CPT @ | 3 L CPT @ | 4 L JAVA @ | 5 L INE @ </v>
      </c>
      <c r="CG484" s="4" t="str">
        <f ca="1">IFERROR(__xludf.DUMMYFUNCTION("""COMPUTED_VALUE"""),"| 1 P NS % | 4 L NS % ")</f>
        <v xml:space="preserve">| 1 P NS % | 4 L NS % </v>
      </c>
      <c r="CH484" s="4" t="str">
        <f ca="1">IFERROR(__xludf.DUMMYFUNCTION("""COMPUTED_VALUE"""),"| 3 L PHP-CGM @ | 4 L NS @ | 1 P Python % ")</f>
        <v xml:space="preserve">| 3 L PHP-CGM @ | 4 L NS @ | 1 P Python % </v>
      </c>
      <c r="CI484" s="4" t="str">
        <f ca="1">IFERROR(__xludf.DUMMYFUNCTION("""COMPUTED_VALUE"""),"| 1 P JAVA @ ")</f>
        <v xml:space="preserve">| 1 P JAVA @ </v>
      </c>
      <c r="CJ484" s="4" t="str">
        <f ca="1">IFERROR(__xludf.DUMMYFUNCTION("""COMPUTED_VALUE"""),"| 1 P JAVA % | 4 L JAVA % ")</f>
        <v xml:space="preserve">| 1 P JAVA % | 4 L JAVA % </v>
      </c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</row>
    <row r="485" spans="1:102" ht="12.5" x14ac:dyDescent="0.25">
      <c r="A485" s="3">
        <f ca="1">IFERROR(__xludf.DUMMYFUNCTION("""COMPUTED_VALUE"""),1)</f>
        <v>1</v>
      </c>
      <c r="B485" s="3" t="str">
        <f ca="1">IFERROR(__xludf.DUMMYFUNCTION("""COMPUTED_VALUE"""),"ITC")</f>
        <v>ITC</v>
      </c>
      <c r="C485" s="32" t="str">
        <f ca="1">IFERROR(__xludf.DUMMYFUNCTION("""COMPUTED_VALUE"""),"23171371044")</f>
        <v>23171371044</v>
      </c>
      <c r="D485" s="4" t="str">
        <f ca="1">IFERROR(__xludf.DUMMYFUNCTION("""COMPUTED_VALUE"""),"NAGORI NIZAMUDDIN NURMOHAMMAD")</f>
        <v>NAGORI NIZAMUDDIN NURMOHAMMAD</v>
      </c>
      <c r="E485" s="3" t="str">
        <f ca="1">IFERROR(__xludf.DUMMYFUNCTION("""COMPUTED_VALUE"""),"SDP&amp;KKP - Mor")</f>
        <v>SDP&amp;KKP - Mor</v>
      </c>
      <c r="F485" s="3">
        <f ca="1">IFERROR(__xludf.DUMMYFUNCTION("""COMPUTED_VALUE"""),6355160988)</f>
        <v>6355160988</v>
      </c>
      <c r="G485" s="3">
        <f ca="1">IFERROR(__xludf.DUMMYFUNCTION("""COMPUTED_VALUE"""),9825035941)</f>
        <v>9825035941</v>
      </c>
      <c r="H485" s="33">
        <f ca="1">IFERROR(__xludf.DUMMYFUNCTION("""COMPUTED_VALUE"""),0.880165289256198)</f>
        <v>0.88016528925619797</v>
      </c>
      <c r="I485" s="25">
        <f ca="1">IFERROR(__xludf.DUMMYFUNCTION("""COMPUTED_VALUE"""),0.861111111111111)</f>
        <v>0.86111111111111105</v>
      </c>
      <c r="J485" s="25">
        <f ca="1">IFERROR(__xludf.DUMMYFUNCTION("""COMPUTED_VALUE"""),0.846153846153846)</f>
        <v>0.84615384615384603</v>
      </c>
      <c r="K485" s="25">
        <f ca="1">IFERROR(__xludf.DUMMYFUNCTION("""COMPUTED_VALUE"""),0.861111111111111)</f>
        <v>0.86111111111111105</v>
      </c>
      <c r="L485" s="25">
        <f ca="1">IFERROR(__xludf.DUMMYFUNCTION("""COMPUTED_VALUE"""),0.923076923076923)</f>
        <v>0.92307692307692302</v>
      </c>
      <c r="M485" s="25">
        <f ca="1">IFERROR(__xludf.DUMMYFUNCTION("""COMPUTED_VALUE"""),0.875)</f>
        <v>0.875</v>
      </c>
      <c r="N485" s="25">
        <f ca="1">IFERROR(__xludf.DUMMYFUNCTION("""COMPUTED_VALUE"""),0.9)</f>
        <v>0.9</v>
      </c>
      <c r="O485" s="25">
        <f ca="1">IFERROR(__xludf.DUMMYFUNCTION("""COMPUTED_VALUE"""),0.864864864864864)</f>
        <v>0.86486486486486402</v>
      </c>
      <c r="P485" s="25">
        <f ca="1">IFERROR(__xludf.DUMMYFUNCTION("""COMPUTED_VALUE"""),0.84)</f>
        <v>0.84</v>
      </c>
      <c r="Q485" s="25">
        <f ca="1">IFERROR(__xludf.DUMMYFUNCTION("""COMPUTED_VALUE"""),0)</f>
        <v>0</v>
      </c>
      <c r="R485" s="25">
        <f ca="1">IFERROR(__xludf.DUMMYFUNCTION("""COMPUTED_VALUE"""),1)</f>
        <v>1</v>
      </c>
      <c r="S485" s="25">
        <f ca="1">IFERROR(__xludf.DUMMYFUNCTION("""COMPUTED_VALUE"""),0)</f>
        <v>0</v>
      </c>
      <c r="T485" s="25">
        <f ca="1">IFERROR(__xludf.DUMMYFUNCTION("""COMPUTED_VALUE"""),1)</f>
        <v>1</v>
      </c>
      <c r="U485" s="25">
        <f ca="1">IFERROR(__xludf.DUMMYFUNCTION("""COMPUTED_VALUE"""),0.75)</f>
        <v>0.75</v>
      </c>
      <c r="V485" s="25">
        <f ca="1">IFERROR(__xludf.DUMMYFUNCTION("""COMPUTED_VALUE"""),0)</f>
        <v>0</v>
      </c>
      <c r="W485" s="4"/>
      <c r="X485" s="4" t="str">
        <f ca="1">IFERROR(__xludf.DUMMYFUNCTION("""COMPUTED_VALUE"""),"| 1 P CPT % | 3 L CPT % | 4 L JAVA % ")</f>
        <v xml:space="preserve">| 1 P CPT % | 3 L CPT % | 4 L JAVA % </v>
      </c>
      <c r="Y485" s="4" t="str">
        <f ca="1">IFERROR(__xludf.DUMMYFUNCTION("""COMPUTED_VALUE"""),"| 1 P NS % | 3 L JAVA % | 4 L NS % | 5 P PRO % ")</f>
        <v xml:space="preserve">| 1 P NS % | 3 L JAVA % | 4 L NS % | 5 P PRO % </v>
      </c>
      <c r="Z485" s="4" t="str">
        <f ca="1">IFERROR(__xludf.DUMMYFUNCTION("""COMPUTED_VALUE"""),"| 1 P Python % | 3 L PHP-CGM % | 4 L NS % | 5 P PHP-CGM % ")</f>
        <v xml:space="preserve">| 1 P Python % | 3 L PHP-CGM % | 4 L NS % | 5 P PHP-CGM % </v>
      </c>
      <c r="AA485" s="4" t="str">
        <f ca="1">IFERROR(__xludf.DUMMYFUNCTION("""COMPUTED_VALUE"""),"| 1 P JAVA % | 3 L CPT % | 5 P Python % ")</f>
        <v xml:space="preserve">| 1 P JAVA % | 3 L CPT % | 5 P Python % </v>
      </c>
      <c r="AB485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85" s="4" t="str">
        <f ca="1">IFERROR(__xludf.DUMMYFUNCTION("""COMPUTED_VALUE"""),"| 1 P CPT % | 3 L CPT % | 4 L JAVA % ")</f>
        <v xml:space="preserve">| 1 P CPT % | 3 L CPT % | 4 L JAVA % </v>
      </c>
      <c r="AD485" s="4" t="str">
        <f ca="1">IFERROR(__xludf.DUMMYFUNCTION("""COMPUTED_VALUE"""),"| 1 P NS % | 3 L JAVA % | 4 L NS % | 5 P PRO % ")</f>
        <v xml:space="preserve">| 1 P NS % | 3 L JAVA % | 4 L NS % | 5 P PRO % </v>
      </c>
      <c r="AE485" s="4" t="str">
        <f ca="1">IFERROR(__xludf.DUMMYFUNCTION("""COMPUTED_VALUE"""),"| 1 P Python % | 3 L PHP-CGM % | 4 L NS % | 5 P PHP-CGM % ")</f>
        <v xml:space="preserve">| 1 P Python % | 3 L PHP-CGM % | 4 L NS % | 5 P PHP-CGM % </v>
      </c>
      <c r="AF485" s="4" t="str">
        <f ca="1">IFERROR(__xludf.DUMMYFUNCTION("""COMPUTED_VALUE"""),"| 1 P JAVA % | 3 L CPT % | 4 L PHP-CGM % | 5 P Python % ")</f>
        <v xml:space="preserve">| 1 P JAVA % | 3 L CPT % | 4 L PHP-CGM % | 5 P Python % </v>
      </c>
      <c r="AG485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5" s="4" t="str">
        <f ca="1">IFERROR(__xludf.DUMMYFUNCTION("""COMPUTED_VALUE"""),"| 1 P JAVA % | 3 L CPT % | 4 L PHP-CGM % | 5 P Python % ")</f>
        <v xml:space="preserve">| 1 P JAVA % | 3 L CPT % | 4 L PHP-CGM % | 5 P Python % </v>
      </c>
      <c r="AI485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J485" s="4" t="str">
        <f ca="1">IFERROR(__xludf.DUMMYFUNCTION("""COMPUTED_VALUE"""),"| 1 P CPT % | 3 L CPT % | 4 L JAVA % ")</f>
        <v xml:space="preserve">| 1 P CPT % | 3 L CPT % | 4 L JAVA % </v>
      </c>
      <c r="AK485" s="4" t="str">
        <f ca="1">IFERROR(__xludf.DUMMYFUNCTION("""COMPUTED_VALUE"""),"| 1 P NS % | 4 L NS % | 3 L JAVA % | 5 P PRO % ")</f>
        <v xml:space="preserve">| 1 P NS % | 4 L NS % | 3 L JAVA % | 5 P PRO % </v>
      </c>
      <c r="AL485" s="4" t="str">
        <f ca="1">IFERROR(__xludf.DUMMYFUNCTION("""COMPUTED_VALUE"""),"| 1 P Python % | 3 L PHP-CGM % | 4 L NS % | 5 P PHP-CGM % ")</f>
        <v xml:space="preserve">| 1 P Python % | 3 L PHP-CGM % | 4 L NS % | 5 P PHP-CGM % </v>
      </c>
      <c r="AM485" s="4" t="str">
        <f ca="1">IFERROR(__xludf.DUMMYFUNCTION("""COMPUTED_VALUE"""),"| 1 P JAVA % | 3 L CPT % | 4 L PHP-CGM % | 5 P Python % ")</f>
        <v xml:space="preserve">| 1 P JAVA % | 3 L CPT % | 4 L PHP-CGM % | 5 P Python % </v>
      </c>
      <c r="AN485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85" s="4" t="str">
        <f ca="1">IFERROR(__xludf.DUMMYFUNCTION("""COMPUTED_VALUE"""),"| 1 P CPT % | 3 L CPT % | 4 L JAVA % | 5 L INE % ")</f>
        <v xml:space="preserve">| 1 P CPT % | 3 L CPT % | 4 L JAVA % | 5 L INE % </v>
      </c>
      <c r="AP485" s="4" t="str">
        <f ca="1">IFERROR(__xludf.DUMMYFUNCTION("""COMPUTED_VALUE"""),"| 1 P NS % | 3 L JAVA % | 4 L NS % | 5 P PRO % ")</f>
        <v xml:space="preserve">| 1 P NS % | 3 L JAVA % | 4 L NS % | 5 P PRO % </v>
      </c>
      <c r="AQ485" s="4" t="str">
        <f ca="1">IFERROR(__xludf.DUMMYFUNCTION("""COMPUTED_VALUE"""),"| 1 P Python % | 3 L PHP-CGM % | 4 L NS % | 5 P PHP-CGM % ")</f>
        <v xml:space="preserve">| 1 P Python % | 3 L PHP-CGM % | 4 L NS % | 5 P PHP-CGM % </v>
      </c>
      <c r="AR485" s="4" t="str">
        <f ca="1">IFERROR(__xludf.DUMMYFUNCTION("""COMPUTED_VALUE"""),"| 1 P JAVA % | 3 L CPT % | 5 P Python % ")</f>
        <v xml:space="preserve">| 1 P JAVA % | 3 L CPT % | 5 P Python % </v>
      </c>
      <c r="AS485" s="4" t="str">
        <f ca="1">IFERROR(__xludf.DUMMYFUNCTION("""COMPUTED_VALUE"""),"| 1 P CPT % | 3 L CPT % | 4 L JAVA % | 5 L INE % ")</f>
        <v xml:space="preserve">| 1 P CPT % | 3 L CPT % | 4 L JAVA % | 5 L INE % </v>
      </c>
      <c r="AT485" s="4" t="str">
        <f ca="1">IFERROR(__xludf.DUMMYFUNCTION("""COMPUTED_VALUE"""),"| 1 P NS % | 3 L JAVA % | 4 L NS % | 5 P PRO % ")</f>
        <v xml:space="preserve">| 1 P NS % | 3 L JAVA % | 4 L NS % | 5 P PRO % </v>
      </c>
      <c r="AU485" s="4" t="str">
        <f ca="1">IFERROR(__xludf.DUMMYFUNCTION("""COMPUTED_VALUE"""),"| 1 P Python % | 3 L PHP-CGM % | 4 L NS % | 5 P PHP-CGM % ")</f>
        <v xml:space="preserve">| 1 P Python % | 3 L PHP-CGM % | 4 L NS % | 5 P PHP-CGM % </v>
      </c>
      <c r="AV485" s="4" t="str">
        <f ca="1">IFERROR(__xludf.DUMMYFUNCTION("""COMPUTED_VALUE"""),"| 1 P JAVA % | 3 L CPT % | 4 L PHP-CGM % | 5 P Python % ")</f>
        <v xml:space="preserve">| 1 P JAVA % | 3 L CPT % | 4 L PHP-CGM % | 5 P Python % </v>
      </c>
      <c r="AW485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85" s="4" t="str">
        <f ca="1">IFERROR(__xludf.DUMMYFUNCTION("""COMPUTED_VALUE"""),"| 1 P CPT % | 3 L CPT % | 4 L JAVA % | 5 L INE % ")</f>
        <v xml:space="preserve">| 1 P CPT % | 3 L CPT % | 4 L JAVA % | 5 L INE % </v>
      </c>
      <c r="AY485" s="4" t="str">
        <f ca="1">IFERROR(__xludf.DUMMYFUNCTION("""COMPUTED_VALUE"""),"| 1 P NS % | 3 L JAVA % | 4 L NS % | 5 P PRO % ")</f>
        <v xml:space="preserve">| 1 P NS % | 3 L JAVA % | 4 L NS % | 5 P PRO % </v>
      </c>
      <c r="AZ485" s="4" t="str">
        <f ca="1">IFERROR(__xludf.DUMMYFUNCTION("""COMPUTED_VALUE"""),"| 1 P JAVA % | 3 L CPT % | 4 L PHP-CGM % | 5 P Python % ")</f>
        <v xml:space="preserve">| 1 P JAVA % | 3 L CPT % | 4 L PHP-CGM % | 5 P Python % </v>
      </c>
      <c r="BA485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85" s="4" t="str">
        <f ca="1">IFERROR(__xludf.DUMMYFUNCTION("""COMPUTED_VALUE"""),"| 1 P CPT % | 3 L CPT % | 4 L JAVA % | 5 L INE % ")</f>
        <v xml:space="preserve">| 1 P CPT % | 3 L CPT % | 4 L JAVA % | 5 L INE % </v>
      </c>
      <c r="BC485" s="4" t="str">
        <f ca="1">IFERROR(__xludf.DUMMYFUNCTION("""COMPUTED_VALUE"""),"| 1 P NS % | 3 L JAVA % | 4 L NS % | 5 P PRO % ")</f>
        <v xml:space="preserve">| 1 P NS % | 3 L JAVA % | 4 L NS % | 5 P PRO % </v>
      </c>
      <c r="BD485" s="4" t="str">
        <f ca="1">IFERROR(__xludf.DUMMYFUNCTION("""COMPUTED_VALUE"""),"| 1 P Python % | 4 L NS %  | 3 L PHP-CGM % | 5 P PHP-CGM % ")</f>
        <v xml:space="preserve">| 1 P Python % | 4 L NS %  | 3 L PHP-CGM % | 5 P PHP-CGM % </v>
      </c>
      <c r="BE485" s="4" t="str">
        <f ca="1">IFERROR(__xludf.DUMMYFUNCTION("""COMPUTED_VALUE"""),"| 1 P JAVA % | 3 L CPT % | 4 L PHP-CGM % | 5 P Python % ")</f>
        <v xml:space="preserve">| 1 P JAVA % | 3 L CPT % | 4 L PHP-CGM % | 5 P Python % </v>
      </c>
      <c r="BF485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85" s="4" t="str">
        <f ca="1">IFERROR(__xludf.DUMMYFUNCTION("""COMPUTED_VALUE"""),"| 1 P NS % | 3 L JAVA % | 4 L NS % | 5 P PRO % ")</f>
        <v xml:space="preserve">| 1 P NS % | 3 L JAVA % | 4 L NS % | 5 P PRO % </v>
      </c>
      <c r="BH485" s="4" t="str">
        <f ca="1">IFERROR(__xludf.DUMMYFUNCTION("""COMPUTED_VALUE"""),"| 1 P Python % | 3 L PHP-CGM % | 4 L NS % | 5 P PHP-CGM % ")</f>
        <v xml:space="preserve">| 1 P Python % | 3 L PHP-CGM % | 4 L NS % | 5 P PHP-CGM % </v>
      </c>
      <c r="BI485" s="4" t="str">
        <f ca="1">IFERROR(__xludf.DUMMYFUNCTION("""COMPUTED_VALUE"""),"| 1 P JAVA % | 3 L CPT % | 4 L PHP-CGM % | 5 P Python % ")</f>
        <v xml:space="preserve">| 1 P JAVA % | 3 L CPT % | 4 L PHP-CGM % | 5 P Python % </v>
      </c>
      <c r="BJ485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K485" s="4" t="str">
        <f ca="1">IFERROR(__xludf.DUMMYFUNCTION("""COMPUTED_VALUE"""),"| 1 P CPT @ | 3 L CPT @ | 4 L JAVA @ | 5 L INE @ ")</f>
        <v xml:space="preserve">| 1 P CPT @ | 3 L CPT @ | 4 L JAVA @ | 5 L INE @ </v>
      </c>
      <c r="BL485" s="4" t="str">
        <f ca="1">IFERROR(__xludf.DUMMYFUNCTION("""COMPUTED_VALUE"""),"| 1 P NS % | 3 L JAVA % | 4 L NS % ")</f>
        <v xml:space="preserve">| 1 P NS % | 3 L JAVA % | 4 L NS % </v>
      </c>
      <c r="BM485" s="4" t="str">
        <f ca="1">IFERROR(__xludf.DUMMYFUNCTION("""COMPUTED_VALUE"""),"| 1 P Python % | 3 L PHP-CGM % | 4 L NS % | 5 P PHP-CGM % ")</f>
        <v xml:space="preserve">| 1 P Python % | 3 L PHP-CGM % | 4 L NS % | 5 P PHP-CGM % </v>
      </c>
      <c r="BN485" s="4" t="str">
        <f ca="1">IFERROR(__xludf.DUMMYFUNCTION("""COMPUTED_VALUE"""),"| 1 P JAVA % | 3 L CPT % | 4 L PHP-CGM % | 5 P Python % ")</f>
        <v xml:space="preserve">| 1 P JAVA % | 3 L CPT % | 4 L PHP-CGM % | 5 P Python % </v>
      </c>
      <c r="BO485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85" s="4" t="str">
        <f ca="1">IFERROR(__xludf.DUMMYFUNCTION("""COMPUTED_VALUE"""),"| 1 P CPT % | 3 L CPT % | 4 L JAVA % | 5 L INE % ")</f>
        <v xml:space="preserve">| 1 P CPT % | 3 L CPT % | 4 L JAVA % | 5 L INE % </v>
      </c>
      <c r="BQ485" s="4" t="str">
        <f ca="1">IFERROR(__xludf.DUMMYFUNCTION("""COMPUTED_VALUE"""),"| 4 L NS % ")</f>
        <v xml:space="preserve">| 4 L NS % </v>
      </c>
      <c r="BR485" s="4"/>
      <c r="BS485" s="4"/>
      <c r="BT485" s="4" t="str">
        <f ca="1">IFERROR(__xludf.DUMMYFUNCTION("""COMPUTED_VALUE"""),"| 1 P CPT % | 3 L CPT % | 4 L JAVA % ")</f>
        <v xml:space="preserve">| 1 P CPT % | 3 L CPT % | 4 L JAVA % </v>
      </c>
      <c r="BU485" s="4" t="str">
        <f ca="1">IFERROR(__xludf.DUMMYFUNCTION("""COMPUTED_VALUE"""),"| 1 P NS % | 4 L NS % | 3 L JAVA % ")</f>
        <v xml:space="preserve">| 1 P NS % | 4 L NS % | 3 L JAVA % </v>
      </c>
      <c r="BV485" s="4" t="str">
        <f ca="1">IFERROR(__xludf.DUMMYFUNCTION("""COMPUTED_VALUE"""),"| 1 P CPT % | 3 L CPT % | 4 L JAVA % ")</f>
        <v xml:space="preserve">| 1 P CPT % | 3 L CPT % | 4 L JAVA % </v>
      </c>
      <c r="BW485" s="4" t="str">
        <f ca="1">IFERROR(__xludf.DUMMYFUNCTION("""COMPUTED_VALUE"""),"| 1 P NS % | 3 L JAVA % | 4 L NS % ")</f>
        <v xml:space="preserve">| 1 P NS % | 3 L JAVA % | 4 L NS % </v>
      </c>
      <c r="BX485" s="4" t="str">
        <f ca="1">IFERROR(__xludf.DUMMYFUNCTION("""COMPUTED_VALUE"""),"| 1 P Python % | 3 L PHP-CGM % | 4 L NS % | 5 P PHP-CGM % ")</f>
        <v xml:space="preserve">| 1 P Python % | 3 L PHP-CGM % | 4 L NS % | 5 P PHP-CGM % </v>
      </c>
      <c r="BY485" s="4" t="str">
        <f ca="1">IFERROR(__xludf.DUMMYFUNCTION("""COMPUTED_VALUE"""),"| 1 P JAVA % | 3 L CPT % | 4 L PHP-CGM % | 5 P Python % ")</f>
        <v xml:space="preserve">| 1 P JAVA % | 3 L CPT % | 4 L PHP-CGM % | 5 P Python % </v>
      </c>
      <c r="BZ485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CA485" s="4" t="str">
        <f ca="1">IFERROR(__xludf.DUMMYFUNCTION("""COMPUTED_VALUE"""),"| 1 P CPT % | 3 L CPT % | 4 L JAVA % | 5 L INE % ")</f>
        <v xml:space="preserve">| 1 P CPT % | 3 L CPT % | 4 L JAVA % | 5 L INE % </v>
      </c>
      <c r="CB485" s="4" t="str">
        <f ca="1">IFERROR(__xludf.DUMMYFUNCTION("""COMPUTED_VALUE"""),"| 1 P NS % | 3 L JAVA % | 4 L NS % | 5 P PRO % ")</f>
        <v xml:space="preserve">| 1 P NS % | 3 L JAVA % | 4 L NS % | 5 P PRO % </v>
      </c>
      <c r="CC485" s="4" t="str">
        <f ca="1">IFERROR(__xludf.DUMMYFUNCTION("""COMPUTED_VALUE"""),"| 1 P Python % | 3 L PHP-CGM % | 4 L NS % | 5 P PHP-CGM @ ")</f>
        <v xml:space="preserve">| 1 P Python % | 3 L PHP-CGM % | 4 L NS % | 5 P PHP-CGM @ </v>
      </c>
      <c r="CD485" s="4" t="str">
        <f ca="1">IFERROR(__xludf.DUMMYFUNCTION("""COMPUTED_VALUE"""),"| 1 P JAVA % | 3 L CPT % | 4 L PHP-CGM % | 5 P Python % ")</f>
        <v xml:space="preserve">| 1 P JAVA % | 3 L CPT % | 4 L PHP-CGM % | 5 P Python % </v>
      </c>
      <c r="CE485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85" s="4" t="str">
        <f ca="1">IFERROR(__xludf.DUMMYFUNCTION("""COMPUTED_VALUE"""),"| 1 P CPT @ | 3 L CPT @ | 4 L JAVA @ | 5 L INE @ ")</f>
        <v xml:space="preserve">| 1 P CPT @ | 3 L CPT @ | 4 L JAVA @ | 5 L INE @ </v>
      </c>
      <c r="CG485" s="4" t="str">
        <f ca="1">IFERROR(__xludf.DUMMYFUNCTION("""COMPUTED_VALUE"""),"| 1 P NS @ | 4 L NS @ ")</f>
        <v xml:space="preserve">| 1 P NS @ | 4 L NS @ </v>
      </c>
      <c r="CH485" s="4" t="str">
        <f ca="1">IFERROR(__xludf.DUMMYFUNCTION("""COMPUTED_VALUE"""),"| 3 L PHP-CGM @ | 4 L NS @ | 1 P Python % ")</f>
        <v xml:space="preserve">| 3 L PHP-CGM @ | 4 L NS @ | 1 P Python % </v>
      </c>
      <c r="CI485" s="4" t="str">
        <f ca="1">IFERROR(__xludf.DUMMYFUNCTION("""COMPUTED_VALUE"""),"| 1 P JAVA @ ")</f>
        <v xml:space="preserve">| 1 P JAVA @ </v>
      </c>
      <c r="CJ485" s="4" t="str">
        <f ca="1">IFERROR(__xludf.DUMMYFUNCTION("""COMPUTED_VALUE"""),"| 1 P JAVA % | 4 L JAVA % ")</f>
        <v xml:space="preserve">| 1 P JAVA % | 4 L JAVA % </v>
      </c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</row>
    <row r="486" spans="1:102" ht="12.5" x14ac:dyDescent="0.25">
      <c r="A486" s="3">
        <f ca="1">IFERROR(__xludf.DUMMYFUNCTION("""COMPUTED_VALUE"""),1)</f>
        <v>1</v>
      </c>
      <c r="B486" s="3" t="str">
        <f ca="1">IFERROR(__xludf.DUMMYFUNCTION("""COMPUTED_VALUE"""),"ITC")</f>
        <v>ITC</v>
      </c>
      <c r="C486" s="32" t="str">
        <f ca="1">IFERROR(__xludf.DUMMYFUNCTION("""COMPUTED_VALUE"""),"23171371045")</f>
        <v>23171371045</v>
      </c>
      <c r="D486" s="4" t="str">
        <f ca="1">IFERROR(__xludf.DUMMYFUNCTION("""COMPUTED_VALUE"""),"LEUVA NAMRA DISHANT")</f>
        <v>LEUVA NAMRA DISHANT</v>
      </c>
      <c r="E486" s="3" t="str">
        <f ca="1">IFERROR(__xludf.DUMMYFUNCTION("""COMPUTED_VALUE"""),"SDP&amp;KKP - Mor")</f>
        <v>SDP&amp;KKP - Mor</v>
      </c>
      <c r="F486" s="3">
        <f ca="1">IFERROR(__xludf.DUMMYFUNCTION("""COMPUTED_VALUE"""),7623001100)</f>
        <v>7623001100</v>
      </c>
      <c r="G486" s="3">
        <f ca="1">IFERROR(__xludf.DUMMYFUNCTION("""COMPUTED_VALUE"""),8160393737)</f>
        <v>8160393737</v>
      </c>
      <c r="H486" s="33">
        <f ca="1">IFERROR(__xludf.DUMMYFUNCTION("""COMPUTED_VALUE"""),0.690082644628099)</f>
        <v>0.69008264462809898</v>
      </c>
      <c r="I486" s="25">
        <f ca="1">IFERROR(__xludf.DUMMYFUNCTION("""COMPUTED_VALUE"""),0.666666666666666)</f>
        <v>0.66666666666666596</v>
      </c>
      <c r="J486" s="25">
        <f ca="1">IFERROR(__xludf.DUMMYFUNCTION("""COMPUTED_VALUE"""),0.769230769230769)</f>
        <v>0.76923076923076905</v>
      </c>
      <c r="K486" s="25">
        <f ca="1">IFERROR(__xludf.DUMMYFUNCTION("""COMPUTED_VALUE"""),0.611111111111111)</f>
        <v>0.61111111111111105</v>
      </c>
      <c r="L486" s="25">
        <f ca="1">IFERROR(__xludf.DUMMYFUNCTION("""COMPUTED_VALUE"""),0.923076923076923)</f>
        <v>0.92307692307692302</v>
      </c>
      <c r="M486" s="25">
        <f ca="1">IFERROR(__xludf.DUMMYFUNCTION("""COMPUTED_VALUE"""),0.625)</f>
        <v>0.625</v>
      </c>
      <c r="N486" s="25">
        <f ca="1">IFERROR(__xludf.DUMMYFUNCTION("""COMPUTED_VALUE"""),0.6)</f>
        <v>0.6</v>
      </c>
      <c r="O486" s="25">
        <f ca="1">IFERROR(__xludf.DUMMYFUNCTION("""COMPUTED_VALUE"""),0.702702702702702)</f>
        <v>0.70270270270270196</v>
      </c>
      <c r="P486" s="25">
        <f ca="1">IFERROR(__xludf.DUMMYFUNCTION("""COMPUTED_VALUE"""),0.64)</f>
        <v>0.64</v>
      </c>
      <c r="Q486" s="25">
        <f ca="1">IFERROR(__xludf.DUMMYFUNCTION("""COMPUTED_VALUE"""),0)</f>
        <v>0</v>
      </c>
      <c r="R486" s="25">
        <f ca="1">IFERROR(__xludf.DUMMYFUNCTION("""COMPUTED_VALUE"""),0.826086956521739)</f>
        <v>0.82608695652173902</v>
      </c>
      <c r="S486" s="25">
        <f ca="1">IFERROR(__xludf.DUMMYFUNCTION("""COMPUTED_VALUE"""),0)</f>
        <v>0</v>
      </c>
      <c r="T486" s="25">
        <f ca="1">IFERROR(__xludf.DUMMYFUNCTION("""COMPUTED_VALUE"""),1)</f>
        <v>1</v>
      </c>
      <c r="U486" s="25">
        <f ca="1">IFERROR(__xludf.DUMMYFUNCTION("""COMPUTED_VALUE"""),0.375)</f>
        <v>0.375</v>
      </c>
      <c r="V486" s="25">
        <f ca="1">IFERROR(__xludf.DUMMYFUNCTION("""COMPUTED_VALUE"""),0)</f>
        <v>0</v>
      </c>
      <c r="W486" s="4"/>
      <c r="X486" s="4" t="str">
        <f ca="1">IFERROR(__xludf.DUMMYFUNCTION("""COMPUTED_VALUE"""),"| 1 P CPT % | 3 L CPT % | 4 L JAVA % ")</f>
        <v xml:space="preserve">| 1 P CPT % | 3 L CPT % | 4 L JAVA % </v>
      </c>
      <c r="Y486" s="4" t="str">
        <f ca="1">IFERROR(__xludf.DUMMYFUNCTION("""COMPUTED_VALUE"""),"| 1 P NS % | 3 L JAVA % | 4 L NS % | 5 P PRO % ")</f>
        <v xml:space="preserve">| 1 P NS % | 3 L JAVA % | 4 L NS % | 5 P PRO % </v>
      </c>
      <c r="Z486" s="4" t="str">
        <f ca="1">IFERROR(__xludf.DUMMYFUNCTION("""COMPUTED_VALUE"""),"| 1 P Python % | 3 L PHP-CGM % | 4 L NS % | 5 P PHP-CGM % ")</f>
        <v xml:space="preserve">| 1 P Python % | 3 L PHP-CGM % | 4 L NS % | 5 P PHP-CGM % </v>
      </c>
      <c r="AA486" s="4" t="str">
        <f ca="1">IFERROR(__xludf.DUMMYFUNCTION("""COMPUTED_VALUE"""),"| 1 P JAVA % | 3 L CPT % | 5 P Python % ")</f>
        <v xml:space="preserve">| 1 P JAVA % | 3 L CPT % | 5 P Python % </v>
      </c>
      <c r="AB486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86" s="4" t="str">
        <f ca="1">IFERROR(__xludf.DUMMYFUNCTION("""COMPUTED_VALUE"""),"| 1 P CPT % | 3 L CPT % | 4 L JAVA % ")</f>
        <v xml:space="preserve">| 1 P CPT % | 3 L CPT % | 4 L JAVA % </v>
      </c>
      <c r="AD486" s="4" t="str">
        <f ca="1">IFERROR(__xludf.DUMMYFUNCTION("""COMPUTED_VALUE"""),"| 1 P NS % | 3 L JAVA % | 4 L NS % | 5 P PRO % ")</f>
        <v xml:space="preserve">| 1 P NS % | 3 L JAVA % | 4 L NS % | 5 P PRO % </v>
      </c>
      <c r="AE486" s="4" t="str">
        <f ca="1">IFERROR(__xludf.DUMMYFUNCTION("""COMPUTED_VALUE"""),"| 1 P Python % | 3 L PHP-CGM % | 4 L NS % | 5 P PHP-CGM % ")</f>
        <v xml:space="preserve">| 1 P Python % | 3 L PHP-CGM % | 4 L NS % | 5 P PHP-CGM % </v>
      </c>
      <c r="AF486" s="4" t="str">
        <f ca="1">IFERROR(__xludf.DUMMYFUNCTION("""COMPUTED_VALUE"""),"| 1 P JAVA % | 3 L CPT % | 4 L PHP-CGM % | 5 P Python % ")</f>
        <v xml:space="preserve">| 1 P JAVA % | 3 L CPT % | 4 L PHP-CGM % | 5 P Python % </v>
      </c>
      <c r="AG486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6" s="4" t="str">
        <f ca="1">IFERROR(__xludf.DUMMYFUNCTION("""COMPUTED_VALUE"""),"| 1 P JAVA % | 3 L CPT % | 4 L PHP-CGM % | 5 P Python % ")</f>
        <v xml:space="preserve">| 1 P JAVA % | 3 L CPT % | 4 L PHP-CGM % | 5 P Python % </v>
      </c>
      <c r="AI486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J486" s="4" t="str">
        <f ca="1">IFERROR(__xludf.DUMMYFUNCTION("""COMPUTED_VALUE"""),"| 1 P CPT @ | 3 L CPT @ | 4 L JAVA @ ")</f>
        <v xml:space="preserve">| 1 P CPT @ | 3 L CPT @ | 4 L JAVA @ </v>
      </c>
      <c r="AK486" s="4" t="str">
        <f ca="1">IFERROR(__xludf.DUMMYFUNCTION("""COMPUTED_VALUE"""),"| 1 P NS % | 4 L NS % | 3 L JAVA % | 5 P PRO % ")</f>
        <v xml:space="preserve">| 1 P NS % | 4 L NS % | 3 L JAVA % | 5 P PRO % </v>
      </c>
      <c r="AL486" s="4" t="str">
        <f ca="1">IFERROR(__xludf.DUMMYFUNCTION("""COMPUTED_VALUE"""),"| 1 P Python % | 3 L PHP-CGM % | 4 L NS % | 5 P PHP-CGM % ")</f>
        <v xml:space="preserve">| 1 P Python % | 3 L PHP-CGM % | 4 L NS % | 5 P PHP-CGM % </v>
      </c>
      <c r="AM486" s="4" t="str">
        <f ca="1">IFERROR(__xludf.DUMMYFUNCTION("""COMPUTED_VALUE"""),"| 1 P JAVA % | 3 L CPT % | 4 L PHP-CGM % | 5 P Python % ")</f>
        <v xml:space="preserve">| 1 P JAVA % | 3 L CPT % | 4 L PHP-CGM % | 5 P Python % </v>
      </c>
      <c r="AN486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86" s="4" t="str">
        <f ca="1">IFERROR(__xludf.DUMMYFUNCTION("""COMPUTED_VALUE"""),"| 1 P CPT % | 3 L CPT % | 4 L JAVA % | 5 L INE % ")</f>
        <v xml:space="preserve">| 1 P CPT % | 3 L CPT % | 4 L JAVA % | 5 L INE % </v>
      </c>
      <c r="AP486" s="4" t="str">
        <f ca="1">IFERROR(__xludf.DUMMYFUNCTION("""COMPUTED_VALUE"""),"| 1 P NS % | 3 L JAVA % | 4 L NS % | 5 P PRO % ")</f>
        <v xml:space="preserve">| 1 P NS % | 3 L JAVA % | 4 L NS % | 5 P PRO % </v>
      </c>
      <c r="AQ486" s="4" t="str">
        <f ca="1">IFERROR(__xludf.DUMMYFUNCTION("""COMPUTED_VALUE"""),"| 1 P Python % | 3 L PHP-CGM % | 4 L NS % | 5 P PHP-CGM % ")</f>
        <v xml:space="preserve">| 1 P Python % | 3 L PHP-CGM % | 4 L NS % | 5 P PHP-CGM % </v>
      </c>
      <c r="AR486" s="4" t="str">
        <f ca="1">IFERROR(__xludf.DUMMYFUNCTION("""COMPUTED_VALUE"""),"| 1 P JAVA % | 3 L CPT % | 5 P Python % ")</f>
        <v xml:space="preserve">| 1 P JAVA % | 3 L CPT % | 5 P Python % </v>
      </c>
      <c r="AS486" s="4" t="str">
        <f ca="1">IFERROR(__xludf.DUMMYFUNCTION("""COMPUTED_VALUE"""),"| 1 P CPT % | 3 L CPT % | 4 L JAVA % | 5 L INE @ ")</f>
        <v xml:space="preserve">| 1 P CPT % | 3 L CPT % | 4 L JAVA % | 5 L INE @ </v>
      </c>
      <c r="AT486" s="4" t="str">
        <f ca="1">IFERROR(__xludf.DUMMYFUNCTION("""COMPUTED_VALUE"""),"| 1 P NS % | 3 L JAVA % | 4 L NS % | 5 P PRO % ")</f>
        <v xml:space="preserve">| 1 P NS % | 3 L JAVA % | 4 L NS % | 5 P PRO % </v>
      </c>
      <c r="AU486" s="4" t="str">
        <f ca="1">IFERROR(__xludf.DUMMYFUNCTION("""COMPUTED_VALUE"""),"| 1 P Python % | 3 L PHP-CGM % | 4 L NS @ | 5 P PHP-CGM % ")</f>
        <v xml:space="preserve">| 1 P Python % | 3 L PHP-CGM % | 4 L NS @ | 5 P PHP-CGM % </v>
      </c>
      <c r="AV486" s="4" t="str">
        <f ca="1">IFERROR(__xludf.DUMMYFUNCTION("""COMPUTED_VALUE"""),"| 1 P JAVA % | 3 L CPT % | 4 L PHP-CGM % | 5 P Python % ")</f>
        <v xml:space="preserve">| 1 P JAVA % | 3 L CPT % | 4 L PHP-CGM % | 5 P Python % </v>
      </c>
      <c r="AW486" s="4" t="str">
        <f ca="1">IFERROR(__xludf.DUMMYFUNCTION("""COMPUTED_VALUE"""),"| 1 P JAVA @ | 3 L PHP-CGM @ | 4 L JAVA @ | 5 L NS @ | 5 L CPT @ ")</f>
        <v xml:space="preserve">| 1 P JAVA @ | 3 L PHP-CGM @ | 4 L JAVA @ | 5 L NS @ | 5 L CPT @ </v>
      </c>
      <c r="AX486" s="4" t="str">
        <f ca="1">IFERROR(__xludf.DUMMYFUNCTION("""COMPUTED_VALUE"""),"| 1 P CPT % | 3 L CPT % | 4 L JAVA % | 5 L INE @ ")</f>
        <v xml:space="preserve">| 1 P CPT % | 3 L CPT % | 4 L JAVA % | 5 L INE @ </v>
      </c>
      <c r="AY486" s="4" t="str">
        <f ca="1">IFERROR(__xludf.DUMMYFUNCTION("""COMPUTED_VALUE"""),"| 1 P NS % | 3 L JAVA % | 4 L NS % | 5 P PRO % ")</f>
        <v xml:space="preserve">| 1 P NS % | 3 L JAVA % | 4 L NS % | 5 P PRO % </v>
      </c>
      <c r="AZ486" s="4" t="str">
        <f ca="1">IFERROR(__xludf.DUMMYFUNCTION("""COMPUTED_VALUE"""),"| 1 P JAVA % | 3 L CPT % | 4 L PHP-CGM % | 5 P Python % ")</f>
        <v xml:space="preserve">| 1 P JAVA % | 3 L CPT % | 4 L PHP-CGM % | 5 P Python % </v>
      </c>
      <c r="BA486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86" s="4" t="str">
        <f ca="1">IFERROR(__xludf.DUMMYFUNCTION("""COMPUTED_VALUE"""),"| 1 P CPT % | 3 L CPT % | 4 L JAVA % | 5 L INE % ")</f>
        <v xml:space="preserve">| 1 P CPT % | 3 L CPT % | 4 L JAVA % | 5 L INE % </v>
      </c>
      <c r="BC486" s="4" t="str">
        <f ca="1">IFERROR(__xludf.DUMMYFUNCTION("""COMPUTED_VALUE"""),"| 1 P NS % | 3 L JAVA % | 4 L NS % | 5 P PRO % ")</f>
        <v xml:space="preserve">| 1 P NS % | 3 L JAVA % | 4 L NS % | 5 P PRO % </v>
      </c>
      <c r="BD486" s="4" t="str">
        <f ca="1">IFERROR(__xludf.DUMMYFUNCTION("""COMPUTED_VALUE"""),"| 1 P Python % | 4 L NS @  | 3 L PHP-CGM @ | 5 P PHP-CGM @ ")</f>
        <v xml:space="preserve">| 1 P Python % | 4 L NS @  | 3 L PHP-CGM @ | 5 P PHP-CGM @ </v>
      </c>
      <c r="BE486" s="4" t="str">
        <f ca="1">IFERROR(__xludf.DUMMYFUNCTION("""COMPUTED_VALUE"""),"| 1 P JAVA % | 3 L CPT % | 4 L PHP-CGM % | 5 P Python % ")</f>
        <v xml:space="preserve">| 1 P JAVA % | 3 L CPT % | 4 L PHP-CGM % | 5 P Python % </v>
      </c>
      <c r="BF48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86" s="4" t="str">
        <f ca="1">IFERROR(__xludf.DUMMYFUNCTION("""COMPUTED_VALUE"""),"| 1 P NS % | 3 L JAVA % | 4 L NS % | 5 P PRO % ")</f>
        <v xml:space="preserve">| 1 P NS % | 3 L JAVA % | 4 L NS % | 5 P PRO % </v>
      </c>
      <c r="BH486" s="4" t="str">
        <f ca="1">IFERROR(__xludf.DUMMYFUNCTION("""COMPUTED_VALUE"""),"| 1 P Python % | 3 L PHP-CGM % | 4 L NS % | 5 P PHP-CGM % ")</f>
        <v xml:space="preserve">| 1 P Python % | 3 L PHP-CGM % | 4 L NS % | 5 P PHP-CGM % </v>
      </c>
      <c r="BI486" s="4" t="str">
        <f ca="1">IFERROR(__xludf.DUMMYFUNCTION("""COMPUTED_VALUE"""),"| 1 P JAVA @ | 3 L CPT @ | 4 L PHP-CGM @ | 5 P Python @ ")</f>
        <v xml:space="preserve">| 1 P JAVA @ | 3 L CPT @ | 4 L PHP-CGM @ | 5 P Python @ </v>
      </c>
      <c r="BJ48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86" s="4" t="str">
        <f ca="1">IFERROR(__xludf.DUMMYFUNCTION("""COMPUTED_VALUE"""),"| 1 P CPT @ | 3 L CPT @ | 4 L JAVA @ | 5 L INE @ ")</f>
        <v xml:space="preserve">| 1 P CPT @ | 3 L CPT @ | 4 L JAVA @ | 5 L INE @ </v>
      </c>
      <c r="BL486" s="4" t="str">
        <f ca="1">IFERROR(__xludf.DUMMYFUNCTION("""COMPUTED_VALUE"""),"| 1 P NS @ | 3 L JAVA @ | 4 L NS @ ")</f>
        <v xml:space="preserve">| 1 P NS @ | 3 L JAVA @ | 4 L NS @ </v>
      </c>
      <c r="BM486" s="4" t="str">
        <f ca="1">IFERROR(__xludf.DUMMYFUNCTION("""COMPUTED_VALUE"""),"| 1 P Python @ | 3 L PHP-CGM @ | 4 L NS @ | 5 P PHP-CGM @ ")</f>
        <v xml:space="preserve">| 1 P Python @ | 3 L PHP-CGM @ | 4 L NS @ | 5 P PHP-CGM @ </v>
      </c>
      <c r="BN486" s="4" t="str">
        <f ca="1">IFERROR(__xludf.DUMMYFUNCTION("""COMPUTED_VALUE"""),"| 1 P JAVA @ | 3 L CPT @ | 4 L PHP-CGM @ | 5 P Python @ ")</f>
        <v xml:space="preserve">| 1 P JAVA @ | 3 L CPT @ | 4 L PHP-CGM @ | 5 P Python @ </v>
      </c>
      <c r="BO486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86" s="4" t="str">
        <f ca="1">IFERROR(__xludf.DUMMYFUNCTION("""COMPUTED_VALUE"""),"| 1 P CPT % | 3 L CPT % | 4 L JAVA % | 5 L INE @ ")</f>
        <v xml:space="preserve">| 1 P CPT % | 3 L CPT % | 4 L JAVA % | 5 L INE @ </v>
      </c>
      <c r="BQ486" s="4" t="str">
        <f ca="1">IFERROR(__xludf.DUMMYFUNCTION("""COMPUTED_VALUE"""),"| 4 L NS @ ")</f>
        <v xml:space="preserve">| 4 L NS @ </v>
      </c>
      <c r="BR486" s="4"/>
      <c r="BS486" s="4"/>
      <c r="BT486" s="4" t="str">
        <f ca="1">IFERROR(__xludf.DUMMYFUNCTION("""COMPUTED_VALUE"""),"| 1 P CPT @ | 3 L CPT @ | 4 L JAVA @ ")</f>
        <v xml:space="preserve">| 1 P CPT @ | 3 L CPT @ | 4 L JAVA @ </v>
      </c>
      <c r="BU486" s="4" t="str">
        <f ca="1">IFERROR(__xludf.DUMMYFUNCTION("""COMPUTED_VALUE"""),"| 1 P NS % | 4 L NS % | 3 L JAVA % ")</f>
        <v xml:space="preserve">| 1 P NS % | 4 L NS % | 3 L JAVA % </v>
      </c>
      <c r="BV486" s="4" t="str">
        <f ca="1">IFERROR(__xludf.DUMMYFUNCTION("""COMPUTED_VALUE"""),"| 1 P CPT % | 3 L CPT % | 4 L JAVA % ")</f>
        <v xml:space="preserve">| 1 P CPT % | 3 L CPT % | 4 L JAVA % </v>
      </c>
      <c r="BW486" s="4" t="str">
        <f ca="1">IFERROR(__xludf.DUMMYFUNCTION("""COMPUTED_VALUE"""),"| 1 P NS % | 3 L JAVA % | 4 L NS % ")</f>
        <v xml:space="preserve">| 1 P NS % | 3 L JAVA % | 4 L NS % </v>
      </c>
      <c r="BX486" s="4" t="str">
        <f ca="1">IFERROR(__xludf.DUMMYFUNCTION("""COMPUTED_VALUE"""),"| 1 P Python @ | 3 L PHP-CGM @ | 4 L NS @ | 5 P PHP-CGM @ ")</f>
        <v xml:space="preserve">| 1 P Python @ | 3 L PHP-CGM @ | 4 L NS @ | 5 P PHP-CGM @ </v>
      </c>
      <c r="BY486" s="4" t="str">
        <f ca="1">IFERROR(__xludf.DUMMYFUNCTION("""COMPUTED_VALUE"""),"| 1 P JAVA % | 3 L CPT % | 4 L PHP-CGM % | 5 P Python % ")</f>
        <v xml:space="preserve">| 1 P JAVA % | 3 L CPT % | 4 L PHP-CGM % | 5 P Python % </v>
      </c>
      <c r="BZ486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A486" s="4" t="str">
        <f ca="1">IFERROR(__xludf.DUMMYFUNCTION("""COMPUTED_VALUE"""),"| 1 P CPT % | 3 L CPT % | 4 L JAVA % | 5 L INE % ")</f>
        <v xml:space="preserve">| 1 P CPT % | 3 L CPT % | 4 L JAVA % | 5 L INE % </v>
      </c>
      <c r="CB486" s="4" t="str">
        <f ca="1">IFERROR(__xludf.DUMMYFUNCTION("""COMPUTED_VALUE"""),"| 1 P NS % | 3 L JAVA % | 4 L NS % | 5 P PRO % ")</f>
        <v xml:space="preserve">| 1 P NS % | 3 L JAVA % | 4 L NS % | 5 P PRO % </v>
      </c>
      <c r="CC486" s="4" t="str">
        <f ca="1">IFERROR(__xludf.DUMMYFUNCTION("""COMPUTED_VALUE"""),"| 1 P Python % | 3 L PHP-CGM % | 4 L NS % | 5 P PHP-CGM @ ")</f>
        <v xml:space="preserve">| 1 P Python % | 3 L PHP-CGM % | 4 L NS % | 5 P PHP-CGM @ </v>
      </c>
      <c r="CD486" s="4" t="str">
        <f ca="1">IFERROR(__xludf.DUMMYFUNCTION("""COMPUTED_VALUE"""),"| 1 P JAVA % | 3 L CPT % | 4 L PHP-CGM % | 5 P Python % ")</f>
        <v xml:space="preserve">| 1 P JAVA % | 3 L CPT % | 4 L PHP-CGM % | 5 P Python % </v>
      </c>
      <c r="CE486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86" s="4" t="str">
        <f ca="1">IFERROR(__xludf.DUMMYFUNCTION("""COMPUTED_VALUE"""),"| 1 P CPT % | 3 L CPT @ | 4 L JAVA @ | 5 L INE @ ")</f>
        <v xml:space="preserve">| 1 P CPT % | 3 L CPT @ | 4 L JAVA @ | 5 L INE @ </v>
      </c>
      <c r="CG486" s="4" t="str">
        <f ca="1">IFERROR(__xludf.DUMMYFUNCTION("""COMPUTED_VALUE"""),"| 1 P NS % | 4 L NS % ")</f>
        <v xml:space="preserve">| 1 P NS % | 4 L NS % </v>
      </c>
      <c r="CH486" s="4" t="str">
        <f ca="1">IFERROR(__xludf.DUMMYFUNCTION("""COMPUTED_VALUE"""),"| 3 L PHP-CGM @ | 4 L NS @ | 1 P Python % ")</f>
        <v xml:space="preserve">| 3 L PHP-CGM @ | 4 L NS @ | 1 P Python % </v>
      </c>
      <c r="CI486" s="4" t="str">
        <f ca="1">IFERROR(__xludf.DUMMYFUNCTION("""COMPUTED_VALUE"""),"| 1 P JAVA @ ")</f>
        <v xml:space="preserve">| 1 P JAVA @ </v>
      </c>
      <c r="CJ486" s="4" t="str">
        <f ca="1">IFERROR(__xludf.DUMMYFUNCTION("""COMPUTED_VALUE"""),"| 1 P JAVA % | 4 L JAVA % ")</f>
        <v xml:space="preserve">| 1 P JAVA % | 4 L JAVA % </v>
      </c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</row>
    <row r="487" spans="1:102" ht="12.5" x14ac:dyDescent="0.25">
      <c r="A487" s="3">
        <f ca="1">IFERROR(__xludf.DUMMYFUNCTION("""COMPUTED_VALUE"""),1)</f>
        <v>1</v>
      </c>
      <c r="B487" s="3" t="str">
        <f ca="1">IFERROR(__xludf.DUMMYFUNCTION("""COMPUTED_VALUE"""),"ITC")</f>
        <v>ITC</v>
      </c>
      <c r="C487" s="32" t="str">
        <f ca="1">IFERROR(__xludf.DUMMYFUNCTION("""COMPUTED_VALUE"""),"23171371048")</f>
        <v>23171371048</v>
      </c>
      <c r="D487" s="4" t="str">
        <f ca="1">IFERROR(__xludf.DUMMYFUNCTION("""COMPUTED_VALUE"""),"NEELKUMAR CHIRAGBHAI PATEL")</f>
        <v>NEELKUMAR CHIRAGBHAI PATEL</v>
      </c>
      <c r="E487" s="3" t="str">
        <f ca="1">IFERROR(__xludf.DUMMYFUNCTION("""COMPUTED_VALUE"""),"SDP&amp;KKP - Mor")</f>
        <v>SDP&amp;KKP - Mor</v>
      </c>
      <c r="F487" s="3">
        <f ca="1">IFERROR(__xludf.DUMMYFUNCTION("""COMPUTED_VALUE"""),7990654595)</f>
        <v>7990654595</v>
      </c>
      <c r="G487" s="3">
        <f ca="1">IFERROR(__xludf.DUMMYFUNCTION("""COMPUTED_VALUE"""),9898787819)</f>
        <v>9898787819</v>
      </c>
      <c r="H487" s="33">
        <f ca="1">IFERROR(__xludf.DUMMYFUNCTION("""COMPUTED_VALUE"""),0.702479338842975)</f>
        <v>0.70247933884297498</v>
      </c>
      <c r="I487" s="25">
        <f ca="1">IFERROR(__xludf.DUMMYFUNCTION("""COMPUTED_VALUE"""),0.722222222222222)</f>
        <v>0.72222222222222199</v>
      </c>
      <c r="J487" s="25">
        <f ca="1">IFERROR(__xludf.DUMMYFUNCTION("""COMPUTED_VALUE"""),0.692307692307692)</f>
        <v>0.69230769230769196</v>
      </c>
      <c r="K487" s="25">
        <f ca="1">IFERROR(__xludf.DUMMYFUNCTION("""COMPUTED_VALUE"""),0.666666666666666)</f>
        <v>0.66666666666666596</v>
      </c>
      <c r="L487" s="25">
        <f ca="1">IFERROR(__xludf.DUMMYFUNCTION("""COMPUTED_VALUE"""),0.769230769230769)</f>
        <v>0.76923076923076905</v>
      </c>
      <c r="M487" s="25">
        <f ca="1">IFERROR(__xludf.DUMMYFUNCTION("""COMPUTED_VALUE"""),0.8125)</f>
        <v>0.8125</v>
      </c>
      <c r="N487" s="25">
        <f ca="1">IFERROR(__xludf.DUMMYFUNCTION("""COMPUTED_VALUE"""),0.6)</f>
        <v>0.6</v>
      </c>
      <c r="O487" s="25">
        <f ca="1">IFERROR(__xludf.DUMMYFUNCTION("""COMPUTED_VALUE"""),0.81081081081081)</f>
        <v>0.81081081081080997</v>
      </c>
      <c r="P487" s="25">
        <f ca="1">IFERROR(__xludf.DUMMYFUNCTION("""COMPUTED_VALUE"""),0.68)</f>
        <v>0.68</v>
      </c>
      <c r="Q487" s="25">
        <f ca="1">IFERROR(__xludf.DUMMYFUNCTION("""COMPUTED_VALUE"""),0)</f>
        <v>0</v>
      </c>
      <c r="R487" s="25">
        <f ca="1">IFERROR(__xludf.DUMMYFUNCTION("""COMPUTED_VALUE"""),0.652173913043478)</f>
        <v>0.65217391304347805</v>
      </c>
      <c r="S487" s="25">
        <f ca="1">IFERROR(__xludf.DUMMYFUNCTION("""COMPUTED_VALUE"""),0)</f>
        <v>0</v>
      </c>
      <c r="T487" s="25">
        <f ca="1">IFERROR(__xludf.DUMMYFUNCTION("""COMPUTED_VALUE"""),0.777777777777777)</f>
        <v>0.77777777777777701</v>
      </c>
      <c r="U487" s="25">
        <f ca="1">IFERROR(__xludf.DUMMYFUNCTION("""COMPUTED_VALUE"""),0)</f>
        <v>0</v>
      </c>
      <c r="V487" s="25">
        <f ca="1">IFERROR(__xludf.DUMMYFUNCTION("""COMPUTED_VALUE"""),0)</f>
        <v>0</v>
      </c>
      <c r="W487" s="4"/>
      <c r="X487" s="4" t="str">
        <f ca="1">IFERROR(__xludf.DUMMYFUNCTION("""COMPUTED_VALUE"""),"| 1 P CPT @ | 3 L CPT @ | 4 L JAVA @ ")</f>
        <v xml:space="preserve">| 1 P CPT @ | 3 L CPT @ | 4 L JAVA @ </v>
      </c>
      <c r="Y487" s="4" t="str">
        <f ca="1">IFERROR(__xludf.DUMMYFUNCTION("""COMPUTED_VALUE"""),"| 1 P NS @ | 3 L JAVA @ | 4 L NS @ | 5 P PRO @ ")</f>
        <v xml:space="preserve">| 1 P NS @ | 3 L JAVA @ | 4 L NS @ | 5 P PRO @ </v>
      </c>
      <c r="Z487" s="4" t="str">
        <f ca="1">IFERROR(__xludf.DUMMYFUNCTION("""COMPUTED_VALUE"""),"| 1 P Python @ | 3 L PHP-CGM @ | 4 L NS @ | 5 P PHP-CGM @ ")</f>
        <v xml:space="preserve">| 1 P Python @ | 3 L PHP-CGM @ | 4 L NS @ | 5 P PHP-CGM @ </v>
      </c>
      <c r="AA487" s="4" t="str">
        <f ca="1">IFERROR(__xludf.DUMMYFUNCTION("""COMPUTED_VALUE"""),"| 1 P JAVA @ | 3 L CPT @ | 5 P Python @ ")</f>
        <v xml:space="preserve">| 1 P JAVA @ | 3 L CPT @ | 5 P Python @ </v>
      </c>
      <c r="AB487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87" s="4" t="str">
        <f ca="1">IFERROR(__xludf.DUMMYFUNCTION("""COMPUTED_VALUE"""),"| 1 P CPT % | 3 L CPT % | 4 L JAVA % ")</f>
        <v xml:space="preserve">| 1 P CPT % | 3 L CPT % | 4 L JAVA % </v>
      </c>
      <c r="AD487" s="4" t="str">
        <f ca="1">IFERROR(__xludf.DUMMYFUNCTION("""COMPUTED_VALUE"""),"| 1 P NS % | 3 L JAVA % | 4 L NS % | 5 P PRO % ")</f>
        <v xml:space="preserve">| 1 P NS % | 3 L JAVA % | 4 L NS % | 5 P PRO % </v>
      </c>
      <c r="AE487" s="4" t="str">
        <f ca="1">IFERROR(__xludf.DUMMYFUNCTION("""COMPUTED_VALUE"""),"| 1 P Python % | 3 L PHP-CGM % | 4 L NS % | 5 P PHP-CGM % ")</f>
        <v xml:space="preserve">| 1 P Python % | 3 L PHP-CGM % | 4 L NS % | 5 P PHP-CGM % </v>
      </c>
      <c r="AF487" s="4" t="str">
        <f ca="1">IFERROR(__xludf.DUMMYFUNCTION("""COMPUTED_VALUE"""),"| 1 P JAVA % | 3 L CPT % | 4 L PHP-CGM % | 5 P Python % ")</f>
        <v xml:space="preserve">| 1 P JAVA % | 3 L CPT % | 4 L PHP-CGM % | 5 P Python % </v>
      </c>
      <c r="AG487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7" s="4" t="str">
        <f ca="1">IFERROR(__xludf.DUMMYFUNCTION("""COMPUTED_VALUE"""),"| 1 P JAVA % | 3 L CPT % | 4 L PHP-CGM % | 5 P Python % ")</f>
        <v xml:space="preserve">| 1 P JAVA % | 3 L CPT % | 4 L PHP-CGM % | 5 P Python % </v>
      </c>
      <c r="AI487" s="4" t="str">
        <f ca="1">IFERROR(__xludf.DUMMYFUNCTION("""COMPUTED_VALUE"""),"| 1 P JAVA @ | 3 L PHP-CGM % | 4 L JAVA % | 5 L CPT % | 6 L NS % ")</f>
        <v xml:space="preserve">| 1 P JAVA @ | 3 L PHP-CGM % | 4 L JAVA % | 5 L CPT % | 6 L NS % </v>
      </c>
      <c r="AJ487" s="4" t="str">
        <f ca="1">IFERROR(__xludf.DUMMYFUNCTION("""COMPUTED_VALUE"""),"| 1 P CPT % | 3 L CPT % | 4 L JAVA % ")</f>
        <v xml:space="preserve">| 1 P CPT % | 3 L CPT % | 4 L JAVA % </v>
      </c>
      <c r="AK487" s="4" t="str">
        <f ca="1">IFERROR(__xludf.DUMMYFUNCTION("""COMPUTED_VALUE"""),"| 1 P NS % | 4 L NS % | 3 L JAVA % | 5 P PRO % ")</f>
        <v xml:space="preserve">| 1 P NS % | 4 L NS % | 3 L JAVA % | 5 P PRO % </v>
      </c>
      <c r="AL487" s="4" t="str">
        <f ca="1">IFERROR(__xludf.DUMMYFUNCTION("""COMPUTED_VALUE"""),"| 1 P Python % | 3 L PHP-CGM % | 4 L NS % | 5 P PHP-CGM % ")</f>
        <v xml:space="preserve">| 1 P Python % | 3 L PHP-CGM % | 4 L NS % | 5 P PHP-CGM % </v>
      </c>
      <c r="AM487" s="4" t="str">
        <f ca="1">IFERROR(__xludf.DUMMYFUNCTION("""COMPUTED_VALUE"""),"| 1 P JAVA % | 3 L CPT % | 4 L PHP-CGM % | 5 P Python % ")</f>
        <v xml:space="preserve">| 1 P JAVA % | 3 L CPT % | 4 L PHP-CGM % | 5 P Python % </v>
      </c>
      <c r="AN487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O487" s="4" t="str">
        <f ca="1">IFERROR(__xludf.DUMMYFUNCTION("""COMPUTED_VALUE"""),"| 1 P CPT @ | 3 L CPT @ | 4 L JAVA @ | 5 L INE @ ")</f>
        <v xml:space="preserve">| 1 P CPT @ | 3 L CPT @ | 4 L JAVA @ | 5 L INE @ </v>
      </c>
      <c r="AP487" s="4" t="str">
        <f ca="1">IFERROR(__xludf.DUMMYFUNCTION("""COMPUTED_VALUE"""),"| 1 P NS % | 3 L JAVA % | 4 L NS % | 5 P PRO % ")</f>
        <v xml:space="preserve">| 1 P NS % | 3 L JAVA % | 4 L NS % | 5 P PRO % </v>
      </c>
      <c r="AQ487" s="4" t="str">
        <f ca="1">IFERROR(__xludf.DUMMYFUNCTION("""COMPUTED_VALUE"""),"| 1 P Python % | 3 L PHP-CGM % | 4 L NS % | 5 P PHP-CGM % ")</f>
        <v xml:space="preserve">| 1 P Python % | 3 L PHP-CGM % | 4 L NS % | 5 P PHP-CGM % </v>
      </c>
      <c r="AR487" s="4" t="str">
        <f ca="1">IFERROR(__xludf.DUMMYFUNCTION("""COMPUTED_VALUE"""),"| 1 P JAVA % | 3 L CPT % | 5 P Python @ ")</f>
        <v xml:space="preserve">| 1 P JAVA % | 3 L CPT % | 5 P Python @ </v>
      </c>
      <c r="AS487" s="4" t="str">
        <f ca="1">IFERROR(__xludf.DUMMYFUNCTION("""COMPUTED_VALUE"""),"| 1 P CPT % | 3 L CPT % | 4 L JAVA % | 5 L INE @ ")</f>
        <v xml:space="preserve">| 1 P CPT % | 3 L CPT % | 4 L JAVA % | 5 L INE @ </v>
      </c>
      <c r="AT487" s="4" t="str">
        <f ca="1">IFERROR(__xludf.DUMMYFUNCTION("""COMPUTED_VALUE"""),"| 1 P NS % | 3 L JAVA % | 4 L NS % | 5 P PRO % ")</f>
        <v xml:space="preserve">| 1 P NS % | 3 L JAVA % | 4 L NS % | 5 P PRO % </v>
      </c>
      <c r="AU487" s="4" t="str">
        <f ca="1">IFERROR(__xludf.DUMMYFUNCTION("""COMPUTED_VALUE"""),"| 1 P Python % | 3 L PHP-CGM % | 4 L NS % | 5 P PHP-CGM % ")</f>
        <v xml:space="preserve">| 1 P Python % | 3 L PHP-CGM % | 4 L NS % | 5 P PHP-CGM % </v>
      </c>
      <c r="AV487" s="4" t="str">
        <f ca="1">IFERROR(__xludf.DUMMYFUNCTION("""COMPUTED_VALUE"""),"| 1 P JAVA @ | 3 L CPT % | 4 L PHP-CGM % | 5 P Python % ")</f>
        <v xml:space="preserve">| 1 P JAVA @ | 3 L CPT % | 4 L PHP-CGM % | 5 P Python % </v>
      </c>
      <c r="AW487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87" s="4" t="str">
        <f ca="1">IFERROR(__xludf.DUMMYFUNCTION("""COMPUTED_VALUE"""),"| 1 P CPT % | 3 L CPT % | 4 L JAVA % | 5 L INE @ ")</f>
        <v xml:space="preserve">| 1 P CPT % | 3 L CPT % | 4 L JAVA % | 5 L INE @ </v>
      </c>
      <c r="AY487" s="4" t="str">
        <f ca="1">IFERROR(__xludf.DUMMYFUNCTION("""COMPUTED_VALUE"""),"| 1 P NS % | 3 L JAVA % | 4 L NS % | 5 P PRO % ")</f>
        <v xml:space="preserve">| 1 P NS % | 3 L JAVA % | 4 L NS % | 5 P PRO % </v>
      </c>
      <c r="AZ487" s="4" t="str">
        <f ca="1">IFERROR(__xludf.DUMMYFUNCTION("""COMPUTED_VALUE"""),"| 1 P JAVA % | 3 L CPT % | 4 L PHP-CGM % | 5 P Python @ ")</f>
        <v xml:space="preserve">| 1 P JAVA % | 3 L CPT % | 4 L PHP-CGM % | 5 P Python @ </v>
      </c>
      <c r="BA487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B487" s="4" t="str">
        <f ca="1">IFERROR(__xludf.DUMMYFUNCTION("""COMPUTED_VALUE"""),"| 1 P CPT % | 3 L CPT % | 4 L JAVA % | 5 L INE @ ")</f>
        <v xml:space="preserve">| 1 P CPT % | 3 L CPT % | 4 L JAVA % | 5 L INE @ </v>
      </c>
      <c r="BC487" s="4" t="str">
        <f ca="1">IFERROR(__xludf.DUMMYFUNCTION("""COMPUTED_VALUE"""),"| 1 P NS % | 3 L JAVA % | 4 L NS % | 5 P PRO % ")</f>
        <v xml:space="preserve">| 1 P NS % | 3 L JAVA % | 4 L NS % | 5 P PRO % </v>
      </c>
      <c r="BD487" s="4" t="str">
        <f ca="1">IFERROR(__xludf.DUMMYFUNCTION("""COMPUTED_VALUE"""),"| 1 P Python % | 4 L NS %  | 3 L PHP-CGM % | 5 P PHP-CGM @ ")</f>
        <v xml:space="preserve">| 1 P Python % | 4 L NS %  | 3 L PHP-CGM % | 5 P PHP-CGM @ </v>
      </c>
      <c r="BE487" s="4" t="str">
        <f ca="1">IFERROR(__xludf.DUMMYFUNCTION("""COMPUTED_VALUE"""),"| 1 P JAVA % | 3 L CPT % | 4 L PHP-CGM % | 5 P Python @ ")</f>
        <v xml:space="preserve">| 1 P JAVA % | 3 L CPT % | 4 L PHP-CGM % | 5 P Python @ </v>
      </c>
      <c r="BF487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G487" s="4" t="str">
        <f ca="1">IFERROR(__xludf.DUMMYFUNCTION("""COMPUTED_VALUE"""),"| 1 P NS % | 3 L JAVA % | 4 L NS % | 5 P PRO % ")</f>
        <v xml:space="preserve">| 1 P NS % | 3 L JAVA % | 4 L NS % | 5 P PRO % </v>
      </c>
      <c r="BH487" s="4" t="str">
        <f ca="1">IFERROR(__xludf.DUMMYFUNCTION("""COMPUTED_VALUE"""),"| 1 P Python % | 3 L PHP-CGM % | 4 L NS % | 5 P PHP-CGM % ")</f>
        <v xml:space="preserve">| 1 P Python % | 3 L PHP-CGM % | 4 L NS % | 5 P PHP-CGM % </v>
      </c>
      <c r="BI487" s="4" t="str">
        <f ca="1">IFERROR(__xludf.DUMMYFUNCTION("""COMPUTED_VALUE"""),"| 1 P JAVA % | 3 L CPT % | 4 L PHP-CGM % | 5 P Python % ")</f>
        <v xml:space="preserve">| 1 P JAVA % | 3 L CPT % | 4 L PHP-CGM % | 5 P Python % </v>
      </c>
      <c r="BJ487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K487" s="4" t="str">
        <f ca="1">IFERROR(__xludf.DUMMYFUNCTION("""COMPUTED_VALUE"""),"| 1 P CPT % | 3 L CPT % | 4 L JAVA % | 5 L INE @ ")</f>
        <v xml:space="preserve">| 1 P CPT % | 3 L CPT % | 4 L JAVA % | 5 L INE @ </v>
      </c>
      <c r="BL487" s="4" t="str">
        <f ca="1">IFERROR(__xludf.DUMMYFUNCTION("""COMPUTED_VALUE"""),"| 1 P NS % | 3 L JAVA % | 4 L NS % ")</f>
        <v xml:space="preserve">| 1 P NS % | 3 L JAVA % | 4 L NS % </v>
      </c>
      <c r="BM487" s="4" t="str">
        <f ca="1">IFERROR(__xludf.DUMMYFUNCTION("""COMPUTED_VALUE"""),"| 1 P Python % | 3 L PHP-CGM % | 4 L NS % | 5 P PHP-CGM % ")</f>
        <v xml:space="preserve">| 1 P Python % | 3 L PHP-CGM % | 4 L NS % | 5 P PHP-CGM % </v>
      </c>
      <c r="BN487" s="4" t="str">
        <f ca="1">IFERROR(__xludf.DUMMYFUNCTION("""COMPUTED_VALUE"""),"| 1 P JAVA @ | 3 L CPT @ | 4 L PHP-CGM @ | 5 P Python @ ")</f>
        <v xml:space="preserve">| 1 P JAVA @ | 3 L CPT @ | 4 L PHP-CGM @ | 5 P Python @ </v>
      </c>
      <c r="BO487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P487" s="4" t="str">
        <f ca="1">IFERROR(__xludf.DUMMYFUNCTION("""COMPUTED_VALUE"""),"| 1 P CPT % | 3 L CPT % | 4 L JAVA % | 5 L INE @ ")</f>
        <v xml:space="preserve">| 1 P CPT % | 3 L CPT % | 4 L JAVA % | 5 L INE @ </v>
      </c>
      <c r="BQ487" s="4" t="str">
        <f ca="1">IFERROR(__xludf.DUMMYFUNCTION("""COMPUTED_VALUE"""),"| 4 L NS @ ")</f>
        <v xml:space="preserve">| 4 L NS @ </v>
      </c>
      <c r="BR487" s="4"/>
      <c r="BS487" s="4"/>
      <c r="BT487" s="4" t="str">
        <f ca="1">IFERROR(__xludf.DUMMYFUNCTION("""COMPUTED_VALUE"""),"| 1 P CPT % | 3 L CPT % | 4 L JAVA % ")</f>
        <v xml:space="preserve">| 1 P CPT % | 3 L CPT % | 4 L JAVA % </v>
      </c>
      <c r="BU487" s="4" t="str">
        <f ca="1">IFERROR(__xludf.DUMMYFUNCTION("""COMPUTED_VALUE"""),"| 1 P NS % | 4 L NS % | 3 L JAVA % ")</f>
        <v xml:space="preserve">| 1 P NS % | 4 L NS % | 3 L JAVA % </v>
      </c>
      <c r="BV487" s="4" t="str">
        <f ca="1">IFERROR(__xludf.DUMMYFUNCTION("""COMPUTED_VALUE"""),"| 1 P CPT @ | 3 L CPT @ | 4 L JAVA @ ")</f>
        <v xml:space="preserve">| 1 P CPT @ | 3 L CPT @ | 4 L JAVA @ </v>
      </c>
      <c r="BW487" s="4" t="str">
        <f ca="1">IFERROR(__xludf.DUMMYFUNCTION("""COMPUTED_VALUE"""),"| 1 P NS % | 3 L JAVA % | 4 L NS % ")</f>
        <v xml:space="preserve">| 1 P NS % | 3 L JAVA % | 4 L NS % </v>
      </c>
      <c r="BX487" s="4" t="str">
        <f ca="1">IFERROR(__xludf.DUMMYFUNCTION("""COMPUTED_VALUE"""),"| 1 P Python % | 3 L PHP-CGM % | 4 L NS % | 5 P PHP-CGM @ ")</f>
        <v xml:space="preserve">| 1 P Python % | 3 L PHP-CGM % | 4 L NS % | 5 P PHP-CGM @ </v>
      </c>
      <c r="BY487" s="4" t="str">
        <f ca="1">IFERROR(__xludf.DUMMYFUNCTION("""COMPUTED_VALUE"""),"| 1 P JAVA % | 3 L CPT % | 4 L PHP-CGM % | 5 P Python @ ")</f>
        <v xml:space="preserve">| 1 P JAVA % | 3 L CPT % | 4 L PHP-CGM % | 5 P Python @ </v>
      </c>
      <c r="BZ487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CA487" s="4" t="str">
        <f ca="1">IFERROR(__xludf.DUMMYFUNCTION("""COMPUTED_VALUE"""),"| 1 P CPT % | 3 L CPT % | 4 L JAVA % | 5 L INE @ ")</f>
        <v xml:space="preserve">| 1 P CPT % | 3 L CPT % | 4 L JAVA % | 5 L INE @ </v>
      </c>
      <c r="CB487" s="4" t="str">
        <f ca="1">IFERROR(__xludf.DUMMYFUNCTION("""COMPUTED_VALUE"""),"| 1 P NS @ | 3 L JAVA @ | 4 L NS @ | 5 P PRO @ ")</f>
        <v xml:space="preserve">| 1 P NS @ | 3 L JAVA @ | 4 L NS @ | 5 P PRO @ </v>
      </c>
      <c r="CC487" s="4" t="str">
        <f ca="1">IFERROR(__xludf.DUMMYFUNCTION("""COMPUTED_VALUE"""),"| 1 P Python @ | 3 L PHP-CGM @ | 4 L NS @ | 5 P PHP-CGM @ ")</f>
        <v xml:space="preserve">| 1 P Python @ | 3 L PHP-CGM @ | 4 L NS @ | 5 P PHP-CGM @ </v>
      </c>
      <c r="CD487" s="4" t="str">
        <f ca="1">IFERROR(__xludf.DUMMYFUNCTION("""COMPUTED_VALUE"""),"| 1 P JAVA @ | 3 L CPT % | 4 L PHP-CGM % | 5 P Python % ")</f>
        <v xml:space="preserve">| 1 P JAVA @ | 3 L CPT % | 4 L PHP-CGM % | 5 P Python % </v>
      </c>
      <c r="CE487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87" s="4" t="str">
        <f ca="1">IFERROR(__xludf.DUMMYFUNCTION("""COMPUTED_VALUE"""),"| 1 P CPT @ | 3 L CPT % | 4 L JAVA % | 5 L INE @ ")</f>
        <v xml:space="preserve">| 1 P CPT @ | 3 L CPT % | 4 L JAVA % | 5 L INE @ </v>
      </c>
      <c r="CG487" s="4" t="str">
        <f ca="1">IFERROR(__xludf.DUMMYFUNCTION("""COMPUTED_VALUE"""),"| 1 P NS @ | 4 L NS @ ")</f>
        <v xml:space="preserve">| 1 P NS @ | 4 L NS @ </v>
      </c>
      <c r="CH487" s="4" t="str">
        <f ca="1">IFERROR(__xludf.DUMMYFUNCTION("""COMPUTED_VALUE"""),"| 3 L PHP-CGM @ | 4 L NS @ | 1 P Python % ")</f>
        <v xml:space="preserve">| 3 L PHP-CGM @ | 4 L NS @ | 1 P Python % </v>
      </c>
      <c r="CI487" s="4" t="str">
        <f ca="1">IFERROR(__xludf.DUMMYFUNCTION("""COMPUTED_VALUE"""),"| 1 P JAVA @ ")</f>
        <v xml:space="preserve">| 1 P JAVA @ </v>
      </c>
      <c r="CJ487" s="4" t="str">
        <f ca="1">IFERROR(__xludf.DUMMYFUNCTION("""COMPUTED_VALUE"""),"| 1 P JAVA % | 4 L JAVA % ")</f>
        <v xml:space="preserve">| 1 P JAVA % | 4 L JAVA % </v>
      </c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</row>
    <row r="488" spans="1:102" ht="12.5" x14ac:dyDescent="0.25">
      <c r="A488" s="3">
        <f ca="1">IFERROR(__xludf.DUMMYFUNCTION("""COMPUTED_VALUE"""),1)</f>
        <v>1</v>
      </c>
      <c r="B488" s="3" t="str">
        <f ca="1">IFERROR(__xludf.DUMMYFUNCTION("""COMPUTED_VALUE"""),"ITC")</f>
        <v>ITC</v>
      </c>
      <c r="C488" s="32" t="str">
        <f ca="1">IFERROR(__xludf.DUMMYFUNCTION("""COMPUTED_VALUE"""),"23171371053")</f>
        <v>23171371053</v>
      </c>
      <c r="D488" s="4" t="str">
        <f ca="1">IFERROR(__xludf.DUMMYFUNCTION("""COMPUTED_VALUE"""),"PAREKH PRIYANKKUMAR YOGESHKUMAR")</f>
        <v>PAREKH PRIYANKKUMAR YOGESHKUMAR</v>
      </c>
      <c r="E488" s="3" t="str">
        <f ca="1">IFERROR(__xludf.DUMMYFUNCTION("""COMPUTED_VALUE"""),"SDP&amp;KKP - Mor")</f>
        <v>SDP&amp;KKP - Mor</v>
      </c>
      <c r="F488" s="3">
        <f ca="1">IFERROR(__xludf.DUMMYFUNCTION("""COMPUTED_VALUE"""),9913730208)</f>
        <v>9913730208</v>
      </c>
      <c r="G488" s="3">
        <f ca="1">IFERROR(__xludf.DUMMYFUNCTION("""COMPUTED_VALUE"""),9913730208)</f>
        <v>9913730208</v>
      </c>
      <c r="H488" s="33">
        <f ca="1">IFERROR(__xludf.DUMMYFUNCTION("""COMPUTED_VALUE"""),0.603305785123966)</f>
        <v>0.60330578512396604</v>
      </c>
      <c r="I488" s="25">
        <f ca="1">IFERROR(__xludf.DUMMYFUNCTION("""COMPUTED_VALUE"""),0.5)</f>
        <v>0.5</v>
      </c>
      <c r="J488" s="25">
        <f ca="1">IFERROR(__xludf.DUMMYFUNCTION("""COMPUTED_VALUE"""),0.538461538461538)</f>
        <v>0.53846153846153799</v>
      </c>
      <c r="K488" s="25">
        <f ca="1">IFERROR(__xludf.DUMMYFUNCTION("""COMPUTED_VALUE"""),0.5)</f>
        <v>0.5</v>
      </c>
      <c r="L488" s="25">
        <f ca="1">IFERROR(__xludf.DUMMYFUNCTION("""COMPUTED_VALUE"""),0.846153846153846)</f>
        <v>0.84615384615384603</v>
      </c>
      <c r="M488" s="25">
        <f ca="1">IFERROR(__xludf.DUMMYFUNCTION("""COMPUTED_VALUE"""),0.6875)</f>
        <v>0.6875</v>
      </c>
      <c r="N488" s="25">
        <f ca="1">IFERROR(__xludf.DUMMYFUNCTION("""COMPUTED_VALUE"""),0.5)</f>
        <v>0.5</v>
      </c>
      <c r="O488" s="25">
        <f ca="1">IFERROR(__xludf.DUMMYFUNCTION("""COMPUTED_VALUE"""),0.567567567567567)</f>
        <v>0.56756756756756699</v>
      </c>
      <c r="P488" s="25">
        <f ca="1">IFERROR(__xludf.DUMMYFUNCTION("""COMPUTED_VALUE"""),0.8)</f>
        <v>0.8</v>
      </c>
      <c r="Q488" s="25">
        <f ca="1">IFERROR(__xludf.DUMMYFUNCTION("""COMPUTED_VALUE"""),0)</f>
        <v>0</v>
      </c>
      <c r="R488" s="25">
        <f ca="1">IFERROR(__xludf.DUMMYFUNCTION("""COMPUTED_VALUE"""),0.695652173913043)</f>
        <v>0.69565217391304301</v>
      </c>
      <c r="S488" s="25">
        <f ca="1">IFERROR(__xludf.DUMMYFUNCTION("""COMPUTED_VALUE"""),0)</f>
        <v>0</v>
      </c>
      <c r="T488" s="25">
        <f ca="1">IFERROR(__xludf.DUMMYFUNCTION("""COMPUTED_VALUE"""),0.555555555555555)</f>
        <v>0.55555555555555503</v>
      </c>
      <c r="U488" s="25">
        <f ca="1">IFERROR(__xludf.DUMMYFUNCTION("""COMPUTED_VALUE"""),0.375)</f>
        <v>0.375</v>
      </c>
      <c r="V488" s="25">
        <f ca="1">IFERROR(__xludf.DUMMYFUNCTION("""COMPUTED_VALUE"""),0)</f>
        <v>0</v>
      </c>
      <c r="W488" s="4"/>
      <c r="X488" s="4" t="str">
        <f ca="1">IFERROR(__xludf.DUMMYFUNCTION("""COMPUTED_VALUE"""),"| 1 P CPT @ | 3 L CPT @ | 4 L JAVA % ")</f>
        <v xml:space="preserve">| 1 P CPT @ | 3 L CPT @ | 4 L JAVA % </v>
      </c>
      <c r="Y488" s="4" t="str">
        <f ca="1">IFERROR(__xludf.DUMMYFUNCTION("""COMPUTED_VALUE"""),"| 1 P NS % | 3 L JAVA % | 4 L NS % | 5 P PRO % ")</f>
        <v xml:space="preserve">| 1 P NS % | 3 L JAVA % | 4 L NS % | 5 P PRO % </v>
      </c>
      <c r="Z488" s="4" t="str">
        <f ca="1">IFERROR(__xludf.DUMMYFUNCTION("""COMPUTED_VALUE"""),"| 1 P Python % | 3 L PHP-CGM % | 4 L NS % | 5 P PHP-CGM % ")</f>
        <v xml:space="preserve">| 1 P Python % | 3 L PHP-CGM % | 4 L NS % | 5 P PHP-CGM % </v>
      </c>
      <c r="AA488" s="4" t="str">
        <f ca="1">IFERROR(__xludf.DUMMYFUNCTION("""COMPUTED_VALUE"""),"| 1 P JAVA % | 3 L CPT % | 5 P Python % ")</f>
        <v xml:space="preserve">| 1 P JAVA % | 3 L CPT % | 5 P Python % </v>
      </c>
      <c r="AB488" s="4" t="str">
        <f ca="1">IFERROR(__xludf.DUMMYFUNCTION("""COMPUTED_VALUE"""),"| 1 P JAVA % | 3 L PHP-CGM @ | 4 L JAVA @ | 5 L CPT @ | 6 L NS @ ")</f>
        <v xml:space="preserve">| 1 P JAVA % | 3 L PHP-CGM @ | 4 L JAVA @ | 5 L CPT @ | 6 L NS @ </v>
      </c>
      <c r="AC488" s="4" t="str">
        <f ca="1">IFERROR(__xludf.DUMMYFUNCTION("""COMPUTED_VALUE"""),"| 1 P CPT % | 3 L CPT % | 4 L JAVA % ")</f>
        <v xml:space="preserve">| 1 P CPT % | 3 L CPT % | 4 L JAVA % </v>
      </c>
      <c r="AD488" s="4" t="str">
        <f ca="1">IFERROR(__xludf.DUMMYFUNCTION("""COMPUTED_VALUE"""),"| 1 P NS % | 3 L JAVA % | 4 L NS % | 5 P PRO @ ")</f>
        <v xml:space="preserve">| 1 P NS % | 3 L JAVA % | 4 L NS % | 5 P PRO @ </v>
      </c>
      <c r="AE488" s="4" t="str">
        <f ca="1">IFERROR(__xludf.DUMMYFUNCTION("""COMPUTED_VALUE"""),"| 1 P Python % | 3 L PHP-CGM % | 4 L NS % | 5 P PHP-CGM @ ")</f>
        <v xml:space="preserve">| 1 P Python % | 3 L PHP-CGM % | 4 L NS % | 5 P PHP-CGM @ </v>
      </c>
      <c r="AF488" s="4" t="str">
        <f ca="1">IFERROR(__xludf.DUMMYFUNCTION("""COMPUTED_VALUE"""),"| 1 P JAVA % | 3 L CPT % | 4 L PHP-CGM % | 5 P Python % ")</f>
        <v xml:space="preserve">| 1 P JAVA % | 3 L CPT % | 4 L PHP-CGM % | 5 P Python % </v>
      </c>
      <c r="AG488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88" s="4" t="str">
        <f ca="1">IFERROR(__xludf.DUMMYFUNCTION("""COMPUTED_VALUE"""),"| 1 P JAVA % | 3 L CPT % | 4 L PHP-CGM % | 5 P Python % ")</f>
        <v xml:space="preserve">| 1 P JAVA % | 3 L CPT % | 4 L PHP-CGM % | 5 P Python % </v>
      </c>
      <c r="AI488" s="4" t="str">
        <f ca="1">IFERROR(__xludf.DUMMYFUNCTION("""COMPUTED_VALUE"""),"| 1 P JAVA % | 3 L PHP-CGM @ | 4 L JAVA @ | 5 L CPT @ | 6 L NS @ ")</f>
        <v xml:space="preserve">| 1 P JAVA % | 3 L PHP-CGM @ | 4 L JAVA @ | 5 L CPT @ | 6 L NS @ </v>
      </c>
      <c r="AJ488" s="4" t="str">
        <f ca="1">IFERROR(__xludf.DUMMYFUNCTION("""COMPUTED_VALUE"""),"| 1 P CPT % | 3 L CPT % | 4 L JAVA % ")</f>
        <v xml:space="preserve">| 1 P CPT % | 3 L CPT % | 4 L JAVA % </v>
      </c>
      <c r="AK488" s="4" t="str">
        <f ca="1">IFERROR(__xludf.DUMMYFUNCTION("""COMPUTED_VALUE"""),"| 1 P NS % | 4 L NS % | 3 L JAVA % | 5 P PRO % ")</f>
        <v xml:space="preserve">| 1 P NS % | 4 L NS % | 3 L JAVA % | 5 P PRO % </v>
      </c>
      <c r="AL488" s="4" t="str">
        <f ca="1">IFERROR(__xludf.DUMMYFUNCTION("""COMPUTED_VALUE"""),"| 1 P Python % | 3 L PHP-CGM % | 4 L NS % | 5 P PHP-CGM % ")</f>
        <v xml:space="preserve">| 1 P Python % | 3 L PHP-CGM % | 4 L NS % | 5 P PHP-CGM % </v>
      </c>
      <c r="AM488" s="4" t="str">
        <f ca="1">IFERROR(__xludf.DUMMYFUNCTION("""COMPUTED_VALUE"""),"| 1 P JAVA % | 3 L CPT % | 4 L PHP-CGM % | 5 P Python % ")</f>
        <v xml:space="preserve">| 1 P JAVA % | 3 L CPT % | 4 L PHP-CGM % | 5 P Python % </v>
      </c>
      <c r="AN488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88" s="4" t="str">
        <f ca="1">IFERROR(__xludf.DUMMYFUNCTION("""COMPUTED_VALUE"""),"| 1 P CPT % | 3 L CPT @ | 4 L JAVA @ | 5 L INE % ")</f>
        <v xml:space="preserve">| 1 P CPT % | 3 L CPT @ | 4 L JAVA @ | 5 L INE % </v>
      </c>
      <c r="AP488" s="4" t="str">
        <f ca="1">IFERROR(__xludf.DUMMYFUNCTION("""COMPUTED_VALUE"""),"| 1 P NS % | 3 L JAVA % | 4 L NS % | 5 P PRO % ")</f>
        <v xml:space="preserve">| 1 P NS % | 3 L JAVA % | 4 L NS % | 5 P PRO % </v>
      </c>
      <c r="AQ488" s="4" t="str">
        <f ca="1">IFERROR(__xludf.DUMMYFUNCTION("""COMPUTED_VALUE"""),"| 1 P Python % | 3 L PHP-CGM % | 4 L NS % | 5 P PHP-CGM % ")</f>
        <v xml:space="preserve">| 1 P Python % | 3 L PHP-CGM % | 4 L NS % | 5 P PHP-CGM % </v>
      </c>
      <c r="AR488" s="4" t="str">
        <f ca="1">IFERROR(__xludf.DUMMYFUNCTION("""COMPUTED_VALUE"""),"| 1 P JAVA @ | 3 L CPT @ | 5 P Python @ ")</f>
        <v xml:space="preserve">| 1 P JAVA @ | 3 L CPT @ | 5 P Python @ </v>
      </c>
      <c r="AS488" s="4" t="str">
        <f ca="1">IFERROR(__xludf.DUMMYFUNCTION("""COMPUTED_VALUE"""),"| 1 P CPT % | 3 L CPT % | 4 L JAVA % | 5 L INE % ")</f>
        <v xml:space="preserve">| 1 P CPT % | 3 L CPT % | 4 L JAVA % | 5 L INE % </v>
      </c>
      <c r="AT488" s="4" t="str">
        <f ca="1">IFERROR(__xludf.DUMMYFUNCTION("""COMPUTED_VALUE"""),"| 1 P NS % | 3 L JAVA % | 4 L NS % | 5 P PRO % ")</f>
        <v xml:space="preserve">| 1 P NS % | 3 L JAVA % | 4 L NS % | 5 P PRO % </v>
      </c>
      <c r="AU488" s="4" t="str">
        <f ca="1">IFERROR(__xludf.DUMMYFUNCTION("""COMPUTED_VALUE"""),"| 1 P Python % | 3 L PHP-CGM % | 4 L NS % | 5 P PHP-CGM % ")</f>
        <v xml:space="preserve">| 1 P Python % | 3 L PHP-CGM % | 4 L NS % | 5 P PHP-CGM % </v>
      </c>
      <c r="AV488" s="4" t="str">
        <f ca="1">IFERROR(__xludf.DUMMYFUNCTION("""COMPUTED_VALUE"""),"| 1 P JAVA % | 3 L CPT % | 4 L PHP-CGM % | 5 P Python % ")</f>
        <v xml:space="preserve">| 1 P JAVA % | 3 L CPT % | 4 L PHP-CGM % | 5 P Python % </v>
      </c>
      <c r="AW488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88" s="4" t="str">
        <f ca="1">IFERROR(__xludf.DUMMYFUNCTION("""COMPUTED_VALUE"""),"| 1 P CPT @ | 3 L CPT @ | 4 L JAVA @ | 5 L INE @ ")</f>
        <v xml:space="preserve">| 1 P CPT @ | 3 L CPT @ | 4 L JAVA @ | 5 L INE @ </v>
      </c>
      <c r="AY488" s="4" t="str">
        <f ca="1">IFERROR(__xludf.DUMMYFUNCTION("""COMPUTED_VALUE"""),"| 1 P NS % | 3 L JAVA % | 4 L NS % | 5 P PRO % ")</f>
        <v xml:space="preserve">| 1 P NS % | 3 L JAVA % | 4 L NS % | 5 P PRO % </v>
      </c>
      <c r="AZ488" s="4" t="str">
        <f ca="1">IFERROR(__xludf.DUMMYFUNCTION("""COMPUTED_VALUE"""),"| 1 P JAVA % | 3 L CPT % | 4 L PHP-CGM % | 5 P Python % ")</f>
        <v xml:space="preserve">| 1 P JAVA % | 3 L CPT % | 4 L PHP-CGM % | 5 P Python % </v>
      </c>
      <c r="BA488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88" s="4" t="str">
        <f ca="1">IFERROR(__xludf.DUMMYFUNCTION("""COMPUTED_VALUE"""),"| 1 P CPT % | 3 L CPT @ | 4 L JAVA @ | 5 L INE @ ")</f>
        <v xml:space="preserve">| 1 P CPT % | 3 L CPT @ | 4 L JAVA @ | 5 L INE @ </v>
      </c>
      <c r="BC488" s="4" t="str">
        <f ca="1">IFERROR(__xludf.DUMMYFUNCTION("""COMPUTED_VALUE"""),"| 1 P NS % | 3 L JAVA @ | 4 L NS @ | 5 P PRO @ ")</f>
        <v xml:space="preserve">| 1 P NS % | 3 L JAVA @ | 4 L NS @ | 5 P PRO @ </v>
      </c>
      <c r="BD488" s="4" t="str">
        <f ca="1">IFERROR(__xludf.DUMMYFUNCTION("""COMPUTED_VALUE"""),"| 1 P Python % | 4 L NS %  | 3 L PHP-CGM % | 5 P PHP-CGM % ")</f>
        <v xml:space="preserve">| 1 P Python % | 4 L NS %  | 3 L PHP-CGM % | 5 P PHP-CGM % </v>
      </c>
      <c r="BE488" s="4" t="str">
        <f ca="1">IFERROR(__xludf.DUMMYFUNCTION("""COMPUTED_VALUE"""),"| 1 P JAVA % | 3 L CPT % | 4 L PHP-CGM % | 5 P Python % ")</f>
        <v xml:space="preserve">| 1 P JAVA % | 3 L CPT % | 4 L PHP-CGM % | 5 P Python % </v>
      </c>
      <c r="BF488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BG488" s="4" t="str">
        <f ca="1">IFERROR(__xludf.DUMMYFUNCTION("""COMPUTED_VALUE"""),"| 1 P NS % | 3 L JAVA @ | 4 L NS @ | 5 P PRO @ ")</f>
        <v xml:space="preserve">| 1 P NS % | 3 L JAVA @ | 4 L NS @ | 5 P PRO @ </v>
      </c>
      <c r="BH488" s="4" t="str">
        <f ca="1">IFERROR(__xludf.DUMMYFUNCTION("""COMPUTED_VALUE"""),"| 1 P Python @ | 3 L PHP-CGM @ | 4 L NS @ | 5 P PHP-CGM @ ")</f>
        <v xml:space="preserve">| 1 P Python @ | 3 L PHP-CGM @ | 4 L NS @ | 5 P PHP-CGM @ </v>
      </c>
      <c r="BI488" s="4" t="str">
        <f ca="1">IFERROR(__xludf.DUMMYFUNCTION("""COMPUTED_VALUE"""),"| 1 P JAVA % | 3 L CPT % | 4 L PHP-CGM % | 5 P Python @ ")</f>
        <v xml:space="preserve">| 1 P JAVA % | 3 L CPT % | 4 L PHP-CGM % | 5 P Python @ </v>
      </c>
      <c r="BJ488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K488" s="4" t="str">
        <f ca="1">IFERROR(__xludf.DUMMYFUNCTION("""COMPUTED_VALUE"""),"| 1 P CPT @ | 3 L CPT @ | 4 L JAVA @ | 5 L INE @ ")</f>
        <v xml:space="preserve">| 1 P CPT @ | 3 L CPT @ | 4 L JAVA @ | 5 L INE @ </v>
      </c>
      <c r="BL488" s="4" t="str">
        <f ca="1">IFERROR(__xludf.DUMMYFUNCTION("""COMPUTED_VALUE"""),"| 1 P NS @ | 3 L JAVA @ | 4 L NS @ ")</f>
        <v xml:space="preserve">| 1 P NS @ | 3 L JAVA @ | 4 L NS @ </v>
      </c>
      <c r="BM488" s="4" t="str">
        <f ca="1">IFERROR(__xludf.DUMMYFUNCTION("""COMPUTED_VALUE"""),"| 1 P Python % | 3 L PHP-CGM % | 4 L NS % | 5 P PHP-CGM @ ")</f>
        <v xml:space="preserve">| 1 P Python % | 3 L PHP-CGM % | 4 L NS % | 5 P PHP-CGM @ </v>
      </c>
      <c r="BN488" s="4" t="str">
        <f ca="1">IFERROR(__xludf.DUMMYFUNCTION("""COMPUTED_VALUE"""),"| 1 P JAVA @ | 3 L CPT @ | 4 L PHP-CGM @ | 5 P Python @ ")</f>
        <v xml:space="preserve">| 1 P JAVA @ | 3 L CPT @ | 4 L PHP-CGM @ | 5 P Python @ </v>
      </c>
      <c r="BO488" s="4" t="str">
        <f ca="1">IFERROR(__xludf.DUMMYFUNCTION("""COMPUTED_VALUE"""),"| 1 P JAVA % | 3 L PHP-CGM % | 4 L JAVA % | 5 L NS @ | 6 L CPT % ")</f>
        <v xml:space="preserve">| 1 P JAVA % | 3 L PHP-CGM % | 4 L JAVA % | 5 L NS @ | 6 L CPT % </v>
      </c>
      <c r="BP488" s="4" t="str">
        <f ca="1">IFERROR(__xludf.DUMMYFUNCTION("""COMPUTED_VALUE"""),"| 1 P CPT @ | 3 L CPT @ | 4 L JAVA @ | 5 L INE @ ")</f>
        <v xml:space="preserve">| 1 P CPT @ | 3 L CPT @ | 4 L JAVA @ | 5 L INE @ </v>
      </c>
      <c r="BQ488" s="4" t="str">
        <f ca="1">IFERROR(__xludf.DUMMYFUNCTION("""COMPUTED_VALUE"""),"| 4 L NS @ ")</f>
        <v xml:space="preserve">| 4 L NS @ </v>
      </c>
      <c r="BR488" s="4"/>
      <c r="BS488" s="4"/>
      <c r="BT488" s="4" t="str">
        <f ca="1">IFERROR(__xludf.DUMMYFUNCTION("""COMPUTED_VALUE"""),"| 1 P CPT @ | 3 L CPT @ | 4 L JAVA @ ")</f>
        <v xml:space="preserve">| 1 P CPT @ | 3 L CPT @ | 4 L JAVA @ </v>
      </c>
      <c r="BU488" s="4" t="str">
        <f ca="1">IFERROR(__xludf.DUMMYFUNCTION("""COMPUTED_VALUE"""),"| 1 P NS % | 4 L NS @ | 3 L JAVA @ ")</f>
        <v xml:space="preserve">| 1 P NS % | 4 L NS @ | 3 L JAVA @ </v>
      </c>
      <c r="BV488" s="4" t="str">
        <f ca="1">IFERROR(__xludf.DUMMYFUNCTION("""COMPUTED_VALUE"""),"| 1 P CPT @ | 3 L CPT @ | 4 L JAVA @ ")</f>
        <v xml:space="preserve">| 1 P CPT @ | 3 L CPT @ | 4 L JAVA @ </v>
      </c>
      <c r="BW488" s="4" t="str">
        <f ca="1">IFERROR(__xludf.DUMMYFUNCTION("""COMPUTED_VALUE"""),"| 1 P NS @ | 3 L JAVA @ | 4 L NS @ ")</f>
        <v xml:space="preserve">| 1 P NS @ | 3 L JAVA @ | 4 L NS @ </v>
      </c>
      <c r="BX488" s="4" t="str">
        <f ca="1">IFERROR(__xludf.DUMMYFUNCTION("""COMPUTED_VALUE"""),"| 1 P Python @ | 3 L PHP-CGM @ | 4 L NS @ | 5 P PHP-CGM @ ")</f>
        <v xml:space="preserve">| 1 P Python @ | 3 L PHP-CGM @ | 4 L NS @ | 5 P PHP-CGM @ </v>
      </c>
      <c r="BY488" s="4" t="str">
        <f ca="1">IFERROR(__xludf.DUMMYFUNCTION("""COMPUTED_VALUE"""),"| 1 P JAVA @ | 3 L CPT @ | 4 L PHP-CGM @ | 5 P Python @ ")</f>
        <v xml:space="preserve">| 1 P JAVA @ | 3 L CPT @ | 4 L PHP-CGM @ | 5 P Python @ </v>
      </c>
      <c r="BZ488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88" s="4" t="str">
        <f ca="1">IFERROR(__xludf.DUMMYFUNCTION("""COMPUTED_VALUE"""),"| 1 P CPT % | 3 L CPT % | 4 L JAVA % | 5 L INE @ ")</f>
        <v xml:space="preserve">| 1 P CPT % | 3 L CPT % | 4 L JAVA % | 5 L INE @ </v>
      </c>
      <c r="CB488" s="4" t="str">
        <f ca="1">IFERROR(__xludf.DUMMYFUNCTION("""COMPUTED_VALUE"""),"| 1 P NS % | 3 L JAVA % | 4 L NS @ | 5 P PRO @ ")</f>
        <v xml:space="preserve">| 1 P NS % | 3 L JAVA % | 4 L NS @ | 5 P PRO @ </v>
      </c>
      <c r="CC488" s="4" t="str">
        <f ca="1">IFERROR(__xludf.DUMMYFUNCTION("""COMPUTED_VALUE"""),"| 1 P Python % | 3 L PHP-CGM % | 4 L NS % | 5 P PHP-CGM @ ")</f>
        <v xml:space="preserve">| 1 P Python % | 3 L PHP-CGM % | 4 L NS % | 5 P PHP-CGM @ </v>
      </c>
      <c r="CD488" s="4" t="str">
        <f ca="1">IFERROR(__xludf.DUMMYFUNCTION("""COMPUTED_VALUE"""),"| 1 P JAVA % | 3 L CPT @ | 4 L PHP-CGM @ | 5 P Python @ ")</f>
        <v xml:space="preserve">| 1 P JAVA % | 3 L CPT @ | 4 L PHP-CGM @ | 5 P Python @ </v>
      </c>
      <c r="CE488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F488" s="4" t="str">
        <f ca="1">IFERROR(__xludf.DUMMYFUNCTION("""COMPUTED_VALUE"""),"| 1 P CPT % | 3 L CPT % | 4 L JAVA % | 5 L INE % ")</f>
        <v xml:space="preserve">| 1 P CPT % | 3 L CPT % | 4 L JAVA % | 5 L INE % </v>
      </c>
      <c r="CG488" s="4" t="str">
        <f ca="1">IFERROR(__xludf.DUMMYFUNCTION("""COMPUTED_VALUE"""),"| 1 P NS % | 4 L NS @ ")</f>
        <v xml:space="preserve">| 1 P NS % | 4 L NS @ </v>
      </c>
      <c r="CH488" s="4" t="str">
        <f ca="1">IFERROR(__xludf.DUMMYFUNCTION("""COMPUTED_VALUE"""),"| 3 L PHP-CGM @ | 4 L NS @ | 1 P Python % ")</f>
        <v xml:space="preserve">| 3 L PHP-CGM @ | 4 L NS @ | 1 P Python % </v>
      </c>
      <c r="CI488" s="4" t="str">
        <f ca="1">IFERROR(__xludf.DUMMYFUNCTION("""COMPUTED_VALUE"""),"| 1 P JAVA % ")</f>
        <v xml:space="preserve">| 1 P JAVA % </v>
      </c>
      <c r="CJ488" s="4" t="str">
        <f ca="1">IFERROR(__xludf.DUMMYFUNCTION("""COMPUTED_VALUE"""),"| 1 P JAVA % | 4 L JAVA % ")</f>
        <v xml:space="preserve">| 1 P JAVA % | 4 L JAVA % </v>
      </c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</row>
    <row r="489" spans="1:102" ht="12.5" x14ac:dyDescent="0.25">
      <c r="A489" s="3">
        <f ca="1">IFERROR(__xludf.DUMMYFUNCTION("""COMPUTED_VALUE"""),1)</f>
        <v>1</v>
      </c>
      <c r="B489" s="3" t="str">
        <f ca="1">IFERROR(__xludf.DUMMYFUNCTION("""COMPUTED_VALUE"""),"ITC")</f>
        <v>ITC</v>
      </c>
      <c r="C489" s="32" t="str">
        <f ca="1">IFERROR(__xludf.DUMMYFUNCTION("""COMPUTED_VALUE"""),"23171371054")</f>
        <v>23171371054</v>
      </c>
      <c r="D489" s="4" t="str">
        <f ca="1">IFERROR(__xludf.DUMMYFUNCTION("""COMPUTED_VALUE"""),"PARMAR RAJVIBEN BHARATBHAI")</f>
        <v>PARMAR RAJVIBEN BHARATBHAI</v>
      </c>
      <c r="E489" s="3" t="str">
        <f ca="1">IFERROR(__xludf.DUMMYFUNCTION("""COMPUTED_VALUE"""),"SDP&amp;KKP - Mor")</f>
        <v>SDP&amp;KKP - Mor</v>
      </c>
      <c r="F489" s="3">
        <f ca="1">IFERROR(__xludf.DUMMYFUNCTION("""COMPUTED_VALUE"""),7043371326)</f>
        <v>7043371326</v>
      </c>
      <c r="G489" s="3">
        <f ca="1">IFERROR(__xludf.DUMMYFUNCTION("""COMPUTED_VALUE"""),8799061251)</f>
        <v>8799061251</v>
      </c>
      <c r="H489" s="33">
        <f ca="1">IFERROR(__xludf.DUMMYFUNCTION("""COMPUTED_VALUE"""),0.607438016528925)</f>
        <v>0.60743801652892504</v>
      </c>
      <c r="I489" s="25">
        <f ca="1">IFERROR(__xludf.DUMMYFUNCTION("""COMPUTED_VALUE"""),0.611111111111111)</f>
        <v>0.61111111111111105</v>
      </c>
      <c r="J489" s="25">
        <f ca="1">IFERROR(__xludf.DUMMYFUNCTION("""COMPUTED_VALUE"""),0.615384615384615)</f>
        <v>0.61538461538461497</v>
      </c>
      <c r="K489" s="25">
        <f ca="1">IFERROR(__xludf.DUMMYFUNCTION("""COMPUTED_VALUE"""),0.555555555555555)</f>
        <v>0.55555555555555503</v>
      </c>
      <c r="L489" s="25">
        <f ca="1">IFERROR(__xludf.DUMMYFUNCTION("""COMPUTED_VALUE"""),0.692307692307692)</f>
        <v>0.69230769230769196</v>
      </c>
      <c r="M489" s="25">
        <f ca="1">IFERROR(__xludf.DUMMYFUNCTION("""COMPUTED_VALUE"""),0.5625)</f>
        <v>0.5625</v>
      </c>
      <c r="N489" s="25">
        <f ca="1">IFERROR(__xludf.DUMMYFUNCTION("""COMPUTED_VALUE"""),0.6)</f>
        <v>0.6</v>
      </c>
      <c r="O489" s="25">
        <f ca="1">IFERROR(__xludf.DUMMYFUNCTION("""COMPUTED_VALUE"""),0.594594594594594)</f>
        <v>0.59459459459459396</v>
      </c>
      <c r="P489" s="25">
        <f ca="1">IFERROR(__xludf.DUMMYFUNCTION("""COMPUTED_VALUE"""),0.64)</f>
        <v>0.64</v>
      </c>
      <c r="Q489" s="25">
        <f ca="1">IFERROR(__xludf.DUMMYFUNCTION("""COMPUTED_VALUE"""),0)</f>
        <v>0</v>
      </c>
      <c r="R489" s="25">
        <f ca="1">IFERROR(__xludf.DUMMYFUNCTION("""COMPUTED_VALUE"""),0.695652173913043)</f>
        <v>0.69565217391304301</v>
      </c>
      <c r="S489" s="25">
        <f ca="1">IFERROR(__xludf.DUMMYFUNCTION("""COMPUTED_VALUE"""),0)</f>
        <v>0</v>
      </c>
      <c r="T489" s="25">
        <f ca="1">IFERROR(__xludf.DUMMYFUNCTION("""COMPUTED_VALUE"""),0.777777777777777)</f>
        <v>0.77777777777777701</v>
      </c>
      <c r="U489" s="25">
        <f ca="1">IFERROR(__xludf.DUMMYFUNCTION("""COMPUTED_VALUE"""),0.375)</f>
        <v>0.375</v>
      </c>
      <c r="V489" s="25">
        <f ca="1">IFERROR(__xludf.DUMMYFUNCTION("""COMPUTED_VALUE"""),0)</f>
        <v>0</v>
      </c>
      <c r="W489" s="4"/>
      <c r="X489" s="4" t="str">
        <f ca="1">IFERROR(__xludf.DUMMYFUNCTION("""COMPUTED_VALUE"""),"| 1 P CPT % | 3 L CPT % | 4 L JAVA % ")</f>
        <v xml:space="preserve">| 1 P CPT % | 3 L CPT % | 4 L JAVA % </v>
      </c>
      <c r="Y489" s="4" t="str">
        <f ca="1">IFERROR(__xludf.DUMMYFUNCTION("""COMPUTED_VALUE"""),"| 1 P NS % | 3 L JAVA % | 4 L NS % | 5 P PRO % ")</f>
        <v xml:space="preserve">| 1 P NS % | 3 L JAVA % | 4 L NS % | 5 P PRO % </v>
      </c>
      <c r="Z489" s="4" t="str">
        <f ca="1">IFERROR(__xludf.DUMMYFUNCTION("""COMPUTED_VALUE"""),"| 1 P Python % | 3 L PHP-CGM % | 4 L NS % | 5 P PHP-CGM % ")</f>
        <v xml:space="preserve">| 1 P Python % | 3 L PHP-CGM % | 4 L NS % | 5 P PHP-CGM % </v>
      </c>
      <c r="AA489" s="4" t="str">
        <f ca="1">IFERROR(__xludf.DUMMYFUNCTION("""COMPUTED_VALUE"""),"| 1 P JAVA % | 3 L CPT % | 5 P Python % ")</f>
        <v xml:space="preserve">| 1 P JAVA % | 3 L CPT % | 5 P Python % </v>
      </c>
      <c r="AB489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89" s="4" t="str">
        <f ca="1">IFERROR(__xludf.DUMMYFUNCTION("""COMPUTED_VALUE"""),"| 1 P CPT % | 3 L CPT % | 4 L JAVA % ")</f>
        <v xml:space="preserve">| 1 P CPT % | 3 L CPT % | 4 L JAVA % </v>
      </c>
      <c r="AD489" s="4" t="str">
        <f ca="1">IFERROR(__xludf.DUMMYFUNCTION("""COMPUTED_VALUE"""),"| 1 P NS @ | 3 L JAVA @ | 4 L NS @ | 5 P PRO @ ")</f>
        <v xml:space="preserve">| 1 P NS @ | 3 L JAVA @ | 4 L NS @ | 5 P PRO @ </v>
      </c>
      <c r="AE489" s="4" t="str">
        <f ca="1">IFERROR(__xludf.DUMMYFUNCTION("""COMPUTED_VALUE"""),"| 1 P Python % | 3 L PHP-CGM % | 4 L NS % | 5 P PHP-CGM % ")</f>
        <v xml:space="preserve">| 1 P Python % | 3 L PHP-CGM % | 4 L NS % | 5 P PHP-CGM % </v>
      </c>
      <c r="AF489" s="4" t="str">
        <f ca="1">IFERROR(__xludf.DUMMYFUNCTION("""COMPUTED_VALUE"""),"| 1 P JAVA @ | 3 L CPT @ | 4 L PHP-CGM @ | 5 P Python @ ")</f>
        <v xml:space="preserve">| 1 P JAVA @ | 3 L CPT @ | 4 L PHP-CGM @ | 5 P Python @ </v>
      </c>
      <c r="AG489" s="4" t="str">
        <f ca="1">IFERROR(__xludf.DUMMYFUNCTION("""COMPUTED_VALUE"""),"| 1 P JAVA % | 3 L PHP-CGM % | 4 L JAVA % | 5 L CPT @ | 6 L NS @ ")</f>
        <v xml:space="preserve">| 1 P JAVA % | 3 L PHP-CGM % | 4 L JAVA % | 5 L CPT @ | 6 L NS @ </v>
      </c>
      <c r="AH489" s="4" t="str">
        <f ca="1">IFERROR(__xludf.DUMMYFUNCTION("""COMPUTED_VALUE"""),"| 1 P JAVA % | 3 L CPT % | 4 L PHP-CGM % | 5 P Python % ")</f>
        <v xml:space="preserve">| 1 P JAVA % | 3 L CPT % | 4 L PHP-CGM % | 5 P Python % </v>
      </c>
      <c r="AI489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89" s="4" t="str">
        <f ca="1">IFERROR(__xludf.DUMMYFUNCTION("""COMPUTED_VALUE"""),"| 1 P CPT @ | 3 L CPT @ | 4 L JAVA @ ")</f>
        <v xml:space="preserve">| 1 P CPT @ | 3 L CPT @ | 4 L JAVA @ </v>
      </c>
      <c r="AK489" s="4" t="str">
        <f ca="1">IFERROR(__xludf.DUMMYFUNCTION("""COMPUTED_VALUE"""),"| 1 P NS @ | 4 L NS @ | 3 L JAVA @ | 5 P PRO @ ")</f>
        <v xml:space="preserve">| 1 P NS @ | 4 L NS @ | 3 L JAVA @ | 5 P PRO @ </v>
      </c>
      <c r="AL489" s="4" t="str">
        <f ca="1">IFERROR(__xludf.DUMMYFUNCTION("""COMPUTED_VALUE"""),"| 1 P Python @ | 3 L PHP-CGM @ | 4 L NS @ | 5 P PHP-CGM @ ")</f>
        <v xml:space="preserve">| 1 P Python @ | 3 L PHP-CGM @ | 4 L NS @ | 5 P PHP-CGM @ </v>
      </c>
      <c r="AM489" s="4" t="str">
        <f ca="1">IFERROR(__xludf.DUMMYFUNCTION("""COMPUTED_VALUE"""),"| 1 P JAVA @ | 3 L CPT @ | 4 L PHP-CGM @ | 5 P Python @ ")</f>
        <v xml:space="preserve">| 1 P JAVA @ | 3 L CPT @ | 4 L PHP-CGM @ | 5 P Python @ </v>
      </c>
      <c r="AN489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89" s="4" t="str">
        <f ca="1">IFERROR(__xludf.DUMMYFUNCTION("""COMPUTED_VALUE"""),"| 1 P CPT % | 3 L CPT % | 4 L JAVA % | 5 L INE @ ")</f>
        <v xml:space="preserve">| 1 P CPT % | 3 L CPT % | 4 L JAVA % | 5 L INE @ </v>
      </c>
      <c r="AP489" s="4" t="str">
        <f ca="1">IFERROR(__xludf.DUMMYFUNCTION("""COMPUTED_VALUE"""),"| 1 P NS % | 3 L JAVA % | 4 L NS % | 5 P PRO % ")</f>
        <v xml:space="preserve">| 1 P NS % | 3 L JAVA % | 4 L NS % | 5 P PRO % </v>
      </c>
      <c r="AQ489" s="4" t="str">
        <f ca="1">IFERROR(__xludf.DUMMYFUNCTION("""COMPUTED_VALUE"""),"| 1 P Python % | 3 L PHP-CGM % | 4 L NS % | 5 P PHP-CGM % ")</f>
        <v xml:space="preserve">| 1 P Python % | 3 L PHP-CGM % | 4 L NS % | 5 P PHP-CGM % </v>
      </c>
      <c r="AR489" s="4" t="str">
        <f ca="1">IFERROR(__xludf.DUMMYFUNCTION("""COMPUTED_VALUE"""),"| 1 P JAVA % | 3 L CPT % | 5 P Python % ")</f>
        <v xml:space="preserve">| 1 P JAVA % | 3 L CPT % | 5 P Python % </v>
      </c>
      <c r="AS489" s="4" t="str">
        <f ca="1">IFERROR(__xludf.DUMMYFUNCTION("""COMPUTED_VALUE"""),"| 1 P CPT % | 3 L CPT % | 4 L JAVA % | 5 L INE @ ")</f>
        <v xml:space="preserve">| 1 P CPT % | 3 L CPT % | 4 L JAVA % | 5 L INE @ </v>
      </c>
      <c r="AT489" s="4" t="str">
        <f ca="1">IFERROR(__xludf.DUMMYFUNCTION("""COMPUTED_VALUE"""),"| 1 P NS % | 3 L JAVA % | 4 L NS % | 5 P PRO % ")</f>
        <v xml:space="preserve">| 1 P NS % | 3 L JAVA % | 4 L NS % | 5 P PRO % </v>
      </c>
      <c r="AU489" s="4" t="str">
        <f ca="1">IFERROR(__xludf.DUMMYFUNCTION("""COMPUTED_VALUE"""),"| 1 P Python % | 3 L PHP-CGM % | 4 L NS % | 5 P PHP-CGM % ")</f>
        <v xml:space="preserve">| 1 P Python % | 3 L PHP-CGM % | 4 L NS % | 5 P PHP-CGM % </v>
      </c>
      <c r="AV489" s="4" t="str">
        <f ca="1">IFERROR(__xludf.DUMMYFUNCTION("""COMPUTED_VALUE"""),"| 1 P JAVA % | 3 L CPT % | 4 L PHP-CGM % | 5 P Python % ")</f>
        <v xml:space="preserve">| 1 P JAVA % | 3 L CPT % | 4 L PHP-CGM % | 5 P Python % </v>
      </c>
      <c r="AW489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89" s="4" t="str">
        <f ca="1">IFERROR(__xludf.DUMMYFUNCTION("""COMPUTED_VALUE"""),"| 1 P CPT % | 3 L CPT % | 4 L JAVA % | 5 L INE % ")</f>
        <v xml:space="preserve">| 1 P CPT % | 3 L CPT % | 4 L JAVA % | 5 L INE % </v>
      </c>
      <c r="AY489" s="4" t="str">
        <f ca="1">IFERROR(__xludf.DUMMYFUNCTION("""COMPUTED_VALUE"""),"| 1 P NS % | 3 L JAVA % | 4 L NS % | 5 P PRO % ")</f>
        <v xml:space="preserve">| 1 P NS % | 3 L JAVA % | 4 L NS % | 5 P PRO % </v>
      </c>
      <c r="AZ489" s="4" t="str">
        <f ca="1">IFERROR(__xludf.DUMMYFUNCTION("""COMPUTED_VALUE"""),"| 1 P JAVA % | 3 L CPT % | 4 L PHP-CGM % | 5 P Python % ")</f>
        <v xml:space="preserve">| 1 P JAVA % | 3 L CPT % | 4 L PHP-CGM % | 5 P Python % </v>
      </c>
      <c r="BA489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89" s="4" t="str">
        <f ca="1">IFERROR(__xludf.DUMMYFUNCTION("""COMPUTED_VALUE"""),"| 1 P CPT @ | 3 L CPT @ | 4 L JAVA % | 5 L INE % ")</f>
        <v xml:space="preserve">| 1 P CPT @ | 3 L CPT @ | 4 L JAVA % | 5 L INE % </v>
      </c>
      <c r="BC489" s="4" t="str">
        <f ca="1">IFERROR(__xludf.DUMMYFUNCTION("""COMPUTED_VALUE"""),"| 1 P NS % | 3 L JAVA @ | 4 L NS @ | 5 P PRO % ")</f>
        <v xml:space="preserve">| 1 P NS % | 3 L JAVA @ | 4 L NS @ | 5 P PRO % </v>
      </c>
      <c r="BD489" s="4" t="str">
        <f ca="1">IFERROR(__xludf.DUMMYFUNCTION("""COMPUTED_VALUE"""),"| 1 P Python % | 4 L NS %  | 3 L PHP-CGM % | 5 P PHP-CGM % ")</f>
        <v xml:space="preserve">| 1 P Python % | 4 L NS %  | 3 L PHP-CGM % | 5 P PHP-CGM % </v>
      </c>
      <c r="BE489" s="4" t="str">
        <f ca="1">IFERROR(__xludf.DUMMYFUNCTION("""COMPUTED_VALUE"""),"| 1 P JAVA % | 3 L CPT % | 4 L PHP-CGM % | 5 P Python @ ")</f>
        <v xml:space="preserve">| 1 P JAVA % | 3 L CPT % | 4 L PHP-CGM % | 5 P Python @ </v>
      </c>
      <c r="BF489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G489" s="4" t="str">
        <f ca="1">IFERROR(__xludf.DUMMYFUNCTION("""COMPUTED_VALUE"""),"| 1 P NS % | 3 L JAVA % | 4 L NS % | 5 P PRO % ")</f>
        <v xml:space="preserve">| 1 P NS % | 3 L JAVA % | 4 L NS % | 5 P PRO % </v>
      </c>
      <c r="BH489" s="4" t="str">
        <f ca="1">IFERROR(__xludf.DUMMYFUNCTION("""COMPUTED_VALUE"""),"| 1 P Python % | 3 L PHP-CGM % | 4 L NS % | 5 P PHP-CGM % ")</f>
        <v xml:space="preserve">| 1 P Python % | 3 L PHP-CGM % | 4 L NS % | 5 P PHP-CGM % </v>
      </c>
      <c r="BI489" s="4" t="str">
        <f ca="1">IFERROR(__xludf.DUMMYFUNCTION("""COMPUTED_VALUE"""),"| 1 P JAVA % | 3 L CPT % | 4 L PHP-CGM % | 5 P Python % ")</f>
        <v xml:space="preserve">| 1 P JAVA % | 3 L CPT % | 4 L PHP-CGM % | 5 P Python % </v>
      </c>
      <c r="BJ489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K489" s="4" t="str">
        <f ca="1">IFERROR(__xludf.DUMMYFUNCTION("""COMPUTED_VALUE"""),"| 1 P CPT @ | 3 L CPT @ | 4 L JAVA @ | 5 L INE @ ")</f>
        <v xml:space="preserve">| 1 P CPT @ | 3 L CPT @ | 4 L JAVA @ | 5 L INE @ </v>
      </c>
      <c r="BL489" s="4" t="str">
        <f ca="1">IFERROR(__xludf.DUMMYFUNCTION("""COMPUTED_VALUE"""),"| 1 P NS % | 3 L JAVA % | 4 L NS % ")</f>
        <v xml:space="preserve">| 1 P NS % | 3 L JAVA % | 4 L NS % </v>
      </c>
      <c r="BM489" s="4" t="str">
        <f ca="1">IFERROR(__xludf.DUMMYFUNCTION("""COMPUTED_VALUE"""),"| 1 P Python @ | 3 L PHP-CGM @ | 4 L NS @ | 5 P PHP-CGM @ ")</f>
        <v xml:space="preserve">| 1 P Python @ | 3 L PHP-CGM @ | 4 L NS @ | 5 P PHP-CGM @ </v>
      </c>
      <c r="BN489" s="4" t="str">
        <f ca="1">IFERROR(__xludf.DUMMYFUNCTION("""COMPUTED_VALUE"""),"| 1 P JAVA @ | 3 L CPT % | 4 L PHP-CGM % | 5 P Python @ ")</f>
        <v xml:space="preserve">| 1 P JAVA @ | 3 L CPT % | 4 L PHP-CGM % | 5 P Python @ </v>
      </c>
      <c r="BO489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89" s="4" t="str">
        <f ca="1">IFERROR(__xludf.DUMMYFUNCTION("""COMPUTED_VALUE"""),"| 1 P CPT % | 3 L CPT % | 4 L JAVA % | 5 L INE @ ")</f>
        <v xml:space="preserve">| 1 P CPT % | 3 L CPT % | 4 L JAVA % | 5 L INE @ </v>
      </c>
      <c r="BQ489" s="4" t="str">
        <f ca="1">IFERROR(__xludf.DUMMYFUNCTION("""COMPUTED_VALUE"""),"| 4 L NS @ ")</f>
        <v xml:space="preserve">| 4 L NS @ </v>
      </c>
      <c r="BR489" s="4"/>
      <c r="BS489" s="4"/>
      <c r="BT489" s="4" t="str">
        <f ca="1">IFERROR(__xludf.DUMMYFUNCTION("""COMPUTED_VALUE"""),"| 1 P CPT @ | 3 L CPT @ | 4 L JAVA @ ")</f>
        <v xml:space="preserve">| 1 P CPT @ | 3 L CPT @ | 4 L JAVA @ </v>
      </c>
      <c r="BU489" s="4" t="str">
        <f ca="1">IFERROR(__xludf.DUMMYFUNCTION("""COMPUTED_VALUE"""),"| 1 P NS @ | 4 L NS @ | 3 L JAVA @ ")</f>
        <v xml:space="preserve">| 1 P NS @ | 4 L NS @ | 3 L JAVA @ </v>
      </c>
      <c r="BV489" s="4" t="str">
        <f ca="1">IFERROR(__xludf.DUMMYFUNCTION("""COMPUTED_VALUE"""),"| 1 P CPT @ | 3 L CPT @ | 4 L JAVA @ ")</f>
        <v xml:space="preserve">| 1 P CPT @ | 3 L CPT @ | 4 L JAVA @ </v>
      </c>
      <c r="BW489" s="4" t="str">
        <f ca="1">IFERROR(__xludf.DUMMYFUNCTION("""COMPUTED_VALUE"""),"| 1 P NS @ | 3 L JAVA @ | 4 L NS @ ")</f>
        <v xml:space="preserve">| 1 P NS @ | 3 L JAVA @ | 4 L NS @ </v>
      </c>
      <c r="BX489" s="4" t="str">
        <f ca="1">IFERROR(__xludf.DUMMYFUNCTION("""COMPUTED_VALUE"""),"| 1 P Python % | 3 L PHP-CGM % | 4 L NS % | 5 P PHP-CGM @ ")</f>
        <v xml:space="preserve">| 1 P Python % | 3 L PHP-CGM % | 4 L NS % | 5 P PHP-CGM @ </v>
      </c>
      <c r="BY489" s="4" t="str">
        <f ca="1">IFERROR(__xludf.DUMMYFUNCTION("""COMPUTED_VALUE"""),"| 1 P JAVA @ | 3 L CPT @ | 4 L PHP-CGM @ | 5 P Python @ ")</f>
        <v xml:space="preserve">| 1 P JAVA @ | 3 L CPT @ | 4 L PHP-CGM @ | 5 P Python @ </v>
      </c>
      <c r="BZ489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89" s="4" t="str">
        <f ca="1">IFERROR(__xludf.DUMMYFUNCTION("""COMPUTED_VALUE"""),"| 1 P CPT % | 3 L CPT % | 4 L JAVA % | 5 L INE % ")</f>
        <v xml:space="preserve">| 1 P CPT % | 3 L CPT % | 4 L JAVA % | 5 L INE % </v>
      </c>
      <c r="CB489" s="4" t="str">
        <f ca="1">IFERROR(__xludf.DUMMYFUNCTION("""COMPUTED_VALUE"""),"| 1 P NS % | 3 L JAVA % | 4 L NS % | 5 P PRO % ")</f>
        <v xml:space="preserve">| 1 P NS % | 3 L JAVA % | 4 L NS % | 5 P PRO % </v>
      </c>
      <c r="CC489" s="4" t="str">
        <f ca="1">IFERROR(__xludf.DUMMYFUNCTION("""COMPUTED_VALUE"""),"| 1 P Python % | 3 L PHP-CGM @ | 4 L NS @ | 5 P PHP-CGM @ ")</f>
        <v xml:space="preserve">| 1 P Python % | 3 L PHP-CGM @ | 4 L NS @ | 5 P PHP-CGM @ </v>
      </c>
      <c r="CD489" s="4" t="str">
        <f ca="1">IFERROR(__xludf.DUMMYFUNCTION("""COMPUTED_VALUE"""),"| 1 P JAVA % | 3 L CPT @ | 4 L PHP-CGM @ | 5 P Python % ")</f>
        <v xml:space="preserve">| 1 P JAVA % | 3 L CPT @ | 4 L PHP-CGM @ | 5 P Python % </v>
      </c>
      <c r="CE489" s="4" t="str">
        <f ca="1">IFERROR(__xludf.DUMMYFUNCTION("""COMPUTED_VALUE"""),"| 1 P JAVA % | 3 L PHP-CGM @ | 4 L JAVA @ | 5 L NS % | 6 L CPT % ")</f>
        <v xml:space="preserve">| 1 P JAVA % | 3 L PHP-CGM @ | 4 L JAVA @ | 5 L NS % | 6 L CPT % </v>
      </c>
      <c r="CF489" s="4" t="str">
        <f ca="1">IFERROR(__xludf.DUMMYFUNCTION("""COMPUTED_VALUE"""),"| 1 P CPT % | 3 L CPT % | 4 L JAVA % | 5 L INE @ ")</f>
        <v xml:space="preserve">| 1 P CPT % | 3 L CPT % | 4 L JAVA % | 5 L INE @ </v>
      </c>
      <c r="CG489" s="4" t="str">
        <f ca="1">IFERROR(__xludf.DUMMYFUNCTION("""COMPUTED_VALUE"""),"| 1 P NS % | 4 L NS % ")</f>
        <v xml:space="preserve">| 1 P NS % | 4 L NS % </v>
      </c>
      <c r="CH489" s="4" t="str">
        <f ca="1">IFERROR(__xludf.DUMMYFUNCTION("""COMPUTED_VALUE"""),"| 3 L PHP-CGM @ | 4 L NS @ | 1 P Python % ")</f>
        <v xml:space="preserve">| 3 L PHP-CGM @ | 4 L NS @ | 1 P Python % </v>
      </c>
      <c r="CI489" s="4" t="str">
        <f ca="1">IFERROR(__xludf.DUMMYFUNCTION("""COMPUTED_VALUE"""),"| 1 P JAVA % ")</f>
        <v xml:space="preserve">| 1 P JAVA % </v>
      </c>
      <c r="CJ489" s="4" t="str">
        <f ca="1">IFERROR(__xludf.DUMMYFUNCTION("""COMPUTED_VALUE"""),"| 1 P JAVA % | 4 L JAVA % ")</f>
        <v xml:space="preserve">| 1 P JAVA % | 4 L JAVA % </v>
      </c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</row>
    <row r="490" spans="1:102" ht="12.5" x14ac:dyDescent="0.25">
      <c r="A490" s="3">
        <f ca="1">IFERROR(__xludf.DUMMYFUNCTION("""COMPUTED_VALUE"""),1)</f>
        <v>1</v>
      </c>
      <c r="B490" s="3" t="str">
        <f ca="1">IFERROR(__xludf.DUMMYFUNCTION("""COMPUTED_VALUE"""),"ITC")</f>
        <v>ITC</v>
      </c>
      <c r="C490" s="32" t="str">
        <f ca="1">IFERROR(__xludf.DUMMYFUNCTION("""COMPUTED_VALUE"""),"23171371057")</f>
        <v>23171371057</v>
      </c>
      <c r="D490" s="4" t="str">
        <f ca="1">IFERROR(__xludf.DUMMYFUNCTION("""COMPUTED_VALUE"""),"PATEL ARYAN GIRISHBHAI")</f>
        <v>PATEL ARYAN GIRISHBHAI</v>
      </c>
      <c r="E490" s="3" t="str">
        <f ca="1">IFERROR(__xludf.DUMMYFUNCTION("""COMPUTED_VALUE"""),"SDP&amp;KKP - Mor")</f>
        <v>SDP&amp;KKP - Mor</v>
      </c>
      <c r="F490" s="3">
        <f ca="1">IFERROR(__xludf.DUMMYFUNCTION("""COMPUTED_VALUE"""),9725299362)</f>
        <v>9725299362</v>
      </c>
      <c r="G490" s="3">
        <f ca="1">IFERROR(__xludf.DUMMYFUNCTION("""COMPUTED_VALUE"""),9725299362)</f>
        <v>9725299362</v>
      </c>
      <c r="H490" s="33">
        <f ca="1">IFERROR(__xludf.DUMMYFUNCTION("""COMPUTED_VALUE"""),0.446280991735537)</f>
        <v>0.44628099173553698</v>
      </c>
      <c r="I490" s="25">
        <f ca="1">IFERROR(__xludf.DUMMYFUNCTION("""COMPUTED_VALUE"""),0.611111111111111)</f>
        <v>0.61111111111111105</v>
      </c>
      <c r="J490" s="25">
        <f ca="1">IFERROR(__xludf.DUMMYFUNCTION("""COMPUTED_VALUE"""),0.384615384615384)</f>
        <v>0.38461538461538403</v>
      </c>
      <c r="K490" s="25">
        <f ca="1">IFERROR(__xludf.DUMMYFUNCTION("""COMPUTED_VALUE"""),0.5)</f>
        <v>0.5</v>
      </c>
      <c r="L490" s="25">
        <f ca="1">IFERROR(__xludf.DUMMYFUNCTION("""COMPUTED_VALUE"""),0.307692307692307)</f>
        <v>0.30769230769230699</v>
      </c>
      <c r="M490" s="25">
        <f ca="1">IFERROR(__xludf.DUMMYFUNCTION("""COMPUTED_VALUE"""),0.5625)</f>
        <v>0.5625</v>
      </c>
      <c r="N490" s="25">
        <f ca="1">IFERROR(__xludf.DUMMYFUNCTION("""COMPUTED_VALUE"""),0.1)</f>
        <v>0.1</v>
      </c>
      <c r="O490" s="25">
        <f ca="1">IFERROR(__xludf.DUMMYFUNCTION("""COMPUTED_VALUE"""),0.459459459459459)</f>
        <v>0.45945945945945899</v>
      </c>
      <c r="P490" s="25">
        <f ca="1">IFERROR(__xludf.DUMMYFUNCTION("""COMPUTED_VALUE"""),0.24)</f>
        <v>0.24</v>
      </c>
      <c r="Q490" s="25">
        <f ca="1">IFERROR(__xludf.DUMMYFUNCTION("""COMPUTED_VALUE"""),0)</f>
        <v>0</v>
      </c>
      <c r="R490" s="25">
        <f ca="1">IFERROR(__xludf.DUMMYFUNCTION("""COMPUTED_VALUE"""),0.434782608695652)</f>
        <v>0.434782608695652</v>
      </c>
      <c r="S490" s="25">
        <f ca="1">IFERROR(__xludf.DUMMYFUNCTION("""COMPUTED_VALUE"""),0)</f>
        <v>0</v>
      </c>
      <c r="T490" s="25">
        <f ca="1">IFERROR(__xludf.DUMMYFUNCTION("""COMPUTED_VALUE"""),0.666666666666666)</f>
        <v>0.66666666666666596</v>
      </c>
      <c r="U490" s="25">
        <f ca="1">IFERROR(__xludf.DUMMYFUNCTION("""COMPUTED_VALUE"""),0.125)</f>
        <v>0.125</v>
      </c>
      <c r="V490" s="25">
        <f ca="1">IFERROR(__xludf.DUMMYFUNCTION("""COMPUTED_VALUE"""),0)</f>
        <v>0</v>
      </c>
      <c r="W490" s="4"/>
      <c r="X490" s="4" t="str">
        <f ca="1">IFERROR(__xludf.DUMMYFUNCTION("""COMPUTED_VALUE"""),"| 1 P CPT @ | 3 L CPT @ | 4 L JAVA @ ")</f>
        <v xml:space="preserve">| 1 P CPT @ | 3 L CPT @ | 4 L JAVA @ </v>
      </c>
      <c r="Y490" s="4" t="str">
        <f ca="1">IFERROR(__xludf.DUMMYFUNCTION("""COMPUTED_VALUE"""),"| 1 P NS % | 3 L JAVA % | 4 L NS % | 5 P PRO @ ")</f>
        <v xml:space="preserve">| 1 P NS % | 3 L JAVA % | 4 L NS % | 5 P PRO @ </v>
      </c>
      <c r="Z490" s="4" t="str">
        <f ca="1">IFERROR(__xludf.DUMMYFUNCTION("""COMPUTED_VALUE"""),"| 1 P Python % | 3 L PHP-CGM % | 4 L NS % | 5 P PHP-CGM @ ")</f>
        <v xml:space="preserve">| 1 P Python % | 3 L PHP-CGM % | 4 L NS % | 5 P PHP-CGM @ </v>
      </c>
      <c r="AA490" s="4" t="str">
        <f ca="1">IFERROR(__xludf.DUMMYFUNCTION("""COMPUTED_VALUE"""),"| 1 P JAVA % | 3 L CPT % | 5 P Python @ ")</f>
        <v xml:space="preserve">| 1 P JAVA % | 3 L CPT % | 5 P Python @ </v>
      </c>
      <c r="AB490" s="4" t="str">
        <f ca="1">IFERROR(__xludf.DUMMYFUNCTION("""COMPUTED_VALUE"""),"| 1 P JAVA @ | 3 L PHP-CGM @ | 4 L JAVA @ | 5 L CPT % | 6 L NS % ")</f>
        <v xml:space="preserve">| 1 P JAVA @ | 3 L PHP-CGM @ | 4 L JAVA @ | 5 L CPT % | 6 L NS % </v>
      </c>
      <c r="AC490" s="4" t="str">
        <f ca="1">IFERROR(__xludf.DUMMYFUNCTION("""COMPUTED_VALUE"""),"| 1 P CPT % | 3 L CPT % | 4 L JAVA % ")</f>
        <v xml:space="preserve">| 1 P CPT % | 3 L CPT % | 4 L JAVA % </v>
      </c>
      <c r="AD490" s="4" t="str">
        <f ca="1">IFERROR(__xludf.DUMMYFUNCTION("""COMPUTED_VALUE"""),"| 1 P NS % | 3 L JAVA % | 4 L NS % | 5 P PRO % ")</f>
        <v xml:space="preserve">| 1 P NS % | 3 L JAVA % | 4 L NS % | 5 P PRO % </v>
      </c>
      <c r="AE490" s="4" t="str">
        <f ca="1">IFERROR(__xludf.DUMMYFUNCTION("""COMPUTED_VALUE"""),"| 1 P Python % | 3 L PHP-CGM % | 4 L NS % | 5 P PHP-CGM @ ")</f>
        <v xml:space="preserve">| 1 P Python % | 3 L PHP-CGM % | 4 L NS % | 5 P PHP-CGM @ </v>
      </c>
      <c r="AF490" s="4" t="str">
        <f ca="1">IFERROR(__xludf.DUMMYFUNCTION("""COMPUTED_VALUE"""),"| 1 P JAVA % | 3 L CPT % | 4 L PHP-CGM % | 5 P Python % ")</f>
        <v xml:space="preserve">| 1 P JAVA % | 3 L CPT % | 4 L PHP-CGM % | 5 P Python % </v>
      </c>
      <c r="AG490" s="4" t="str">
        <f ca="1">IFERROR(__xludf.DUMMYFUNCTION("""COMPUTED_VALUE"""),"| 1 P JAVA % | 3 L PHP-CGM % | 4 L JAVA % | 5 L CPT % | 6 L NS @ ")</f>
        <v xml:space="preserve">| 1 P JAVA % | 3 L PHP-CGM % | 4 L JAVA % | 5 L CPT % | 6 L NS @ </v>
      </c>
      <c r="AH490" s="4" t="str">
        <f ca="1">IFERROR(__xludf.DUMMYFUNCTION("""COMPUTED_VALUE"""),"| 1 P JAVA @ | 3 L CPT % | 4 L PHP-CGM % | 5 P Python @ ")</f>
        <v xml:space="preserve">| 1 P JAVA @ | 3 L CPT % | 4 L PHP-CGM % | 5 P Python @ </v>
      </c>
      <c r="AI490" s="4" t="str">
        <f ca="1">IFERROR(__xludf.DUMMYFUNCTION("""COMPUTED_VALUE"""),"| 1 P JAVA @ | 3 L PHP-CGM @ | 4 L JAVA @ | 5 L CPT % | 6 L NS % ")</f>
        <v xml:space="preserve">| 1 P JAVA @ | 3 L PHP-CGM @ | 4 L JAVA @ | 5 L CPT % | 6 L NS % </v>
      </c>
      <c r="AJ490" s="4" t="str">
        <f ca="1">IFERROR(__xludf.DUMMYFUNCTION("""COMPUTED_VALUE"""),"| 1 P CPT @ | 3 L CPT % | 4 L JAVA % ")</f>
        <v xml:space="preserve">| 1 P CPT @ | 3 L CPT % | 4 L JAVA % </v>
      </c>
      <c r="AK490" s="4" t="str">
        <f ca="1">IFERROR(__xludf.DUMMYFUNCTION("""COMPUTED_VALUE"""),"| 1 P NS % | 4 L NS % | 3 L JAVA % | 5 P PRO @ ")</f>
        <v xml:space="preserve">| 1 P NS % | 4 L NS % | 3 L JAVA % | 5 P PRO @ </v>
      </c>
      <c r="AL490" s="4" t="str">
        <f ca="1">IFERROR(__xludf.DUMMYFUNCTION("""COMPUTED_VALUE"""),"| 1 P Python @ | 3 L PHP-CGM % | 4 L NS % | 5 P PHP-CGM @ ")</f>
        <v xml:space="preserve">| 1 P Python @ | 3 L PHP-CGM % | 4 L NS % | 5 P PHP-CGM @ </v>
      </c>
      <c r="AM490" s="4" t="str">
        <f ca="1">IFERROR(__xludf.DUMMYFUNCTION("""COMPUTED_VALUE"""),"| 1 P JAVA @ | 3 L CPT % | 4 L PHP-CGM % | 5 P Python @ ")</f>
        <v xml:space="preserve">| 1 P JAVA @ | 3 L CPT % | 4 L PHP-CGM % | 5 P Python @ </v>
      </c>
      <c r="AN490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O490" s="4" t="str">
        <f ca="1">IFERROR(__xludf.DUMMYFUNCTION("""COMPUTED_VALUE"""),"| 1 P CPT % | 3 L CPT % | 4 L JAVA % | 5 L INE @ ")</f>
        <v xml:space="preserve">| 1 P CPT % | 3 L CPT % | 4 L JAVA % | 5 L INE @ </v>
      </c>
      <c r="AP490" s="4" t="str">
        <f ca="1">IFERROR(__xludf.DUMMYFUNCTION("""COMPUTED_VALUE"""),"| 1 P NS @ | 3 L JAVA @ | 4 L NS @ | 5 P PRO % ")</f>
        <v xml:space="preserve">| 1 P NS @ | 3 L JAVA @ | 4 L NS @ | 5 P PRO % </v>
      </c>
      <c r="AQ490" s="4" t="str">
        <f ca="1">IFERROR(__xludf.DUMMYFUNCTION("""COMPUTED_VALUE"""),"| 1 P Python % | 3 L PHP-CGM % | 4 L NS % | 5 P PHP-CGM % ")</f>
        <v xml:space="preserve">| 1 P Python % | 3 L PHP-CGM % | 4 L NS % | 5 P PHP-CGM % </v>
      </c>
      <c r="AR490" s="4" t="str">
        <f ca="1">IFERROR(__xludf.DUMMYFUNCTION("""COMPUTED_VALUE"""),"| 1 P JAVA @ | 3 L CPT % | 5 P Python @ ")</f>
        <v xml:space="preserve">| 1 P JAVA @ | 3 L CPT % | 5 P Python @ </v>
      </c>
      <c r="AS490" s="4" t="str">
        <f ca="1">IFERROR(__xludf.DUMMYFUNCTION("""COMPUTED_VALUE"""),"| 1 P CPT % | 3 L CPT % | 4 L JAVA % | 5 L INE @ ")</f>
        <v xml:space="preserve">| 1 P CPT % | 3 L CPT % | 4 L JAVA % | 5 L INE @ </v>
      </c>
      <c r="AT490" s="4" t="str">
        <f ca="1">IFERROR(__xludf.DUMMYFUNCTION("""COMPUTED_VALUE"""),"| 1 P NS % | 3 L JAVA % | 4 L NS % | 5 P PRO % ")</f>
        <v xml:space="preserve">| 1 P NS % | 3 L JAVA % | 4 L NS % | 5 P PRO % </v>
      </c>
      <c r="AU490" s="4" t="str">
        <f ca="1">IFERROR(__xludf.DUMMYFUNCTION("""COMPUTED_VALUE"""),"| 1 P Python @ | 3 L PHP-CGM @ | 4 L NS @ | 5 P PHP-CGM @ ")</f>
        <v xml:space="preserve">| 1 P Python @ | 3 L PHP-CGM @ | 4 L NS @ | 5 P PHP-CGM @ </v>
      </c>
      <c r="AV490" s="4" t="str">
        <f ca="1">IFERROR(__xludf.DUMMYFUNCTION("""COMPUTED_VALUE"""),"| 1 P JAVA % | 3 L CPT % | 4 L PHP-CGM % | 5 P Python % ")</f>
        <v xml:space="preserve">| 1 P JAVA % | 3 L CPT % | 4 L PHP-CGM % | 5 P Python % </v>
      </c>
      <c r="AW490" s="4" t="str">
        <f ca="1">IFERROR(__xludf.DUMMYFUNCTION("""COMPUTED_VALUE"""),"| 1 P JAVA @ | 3 L PHP-CGM @ | 4 L JAVA @ | 5 L NS @ | 5 L CPT @ ")</f>
        <v xml:space="preserve">| 1 P JAVA @ | 3 L PHP-CGM @ | 4 L JAVA @ | 5 L NS @ | 5 L CPT @ </v>
      </c>
      <c r="AX490" s="4" t="str">
        <f ca="1">IFERROR(__xludf.DUMMYFUNCTION("""COMPUTED_VALUE"""),"| 1 P CPT % | 3 L CPT % | 4 L JAVA % | 5 L INE @ ")</f>
        <v xml:space="preserve">| 1 P CPT % | 3 L CPT % | 4 L JAVA % | 5 L INE @ </v>
      </c>
      <c r="AY490" s="4" t="str">
        <f ca="1">IFERROR(__xludf.DUMMYFUNCTION("""COMPUTED_VALUE"""),"| 1 P NS @ | 3 L JAVA @ | 4 L NS @ | 5 P PRO % ")</f>
        <v xml:space="preserve">| 1 P NS @ | 3 L JAVA @ | 4 L NS @ | 5 P PRO % </v>
      </c>
      <c r="AZ490" s="4" t="str">
        <f ca="1">IFERROR(__xludf.DUMMYFUNCTION("""COMPUTED_VALUE"""),"| 1 P JAVA @ | 3 L CPT % | 4 L PHP-CGM % | 5 P Python % ")</f>
        <v xml:space="preserve">| 1 P JAVA @ | 3 L CPT % | 4 L PHP-CGM % | 5 P Python % </v>
      </c>
      <c r="BA490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B490" s="4" t="str">
        <f ca="1">IFERROR(__xludf.DUMMYFUNCTION("""COMPUTED_VALUE"""),"| 1 P CPT % | 3 L CPT % | 4 L JAVA % | 5 L INE % ")</f>
        <v xml:space="preserve">| 1 P CPT % | 3 L CPT % | 4 L JAVA % | 5 L INE % </v>
      </c>
      <c r="BC490" s="4" t="str">
        <f ca="1">IFERROR(__xludf.DUMMYFUNCTION("""COMPUTED_VALUE"""),"| 1 P NS @ | 3 L JAVA % | 4 L NS % | 5 P PRO % ")</f>
        <v xml:space="preserve">| 1 P NS @ | 3 L JAVA % | 4 L NS % | 5 P PRO % </v>
      </c>
      <c r="BD490" s="4" t="str">
        <f ca="1">IFERROR(__xludf.DUMMYFUNCTION("""COMPUTED_VALUE"""),"| 1 P Python % | 4 L NS %  | 3 L PHP-CGM % | 5 P PHP-CGM @ ")</f>
        <v xml:space="preserve">| 1 P Python % | 4 L NS %  | 3 L PHP-CGM % | 5 P PHP-CGM @ </v>
      </c>
      <c r="BE490" s="4" t="str">
        <f ca="1">IFERROR(__xludf.DUMMYFUNCTION("""COMPUTED_VALUE"""),"| 1 P JAVA @ | 3 L CPT % | 4 L PHP-CGM % | 5 P Python % ")</f>
        <v xml:space="preserve">| 1 P JAVA @ | 3 L CPT % | 4 L PHP-CGM % | 5 P Python % </v>
      </c>
      <c r="BF490" s="4" t="str">
        <f ca="1">IFERROR(__xludf.DUMMYFUNCTION("""COMPUTED_VALUE"""),"| 1 P JAVA @ | 3 L PHP-CGM % | 4 L JAVA % | 5 L NS @ | 6 L CPT @ ")</f>
        <v xml:space="preserve">| 1 P JAVA @ | 3 L PHP-CGM % | 4 L JAVA % | 5 L NS @ | 6 L CPT @ </v>
      </c>
      <c r="BG490" s="4" t="str">
        <f ca="1">IFERROR(__xludf.DUMMYFUNCTION("""COMPUTED_VALUE"""),"| 1 P NS @ | 3 L JAVA @ | 4 L NS @ | 5 P PRO % ")</f>
        <v xml:space="preserve">| 1 P NS @ | 3 L JAVA @ | 4 L NS @ | 5 P PRO % </v>
      </c>
      <c r="BH490" s="4" t="str">
        <f ca="1">IFERROR(__xludf.DUMMYFUNCTION("""COMPUTED_VALUE"""),"| 1 P Python @ | 3 L PHP-CGM % | 4 L NS % | 5 P PHP-CGM @ ")</f>
        <v xml:space="preserve">| 1 P Python @ | 3 L PHP-CGM % | 4 L NS % | 5 P PHP-CGM @ </v>
      </c>
      <c r="BI490" s="4" t="str">
        <f ca="1">IFERROR(__xludf.DUMMYFUNCTION("""COMPUTED_VALUE"""),"| 1 P JAVA @ | 3 L CPT % | 4 L PHP-CGM % | 5 P Python % ")</f>
        <v xml:space="preserve">| 1 P JAVA @ | 3 L CPT % | 4 L PHP-CGM % | 5 P Python % </v>
      </c>
      <c r="BJ490" s="4" t="str">
        <f ca="1">IFERROR(__xludf.DUMMYFUNCTION("""COMPUTED_VALUE"""),"| 1 P JAVA % | 3 L PHP-CGM % | 4 L JAVA % | 5 L NS % | 6 L CPT @ ")</f>
        <v xml:space="preserve">| 1 P JAVA % | 3 L PHP-CGM % | 4 L JAVA % | 5 L NS % | 6 L CPT @ </v>
      </c>
      <c r="BK490" s="4" t="str">
        <f ca="1">IFERROR(__xludf.DUMMYFUNCTION("""COMPUTED_VALUE"""),"| 1 P CPT @ | 3 L CPT @ | 4 L JAVA @ | 5 L INE @ ")</f>
        <v xml:space="preserve">| 1 P CPT @ | 3 L CPT @ | 4 L JAVA @ | 5 L INE @ </v>
      </c>
      <c r="BL490" s="4" t="str">
        <f ca="1">IFERROR(__xludf.DUMMYFUNCTION("""COMPUTED_VALUE"""),"| 1 P NS @ | 3 L JAVA % | 4 L NS % ")</f>
        <v xml:space="preserve">| 1 P NS @ | 3 L JAVA % | 4 L NS % </v>
      </c>
      <c r="BM490" s="4" t="str">
        <f ca="1">IFERROR(__xludf.DUMMYFUNCTION("""COMPUTED_VALUE"""),"| 1 P Python @ | 3 L PHP-CGM % | 4 L NS % | 5 P PHP-CGM @ ")</f>
        <v xml:space="preserve">| 1 P Python @ | 3 L PHP-CGM % | 4 L NS % | 5 P PHP-CGM @ </v>
      </c>
      <c r="BN490" s="4" t="str">
        <f ca="1">IFERROR(__xludf.DUMMYFUNCTION("""COMPUTED_VALUE"""),"| 1 P JAVA @ | 3 L CPT @ | 4 L PHP-CGM @ | 5 P Python @ ")</f>
        <v xml:space="preserve">| 1 P JAVA @ | 3 L CPT @ | 4 L PHP-CGM @ | 5 P Python @ </v>
      </c>
      <c r="BO490" s="4" t="str">
        <f ca="1">IFERROR(__xludf.DUMMYFUNCTION("""COMPUTED_VALUE"""),"| 1 P JAVA @ | 3 L PHP-CGM @ | 4 L JAVA @ | 5 L NS @ | 6 L CPT % ")</f>
        <v xml:space="preserve">| 1 P JAVA @ | 3 L PHP-CGM @ | 4 L JAVA @ | 5 L NS @ | 6 L CPT % </v>
      </c>
      <c r="BP490" s="4" t="str">
        <f ca="1">IFERROR(__xludf.DUMMYFUNCTION("""COMPUTED_VALUE"""),"| 1 P CPT @ | 3 L CPT @ | 4 L JAVA @ | 5 L INE @ ")</f>
        <v xml:space="preserve">| 1 P CPT @ | 3 L CPT @ | 4 L JAVA @ | 5 L INE @ </v>
      </c>
      <c r="BQ490" s="4" t="str">
        <f ca="1">IFERROR(__xludf.DUMMYFUNCTION("""COMPUTED_VALUE"""),"| 4 L NS @ ")</f>
        <v xml:space="preserve">| 4 L NS @ </v>
      </c>
      <c r="BR490" s="4"/>
      <c r="BS490" s="4"/>
      <c r="BT490" s="4" t="str">
        <f ca="1">IFERROR(__xludf.DUMMYFUNCTION("""COMPUTED_VALUE"""),"| 1 P CPT @ | 3 L CPT @ | 4 L JAVA @ ")</f>
        <v xml:space="preserve">| 1 P CPT @ | 3 L CPT @ | 4 L JAVA @ </v>
      </c>
      <c r="BU490" s="4" t="str">
        <f ca="1">IFERROR(__xludf.DUMMYFUNCTION("""COMPUTED_VALUE"""),"| 1 P NS @ | 4 L NS @ | 3 L JAVA @ ")</f>
        <v xml:space="preserve">| 1 P NS @ | 4 L NS @ | 3 L JAVA @ </v>
      </c>
      <c r="BV490" s="4" t="str">
        <f ca="1">IFERROR(__xludf.DUMMYFUNCTION("""COMPUTED_VALUE"""),"| 1 P CPT @ | 3 L CPT @ | 4 L JAVA @ ")</f>
        <v xml:space="preserve">| 1 P CPT @ | 3 L CPT @ | 4 L JAVA @ </v>
      </c>
      <c r="BW490" s="4" t="str">
        <f ca="1">IFERROR(__xludf.DUMMYFUNCTION("""COMPUTED_VALUE"""),"| 1 P NS @ | 3 L JAVA @ | 4 L NS @ ")</f>
        <v xml:space="preserve">| 1 P NS @ | 3 L JAVA @ | 4 L NS @ </v>
      </c>
      <c r="BX490" s="4" t="str">
        <f ca="1">IFERROR(__xludf.DUMMYFUNCTION("""COMPUTED_VALUE"""),"| 1 P Python @ | 3 L PHP-CGM @ | 4 L NS @ | 5 P PHP-CGM @ ")</f>
        <v xml:space="preserve">| 1 P Python @ | 3 L PHP-CGM @ | 4 L NS @ | 5 P PHP-CGM @ </v>
      </c>
      <c r="BY490" s="4" t="str">
        <f ca="1">IFERROR(__xludf.DUMMYFUNCTION("""COMPUTED_VALUE"""),"| 1 P JAVA @ | 3 L CPT @ | 4 L PHP-CGM @ | 5 P Python @ ")</f>
        <v xml:space="preserve">| 1 P JAVA @ | 3 L CPT @ | 4 L PHP-CGM @ | 5 P Python @ </v>
      </c>
      <c r="BZ490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A490" s="4" t="str">
        <f ca="1">IFERROR(__xludf.DUMMYFUNCTION("""COMPUTED_VALUE"""),"| 1 P CPT @ | 3 L CPT @ | 4 L JAVA @ | 5 L INE @ ")</f>
        <v xml:space="preserve">| 1 P CPT @ | 3 L CPT @ | 4 L JAVA @ | 5 L INE @ </v>
      </c>
      <c r="CB490" s="4" t="str">
        <f ca="1">IFERROR(__xludf.DUMMYFUNCTION("""COMPUTED_VALUE"""),"| 1 P NS @ | 3 L JAVA @ | 4 L NS @ | 5 P PRO @ ")</f>
        <v xml:space="preserve">| 1 P NS @ | 3 L JAVA @ | 4 L NS @ | 5 P PRO @ </v>
      </c>
      <c r="CC490" s="4" t="str">
        <f ca="1">IFERROR(__xludf.DUMMYFUNCTION("""COMPUTED_VALUE"""),"| 1 P Python @ | 3 L PHP-CGM @ | 4 L NS @ | 5 P PHP-CGM @ ")</f>
        <v xml:space="preserve">| 1 P Python @ | 3 L PHP-CGM @ | 4 L NS @ | 5 P PHP-CGM @ </v>
      </c>
      <c r="CD490" s="4" t="str">
        <f ca="1">IFERROR(__xludf.DUMMYFUNCTION("""COMPUTED_VALUE"""),"| 1 P JAVA @ | 3 L CPT @ | 4 L PHP-CGM @ | 5 P Python @ ")</f>
        <v xml:space="preserve">| 1 P JAVA @ | 3 L CPT @ | 4 L PHP-CGM @ | 5 P Python @ </v>
      </c>
      <c r="CE490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CF490" s="4" t="str">
        <f ca="1">IFERROR(__xludf.DUMMYFUNCTION("""COMPUTED_VALUE"""),"| 1 P CPT @ | 3 L CPT % | 4 L JAVA @ | 5 L INE @ ")</f>
        <v xml:space="preserve">| 1 P CPT @ | 3 L CPT % | 4 L JAVA @ | 5 L INE @ </v>
      </c>
      <c r="CG490" s="4" t="str">
        <f ca="1">IFERROR(__xludf.DUMMYFUNCTION("""COMPUTED_VALUE"""),"| 1 P NS @ | 4 L NS @ ")</f>
        <v xml:space="preserve">| 1 P NS @ | 4 L NS @ </v>
      </c>
      <c r="CH490" s="4" t="str">
        <f ca="1">IFERROR(__xludf.DUMMYFUNCTION("""COMPUTED_VALUE"""),"| 3 L PHP-CGM @ | 4 L NS @ | 1 P Python % ")</f>
        <v xml:space="preserve">| 3 L PHP-CGM @ | 4 L NS @ | 1 P Python % </v>
      </c>
      <c r="CI490" s="4" t="str">
        <f ca="1">IFERROR(__xludf.DUMMYFUNCTION("""COMPUTED_VALUE"""),"| 1 P JAVA @ ")</f>
        <v xml:space="preserve">| 1 P JAVA @ </v>
      </c>
      <c r="CJ490" s="4" t="str">
        <f ca="1">IFERROR(__xludf.DUMMYFUNCTION("""COMPUTED_VALUE"""),"| 1 P JAVA @ | 4 L JAVA % ")</f>
        <v xml:space="preserve">| 1 P JAVA @ | 4 L JAVA % </v>
      </c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</row>
    <row r="491" spans="1:102" ht="12.5" x14ac:dyDescent="0.25">
      <c r="A491" s="3">
        <f ca="1">IFERROR(__xludf.DUMMYFUNCTION("""COMPUTED_VALUE"""),1)</f>
        <v>1</v>
      </c>
      <c r="B491" s="3" t="str">
        <f ca="1">IFERROR(__xludf.DUMMYFUNCTION("""COMPUTED_VALUE"""),"ITC")</f>
        <v>ITC</v>
      </c>
      <c r="C491" s="32" t="str">
        <f ca="1">IFERROR(__xludf.DUMMYFUNCTION("""COMPUTED_VALUE"""),"23171371058")</f>
        <v>23171371058</v>
      </c>
      <c r="D491" s="4" t="str">
        <f ca="1">IFERROR(__xludf.DUMMYFUNCTION("""COMPUTED_VALUE"""),"PATEL ARYAN MANISHKUMAR")</f>
        <v>PATEL ARYAN MANISHKUMAR</v>
      </c>
      <c r="E491" s="3" t="str">
        <f ca="1">IFERROR(__xludf.DUMMYFUNCTION("""COMPUTED_VALUE"""),"SDP&amp;KKP - Mor")</f>
        <v>SDP&amp;KKP - Mor</v>
      </c>
      <c r="F491" s="3">
        <f ca="1">IFERROR(__xludf.DUMMYFUNCTION("""COMPUTED_VALUE"""),6352419800)</f>
        <v>6352419800</v>
      </c>
      <c r="G491" s="3">
        <f ca="1">IFERROR(__xludf.DUMMYFUNCTION("""COMPUTED_VALUE"""),9978466455)</f>
        <v>9978466455</v>
      </c>
      <c r="H491" s="33">
        <f ca="1">IFERROR(__xludf.DUMMYFUNCTION("""COMPUTED_VALUE"""),0.677685950413223)</f>
        <v>0.67768595041322299</v>
      </c>
      <c r="I491" s="25">
        <f ca="1">IFERROR(__xludf.DUMMYFUNCTION("""COMPUTED_VALUE"""),0.694444444444444)</f>
        <v>0.69444444444444398</v>
      </c>
      <c r="J491" s="25">
        <f ca="1">IFERROR(__xludf.DUMMYFUNCTION("""COMPUTED_VALUE"""),0.538461538461538)</f>
        <v>0.53846153846153799</v>
      </c>
      <c r="K491" s="25">
        <f ca="1">IFERROR(__xludf.DUMMYFUNCTION("""COMPUTED_VALUE"""),0.777777777777777)</f>
        <v>0.77777777777777701</v>
      </c>
      <c r="L491" s="25">
        <f ca="1">IFERROR(__xludf.DUMMYFUNCTION("""COMPUTED_VALUE"""),1)</f>
        <v>1</v>
      </c>
      <c r="M491" s="25">
        <f ca="1">IFERROR(__xludf.DUMMYFUNCTION("""COMPUTED_VALUE"""),0.6875)</f>
        <v>0.6875</v>
      </c>
      <c r="N491" s="25">
        <f ca="1">IFERROR(__xludf.DUMMYFUNCTION("""COMPUTED_VALUE"""),0.4)</f>
        <v>0.4</v>
      </c>
      <c r="O491" s="25">
        <f ca="1">IFERROR(__xludf.DUMMYFUNCTION("""COMPUTED_VALUE"""),0.675675675675675)</f>
        <v>0.67567567567567499</v>
      </c>
      <c r="P491" s="25">
        <f ca="1">IFERROR(__xludf.DUMMYFUNCTION("""COMPUTED_VALUE"""),0.68)</f>
        <v>0.68</v>
      </c>
      <c r="Q491" s="25">
        <f ca="1">IFERROR(__xludf.DUMMYFUNCTION("""COMPUTED_VALUE"""),0)</f>
        <v>0</v>
      </c>
      <c r="R491" s="25">
        <f ca="1">IFERROR(__xludf.DUMMYFUNCTION("""COMPUTED_VALUE"""),0.608695652173913)</f>
        <v>0.60869565217391297</v>
      </c>
      <c r="S491" s="25">
        <f ca="1">IFERROR(__xludf.DUMMYFUNCTION("""COMPUTED_VALUE"""),0)</f>
        <v>0</v>
      </c>
      <c r="T491" s="25">
        <f ca="1">IFERROR(__xludf.DUMMYFUNCTION("""COMPUTED_VALUE"""),0.444444444444444)</f>
        <v>0.44444444444444398</v>
      </c>
      <c r="U491" s="25">
        <f ca="1">IFERROR(__xludf.DUMMYFUNCTION("""COMPUTED_VALUE"""),0.625)</f>
        <v>0.625</v>
      </c>
      <c r="V491" s="25">
        <f ca="1">IFERROR(__xludf.DUMMYFUNCTION("""COMPUTED_VALUE"""),0)</f>
        <v>0</v>
      </c>
      <c r="W491" s="4"/>
      <c r="X491" s="4" t="str">
        <f ca="1">IFERROR(__xludf.DUMMYFUNCTION("""COMPUTED_VALUE"""),"| 1 P CPT @ | 3 L CPT @ | 4 L JAVA @ ")</f>
        <v xml:space="preserve">| 1 P CPT @ | 3 L CPT @ | 4 L JAVA @ </v>
      </c>
      <c r="Y491" s="4" t="str">
        <f ca="1">IFERROR(__xludf.DUMMYFUNCTION("""COMPUTED_VALUE"""),"| 1 P NS % | 3 L JAVA % | 4 L NS % | 5 P PRO @ ")</f>
        <v xml:space="preserve">| 1 P NS % | 3 L JAVA % | 4 L NS % | 5 P PRO @ </v>
      </c>
      <c r="Z491" s="4" t="str">
        <f ca="1">IFERROR(__xludf.DUMMYFUNCTION("""COMPUTED_VALUE"""),"| 1 P Python % | 3 L PHP-CGM % | 4 L NS % | 5 P PHP-CGM % ")</f>
        <v xml:space="preserve">| 1 P Python % | 3 L PHP-CGM % | 4 L NS % | 5 P PHP-CGM % </v>
      </c>
      <c r="AA491" s="4" t="str">
        <f ca="1">IFERROR(__xludf.DUMMYFUNCTION("""COMPUTED_VALUE"""),"| 1 P JAVA % | 3 L CPT % | 5 P Python % ")</f>
        <v xml:space="preserve">| 1 P JAVA % | 3 L CPT % | 5 P Python % </v>
      </c>
      <c r="AB491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91" s="4" t="str">
        <f ca="1">IFERROR(__xludf.DUMMYFUNCTION("""COMPUTED_VALUE"""),"| 1 P CPT % | 3 L CPT % | 4 L JAVA % ")</f>
        <v xml:space="preserve">| 1 P CPT % | 3 L CPT % | 4 L JAVA % </v>
      </c>
      <c r="AD491" s="4" t="str">
        <f ca="1">IFERROR(__xludf.DUMMYFUNCTION("""COMPUTED_VALUE"""),"| 1 P NS % | 3 L JAVA % | 4 L NS % | 5 P PRO % ")</f>
        <v xml:space="preserve">| 1 P NS % | 3 L JAVA % | 4 L NS % | 5 P PRO % </v>
      </c>
      <c r="AE491" s="4" t="str">
        <f ca="1">IFERROR(__xludf.DUMMYFUNCTION("""COMPUTED_VALUE"""),"| 1 P Python % | 3 L PHP-CGM % | 4 L NS % | 5 P PHP-CGM @ ")</f>
        <v xml:space="preserve">| 1 P Python % | 3 L PHP-CGM % | 4 L NS % | 5 P PHP-CGM @ </v>
      </c>
      <c r="AF491" s="4" t="str">
        <f ca="1">IFERROR(__xludf.DUMMYFUNCTION("""COMPUTED_VALUE"""),"| 1 P JAVA % | 3 L CPT % | 4 L PHP-CGM % | 5 P Python % ")</f>
        <v xml:space="preserve">| 1 P JAVA % | 3 L CPT % | 4 L PHP-CGM % | 5 P Python % </v>
      </c>
      <c r="AG491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91" s="4" t="str">
        <f ca="1">IFERROR(__xludf.DUMMYFUNCTION("""COMPUTED_VALUE"""),"| 1 P JAVA @ | 3 L CPT % | 4 L PHP-CGM @ | 5 P Python @ ")</f>
        <v xml:space="preserve">| 1 P JAVA @ | 3 L CPT % | 4 L PHP-CGM @ | 5 P Python @ </v>
      </c>
      <c r="AI491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91" s="4" t="str">
        <f ca="1">IFERROR(__xludf.DUMMYFUNCTION("""COMPUTED_VALUE"""),"| 1 P CPT % | 3 L CPT % | 4 L JAVA % ")</f>
        <v xml:space="preserve">| 1 P CPT % | 3 L CPT % | 4 L JAVA % </v>
      </c>
      <c r="AK491" s="4" t="str">
        <f ca="1">IFERROR(__xludf.DUMMYFUNCTION("""COMPUTED_VALUE"""),"| 1 P NS % | 4 L NS % | 3 L JAVA % | 5 P PRO % ")</f>
        <v xml:space="preserve">| 1 P NS % | 4 L NS % | 3 L JAVA % | 5 P PRO % </v>
      </c>
      <c r="AL491" s="4" t="str">
        <f ca="1">IFERROR(__xludf.DUMMYFUNCTION("""COMPUTED_VALUE"""),"| 1 P Python % | 3 L PHP-CGM % | 4 L NS % | 5 P PHP-CGM % ")</f>
        <v xml:space="preserve">| 1 P Python % | 3 L PHP-CGM % | 4 L NS % | 5 P PHP-CGM % </v>
      </c>
      <c r="AM491" s="4" t="str">
        <f ca="1">IFERROR(__xludf.DUMMYFUNCTION("""COMPUTED_VALUE"""),"| 1 P JAVA % | 3 L CPT % | 4 L PHP-CGM % | 5 P Python @ ")</f>
        <v xml:space="preserve">| 1 P JAVA % | 3 L CPT % | 4 L PHP-CGM % | 5 P Python @ </v>
      </c>
      <c r="AN491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91" s="4" t="str">
        <f ca="1">IFERROR(__xludf.DUMMYFUNCTION("""COMPUTED_VALUE"""),"| 1 P CPT % | 3 L CPT % | 4 L JAVA % | 5 L INE @ ")</f>
        <v xml:space="preserve">| 1 P CPT % | 3 L CPT % | 4 L JAVA % | 5 L INE @ </v>
      </c>
      <c r="AP491" s="4" t="str">
        <f ca="1">IFERROR(__xludf.DUMMYFUNCTION("""COMPUTED_VALUE"""),"| 1 P NS % | 3 L JAVA % | 4 L NS % | 5 P PRO @ ")</f>
        <v xml:space="preserve">| 1 P NS % | 3 L JAVA % | 4 L NS % | 5 P PRO @ </v>
      </c>
      <c r="AQ491" s="4" t="str">
        <f ca="1">IFERROR(__xludf.DUMMYFUNCTION("""COMPUTED_VALUE"""),"| 1 P Python % | 3 L PHP-CGM % | 4 L NS % | 5 P PHP-CGM % ")</f>
        <v xml:space="preserve">| 1 P Python % | 3 L PHP-CGM % | 4 L NS % | 5 P PHP-CGM % </v>
      </c>
      <c r="AR491" s="4" t="str">
        <f ca="1">IFERROR(__xludf.DUMMYFUNCTION("""COMPUTED_VALUE"""),"| 1 P JAVA % | 3 L CPT % | 5 P Python @ ")</f>
        <v xml:space="preserve">| 1 P JAVA % | 3 L CPT % | 5 P Python @ </v>
      </c>
      <c r="AS491" s="4" t="str">
        <f ca="1">IFERROR(__xludf.DUMMYFUNCTION("""COMPUTED_VALUE"""),"| 1 P CPT @ | 3 L CPT @ | 4 L JAVA @ | 5 L INE % ")</f>
        <v xml:space="preserve">| 1 P CPT @ | 3 L CPT @ | 4 L JAVA @ | 5 L INE % </v>
      </c>
      <c r="AT491" s="4" t="str">
        <f ca="1">IFERROR(__xludf.DUMMYFUNCTION("""COMPUTED_VALUE"""),"| 1 P NS % | 3 L JAVA % | 4 L NS % | 5 P PRO % ")</f>
        <v xml:space="preserve">| 1 P NS % | 3 L JAVA % | 4 L NS % | 5 P PRO % </v>
      </c>
      <c r="AU491" s="4" t="str">
        <f ca="1">IFERROR(__xludf.DUMMYFUNCTION("""COMPUTED_VALUE"""),"| 1 P Python % | 3 L PHP-CGM % | 4 L NS % | 5 P PHP-CGM @ ")</f>
        <v xml:space="preserve">| 1 P Python % | 3 L PHP-CGM % | 4 L NS % | 5 P PHP-CGM @ </v>
      </c>
      <c r="AV491" s="4" t="str">
        <f ca="1">IFERROR(__xludf.DUMMYFUNCTION("""COMPUTED_VALUE"""),"| 1 P JAVA % | 3 L CPT % | 4 L PHP-CGM % | 5 P Python @ ")</f>
        <v xml:space="preserve">| 1 P JAVA % | 3 L CPT % | 4 L PHP-CGM % | 5 P Python @ </v>
      </c>
      <c r="AW491" s="4" t="str">
        <f ca="1">IFERROR(__xludf.DUMMYFUNCTION("""COMPUTED_VALUE"""),"| 1 P JAVA % | 3 L PHP-CGM % | 4 L JAVA % | 5 L NS % | 5 L CPT % ")</f>
        <v xml:space="preserve">| 1 P JAVA % | 3 L PHP-CGM % | 4 L JAVA % | 5 L NS % | 5 L CPT % </v>
      </c>
      <c r="AX491" s="4" t="str">
        <f ca="1">IFERROR(__xludf.DUMMYFUNCTION("""COMPUTED_VALUE"""),"| 1 P CPT % | 3 L CPT % | 4 L JAVA % | 5 L INE % ")</f>
        <v xml:space="preserve">| 1 P CPT % | 3 L CPT % | 4 L JAVA % | 5 L INE % </v>
      </c>
      <c r="AY491" s="4" t="str">
        <f ca="1">IFERROR(__xludf.DUMMYFUNCTION("""COMPUTED_VALUE"""),"| 1 P NS % | 3 L JAVA % | 4 L NS % | 5 P PRO @ ")</f>
        <v xml:space="preserve">| 1 P NS % | 3 L JAVA % | 4 L NS % | 5 P PRO @ </v>
      </c>
      <c r="AZ491" s="4" t="str">
        <f ca="1">IFERROR(__xludf.DUMMYFUNCTION("""COMPUTED_VALUE"""),"| 1 P JAVA % | 3 L CPT % | 4 L PHP-CGM % | 5 P Python @ ")</f>
        <v xml:space="preserve">| 1 P JAVA % | 3 L CPT % | 4 L PHP-CGM % | 5 P Python @ </v>
      </c>
      <c r="BA491" s="4" t="str">
        <f ca="1">IFERROR(__xludf.DUMMYFUNCTION("""COMPUTED_VALUE"""),"| 1 P JAVA % | 3 L PHP-CGM % | 4 L JAVA % | 5 L NS % | 6 L CPT % ")</f>
        <v xml:space="preserve">| 1 P JAVA % | 3 L PHP-CGM % | 4 L JAVA % | 5 L NS % | 6 L CPT % </v>
      </c>
      <c r="BB491" s="4" t="str">
        <f ca="1">IFERROR(__xludf.DUMMYFUNCTION("""COMPUTED_VALUE"""),"| 1 P CPT % | 3 L CPT % | 4 L JAVA % | 5 L INE % ")</f>
        <v xml:space="preserve">| 1 P CPT % | 3 L CPT % | 4 L JAVA % | 5 L INE % </v>
      </c>
      <c r="BC491" s="4" t="str">
        <f ca="1">IFERROR(__xludf.DUMMYFUNCTION("""COMPUTED_VALUE"""),"| 1 P NS % | 3 L JAVA % | 4 L NS % | 5 P PRO @ ")</f>
        <v xml:space="preserve">| 1 P NS % | 3 L JAVA % | 4 L NS % | 5 P PRO @ </v>
      </c>
      <c r="BD491" s="4" t="str">
        <f ca="1">IFERROR(__xludf.DUMMYFUNCTION("""COMPUTED_VALUE"""),"| 1 P Python % | 4 L NS %  | 3 L PHP-CGM % | 5 P PHP-CGM @ ")</f>
        <v xml:space="preserve">| 1 P Python % | 4 L NS %  | 3 L PHP-CGM % | 5 P PHP-CGM @ </v>
      </c>
      <c r="BE491" s="4" t="str">
        <f ca="1">IFERROR(__xludf.DUMMYFUNCTION("""COMPUTED_VALUE"""),"| 1 P JAVA % | 3 L CPT % | 4 L PHP-CGM % | 5 P Python @ ")</f>
        <v xml:space="preserve">| 1 P JAVA % | 3 L CPT % | 4 L PHP-CGM % | 5 P Python @ </v>
      </c>
      <c r="BF491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91" s="4" t="str">
        <f ca="1">IFERROR(__xludf.DUMMYFUNCTION("""COMPUTED_VALUE"""),"| 1 P NS % | 3 L JAVA % | 4 L NS % | 5 P PRO % ")</f>
        <v xml:space="preserve">| 1 P NS % | 3 L JAVA % | 4 L NS % | 5 P PRO % </v>
      </c>
      <c r="BH491" s="4" t="str">
        <f ca="1">IFERROR(__xludf.DUMMYFUNCTION("""COMPUTED_VALUE"""),"| 1 P Python % | 3 L PHP-CGM % | 4 L NS % | 5 P PHP-CGM % ")</f>
        <v xml:space="preserve">| 1 P Python % | 3 L PHP-CGM % | 4 L NS % | 5 P PHP-CGM % </v>
      </c>
      <c r="BI491" s="4" t="str">
        <f ca="1">IFERROR(__xludf.DUMMYFUNCTION("""COMPUTED_VALUE"""),"| 1 P JAVA % | 3 L CPT % | 4 L PHP-CGM % | 5 P Python @ ")</f>
        <v xml:space="preserve">| 1 P JAVA % | 3 L CPT % | 4 L PHP-CGM % | 5 P Python @ </v>
      </c>
      <c r="BJ491" s="4" t="str">
        <f ca="1">IFERROR(__xludf.DUMMYFUNCTION("""COMPUTED_VALUE"""),"| 1 P JAVA % | 3 L PHP-CGM @ | 4 L JAVA @ | 5 L NS % | 6 L CPT % ")</f>
        <v xml:space="preserve">| 1 P JAVA % | 3 L PHP-CGM @ | 4 L JAVA @ | 5 L NS % | 6 L CPT % </v>
      </c>
      <c r="BK491" s="4" t="str">
        <f ca="1">IFERROR(__xludf.DUMMYFUNCTION("""COMPUTED_VALUE"""),"| 1 P CPT @ | 3 L CPT @ | 4 L JAVA @ | 5 L INE @ ")</f>
        <v xml:space="preserve">| 1 P CPT @ | 3 L CPT @ | 4 L JAVA @ | 5 L INE @ </v>
      </c>
      <c r="BL491" s="4" t="str">
        <f ca="1">IFERROR(__xludf.DUMMYFUNCTION("""COMPUTED_VALUE"""),"| 1 P NS % | 3 L JAVA % | 4 L NS @ ")</f>
        <v xml:space="preserve">| 1 P NS % | 3 L JAVA % | 4 L NS @ </v>
      </c>
      <c r="BM491" s="4" t="str">
        <f ca="1">IFERROR(__xludf.DUMMYFUNCTION("""COMPUTED_VALUE"""),"| 1 P Python % | 3 L PHP-CGM % | 4 L NS % | 5 P PHP-CGM @ ")</f>
        <v xml:space="preserve">| 1 P Python % | 3 L PHP-CGM % | 4 L NS % | 5 P PHP-CGM @ </v>
      </c>
      <c r="BN491" s="4" t="str">
        <f ca="1">IFERROR(__xludf.DUMMYFUNCTION("""COMPUTED_VALUE"""),"| 1 P JAVA @ | 3 L CPT @ | 4 L PHP-CGM @ | 5 P Python @ ")</f>
        <v xml:space="preserve">| 1 P JAVA @ | 3 L CPT @ | 4 L PHP-CGM @ | 5 P Python @ </v>
      </c>
      <c r="BO491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91" s="4" t="str">
        <f ca="1">IFERROR(__xludf.DUMMYFUNCTION("""COMPUTED_VALUE"""),"| 1 P CPT @ | 3 L CPT @ | 4 L JAVA @ | 5 L INE @ ")</f>
        <v xml:space="preserve">| 1 P CPT @ | 3 L CPT @ | 4 L JAVA @ | 5 L INE @ </v>
      </c>
      <c r="BQ491" s="4" t="str">
        <f ca="1">IFERROR(__xludf.DUMMYFUNCTION("""COMPUTED_VALUE"""),"| 4 L NS @ ")</f>
        <v xml:space="preserve">| 4 L NS @ </v>
      </c>
      <c r="BR491" s="4"/>
      <c r="BS491" s="4"/>
      <c r="BT491" s="4" t="str">
        <f ca="1">IFERROR(__xludf.DUMMYFUNCTION("""COMPUTED_VALUE"""),"| 1 P CPT % | 3 L CPT % | 4 L JAVA % ")</f>
        <v xml:space="preserve">| 1 P CPT % | 3 L CPT % | 4 L JAVA % </v>
      </c>
      <c r="BU491" s="4" t="str">
        <f ca="1">IFERROR(__xludf.DUMMYFUNCTION("""COMPUTED_VALUE"""),"| 1 P NS % | 4 L NS @ | 3 L JAVA @ ")</f>
        <v xml:space="preserve">| 1 P NS % | 4 L NS @ | 3 L JAVA @ </v>
      </c>
      <c r="BV491" s="4" t="str">
        <f ca="1">IFERROR(__xludf.DUMMYFUNCTION("""COMPUTED_VALUE"""),"| 1 P CPT @ | 3 L CPT % | 4 L JAVA % ")</f>
        <v xml:space="preserve">| 1 P CPT @ | 3 L CPT % | 4 L JAVA % </v>
      </c>
      <c r="BW491" s="4" t="str">
        <f ca="1">IFERROR(__xludf.DUMMYFUNCTION("""COMPUTED_VALUE"""),"| 1 P NS % | 3 L JAVA % | 4 L NS % ")</f>
        <v xml:space="preserve">| 1 P NS % | 3 L JAVA % | 4 L NS % </v>
      </c>
      <c r="BX491" s="4" t="str">
        <f ca="1">IFERROR(__xludf.DUMMYFUNCTION("""COMPUTED_VALUE"""),"| 1 P Python % | 3 L PHP-CGM % | 4 L NS % | 5 P PHP-CGM @ ")</f>
        <v xml:space="preserve">| 1 P Python % | 3 L PHP-CGM % | 4 L NS % | 5 P PHP-CGM @ </v>
      </c>
      <c r="BY491" s="4" t="str">
        <f ca="1">IFERROR(__xludf.DUMMYFUNCTION("""COMPUTED_VALUE"""),"| 1 P JAVA @ | 3 L CPT @ | 4 L PHP-CGM @ | 5 P Python % ")</f>
        <v xml:space="preserve">| 1 P JAVA @ | 3 L CPT @ | 4 L PHP-CGM @ | 5 P Python % </v>
      </c>
      <c r="BZ491" s="4" t="str">
        <f ca="1">IFERROR(__xludf.DUMMYFUNCTION("""COMPUTED_VALUE"""),"| 1 P JAVA % | 3 L PHP-CGM % | 4 L JAVA % | 5 L NS @ | 6 L CPT @ ")</f>
        <v xml:space="preserve">| 1 P JAVA % | 3 L PHP-CGM % | 4 L JAVA % | 5 L NS @ | 6 L CPT @ </v>
      </c>
      <c r="CA491" s="4" t="str">
        <f ca="1">IFERROR(__xludf.DUMMYFUNCTION("""COMPUTED_VALUE"""),"| 1 P CPT @ | 3 L CPT @ | 4 L JAVA @ | 5 L INE % ")</f>
        <v xml:space="preserve">| 1 P CPT @ | 3 L CPT @ | 4 L JAVA @ | 5 L INE % </v>
      </c>
      <c r="CB491" s="4" t="str">
        <f ca="1">IFERROR(__xludf.DUMMYFUNCTION("""COMPUTED_VALUE"""),"| 1 P NS % | 3 L JAVA % | 4 L NS % | 5 P PRO @ ")</f>
        <v xml:space="preserve">| 1 P NS % | 3 L JAVA % | 4 L NS % | 5 P PRO @ </v>
      </c>
      <c r="CC491" s="4" t="str">
        <f ca="1">IFERROR(__xludf.DUMMYFUNCTION("""COMPUTED_VALUE"""),"| 1 P Python % | 3 L PHP-CGM % | 4 L NS % | 5 P PHP-CGM @ ")</f>
        <v xml:space="preserve">| 1 P Python % | 3 L PHP-CGM % | 4 L NS % | 5 P PHP-CGM @ </v>
      </c>
      <c r="CD491" s="4" t="str">
        <f ca="1">IFERROR(__xludf.DUMMYFUNCTION("""COMPUTED_VALUE"""),"| 1 P JAVA % | 3 L CPT % | 4 L PHP-CGM @ | 5 P Python @ ")</f>
        <v xml:space="preserve">| 1 P JAVA % | 3 L CPT % | 4 L PHP-CGM @ | 5 P Python @ </v>
      </c>
      <c r="CE491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CF491" s="4" t="str">
        <f ca="1">IFERROR(__xludf.DUMMYFUNCTION("""COMPUTED_VALUE"""),"| 1 P CPT % | 3 L CPT % | 4 L JAVA % | 5 L INE % ")</f>
        <v xml:space="preserve">| 1 P CPT % | 3 L CPT % | 4 L JAVA % | 5 L INE % </v>
      </c>
      <c r="CG491" s="4" t="str">
        <f ca="1">IFERROR(__xludf.DUMMYFUNCTION("""COMPUTED_VALUE"""),"| 1 P NS % | 4 L NS @ ")</f>
        <v xml:space="preserve">| 1 P NS % | 4 L NS @ </v>
      </c>
      <c r="CH491" s="4" t="str">
        <f ca="1">IFERROR(__xludf.DUMMYFUNCTION("""COMPUTED_VALUE"""),"| 3 L PHP-CGM % | 4 L NS % | 1 P Python % ")</f>
        <v xml:space="preserve">| 3 L PHP-CGM % | 4 L NS % | 1 P Python % </v>
      </c>
      <c r="CI491" s="4" t="str">
        <f ca="1">IFERROR(__xludf.DUMMYFUNCTION("""COMPUTED_VALUE"""),"| 1 P JAVA % ")</f>
        <v xml:space="preserve">| 1 P JAVA % </v>
      </c>
      <c r="CJ491" s="4" t="str">
        <f ca="1">IFERROR(__xludf.DUMMYFUNCTION("""COMPUTED_VALUE"""),"| 1 P JAVA % | 4 L JAVA % ")</f>
        <v xml:space="preserve">| 1 P JAVA % | 4 L JAVA % </v>
      </c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</row>
    <row r="492" spans="1:102" ht="12.5" x14ac:dyDescent="0.25">
      <c r="A492" s="3">
        <f ca="1">IFERROR(__xludf.DUMMYFUNCTION("""COMPUTED_VALUE"""),1)</f>
        <v>1</v>
      </c>
      <c r="B492" s="3" t="str">
        <f ca="1">IFERROR(__xludf.DUMMYFUNCTION("""COMPUTED_VALUE"""),"ITC")</f>
        <v>ITC</v>
      </c>
      <c r="C492" s="32" t="str">
        <f ca="1">IFERROR(__xludf.DUMMYFUNCTION("""COMPUTED_VALUE"""),"23171371063")</f>
        <v>23171371063</v>
      </c>
      <c r="D492" s="4" t="str">
        <f ca="1">IFERROR(__xludf.DUMMYFUNCTION("""COMPUTED_VALUE"""),"PATEL DARSHAN VIKRAMKUMAR")</f>
        <v>PATEL DARSHAN VIKRAMKUMAR</v>
      </c>
      <c r="E492" s="3" t="str">
        <f ca="1">IFERROR(__xludf.DUMMYFUNCTION("""COMPUTED_VALUE"""),"SDP&amp;KKP - Mor")</f>
        <v>SDP&amp;KKP - Mor</v>
      </c>
      <c r="F492" s="3">
        <f ca="1">IFERROR(__xludf.DUMMYFUNCTION("""COMPUTED_VALUE"""),9824187293)</f>
        <v>9824187293</v>
      </c>
      <c r="G492" s="3">
        <f ca="1">IFERROR(__xludf.DUMMYFUNCTION("""COMPUTED_VALUE"""),9824160293)</f>
        <v>9824160293</v>
      </c>
      <c r="H492" s="33">
        <f ca="1">IFERROR(__xludf.DUMMYFUNCTION("""COMPUTED_VALUE"""),0.40495867768595)</f>
        <v>0.40495867768595001</v>
      </c>
      <c r="I492" s="25">
        <f ca="1">IFERROR(__xludf.DUMMYFUNCTION("""COMPUTED_VALUE"""),0.416666666666666)</f>
        <v>0.41666666666666602</v>
      </c>
      <c r="J492" s="25">
        <f ca="1">IFERROR(__xludf.DUMMYFUNCTION("""COMPUTED_VALUE"""),0.384615384615384)</f>
        <v>0.38461538461538403</v>
      </c>
      <c r="K492" s="25">
        <f ca="1">IFERROR(__xludf.DUMMYFUNCTION("""COMPUTED_VALUE"""),0.444444444444444)</f>
        <v>0.44444444444444398</v>
      </c>
      <c r="L492" s="25">
        <f ca="1">IFERROR(__xludf.DUMMYFUNCTION("""COMPUTED_VALUE"""),0.538461538461538)</f>
        <v>0.53846153846153799</v>
      </c>
      <c r="M492" s="25">
        <f ca="1">IFERROR(__xludf.DUMMYFUNCTION("""COMPUTED_VALUE"""),0.40625)</f>
        <v>0.40625</v>
      </c>
      <c r="N492" s="25">
        <f ca="1">IFERROR(__xludf.DUMMYFUNCTION("""COMPUTED_VALUE"""),0.2)</f>
        <v>0.2</v>
      </c>
      <c r="O492" s="25">
        <f ca="1">IFERROR(__xludf.DUMMYFUNCTION("""COMPUTED_VALUE"""),0.432432432432432)</f>
        <v>0.43243243243243201</v>
      </c>
      <c r="P492" s="25">
        <f ca="1">IFERROR(__xludf.DUMMYFUNCTION("""COMPUTED_VALUE"""),0.36)</f>
        <v>0.36</v>
      </c>
      <c r="Q492" s="25">
        <f ca="1">IFERROR(__xludf.DUMMYFUNCTION("""COMPUTED_VALUE"""),0)</f>
        <v>0</v>
      </c>
      <c r="R492" s="25">
        <f ca="1">IFERROR(__xludf.DUMMYFUNCTION("""COMPUTED_VALUE"""),0.434782608695652)</f>
        <v>0.434782608695652</v>
      </c>
      <c r="S492" s="25">
        <f ca="1">IFERROR(__xludf.DUMMYFUNCTION("""COMPUTED_VALUE"""),0)</f>
        <v>0</v>
      </c>
      <c r="T492" s="25">
        <f ca="1">IFERROR(__xludf.DUMMYFUNCTION("""COMPUTED_VALUE"""),0.333333333333333)</f>
        <v>0.33333333333333298</v>
      </c>
      <c r="U492" s="25">
        <f ca="1">IFERROR(__xludf.DUMMYFUNCTION("""COMPUTED_VALUE"""),0.25)</f>
        <v>0.25</v>
      </c>
      <c r="V492" s="25">
        <f ca="1">IFERROR(__xludf.DUMMYFUNCTION("""COMPUTED_VALUE"""),0)</f>
        <v>0</v>
      </c>
      <c r="W492" s="4"/>
      <c r="X492" s="4" t="str">
        <f ca="1">IFERROR(__xludf.DUMMYFUNCTION("""COMPUTED_VALUE"""),"| 1 P CPT @ | 3 L CPT @ | 4 L JAVA @ ")</f>
        <v xml:space="preserve">| 1 P CPT @ | 3 L CPT @ | 4 L JAVA @ </v>
      </c>
      <c r="Y492" s="4" t="str">
        <f ca="1">IFERROR(__xludf.DUMMYFUNCTION("""COMPUTED_VALUE"""),"| 1 P NS % | 3 L JAVA % | 4 L NS % | 5 P PRO @ ")</f>
        <v xml:space="preserve">| 1 P NS % | 3 L JAVA % | 4 L NS % | 5 P PRO @ </v>
      </c>
      <c r="Z492" s="4" t="str">
        <f ca="1">IFERROR(__xludf.DUMMYFUNCTION("""COMPUTED_VALUE"""),"| 1 P Python % | 3 L PHP-CGM % | 4 L NS % | 5 P PHP-CGM % ")</f>
        <v xml:space="preserve">| 1 P Python % | 3 L PHP-CGM % | 4 L NS % | 5 P PHP-CGM % </v>
      </c>
      <c r="AA492" s="4" t="str">
        <f ca="1">IFERROR(__xludf.DUMMYFUNCTION("""COMPUTED_VALUE"""),"| 1 P JAVA % | 3 L CPT % | 5 P Python % ")</f>
        <v xml:space="preserve">| 1 P JAVA % | 3 L CPT % | 5 P Python % </v>
      </c>
      <c r="AB492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92" s="4" t="str">
        <f ca="1">IFERROR(__xludf.DUMMYFUNCTION("""COMPUTED_VALUE"""),"| 1 P CPT % | 3 L CPT % | 4 L JAVA % ")</f>
        <v xml:space="preserve">| 1 P CPT % | 3 L CPT % | 4 L JAVA % </v>
      </c>
      <c r="AD492" s="4" t="str">
        <f ca="1">IFERROR(__xludf.DUMMYFUNCTION("""COMPUTED_VALUE"""),"| 1 P NS % | 3 L JAVA % | 4 L NS % | 5 P PRO % ")</f>
        <v xml:space="preserve">| 1 P NS % | 3 L JAVA % | 4 L NS % | 5 P PRO % </v>
      </c>
      <c r="AE492" s="4" t="str">
        <f ca="1">IFERROR(__xludf.DUMMYFUNCTION("""COMPUTED_VALUE"""),"| 1 P Python % | 3 L PHP-CGM % | 4 L NS % | 5 P PHP-CGM @ ")</f>
        <v xml:space="preserve">| 1 P Python % | 3 L PHP-CGM % | 4 L NS % | 5 P PHP-CGM @ </v>
      </c>
      <c r="AF492" s="4" t="str">
        <f ca="1">IFERROR(__xludf.DUMMYFUNCTION("""COMPUTED_VALUE"""),"| 1 P JAVA % | 3 L CPT % | 4 L PHP-CGM % | 5 P Python % ")</f>
        <v xml:space="preserve">| 1 P JAVA % | 3 L CPT % | 4 L PHP-CGM % | 5 P Python % </v>
      </c>
      <c r="AG492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H492" s="4" t="str">
        <f ca="1">IFERROR(__xludf.DUMMYFUNCTION("""COMPUTED_VALUE"""),"| 1 P JAVA @ | 3 L CPT % | 4 L PHP-CGM @ | 5 P Python @ ")</f>
        <v xml:space="preserve">| 1 P JAVA @ | 3 L CPT % | 4 L PHP-CGM @ | 5 P Python @ </v>
      </c>
      <c r="AI492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J492" s="4" t="str">
        <f ca="1">IFERROR(__xludf.DUMMYFUNCTION("""COMPUTED_VALUE"""),"| 1 P CPT % | 3 L CPT % | 4 L JAVA % ")</f>
        <v xml:space="preserve">| 1 P CPT % | 3 L CPT % | 4 L JAVA % </v>
      </c>
      <c r="AK492" s="4" t="str">
        <f ca="1">IFERROR(__xludf.DUMMYFUNCTION("""COMPUTED_VALUE"""),"| 1 P NS % | 4 L NS % | 3 L JAVA % | 5 P PRO % ")</f>
        <v xml:space="preserve">| 1 P NS % | 4 L NS % | 3 L JAVA % | 5 P PRO % </v>
      </c>
      <c r="AL492" s="4" t="str">
        <f ca="1">IFERROR(__xludf.DUMMYFUNCTION("""COMPUTED_VALUE"""),"| 1 P Python % | 3 L PHP-CGM % | 4 L NS % | 5 P PHP-CGM @ ")</f>
        <v xml:space="preserve">| 1 P Python % | 3 L PHP-CGM % | 4 L NS % | 5 P PHP-CGM @ </v>
      </c>
      <c r="AM492" s="4" t="str">
        <f ca="1">IFERROR(__xludf.DUMMYFUNCTION("""COMPUTED_VALUE"""),"| 1 P JAVA % | 3 L CPT % | 4 L PHP-CGM % | 5 P Python @ ")</f>
        <v xml:space="preserve">| 1 P JAVA % | 3 L CPT % | 4 L PHP-CGM % | 5 P Python @ </v>
      </c>
      <c r="AN492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O492" s="4" t="str">
        <f ca="1">IFERROR(__xludf.DUMMYFUNCTION("""COMPUTED_VALUE"""),"| 1 P CPT % | 3 L CPT % | 4 L JAVA % | 5 L INE @ ")</f>
        <v xml:space="preserve">| 1 P CPT % | 3 L CPT % | 4 L JAVA % | 5 L INE @ </v>
      </c>
      <c r="AP492" s="4" t="str">
        <f ca="1">IFERROR(__xludf.DUMMYFUNCTION("""COMPUTED_VALUE"""),"| 1 P NS @ | 3 L JAVA @ | 4 L NS @ | 5 P PRO @ ")</f>
        <v xml:space="preserve">| 1 P NS @ | 3 L JAVA @ | 4 L NS @ | 5 P PRO @ </v>
      </c>
      <c r="AQ492" s="4" t="str">
        <f ca="1">IFERROR(__xludf.DUMMYFUNCTION("""COMPUTED_VALUE"""),"| 1 P Python @ | 3 L PHP-CGM @ | 4 L NS @ | 5 P PHP-CGM @ ")</f>
        <v xml:space="preserve">| 1 P Python @ | 3 L PHP-CGM @ | 4 L NS @ | 5 P PHP-CGM @ </v>
      </c>
      <c r="AR492" s="4" t="str">
        <f ca="1">IFERROR(__xludf.DUMMYFUNCTION("""COMPUTED_VALUE"""),"| 1 P JAVA @ | 3 L CPT @ | 5 P Python @ ")</f>
        <v xml:space="preserve">| 1 P JAVA @ | 3 L CPT @ | 5 P Python @ </v>
      </c>
      <c r="AS492" s="4" t="str">
        <f ca="1">IFERROR(__xludf.DUMMYFUNCTION("""COMPUTED_VALUE"""),"| 1 P CPT @ | 3 L CPT @ | 4 L JAVA @ | 5 L INE @ ")</f>
        <v xml:space="preserve">| 1 P CPT @ | 3 L CPT @ | 4 L JAVA @ | 5 L INE @ </v>
      </c>
      <c r="AT492" s="4" t="str">
        <f ca="1">IFERROR(__xludf.DUMMYFUNCTION("""COMPUTED_VALUE"""),"| 1 P NS @ | 3 L JAVA @ | 4 L NS @ | 5 P PRO @ ")</f>
        <v xml:space="preserve">| 1 P NS @ | 3 L JAVA @ | 4 L NS @ | 5 P PRO @ </v>
      </c>
      <c r="AU492" s="4" t="str">
        <f ca="1">IFERROR(__xludf.DUMMYFUNCTION("""COMPUTED_VALUE"""),"| 1 P Python @ | 3 L PHP-CGM @ | 4 L NS @ | 5 P PHP-CGM @ ")</f>
        <v xml:space="preserve">| 1 P Python @ | 3 L PHP-CGM @ | 4 L NS @ | 5 P PHP-CGM @ </v>
      </c>
      <c r="AV492" s="4" t="str">
        <f ca="1">IFERROR(__xludf.DUMMYFUNCTION("""COMPUTED_VALUE"""),"| 1 P JAVA @ | 3 L CPT @ | 4 L PHP-CGM @ | 5 P Python @ ")</f>
        <v xml:space="preserve">| 1 P JAVA @ | 3 L CPT @ | 4 L PHP-CGM @ | 5 P Python @ </v>
      </c>
      <c r="AW492" s="4" t="str">
        <f ca="1">IFERROR(__xludf.DUMMYFUNCTION("""COMPUTED_VALUE"""),"| 1 P JAVA @ | 3 L PHP-CGM @ | 4 L JAVA @ | 5 L NS @ | 5 L CPT @ ")</f>
        <v xml:space="preserve">| 1 P JAVA @ | 3 L PHP-CGM @ | 4 L JAVA @ | 5 L NS @ | 5 L CPT @ </v>
      </c>
      <c r="AX492" s="4" t="str">
        <f ca="1">IFERROR(__xludf.DUMMYFUNCTION("""COMPUTED_VALUE"""),"| 1 P CPT @ | 3 L CPT @ | 4 L JAVA @ | 5 L INE @ ")</f>
        <v xml:space="preserve">| 1 P CPT @ | 3 L CPT @ | 4 L JAVA @ | 5 L INE @ </v>
      </c>
      <c r="AY492" s="4" t="str">
        <f ca="1">IFERROR(__xludf.DUMMYFUNCTION("""COMPUTED_VALUE"""),"| 1 P NS @ | 3 L JAVA @ | 4 L NS @ | 5 P PRO @ ")</f>
        <v xml:space="preserve">| 1 P NS @ | 3 L JAVA @ | 4 L NS @ | 5 P PRO @ </v>
      </c>
      <c r="AZ492" s="4" t="str">
        <f ca="1">IFERROR(__xludf.DUMMYFUNCTION("""COMPUTED_VALUE"""),"| 1 P JAVA @ | 3 L CPT @ | 4 L PHP-CGM @ | 5 P Python @ ")</f>
        <v xml:space="preserve">| 1 P JAVA @ | 3 L CPT @ | 4 L PHP-CGM @ | 5 P Python @ </v>
      </c>
      <c r="BA492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B492" s="4" t="str">
        <f ca="1">IFERROR(__xludf.DUMMYFUNCTION("""COMPUTED_VALUE"""),"| 1 P CPT @ | 3 L CPT @ | 4 L JAVA @ | 5 L INE @ ")</f>
        <v xml:space="preserve">| 1 P CPT @ | 3 L CPT @ | 4 L JAVA @ | 5 L INE @ </v>
      </c>
      <c r="BC492" s="4" t="str">
        <f ca="1">IFERROR(__xludf.DUMMYFUNCTION("""COMPUTED_VALUE"""),"| 1 P NS @ | 3 L JAVA @ | 4 L NS @ | 5 P PRO @ ")</f>
        <v xml:space="preserve">| 1 P NS @ | 3 L JAVA @ | 4 L NS @ | 5 P PRO @ </v>
      </c>
      <c r="BD492" s="4" t="str">
        <f ca="1">IFERROR(__xludf.DUMMYFUNCTION("""COMPUTED_VALUE"""),"| 1 P Python @ | 4 L NS @  | 3 L PHP-CGM @ | 5 P PHP-CGM @ ")</f>
        <v xml:space="preserve">| 1 P Python @ | 4 L NS @  | 3 L PHP-CGM @ | 5 P PHP-CGM @ </v>
      </c>
      <c r="BE492" s="4" t="str">
        <f ca="1">IFERROR(__xludf.DUMMYFUNCTION("""COMPUTED_VALUE"""),"| 1 P JAVA @ | 3 L CPT @ | 4 L PHP-CGM @ | 5 P Python @ ")</f>
        <v xml:space="preserve">| 1 P JAVA @ | 3 L CPT @ | 4 L PHP-CGM @ | 5 P Python @ </v>
      </c>
      <c r="BF492" s="4" t="str">
        <f ca="1">IFERROR(__xludf.DUMMYFUNCTION("""COMPUTED_VALUE"""),"| 1 P JAVA @ | 3 L PHP-CGM @ | 4 L JAVA @ | 5 L NS @ | 6 L CPT @ ")</f>
        <v xml:space="preserve">| 1 P JAVA @ | 3 L PHP-CGM @ | 4 L JAVA @ | 5 L NS @ | 6 L CPT @ </v>
      </c>
      <c r="BG492" s="4" t="str">
        <f ca="1">IFERROR(__xludf.DUMMYFUNCTION("""COMPUTED_VALUE"""),"| 1 P NS @ | 3 L JAVA @ | 4 L NS @ | 5 P PRO @ ")</f>
        <v xml:space="preserve">| 1 P NS @ | 3 L JAVA @ | 4 L NS @ | 5 P PRO @ </v>
      </c>
      <c r="BH492" s="4" t="str">
        <f ca="1">IFERROR(__xludf.DUMMYFUNCTION("""COMPUTED_VALUE"""),"| 1 P Python @ | 3 L PHP-CGM @ | 4 L NS @ | 5 P PHP-CGM @ ")</f>
        <v xml:space="preserve">| 1 P Python @ | 3 L PHP-CGM @ | 4 L NS @ | 5 P PHP-CGM @ </v>
      </c>
      <c r="BI492" s="4" t="str">
        <f ca="1">IFERROR(__xludf.DUMMYFUNCTION("""COMPUTED_VALUE"""),"| 1 P JAVA @ | 3 L CPT @ | 4 L PHP-CGM @ | 5 P Python @ ")</f>
        <v xml:space="preserve">| 1 P JAVA @ | 3 L CPT @ | 4 L PHP-CGM @ | 5 P Python @ </v>
      </c>
      <c r="BJ492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K492" s="4" t="str">
        <f ca="1">IFERROR(__xludf.DUMMYFUNCTION("""COMPUTED_VALUE"""),"| 1 P CPT @ | 3 L CPT @ | 4 L JAVA @ | 5 L INE @ ")</f>
        <v xml:space="preserve">| 1 P CPT @ | 3 L CPT @ | 4 L JAVA @ | 5 L INE @ </v>
      </c>
      <c r="BL492" s="4" t="str">
        <f ca="1">IFERROR(__xludf.DUMMYFUNCTION("""COMPUTED_VALUE"""),"| 1 P NS @ | 3 L JAVA @ | 4 L NS @ ")</f>
        <v xml:space="preserve">| 1 P NS @ | 3 L JAVA @ | 4 L NS @ </v>
      </c>
      <c r="BM492" s="4" t="str">
        <f ca="1">IFERROR(__xludf.DUMMYFUNCTION("""COMPUTED_VALUE"""),"| 1 P Python % | 3 L PHP-CGM % | 4 L NS % | 5 P PHP-CGM @ ")</f>
        <v xml:space="preserve">| 1 P Python % | 3 L PHP-CGM % | 4 L NS % | 5 P PHP-CGM @ </v>
      </c>
      <c r="BN492" s="4" t="str">
        <f ca="1">IFERROR(__xludf.DUMMYFUNCTION("""COMPUTED_VALUE"""),"| 1 P JAVA @ | 3 L CPT @ | 4 L PHP-CGM @ | 5 P Python @ ")</f>
        <v xml:space="preserve">| 1 P JAVA @ | 3 L CPT @ | 4 L PHP-CGM @ | 5 P Python @ </v>
      </c>
      <c r="BO492" s="4" t="str">
        <f ca="1">IFERROR(__xludf.DUMMYFUNCTION("""COMPUTED_VALUE"""),"| 1 P JAVA @ | 3 L PHP-CGM @ | 4 L JAVA @ | 5 L NS % | 6 L CPT % ")</f>
        <v xml:space="preserve">| 1 P JAVA @ | 3 L PHP-CGM @ | 4 L JAVA @ | 5 L NS % | 6 L CPT % </v>
      </c>
      <c r="BP492" s="4" t="str">
        <f ca="1">IFERROR(__xludf.DUMMYFUNCTION("""COMPUTED_VALUE"""),"| 1 P CPT @ | 3 L CPT @ | 4 L JAVA @ | 5 L INE @ ")</f>
        <v xml:space="preserve">| 1 P CPT @ | 3 L CPT @ | 4 L JAVA @ | 5 L INE @ </v>
      </c>
      <c r="BQ492" s="4" t="str">
        <f ca="1">IFERROR(__xludf.DUMMYFUNCTION("""COMPUTED_VALUE"""),"| 4 L NS @ ")</f>
        <v xml:space="preserve">| 4 L NS @ </v>
      </c>
      <c r="BR492" s="4"/>
      <c r="BS492" s="4"/>
      <c r="BT492" s="4" t="str">
        <f ca="1">IFERROR(__xludf.DUMMYFUNCTION("""COMPUTED_VALUE"""),"| 1 P CPT % | 3 L CPT % | 4 L JAVA % ")</f>
        <v xml:space="preserve">| 1 P CPT % | 3 L CPT % | 4 L JAVA % </v>
      </c>
      <c r="BU492" s="4" t="str">
        <f ca="1">IFERROR(__xludf.DUMMYFUNCTION("""COMPUTED_VALUE"""),"| 1 P NS % | 4 L NS @ | 3 L JAVA @ ")</f>
        <v xml:space="preserve">| 1 P NS % | 4 L NS @ | 3 L JAVA @ </v>
      </c>
      <c r="BV492" s="4" t="str">
        <f ca="1">IFERROR(__xludf.DUMMYFUNCTION("""COMPUTED_VALUE"""),"| 1 P CPT @ | 3 L CPT % | 4 L JAVA % ")</f>
        <v xml:space="preserve">| 1 P CPT @ | 3 L CPT % | 4 L JAVA % </v>
      </c>
      <c r="BW492" s="4" t="str">
        <f ca="1">IFERROR(__xludf.DUMMYFUNCTION("""COMPUTED_VALUE"""),"| 1 P NS % | 3 L JAVA % | 4 L NS % ")</f>
        <v xml:space="preserve">| 1 P NS % | 3 L JAVA % | 4 L NS % </v>
      </c>
      <c r="BX492" s="4" t="str">
        <f ca="1">IFERROR(__xludf.DUMMYFUNCTION("""COMPUTED_VALUE"""),"| 1 P Python % | 3 L PHP-CGM % | 4 L NS % | 5 P PHP-CGM @ ")</f>
        <v xml:space="preserve">| 1 P Python % | 3 L PHP-CGM % | 4 L NS % | 5 P PHP-CGM @ </v>
      </c>
      <c r="BY492" s="4" t="str">
        <f ca="1">IFERROR(__xludf.DUMMYFUNCTION("""COMPUTED_VALUE"""),"| 1 P JAVA @ | 3 L CPT @ | 4 L PHP-CGM @ | 5 P Python @ ")</f>
        <v xml:space="preserve">| 1 P JAVA @ | 3 L CPT @ | 4 L PHP-CGM @ | 5 P Python @ </v>
      </c>
      <c r="BZ492" s="4" t="str">
        <f ca="1">IFERROR(__xludf.DUMMYFUNCTION("""COMPUTED_VALUE"""),"| 1 P JAVA @ | 3 L PHP-CGM % | 4 L JAVA % | 5 L NS @ | 6 L CPT @ ")</f>
        <v xml:space="preserve">| 1 P JAVA @ | 3 L PHP-CGM % | 4 L JAVA % | 5 L NS @ | 6 L CPT @ </v>
      </c>
      <c r="CA492" s="4" t="str">
        <f ca="1">IFERROR(__xludf.DUMMYFUNCTION("""COMPUTED_VALUE"""),"| 1 P CPT @ | 3 L CPT % | 4 L JAVA % | 5 L INE % ")</f>
        <v xml:space="preserve">| 1 P CPT @ | 3 L CPT % | 4 L JAVA % | 5 L INE % </v>
      </c>
      <c r="CB492" s="4" t="str">
        <f ca="1">IFERROR(__xludf.DUMMYFUNCTION("""COMPUTED_VALUE"""),"| 1 P NS % | 3 L JAVA % | 4 L NS % | 5 P PRO % ")</f>
        <v xml:space="preserve">| 1 P NS % | 3 L JAVA % | 4 L NS % | 5 P PRO % </v>
      </c>
      <c r="CC492" s="4" t="str">
        <f ca="1">IFERROR(__xludf.DUMMYFUNCTION("""COMPUTED_VALUE"""),"| 1 P Python % | 3 L PHP-CGM % | 4 L NS % | 5 P PHP-CGM % ")</f>
        <v xml:space="preserve">| 1 P Python % | 3 L PHP-CGM % | 4 L NS % | 5 P PHP-CGM % </v>
      </c>
      <c r="CD492" s="4" t="str">
        <f ca="1">IFERROR(__xludf.DUMMYFUNCTION("""COMPUTED_VALUE"""),"| 1 P JAVA % | 3 L CPT % | 4 L PHP-CGM % | 5 P Python % ")</f>
        <v xml:space="preserve">| 1 P JAVA % | 3 L CPT % | 4 L PHP-CGM % | 5 P Python % </v>
      </c>
      <c r="CE492" s="4" t="str">
        <f ca="1">IFERROR(__xludf.DUMMYFUNCTION("""COMPUTED_VALUE"""),"| 1 P JAVA % | 3 L PHP-CGM @ | 4 L JAVA @ | 5 L NS @ | 6 L CPT @ ")</f>
        <v xml:space="preserve">| 1 P JAVA % | 3 L PHP-CGM @ | 4 L JAVA @ | 5 L NS @ | 6 L CPT @ </v>
      </c>
      <c r="CF492" s="4" t="str">
        <f ca="1">IFERROR(__xludf.DUMMYFUNCTION("""COMPUTED_VALUE"""),"| 1 P CPT % | 3 L CPT @ | 4 L JAVA % | 5 L INE % ")</f>
        <v xml:space="preserve">| 1 P CPT % | 3 L CPT @ | 4 L JAVA % | 5 L INE % </v>
      </c>
      <c r="CG492" s="4" t="str">
        <f ca="1">IFERROR(__xludf.DUMMYFUNCTION("""COMPUTED_VALUE"""),"| 1 P NS % | 4 L NS @ ")</f>
        <v xml:space="preserve">| 1 P NS % | 4 L NS @ </v>
      </c>
      <c r="CH492" s="4" t="str">
        <f ca="1">IFERROR(__xludf.DUMMYFUNCTION("""COMPUTED_VALUE"""),"| 3 L PHP-CGM % | 4 L NS % | 1 P Python % ")</f>
        <v xml:space="preserve">| 3 L PHP-CGM % | 4 L NS % | 1 P Python % </v>
      </c>
      <c r="CI492" s="4" t="str">
        <f ca="1">IFERROR(__xludf.DUMMYFUNCTION("""COMPUTED_VALUE"""),"| 1 P JAVA % ")</f>
        <v xml:space="preserve">| 1 P JAVA % </v>
      </c>
      <c r="CJ492" s="4" t="str">
        <f ca="1">IFERROR(__xludf.DUMMYFUNCTION("""COMPUTED_VALUE"""),"| 1 P JAVA % | 4 L JAVA % ")</f>
        <v xml:space="preserve">| 1 P JAVA % | 4 L JAVA % </v>
      </c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</row>
    <row r="493" spans="1:102" ht="12.5" x14ac:dyDescent="0.25">
      <c r="A493" s="3">
        <f ca="1">IFERROR(__xludf.DUMMYFUNCTION("""COMPUTED_VALUE"""),2)</f>
        <v>2</v>
      </c>
      <c r="B493" s="3" t="str">
        <f ca="1">IFERROR(__xludf.DUMMYFUNCTION("""COMPUTED_VALUE"""),"ITC")</f>
        <v>ITC</v>
      </c>
      <c r="C493" s="32" t="str">
        <f ca="1">IFERROR(__xludf.DUMMYFUNCTION("""COMPUTED_VALUE"""),"23171371064")</f>
        <v>23171371064</v>
      </c>
      <c r="D493" s="4" t="str">
        <f ca="1">IFERROR(__xludf.DUMMYFUNCTION("""COMPUTED_VALUE"""),"PATEL DATT HARSHADBHAI")</f>
        <v>PATEL DATT HARSHADBHAI</v>
      </c>
      <c r="E493" s="3" t="str">
        <f ca="1">IFERROR(__xludf.DUMMYFUNCTION("""COMPUTED_VALUE"""),"SDP&amp;KKP - Mor")</f>
        <v>SDP&amp;KKP - Mor</v>
      </c>
      <c r="F493" s="3">
        <f ca="1">IFERROR(__xludf.DUMMYFUNCTION("""COMPUTED_VALUE"""),9328845863)</f>
        <v>9328845863</v>
      </c>
      <c r="G493" s="3">
        <f ca="1">IFERROR(__xludf.DUMMYFUNCTION("""COMPUTED_VALUE"""),9328845863)</f>
        <v>9328845863</v>
      </c>
      <c r="H493" s="33">
        <f ca="1">IFERROR(__xludf.DUMMYFUNCTION("""COMPUTED_VALUE"""),0.892116182572614)</f>
        <v>0.89211618257261405</v>
      </c>
      <c r="I493" s="25">
        <f ca="1">IFERROR(__xludf.DUMMYFUNCTION("""COMPUTED_VALUE"""),0.861111111111111)</f>
        <v>0.86111111111111105</v>
      </c>
      <c r="J493" s="25">
        <f ca="1">IFERROR(__xludf.DUMMYFUNCTION("""COMPUTED_VALUE"""),0.9)</f>
        <v>0.9</v>
      </c>
      <c r="K493" s="25">
        <f ca="1">IFERROR(__xludf.DUMMYFUNCTION("""COMPUTED_VALUE"""),0.888888888888888)</f>
        <v>0.88888888888888795</v>
      </c>
      <c r="L493" s="25">
        <f ca="1">IFERROR(__xludf.DUMMYFUNCTION("""COMPUTED_VALUE"""),1)</f>
        <v>1</v>
      </c>
      <c r="M493" s="25">
        <f ca="1">IFERROR(__xludf.DUMMYFUNCTION("""COMPUTED_VALUE"""),0.90625)</f>
        <v>0.90625</v>
      </c>
      <c r="N493" s="25">
        <f ca="1">IFERROR(__xludf.DUMMYFUNCTION("""COMPUTED_VALUE"""),0.727272727272727)</f>
        <v>0.72727272727272696</v>
      </c>
      <c r="O493" s="25">
        <f ca="1">IFERROR(__xludf.DUMMYFUNCTION("""COMPUTED_VALUE"""),0.864864864864864)</f>
        <v>0.86486486486486402</v>
      </c>
      <c r="P493" s="25">
        <f ca="1">IFERROR(__xludf.DUMMYFUNCTION("""COMPUTED_VALUE"""),1)</f>
        <v>1</v>
      </c>
      <c r="Q493" s="25">
        <f ca="1">IFERROR(__xludf.DUMMYFUNCTION("""COMPUTED_VALUE"""),0)</f>
        <v>0</v>
      </c>
      <c r="R493" s="25">
        <f ca="1">IFERROR(__xludf.DUMMYFUNCTION("""COMPUTED_VALUE"""),0.916666666666666)</f>
        <v>0.91666666666666596</v>
      </c>
      <c r="S493" s="25">
        <f ca="1">IFERROR(__xludf.DUMMYFUNCTION("""COMPUTED_VALUE"""),0)</f>
        <v>0</v>
      </c>
      <c r="T493" s="25">
        <f ca="1">IFERROR(__xludf.DUMMYFUNCTION("""COMPUTED_VALUE"""),0.888888888888888)</f>
        <v>0.88888888888888795</v>
      </c>
      <c r="U493" s="25">
        <f ca="1">IFERROR(__xludf.DUMMYFUNCTION("""COMPUTED_VALUE"""),0.75)</f>
        <v>0.75</v>
      </c>
      <c r="V493" s="25">
        <f ca="1">IFERROR(__xludf.DUMMYFUNCTION("""COMPUTED_VALUE"""),0)</f>
        <v>0</v>
      </c>
      <c r="W493" s="4"/>
      <c r="X493" s="4" t="str">
        <f ca="1">IFERROR(__xludf.DUMMYFUNCTION("""COMPUTED_VALUE"""),"| 1 P CPT @ | 3 L CPT @ | 4 L JAVA @ ")</f>
        <v xml:space="preserve">| 1 P CPT @ | 3 L CPT @ | 4 L JAVA @ </v>
      </c>
      <c r="Y493" s="4" t="str">
        <f ca="1">IFERROR(__xludf.DUMMYFUNCTION("""COMPUTED_VALUE"""),"| 1 P NS % | 3 L JAVA % | 4 L NS % | 5 P PRO @ ")</f>
        <v xml:space="preserve">| 1 P NS % | 3 L JAVA % | 4 L NS % | 5 P PRO @ </v>
      </c>
      <c r="Z493" s="4" t="str">
        <f ca="1">IFERROR(__xludf.DUMMYFUNCTION("""COMPUTED_VALUE"""),"| 1 P Python % | 3 L PHP-CGM % | 4 L NS % | 5 P PHP-CGM % ")</f>
        <v xml:space="preserve">| 1 P Python % | 3 L PHP-CGM % | 4 L NS % | 5 P PHP-CGM % </v>
      </c>
      <c r="AA493" s="4" t="str">
        <f ca="1">IFERROR(__xludf.DUMMYFUNCTION("""COMPUTED_VALUE"""),"| 1 P JAVA % | 3 L CPT % | 5 P Python % ")</f>
        <v xml:space="preserve">| 1 P JAVA % | 3 L CPT % | 5 P Python % </v>
      </c>
      <c r="AB493" s="4" t="str">
        <f ca="1">IFERROR(__xludf.DUMMYFUNCTION("""COMPUTED_VALUE"""),"| 1 P JAVA % | 3 L PHP-CGM @ | 4 L JAVA @ | 5 L CPT % | 6 L NS % ")</f>
        <v xml:space="preserve">| 1 P JAVA % | 3 L PHP-CGM @ | 4 L JAVA @ | 5 L CPT % | 6 L NS % </v>
      </c>
      <c r="AC493" s="4" t="str">
        <f ca="1">IFERROR(__xludf.DUMMYFUNCTION("""COMPUTED_VALUE"""),"| 1 P Python @ | 3 L CPT @ | 4 L JAVA @ ")</f>
        <v xml:space="preserve">| 1 P Python @ | 3 L CPT @ | 4 L JAVA @ </v>
      </c>
      <c r="AD493" s="4" t="str">
        <f ca="1">IFERROR(__xludf.DUMMYFUNCTION("""COMPUTED_VALUE"""),"| 1 P JAVA % | 3 L JAVA % | 4 L NS % | 5 P PRO % ")</f>
        <v xml:space="preserve">| 1 P JAVA % | 3 L JAVA % | 4 L NS % | 5 P PRO % </v>
      </c>
      <c r="AE493" s="4" t="str">
        <f ca="1">IFERROR(__xludf.DUMMYFUNCTION("""COMPUTED_VALUE"""),"| 1 P JAVA % | 3 L PHP-CGM % | 4 L NS % | 5 P CPT % ")</f>
        <v xml:space="preserve">| 1 P JAVA % | 3 L PHP-CGM % | 4 L NS % | 5 P CPT % </v>
      </c>
      <c r="AF493" s="4" t="str">
        <f ca="1">IFERROR(__xludf.DUMMYFUNCTION("""COMPUTED_VALUE"""),"| 1 P NS % | 3 L CPT % | 4 L PHP-CGM % | 5 P Python % ")</f>
        <v xml:space="preserve">| 1 P NS % | 3 L CPT % | 4 L PHP-CGM % | 5 P Python % </v>
      </c>
      <c r="AG49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493" s="4" t="str">
        <f ca="1">IFERROR(__xludf.DUMMYFUNCTION("""COMPUTED_VALUE"""),"| 1 P NS % | 3 L CPT % | 4 L PHP-CGM % | 5 P Python % ")</f>
        <v xml:space="preserve">| 1 P NS % | 3 L CPT % | 4 L PHP-CGM % | 5 P Python % </v>
      </c>
      <c r="AI49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493" s="4" t="str">
        <f ca="1">IFERROR(__xludf.DUMMYFUNCTION("""COMPUTED_VALUE"""),"| 1 P Python % | 3 L CPT % | 4 L JAVA % ")</f>
        <v xml:space="preserve">| 1 P Python % | 3 L CPT % | 4 L JAVA % </v>
      </c>
      <c r="AK493" s="4" t="str">
        <f ca="1">IFERROR(__xludf.DUMMYFUNCTION("""COMPUTED_VALUE"""),"| 1 P JAVA % | 4 L NS % | 3 L JAVA % | 5 P PRO % ")</f>
        <v xml:space="preserve">| 1 P JAVA % | 4 L NS % | 3 L JAVA % | 5 P PRO % </v>
      </c>
      <c r="AL493" s="4" t="str">
        <f ca="1">IFERROR(__xludf.DUMMYFUNCTION("""COMPUTED_VALUE"""),"| 1 P JAVA % | 3 L PHP-CGM % | 4 L NS % | 5 P CPT % ")</f>
        <v xml:space="preserve">| 1 P JAVA % | 3 L PHP-CGM % | 4 L NS % | 5 P CPT % </v>
      </c>
      <c r="AM493" s="4" t="str">
        <f ca="1">IFERROR(__xludf.DUMMYFUNCTION("""COMPUTED_VALUE"""),"| 1 P NS % | 3 L CPT % | 4 L PHP-CGM % | 5 P Python % ")</f>
        <v xml:space="preserve">| 1 P NS % | 3 L CPT % | 4 L PHP-CGM % | 5 P Python % </v>
      </c>
      <c r="AN49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493" s="4" t="str">
        <f ca="1">IFERROR(__xludf.DUMMYFUNCTION("""COMPUTED_VALUE"""),"| 1 P Python % | 3 L CPT % | 4 L JAVA % | 5 L INE % ")</f>
        <v xml:space="preserve">| 1 P Python % | 3 L CPT % | 4 L JAVA % | 5 L INE % </v>
      </c>
      <c r="AP493" s="4" t="str">
        <f ca="1">IFERROR(__xludf.DUMMYFUNCTION("""COMPUTED_VALUE"""),"| 1 P JAVA % | 3 L JAVA % | 4 L NS % | 5 P PRO % ")</f>
        <v xml:space="preserve">| 1 P JAVA % | 3 L JAVA % | 4 L NS % | 5 P PRO % </v>
      </c>
      <c r="AQ493" s="4" t="str">
        <f ca="1">IFERROR(__xludf.DUMMYFUNCTION("""COMPUTED_VALUE"""),"| 1 P JAVA % | 3 L PHP-CGM % | 4 L NS % | 5 P CPT % ")</f>
        <v xml:space="preserve">| 1 P JAVA % | 3 L PHP-CGM % | 4 L NS % | 5 P CPT % </v>
      </c>
      <c r="AR493" s="4" t="str">
        <f ca="1">IFERROR(__xludf.DUMMYFUNCTION("""COMPUTED_VALUE"""),"| 1 P NS % | 3 L CPT % | 5 P Python % ")</f>
        <v xml:space="preserve">| 1 P NS % | 3 L CPT % | 5 P Python % </v>
      </c>
      <c r="AS493" s="4" t="str">
        <f ca="1">IFERROR(__xludf.DUMMYFUNCTION("""COMPUTED_VALUE"""),"| 1 P Python % | 3 L CPT % | 4 L JAVA % | 5 L INE % ")</f>
        <v xml:space="preserve">| 1 P Python % | 3 L CPT % | 4 L JAVA % | 5 L INE % </v>
      </c>
      <c r="AT493" s="4" t="str">
        <f ca="1">IFERROR(__xludf.DUMMYFUNCTION("""COMPUTED_VALUE"""),"| 1 P JAVA % | 3 L JAVA % | 4 L NS % | 5 P PRO % ")</f>
        <v xml:space="preserve">| 1 P JAVA % | 3 L JAVA % | 4 L NS % | 5 P PRO % </v>
      </c>
      <c r="AU493" s="4" t="str">
        <f ca="1">IFERROR(__xludf.DUMMYFUNCTION("""COMPUTED_VALUE"""),"| 1 P JAVA % | 3 L PHP-CGM % | 4 L NS % | 5 P CPT % ")</f>
        <v xml:space="preserve">| 1 P JAVA % | 3 L PHP-CGM % | 4 L NS % | 5 P CPT % </v>
      </c>
      <c r="AV493" s="4" t="str">
        <f ca="1">IFERROR(__xludf.DUMMYFUNCTION("""COMPUTED_VALUE"""),"| 1 P NS % | 3 L CPT % | 4 L PHP-CGM % | 5 P Python % ")</f>
        <v xml:space="preserve">| 1 P NS % | 3 L CPT % | 4 L PHP-CGM % | 5 P Python % </v>
      </c>
      <c r="AW493" s="4" t="str">
        <f ca="1">IFERROR(__xludf.DUMMYFUNCTION("""COMPUTED_VALUE"""),"| 3 L PHP-CGM % | 4 L JAVA % | 5 L NS % | 5 L CPT % ")</f>
        <v xml:space="preserve">| 3 L PHP-CGM % | 4 L JAVA % | 5 L NS % | 5 L CPT % </v>
      </c>
      <c r="AX493" s="4" t="str">
        <f ca="1">IFERROR(__xludf.DUMMYFUNCTION("""COMPUTED_VALUE"""),"| 1 P Python % | 3 L CPT % | 4 L JAVA % | 5 L INE % ")</f>
        <v xml:space="preserve">| 1 P Python % | 3 L CPT % | 4 L JAVA % | 5 L INE % </v>
      </c>
      <c r="AY493" s="4" t="str">
        <f ca="1">IFERROR(__xludf.DUMMYFUNCTION("""COMPUTED_VALUE"""),"| 1 P JAVA % | 3 L JAVA % | 4 L NS % | 5 P PRO % ")</f>
        <v xml:space="preserve">| 1 P JAVA % | 3 L JAVA % | 4 L NS % | 5 P PRO % </v>
      </c>
      <c r="AZ493" s="4" t="str">
        <f ca="1">IFERROR(__xludf.DUMMYFUNCTION("""COMPUTED_VALUE"""),"| 1 P NS % | 3 L CPT % | 4 L PHP-CGM % | 5 P Python % ")</f>
        <v xml:space="preserve">| 1 P NS % | 3 L CPT % | 4 L PHP-CGM % | 5 P Python % </v>
      </c>
      <c r="BA493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493" s="4" t="str">
        <f ca="1">IFERROR(__xludf.DUMMYFUNCTION("""COMPUTED_VALUE"""),"| 1 P Python % | 3 L CPT % | 4 L JAVA % | 5 L INE % ")</f>
        <v xml:space="preserve">| 1 P Python % | 3 L CPT % | 4 L JAVA % | 5 L INE % </v>
      </c>
      <c r="BC493" s="4" t="str">
        <f ca="1">IFERROR(__xludf.DUMMYFUNCTION("""COMPUTED_VALUE"""),"| 1 P JAVA % | 3 L JAVA % | 4 L NS % | 5 P PRO % ")</f>
        <v xml:space="preserve">| 1 P JAVA % | 3 L JAVA % | 4 L NS % | 5 P PRO % </v>
      </c>
      <c r="BD493" s="4" t="str">
        <f ca="1">IFERROR(__xludf.DUMMYFUNCTION("""COMPUTED_VALUE"""),"| 1 P JAVA % | 4 L NS %  | 3 L PHP-CGM % | 5 P CPT % ")</f>
        <v xml:space="preserve">| 1 P JAVA % | 4 L NS %  | 3 L PHP-CGM % | 5 P CPT % </v>
      </c>
      <c r="BE493" s="4" t="str">
        <f ca="1">IFERROR(__xludf.DUMMYFUNCTION("""COMPUTED_VALUE"""),"| 1 P NS % | 3 L CPT % | 4 L PHP-CGM % | 5 P Python % ")</f>
        <v xml:space="preserve">| 1 P NS % | 3 L CPT % | 4 L PHP-CGM % | 5 P Python % </v>
      </c>
      <c r="BF493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G493" s="4" t="str">
        <f ca="1">IFERROR(__xludf.DUMMYFUNCTION("""COMPUTED_VALUE"""),"| 1 P JAVA % | 3 L JAVA % | 4 L NS % | 5 P PRO % ")</f>
        <v xml:space="preserve">| 1 P JAVA % | 3 L JAVA % | 4 L NS % | 5 P PRO % </v>
      </c>
      <c r="BH493" s="4" t="str">
        <f ca="1">IFERROR(__xludf.DUMMYFUNCTION("""COMPUTED_VALUE"""),"| 1 P JAVA % | 3 L PHP-CGM % | 4 L NS % | 5 P CPT % ")</f>
        <v xml:space="preserve">| 1 P JAVA % | 3 L PHP-CGM % | 4 L NS % | 5 P CPT % </v>
      </c>
      <c r="BI493" s="4" t="str">
        <f ca="1">IFERROR(__xludf.DUMMYFUNCTION("""COMPUTED_VALUE"""),"| 1 P NS % | 3 L CPT % | 4 L PHP-CGM % | 5 P Python % ")</f>
        <v xml:space="preserve">| 1 P NS % | 3 L CPT % | 4 L PHP-CGM % | 5 P Python % </v>
      </c>
      <c r="BJ493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K493" s="4" t="str">
        <f ca="1">IFERROR(__xludf.DUMMYFUNCTION("""COMPUTED_VALUE"""),"| 1 P Python % | 3 L CPT % | 4 L JAVA % | 5 L INE % ")</f>
        <v xml:space="preserve">| 1 P Python % | 3 L CPT % | 4 L JAVA % | 5 L INE % </v>
      </c>
      <c r="BL493" s="4" t="str">
        <f ca="1">IFERROR(__xludf.DUMMYFUNCTION("""COMPUTED_VALUE"""),"| 1 P JAVA % | 3 L JAVA % | 4 L NS % ")</f>
        <v xml:space="preserve">| 1 P JAVA % | 3 L JAVA % | 4 L NS % </v>
      </c>
      <c r="BM493" s="4" t="str">
        <f ca="1">IFERROR(__xludf.DUMMYFUNCTION("""COMPUTED_VALUE"""),"| 1 P JAVA % | 3 L PHP-CGM % | 4 L NS % | 5 P CPT % ")</f>
        <v xml:space="preserve">| 1 P JAVA % | 3 L PHP-CGM % | 4 L NS % | 5 P CPT % </v>
      </c>
      <c r="BN493" s="4" t="str">
        <f ca="1">IFERROR(__xludf.DUMMYFUNCTION("""COMPUTED_VALUE"""),"| 1 P NS % | 3 L CPT % | 4 L PHP-CGM % ")</f>
        <v xml:space="preserve">| 1 P NS % | 3 L CPT % | 4 L PHP-CGM % </v>
      </c>
      <c r="BO493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493" s="4" t="str">
        <f ca="1">IFERROR(__xludf.DUMMYFUNCTION("""COMPUTED_VALUE"""),"| 1 P Python % | 3 L CPT % | 4 L JAVA % | 5 L INE @ ")</f>
        <v xml:space="preserve">| 1 P Python % | 3 L CPT % | 4 L JAVA % | 5 L INE @ </v>
      </c>
      <c r="BQ493" s="4" t="str">
        <f ca="1">IFERROR(__xludf.DUMMYFUNCTION("""COMPUTED_VALUE"""),"| 4 L NS % | 1 P JAVA % ")</f>
        <v xml:space="preserve">| 4 L NS % | 1 P JAVA % </v>
      </c>
      <c r="BR493" s="4"/>
      <c r="BS493" s="4"/>
      <c r="BT493" s="4" t="str">
        <f ca="1">IFERROR(__xludf.DUMMYFUNCTION("""COMPUTED_VALUE"""),"| 1 P Python % | 3 L CPT % | 4 L JAVA % ")</f>
        <v xml:space="preserve">| 1 P Python % | 3 L CPT % | 4 L JAVA % </v>
      </c>
      <c r="BU493" s="4" t="str">
        <f ca="1">IFERROR(__xludf.DUMMYFUNCTION("""COMPUTED_VALUE"""),"| 1 P JAVA % | 4 L NS % | 3 L JAVA % ")</f>
        <v xml:space="preserve">| 1 P JAVA % | 4 L NS % | 3 L JAVA % </v>
      </c>
      <c r="BV493" s="4" t="str">
        <f ca="1">IFERROR(__xludf.DUMMYFUNCTION("""COMPUTED_VALUE"""),"| 1 P Python % | 3 L CPT % | 4 L JAVA % ")</f>
        <v xml:space="preserve">| 1 P Python % | 3 L CPT % | 4 L JAVA % </v>
      </c>
      <c r="BW493" s="4" t="str">
        <f ca="1">IFERROR(__xludf.DUMMYFUNCTION("""COMPUTED_VALUE"""),"| 1 P JAVA % | 3 L JAVA % | 4 L NS % ")</f>
        <v xml:space="preserve">| 1 P JAVA % | 3 L JAVA % | 4 L NS % </v>
      </c>
      <c r="BX493" s="4" t="str">
        <f ca="1">IFERROR(__xludf.DUMMYFUNCTION("""COMPUTED_VALUE"""),"| 1 P JAVA % | 3 L PHP-CGM % | 4 L NS % | 5 P CPT % ")</f>
        <v xml:space="preserve">| 1 P JAVA % | 3 L PHP-CGM % | 4 L NS % | 5 P CPT % </v>
      </c>
      <c r="BY493" s="4" t="str">
        <f ca="1">IFERROR(__xludf.DUMMYFUNCTION("""COMPUTED_VALUE"""),"| 1 P NS % | 3 L CPT % | 4 L PHP-CGM % | 5 P Python % ")</f>
        <v xml:space="preserve">| 1 P NS % | 3 L CPT % | 4 L PHP-CGM % | 5 P Python % </v>
      </c>
      <c r="BZ493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493" s="4" t="str">
        <f ca="1">IFERROR(__xludf.DUMMYFUNCTION("""COMPUTED_VALUE"""),"| 1 P Python @ | 3 L CPT % | 4 L JAVA % | 5 L INE % ")</f>
        <v xml:space="preserve">| 1 P Python @ | 3 L CPT % | 4 L JAVA % | 5 L INE % </v>
      </c>
      <c r="CB493" s="4" t="str">
        <f ca="1">IFERROR(__xludf.DUMMYFUNCTION("""COMPUTED_VALUE"""),"| 1 P JAVA % | 3 L JAVA % | 4 L NS % | 5 P PRO % ")</f>
        <v xml:space="preserve">| 1 P JAVA % | 3 L JAVA % | 4 L NS % | 5 P PRO % </v>
      </c>
      <c r="CC493" s="4" t="str">
        <f ca="1">IFERROR(__xludf.DUMMYFUNCTION("""COMPUTED_VALUE"""),"| 1 P JAVA % | 3 L PHP-CGM % | 4 L NS % | 5 P CPT % ")</f>
        <v xml:space="preserve">| 1 P JAVA % | 3 L PHP-CGM % | 4 L NS % | 5 P CPT % </v>
      </c>
      <c r="CD493" s="4" t="str">
        <f ca="1">IFERROR(__xludf.DUMMYFUNCTION("""COMPUTED_VALUE"""),"| 1 P NS % | 3 L CPT % | 4 L PHP-CGM % | 5 P Python % ")</f>
        <v xml:space="preserve">| 1 P NS % | 3 L CPT % | 4 L PHP-CGM % | 5 P Python % </v>
      </c>
      <c r="CE493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493" s="4" t="str">
        <f ca="1">IFERROR(__xludf.DUMMYFUNCTION("""COMPUTED_VALUE"""),"| 1 P Python % | 3 L CPT % | 4 L JAVA % | 5 L INE @ ")</f>
        <v xml:space="preserve">| 1 P Python % | 3 L CPT % | 4 L JAVA % | 5 L INE @ </v>
      </c>
      <c r="CG493" s="4" t="str">
        <f ca="1">IFERROR(__xludf.DUMMYFUNCTION("""COMPUTED_VALUE"""),"| 1 P JAVA % | 4 L NS % ")</f>
        <v xml:space="preserve">| 1 P JAVA % | 4 L NS % </v>
      </c>
      <c r="CH493" s="4" t="str">
        <f ca="1">IFERROR(__xludf.DUMMYFUNCTION("""COMPUTED_VALUE"""),"| 1 P JAVA % | 3 L PHP-CGM % | 4 L NS % ")</f>
        <v xml:space="preserve">| 1 P JAVA % | 3 L PHP-CGM % | 4 L NS % </v>
      </c>
      <c r="CI493" s="4" t="str">
        <f ca="1">IFERROR(__xludf.DUMMYFUNCTION("""COMPUTED_VALUE"""),"| 1 P NS % ")</f>
        <v xml:space="preserve">| 1 P NS % </v>
      </c>
      <c r="CJ493" s="4" t="str">
        <f ca="1">IFERROR(__xludf.DUMMYFUNCTION("""COMPUTED_VALUE"""),"| 1 P PHP-CGM @ | 4 L JAVA % ")</f>
        <v xml:space="preserve">| 1 P PHP-CGM @ | 4 L JAVA % </v>
      </c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</row>
    <row r="494" spans="1:102" ht="12.5" x14ac:dyDescent="0.25">
      <c r="A494" s="3">
        <f ca="1">IFERROR(__xludf.DUMMYFUNCTION("""COMPUTED_VALUE"""),2)</f>
        <v>2</v>
      </c>
      <c r="B494" s="3" t="str">
        <f ca="1">IFERROR(__xludf.DUMMYFUNCTION("""COMPUTED_VALUE"""),"ITC")</f>
        <v>ITC</v>
      </c>
      <c r="C494" s="32" t="str">
        <f ca="1">IFERROR(__xludf.DUMMYFUNCTION("""COMPUTED_VALUE"""),"23171371066")</f>
        <v>23171371066</v>
      </c>
      <c r="D494" s="4" t="str">
        <f ca="1">IFERROR(__xludf.DUMMYFUNCTION("""COMPUTED_VALUE"""),"PATEL DEVKUMAR DINESHBHAI")</f>
        <v>PATEL DEVKUMAR DINESHBHAI</v>
      </c>
      <c r="E494" s="3" t="str">
        <f ca="1">IFERROR(__xludf.DUMMYFUNCTION("""COMPUTED_VALUE"""),"SDP&amp;KKP - Mor")</f>
        <v>SDP&amp;KKP - Mor</v>
      </c>
      <c r="F494" s="3">
        <f ca="1">IFERROR(__xludf.DUMMYFUNCTION("""COMPUTED_VALUE"""),9979038515)</f>
        <v>9979038515</v>
      </c>
      <c r="G494" s="3">
        <f ca="1">IFERROR(__xludf.DUMMYFUNCTION("""COMPUTED_VALUE"""),9979038535)</f>
        <v>9979038535</v>
      </c>
      <c r="H494" s="33">
        <f ca="1">IFERROR(__xludf.DUMMYFUNCTION("""COMPUTED_VALUE"""),0.539419087136929)</f>
        <v>0.53941908713692899</v>
      </c>
      <c r="I494" s="25">
        <f ca="1">IFERROR(__xludf.DUMMYFUNCTION("""COMPUTED_VALUE"""),0.555555555555555)</f>
        <v>0.55555555555555503</v>
      </c>
      <c r="J494" s="25">
        <f ca="1">IFERROR(__xludf.DUMMYFUNCTION("""COMPUTED_VALUE"""),0.1)</f>
        <v>0.1</v>
      </c>
      <c r="K494" s="25">
        <f ca="1">IFERROR(__xludf.DUMMYFUNCTION("""COMPUTED_VALUE"""),0.638888888888888)</f>
        <v>0.63888888888888795</v>
      </c>
      <c r="L494" s="25">
        <f ca="1">IFERROR(__xludf.DUMMYFUNCTION("""COMPUTED_VALUE"""),0.615384615384615)</f>
        <v>0.61538461538461497</v>
      </c>
      <c r="M494" s="25">
        <f ca="1">IFERROR(__xludf.DUMMYFUNCTION("""COMPUTED_VALUE"""),0.78125)</f>
        <v>0.78125</v>
      </c>
      <c r="N494" s="25">
        <f ca="1">IFERROR(__xludf.DUMMYFUNCTION("""COMPUTED_VALUE"""),0.454545454545454)</f>
        <v>0.45454545454545398</v>
      </c>
      <c r="O494" s="25">
        <f ca="1">IFERROR(__xludf.DUMMYFUNCTION("""COMPUTED_VALUE"""),0.675675675675675)</f>
        <v>0.67567567567567499</v>
      </c>
      <c r="P494" s="25">
        <f ca="1">IFERROR(__xludf.DUMMYFUNCTION("""COMPUTED_VALUE"""),0.56)</f>
        <v>0.56000000000000005</v>
      </c>
      <c r="Q494" s="25">
        <f ca="1">IFERROR(__xludf.DUMMYFUNCTION("""COMPUTED_VALUE"""),0)</f>
        <v>0</v>
      </c>
      <c r="R494" s="25">
        <f ca="1">IFERROR(__xludf.DUMMYFUNCTION("""COMPUTED_VALUE"""),0.25)</f>
        <v>0.25</v>
      </c>
      <c r="S494" s="25">
        <f ca="1">IFERROR(__xludf.DUMMYFUNCTION("""COMPUTED_VALUE"""),0)</f>
        <v>0</v>
      </c>
      <c r="T494" s="25">
        <f ca="1">IFERROR(__xludf.DUMMYFUNCTION("""COMPUTED_VALUE"""),0.222222222222222)</f>
        <v>0.22222222222222199</v>
      </c>
      <c r="U494" s="25">
        <f ca="1">IFERROR(__xludf.DUMMYFUNCTION("""COMPUTED_VALUE"""),0.125)</f>
        <v>0.125</v>
      </c>
      <c r="V494" s="25">
        <f ca="1">IFERROR(__xludf.DUMMYFUNCTION("""COMPUTED_VALUE"""),0)</f>
        <v>0</v>
      </c>
      <c r="W494" s="4"/>
      <c r="X494" s="4" t="str">
        <f ca="1">IFERROR(__xludf.DUMMYFUNCTION("""COMPUTED_VALUE"""),"| 1 P CPT @ | 3 L CPT @ | 4 L JAVA @ ")</f>
        <v xml:space="preserve">| 1 P CPT @ | 3 L CPT @ | 4 L JAVA @ </v>
      </c>
      <c r="Y494" s="4" t="str">
        <f ca="1">IFERROR(__xludf.DUMMYFUNCTION("""COMPUTED_VALUE"""),"| 1 P NS @ | 3 L JAVA @ | 4 L NS @ | 5 P PRO @ ")</f>
        <v xml:space="preserve">| 1 P NS @ | 3 L JAVA @ | 4 L NS @ | 5 P PRO @ </v>
      </c>
      <c r="Z494" s="4" t="str">
        <f ca="1">IFERROR(__xludf.DUMMYFUNCTION("""COMPUTED_VALUE"""),"| 1 P Python % | 3 L PHP-CGM % | 4 L NS % | 5 P PHP-CGM @ ")</f>
        <v xml:space="preserve">| 1 P Python % | 3 L PHP-CGM % | 4 L NS % | 5 P PHP-CGM @ </v>
      </c>
      <c r="AA494" s="4" t="str">
        <f ca="1">IFERROR(__xludf.DUMMYFUNCTION("""COMPUTED_VALUE"""),"| 1 P JAVA @ | 3 L CPT @ | 5 P Python @ ")</f>
        <v xml:space="preserve">| 1 P JAVA @ | 3 L CPT @ | 5 P Python @ </v>
      </c>
      <c r="AB494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94" s="4" t="str">
        <f ca="1">IFERROR(__xludf.DUMMYFUNCTION("""COMPUTED_VALUE"""),"| 1 P Python @ | 3 L CPT @ | 4 L JAVA @ ")</f>
        <v xml:space="preserve">| 1 P Python @ | 3 L CPT @ | 4 L JAVA @ </v>
      </c>
      <c r="AD494" s="4" t="str">
        <f ca="1">IFERROR(__xludf.DUMMYFUNCTION("""COMPUTED_VALUE"""),"| 1 P JAVA % | 3 L JAVA % | 4 L NS % | 5 P PRO % ")</f>
        <v xml:space="preserve">| 1 P JAVA % | 3 L JAVA % | 4 L NS % | 5 P PRO % </v>
      </c>
      <c r="AE494" s="4" t="str">
        <f ca="1">IFERROR(__xludf.DUMMYFUNCTION("""COMPUTED_VALUE"""),"| 1 P JAVA % | 3 L PHP-CGM % | 4 L NS % | 5 P CPT @ ")</f>
        <v xml:space="preserve">| 1 P JAVA % | 3 L PHP-CGM % | 4 L NS % | 5 P CPT @ </v>
      </c>
      <c r="AF494" s="4" t="str">
        <f ca="1">IFERROR(__xludf.DUMMYFUNCTION("""COMPUTED_VALUE"""),"| 1 P NS % | 3 L CPT % | 4 L PHP-CGM % | 5 P Python @ ")</f>
        <v xml:space="preserve">| 1 P NS % | 3 L CPT % | 4 L PHP-CGM % | 5 P Python @ </v>
      </c>
      <c r="AG494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494" s="4" t="str">
        <f ca="1">IFERROR(__xludf.DUMMYFUNCTION("""COMPUTED_VALUE"""),"| 1 P NS % | 3 L CPT % | 4 L PHP-CGM % | 5 P Python @ ")</f>
        <v xml:space="preserve">| 1 P NS % | 3 L CPT % | 4 L PHP-CGM % | 5 P Python @ </v>
      </c>
      <c r="AI494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J494" s="4" t="str">
        <f ca="1">IFERROR(__xludf.DUMMYFUNCTION("""COMPUTED_VALUE"""),"| 1 P Python @ | 3 L CPT @ | 4 L JAVA @ ")</f>
        <v xml:space="preserve">| 1 P Python @ | 3 L CPT @ | 4 L JAVA @ </v>
      </c>
      <c r="AK494" s="4" t="str">
        <f ca="1">IFERROR(__xludf.DUMMYFUNCTION("""COMPUTED_VALUE"""),"| 1 P JAVA % | 4 L NS % | 3 L JAVA % | 5 P PRO @ ")</f>
        <v xml:space="preserve">| 1 P JAVA % | 4 L NS % | 3 L JAVA % | 5 P PRO @ </v>
      </c>
      <c r="AL494" s="4" t="str">
        <f ca="1">IFERROR(__xludf.DUMMYFUNCTION("""COMPUTED_VALUE"""),"| 1 P JAVA % | 3 L PHP-CGM % | 4 L NS % | 5 P CPT @ ")</f>
        <v xml:space="preserve">| 1 P JAVA % | 3 L PHP-CGM % | 4 L NS % | 5 P CPT @ </v>
      </c>
      <c r="AM494" s="4" t="str">
        <f ca="1">IFERROR(__xludf.DUMMYFUNCTION("""COMPUTED_VALUE"""),"| 1 P NS % | 3 L CPT % | 4 L PHP-CGM % | 5 P Python @ ")</f>
        <v xml:space="preserve">| 1 P NS % | 3 L CPT % | 4 L PHP-CGM % | 5 P Python @ </v>
      </c>
      <c r="AN494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O494" s="4" t="str">
        <f ca="1">IFERROR(__xludf.DUMMYFUNCTION("""COMPUTED_VALUE"""),"| 1 P Python % | 3 L CPT % | 4 L JAVA % | 5 L INE @ ")</f>
        <v xml:space="preserve">| 1 P Python % | 3 L CPT % | 4 L JAVA % | 5 L INE @ </v>
      </c>
      <c r="AP494" s="4" t="str">
        <f ca="1">IFERROR(__xludf.DUMMYFUNCTION("""COMPUTED_VALUE"""),"| 1 P JAVA % | 3 L JAVA % | 4 L NS % | 5 P PRO @ ")</f>
        <v xml:space="preserve">| 1 P JAVA % | 3 L JAVA % | 4 L NS % | 5 P PRO @ </v>
      </c>
      <c r="AQ494" s="4" t="str">
        <f ca="1">IFERROR(__xludf.DUMMYFUNCTION("""COMPUTED_VALUE"""),"| 1 P JAVA % | 3 L PHP-CGM % | 4 L NS % | 5 P CPT % ")</f>
        <v xml:space="preserve">| 1 P JAVA % | 3 L PHP-CGM % | 4 L NS % | 5 P CPT % </v>
      </c>
      <c r="AR494" s="4" t="str">
        <f ca="1">IFERROR(__xludf.DUMMYFUNCTION("""COMPUTED_VALUE"""),"| 1 P NS % | 3 L CPT % | 5 P Python @ ")</f>
        <v xml:space="preserve">| 1 P NS % | 3 L CPT % | 5 P Python @ </v>
      </c>
      <c r="AS494" s="4" t="str">
        <f ca="1">IFERROR(__xludf.DUMMYFUNCTION("""COMPUTED_VALUE"""),"| 1 P Python % | 3 L CPT % | 4 L JAVA % | 5 L INE @ ")</f>
        <v xml:space="preserve">| 1 P Python % | 3 L CPT % | 4 L JAVA % | 5 L INE @ </v>
      </c>
      <c r="AT494" s="4" t="str">
        <f ca="1">IFERROR(__xludf.DUMMYFUNCTION("""COMPUTED_VALUE"""),"| 1 P JAVA % | 3 L JAVA % | 4 L NS % | 5 P PRO @ ")</f>
        <v xml:space="preserve">| 1 P JAVA % | 3 L JAVA % | 4 L NS % | 5 P PRO @ </v>
      </c>
      <c r="AU494" s="4" t="str">
        <f ca="1">IFERROR(__xludf.DUMMYFUNCTION("""COMPUTED_VALUE"""),"| 1 P JAVA % | 3 L PHP-CGM % | 4 L NS % | 5 P CPT @ ")</f>
        <v xml:space="preserve">| 1 P JAVA % | 3 L PHP-CGM % | 4 L NS % | 5 P CPT @ </v>
      </c>
      <c r="AV494" s="4" t="str">
        <f ca="1">IFERROR(__xludf.DUMMYFUNCTION("""COMPUTED_VALUE"""),"| 1 P NS % | 3 L CPT % | 4 L PHP-CGM % | 5 P Python % ")</f>
        <v xml:space="preserve">| 1 P NS % | 3 L CPT % | 4 L PHP-CGM % | 5 P Python % </v>
      </c>
      <c r="AW494" s="4" t="str">
        <f ca="1">IFERROR(__xludf.DUMMYFUNCTION("""COMPUTED_VALUE"""),"| 3 L PHP-CGM % | 4 L JAVA % | 5 L NS @ | 5 L CPT @ ")</f>
        <v xml:space="preserve">| 3 L PHP-CGM % | 4 L JAVA % | 5 L NS @ | 5 L CPT @ </v>
      </c>
      <c r="AX494" s="4" t="str">
        <f ca="1">IFERROR(__xludf.DUMMYFUNCTION("""COMPUTED_VALUE"""),"| 1 P Python @ | 3 L CPT % | 4 L JAVA % | 5 L INE @ ")</f>
        <v xml:space="preserve">| 1 P Python @ | 3 L CPT % | 4 L JAVA % | 5 L INE @ </v>
      </c>
      <c r="AY494" s="4" t="str">
        <f ca="1">IFERROR(__xludf.DUMMYFUNCTION("""COMPUTED_VALUE"""),"| 1 P JAVA @ | 3 L JAVA % | 4 L NS % | 5 P PRO @ ")</f>
        <v xml:space="preserve">| 1 P JAVA @ | 3 L JAVA % | 4 L NS % | 5 P PRO @ </v>
      </c>
      <c r="AZ494" s="4" t="str">
        <f ca="1">IFERROR(__xludf.DUMMYFUNCTION("""COMPUTED_VALUE"""),"| 1 P NS @ | 3 L CPT % | 4 L PHP-CGM % | 5 P Python @ ")</f>
        <v xml:space="preserve">| 1 P NS @ | 3 L CPT % | 4 L PHP-CGM % | 5 P Python @ </v>
      </c>
      <c r="BA494" s="4" t="str">
        <f ca="1">IFERROR(__xludf.DUMMYFUNCTION("""COMPUTED_VALUE"""),"| 1 P PHP-CGM @ | 3 L PHP-CGM % | 4 L JAVA % | 5 L NS % | 6 L CPT % ")</f>
        <v xml:space="preserve">| 1 P PHP-CGM @ | 3 L PHP-CGM % | 4 L JAVA % | 5 L NS % | 6 L CPT % </v>
      </c>
      <c r="BB494" s="4" t="str">
        <f ca="1">IFERROR(__xludf.DUMMYFUNCTION("""COMPUTED_VALUE"""),"| 1 P Python @ | 3 L CPT % | 4 L JAVA % | 5 L INE @ ")</f>
        <v xml:space="preserve">| 1 P Python @ | 3 L CPT % | 4 L JAVA % | 5 L INE @ </v>
      </c>
      <c r="BC494" s="4" t="str">
        <f ca="1">IFERROR(__xludf.DUMMYFUNCTION("""COMPUTED_VALUE"""),"| 1 P JAVA % | 3 L JAVA % | 4 L NS % | 5 P PRO % ")</f>
        <v xml:space="preserve">| 1 P JAVA % | 3 L JAVA % | 4 L NS % | 5 P PRO % </v>
      </c>
      <c r="BD494" s="4" t="str">
        <f ca="1">IFERROR(__xludf.DUMMYFUNCTION("""COMPUTED_VALUE"""),"| 1 P JAVA % | 4 L NS %  | 3 L PHP-CGM % | 5 P CPT @ ")</f>
        <v xml:space="preserve">| 1 P JAVA % | 4 L NS %  | 3 L PHP-CGM % | 5 P CPT @ </v>
      </c>
      <c r="BE494" s="4" t="str">
        <f ca="1">IFERROR(__xludf.DUMMYFUNCTION("""COMPUTED_VALUE"""),"| 1 P NS @ | 3 L CPT % | 4 L PHP-CGM % | 5 P Python @ ")</f>
        <v xml:space="preserve">| 1 P NS @ | 3 L CPT % | 4 L PHP-CGM % | 5 P Python @ </v>
      </c>
      <c r="BF494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494" s="4" t="str">
        <f ca="1">IFERROR(__xludf.DUMMYFUNCTION("""COMPUTED_VALUE"""),"| 1 P JAVA @ | 3 L JAVA @ | 4 L NS @ | 5 P PRO @ ")</f>
        <v xml:space="preserve">| 1 P JAVA @ | 3 L JAVA @ | 4 L NS @ | 5 P PRO @ </v>
      </c>
      <c r="BH494" s="4" t="str">
        <f ca="1">IFERROR(__xludf.DUMMYFUNCTION("""COMPUTED_VALUE"""),"| 1 P JAVA @ | 3 L PHP-CGM % | 4 L NS % | 5 P CPT @ ")</f>
        <v xml:space="preserve">| 1 P JAVA @ | 3 L PHP-CGM % | 4 L NS % | 5 P CPT @ </v>
      </c>
      <c r="BI494" s="4" t="str">
        <f ca="1">IFERROR(__xludf.DUMMYFUNCTION("""COMPUTED_VALUE"""),"| 1 P NS % | 3 L CPT % | 4 L PHP-CGM % | 5 P Python @ ")</f>
        <v xml:space="preserve">| 1 P NS % | 3 L CPT % | 4 L PHP-CGM % | 5 P Python @ </v>
      </c>
      <c r="BJ494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494" s="4" t="str">
        <f ca="1">IFERROR(__xludf.DUMMYFUNCTION("""COMPUTED_VALUE"""),"| 1 P Python @ | 3 L CPT @ | 4 L JAVA @ | 5 L INE @ ")</f>
        <v xml:space="preserve">| 1 P Python @ | 3 L CPT @ | 4 L JAVA @ | 5 L INE @ </v>
      </c>
      <c r="BL494" s="4" t="str">
        <f ca="1">IFERROR(__xludf.DUMMYFUNCTION("""COMPUTED_VALUE"""),"| 1 P JAVA @ | 3 L JAVA % | 4 L NS % ")</f>
        <v xml:space="preserve">| 1 P JAVA @ | 3 L JAVA % | 4 L NS % </v>
      </c>
      <c r="BM494" s="4" t="str">
        <f ca="1">IFERROR(__xludf.DUMMYFUNCTION("""COMPUTED_VALUE"""),"| 1 P JAVA @ | 3 L PHP-CGM % | 4 L NS % | 5 P CPT @ ")</f>
        <v xml:space="preserve">| 1 P JAVA @ | 3 L PHP-CGM % | 4 L NS % | 5 P CPT @ </v>
      </c>
      <c r="BN494" s="4" t="str">
        <f ca="1">IFERROR(__xludf.DUMMYFUNCTION("""COMPUTED_VALUE"""),"| 1 P NS @ | 3 L CPT @ | 4 L PHP-CGM @ ")</f>
        <v xml:space="preserve">| 1 P NS @ | 3 L CPT @ | 4 L PHP-CGM @ </v>
      </c>
      <c r="BO494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494" s="4" t="str">
        <f ca="1">IFERROR(__xludf.DUMMYFUNCTION("""COMPUTED_VALUE"""),"| 1 P Python @ | 3 L CPT % | 4 L JAVA % | 5 L INE @ ")</f>
        <v xml:space="preserve">| 1 P Python @ | 3 L CPT % | 4 L JAVA % | 5 L INE @ </v>
      </c>
      <c r="BQ494" s="4" t="str">
        <f ca="1">IFERROR(__xludf.DUMMYFUNCTION("""COMPUTED_VALUE"""),"| 4 L NS @ | 1 P JAVA % ")</f>
        <v xml:space="preserve">| 4 L NS @ | 1 P JAVA % </v>
      </c>
      <c r="BR494" s="4"/>
      <c r="BS494" s="4"/>
      <c r="BT494" s="4" t="str">
        <f ca="1">IFERROR(__xludf.DUMMYFUNCTION("""COMPUTED_VALUE"""),"| 1 P Python @ | 3 L CPT @ | 4 L JAVA @ ")</f>
        <v xml:space="preserve">| 1 P Python @ | 3 L CPT @ | 4 L JAVA @ </v>
      </c>
      <c r="BU494" s="4" t="str">
        <f ca="1">IFERROR(__xludf.DUMMYFUNCTION("""COMPUTED_VALUE"""),"| 1 P JAVA % | 4 L NS % | 3 L JAVA % ")</f>
        <v xml:space="preserve">| 1 P JAVA % | 4 L NS % | 3 L JAVA % </v>
      </c>
      <c r="BV494" s="4" t="str">
        <f ca="1">IFERROR(__xludf.DUMMYFUNCTION("""COMPUTED_VALUE"""),"| 1 P Python @ | 3 L CPT @ | 4 L JAVA @ ")</f>
        <v xml:space="preserve">| 1 P Python @ | 3 L CPT @ | 4 L JAVA @ </v>
      </c>
      <c r="BW494" s="4" t="str">
        <f ca="1">IFERROR(__xludf.DUMMYFUNCTION("""COMPUTED_VALUE"""),"| 1 P JAVA @ | 3 L JAVA % | 4 L NS % ")</f>
        <v xml:space="preserve">| 1 P JAVA @ | 3 L JAVA % | 4 L NS % </v>
      </c>
      <c r="BX494" s="4" t="str">
        <f ca="1">IFERROR(__xludf.DUMMYFUNCTION("""COMPUTED_VALUE"""),"| 1 P JAVA @ | 3 L PHP-CGM % | 4 L NS % | 5 P CPT @ ")</f>
        <v xml:space="preserve">| 1 P JAVA @ | 3 L PHP-CGM % | 4 L NS % | 5 P CPT @ </v>
      </c>
      <c r="BY494" s="4" t="str">
        <f ca="1">IFERROR(__xludf.DUMMYFUNCTION("""COMPUTED_VALUE"""),"| 1 P NS @ | 3 L CPT % | 4 L PHP-CGM % | 5 P Python @ ")</f>
        <v xml:space="preserve">| 1 P NS @ | 3 L CPT % | 4 L PHP-CGM % | 5 P Python @ </v>
      </c>
      <c r="BZ494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494" s="4" t="str">
        <f ca="1">IFERROR(__xludf.DUMMYFUNCTION("""COMPUTED_VALUE"""),"| 1 P Python % | 3 L CPT % | 4 L JAVA % | 5 L INE % ")</f>
        <v xml:space="preserve">| 1 P Python % | 3 L CPT % | 4 L JAVA % | 5 L INE % </v>
      </c>
      <c r="CB494" s="4" t="str">
        <f ca="1">IFERROR(__xludf.DUMMYFUNCTION("""COMPUTED_VALUE"""),"| 1 P JAVA % | 3 L JAVA % | 4 L NS % | 5 P PRO @ ")</f>
        <v xml:space="preserve">| 1 P JAVA % | 3 L JAVA % | 4 L NS % | 5 P PRO @ </v>
      </c>
      <c r="CC494" s="4" t="str">
        <f ca="1">IFERROR(__xludf.DUMMYFUNCTION("""COMPUTED_VALUE"""),"| 1 P JAVA @ | 3 L PHP-CGM @ | 4 L NS @ | 5 P CPT @ ")</f>
        <v xml:space="preserve">| 1 P JAVA @ | 3 L PHP-CGM @ | 4 L NS @ | 5 P CPT @ </v>
      </c>
      <c r="CD494" s="4" t="str">
        <f ca="1">IFERROR(__xludf.DUMMYFUNCTION("""COMPUTED_VALUE"""),"| 1 P NS % | 3 L CPT % | 4 L PHP-CGM % | 5 P Python @ ")</f>
        <v xml:space="preserve">| 1 P NS % | 3 L CPT % | 4 L PHP-CGM % | 5 P Python @ </v>
      </c>
      <c r="CE494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F494" s="4" t="str">
        <f ca="1">IFERROR(__xludf.DUMMYFUNCTION("""COMPUTED_VALUE"""),"| 1 P Python % | 3 L CPT @ | 4 L JAVA % | 5 L INE @ ")</f>
        <v xml:space="preserve">| 1 P Python % | 3 L CPT @ | 4 L JAVA % | 5 L INE @ </v>
      </c>
      <c r="CG494" s="4" t="str">
        <f ca="1">IFERROR(__xludf.DUMMYFUNCTION("""COMPUTED_VALUE"""),"| 1 P JAVA % | 4 L NS % ")</f>
        <v xml:space="preserve">| 1 P JAVA % | 4 L NS % </v>
      </c>
      <c r="CH494" s="4" t="str">
        <f ca="1">IFERROR(__xludf.DUMMYFUNCTION("""COMPUTED_VALUE"""),"| 1 P JAVA @ | 3 L PHP-CGM @ | 4 L NS @ ")</f>
        <v xml:space="preserve">| 1 P JAVA @ | 3 L PHP-CGM @ | 4 L NS @ </v>
      </c>
      <c r="CI494" s="4" t="str">
        <f ca="1">IFERROR(__xludf.DUMMYFUNCTION("""COMPUTED_VALUE"""),"| 1 P NS % ")</f>
        <v xml:space="preserve">| 1 P NS % </v>
      </c>
      <c r="CJ494" s="4" t="str">
        <f ca="1">IFERROR(__xludf.DUMMYFUNCTION("""COMPUTED_VALUE"""),"| 1 P PHP-CGM @ | 4 L JAVA % ")</f>
        <v xml:space="preserve">| 1 P PHP-CGM @ | 4 L JAVA % </v>
      </c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</row>
    <row r="495" spans="1:102" ht="12.5" x14ac:dyDescent="0.25">
      <c r="A495" s="3">
        <f ca="1">IFERROR(__xludf.DUMMYFUNCTION("""COMPUTED_VALUE"""),2)</f>
        <v>2</v>
      </c>
      <c r="B495" s="3" t="str">
        <f ca="1">IFERROR(__xludf.DUMMYFUNCTION("""COMPUTED_VALUE"""),"ITC")</f>
        <v>ITC</v>
      </c>
      <c r="C495" s="32" t="str">
        <f ca="1">IFERROR(__xludf.DUMMYFUNCTION("""COMPUTED_VALUE"""),"23171371067")</f>
        <v>23171371067</v>
      </c>
      <c r="D495" s="4" t="str">
        <f ca="1">IFERROR(__xludf.DUMMYFUNCTION("""COMPUTED_VALUE"""),"PATEL DEVKUMAR RAMESHBHAI")</f>
        <v>PATEL DEVKUMAR RAMESHBHAI</v>
      </c>
      <c r="E495" s="3" t="str">
        <f ca="1">IFERROR(__xludf.DUMMYFUNCTION("""COMPUTED_VALUE"""),"SDP&amp;KKP - Mor")</f>
        <v>SDP&amp;KKP - Mor</v>
      </c>
      <c r="F495" s="3">
        <f ca="1">IFERROR(__xludf.DUMMYFUNCTION("""COMPUTED_VALUE"""),7990442582)</f>
        <v>7990442582</v>
      </c>
      <c r="G495" s="3">
        <f ca="1">IFERROR(__xludf.DUMMYFUNCTION("""COMPUTED_VALUE"""),6353464210)</f>
        <v>6353464210</v>
      </c>
      <c r="H495" s="33">
        <f ca="1">IFERROR(__xludf.DUMMYFUNCTION("""COMPUTED_VALUE"""),0.879166666666666)</f>
        <v>0.87916666666666599</v>
      </c>
      <c r="I495" s="25">
        <f ca="1">IFERROR(__xludf.DUMMYFUNCTION("""COMPUTED_VALUE"""),0.861111111111111)</f>
        <v>0.86111111111111105</v>
      </c>
      <c r="J495" s="25">
        <f ca="1">IFERROR(__xludf.DUMMYFUNCTION("""COMPUTED_VALUE"""),0.9)</f>
        <v>0.9</v>
      </c>
      <c r="K495" s="25">
        <f ca="1">IFERROR(__xludf.DUMMYFUNCTION("""COMPUTED_VALUE"""),0.885714285714285)</f>
        <v>0.88571428571428501</v>
      </c>
      <c r="L495" s="25">
        <f ca="1">IFERROR(__xludf.DUMMYFUNCTION("""COMPUTED_VALUE"""),0.769230769230769)</f>
        <v>0.76923076923076905</v>
      </c>
      <c r="M495" s="25">
        <f ca="1">IFERROR(__xludf.DUMMYFUNCTION("""COMPUTED_VALUE"""),0.852941176470588)</f>
        <v>0.85294117647058798</v>
      </c>
      <c r="N495" s="25">
        <f ca="1">IFERROR(__xludf.DUMMYFUNCTION("""COMPUTED_VALUE"""),0.818181818181818)</f>
        <v>0.81818181818181801</v>
      </c>
      <c r="O495" s="25">
        <f ca="1">IFERROR(__xludf.DUMMYFUNCTION("""COMPUTED_VALUE"""),0.918918918918919)</f>
        <v>0.91891891891891897</v>
      </c>
      <c r="P495" s="25">
        <f ca="1">IFERROR(__xludf.DUMMYFUNCTION("""COMPUTED_VALUE"""),0.958333333333333)</f>
        <v>0.95833333333333304</v>
      </c>
      <c r="Q495" s="25">
        <f ca="1">IFERROR(__xludf.DUMMYFUNCTION("""COMPUTED_VALUE"""),0)</f>
        <v>0</v>
      </c>
      <c r="R495" s="25">
        <f ca="1">IFERROR(__xludf.DUMMYFUNCTION("""COMPUTED_VALUE"""),0.833333333333333)</f>
        <v>0.83333333333333304</v>
      </c>
      <c r="S495" s="25">
        <f ca="1">IFERROR(__xludf.DUMMYFUNCTION("""COMPUTED_VALUE"""),0)</f>
        <v>0</v>
      </c>
      <c r="T495" s="25">
        <f ca="1">IFERROR(__xludf.DUMMYFUNCTION("""COMPUTED_VALUE"""),1)</f>
        <v>1</v>
      </c>
      <c r="U495" s="25">
        <f ca="1">IFERROR(__xludf.DUMMYFUNCTION("""COMPUTED_VALUE"""),0.875)</f>
        <v>0.875</v>
      </c>
      <c r="V495" s="25">
        <f ca="1">IFERROR(__xludf.DUMMYFUNCTION("""COMPUTED_VALUE"""),0)</f>
        <v>0</v>
      </c>
      <c r="W495" s="4"/>
      <c r="X495" s="4" t="str">
        <f ca="1">IFERROR(__xludf.DUMMYFUNCTION("""COMPUTED_VALUE"""),"| 1 L PHP-CGM % | 6 L JAVA % | 3 P PHP-CGM % ")</f>
        <v xml:space="preserve">| 1 L PHP-CGM % | 6 L JAVA % | 3 P PHP-CGM % </v>
      </c>
      <c r="Y495" s="4" t="str">
        <f ca="1">IFERROR(__xludf.DUMMYFUNCTION("""COMPUTED_VALUE"""),"| 5 L JAVA @ | 6 L NS @ | 7 P NS @ | 9 L CPT % | 6 L PHP-CGM % ")</f>
        <v xml:space="preserve">| 5 L JAVA @ | 6 L NS @ | 7 P NS @ | 9 L CPT % | 6 L PHP-CGM % </v>
      </c>
      <c r="Z495" s="4" t="str">
        <f ca="1">IFERROR(__xludf.DUMMYFUNCTION("""COMPUTED_VALUE"""),"| 5 L CPT @ | 6 L PHP-CGM @ | 7 P Python % | 9 P CPT % ")</f>
        <v xml:space="preserve">| 5 L CPT @ | 6 L PHP-CGM @ | 7 P Python % | 9 P CPT % </v>
      </c>
      <c r="AA495" s="4" t="str">
        <f ca="1">IFERROR(__xludf.DUMMYFUNCTION("""COMPUTED_VALUE"""),"| 5 P Python @ ")</f>
        <v xml:space="preserve">| 5 P Python @ </v>
      </c>
      <c r="AB495" s="4" t="str">
        <f ca="1">IFERROR(__xludf.DUMMYFUNCTION("""COMPUTED_VALUE"""),"| 1 P JAVA % | 3 L PHP-CGM % | 4 L JAVA % | 5 L CPT % | 6 L NS % ")</f>
        <v xml:space="preserve">| 1 P JAVA % | 3 L PHP-CGM % | 4 L JAVA % | 5 L CPT % | 6 L NS % </v>
      </c>
      <c r="AC495" s="4" t="str">
        <f ca="1">IFERROR(__xludf.DUMMYFUNCTION("""COMPUTED_VALUE"""),"| 1 P Python % | 3 L CPT % | 4 L JAVA % ")</f>
        <v xml:space="preserve">| 1 P Python % | 3 L CPT % | 4 L JAVA % </v>
      </c>
      <c r="AD495" s="4" t="str">
        <f ca="1">IFERROR(__xludf.DUMMYFUNCTION("""COMPUTED_VALUE"""),"| 1 P JAVA % | 3 L JAVA % | 4 L NS % | 5 P PRO % ")</f>
        <v xml:space="preserve">| 1 P JAVA % | 3 L JAVA % | 4 L NS % | 5 P PRO % </v>
      </c>
      <c r="AE495" s="4" t="str">
        <f ca="1">IFERROR(__xludf.DUMMYFUNCTION("""COMPUTED_VALUE"""),"| 1 P JAVA % | 3 L PHP-CGM % | 4 L NS % | 5 P CPT % ")</f>
        <v xml:space="preserve">| 1 P JAVA % | 3 L PHP-CGM % | 4 L NS % | 5 P CPT % </v>
      </c>
      <c r="AF495" s="4" t="str">
        <f ca="1">IFERROR(__xludf.DUMMYFUNCTION("""COMPUTED_VALUE"""),"| 1 P NS % | 3 L CPT % | 4 L PHP-CGM % | 5 P Python % ")</f>
        <v xml:space="preserve">| 1 P NS % | 3 L CPT % | 4 L PHP-CGM % | 5 P Python % </v>
      </c>
      <c r="AG495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495" s="4" t="str">
        <f ca="1">IFERROR(__xludf.DUMMYFUNCTION("""COMPUTED_VALUE"""),"| 1 P NS % | 3 L CPT % | 4 L PHP-CGM % | 5 P Python % ")</f>
        <v xml:space="preserve">| 1 P NS % | 3 L CPT % | 4 L PHP-CGM % | 5 P Python % </v>
      </c>
      <c r="AI495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495" s="4" t="str">
        <f ca="1">IFERROR(__xludf.DUMMYFUNCTION("""COMPUTED_VALUE"""),"| 1 P Python % | 3 L CPT % | 4 L JAVA % ")</f>
        <v xml:space="preserve">| 1 P Python % | 3 L CPT % | 4 L JAVA % </v>
      </c>
      <c r="AK495" s="4" t="str">
        <f ca="1">IFERROR(__xludf.DUMMYFUNCTION("""COMPUTED_VALUE"""),"| 1 P JAVA % | 4 L NS % | 3 L JAVA % | 5 P PRO % ")</f>
        <v xml:space="preserve">| 1 P JAVA % | 4 L NS % | 3 L JAVA % | 5 P PRO % </v>
      </c>
      <c r="AL495" s="4" t="str">
        <f ca="1">IFERROR(__xludf.DUMMYFUNCTION("""COMPUTED_VALUE"""),"| 1 P JAVA % | 3 L PHP-CGM % | 4 L NS % | 5 P CPT % ")</f>
        <v xml:space="preserve">| 1 P JAVA % | 3 L PHP-CGM % | 4 L NS % | 5 P CPT % </v>
      </c>
      <c r="AM495" s="4" t="str">
        <f ca="1">IFERROR(__xludf.DUMMYFUNCTION("""COMPUTED_VALUE"""),"| 1 P NS % | 3 L CPT % | 4 L PHP-CGM % | 5 P Python % ")</f>
        <v xml:space="preserve">| 1 P NS % | 3 L CPT % | 4 L PHP-CGM % | 5 P Python % </v>
      </c>
      <c r="AN495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495" s="4" t="str">
        <f ca="1">IFERROR(__xludf.DUMMYFUNCTION("""COMPUTED_VALUE"""),"| 1 P Python % | 3 L CPT % | 4 L JAVA % | 5 L INE % ")</f>
        <v xml:space="preserve">| 1 P Python % | 3 L CPT % | 4 L JAVA % | 5 L INE % </v>
      </c>
      <c r="AP495" s="4" t="str">
        <f ca="1">IFERROR(__xludf.DUMMYFUNCTION("""COMPUTED_VALUE"""),"| 1 P JAVA % | 3 L JAVA % | 4 L NS % | 5 P PRO % ")</f>
        <v xml:space="preserve">| 1 P JAVA % | 3 L JAVA % | 4 L NS % | 5 P PRO % </v>
      </c>
      <c r="AQ495" s="4" t="str">
        <f ca="1">IFERROR(__xludf.DUMMYFUNCTION("""COMPUTED_VALUE"""),"| 1 P JAVA % | 3 L PHP-CGM % | 4 L NS % | 5 P CPT % ")</f>
        <v xml:space="preserve">| 1 P JAVA % | 3 L PHP-CGM % | 4 L NS % | 5 P CPT % </v>
      </c>
      <c r="AR495" s="4" t="str">
        <f ca="1">IFERROR(__xludf.DUMMYFUNCTION("""COMPUTED_VALUE"""),"| 1 P NS % | 3 L CPT % | 5 P Python % ")</f>
        <v xml:space="preserve">| 1 P NS % | 3 L CPT % | 5 P Python % </v>
      </c>
      <c r="AS495" s="4" t="str">
        <f ca="1">IFERROR(__xludf.DUMMYFUNCTION("""COMPUTED_VALUE"""),"| 1 P Python % | 3 L CPT % | 4 L JAVA % | 5 L INE % ")</f>
        <v xml:space="preserve">| 1 P Python % | 3 L CPT % | 4 L JAVA % | 5 L INE % </v>
      </c>
      <c r="AT495" s="4" t="str">
        <f ca="1">IFERROR(__xludf.DUMMYFUNCTION("""COMPUTED_VALUE"""),"| 1 P JAVA % | 3 L JAVA % | 4 L NS % | 5 P PRO % ")</f>
        <v xml:space="preserve">| 1 P JAVA % | 3 L JAVA % | 4 L NS % | 5 P PRO % </v>
      </c>
      <c r="AU495" s="4" t="str">
        <f ca="1">IFERROR(__xludf.DUMMYFUNCTION("""COMPUTED_VALUE"""),"| 1 P JAVA % | 3 L PHP-CGM % | 4 L NS % | 5 P CPT % ")</f>
        <v xml:space="preserve">| 1 P JAVA % | 3 L PHP-CGM % | 4 L NS % | 5 P CPT % </v>
      </c>
      <c r="AV495" s="4" t="str">
        <f ca="1">IFERROR(__xludf.DUMMYFUNCTION("""COMPUTED_VALUE"""),"| 1 P NS % | 3 L CPT % | 4 L PHP-CGM % | 5 P Python % ")</f>
        <v xml:space="preserve">| 1 P NS % | 3 L CPT % | 4 L PHP-CGM % | 5 P Python % </v>
      </c>
      <c r="AW495" s="4" t="str">
        <f ca="1">IFERROR(__xludf.DUMMYFUNCTION("""COMPUTED_VALUE"""),"| 3 L PHP-CGM % | 4 L JAVA % | 5 L NS % | 5 L CPT % ")</f>
        <v xml:space="preserve">| 3 L PHP-CGM % | 4 L JAVA % | 5 L NS % | 5 L CPT % </v>
      </c>
      <c r="AX495" s="4" t="str">
        <f ca="1">IFERROR(__xludf.DUMMYFUNCTION("""COMPUTED_VALUE"""),"| 1 P Python % | 3 L CPT % | 4 L JAVA % | 5 L INE % ")</f>
        <v xml:space="preserve">| 1 P Python % | 3 L CPT % | 4 L JAVA % | 5 L INE % </v>
      </c>
      <c r="AY495" s="4" t="str">
        <f ca="1">IFERROR(__xludf.DUMMYFUNCTION("""COMPUTED_VALUE"""),"| 1 P JAVA % | 3 L JAVA % | 4 L NS % | 5 P PRO % ")</f>
        <v xml:space="preserve">| 1 P JAVA % | 3 L JAVA % | 4 L NS % | 5 P PRO % </v>
      </c>
      <c r="AZ495" s="4" t="str">
        <f ca="1">IFERROR(__xludf.DUMMYFUNCTION("""COMPUTED_VALUE"""),"| 1 P NS @ | 3 L CPT @ | 4 L PHP-CGM @ | 5 P Python @ ")</f>
        <v xml:space="preserve">| 1 P NS @ | 3 L CPT @ | 4 L PHP-CGM @ | 5 P Python @ </v>
      </c>
      <c r="BA49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495" s="4" t="str">
        <f ca="1">IFERROR(__xludf.DUMMYFUNCTION("""COMPUTED_VALUE"""),"| 1 P Python % | 3 L CPT % | 4 L JAVA % | 5 L INE % ")</f>
        <v xml:space="preserve">| 1 P Python % | 3 L CPT % | 4 L JAVA % | 5 L INE % </v>
      </c>
      <c r="BC495" s="4" t="str">
        <f ca="1">IFERROR(__xludf.DUMMYFUNCTION("""COMPUTED_VALUE"""),"| 1 P JAVA % | 3 L JAVA % | 4 L NS % | 5 P PRO % ")</f>
        <v xml:space="preserve">| 1 P JAVA % | 3 L JAVA % | 4 L NS % | 5 P PRO % </v>
      </c>
      <c r="BD495" s="4" t="str">
        <f ca="1">IFERROR(__xludf.DUMMYFUNCTION("""COMPUTED_VALUE"""),"| 1 P JAVA % | 4 L NS %  | 3 L PHP-CGM % | 5 P CPT % ")</f>
        <v xml:space="preserve">| 1 P JAVA % | 4 L NS %  | 3 L PHP-CGM % | 5 P CPT % </v>
      </c>
      <c r="BE495" s="4" t="str">
        <f ca="1">IFERROR(__xludf.DUMMYFUNCTION("""COMPUTED_VALUE"""),"| 1 P NS % | 3 L CPT % | 4 L PHP-CGM % | 5 P Python % ")</f>
        <v xml:space="preserve">| 1 P NS % | 3 L CPT % | 4 L PHP-CGM % | 5 P Python % </v>
      </c>
      <c r="BF49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495" s="4" t="str">
        <f ca="1">IFERROR(__xludf.DUMMYFUNCTION("""COMPUTED_VALUE"""),"| 1 P JAVA % | 3 L JAVA % | 4 L NS % | 5 P PRO % ")</f>
        <v xml:space="preserve">| 1 P JAVA % | 3 L JAVA % | 4 L NS % | 5 P PRO % </v>
      </c>
      <c r="BH495" s="4" t="str">
        <f ca="1">IFERROR(__xludf.DUMMYFUNCTION("""COMPUTED_VALUE"""),"| 1 P JAVA % | 3 L PHP-CGM % | 4 L NS % | 5 P CPT % ")</f>
        <v xml:space="preserve">| 1 P JAVA % | 3 L PHP-CGM % | 4 L NS % | 5 P CPT % </v>
      </c>
      <c r="BI495" s="4" t="str">
        <f ca="1">IFERROR(__xludf.DUMMYFUNCTION("""COMPUTED_VALUE"""),"| 1 P NS % | 3 L CPT % | 4 L PHP-CGM % | 5 P Python % ")</f>
        <v xml:space="preserve">| 1 P NS % | 3 L CPT % | 4 L PHP-CGM % | 5 P Python % </v>
      </c>
      <c r="BJ49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495" s="4" t="str">
        <f ca="1">IFERROR(__xludf.DUMMYFUNCTION("""COMPUTED_VALUE"""),"| 1 P Python % | 3 L CPT % | 4 L JAVA % | 5 L INE % ")</f>
        <v xml:space="preserve">| 1 P Python % | 3 L CPT % | 4 L JAVA % | 5 L INE % </v>
      </c>
      <c r="BL495" s="4" t="str">
        <f ca="1">IFERROR(__xludf.DUMMYFUNCTION("""COMPUTED_VALUE"""),"| 1 P JAVA % | 3 L JAVA % | 4 L NS % ")</f>
        <v xml:space="preserve">| 1 P JAVA % | 3 L JAVA % | 4 L NS % </v>
      </c>
      <c r="BM495" s="4" t="str">
        <f ca="1">IFERROR(__xludf.DUMMYFUNCTION("""COMPUTED_VALUE"""),"| 1 P JAVA % | 3 L PHP-CGM % | 4 L NS % | 5 P CPT % ")</f>
        <v xml:space="preserve">| 1 P JAVA % | 3 L PHP-CGM % | 4 L NS % | 5 P CPT % </v>
      </c>
      <c r="BN495" s="4" t="str">
        <f ca="1">IFERROR(__xludf.DUMMYFUNCTION("""COMPUTED_VALUE"""),"| 1 P NS @ | 3 L CPT @ | 4 L PHP-CGM @ ")</f>
        <v xml:space="preserve">| 1 P NS @ | 3 L CPT @ | 4 L PHP-CGM @ </v>
      </c>
      <c r="BO495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495" s="4" t="str">
        <f ca="1">IFERROR(__xludf.DUMMYFUNCTION("""COMPUTED_VALUE"""),"| 1 P Python % | 3 L CPT % | 4 L JAVA % | 5 L INE % ")</f>
        <v xml:space="preserve">| 1 P Python % | 3 L CPT % | 4 L JAVA % | 5 L INE % </v>
      </c>
      <c r="BQ495" s="4" t="str">
        <f ca="1">IFERROR(__xludf.DUMMYFUNCTION("""COMPUTED_VALUE"""),"| 4 L NS @ | 1 P JAVA % ")</f>
        <v xml:space="preserve">| 4 L NS @ | 1 P JAVA % </v>
      </c>
      <c r="BR495" s="4"/>
      <c r="BS495" s="4"/>
      <c r="BT495" s="4" t="str">
        <f ca="1">IFERROR(__xludf.DUMMYFUNCTION("""COMPUTED_VALUE"""),"| 1 P Python % | 3 L CPT % | 4 L JAVA % ")</f>
        <v xml:space="preserve">| 1 P Python % | 3 L CPT % | 4 L JAVA % </v>
      </c>
      <c r="BU495" s="4" t="str">
        <f ca="1">IFERROR(__xludf.DUMMYFUNCTION("""COMPUTED_VALUE"""),"| 1 P JAVA % | 4 L NS % | 3 L JAVA % ")</f>
        <v xml:space="preserve">| 1 P JAVA % | 4 L NS % | 3 L JAVA % </v>
      </c>
      <c r="BV495" s="4" t="str">
        <f ca="1">IFERROR(__xludf.DUMMYFUNCTION("""COMPUTED_VALUE"""),"| 1 P Python @ | 3 L CPT @ | 4 L JAVA @ ")</f>
        <v xml:space="preserve">| 1 P Python @ | 3 L CPT @ | 4 L JAVA @ </v>
      </c>
      <c r="BW495" s="4" t="str">
        <f ca="1">IFERROR(__xludf.DUMMYFUNCTION("""COMPUTED_VALUE"""),"| 1 P JAVA % | 3 L JAVA % | 4 L NS % ")</f>
        <v xml:space="preserve">| 1 P JAVA % | 3 L JAVA % | 4 L NS % </v>
      </c>
      <c r="BX495" s="4" t="str">
        <f ca="1">IFERROR(__xludf.DUMMYFUNCTION("""COMPUTED_VALUE"""),"| 1 P JAVA @ | 3 L PHP-CGM @ | 4 L NS @ | 5 P CPT @ ")</f>
        <v xml:space="preserve">| 1 P JAVA @ | 3 L PHP-CGM @ | 4 L NS @ | 5 P CPT @ </v>
      </c>
      <c r="BY495" s="4" t="str">
        <f ca="1">IFERROR(__xludf.DUMMYFUNCTION("""COMPUTED_VALUE"""),"| 1 P NS % | 3 L CPT % | 4 L PHP-CGM % | 5 P Python % ")</f>
        <v xml:space="preserve">| 1 P NS % | 3 L CPT % | 4 L PHP-CGM % | 5 P Python % </v>
      </c>
      <c r="BZ495" s="4" t="str">
        <f ca="1">IFERROR(__xludf.DUMMYFUNCTION("""COMPUTED_VALUE"""),"| 1 P PHP-CGM % | 3 L PHP-CGM % | 4 L JAVA % | 5 L NS % | 6 L CPT @ ")</f>
        <v xml:space="preserve">| 1 P PHP-CGM % | 3 L PHP-CGM % | 4 L JAVA % | 5 L NS % | 6 L CPT @ </v>
      </c>
      <c r="CA495" s="4" t="str">
        <f ca="1">IFERROR(__xludf.DUMMYFUNCTION("""COMPUTED_VALUE"""),"| 1 P Python @ | 3 L CPT % | 4 L JAVA % | 5 L INE % ")</f>
        <v xml:space="preserve">| 1 P Python @ | 3 L CPT % | 4 L JAVA % | 5 L INE % </v>
      </c>
      <c r="CB495" s="4" t="str">
        <f ca="1">IFERROR(__xludf.DUMMYFUNCTION("""COMPUTED_VALUE"""),"| 1 P JAVA % | 3 L JAVA % | 4 L NS % | 5 P PRO % ")</f>
        <v xml:space="preserve">| 1 P JAVA % | 3 L JAVA % | 4 L NS % | 5 P PRO % </v>
      </c>
      <c r="CC495" s="4" t="str">
        <f ca="1">IFERROR(__xludf.DUMMYFUNCTION("""COMPUTED_VALUE"""),"| 1 P JAVA % | 3 L PHP-CGM % | 4 L NS % | 5 P CPT % ")</f>
        <v xml:space="preserve">| 1 P JAVA % | 3 L PHP-CGM % | 4 L NS % | 5 P CPT % </v>
      </c>
      <c r="CD495" s="4" t="str">
        <f ca="1">IFERROR(__xludf.DUMMYFUNCTION("""COMPUTED_VALUE"""),"| 1 P NS % | 3 L CPT % | 4 L PHP-CGM % | 5 P Python % ")</f>
        <v xml:space="preserve">| 1 P NS % | 3 L CPT % | 4 L PHP-CGM % | 5 P Python % </v>
      </c>
      <c r="CE49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495" s="4" t="str">
        <f ca="1">IFERROR(__xludf.DUMMYFUNCTION("""COMPUTED_VALUE"""),"| 1 P Python % | 3 L CPT % | 4 L JAVA % | 5 L INE @ ")</f>
        <v xml:space="preserve">| 1 P Python % | 3 L CPT % | 4 L JAVA % | 5 L INE @ </v>
      </c>
      <c r="CG495" s="4" t="str">
        <f ca="1">IFERROR(__xludf.DUMMYFUNCTION("""COMPUTED_VALUE"""),"| 1 P JAVA % | 4 L NS % ")</f>
        <v xml:space="preserve">| 1 P JAVA % | 4 L NS % </v>
      </c>
      <c r="CH495" s="4" t="str">
        <f ca="1">IFERROR(__xludf.DUMMYFUNCTION("""COMPUTED_VALUE"""),"| 1 P JAVA % | 3 L PHP-CGM % | 4 L NS % ")</f>
        <v xml:space="preserve">| 1 P JAVA % | 3 L PHP-CGM % | 4 L NS % </v>
      </c>
      <c r="CI495" s="4" t="str">
        <f ca="1">IFERROR(__xludf.DUMMYFUNCTION("""COMPUTED_VALUE"""),"| 1 P NS % ")</f>
        <v xml:space="preserve">| 1 P NS % </v>
      </c>
      <c r="CJ495" s="4" t="str">
        <f ca="1">IFERROR(__xludf.DUMMYFUNCTION("""COMPUTED_VALUE"""),"| 1 P PHP-CGM @ | 4 L JAVA % ")</f>
        <v xml:space="preserve">| 1 P PHP-CGM @ | 4 L JAVA % </v>
      </c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</row>
    <row r="496" spans="1:102" ht="12.5" x14ac:dyDescent="0.25">
      <c r="A496" s="3">
        <f ca="1">IFERROR(__xludf.DUMMYFUNCTION("""COMPUTED_VALUE"""),2)</f>
        <v>2</v>
      </c>
      <c r="B496" s="3" t="str">
        <f ca="1">IFERROR(__xludf.DUMMYFUNCTION("""COMPUTED_VALUE"""),"ITC")</f>
        <v>ITC</v>
      </c>
      <c r="C496" s="32" t="str">
        <f ca="1">IFERROR(__xludf.DUMMYFUNCTION("""COMPUTED_VALUE"""),"23171371068")</f>
        <v>23171371068</v>
      </c>
      <c r="D496" s="4" t="str">
        <f ca="1">IFERROR(__xludf.DUMMYFUNCTION("""COMPUTED_VALUE"""),"PATEL DHRITI ASHOK")</f>
        <v>PATEL DHRITI ASHOK</v>
      </c>
      <c r="E496" s="3" t="str">
        <f ca="1">IFERROR(__xludf.DUMMYFUNCTION("""COMPUTED_VALUE"""),"SDP&amp;KKP - Mor")</f>
        <v>SDP&amp;KKP - Mor</v>
      </c>
      <c r="F496" s="3">
        <f ca="1">IFERROR(__xludf.DUMMYFUNCTION("""COMPUTED_VALUE"""),9265619210)</f>
        <v>9265619210</v>
      </c>
      <c r="G496" s="3">
        <f ca="1">IFERROR(__xludf.DUMMYFUNCTION("""COMPUTED_VALUE"""),9408574071)</f>
        <v>9408574071</v>
      </c>
      <c r="H496" s="33">
        <f ca="1">IFERROR(__xludf.DUMMYFUNCTION("""COMPUTED_VALUE"""),0.0580912863070539)</f>
        <v>5.8091286307053902E-2</v>
      </c>
      <c r="I496" s="25">
        <f ca="1">IFERROR(__xludf.DUMMYFUNCTION("""COMPUTED_VALUE"""),0.0555555555555555)</f>
        <v>5.5555555555555497E-2</v>
      </c>
      <c r="J496" s="25">
        <f ca="1">IFERROR(__xludf.DUMMYFUNCTION("""COMPUTED_VALUE"""),0)</f>
        <v>0</v>
      </c>
      <c r="K496" s="25">
        <f ca="1">IFERROR(__xludf.DUMMYFUNCTION("""COMPUTED_VALUE"""),0.0555555555555555)</f>
        <v>5.5555555555555497E-2</v>
      </c>
      <c r="L496" s="25">
        <f ca="1">IFERROR(__xludf.DUMMYFUNCTION("""COMPUTED_VALUE"""),0.0769230769230769)</f>
        <v>7.69230769230769E-2</v>
      </c>
      <c r="M496" s="25">
        <f ca="1">IFERROR(__xludf.DUMMYFUNCTION("""COMPUTED_VALUE"""),0.0625)</f>
        <v>6.25E-2</v>
      </c>
      <c r="N496" s="25">
        <f ca="1">IFERROR(__xludf.DUMMYFUNCTION("""COMPUTED_VALUE"""),0)</f>
        <v>0</v>
      </c>
      <c r="O496" s="25">
        <f ca="1">IFERROR(__xludf.DUMMYFUNCTION("""COMPUTED_VALUE"""),0.054054054054054)</f>
        <v>5.4054054054054002E-2</v>
      </c>
      <c r="P496" s="25">
        <f ca="1">IFERROR(__xludf.DUMMYFUNCTION("""COMPUTED_VALUE"""),0.16)</f>
        <v>0.16</v>
      </c>
      <c r="Q496" s="25">
        <f ca="1">IFERROR(__xludf.DUMMYFUNCTION("""COMPUTED_VALUE"""),0)</f>
        <v>0</v>
      </c>
      <c r="R496" s="25">
        <f ca="1">IFERROR(__xludf.DUMMYFUNCTION("""COMPUTED_VALUE"""),0)</f>
        <v>0</v>
      </c>
      <c r="S496" s="25">
        <f ca="1">IFERROR(__xludf.DUMMYFUNCTION("""COMPUTED_VALUE"""),0)</f>
        <v>0</v>
      </c>
      <c r="T496" s="25">
        <f ca="1">IFERROR(__xludf.DUMMYFUNCTION("""COMPUTED_VALUE"""),0.111111111111111)</f>
        <v>0.11111111111111099</v>
      </c>
      <c r="U496" s="25">
        <f ca="1">IFERROR(__xludf.DUMMYFUNCTION("""COMPUTED_VALUE"""),0)</f>
        <v>0</v>
      </c>
      <c r="V496" s="25">
        <f ca="1">IFERROR(__xludf.DUMMYFUNCTION("""COMPUTED_VALUE"""),0)</f>
        <v>0</v>
      </c>
      <c r="W496" s="4"/>
      <c r="X496" s="4" t="str">
        <f ca="1">IFERROR(__xludf.DUMMYFUNCTION("""COMPUTED_VALUE"""),"| 1 P CPT @ | 3 L CPT @ | 4 L JAVA @ ")</f>
        <v xml:space="preserve">| 1 P CPT @ | 3 L CPT @ | 4 L JAVA @ </v>
      </c>
      <c r="Y496" s="4" t="str">
        <f ca="1">IFERROR(__xludf.DUMMYFUNCTION("""COMPUTED_VALUE"""),"| 1 P NS @ | 3 L JAVA @ | 4 L NS @ | 5 P PRO @ ")</f>
        <v xml:space="preserve">| 1 P NS @ | 3 L JAVA @ | 4 L NS @ | 5 P PRO @ </v>
      </c>
      <c r="Z496" s="4" t="str">
        <f ca="1">IFERROR(__xludf.DUMMYFUNCTION("""COMPUTED_VALUE"""),"| 1 P Python @ | 3 L PHP-CGM @ | 4 L NS @ | 5 P PHP-CGM @ ")</f>
        <v xml:space="preserve">| 1 P Python @ | 3 L PHP-CGM @ | 4 L NS @ | 5 P PHP-CGM @ </v>
      </c>
      <c r="AA496" s="4" t="str">
        <f ca="1">IFERROR(__xludf.DUMMYFUNCTION("""COMPUTED_VALUE"""),"| 1 P JAVA @ | 3 L CPT @ | 5 P Python @ ")</f>
        <v xml:space="preserve">| 1 P JAVA @ | 3 L CPT @ | 5 P Python @ </v>
      </c>
      <c r="AB496" s="4" t="str">
        <f ca="1">IFERROR(__xludf.DUMMYFUNCTION("""COMPUTED_VALUE"""),"| 1 P JAVA @ | 3 L PHP-CGM @ | 4 L JAVA @ | 5 L CPT @ | 6 L NS @ ")</f>
        <v xml:space="preserve">| 1 P JAVA @ | 3 L PHP-CGM @ | 4 L JAVA @ | 5 L CPT @ | 6 L NS @ </v>
      </c>
      <c r="AC496" s="4" t="str">
        <f ca="1">IFERROR(__xludf.DUMMYFUNCTION("""COMPUTED_VALUE"""),"| 1 P Python @ | 3 L CPT @ | 4 L JAVA @ ")</f>
        <v xml:space="preserve">| 1 P Python @ | 3 L CPT @ | 4 L JAVA @ </v>
      </c>
      <c r="AD496" s="4" t="str">
        <f ca="1">IFERROR(__xludf.DUMMYFUNCTION("""COMPUTED_VALUE"""),"| 1 P JAVA @ | 3 L JAVA @ | 4 L NS @ | 5 P PRO @ ")</f>
        <v xml:space="preserve">| 1 P JAVA @ | 3 L JAVA @ | 4 L NS @ | 5 P PRO @ </v>
      </c>
      <c r="AE496" s="4" t="str">
        <f ca="1">IFERROR(__xludf.DUMMYFUNCTION("""COMPUTED_VALUE"""),"| 1 P JAVA @ | 3 L PHP-CGM @ | 4 L NS @ | 5 P CPT @ ")</f>
        <v xml:space="preserve">| 1 P JAVA @ | 3 L PHP-CGM @ | 4 L NS @ | 5 P CPT @ </v>
      </c>
      <c r="AF496" s="4" t="str">
        <f ca="1">IFERROR(__xludf.DUMMYFUNCTION("""COMPUTED_VALUE"""),"| 1 P NS @ | 3 L CPT @ | 4 L PHP-CGM @ | 5 P Python @ ")</f>
        <v xml:space="preserve">| 1 P NS @ | 3 L CPT @ | 4 L PHP-CGM @ | 5 P Python @ </v>
      </c>
      <c r="AG496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H496" s="4" t="str">
        <f ca="1">IFERROR(__xludf.DUMMYFUNCTION("""COMPUTED_VALUE"""),"| 1 P NS @ | 3 L CPT @ | 4 L PHP-CGM @ | 5 P Python @ ")</f>
        <v xml:space="preserve">| 1 P NS @ | 3 L CPT @ | 4 L PHP-CGM @ | 5 P Python @ </v>
      </c>
      <c r="AI496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J496" s="4" t="str">
        <f ca="1">IFERROR(__xludf.DUMMYFUNCTION("""COMPUTED_VALUE"""),"| 1 P Python @ | 3 L CPT @ | 4 L JAVA @ ")</f>
        <v xml:space="preserve">| 1 P Python @ | 3 L CPT @ | 4 L JAVA @ </v>
      </c>
      <c r="AK496" s="4" t="str">
        <f ca="1">IFERROR(__xludf.DUMMYFUNCTION("""COMPUTED_VALUE"""),"| 1 P JAVA @ | 4 L NS @ | 3 L JAVA @ | 5 P PRO @ ")</f>
        <v xml:space="preserve">| 1 P JAVA @ | 4 L NS @ | 3 L JAVA @ | 5 P PRO @ </v>
      </c>
      <c r="AL496" s="4" t="str">
        <f ca="1">IFERROR(__xludf.DUMMYFUNCTION("""COMPUTED_VALUE"""),"| 1 P JAVA @ | 3 L PHP-CGM @ | 4 L NS @ | 5 P CPT @ ")</f>
        <v xml:space="preserve">| 1 P JAVA @ | 3 L PHP-CGM @ | 4 L NS @ | 5 P CPT @ </v>
      </c>
      <c r="AM496" s="4" t="str">
        <f ca="1">IFERROR(__xludf.DUMMYFUNCTION("""COMPUTED_VALUE"""),"| 1 P NS @ | 3 L CPT @ | 4 L PHP-CGM @ | 5 P Python @ ")</f>
        <v xml:space="preserve">| 1 P NS @ | 3 L CPT @ | 4 L PHP-CGM @ | 5 P Python @ </v>
      </c>
      <c r="AN496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O496" s="4" t="str">
        <f ca="1">IFERROR(__xludf.DUMMYFUNCTION("""COMPUTED_VALUE"""),"| 1 P Python @ | 3 L CPT @ | 4 L JAVA @ | 5 L INE @ ")</f>
        <v xml:space="preserve">| 1 P Python @ | 3 L CPT @ | 4 L JAVA @ | 5 L INE @ </v>
      </c>
      <c r="AP496" s="4" t="str">
        <f ca="1">IFERROR(__xludf.DUMMYFUNCTION("""COMPUTED_VALUE"""),"| 1 P JAVA @ | 3 L JAVA @ | 4 L NS @ | 5 P PRO @ ")</f>
        <v xml:space="preserve">| 1 P JAVA @ | 3 L JAVA @ | 4 L NS @ | 5 P PRO @ </v>
      </c>
      <c r="AQ496" s="4" t="str">
        <f ca="1">IFERROR(__xludf.DUMMYFUNCTION("""COMPUTED_VALUE"""),"| 1 P JAVA @ | 3 L PHP-CGM @ | 4 L NS @ | 5 P CPT @ ")</f>
        <v xml:space="preserve">| 1 P JAVA @ | 3 L PHP-CGM @ | 4 L NS @ | 5 P CPT @ </v>
      </c>
      <c r="AR496" s="4" t="str">
        <f ca="1">IFERROR(__xludf.DUMMYFUNCTION("""COMPUTED_VALUE"""),"| 1 P NS @ | 3 L CPT @ | 5 P Python @ ")</f>
        <v xml:space="preserve">| 1 P NS @ | 3 L CPT @ | 5 P Python @ </v>
      </c>
      <c r="AS496" s="4" t="str">
        <f ca="1">IFERROR(__xludf.DUMMYFUNCTION("""COMPUTED_VALUE"""),"| 1 P Python @ | 3 L CPT @ | 4 L JAVA @ | 5 L INE @ ")</f>
        <v xml:space="preserve">| 1 P Python @ | 3 L CPT @ | 4 L JAVA @ | 5 L INE @ </v>
      </c>
      <c r="AT496" s="4" t="str">
        <f ca="1">IFERROR(__xludf.DUMMYFUNCTION("""COMPUTED_VALUE"""),"| 1 P JAVA @ | 3 L JAVA @ | 4 L NS @ | 5 P PRO @ ")</f>
        <v xml:space="preserve">| 1 P JAVA @ | 3 L JAVA @ | 4 L NS @ | 5 P PRO @ </v>
      </c>
      <c r="AU496" s="4" t="str">
        <f ca="1">IFERROR(__xludf.DUMMYFUNCTION("""COMPUTED_VALUE"""),"| 1 P JAVA @ | 3 L PHP-CGM @ | 4 L NS @ | 5 P CPT @ ")</f>
        <v xml:space="preserve">| 1 P JAVA @ | 3 L PHP-CGM @ | 4 L NS @ | 5 P CPT @ </v>
      </c>
      <c r="AV496" s="4" t="str">
        <f ca="1">IFERROR(__xludf.DUMMYFUNCTION("""COMPUTED_VALUE"""),"| 1 P NS @ | 3 L CPT @ | 4 L PHP-CGM @ | 5 P Python @ ")</f>
        <v xml:space="preserve">| 1 P NS @ | 3 L CPT @ | 4 L PHP-CGM @ | 5 P Python @ </v>
      </c>
      <c r="AW496" s="4" t="str">
        <f ca="1">IFERROR(__xludf.DUMMYFUNCTION("""COMPUTED_VALUE"""),"| 3 L PHP-CGM @ | 4 L JAVA @ | 5 L NS @ | 5 L CPT @ ")</f>
        <v xml:space="preserve">| 3 L PHP-CGM @ | 4 L JAVA @ | 5 L NS @ | 5 L CPT @ </v>
      </c>
      <c r="AX496" s="4" t="str">
        <f ca="1">IFERROR(__xludf.DUMMYFUNCTION("""COMPUTED_VALUE"""),"| 1 P Python @ | 3 L CPT @ | 4 L JAVA @ | 5 L INE @ ")</f>
        <v xml:space="preserve">| 1 P Python @ | 3 L CPT @ | 4 L JAVA @ | 5 L INE @ </v>
      </c>
      <c r="AY496" s="4" t="str">
        <f ca="1">IFERROR(__xludf.DUMMYFUNCTION("""COMPUTED_VALUE"""),"| 1 P JAVA @ | 3 L JAVA @ | 4 L NS @ | 5 P PRO @ ")</f>
        <v xml:space="preserve">| 1 P JAVA @ | 3 L JAVA @ | 4 L NS @ | 5 P PRO @ </v>
      </c>
      <c r="AZ496" s="4" t="str">
        <f ca="1">IFERROR(__xludf.DUMMYFUNCTION("""COMPUTED_VALUE"""),"| 1 P NS @ | 3 L CPT @ | 4 L PHP-CGM @ | 5 P Python @ ")</f>
        <v xml:space="preserve">| 1 P NS @ | 3 L CPT @ | 4 L PHP-CGM @ | 5 P Python @ </v>
      </c>
      <c r="BA49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B496" s="4" t="str">
        <f ca="1">IFERROR(__xludf.DUMMYFUNCTION("""COMPUTED_VALUE"""),"| 1 P Python @ | 3 L CPT @ | 4 L JAVA @ | 5 L INE @ ")</f>
        <v xml:space="preserve">| 1 P Python @ | 3 L CPT @ | 4 L JAVA @ | 5 L INE @ </v>
      </c>
      <c r="BC496" s="4" t="str">
        <f ca="1">IFERROR(__xludf.DUMMYFUNCTION("""COMPUTED_VALUE"""),"| 1 P JAVA % | 3 L JAVA % | 4 L NS % | 5 P PRO % ")</f>
        <v xml:space="preserve">| 1 P JAVA % | 3 L JAVA % | 4 L NS % | 5 P PRO % </v>
      </c>
      <c r="BD496" s="4" t="str">
        <f ca="1">IFERROR(__xludf.DUMMYFUNCTION("""COMPUTED_VALUE"""),"| 1 P JAVA % | 4 L NS %  | 3 L PHP-CGM % | 5 P CPT @ ")</f>
        <v xml:space="preserve">| 1 P JAVA % | 4 L NS %  | 3 L PHP-CGM % | 5 P CPT @ </v>
      </c>
      <c r="BE496" s="4" t="str">
        <f ca="1">IFERROR(__xludf.DUMMYFUNCTION("""COMPUTED_VALUE"""),"| 1 P NS % | 3 L CPT % | 4 L PHP-CGM % | 5 P Python @ ")</f>
        <v xml:space="preserve">| 1 P NS % | 3 L CPT % | 4 L PHP-CGM % | 5 P Python @ </v>
      </c>
      <c r="BF49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496" s="4" t="str">
        <f ca="1">IFERROR(__xludf.DUMMYFUNCTION("""COMPUTED_VALUE"""),"| 1 P JAVA @ | 3 L JAVA @ | 4 L NS @ | 5 P PRO @ ")</f>
        <v xml:space="preserve">| 1 P JAVA @ | 3 L JAVA @ | 4 L NS @ | 5 P PRO @ </v>
      </c>
      <c r="BH496" s="4" t="str">
        <f ca="1">IFERROR(__xludf.DUMMYFUNCTION("""COMPUTED_VALUE"""),"| 1 P JAVA @ | 3 L PHP-CGM @ | 4 L NS @ | 5 P CPT @ ")</f>
        <v xml:space="preserve">| 1 P JAVA @ | 3 L PHP-CGM @ | 4 L NS @ | 5 P CPT @ </v>
      </c>
      <c r="BI496" s="4" t="str">
        <f ca="1">IFERROR(__xludf.DUMMYFUNCTION("""COMPUTED_VALUE"""),"| 1 P NS @ | 3 L CPT @ | 4 L PHP-CGM @ | 5 P Python @ ")</f>
        <v xml:space="preserve">| 1 P NS @ | 3 L CPT @ | 4 L PHP-CGM @ | 5 P Python @ </v>
      </c>
      <c r="BJ49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K496" s="4" t="str">
        <f ca="1">IFERROR(__xludf.DUMMYFUNCTION("""COMPUTED_VALUE"""),"| 1 P Python @ | 3 L CPT @ | 4 L JAVA @ | 5 L INE @ ")</f>
        <v xml:space="preserve">| 1 P Python @ | 3 L CPT @ | 4 L JAVA @ | 5 L INE @ </v>
      </c>
      <c r="BL496" s="4" t="str">
        <f ca="1">IFERROR(__xludf.DUMMYFUNCTION("""COMPUTED_VALUE"""),"| 1 P JAVA @ | 3 L JAVA @ | 4 L NS @ ")</f>
        <v xml:space="preserve">| 1 P JAVA @ | 3 L JAVA @ | 4 L NS @ </v>
      </c>
      <c r="BM496" s="4" t="str">
        <f ca="1">IFERROR(__xludf.DUMMYFUNCTION("""COMPUTED_VALUE"""),"| 1 P JAVA @ | 3 L PHP-CGM @ | 4 L NS @ | 5 P CPT @ ")</f>
        <v xml:space="preserve">| 1 P JAVA @ | 3 L PHP-CGM @ | 4 L NS @ | 5 P CPT @ </v>
      </c>
      <c r="BN496" s="4" t="str">
        <f ca="1">IFERROR(__xludf.DUMMYFUNCTION("""COMPUTED_VALUE"""),"| 1 P NS @ | 3 L CPT @ | 4 L PHP-CGM @ ")</f>
        <v xml:space="preserve">| 1 P NS @ | 3 L CPT @ | 4 L PHP-CGM @ </v>
      </c>
      <c r="BO496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496" s="4" t="str">
        <f ca="1">IFERROR(__xludf.DUMMYFUNCTION("""COMPUTED_VALUE"""),"| 1 P Python @ | 3 L CPT @ | 4 L JAVA @ | 5 L INE @ ")</f>
        <v xml:space="preserve">| 1 P Python @ | 3 L CPT @ | 4 L JAVA @ | 5 L INE @ </v>
      </c>
      <c r="BQ496" s="4" t="str">
        <f ca="1">IFERROR(__xludf.DUMMYFUNCTION("""COMPUTED_VALUE"""),"| 4 L NS @ | 1 P JAVA % ")</f>
        <v xml:space="preserve">| 4 L NS @ | 1 P JAVA % </v>
      </c>
      <c r="BR496" s="4"/>
      <c r="BS496" s="4"/>
      <c r="BT496" s="4" t="str">
        <f ca="1">IFERROR(__xludf.DUMMYFUNCTION("""COMPUTED_VALUE"""),"| 1 P Python @ | 3 L CPT @ | 4 L JAVA @ ")</f>
        <v xml:space="preserve">| 1 P Python @ | 3 L CPT @ | 4 L JAVA @ </v>
      </c>
      <c r="BU496" s="4" t="str">
        <f ca="1">IFERROR(__xludf.DUMMYFUNCTION("""COMPUTED_VALUE"""),"| 1 P JAVA @ | 4 L NS @ | 3 L JAVA @ ")</f>
        <v xml:space="preserve">| 1 P JAVA @ | 4 L NS @ | 3 L JAVA @ </v>
      </c>
      <c r="BV496" s="4" t="str">
        <f ca="1">IFERROR(__xludf.DUMMYFUNCTION("""COMPUTED_VALUE"""),"| 1 P Python @ | 3 L CPT @ | 4 L JAVA @ ")</f>
        <v xml:space="preserve">| 1 P Python @ | 3 L CPT @ | 4 L JAVA @ </v>
      </c>
      <c r="BW496" s="4" t="str">
        <f ca="1">IFERROR(__xludf.DUMMYFUNCTION("""COMPUTED_VALUE"""),"| 1 P JAVA @ | 3 L JAVA @ | 4 L NS @ ")</f>
        <v xml:space="preserve">| 1 P JAVA @ | 3 L JAVA @ | 4 L NS @ </v>
      </c>
      <c r="BX496" s="4" t="str">
        <f ca="1">IFERROR(__xludf.DUMMYFUNCTION("""COMPUTED_VALUE"""),"| 1 P JAVA @ | 3 L PHP-CGM @ | 4 L NS @ | 5 P CPT @ ")</f>
        <v xml:space="preserve">| 1 P JAVA @ | 3 L PHP-CGM @ | 4 L NS @ | 5 P CPT @ </v>
      </c>
      <c r="BY496" s="4" t="str">
        <f ca="1">IFERROR(__xludf.DUMMYFUNCTION("""COMPUTED_VALUE"""),"| 1 P NS @ | 3 L CPT @ | 4 L PHP-CGM @ | 5 P Python @ ")</f>
        <v xml:space="preserve">| 1 P NS @ | 3 L CPT @ | 4 L PHP-CGM @ | 5 P Python @ </v>
      </c>
      <c r="BZ49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496" s="4" t="str">
        <f ca="1">IFERROR(__xludf.DUMMYFUNCTION("""COMPUTED_VALUE"""),"| 1 P Python @ | 3 L CPT @ | 4 L JAVA @ | 5 L INE @ ")</f>
        <v xml:space="preserve">| 1 P Python @ | 3 L CPT @ | 4 L JAVA @ | 5 L INE @ </v>
      </c>
      <c r="CB496" s="4" t="str">
        <f ca="1">IFERROR(__xludf.DUMMYFUNCTION("""COMPUTED_VALUE"""),"| 1 P JAVA % | 3 L JAVA @ | 4 L NS @ | 5 P PRO @ ")</f>
        <v xml:space="preserve">| 1 P JAVA % | 3 L JAVA @ | 4 L NS @ | 5 P PRO @ </v>
      </c>
      <c r="CC496" s="4" t="str">
        <f ca="1">IFERROR(__xludf.DUMMYFUNCTION("""COMPUTED_VALUE"""),"| 1 P JAVA @ | 3 L PHP-CGM @ | 4 L NS @ | 5 P CPT @ ")</f>
        <v xml:space="preserve">| 1 P JAVA @ | 3 L PHP-CGM @ | 4 L NS @ | 5 P CPT @ </v>
      </c>
      <c r="CD496" s="4" t="str">
        <f ca="1">IFERROR(__xludf.DUMMYFUNCTION("""COMPUTED_VALUE"""),"| 1 P NS @ | 3 L CPT @ | 4 L PHP-CGM @ | 5 P Python @ ")</f>
        <v xml:space="preserve">| 1 P NS @ | 3 L CPT @ | 4 L PHP-CGM @ | 5 P Python @ </v>
      </c>
      <c r="CE49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F496" s="4" t="str">
        <f ca="1">IFERROR(__xludf.DUMMYFUNCTION("""COMPUTED_VALUE"""),"| 1 P Python @ | 3 L CPT @ | 4 L JAVA @ | 5 L INE @ ")</f>
        <v xml:space="preserve">| 1 P Python @ | 3 L CPT @ | 4 L JAVA @ | 5 L INE @ </v>
      </c>
      <c r="CG496" s="4" t="str">
        <f ca="1">IFERROR(__xludf.DUMMYFUNCTION("""COMPUTED_VALUE"""),"| 1 P JAVA @ | 4 L NS @ ")</f>
        <v xml:space="preserve">| 1 P JAVA @ | 4 L NS @ </v>
      </c>
      <c r="CH496" s="4" t="str">
        <f ca="1">IFERROR(__xludf.DUMMYFUNCTION("""COMPUTED_VALUE"""),"| 1 P JAVA @ | 3 L PHP-CGM @ | 4 L NS @ ")</f>
        <v xml:space="preserve">| 1 P JAVA @ | 3 L PHP-CGM @ | 4 L NS @ </v>
      </c>
      <c r="CI496" s="4" t="str">
        <f ca="1">IFERROR(__xludf.DUMMYFUNCTION("""COMPUTED_VALUE"""),"| 1 P NS @ ")</f>
        <v xml:space="preserve">| 1 P NS @ </v>
      </c>
      <c r="CJ496" s="4" t="str">
        <f ca="1">IFERROR(__xludf.DUMMYFUNCTION("""COMPUTED_VALUE"""),"| 1 P PHP-CGM @ | 4 L JAVA % ")</f>
        <v xml:space="preserve">| 1 P PHP-CGM @ | 4 L JAVA % </v>
      </c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</row>
    <row r="497" spans="1:102" ht="12.5" x14ac:dyDescent="0.25">
      <c r="A497" s="3">
        <f ca="1">IFERROR(__xludf.DUMMYFUNCTION("""COMPUTED_VALUE"""),2)</f>
        <v>2</v>
      </c>
      <c r="B497" s="3" t="str">
        <f ca="1">IFERROR(__xludf.DUMMYFUNCTION("""COMPUTED_VALUE"""),"ITC")</f>
        <v>ITC</v>
      </c>
      <c r="C497" s="32" t="str">
        <f ca="1">IFERROR(__xludf.DUMMYFUNCTION("""COMPUTED_VALUE"""),"23171371069")</f>
        <v>23171371069</v>
      </c>
      <c r="D497" s="4" t="str">
        <f ca="1">IFERROR(__xludf.DUMMYFUNCTION("""COMPUTED_VALUE"""),"PATEL DHRUV MAHESHBHAI")</f>
        <v>PATEL DHRUV MAHESHBHAI</v>
      </c>
      <c r="E497" s="3" t="str">
        <f ca="1">IFERROR(__xludf.DUMMYFUNCTION("""COMPUTED_VALUE"""),"SDP&amp;KKP - Mor")</f>
        <v>SDP&amp;KKP - Mor</v>
      </c>
      <c r="F497" s="3">
        <f ca="1">IFERROR(__xludf.DUMMYFUNCTION("""COMPUTED_VALUE"""),6355840999)</f>
        <v>6355840999</v>
      </c>
      <c r="G497" s="3">
        <f ca="1">IFERROR(__xludf.DUMMYFUNCTION("""COMPUTED_VALUE"""),9428662712)</f>
        <v>9428662712</v>
      </c>
      <c r="H497" s="33">
        <f ca="1">IFERROR(__xludf.DUMMYFUNCTION("""COMPUTED_VALUE"""),0.697095435684647)</f>
        <v>0.69709543568464705</v>
      </c>
      <c r="I497" s="25">
        <f ca="1">IFERROR(__xludf.DUMMYFUNCTION("""COMPUTED_VALUE"""),0.583333333333333)</f>
        <v>0.58333333333333304</v>
      </c>
      <c r="J497" s="25">
        <f ca="1">IFERROR(__xludf.DUMMYFUNCTION("""COMPUTED_VALUE"""),0.6)</f>
        <v>0.6</v>
      </c>
      <c r="K497" s="25">
        <f ca="1">IFERROR(__xludf.DUMMYFUNCTION("""COMPUTED_VALUE"""),0.722222222222222)</f>
        <v>0.72222222222222199</v>
      </c>
      <c r="L497" s="25">
        <f ca="1">IFERROR(__xludf.DUMMYFUNCTION("""COMPUTED_VALUE"""),0.846153846153846)</f>
        <v>0.84615384615384603</v>
      </c>
      <c r="M497" s="25">
        <f ca="1">IFERROR(__xludf.DUMMYFUNCTION("""COMPUTED_VALUE"""),0.875)</f>
        <v>0.875</v>
      </c>
      <c r="N497" s="25">
        <f ca="1">IFERROR(__xludf.DUMMYFUNCTION("""COMPUTED_VALUE"""),0.666666666666666)</f>
        <v>0.66666666666666596</v>
      </c>
      <c r="O497" s="25">
        <f ca="1">IFERROR(__xludf.DUMMYFUNCTION("""COMPUTED_VALUE"""),0.81081081081081)</f>
        <v>0.81081081081080997</v>
      </c>
      <c r="P497" s="25">
        <f ca="1">IFERROR(__xludf.DUMMYFUNCTION("""COMPUTED_VALUE"""),0.75)</f>
        <v>0.75</v>
      </c>
      <c r="Q497" s="25">
        <f ca="1">IFERROR(__xludf.DUMMYFUNCTION("""COMPUTED_VALUE"""),0)</f>
        <v>0</v>
      </c>
      <c r="R497" s="25">
        <f ca="1">IFERROR(__xludf.DUMMYFUNCTION("""COMPUTED_VALUE"""),0.5)</f>
        <v>0.5</v>
      </c>
      <c r="S497" s="25">
        <f ca="1">IFERROR(__xludf.DUMMYFUNCTION("""COMPUTED_VALUE"""),0)</f>
        <v>0</v>
      </c>
      <c r="T497" s="25">
        <f ca="1">IFERROR(__xludf.DUMMYFUNCTION("""COMPUTED_VALUE"""),0.666666666666666)</f>
        <v>0.66666666666666596</v>
      </c>
      <c r="U497" s="25">
        <f ca="1">IFERROR(__xludf.DUMMYFUNCTION("""COMPUTED_VALUE"""),0.25)</f>
        <v>0.25</v>
      </c>
      <c r="V497" s="25">
        <f ca="1">IFERROR(__xludf.DUMMYFUNCTION("""COMPUTED_VALUE"""),0)</f>
        <v>0</v>
      </c>
      <c r="W497" s="4"/>
      <c r="X497" s="4" t="str">
        <f ca="1">IFERROR(__xludf.DUMMYFUNCTION("""COMPUTED_VALUE"""),"| 1 P CPT @ | 3 L CPT @ | 4 L JAVA @ ")</f>
        <v xml:space="preserve">| 1 P CPT @ | 3 L CPT @ | 4 L JAVA @ </v>
      </c>
      <c r="Y497" s="4" t="str">
        <f ca="1">IFERROR(__xludf.DUMMYFUNCTION("""COMPUTED_VALUE"""),"| 1 P NS % | 3 L JAVA % | 4 L NS % | 5 P PRO % ")</f>
        <v xml:space="preserve">| 1 P NS % | 3 L JAVA % | 4 L NS % | 5 P PRO % </v>
      </c>
      <c r="Z497" s="4" t="str">
        <f ca="1">IFERROR(__xludf.DUMMYFUNCTION("""COMPUTED_VALUE"""),"| 1 P Python % | 3 L PHP-CGM @ | 4 L NS @ | 5 P PHP-CGM @ ")</f>
        <v xml:space="preserve">| 1 P Python % | 3 L PHP-CGM @ | 4 L NS @ | 5 P PHP-CGM @ </v>
      </c>
      <c r="AA497" s="4" t="str">
        <f ca="1">IFERROR(__xludf.DUMMYFUNCTION("""COMPUTED_VALUE"""),"| 1 P JAVA % | 3 L CPT @ | 5 P Python @ ")</f>
        <v xml:space="preserve">| 1 P JAVA % | 3 L CPT @ | 5 P Python @ </v>
      </c>
      <c r="AB497" s="4" t="str">
        <f ca="1">IFERROR(__xludf.DUMMYFUNCTION("""COMPUTED_VALUE"""),"| 1 P PHP-CGM @ | 3 L PHP-CGM % | 4 L JAVA % | 5 L CPT % | 6 L NS % ")</f>
        <v xml:space="preserve">| 1 P PHP-CGM @ | 3 L PHP-CGM % | 4 L JAVA % | 5 L CPT % | 6 L NS % </v>
      </c>
      <c r="AC497" s="4" t="str">
        <f ca="1">IFERROR(__xludf.DUMMYFUNCTION("""COMPUTED_VALUE"""),"| 1 P Python % | 3 L CPT % | 4 L JAVA % ")</f>
        <v xml:space="preserve">| 1 P Python % | 3 L CPT % | 4 L JAVA % </v>
      </c>
      <c r="AD497" s="4" t="str">
        <f ca="1">IFERROR(__xludf.DUMMYFUNCTION("""COMPUTED_VALUE"""),"| 1 P JAVA % | 3 L JAVA % | 4 L NS % | 5 P PRO % ")</f>
        <v xml:space="preserve">| 1 P JAVA % | 3 L JAVA % | 4 L NS % | 5 P PRO % </v>
      </c>
      <c r="AE497" s="4" t="str">
        <f ca="1">IFERROR(__xludf.DUMMYFUNCTION("""COMPUTED_VALUE"""),"| 1 P JAVA % | 3 L PHP-CGM % | 4 L NS % | 5 P CPT % ")</f>
        <v xml:space="preserve">| 1 P JAVA % | 3 L PHP-CGM % | 4 L NS % | 5 P CPT % </v>
      </c>
      <c r="AF497" s="4" t="str">
        <f ca="1">IFERROR(__xludf.DUMMYFUNCTION("""COMPUTED_VALUE"""),"| 1 P NS % | 3 L CPT % | 4 L PHP-CGM % | 5 P Python % ")</f>
        <v xml:space="preserve">| 1 P NS % | 3 L CPT % | 4 L PHP-CGM % | 5 P Python % </v>
      </c>
      <c r="AG497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497" s="4" t="str">
        <f ca="1">IFERROR(__xludf.DUMMYFUNCTION("""COMPUTED_VALUE"""),"| 1 P NS % | 3 L CPT @ | 4 L PHP-CGM % | 5 P Python % ")</f>
        <v xml:space="preserve">| 1 P NS % | 3 L CPT @ | 4 L PHP-CGM % | 5 P Python % </v>
      </c>
      <c r="AI497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J497" s="4" t="str">
        <f ca="1">IFERROR(__xludf.DUMMYFUNCTION("""COMPUTED_VALUE"""),"| 1 P Python % | 3 L CPT % | 4 L JAVA % ")</f>
        <v xml:space="preserve">| 1 P Python % | 3 L CPT % | 4 L JAVA % </v>
      </c>
      <c r="AK497" s="4" t="str">
        <f ca="1">IFERROR(__xludf.DUMMYFUNCTION("""COMPUTED_VALUE"""),"| 1 P JAVA % | 4 L NS % | 3 L JAVA % | 5 P PRO % ")</f>
        <v xml:space="preserve">| 1 P JAVA % | 4 L NS % | 3 L JAVA % | 5 P PRO % </v>
      </c>
      <c r="AL497" s="4" t="str">
        <f ca="1">IFERROR(__xludf.DUMMYFUNCTION("""COMPUTED_VALUE"""),"| 1 P JAVA % | 3 L PHP-CGM % | 4 L NS % | 5 P CPT % ")</f>
        <v xml:space="preserve">| 1 P JAVA % | 3 L PHP-CGM % | 4 L NS % | 5 P CPT % </v>
      </c>
      <c r="AM497" s="4" t="str">
        <f ca="1">IFERROR(__xludf.DUMMYFUNCTION("""COMPUTED_VALUE"""),"| 1 P NS % | 3 L CPT % | 4 L PHP-CGM % | 5 P Python % ")</f>
        <v xml:space="preserve">| 1 P NS % | 3 L CPT % | 4 L PHP-CGM % | 5 P Python % </v>
      </c>
      <c r="AN497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O497" s="4" t="str">
        <f ca="1">IFERROR(__xludf.DUMMYFUNCTION("""COMPUTED_VALUE"""),"| 1 P Python % | 3 L CPT % | 4 L JAVA % | 5 L INE % ")</f>
        <v xml:space="preserve">| 1 P Python % | 3 L CPT % | 4 L JAVA % | 5 L INE % </v>
      </c>
      <c r="AP497" s="4" t="str">
        <f ca="1">IFERROR(__xludf.DUMMYFUNCTION("""COMPUTED_VALUE"""),"| 1 P JAVA % | 3 L JAVA % | 4 L NS % | 5 P PRO @ ")</f>
        <v xml:space="preserve">| 1 P JAVA % | 3 L JAVA % | 4 L NS % | 5 P PRO @ </v>
      </c>
      <c r="AQ497" s="4" t="str">
        <f ca="1">IFERROR(__xludf.DUMMYFUNCTION("""COMPUTED_VALUE"""),"| 1 P JAVA @ | 3 L PHP-CGM @ | 4 L NS @ | 5 P CPT @ ")</f>
        <v xml:space="preserve">| 1 P JAVA @ | 3 L PHP-CGM @ | 4 L NS @ | 5 P CPT @ </v>
      </c>
      <c r="AR497" s="4" t="str">
        <f ca="1">IFERROR(__xludf.DUMMYFUNCTION("""COMPUTED_VALUE"""),"| 1 P NS @ | 3 L CPT @ | 5 P Python @ ")</f>
        <v xml:space="preserve">| 1 P NS @ | 3 L CPT @ | 5 P Python @ </v>
      </c>
      <c r="AS497" s="4" t="str">
        <f ca="1">IFERROR(__xludf.DUMMYFUNCTION("""COMPUTED_VALUE"""),"| 1 P Python @ | 3 L CPT % | 4 L JAVA % | 5 L INE @ ")</f>
        <v xml:space="preserve">| 1 P Python @ | 3 L CPT % | 4 L JAVA % | 5 L INE @ </v>
      </c>
      <c r="AT497" s="4" t="str">
        <f ca="1">IFERROR(__xludf.DUMMYFUNCTION("""COMPUTED_VALUE"""),"| 1 P JAVA % | 3 L JAVA % | 4 L NS % | 5 P PRO @ ")</f>
        <v xml:space="preserve">| 1 P JAVA % | 3 L JAVA % | 4 L NS % | 5 P PRO @ </v>
      </c>
      <c r="AU497" s="4" t="str">
        <f ca="1">IFERROR(__xludf.DUMMYFUNCTION("""COMPUTED_VALUE"""),"| 1 P JAVA % | 3 L PHP-CGM % | 4 L NS % | 5 P CPT % ")</f>
        <v xml:space="preserve">| 1 P JAVA % | 3 L PHP-CGM % | 4 L NS % | 5 P CPT % </v>
      </c>
      <c r="AV497" s="4" t="str">
        <f ca="1">IFERROR(__xludf.DUMMYFUNCTION("""COMPUTED_VALUE"""),"| 1 P NS % | 3 L CPT % | 4 L PHP-CGM % | 5 P Python % ")</f>
        <v xml:space="preserve">| 1 P NS % | 3 L CPT % | 4 L PHP-CGM % | 5 P Python % </v>
      </c>
      <c r="AW497" s="4" t="str">
        <f ca="1">IFERROR(__xludf.DUMMYFUNCTION("""COMPUTED_VALUE"""),"| 3 L PHP-CGM % | 4 L JAVA % | 5 L NS @ | 5 L CPT @ ")</f>
        <v xml:space="preserve">| 3 L PHP-CGM % | 4 L JAVA % | 5 L NS @ | 5 L CPT @ </v>
      </c>
      <c r="AX497" s="4" t="str">
        <f ca="1">IFERROR(__xludf.DUMMYFUNCTION("""COMPUTED_VALUE"""),"| 1 P Python @ | 3 L CPT @ | 4 L JAVA @ | 5 L INE @ ")</f>
        <v xml:space="preserve">| 1 P Python @ | 3 L CPT @ | 4 L JAVA @ | 5 L INE @ </v>
      </c>
      <c r="AY497" s="4" t="str">
        <f ca="1">IFERROR(__xludf.DUMMYFUNCTION("""COMPUTED_VALUE"""),"| 1 P JAVA % | 3 L JAVA % | 4 L NS % | 5 P PRO % ")</f>
        <v xml:space="preserve">| 1 P JAVA % | 3 L JAVA % | 4 L NS % | 5 P PRO % </v>
      </c>
      <c r="AZ497" s="4" t="str">
        <f ca="1">IFERROR(__xludf.DUMMYFUNCTION("""COMPUTED_VALUE"""),"| 1 P NS % | 3 L CPT % | 4 L PHP-CGM % | 5 P Python @ ")</f>
        <v xml:space="preserve">| 1 P NS % | 3 L CPT % | 4 L PHP-CGM % | 5 P Python @ </v>
      </c>
      <c r="BA49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497" s="4" t="str">
        <f ca="1">IFERROR(__xludf.DUMMYFUNCTION("""COMPUTED_VALUE"""),"| 1 P Python @ | 3 L CPT @ | 4 L JAVA @ | 5 L INE @ ")</f>
        <v xml:space="preserve">| 1 P Python @ | 3 L CPT @ | 4 L JAVA @ | 5 L INE @ </v>
      </c>
      <c r="BC497" s="4" t="str">
        <f ca="1">IFERROR(__xludf.DUMMYFUNCTION("""COMPUTED_VALUE"""),"| 1 P JAVA % | 3 L JAVA % | 4 L NS % | 5 P PRO % ")</f>
        <v xml:space="preserve">| 1 P JAVA % | 3 L JAVA % | 4 L NS % | 5 P PRO % </v>
      </c>
      <c r="BD497" s="4" t="str">
        <f ca="1">IFERROR(__xludf.DUMMYFUNCTION("""COMPUTED_VALUE"""),"| 1 P JAVA % | 4 L NS %  | 3 L PHP-CGM % | 5 P CPT % ")</f>
        <v xml:space="preserve">| 1 P JAVA % | 4 L NS %  | 3 L PHP-CGM % | 5 P CPT % </v>
      </c>
      <c r="BE497" s="4" t="str">
        <f ca="1">IFERROR(__xludf.DUMMYFUNCTION("""COMPUTED_VALUE"""),"| 1 P NS % | 3 L CPT % | 4 L PHP-CGM % | 5 P Python % ")</f>
        <v xml:space="preserve">| 1 P NS % | 3 L CPT % | 4 L PHP-CGM % | 5 P Python % </v>
      </c>
      <c r="BF497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497" s="4" t="str">
        <f ca="1">IFERROR(__xludf.DUMMYFUNCTION("""COMPUTED_VALUE"""),"| 1 P JAVA % | 3 L JAVA % | 4 L NS % | 5 P PRO % ")</f>
        <v xml:space="preserve">| 1 P JAVA % | 3 L JAVA % | 4 L NS % | 5 P PRO % </v>
      </c>
      <c r="BH497" s="4" t="str">
        <f ca="1">IFERROR(__xludf.DUMMYFUNCTION("""COMPUTED_VALUE"""),"| 1 P JAVA % | 3 L PHP-CGM % | 4 L NS % | 5 P CPT % ")</f>
        <v xml:space="preserve">| 1 P JAVA % | 3 L PHP-CGM % | 4 L NS % | 5 P CPT % </v>
      </c>
      <c r="BI497" s="4" t="str">
        <f ca="1">IFERROR(__xludf.DUMMYFUNCTION("""COMPUTED_VALUE"""),"| 1 P NS % | 3 L CPT % | 4 L PHP-CGM % | 5 P Python @ ")</f>
        <v xml:space="preserve">| 1 P NS % | 3 L CPT % | 4 L PHP-CGM % | 5 P Python @ </v>
      </c>
      <c r="BJ49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497" s="4" t="str">
        <f ca="1">IFERROR(__xludf.DUMMYFUNCTION("""COMPUTED_VALUE"""),"| 1 P Python @ | 3 L CPT @ | 4 L JAVA @ | 5 L INE @ ")</f>
        <v xml:space="preserve">| 1 P Python @ | 3 L CPT @ | 4 L JAVA @ | 5 L INE @ </v>
      </c>
      <c r="BL497" s="4" t="str">
        <f ca="1">IFERROR(__xludf.DUMMYFUNCTION("""COMPUTED_VALUE"""),"| 1 P JAVA % | 3 L JAVA % | 4 L NS % ")</f>
        <v xml:space="preserve">| 1 P JAVA % | 3 L JAVA % | 4 L NS % </v>
      </c>
      <c r="BM497" s="4" t="str">
        <f ca="1">IFERROR(__xludf.DUMMYFUNCTION("""COMPUTED_VALUE"""),"| 1 P JAVA @ | 3 L PHP-CGM @ | 4 L NS @ | 5 P CPT @ ")</f>
        <v xml:space="preserve">| 1 P JAVA @ | 3 L PHP-CGM @ | 4 L NS @ | 5 P CPT @ </v>
      </c>
      <c r="BN497" s="4" t="str">
        <f ca="1">IFERROR(__xludf.DUMMYFUNCTION("""COMPUTED_VALUE"""),"| 1 P NS % | 3 L CPT % | 4 L PHP-CGM % ")</f>
        <v xml:space="preserve">| 1 P NS % | 3 L CPT % | 4 L PHP-CGM % </v>
      </c>
      <c r="BO49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P497" s="4" t="str">
        <f ca="1">IFERROR(__xludf.DUMMYFUNCTION("""COMPUTED_VALUE"""),"| 1 P Python % | 3 L CPT % | 4 L JAVA % | 5 L INE @ ")</f>
        <v xml:space="preserve">| 1 P Python % | 3 L CPT % | 4 L JAVA % | 5 L INE @ </v>
      </c>
      <c r="BQ497" s="4" t="str">
        <f ca="1">IFERROR(__xludf.DUMMYFUNCTION("""COMPUTED_VALUE"""),"| 4 L NS % | 1 P JAVA % ")</f>
        <v xml:space="preserve">| 4 L NS % | 1 P JAVA % </v>
      </c>
      <c r="BR497" s="4"/>
      <c r="BS497" s="4"/>
      <c r="BT497" s="4" t="str">
        <f ca="1">IFERROR(__xludf.DUMMYFUNCTION("""COMPUTED_VALUE"""),"| 1 P Python % | 3 L CPT % | 4 L JAVA % ")</f>
        <v xml:space="preserve">| 1 P Python % | 3 L CPT % | 4 L JAVA % </v>
      </c>
      <c r="BU497" s="4" t="str">
        <f ca="1">IFERROR(__xludf.DUMMYFUNCTION("""COMPUTED_VALUE"""),"| 1 P JAVA % | 4 L NS % | 3 L JAVA % ")</f>
        <v xml:space="preserve">| 1 P JAVA % | 4 L NS % | 3 L JAVA % </v>
      </c>
      <c r="BV497" s="4" t="str">
        <f ca="1">IFERROR(__xludf.DUMMYFUNCTION("""COMPUTED_VALUE"""),"| 1 P Python @ | 3 L CPT @ | 4 L JAVA @ ")</f>
        <v xml:space="preserve">| 1 P Python @ | 3 L CPT @ | 4 L JAVA @ </v>
      </c>
      <c r="BW497" s="4" t="str">
        <f ca="1">IFERROR(__xludf.DUMMYFUNCTION("""COMPUTED_VALUE"""),"| 1 P JAVA @ | 3 L JAVA @ | 4 L NS @ ")</f>
        <v xml:space="preserve">| 1 P JAVA @ | 3 L JAVA @ | 4 L NS @ </v>
      </c>
      <c r="BX497" s="4" t="str">
        <f ca="1">IFERROR(__xludf.DUMMYFUNCTION("""COMPUTED_VALUE"""),"| 1 P JAVA @ | 3 L PHP-CGM % | 4 L NS % | 5 P CPT @ ")</f>
        <v xml:space="preserve">| 1 P JAVA @ | 3 L PHP-CGM % | 4 L NS % | 5 P CPT @ </v>
      </c>
      <c r="BY497" s="4" t="str">
        <f ca="1">IFERROR(__xludf.DUMMYFUNCTION("""COMPUTED_VALUE"""),"| 1 P NS @ | 3 L CPT % | 4 L PHP-CGM % | 5 P Python @ ")</f>
        <v xml:space="preserve">| 1 P NS @ | 3 L CPT % | 4 L PHP-CGM % | 5 P Python @ </v>
      </c>
      <c r="BZ497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497" s="4" t="str">
        <f ca="1">IFERROR(__xludf.DUMMYFUNCTION("""COMPUTED_VALUE"""),"| 1 P Python @ | 3 L CPT % | 4 L JAVA % | 5 L INE % ")</f>
        <v xml:space="preserve">| 1 P Python @ | 3 L CPT % | 4 L JAVA % | 5 L INE % </v>
      </c>
      <c r="CB497" s="4" t="str">
        <f ca="1">IFERROR(__xludf.DUMMYFUNCTION("""COMPUTED_VALUE"""),"| 1 P JAVA % | 3 L JAVA % | 4 L NS % | 5 P PRO @ ")</f>
        <v xml:space="preserve">| 1 P JAVA % | 3 L JAVA % | 4 L NS % | 5 P PRO @ </v>
      </c>
      <c r="CC497" s="4" t="str">
        <f ca="1">IFERROR(__xludf.DUMMYFUNCTION("""COMPUTED_VALUE"""),"| 1 P JAVA % | 3 L PHP-CGM % | 4 L NS % | 5 P CPT % ")</f>
        <v xml:space="preserve">| 1 P JAVA % | 3 L PHP-CGM % | 4 L NS % | 5 P CPT % </v>
      </c>
      <c r="CD497" s="4" t="str">
        <f ca="1">IFERROR(__xludf.DUMMYFUNCTION("""COMPUTED_VALUE"""),"| 1 P NS % | 3 L CPT % | 4 L PHP-CGM % | 5 P Python @ ")</f>
        <v xml:space="preserve">| 1 P NS % | 3 L CPT % | 4 L PHP-CGM % | 5 P Python @ </v>
      </c>
      <c r="CE49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497" s="4" t="str">
        <f ca="1">IFERROR(__xludf.DUMMYFUNCTION("""COMPUTED_VALUE"""),"| 1 P Python % | 3 L CPT @ | 4 L JAVA % | 5 L INE @ ")</f>
        <v xml:space="preserve">| 1 P Python % | 3 L CPT @ | 4 L JAVA % | 5 L INE @ </v>
      </c>
      <c r="CG497" s="4" t="str">
        <f ca="1">IFERROR(__xludf.DUMMYFUNCTION("""COMPUTED_VALUE"""),"| 1 P JAVA @ | 4 L NS % ")</f>
        <v xml:space="preserve">| 1 P JAVA @ | 4 L NS % </v>
      </c>
      <c r="CH497" s="4" t="str">
        <f ca="1">IFERROR(__xludf.DUMMYFUNCTION("""COMPUTED_VALUE"""),"| 1 P JAVA @ | 3 L PHP-CGM % | 4 L NS % ")</f>
        <v xml:space="preserve">| 1 P JAVA @ | 3 L PHP-CGM % | 4 L NS % </v>
      </c>
      <c r="CI497" s="4" t="str">
        <f ca="1">IFERROR(__xludf.DUMMYFUNCTION("""COMPUTED_VALUE"""),"| 1 P NS % ")</f>
        <v xml:space="preserve">| 1 P NS % </v>
      </c>
      <c r="CJ497" s="4" t="str">
        <f ca="1">IFERROR(__xludf.DUMMYFUNCTION("""COMPUTED_VALUE"""),"| 1 P PHP-CGM @ | 4 L JAVA % ")</f>
        <v xml:space="preserve">| 1 P PHP-CGM @ | 4 L JAVA % </v>
      </c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</row>
    <row r="498" spans="1:102" ht="12.5" x14ac:dyDescent="0.25">
      <c r="A498" s="3">
        <f ca="1">IFERROR(__xludf.DUMMYFUNCTION("""COMPUTED_VALUE"""),2)</f>
        <v>2</v>
      </c>
      <c r="B498" s="3" t="str">
        <f ca="1">IFERROR(__xludf.DUMMYFUNCTION("""COMPUTED_VALUE"""),"ITC")</f>
        <v>ITC</v>
      </c>
      <c r="C498" s="32" t="str">
        <f ca="1">IFERROR(__xludf.DUMMYFUNCTION("""COMPUTED_VALUE"""),"23171371074")</f>
        <v>23171371074</v>
      </c>
      <c r="D498" s="4" t="str">
        <f ca="1">IFERROR(__xludf.DUMMYFUNCTION("""COMPUTED_VALUE"""),"PATEL DIVYA VIPUL")</f>
        <v>PATEL DIVYA VIPUL</v>
      </c>
      <c r="E498" s="3" t="str">
        <f ca="1">IFERROR(__xludf.DUMMYFUNCTION("""COMPUTED_VALUE"""),"SDP&amp;KKP - Mor")</f>
        <v>SDP&amp;KKP - Mor</v>
      </c>
      <c r="F498" s="3">
        <f ca="1">IFERROR(__xludf.DUMMYFUNCTION("""COMPUTED_VALUE"""),7265902609)</f>
        <v>7265902609</v>
      </c>
      <c r="G498" s="3">
        <f ca="1">IFERROR(__xludf.DUMMYFUNCTION("""COMPUTED_VALUE"""),9979057444)</f>
        <v>9979057444</v>
      </c>
      <c r="H498" s="33">
        <f ca="1">IFERROR(__xludf.DUMMYFUNCTION("""COMPUTED_VALUE"""),0.800829875518672)</f>
        <v>0.80082987551867202</v>
      </c>
      <c r="I498" s="25">
        <f ca="1">IFERROR(__xludf.DUMMYFUNCTION("""COMPUTED_VALUE"""),0.888888888888888)</f>
        <v>0.88888888888888795</v>
      </c>
      <c r="J498" s="25">
        <f ca="1">IFERROR(__xludf.DUMMYFUNCTION("""COMPUTED_VALUE"""),0.7)</f>
        <v>0.7</v>
      </c>
      <c r="K498" s="25">
        <f ca="1">IFERROR(__xludf.DUMMYFUNCTION("""COMPUTED_VALUE"""),0.777777777777777)</f>
        <v>0.77777777777777701</v>
      </c>
      <c r="L498" s="25">
        <f ca="1">IFERROR(__xludf.DUMMYFUNCTION("""COMPUTED_VALUE"""),1)</f>
        <v>1</v>
      </c>
      <c r="M498" s="25">
        <f ca="1">IFERROR(__xludf.DUMMYFUNCTION("""COMPUTED_VALUE"""),0.875)</f>
        <v>0.875</v>
      </c>
      <c r="N498" s="25">
        <f ca="1">IFERROR(__xludf.DUMMYFUNCTION("""COMPUTED_VALUE"""),0.727272727272727)</f>
        <v>0.72727272727272696</v>
      </c>
      <c r="O498" s="25">
        <f ca="1">IFERROR(__xludf.DUMMYFUNCTION("""COMPUTED_VALUE"""),0.837837837837837)</f>
        <v>0.83783783783783705</v>
      </c>
      <c r="P498" s="25">
        <f ca="1">IFERROR(__xludf.DUMMYFUNCTION("""COMPUTED_VALUE"""),0.6)</f>
        <v>0.6</v>
      </c>
      <c r="Q498" s="25">
        <f ca="1">IFERROR(__xludf.DUMMYFUNCTION("""COMPUTED_VALUE"""),0)</f>
        <v>0</v>
      </c>
      <c r="R498" s="25">
        <f ca="1">IFERROR(__xludf.DUMMYFUNCTION("""COMPUTED_VALUE"""),0.666666666666666)</f>
        <v>0.66666666666666596</v>
      </c>
      <c r="S498" s="25">
        <f ca="1">IFERROR(__xludf.DUMMYFUNCTION("""COMPUTED_VALUE"""),0)</f>
        <v>0</v>
      </c>
      <c r="T498" s="25">
        <f ca="1">IFERROR(__xludf.DUMMYFUNCTION("""COMPUTED_VALUE"""),0.888888888888888)</f>
        <v>0.88888888888888795</v>
      </c>
      <c r="U498" s="25">
        <f ca="1">IFERROR(__xludf.DUMMYFUNCTION("""COMPUTED_VALUE"""),0.875)</f>
        <v>0.875</v>
      </c>
      <c r="V498" s="25">
        <f ca="1">IFERROR(__xludf.DUMMYFUNCTION("""COMPUTED_VALUE"""),0)</f>
        <v>0</v>
      </c>
      <c r="W498" s="4"/>
      <c r="X498" s="4" t="str">
        <f ca="1">IFERROR(__xludf.DUMMYFUNCTION("""COMPUTED_VALUE"""),"| 1 P JAVA % | 3 L CPT @ | 4 L JAVA @ ")</f>
        <v xml:space="preserve">| 1 P JAVA % | 3 L CPT @ | 4 L JAVA @ </v>
      </c>
      <c r="Y498" s="4" t="str">
        <f ca="1">IFERROR(__xludf.DUMMYFUNCTION("""COMPUTED_VALUE"""),"| 1 P PHP-CGM % | 3 L JAVA % | 4 L NS % | 5 P PRO % ")</f>
        <v xml:space="preserve">| 1 P PHP-CGM % | 3 L JAVA % | 4 L NS % | 5 P PRO % </v>
      </c>
      <c r="Z498" s="4" t="str">
        <f ca="1">IFERROR(__xludf.DUMMYFUNCTION("""COMPUTED_VALUE"""),"| 1 P Python % | 3 L PHP-CGM % | 4 L NS % | 5 P JAVA % ")</f>
        <v xml:space="preserve">| 1 P Python % | 3 L PHP-CGM % | 4 L NS % | 5 P JAVA % </v>
      </c>
      <c r="AA498" s="4" t="str">
        <f ca="1">IFERROR(__xludf.DUMMYFUNCTION("""COMPUTED_VALUE"""),"| 1 P Python % | 3 L CPT % | 5 P NS % ")</f>
        <v xml:space="preserve">| 1 P Python % | 3 L CPT % | 5 P NS % </v>
      </c>
      <c r="AB498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498" s="4" t="str">
        <f ca="1">IFERROR(__xludf.DUMMYFUNCTION("""COMPUTED_VALUE"""),"| 1 P Python % | 3 L CPT % | 4 L JAVA % ")</f>
        <v xml:space="preserve">| 1 P Python % | 3 L CPT % | 4 L JAVA % </v>
      </c>
      <c r="AD498" s="4" t="str">
        <f ca="1">IFERROR(__xludf.DUMMYFUNCTION("""COMPUTED_VALUE"""),"| 1 P JAVA % | 3 L JAVA % | 4 L NS % | 5 P PRO % ")</f>
        <v xml:space="preserve">| 1 P JAVA % | 3 L JAVA % | 4 L NS % | 5 P PRO % </v>
      </c>
      <c r="AE498" s="4" t="str">
        <f ca="1">IFERROR(__xludf.DUMMYFUNCTION("""COMPUTED_VALUE"""),"| 1 P JAVA % | 3 L PHP-CGM % | 4 L NS % | 5 P CPT % ")</f>
        <v xml:space="preserve">| 1 P JAVA % | 3 L PHP-CGM % | 4 L NS % | 5 P CPT % </v>
      </c>
      <c r="AF498" s="4" t="str">
        <f ca="1">IFERROR(__xludf.DUMMYFUNCTION("""COMPUTED_VALUE"""),"| 1 P NS % | 3 L CPT % | 4 L PHP-CGM % | 5 P Python % ")</f>
        <v xml:space="preserve">| 1 P NS % | 3 L CPT % | 4 L PHP-CGM % | 5 P Python % </v>
      </c>
      <c r="AG49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498" s="4" t="str">
        <f ca="1">IFERROR(__xludf.DUMMYFUNCTION("""COMPUTED_VALUE"""),"| 1 P NS % | 3 L CPT % | 4 L PHP-CGM % | 5 P Python % ")</f>
        <v xml:space="preserve">| 1 P NS % | 3 L CPT % | 4 L PHP-CGM % | 5 P Python % </v>
      </c>
      <c r="AI498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J498" s="4" t="str">
        <f ca="1">IFERROR(__xludf.DUMMYFUNCTION("""COMPUTED_VALUE"""),"| 1 P Python % | 3 L CPT % | 4 L JAVA % ")</f>
        <v xml:space="preserve">| 1 P Python % | 3 L CPT % | 4 L JAVA % </v>
      </c>
      <c r="AK498" s="4" t="str">
        <f ca="1">IFERROR(__xludf.DUMMYFUNCTION("""COMPUTED_VALUE"""),"| 1 P JAVA % | 4 L NS % | 3 L JAVA % | 5 P PRO % ")</f>
        <v xml:space="preserve">| 1 P JAVA % | 4 L NS % | 3 L JAVA % | 5 P PRO % </v>
      </c>
      <c r="AL498" s="4" t="str">
        <f ca="1">IFERROR(__xludf.DUMMYFUNCTION("""COMPUTED_VALUE"""),"| 1 P JAVA % | 3 L PHP-CGM % | 4 L NS % | 5 P CPT % ")</f>
        <v xml:space="preserve">| 1 P JAVA % | 3 L PHP-CGM % | 4 L NS % | 5 P CPT % </v>
      </c>
      <c r="AM498" s="4" t="str">
        <f ca="1">IFERROR(__xludf.DUMMYFUNCTION("""COMPUTED_VALUE"""),"| 1 P NS % | 3 L CPT % | 4 L PHP-CGM % | 5 P Python @ ")</f>
        <v xml:space="preserve">| 1 P NS % | 3 L CPT % | 4 L PHP-CGM % | 5 P Python @ </v>
      </c>
      <c r="AN49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498" s="4" t="str">
        <f ca="1">IFERROR(__xludf.DUMMYFUNCTION("""COMPUTED_VALUE"""),"| 1 P Python % | 3 L CPT % | 4 L JAVA % | 5 L INE % ")</f>
        <v xml:space="preserve">| 1 P Python % | 3 L CPT % | 4 L JAVA % | 5 L INE % </v>
      </c>
      <c r="AP498" s="4" t="str">
        <f ca="1">IFERROR(__xludf.DUMMYFUNCTION("""COMPUTED_VALUE"""),"| 1 P JAVA @ | 3 L JAVA % | 4 L NS % | 5 P PRO % ")</f>
        <v xml:space="preserve">| 1 P JAVA @ | 3 L JAVA % | 4 L NS % | 5 P PRO % </v>
      </c>
      <c r="AQ498" s="4" t="str">
        <f ca="1">IFERROR(__xludf.DUMMYFUNCTION("""COMPUTED_VALUE"""),"| 1 P JAVA @ | 3 L PHP-CGM % | 4 L NS % | 5 P CPT @ ")</f>
        <v xml:space="preserve">| 1 P JAVA @ | 3 L PHP-CGM % | 4 L NS % | 5 P CPT @ </v>
      </c>
      <c r="AR498" s="4" t="str">
        <f ca="1">IFERROR(__xludf.DUMMYFUNCTION("""COMPUTED_VALUE"""),"| 1 P NS % | 3 L CPT % | 5 P Python @ ")</f>
        <v xml:space="preserve">| 1 P NS % | 3 L CPT % | 5 P Python @ </v>
      </c>
      <c r="AS498" s="4" t="str">
        <f ca="1">IFERROR(__xludf.DUMMYFUNCTION("""COMPUTED_VALUE"""),"| 1 P Python % | 3 L CPT % | 4 L JAVA % | 5 L INE @ ")</f>
        <v xml:space="preserve">| 1 P Python % | 3 L CPT % | 4 L JAVA % | 5 L INE @ </v>
      </c>
      <c r="AT498" s="4" t="str">
        <f ca="1">IFERROR(__xludf.DUMMYFUNCTION("""COMPUTED_VALUE"""),"| 1 P JAVA % | 3 L JAVA % | 4 L NS % | 5 P PRO % ")</f>
        <v xml:space="preserve">| 1 P JAVA % | 3 L JAVA % | 4 L NS % | 5 P PRO % </v>
      </c>
      <c r="AU498" s="4" t="str">
        <f ca="1">IFERROR(__xludf.DUMMYFUNCTION("""COMPUTED_VALUE"""),"| 1 P JAVA % | 3 L PHP-CGM % | 4 L NS % | 5 P CPT % ")</f>
        <v xml:space="preserve">| 1 P JAVA % | 3 L PHP-CGM % | 4 L NS % | 5 P CPT % </v>
      </c>
      <c r="AV498" s="4" t="str">
        <f ca="1">IFERROR(__xludf.DUMMYFUNCTION("""COMPUTED_VALUE"""),"| 1 P NS % | 3 L CPT % | 4 L PHP-CGM % | 5 P Python % ")</f>
        <v xml:space="preserve">| 1 P NS % | 3 L CPT % | 4 L PHP-CGM % | 5 P Python % </v>
      </c>
      <c r="AW498" s="4" t="str">
        <f ca="1">IFERROR(__xludf.DUMMYFUNCTION("""COMPUTED_VALUE"""),"| 3 L PHP-CGM % | 4 L JAVA % | 5 L NS % | 5 L CPT % ")</f>
        <v xml:space="preserve">| 3 L PHP-CGM % | 4 L JAVA % | 5 L NS % | 5 L CPT % </v>
      </c>
      <c r="AX498" s="4" t="str">
        <f ca="1">IFERROR(__xludf.DUMMYFUNCTION("""COMPUTED_VALUE"""),"| 1 P Python % | 3 L CPT % | 4 L JAVA % | 5 L INE % ")</f>
        <v xml:space="preserve">| 1 P Python % | 3 L CPT % | 4 L JAVA % | 5 L INE % </v>
      </c>
      <c r="AY498" s="4" t="str">
        <f ca="1">IFERROR(__xludf.DUMMYFUNCTION("""COMPUTED_VALUE"""),"| 1 P JAVA % | 3 L JAVA % | 4 L NS @ | 5 P PRO % ")</f>
        <v xml:space="preserve">| 1 P JAVA % | 3 L JAVA % | 4 L NS @ | 5 P PRO % </v>
      </c>
      <c r="AZ498" s="4" t="str">
        <f ca="1">IFERROR(__xludf.DUMMYFUNCTION("""COMPUTED_VALUE"""),"| 1 P NS % | 3 L CPT % | 4 L PHP-CGM % | 5 P Python % ")</f>
        <v xml:space="preserve">| 1 P NS % | 3 L CPT % | 4 L PHP-CGM % | 5 P Python % </v>
      </c>
      <c r="BA498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498" s="4" t="str">
        <f ca="1">IFERROR(__xludf.DUMMYFUNCTION("""COMPUTED_VALUE"""),"| 1 P Python % | 3 L CPT % | 4 L JAVA % | 5 L INE % ")</f>
        <v xml:space="preserve">| 1 P Python % | 3 L CPT % | 4 L JAVA % | 5 L INE % </v>
      </c>
      <c r="BC498" s="4" t="str">
        <f ca="1">IFERROR(__xludf.DUMMYFUNCTION("""COMPUTED_VALUE"""),"| 1 P JAVA % | 3 L JAVA % | 4 L NS % | 5 P PRO % ")</f>
        <v xml:space="preserve">| 1 P JAVA % | 3 L JAVA % | 4 L NS % | 5 P PRO % </v>
      </c>
      <c r="BD498" s="4" t="str">
        <f ca="1">IFERROR(__xludf.DUMMYFUNCTION("""COMPUTED_VALUE"""),"| 1 P JAVA % | 4 L NS %  | 3 L PHP-CGM % | 5 P CPT @ ")</f>
        <v xml:space="preserve">| 1 P JAVA % | 4 L NS %  | 3 L PHP-CGM % | 5 P CPT @ </v>
      </c>
      <c r="BE498" s="4" t="str">
        <f ca="1">IFERROR(__xludf.DUMMYFUNCTION("""COMPUTED_VALUE"""),"| 1 P NS % | 3 L CPT % | 4 L PHP-CGM % | 5 P Python @ ")</f>
        <v xml:space="preserve">| 1 P NS % | 3 L CPT % | 4 L PHP-CGM % | 5 P Python @ </v>
      </c>
      <c r="BF498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498" s="4" t="str">
        <f ca="1">IFERROR(__xludf.DUMMYFUNCTION("""COMPUTED_VALUE"""),"| 1 P JAVA @ | 3 L JAVA % | 4 L NS % | 5 P PRO % ")</f>
        <v xml:space="preserve">| 1 P JAVA @ | 3 L JAVA % | 4 L NS % | 5 P PRO % </v>
      </c>
      <c r="BH498" s="4" t="str">
        <f ca="1">IFERROR(__xludf.DUMMYFUNCTION("""COMPUTED_VALUE"""),"| 1 P JAVA @ | 3 L PHP-CGM % | 4 L NS % | 5 P CPT % ")</f>
        <v xml:space="preserve">| 1 P JAVA @ | 3 L PHP-CGM % | 4 L NS % | 5 P CPT % </v>
      </c>
      <c r="BI498" s="4" t="str">
        <f ca="1">IFERROR(__xludf.DUMMYFUNCTION("""COMPUTED_VALUE"""),"| 1 P NS % | 3 L CPT % | 4 L PHP-CGM % | 5 P Python % ")</f>
        <v xml:space="preserve">| 1 P NS % | 3 L CPT % | 4 L PHP-CGM % | 5 P Python % </v>
      </c>
      <c r="BJ498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498" s="4" t="str">
        <f ca="1">IFERROR(__xludf.DUMMYFUNCTION("""COMPUTED_VALUE"""),"| 1 P Python @ | 3 L CPT @ | 4 L JAVA @ | 5 L INE % ")</f>
        <v xml:space="preserve">| 1 P Python @ | 3 L CPT @ | 4 L JAVA @ | 5 L INE % </v>
      </c>
      <c r="BL498" s="4" t="str">
        <f ca="1">IFERROR(__xludf.DUMMYFUNCTION("""COMPUTED_VALUE"""),"| 1 P JAVA @ | 3 L JAVA @ | 4 L NS @ ")</f>
        <v xml:space="preserve">| 1 P JAVA @ | 3 L JAVA @ | 4 L NS @ </v>
      </c>
      <c r="BM498" s="4" t="str">
        <f ca="1">IFERROR(__xludf.DUMMYFUNCTION("""COMPUTED_VALUE"""),"| 1 P JAVA @ | 3 L PHP-CGM % | 4 L NS % | 5 P CPT % ")</f>
        <v xml:space="preserve">| 1 P JAVA @ | 3 L PHP-CGM % | 4 L NS % | 5 P CPT % </v>
      </c>
      <c r="BN498" s="4" t="str">
        <f ca="1">IFERROR(__xludf.DUMMYFUNCTION("""COMPUTED_VALUE"""),"| 1 P NS % | 3 L CPT % | 4 L PHP-CGM % ")</f>
        <v xml:space="preserve">| 1 P NS % | 3 L CPT % | 4 L PHP-CGM % </v>
      </c>
      <c r="BO498" s="4" t="str">
        <f ca="1">IFERROR(__xludf.DUMMYFUNCTION("""COMPUTED_VALUE"""),"| 1 P PHP-CGM @ | 3 L PHP-CGM @ | 4 L JAVA % | 5 L NS @ | 6 L CPT % ")</f>
        <v xml:space="preserve">| 1 P PHP-CGM @ | 3 L PHP-CGM @ | 4 L JAVA % | 5 L NS @ | 6 L CPT % </v>
      </c>
      <c r="BP498" s="4" t="str">
        <f ca="1">IFERROR(__xludf.DUMMYFUNCTION("""COMPUTED_VALUE"""),"| 1 P Python % | 3 L CPT % | 4 L JAVA % | 5 L INE % ")</f>
        <v xml:space="preserve">| 1 P Python % | 3 L CPT % | 4 L JAVA % | 5 L INE % </v>
      </c>
      <c r="BQ498" s="4" t="str">
        <f ca="1">IFERROR(__xludf.DUMMYFUNCTION("""COMPUTED_VALUE"""),"| 4 L NS % | 1 P JAVA % ")</f>
        <v xml:space="preserve">| 4 L NS % | 1 P JAVA % </v>
      </c>
      <c r="BR498" s="4"/>
      <c r="BS498" s="4"/>
      <c r="BT498" s="4" t="str">
        <f ca="1">IFERROR(__xludf.DUMMYFUNCTION("""COMPUTED_VALUE"""),"| 1 P Python % | 3 L CPT % | 4 L JAVA % ")</f>
        <v xml:space="preserve">| 1 P Python % | 3 L CPT % | 4 L JAVA % </v>
      </c>
      <c r="BU498" s="4" t="str">
        <f ca="1">IFERROR(__xludf.DUMMYFUNCTION("""COMPUTED_VALUE"""),"| 1 P JAVA @ | 4 L NS @ | 3 L JAVA @ ")</f>
        <v xml:space="preserve">| 1 P JAVA @ | 4 L NS @ | 3 L JAVA @ </v>
      </c>
      <c r="BV498" s="4" t="str">
        <f ca="1">IFERROR(__xludf.DUMMYFUNCTION("""COMPUTED_VALUE"""),"| 1 P Python @ | 3 L CPT % | 4 L JAVA % ")</f>
        <v xml:space="preserve">| 1 P Python @ | 3 L CPT % | 4 L JAVA % </v>
      </c>
      <c r="BW498" s="4" t="str">
        <f ca="1">IFERROR(__xludf.DUMMYFUNCTION("""COMPUTED_VALUE"""),"| 1 P JAVA @ | 3 L JAVA % | 4 L NS % ")</f>
        <v xml:space="preserve">| 1 P JAVA @ | 3 L JAVA % | 4 L NS % </v>
      </c>
      <c r="BX498" s="4" t="str">
        <f ca="1">IFERROR(__xludf.DUMMYFUNCTION("""COMPUTED_VALUE"""),"| 1 P JAVA @ | 3 L PHP-CGM % | 4 L NS % | 5 P CPT % ")</f>
        <v xml:space="preserve">| 1 P JAVA @ | 3 L PHP-CGM % | 4 L NS % | 5 P CPT % </v>
      </c>
      <c r="BY498" s="4" t="str">
        <f ca="1">IFERROR(__xludf.DUMMYFUNCTION("""COMPUTED_VALUE"""),"| 1 P NS % | 3 L CPT % | 4 L PHP-CGM % | 5 P Python @ ")</f>
        <v xml:space="preserve">| 1 P NS % | 3 L CPT % | 4 L PHP-CGM % | 5 P Python @ </v>
      </c>
      <c r="BZ498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498" s="4" t="str">
        <f ca="1">IFERROR(__xludf.DUMMYFUNCTION("""COMPUTED_VALUE"""),"| 1 P Python @ | 3 L CPT % | 4 L JAVA % | 5 L INE % ")</f>
        <v xml:space="preserve">| 1 P Python @ | 3 L CPT % | 4 L JAVA % | 5 L INE % </v>
      </c>
      <c r="CB498" s="4" t="str">
        <f ca="1">IFERROR(__xludf.DUMMYFUNCTION("""COMPUTED_VALUE"""),"| 1 P JAVA % | 3 L JAVA % | 4 L NS @ | 5 P PRO @ ")</f>
        <v xml:space="preserve">| 1 P JAVA % | 3 L JAVA % | 4 L NS @ | 5 P PRO @ </v>
      </c>
      <c r="CC498" s="4" t="str">
        <f ca="1">IFERROR(__xludf.DUMMYFUNCTION("""COMPUTED_VALUE"""),"| 1 P JAVA @ | 3 L PHP-CGM % | 4 L NS % | 5 P CPT @ ")</f>
        <v xml:space="preserve">| 1 P JAVA @ | 3 L PHP-CGM % | 4 L NS % | 5 P CPT @ </v>
      </c>
      <c r="CD498" s="4" t="str">
        <f ca="1">IFERROR(__xludf.DUMMYFUNCTION("""COMPUTED_VALUE"""),"| 1 P NS % | 3 L CPT % | 4 L PHP-CGM % | 5 P Python @ ")</f>
        <v xml:space="preserve">| 1 P NS % | 3 L CPT % | 4 L PHP-CGM % | 5 P Python @ </v>
      </c>
      <c r="CE498" s="4" t="str">
        <f ca="1">IFERROR(__xludf.DUMMYFUNCTION("""COMPUTED_VALUE"""),"| 1 P PHP-CGM % | 3 L PHP-CGM @ | 4 L JAVA @ | 5 L NS % | 6 L CPT % ")</f>
        <v xml:space="preserve">| 1 P PHP-CGM % | 3 L PHP-CGM @ | 4 L JAVA @ | 5 L NS % | 6 L CPT % </v>
      </c>
      <c r="CF498" s="4" t="str">
        <f ca="1">IFERROR(__xludf.DUMMYFUNCTION("""COMPUTED_VALUE"""),"| 1 P Python % | 3 L CPT % | 4 L JAVA % | 5 L INE % ")</f>
        <v xml:space="preserve">| 1 P Python % | 3 L CPT % | 4 L JAVA % | 5 L INE % </v>
      </c>
      <c r="CG498" s="4" t="str">
        <f ca="1">IFERROR(__xludf.DUMMYFUNCTION("""COMPUTED_VALUE"""),"| 1 P JAVA % | 4 L NS % ")</f>
        <v xml:space="preserve">| 1 P JAVA % | 4 L NS % </v>
      </c>
      <c r="CH498" s="4" t="str">
        <f ca="1">IFERROR(__xludf.DUMMYFUNCTION("""COMPUTED_VALUE"""),"| 1 P JAVA % | 3 L PHP-CGM @ | 4 L NS @ ")</f>
        <v xml:space="preserve">| 1 P JAVA % | 3 L PHP-CGM @ | 4 L NS @ </v>
      </c>
      <c r="CI498" s="4" t="str">
        <f ca="1">IFERROR(__xludf.DUMMYFUNCTION("""COMPUTED_VALUE"""),"| 1 P NS % ")</f>
        <v xml:space="preserve">| 1 P NS % </v>
      </c>
      <c r="CJ498" s="4" t="str">
        <f ca="1">IFERROR(__xludf.DUMMYFUNCTION("""COMPUTED_VALUE"""),"| 1 P PHP-CGM @ | 4 L JAVA % ")</f>
        <v xml:space="preserve">| 1 P PHP-CGM @ | 4 L JAVA % </v>
      </c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</row>
    <row r="499" spans="1:102" ht="12.5" x14ac:dyDescent="0.25">
      <c r="A499" s="3">
        <f ca="1">IFERROR(__xludf.DUMMYFUNCTION("""COMPUTED_VALUE"""),2)</f>
        <v>2</v>
      </c>
      <c r="B499" s="3" t="str">
        <f ca="1">IFERROR(__xludf.DUMMYFUNCTION("""COMPUTED_VALUE"""),"ITC")</f>
        <v>ITC</v>
      </c>
      <c r="C499" s="32" t="str">
        <f ca="1">IFERROR(__xludf.DUMMYFUNCTION("""COMPUTED_VALUE"""),"23171371075")</f>
        <v>23171371075</v>
      </c>
      <c r="D499" s="4" t="str">
        <f ca="1">IFERROR(__xludf.DUMMYFUNCTION("""COMPUTED_VALUE"""),"PATEL DIYABEN VIPULKUMAR")</f>
        <v>PATEL DIYABEN VIPULKUMAR</v>
      </c>
      <c r="E499" s="3" t="str">
        <f ca="1">IFERROR(__xludf.DUMMYFUNCTION("""COMPUTED_VALUE"""),"SDP&amp;KKP - Mor")</f>
        <v>SDP&amp;KKP - Mor</v>
      </c>
      <c r="F499" s="3">
        <f ca="1">IFERROR(__xludf.DUMMYFUNCTION("""COMPUTED_VALUE"""),7862063133)</f>
        <v>7862063133</v>
      </c>
      <c r="G499" s="3">
        <f ca="1">IFERROR(__xludf.DUMMYFUNCTION("""COMPUTED_VALUE"""),7862063133)</f>
        <v>7862063133</v>
      </c>
      <c r="H499" s="33">
        <f ca="1">IFERROR(__xludf.DUMMYFUNCTION("""COMPUTED_VALUE"""),0.796680497925311)</f>
        <v>0.79668049792531104</v>
      </c>
      <c r="I499" s="25">
        <f ca="1">IFERROR(__xludf.DUMMYFUNCTION("""COMPUTED_VALUE"""),0.777777777777777)</f>
        <v>0.77777777777777701</v>
      </c>
      <c r="J499" s="25">
        <f ca="1">IFERROR(__xludf.DUMMYFUNCTION("""COMPUTED_VALUE"""),0.8)</f>
        <v>0.8</v>
      </c>
      <c r="K499" s="25">
        <f ca="1">IFERROR(__xludf.DUMMYFUNCTION("""COMPUTED_VALUE"""),0.75)</f>
        <v>0.75</v>
      </c>
      <c r="L499" s="25">
        <f ca="1">IFERROR(__xludf.DUMMYFUNCTION("""COMPUTED_VALUE"""),0.769230769230769)</f>
        <v>0.76923076923076905</v>
      </c>
      <c r="M499" s="25">
        <f ca="1">IFERROR(__xludf.DUMMYFUNCTION("""COMPUTED_VALUE"""),0.75)</f>
        <v>0.75</v>
      </c>
      <c r="N499" s="25">
        <f ca="1">IFERROR(__xludf.DUMMYFUNCTION("""COMPUTED_VALUE"""),0.75)</f>
        <v>0.75</v>
      </c>
      <c r="O499" s="25">
        <f ca="1">IFERROR(__xludf.DUMMYFUNCTION("""COMPUTED_VALUE"""),0.837837837837837)</f>
        <v>0.83783783783783705</v>
      </c>
      <c r="P499" s="25">
        <f ca="1">IFERROR(__xludf.DUMMYFUNCTION("""COMPUTED_VALUE"""),0.958333333333333)</f>
        <v>0.95833333333333304</v>
      </c>
      <c r="Q499" s="25">
        <f ca="1">IFERROR(__xludf.DUMMYFUNCTION("""COMPUTED_VALUE"""),0)</f>
        <v>0</v>
      </c>
      <c r="R499" s="25">
        <f ca="1">IFERROR(__xludf.DUMMYFUNCTION("""COMPUTED_VALUE"""),0.75)</f>
        <v>0.75</v>
      </c>
      <c r="S499" s="25">
        <f ca="1">IFERROR(__xludf.DUMMYFUNCTION("""COMPUTED_VALUE"""),0)</f>
        <v>0</v>
      </c>
      <c r="T499" s="25">
        <f ca="1">IFERROR(__xludf.DUMMYFUNCTION("""COMPUTED_VALUE"""),0.888888888888888)</f>
        <v>0.88888888888888795</v>
      </c>
      <c r="U499" s="25">
        <f ca="1">IFERROR(__xludf.DUMMYFUNCTION("""COMPUTED_VALUE"""),0.75)</f>
        <v>0.75</v>
      </c>
      <c r="V499" s="25">
        <f ca="1">IFERROR(__xludf.DUMMYFUNCTION("""COMPUTED_VALUE"""),0)</f>
        <v>0</v>
      </c>
      <c r="W499" s="4"/>
      <c r="X499" s="4" t="str">
        <f ca="1">IFERROR(__xludf.DUMMYFUNCTION("""COMPUTED_VALUE"""),"| 1 P CPT % | 3 L CPT % | 4 L JAVA % ")</f>
        <v xml:space="preserve">| 1 P CPT % | 3 L CPT % | 4 L JAVA % </v>
      </c>
      <c r="Y499" s="4" t="str">
        <f ca="1">IFERROR(__xludf.DUMMYFUNCTION("""COMPUTED_VALUE"""),"| 1 P NS % | 3 L JAVA % | 4 L NS % | 5 P PRO % ")</f>
        <v xml:space="preserve">| 1 P NS % | 3 L JAVA % | 4 L NS % | 5 P PRO % </v>
      </c>
      <c r="Z499" s="4" t="str">
        <f ca="1">IFERROR(__xludf.DUMMYFUNCTION("""COMPUTED_VALUE"""),"| 1 P Python % | 3 L PHP-CGM % | 4 L NS % | 5 P PHP-CGM % ")</f>
        <v xml:space="preserve">| 1 P Python % | 3 L PHP-CGM % | 4 L NS % | 5 P PHP-CGM % </v>
      </c>
      <c r="AA499" s="4" t="str">
        <f ca="1">IFERROR(__xludf.DUMMYFUNCTION("""COMPUTED_VALUE"""),"| 1 P JAVA % | 3 L CPT % | 5 P Python @ ")</f>
        <v xml:space="preserve">| 1 P JAVA % | 3 L CPT % | 5 P Python @ </v>
      </c>
      <c r="AB499" s="4" t="str">
        <f ca="1">IFERROR(__xludf.DUMMYFUNCTION("""COMPUTED_VALUE"""),"| 1 P PHP-CGM @ | 3 L PHP-CGM % | 4 L JAVA % | 5 L CPT % | 6 L NS % ")</f>
        <v xml:space="preserve">| 1 P PHP-CGM @ | 3 L PHP-CGM % | 4 L JAVA % | 5 L CPT % | 6 L NS % </v>
      </c>
      <c r="AC499" s="4" t="str">
        <f ca="1">IFERROR(__xludf.DUMMYFUNCTION("""COMPUTED_VALUE"""),"| 1 P Python % | 3 L CPT % | 4 L JAVA % ")</f>
        <v xml:space="preserve">| 1 P Python % | 3 L CPT % | 4 L JAVA % </v>
      </c>
      <c r="AD499" s="4" t="str">
        <f ca="1">IFERROR(__xludf.DUMMYFUNCTION("""COMPUTED_VALUE"""),"| 1 P JAVA % | 3 L JAVA % | 4 L NS % | 5 P PRO % ")</f>
        <v xml:space="preserve">| 1 P JAVA % | 3 L JAVA % | 4 L NS % | 5 P PRO % </v>
      </c>
      <c r="AE499" s="4" t="str">
        <f ca="1">IFERROR(__xludf.DUMMYFUNCTION("""COMPUTED_VALUE"""),"| 1 P JAVA % | 3 L PHP-CGM % | 4 L NS % | 5 P CPT % ")</f>
        <v xml:space="preserve">| 1 P JAVA % | 3 L PHP-CGM % | 4 L NS % | 5 P CPT % </v>
      </c>
      <c r="AF499" s="4" t="str">
        <f ca="1">IFERROR(__xludf.DUMMYFUNCTION("""COMPUTED_VALUE"""),"| 1 P NS % | 3 L CPT % | 4 L PHP-CGM % | 5 P Python % ")</f>
        <v xml:space="preserve">| 1 P NS % | 3 L CPT % | 4 L PHP-CGM % | 5 P Python % </v>
      </c>
      <c r="AG499" s="4" t="str">
        <f ca="1">IFERROR(__xludf.DUMMYFUNCTION("""COMPUTED_VALUE"""),"| 1 P PHP-CGM % | 3 L PHP-CGM @ | 4 L JAVA % | 5 L CPT % | 6 L NS % ")</f>
        <v xml:space="preserve">| 1 P PHP-CGM % | 3 L PHP-CGM @ | 4 L JAVA % | 5 L CPT % | 6 L NS % </v>
      </c>
      <c r="AH499" s="4" t="str">
        <f ca="1">IFERROR(__xludf.DUMMYFUNCTION("""COMPUTED_VALUE"""),"| 1 P NS % | 3 L CPT % | 4 L PHP-CGM % | 5 P Python % ")</f>
        <v xml:space="preserve">| 1 P NS % | 3 L CPT % | 4 L PHP-CGM % | 5 P Python % </v>
      </c>
      <c r="AI499" s="4" t="str">
        <f ca="1">IFERROR(__xludf.DUMMYFUNCTION("""COMPUTED_VALUE"""),"| 1 P PHP-CGM % | 3 L PHP-CGM @ | 4 L JAVA @ | 5 L CPT @ | 6 L NS @ ")</f>
        <v xml:space="preserve">| 1 P PHP-CGM % | 3 L PHP-CGM @ | 4 L JAVA @ | 5 L CPT @ | 6 L NS @ </v>
      </c>
      <c r="AJ499" s="4" t="str">
        <f ca="1">IFERROR(__xludf.DUMMYFUNCTION("""COMPUTED_VALUE"""),"| 1 P Python % | 3 L CPT % | 4 L JAVA % ")</f>
        <v xml:space="preserve">| 1 P Python % | 3 L CPT % | 4 L JAVA % </v>
      </c>
      <c r="AK499" s="4" t="str">
        <f ca="1">IFERROR(__xludf.DUMMYFUNCTION("""COMPUTED_VALUE"""),"| 1 P JAVA % | 4 L NS @ | 3 L JAVA @ | 5 P PRO @ ")</f>
        <v xml:space="preserve">| 1 P JAVA % | 4 L NS @ | 3 L JAVA @ | 5 P PRO @ </v>
      </c>
      <c r="AL499" s="4" t="str">
        <f ca="1">IFERROR(__xludf.DUMMYFUNCTION("""COMPUTED_VALUE"""),"| 1 P JAVA % | 3 L PHP-CGM % | 4 L NS % | 5 P CPT % ")</f>
        <v xml:space="preserve">| 1 P JAVA % | 3 L PHP-CGM % | 4 L NS % | 5 P CPT % </v>
      </c>
      <c r="AM499" s="4" t="str">
        <f ca="1">IFERROR(__xludf.DUMMYFUNCTION("""COMPUTED_VALUE"""),"| 1 P NS % | 3 L CPT @ | 4 L PHP-CGM @ | 5 P Python % ")</f>
        <v xml:space="preserve">| 1 P NS % | 3 L CPT @ | 4 L PHP-CGM @ | 5 P Python % </v>
      </c>
      <c r="AN499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499" s="4" t="str">
        <f ca="1">IFERROR(__xludf.DUMMYFUNCTION("""COMPUTED_VALUE"""),"| 1 P Python % | 3 L CPT % | 4 L JAVA % | 5 L INE @ ")</f>
        <v xml:space="preserve">| 1 P Python % | 3 L CPT % | 4 L JAVA % | 5 L INE @ </v>
      </c>
      <c r="AP499" s="4" t="str">
        <f ca="1">IFERROR(__xludf.DUMMYFUNCTION("""COMPUTED_VALUE"""),"| 1 P JAVA % | 3 L JAVA % | 4 L NS % | 5 P PRO % ")</f>
        <v xml:space="preserve">| 1 P JAVA % | 3 L JAVA % | 4 L NS % | 5 P PRO % </v>
      </c>
      <c r="AQ499" s="4" t="str">
        <f ca="1">IFERROR(__xludf.DUMMYFUNCTION("""COMPUTED_VALUE"""),"| 1 P JAVA % | 3 L PHP-CGM % | 4 L NS % | 5 P CPT % ")</f>
        <v xml:space="preserve">| 1 P JAVA % | 3 L PHP-CGM % | 4 L NS % | 5 P CPT % </v>
      </c>
      <c r="AR499" s="4" t="str">
        <f ca="1">IFERROR(__xludf.DUMMYFUNCTION("""COMPUTED_VALUE"""),"| 1 P NS @ | 3 L CPT @ | 5 P Python @ ")</f>
        <v xml:space="preserve">| 1 P NS @ | 3 L CPT @ | 5 P Python @ </v>
      </c>
      <c r="AS499" s="4" t="str">
        <f ca="1">IFERROR(__xludf.DUMMYFUNCTION("""COMPUTED_VALUE"""),"| 1 P Python % | 3 L CPT % | 4 L JAVA % | 5 L INE % ")</f>
        <v xml:space="preserve">| 1 P Python % | 3 L CPT % | 4 L JAVA % | 5 L INE % </v>
      </c>
      <c r="AT499" s="4" t="str">
        <f ca="1">IFERROR(__xludf.DUMMYFUNCTION("""COMPUTED_VALUE"""),"| 1 P JAVA % | 3 L JAVA % | 4 L NS % | 5 P PRO % ")</f>
        <v xml:space="preserve">| 1 P JAVA % | 3 L JAVA % | 4 L NS % | 5 P PRO % </v>
      </c>
      <c r="AU499" s="4" t="str">
        <f ca="1">IFERROR(__xludf.DUMMYFUNCTION("""COMPUTED_VALUE"""),"| 1 P JAVA % | 3 L PHP-CGM % | 4 L NS % | 5 P CPT % ")</f>
        <v xml:space="preserve">| 1 P JAVA % | 3 L PHP-CGM % | 4 L NS % | 5 P CPT % </v>
      </c>
      <c r="AV499" s="4" t="str">
        <f ca="1">IFERROR(__xludf.DUMMYFUNCTION("""COMPUTED_VALUE"""),"| 1 P NS @ | 3 L CPT @ | 4 L PHP-CGM @ | 5 P Python @ ")</f>
        <v xml:space="preserve">| 1 P NS @ | 3 L CPT @ | 4 L PHP-CGM @ | 5 P Python @ </v>
      </c>
      <c r="AW499" s="4" t="str">
        <f ca="1">IFERROR(__xludf.DUMMYFUNCTION("""COMPUTED_VALUE"""),"| 3 L PHP-CGM % | 4 L JAVA % | 5 L NS % | 5 L CPT % ")</f>
        <v xml:space="preserve">| 3 L PHP-CGM % | 4 L JAVA % | 5 L NS % | 5 L CPT % </v>
      </c>
      <c r="AX499" s="4" t="str">
        <f ca="1">IFERROR(__xludf.DUMMYFUNCTION("""COMPUTED_VALUE"""),"| 1 P Python % | 3 L CPT % | 4 L JAVA % | 5 L INE % ")</f>
        <v xml:space="preserve">| 1 P Python % | 3 L CPT % | 4 L JAVA % | 5 L INE % </v>
      </c>
      <c r="AY499" s="4" t="str">
        <f ca="1">IFERROR(__xludf.DUMMYFUNCTION("""COMPUTED_VALUE"""),"| 1 P JAVA % | 3 L JAVA % | 4 L NS % | 5 P PRO % ")</f>
        <v xml:space="preserve">| 1 P JAVA % | 3 L JAVA % | 4 L NS % | 5 P PRO % </v>
      </c>
      <c r="AZ499" s="4" t="str">
        <f ca="1">IFERROR(__xludf.DUMMYFUNCTION("""COMPUTED_VALUE"""),"| 1 P NS % | 3 L CPT % | 4 L PHP-CGM % | 5 P Python % ")</f>
        <v xml:space="preserve">| 1 P NS % | 3 L CPT % | 4 L PHP-CGM % | 5 P Python % </v>
      </c>
      <c r="BA499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499" s="4" t="str">
        <f ca="1">IFERROR(__xludf.DUMMYFUNCTION("""COMPUTED_VALUE"""),"| 1 P Python % | 3 L CPT % | 4 L JAVA % | 5 L INE % ")</f>
        <v xml:space="preserve">| 1 P Python % | 3 L CPT % | 4 L JAVA % | 5 L INE % </v>
      </c>
      <c r="BC499" s="4" t="str">
        <f ca="1">IFERROR(__xludf.DUMMYFUNCTION("""COMPUTED_VALUE"""),"| 1 P JAVA % | 3 L JAVA % | 4 L NS % | 5 P PRO % ")</f>
        <v xml:space="preserve">| 1 P JAVA % | 3 L JAVA % | 4 L NS % | 5 P PRO % </v>
      </c>
      <c r="BD499" s="4" t="str">
        <f ca="1">IFERROR(__xludf.DUMMYFUNCTION("""COMPUTED_VALUE"""),"| 1 P JAVA % | 4 L NS %  | 3 L PHP-CGM % | 5 P CPT % ")</f>
        <v xml:space="preserve">| 1 P JAVA % | 4 L NS %  | 3 L PHP-CGM % | 5 P CPT % </v>
      </c>
      <c r="BE499" s="4" t="str">
        <f ca="1">IFERROR(__xludf.DUMMYFUNCTION("""COMPUTED_VALUE"""),"| 1 P NS % | 3 L CPT % | 4 L PHP-CGM % | 5 P Python % ")</f>
        <v xml:space="preserve">| 1 P NS % | 3 L CPT % | 4 L PHP-CGM % | 5 P Python % </v>
      </c>
      <c r="BF499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499" s="4" t="str">
        <f ca="1">IFERROR(__xludf.DUMMYFUNCTION("""COMPUTED_VALUE"""),"| 1 P JAVA % | 3 L JAVA @ | 4 L NS @ | 5 P PRO % ")</f>
        <v xml:space="preserve">| 1 P JAVA % | 3 L JAVA @ | 4 L NS @ | 5 P PRO % </v>
      </c>
      <c r="BH499" s="4" t="str">
        <f ca="1">IFERROR(__xludf.DUMMYFUNCTION("""COMPUTED_VALUE"""),"| 1 P JAVA % | 3 L PHP-CGM % | 4 L NS % | 5 P CPT % ")</f>
        <v xml:space="preserve">| 1 P JAVA % | 3 L PHP-CGM % | 4 L NS % | 5 P CPT % </v>
      </c>
      <c r="BI499" s="4" t="str">
        <f ca="1">IFERROR(__xludf.DUMMYFUNCTION("""COMPUTED_VALUE"""),"| 1 P NS % | 3 L CPT % | 4 L PHP-CGM % | 5 P Python @ ")</f>
        <v xml:space="preserve">| 1 P NS % | 3 L CPT % | 4 L PHP-CGM % | 5 P Python @ </v>
      </c>
      <c r="BJ499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K499" s="4" t="str">
        <f ca="1">IFERROR(__xludf.DUMMYFUNCTION("""COMPUTED_VALUE"""),"| 1 P Python % | 3 L CPT % | 4 L JAVA % | 5 L INE % ")</f>
        <v xml:space="preserve">| 1 P Python % | 3 L CPT % | 4 L JAVA % | 5 L INE % </v>
      </c>
      <c r="BL499" s="4" t="str">
        <f ca="1">IFERROR(__xludf.DUMMYFUNCTION("""COMPUTED_VALUE"""),"| 1 P JAVA % | 3 L JAVA @ | 4 L NS @ ")</f>
        <v xml:space="preserve">| 1 P JAVA % | 3 L JAVA @ | 4 L NS @ </v>
      </c>
      <c r="BM499" s="4" t="str">
        <f ca="1">IFERROR(__xludf.DUMMYFUNCTION("""COMPUTED_VALUE"""),"| 1 P JAVA @ | 3 L PHP-CGM @ | 4 L NS @ | 5 P CPT @ ")</f>
        <v xml:space="preserve">| 1 P JAVA @ | 3 L PHP-CGM @ | 4 L NS @ | 5 P CPT @ </v>
      </c>
      <c r="BN499" s="4" t="str">
        <f ca="1">IFERROR(__xludf.DUMMYFUNCTION("""COMPUTED_VALUE"""),"| 1 P NS @ | 3 L CPT @ | 4 L PHP-CGM @ ")</f>
        <v xml:space="preserve">| 1 P NS @ | 3 L CPT @ | 4 L PHP-CGM @ </v>
      </c>
      <c r="BO499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499" s="4" t="str">
        <f ca="1">IFERROR(__xludf.DUMMYFUNCTION("""COMPUTED_VALUE"""),"| 1 P Python % | 3 L CPT % | 4 L JAVA % | 5 L INE % ")</f>
        <v xml:space="preserve">| 1 P Python % | 3 L CPT % | 4 L JAVA % | 5 L INE % </v>
      </c>
      <c r="BQ499" s="4" t="str">
        <f ca="1">IFERROR(__xludf.DUMMYFUNCTION("""COMPUTED_VALUE"""),"| 4 L NS % | 1 P JAVA % ")</f>
        <v xml:space="preserve">| 4 L NS % | 1 P JAVA % </v>
      </c>
      <c r="BR499" s="4"/>
      <c r="BS499" s="4"/>
      <c r="BT499" s="4" t="str">
        <f ca="1">IFERROR(__xludf.DUMMYFUNCTION("""COMPUTED_VALUE"""),"| 1 P Python % | 3 L CPT % | 4 L JAVA % ")</f>
        <v xml:space="preserve">| 1 P Python % | 3 L CPT % | 4 L JAVA % </v>
      </c>
      <c r="BU499" s="4" t="str">
        <f ca="1">IFERROR(__xludf.DUMMYFUNCTION("""COMPUTED_VALUE"""),"| 1 P JAVA % | 4 L NS % | 3 L JAVA % ")</f>
        <v xml:space="preserve">| 1 P JAVA % | 4 L NS % | 3 L JAVA % </v>
      </c>
      <c r="BV499" s="4" t="str">
        <f ca="1">IFERROR(__xludf.DUMMYFUNCTION("""COMPUTED_VALUE"""),"| 1 P Python % | 3 L CPT % | 4 L JAVA % ")</f>
        <v xml:space="preserve">| 1 P Python % | 3 L CPT % | 4 L JAVA % </v>
      </c>
      <c r="BW499" s="4" t="str">
        <f ca="1">IFERROR(__xludf.DUMMYFUNCTION("""COMPUTED_VALUE"""),"| 1 P JAVA % | 3 L JAVA % | 4 L NS % ")</f>
        <v xml:space="preserve">| 1 P JAVA % | 3 L JAVA % | 4 L NS % </v>
      </c>
      <c r="BX499" s="4" t="str">
        <f ca="1">IFERROR(__xludf.DUMMYFUNCTION("""COMPUTED_VALUE"""),"| 1 P JAVA % | 3 L PHP-CGM % | 4 L NS % | 5 P CPT % ")</f>
        <v xml:space="preserve">| 1 P JAVA % | 3 L PHP-CGM % | 4 L NS % | 5 P CPT % </v>
      </c>
      <c r="BY499" s="4" t="str">
        <f ca="1">IFERROR(__xludf.DUMMYFUNCTION("""COMPUTED_VALUE"""),"| 1 P NS % | 3 L CPT % | 4 L PHP-CGM % | 5 P Python % ")</f>
        <v xml:space="preserve">| 1 P NS % | 3 L CPT % | 4 L PHP-CGM % | 5 P Python % </v>
      </c>
      <c r="BZ499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499" s="4" t="str">
        <f ca="1">IFERROR(__xludf.DUMMYFUNCTION("""COMPUTED_VALUE"""),"| 1 P Python @ | 3 L CPT @ | 4 L JAVA @ | 5 L INE % ")</f>
        <v xml:space="preserve">| 1 P Python @ | 3 L CPT @ | 4 L JAVA @ | 5 L INE % </v>
      </c>
      <c r="CB499" s="4" t="str">
        <f ca="1">IFERROR(__xludf.DUMMYFUNCTION("""COMPUTED_VALUE"""),"| 1 P JAVA % | 3 L JAVA % | 4 L NS % | 5 P PRO % ")</f>
        <v xml:space="preserve">| 1 P JAVA % | 3 L JAVA % | 4 L NS % | 5 P PRO % </v>
      </c>
      <c r="CC499" s="4" t="str">
        <f ca="1">IFERROR(__xludf.DUMMYFUNCTION("""COMPUTED_VALUE"""),"| 1 P JAVA % | 3 L PHP-CGM @ | 4 L NS @ | 5 P CPT @ ")</f>
        <v xml:space="preserve">| 1 P JAVA % | 3 L PHP-CGM @ | 4 L NS @ | 5 P CPT @ </v>
      </c>
      <c r="CD499" s="4" t="str">
        <f ca="1">IFERROR(__xludf.DUMMYFUNCTION("""COMPUTED_VALUE"""),"| 1 P NS % | 3 L CPT % | 4 L PHP-CGM % | 5 P Python @ ")</f>
        <v xml:space="preserve">| 1 P NS % | 3 L CPT % | 4 L PHP-CGM % | 5 P Python @ </v>
      </c>
      <c r="CE499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499" s="4" t="str">
        <f ca="1">IFERROR(__xludf.DUMMYFUNCTION("""COMPUTED_VALUE"""),"| 1 P Python % | 3 L CPT % | 4 L JAVA % | 5 L INE @ ")</f>
        <v xml:space="preserve">| 1 P Python % | 3 L CPT % | 4 L JAVA % | 5 L INE @ </v>
      </c>
      <c r="CG499" s="4" t="str">
        <f ca="1">IFERROR(__xludf.DUMMYFUNCTION("""COMPUTED_VALUE"""),"| 1 P JAVA % | 4 L NS % ")</f>
        <v xml:space="preserve">| 1 P JAVA % | 4 L NS % </v>
      </c>
      <c r="CH499" s="4" t="str">
        <f ca="1">IFERROR(__xludf.DUMMYFUNCTION("""COMPUTED_VALUE"""),"| 1 P JAVA % | 3 L PHP-CGM % | 4 L NS % ")</f>
        <v xml:space="preserve">| 1 P JAVA % | 3 L PHP-CGM % | 4 L NS % </v>
      </c>
      <c r="CI499" s="4" t="str">
        <f ca="1">IFERROR(__xludf.DUMMYFUNCTION("""COMPUTED_VALUE"""),"| 1 P NS % ")</f>
        <v xml:space="preserve">| 1 P NS % </v>
      </c>
      <c r="CJ499" s="4" t="str">
        <f ca="1">IFERROR(__xludf.DUMMYFUNCTION("""COMPUTED_VALUE"""),"| 1 P PHP-CGM @ | 4 L JAVA % ")</f>
        <v xml:space="preserve">| 1 P PHP-CGM @ | 4 L JAVA % </v>
      </c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</row>
    <row r="500" spans="1:102" ht="12.5" x14ac:dyDescent="0.25">
      <c r="A500" s="3">
        <f ca="1">IFERROR(__xludf.DUMMYFUNCTION("""COMPUTED_VALUE"""),2)</f>
        <v>2</v>
      </c>
      <c r="B500" s="3" t="str">
        <f ca="1">IFERROR(__xludf.DUMMYFUNCTION("""COMPUTED_VALUE"""),"ITC")</f>
        <v>ITC</v>
      </c>
      <c r="C500" s="32" t="str">
        <f ca="1">IFERROR(__xludf.DUMMYFUNCTION("""COMPUTED_VALUE"""),"23171371076")</f>
        <v>23171371076</v>
      </c>
      <c r="D500" s="4" t="str">
        <f ca="1">IFERROR(__xludf.DUMMYFUNCTION("""COMPUTED_VALUE"""),"PATEL DVIJA BHAVESHKUMAR")</f>
        <v>PATEL DVIJA BHAVESHKUMAR</v>
      </c>
      <c r="E500" s="3" t="str">
        <f ca="1">IFERROR(__xludf.DUMMYFUNCTION("""COMPUTED_VALUE"""),"SDP&amp;KKP - Mor")</f>
        <v>SDP&amp;KKP - Mor</v>
      </c>
      <c r="F500" s="3">
        <f ca="1">IFERROR(__xludf.DUMMYFUNCTION("""COMPUTED_VALUE"""),9737884582)</f>
        <v>9737884582</v>
      </c>
      <c r="G500" s="3">
        <f ca="1">IFERROR(__xludf.DUMMYFUNCTION("""COMPUTED_VALUE"""),9737884582)</f>
        <v>9737884582</v>
      </c>
      <c r="H500" s="33">
        <f ca="1">IFERROR(__xludf.DUMMYFUNCTION("""COMPUTED_VALUE"""),0.560165975103734)</f>
        <v>0.560165975103734</v>
      </c>
      <c r="I500" s="25">
        <f ca="1">IFERROR(__xludf.DUMMYFUNCTION("""COMPUTED_VALUE"""),0.5)</f>
        <v>0.5</v>
      </c>
      <c r="J500" s="25">
        <f ca="1">IFERROR(__xludf.DUMMYFUNCTION("""COMPUTED_VALUE"""),0.7)</f>
        <v>0.7</v>
      </c>
      <c r="K500" s="25">
        <f ca="1">IFERROR(__xludf.DUMMYFUNCTION("""COMPUTED_VALUE"""),0.527777777777777)</f>
        <v>0.52777777777777701</v>
      </c>
      <c r="L500" s="25">
        <f ca="1">IFERROR(__xludf.DUMMYFUNCTION("""COMPUTED_VALUE"""),0.538461538461538)</f>
        <v>0.53846153846153799</v>
      </c>
      <c r="M500" s="25">
        <f ca="1">IFERROR(__xludf.DUMMYFUNCTION("""COMPUTED_VALUE"""),0.4375)</f>
        <v>0.4375</v>
      </c>
      <c r="N500" s="25">
        <f ca="1">IFERROR(__xludf.DUMMYFUNCTION("""COMPUTED_VALUE"""),0.363636363636363)</f>
        <v>0.36363636363636298</v>
      </c>
      <c r="O500" s="25">
        <f ca="1">IFERROR(__xludf.DUMMYFUNCTION("""COMPUTED_VALUE"""),0.567567567567567)</f>
        <v>0.56756756756756699</v>
      </c>
      <c r="P500" s="25">
        <f ca="1">IFERROR(__xludf.DUMMYFUNCTION("""COMPUTED_VALUE"""),0.8)</f>
        <v>0.8</v>
      </c>
      <c r="Q500" s="25">
        <f ca="1">IFERROR(__xludf.DUMMYFUNCTION("""COMPUTED_VALUE"""),0)</f>
        <v>0</v>
      </c>
      <c r="R500" s="25">
        <f ca="1">IFERROR(__xludf.DUMMYFUNCTION("""COMPUTED_VALUE"""),0.541666666666666)</f>
        <v>0.54166666666666596</v>
      </c>
      <c r="S500" s="25">
        <f ca="1">IFERROR(__xludf.DUMMYFUNCTION("""COMPUTED_VALUE"""),0)</f>
        <v>0</v>
      </c>
      <c r="T500" s="25">
        <f ca="1">IFERROR(__xludf.DUMMYFUNCTION("""COMPUTED_VALUE"""),0.777777777777777)</f>
        <v>0.77777777777777701</v>
      </c>
      <c r="U500" s="25">
        <f ca="1">IFERROR(__xludf.DUMMYFUNCTION("""COMPUTED_VALUE"""),0.625)</f>
        <v>0.625</v>
      </c>
      <c r="V500" s="25">
        <f ca="1">IFERROR(__xludf.DUMMYFUNCTION("""COMPUTED_VALUE"""),0)</f>
        <v>0</v>
      </c>
      <c r="W500" s="4"/>
      <c r="X500" s="4" t="str">
        <f ca="1">IFERROR(__xludf.DUMMYFUNCTION("""COMPUTED_VALUE"""),"| 1 P Python % | 3 L CPT @ | 4 L JAVA @ ")</f>
        <v xml:space="preserve">| 1 P Python % | 3 L CPT @ | 4 L JAVA @ </v>
      </c>
      <c r="Y500" s="4" t="str">
        <f ca="1">IFERROR(__xludf.DUMMYFUNCTION("""COMPUTED_VALUE"""),"| 1 P JAVA @ | 3 L JAVA @ | 4 L NS @ | 5 P PRO @ ")</f>
        <v xml:space="preserve">| 1 P JAVA @ | 3 L JAVA @ | 4 L NS @ | 5 P PRO @ </v>
      </c>
      <c r="Z500" s="4" t="str">
        <f ca="1">IFERROR(__xludf.DUMMYFUNCTION("""COMPUTED_VALUE"""),"| 1 P JAVA % | 3 L PHP-CGM % | 4 L NS % | 5 P CPT @ ")</f>
        <v xml:space="preserve">| 1 P JAVA % | 3 L PHP-CGM % | 4 L NS % | 5 P CPT @ </v>
      </c>
      <c r="AA500" s="4" t="str">
        <f ca="1">IFERROR(__xludf.DUMMYFUNCTION("""COMPUTED_VALUE"""),"| 1 P NS % | 3 L CPT % | 5 P Python % ")</f>
        <v xml:space="preserve">| 1 P NS % | 3 L CPT % | 5 P Python % </v>
      </c>
      <c r="AB500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C500" s="4" t="str">
        <f ca="1">IFERROR(__xludf.DUMMYFUNCTION("""COMPUTED_VALUE"""),"| 1 P Python % | 3 L CPT % | 4 L JAVA % ")</f>
        <v xml:space="preserve">| 1 P Python % | 3 L CPT % | 4 L JAVA % </v>
      </c>
      <c r="AD500" s="4" t="str">
        <f ca="1">IFERROR(__xludf.DUMMYFUNCTION("""COMPUTED_VALUE"""),"| 1 P JAVA % | 3 L JAVA % | 4 L NS % | 5 P PRO % ")</f>
        <v xml:space="preserve">| 1 P JAVA % | 3 L JAVA % | 4 L NS % | 5 P PRO % </v>
      </c>
      <c r="AE500" s="4" t="str">
        <f ca="1">IFERROR(__xludf.DUMMYFUNCTION("""COMPUTED_VALUE"""),"| 1 P JAVA % | 3 L PHP-CGM % | 4 L NS % | 5 P CPT % ")</f>
        <v xml:space="preserve">| 1 P JAVA % | 3 L PHP-CGM % | 4 L NS % | 5 P CPT % </v>
      </c>
      <c r="AF500" s="4" t="str">
        <f ca="1">IFERROR(__xludf.DUMMYFUNCTION("""COMPUTED_VALUE"""),"| 1 P NS @ | 3 L CPT @ | 4 L PHP-CGM @ | 5 P Python @ ")</f>
        <v xml:space="preserve">| 1 P NS @ | 3 L CPT @ | 4 L PHP-CGM @ | 5 P Python @ </v>
      </c>
      <c r="AG500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H500" s="4" t="str">
        <f ca="1">IFERROR(__xludf.DUMMYFUNCTION("""COMPUTED_VALUE"""),"| 1 P NS % | 3 L CPT % | 4 L PHP-CGM @ | 5 P Python @ ")</f>
        <v xml:space="preserve">| 1 P NS % | 3 L CPT % | 4 L PHP-CGM @ | 5 P Python @ </v>
      </c>
      <c r="AI500" s="4" t="str">
        <f ca="1">IFERROR(__xludf.DUMMYFUNCTION("""COMPUTED_VALUE"""),"| 1 P PHP-CGM % | 3 L PHP-CGM @ | 4 L JAVA @ | 5 L CPT @ | 6 L NS @ ")</f>
        <v xml:space="preserve">| 1 P PHP-CGM % | 3 L PHP-CGM @ | 4 L JAVA @ | 5 L CPT @ | 6 L NS @ </v>
      </c>
      <c r="AJ500" s="4" t="str">
        <f ca="1">IFERROR(__xludf.DUMMYFUNCTION("""COMPUTED_VALUE"""),"| 1 P Python % | 3 L CPT % | 4 L JAVA % ")</f>
        <v xml:space="preserve">| 1 P Python % | 3 L CPT % | 4 L JAVA % </v>
      </c>
      <c r="AK500" s="4" t="str">
        <f ca="1">IFERROR(__xludf.DUMMYFUNCTION("""COMPUTED_VALUE"""),"| 1 P JAVA % | 4 L NS % | 3 L JAVA % | 5 P PRO @ ")</f>
        <v xml:space="preserve">| 1 P JAVA % | 4 L NS % | 3 L JAVA % | 5 P PRO @ </v>
      </c>
      <c r="AL500" s="4" t="str">
        <f ca="1">IFERROR(__xludf.DUMMYFUNCTION("""COMPUTED_VALUE"""),"| 1 P JAVA % | 3 L PHP-CGM % | 4 L NS % | 5 P CPT % ")</f>
        <v xml:space="preserve">| 1 P JAVA % | 3 L PHP-CGM % | 4 L NS % | 5 P CPT % </v>
      </c>
      <c r="AM500" s="4" t="str">
        <f ca="1">IFERROR(__xludf.DUMMYFUNCTION("""COMPUTED_VALUE"""),"| 1 P NS % | 3 L CPT % | 4 L PHP-CGM % | 5 P Python @ ")</f>
        <v xml:space="preserve">| 1 P NS % | 3 L CPT % | 4 L PHP-CGM % | 5 P Python @ </v>
      </c>
      <c r="AN500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O500" s="4" t="str">
        <f ca="1">IFERROR(__xludf.DUMMYFUNCTION("""COMPUTED_VALUE"""),"| 1 P Python % | 3 L CPT % | 4 L JAVA % | 5 L INE @ ")</f>
        <v xml:space="preserve">| 1 P Python % | 3 L CPT % | 4 L JAVA % | 5 L INE @ </v>
      </c>
      <c r="AP500" s="4" t="str">
        <f ca="1">IFERROR(__xludf.DUMMYFUNCTION("""COMPUTED_VALUE"""),"| 1 P JAVA % | 3 L JAVA % | 4 L NS % | 5 P PRO % ")</f>
        <v xml:space="preserve">| 1 P JAVA % | 3 L JAVA % | 4 L NS % | 5 P PRO % </v>
      </c>
      <c r="AQ500" s="4" t="str">
        <f ca="1">IFERROR(__xludf.DUMMYFUNCTION("""COMPUTED_VALUE"""),"| 1 P JAVA % | 3 L PHP-CGM % | 4 L NS % | 5 P CPT % ")</f>
        <v xml:space="preserve">| 1 P JAVA % | 3 L PHP-CGM % | 4 L NS % | 5 P CPT % </v>
      </c>
      <c r="AR500" s="4" t="str">
        <f ca="1">IFERROR(__xludf.DUMMYFUNCTION("""COMPUTED_VALUE"""),"| 1 P NS @ | 3 L CPT @ | 5 P Python @ ")</f>
        <v xml:space="preserve">| 1 P NS @ | 3 L CPT @ | 5 P Python @ </v>
      </c>
      <c r="AS500" s="4" t="str">
        <f ca="1">IFERROR(__xludf.DUMMYFUNCTION("""COMPUTED_VALUE"""),"| 1 P Python % | 3 L CPT % | 4 L JAVA % | 5 L INE @ ")</f>
        <v xml:space="preserve">| 1 P Python % | 3 L CPT % | 4 L JAVA % | 5 L INE @ </v>
      </c>
      <c r="AT500" s="4" t="str">
        <f ca="1">IFERROR(__xludf.DUMMYFUNCTION("""COMPUTED_VALUE"""),"| 1 P JAVA % | 3 L JAVA % | 4 L NS % | 5 P PRO % ")</f>
        <v xml:space="preserve">| 1 P JAVA % | 3 L JAVA % | 4 L NS % | 5 P PRO % </v>
      </c>
      <c r="AU500" s="4" t="str">
        <f ca="1">IFERROR(__xludf.DUMMYFUNCTION("""COMPUTED_VALUE"""),"| 1 P JAVA % | 3 L PHP-CGM % | 4 L NS % | 5 P CPT % ")</f>
        <v xml:space="preserve">| 1 P JAVA % | 3 L PHP-CGM % | 4 L NS % | 5 P CPT % </v>
      </c>
      <c r="AV500" s="4" t="str">
        <f ca="1">IFERROR(__xludf.DUMMYFUNCTION("""COMPUTED_VALUE"""),"| 1 P NS @ | 3 L CPT @ | 4 L PHP-CGM @ | 5 P Python @ ")</f>
        <v xml:space="preserve">| 1 P NS @ | 3 L CPT @ | 4 L PHP-CGM @ | 5 P Python @ </v>
      </c>
      <c r="AW500" s="4" t="str">
        <f ca="1">IFERROR(__xludf.DUMMYFUNCTION("""COMPUTED_VALUE"""),"| 3 L PHP-CGM @ | 4 L JAVA @ | 5 L NS @ | 5 L CPT @ ")</f>
        <v xml:space="preserve">| 3 L PHP-CGM @ | 4 L JAVA @ | 5 L NS @ | 5 L CPT @ </v>
      </c>
      <c r="AX500" s="4" t="str">
        <f ca="1">IFERROR(__xludf.DUMMYFUNCTION("""COMPUTED_VALUE"""),"| 1 P Python % | 3 L CPT % | 4 L JAVA % | 5 L INE % ")</f>
        <v xml:space="preserve">| 1 P Python % | 3 L CPT % | 4 L JAVA % | 5 L INE % </v>
      </c>
      <c r="AY500" s="4" t="str">
        <f ca="1">IFERROR(__xludf.DUMMYFUNCTION("""COMPUTED_VALUE"""),"| 1 P JAVA % | 3 L JAVA % | 4 L NS % | 5 P PRO % ")</f>
        <v xml:space="preserve">| 1 P JAVA % | 3 L JAVA % | 4 L NS % | 5 P PRO % </v>
      </c>
      <c r="AZ500" s="4" t="str">
        <f ca="1">IFERROR(__xludf.DUMMYFUNCTION("""COMPUTED_VALUE"""),"| 1 P NS @ | 3 L CPT @ | 4 L PHP-CGM @ | 5 P Python @ ")</f>
        <v xml:space="preserve">| 1 P NS @ | 3 L CPT @ | 4 L PHP-CGM @ | 5 P Python @ </v>
      </c>
      <c r="BA500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00" s="4" t="str">
        <f ca="1">IFERROR(__xludf.DUMMYFUNCTION("""COMPUTED_VALUE"""),"| 1 P Python % | 3 L CPT % | 4 L JAVA % | 5 L INE % ")</f>
        <v xml:space="preserve">| 1 P Python % | 3 L CPT % | 4 L JAVA % | 5 L INE % </v>
      </c>
      <c r="BC500" s="4" t="str">
        <f ca="1">IFERROR(__xludf.DUMMYFUNCTION("""COMPUTED_VALUE"""),"| 1 P JAVA % | 3 L JAVA % | 4 L NS % | 5 P PRO % ")</f>
        <v xml:space="preserve">| 1 P JAVA % | 3 L JAVA % | 4 L NS % | 5 P PRO % </v>
      </c>
      <c r="BD500" s="4" t="str">
        <f ca="1">IFERROR(__xludf.DUMMYFUNCTION("""COMPUTED_VALUE"""),"| 1 P JAVA % | 4 L NS %  | 3 L PHP-CGM % | 5 P CPT % ")</f>
        <v xml:space="preserve">| 1 P JAVA % | 4 L NS %  | 3 L PHP-CGM % | 5 P CPT % </v>
      </c>
      <c r="BE500" s="4" t="str">
        <f ca="1">IFERROR(__xludf.DUMMYFUNCTION("""COMPUTED_VALUE"""),"| 1 P NS % | 3 L CPT % | 4 L PHP-CGM % | 5 P Python % ")</f>
        <v xml:space="preserve">| 1 P NS % | 3 L CPT % | 4 L PHP-CGM % | 5 P Python % </v>
      </c>
      <c r="BF500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00" s="4" t="str">
        <f ca="1">IFERROR(__xludf.DUMMYFUNCTION("""COMPUTED_VALUE"""),"| 1 P JAVA % | 3 L JAVA % | 4 L NS % | 5 P PRO % ")</f>
        <v xml:space="preserve">| 1 P JAVA % | 3 L JAVA % | 4 L NS % | 5 P PRO % </v>
      </c>
      <c r="BH500" s="4" t="str">
        <f ca="1">IFERROR(__xludf.DUMMYFUNCTION("""COMPUTED_VALUE"""),"| 1 P JAVA % | 3 L PHP-CGM % | 4 L NS % | 5 P CPT % ")</f>
        <v xml:space="preserve">| 1 P JAVA % | 3 L PHP-CGM % | 4 L NS % | 5 P CPT % </v>
      </c>
      <c r="BI500" s="4" t="str">
        <f ca="1">IFERROR(__xludf.DUMMYFUNCTION("""COMPUTED_VALUE"""),"| 1 P NS % | 3 L CPT % | 4 L PHP-CGM % | 5 P Python @ ")</f>
        <v xml:space="preserve">| 1 P NS % | 3 L CPT % | 4 L PHP-CGM % | 5 P Python @ </v>
      </c>
      <c r="BJ500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K500" s="4" t="str">
        <f ca="1">IFERROR(__xludf.DUMMYFUNCTION("""COMPUTED_VALUE"""),"| 1 P Python @ | 3 L CPT @ | 4 L JAVA @ | 5 L INE % ")</f>
        <v xml:space="preserve">| 1 P Python @ | 3 L CPT @ | 4 L JAVA @ | 5 L INE % </v>
      </c>
      <c r="BL500" s="4" t="str">
        <f ca="1">IFERROR(__xludf.DUMMYFUNCTION("""COMPUTED_VALUE"""),"| 1 P JAVA @ | 3 L JAVA @ | 4 L NS @ ")</f>
        <v xml:space="preserve">| 1 P JAVA @ | 3 L JAVA @ | 4 L NS @ </v>
      </c>
      <c r="BM500" s="4" t="str">
        <f ca="1">IFERROR(__xludf.DUMMYFUNCTION("""COMPUTED_VALUE"""),"| 1 P JAVA @ | 3 L PHP-CGM @ | 4 L NS @ | 5 P CPT @ ")</f>
        <v xml:space="preserve">| 1 P JAVA @ | 3 L PHP-CGM @ | 4 L NS @ | 5 P CPT @ </v>
      </c>
      <c r="BN500" s="4" t="str">
        <f ca="1">IFERROR(__xludf.DUMMYFUNCTION("""COMPUTED_VALUE"""),"| 1 P NS @ | 3 L CPT @ | 4 L PHP-CGM @ ")</f>
        <v xml:space="preserve">| 1 P NS @ | 3 L CPT @ | 4 L PHP-CGM @ </v>
      </c>
      <c r="BO500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0" s="4" t="str">
        <f ca="1">IFERROR(__xludf.DUMMYFUNCTION("""COMPUTED_VALUE"""),"| 1 P Python % | 3 L CPT % | 4 L JAVA % | 5 L INE % ")</f>
        <v xml:space="preserve">| 1 P Python % | 3 L CPT % | 4 L JAVA % | 5 L INE % </v>
      </c>
      <c r="BQ500" s="4" t="str">
        <f ca="1">IFERROR(__xludf.DUMMYFUNCTION("""COMPUTED_VALUE"""),"| 4 L NS @ | 1 P JAVA % ")</f>
        <v xml:space="preserve">| 4 L NS @ | 1 P JAVA % </v>
      </c>
      <c r="BR500" s="4"/>
      <c r="BS500" s="4"/>
      <c r="BT500" s="4" t="str">
        <f ca="1">IFERROR(__xludf.DUMMYFUNCTION("""COMPUTED_VALUE"""),"| 1 P Python % | 3 L CPT % | 4 L JAVA % ")</f>
        <v xml:space="preserve">| 1 P Python % | 3 L CPT % | 4 L JAVA % </v>
      </c>
      <c r="BU500" s="4" t="str">
        <f ca="1">IFERROR(__xludf.DUMMYFUNCTION("""COMPUTED_VALUE"""),"| 1 P JAVA % | 4 L NS % | 3 L JAVA % ")</f>
        <v xml:space="preserve">| 1 P JAVA % | 4 L NS % | 3 L JAVA % </v>
      </c>
      <c r="BV500" s="4" t="str">
        <f ca="1">IFERROR(__xludf.DUMMYFUNCTION("""COMPUTED_VALUE"""),"| 1 P Python @ | 3 L CPT @ | 4 L JAVA @ ")</f>
        <v xml:space="preserve">| 1 P Python @ | 3 L CPT @ | 4 L JAVA @ </v>
      </c>
      <c r="BW500" s="4" t="str">
        <f ca="1">IFERROR(__xludf.DUMMYFUNCTION("""COMPUTED_VALUE"""),"| 1 P JAVA @ | 3 L JAVA @ | 4 L NS @ ")</f>
        <v xml:space="preserve">| 1 P JAVA @ | 3 L JAVA @ | 4 L NS @ </v>
      </c>
      <c r="BX500" s="4" t="str">
        <f ca="1">IFERROR(__xludf.DUMMYFUNCTION("""COMPUTED_VALUE"""),"| 1 P JAVA @ | 3 L PHP-CGM @ | 4 L NS @ | 5 P CPT @ ")</f>
        <v xml:space="preserve">| 1 P JAVA @ | 3 L PHP-CGM @ | 4 L NS @ | 5 P CPT @ </v>
      </c>
      <c r="BY500" s="4" t="str">
        <f ca="1">IFERROR(__xludf.DUMMYFUNCTION("""COMPUTED_VALUE"""),"| 1 P NS % | 3 L CPT % | 4 L PHP-CGM % | 5 P Python % ")</f>
        <v xml:space="preserve">| 1 P NS % | 3 L CPT % | 4 L PHP-CGM % | 5 P Python % </v>
      </c>
      <c r="BZ500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CA500" s="4" t="str">
        <f ca="1">IFERROR(__xludf.DUMMYFUNCTION("""COMPUTED_VALUE"""),"| 1 P Python @ | 3 L CPT @ | 4 L JAVA @ | 5 L INE % ")</f>
        <v xml:space="preserve">| 1 P Python @ | 3 L CPT @ | 4 L JAVA @ | 5 L INE % </v>
      </c>
      <c r="CB500" s="4" t="str">
        <f ca="1">IFERROR(__xludf.DUMMYFUNCTION("""COMPUTED_VALUE"""),"| 1 P JAVA % | 3 L JAVA % | 4 L NS % | 5 P PRO % ")</f>
        <v xml:space="preserve">| 1 P JAVA % | 3 L JAVA % | 4 L NS % | 5 P PRO % </v>
      </c>
      <c r="CC500" s="4" t="str">
        <f ca="1">IFERROR(__xludf.DUMMYFUNCTION("""COMPUTED_VALUE"""),"| 1 P JAVA % | 3 L PHP-CGM @ | 4 L NS @ | 5 P CPT % ")</f>
        <v xml:space="preserve">| 1 P JAVA % | 3 L PHP-CGM @ | 4 L NS @ | 5 P CPT % </v>
      </c>
      <c r="CD500" s="4" t="str">
        <f ca="1">IFERROR(__xludf.DUMMYFUNCTION("""COMPUTED_VALUE"""),"| 1 P NS @ | 3 L CPT @ | 4 L PHP-CGM @ | 5 P Python @ ")</f>
        <v xml:space="preserve">| 1 P NS @ | 3 L CPT @ | 4 L PHP-CGM @ | 5 P Python @ </v>
      </c>
      <c r="CE500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00" s="4" t="str">
        <f ca="1">IFERROR(__xludf.DUMMYFUNCTION("""COMPUTED_VALUE"""),"| 1 P Python % | 3 L CPT @ | 4 L JAVA @ | 5 L INE @ ")</f>
        <v xml:space="preserve">| 1 P Python % | 3 L CPT @ | 4 L JAVA @ | 5 L INE @ </v>
      </c>
      <c r="CG500" s="4" t="str">
        <f ca="1">IFERROR(__xludf.DUMMYFUNCTION("""COMPUTED_VALUE"""),"| 1 P JAVA % | 4 L NS % ")</f>
        <v xml:space="preserve">| 1 P JAVA % | 4 L NS % </v>
      </c>
      <c r="CH500" s="4" t="str">
        <f ca="1">IFERROR(__xludf.DUMMYFUNCTION("""COMPUTED_VALUE"""),"| 1 P JAVA % | 3 L PHP-CGM @ | 4 L NS @ ")</f>
        <v xml:space="preserve">| 1 P JAVA % | 3 L PHP-CGM @ | 4 L NS @ </v>
      </c>
      <c r="CI500" s="4" t="str">
        <f ca="1">IFERROR(__xludf.DUMMYFUNCTION("""COMPUTED_VALUE"""),"| 1 P NS % ")</f>
        <v xml:space="preserve">| 1 P NS % </v>
      </c>
      <c r="CJ500" s="4" t="str">
        <f ca="1">IFERROR(__xludf.DUMMYFUNCTION("""COMPUTED_VALUE"""),"| 1 P PHP-CGM @ | 4 L JAVA % ")</f>
        <v xml:space="preserve">| 1 P PHP-CGM @ | 4 L JAVA % </v>
      </c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</row>
    <row r="501" spans="1:102" ht="12.5" x14ac:dyDescent="0.25">
      <c r="A501" s="3">
        <f ca="1">IFERROR(__xludf.DUMMYFUNCTION("""COMPUTED_VALUE"""),2)</f>
        <v>2</v>
      </c>
      <c r="B501" s="3" t="str">
        <f ca="1">IFERROR(__xludf.DUMMYFUNCTION("""COMPUTED_VALUE"""),"ITC")</f>
        <v>ITC</v>
      </c>
      <c r="C501" s="32" t="str">
        <f ca="1">IFERROR(__xludf.DUMMYFUNCTION("""COMPUTED_VALUE"""),"23171371077")</f>
        <v>23171371077</v>
      </c>
      <c r="D501" s="4" t="str">
        <f ca="1">IFERROR(__xludf.DUMMYFUNCTION("""COMPUTED_VALUE"""),"PATEL GAUTAMKUMAR RAJUBHAI")</f>
        <v>PATEL GAUTAMKUMAR RAJUBHAI</v>
      </c>
      <c r="E501" s="3" t="str">
        <f ca="1">IFERROR(__xludf.DUMMYFUNCTION("""COMPUTED_VALUE"""),"SDP&amp;KKP - Mor")</f>
        <v>SDP&amp;KKP - Mor</v>
      </c>
      <c r="F501" s="3">
        <f ca="1">IFERROR(__xludf.DUMMYFUNCTION("""COMPUTED_VALUE"""),7874711302)</f>
        <v>7874711302</v>
      </c>
      <c r="G501" s="3">
        <f ca="1">IFERROR(__xludf.DUMMYFUNCTION("""COMPUTED_VALUE"""),9328890425)</f>
        <v>9328890425</v>
      </c>
      <c r="H501" s="33">
        <f ca="1">IFERROR(__xludf.DUMMYFUNCTION("""COMPUTED_VALUE"""),0.684647302904564)</f>
        <v>0.68464730290456399</v>
      </c>
      <c r="I501" s="25">
        <f ca="1">IFERROR(__xludf.DUMMYFUNCTION("""COMPUTED_VALUE"""),0.583333333333333)</f>
        <v>0.58333333333333304</v>
      </c>
      <c r="J501" s="25">
        <f ca="1">IFERROR(__xludf.DUMMYFUNCTION("""COMPUTED_VALUE"""),0.4)</f>
        <v>0.4</v>
      </c>
      <c r="K501" s="25">
        <f ca="1">IFERROR(__xludf.DUMMYFUNCTION("""COMPUTED_VALUE"""),0.666666666666666)</f>
        <v>0.66666666666666596</v>
      </c>
      <c r="L501" s="25">
        <f ca="1">IFERROR(__xludf.DUMMYFUNCTION("""COMPUTED_VALUE"""),0.846153846153846)</f>
        <v>0.84615384615384603</v>
      </c>
      <c r="M501" s="25">
        <f ca="1">IFERROR(__xludf.DUMMYFUNCTION("""COMPUTED_VALUE"""),0.6875)</f>
        <v>0.6875</v>
      </c>
      <c r="N501" s="25">
        <f ca="1">IFERROR(__xludf.DUMMYFUNCTION("""COMPUTED_VALUE"""),0.636363636363636)</f>
        <v>0.63636363636363602</v>
      </c>
      <c r="O501" s="25">
        <f ca="1">IFERROR(__xludf.DUMMYFUNCTION("""COMPUTED_VALUE"""),0.756756756756756)</f>
        <v>0.75675675675675602</v>
      </c>
      <c r="P501" s="25">
        <f ca="1">IFERROR(__xludf.DUMMYFUNCTION("""COMPUTED_VALUE"""),0.88)</f>
        <v>0.88</v>
      </c>
      <c r="Q501" s="25">
        <f ca="1">IFERROR(__xludf.DUMMYFUNCTION("""COMPUTED_VALUE"""),0)</f>
        <v>0</v>
      </c>
      <c r="R501" s="25">
        <f ca="1">IFERROR(__xludf.DUMMYFUNCTION("""COMPUTED_VALUE"""),0.625)</f>
        <v>0.625</v>
      </c>
      <c r="S501" s="25">
        <f ca="1">IFERROR(__xludf.DUMMYFUNCTION("""COMPUTED_VALUE"""),0)</f>
        <v>0</v>
      </c>
      <c r="T501" s="25">
        <f ca="1">IFERROR(__xludf.DUMMYFUNCTION("""COMPUTED_VALUE"""),0.777777777777777)</f>
        <v>0.77777777777777701</v>
      </c>
      <c r="U501" s="25">
        <f ca="1">IFERROR(__xludf.DUMMYFUNCTION("""COMPUTED_VALUE"""),0.5)</f>
        <v>0.5</v>
      </c>
      <c r="V501" s="25">
        <f ca="1">IFERROR(__xludf.DUMMYFUNCTION("""COMPUTED_VALUE"""),0)</f>
        <v>0</v>
      </c>
      <c r="W501" s="4"/>
      <c r="X501" s="4" t="str">
        <f ca="1">IFERROR(__xludf.DUMMYFUNCTION("""COMPUTED_VALUE"""),"| 1 P Python % | 3 L CPT % | 4 L JAVA % ")</f>
        <v xml:space="preserve">| 1 P Python % | 3 L CPT % | 4 L JAVA % </v>
      </c>
      <c r="Y501" s="4" t="str">
        <f ca="1">IFERROR(__xludf.DUMMYFUNCTION("""COMPUTED_VALUE"""),"| 1 P JAVA % | 3 L JAVA % | 4 L NS % | 5 P PRO % ")</f>
        <v xml:space="preserve">| 1 P JAVA % | 3 L JAVA % | 4 L NS % | 5 P PRO % </v>
      </c>
      <c r="Z501" s="4" t="str">
        <f ca="1">IFERROR(__xludf.DUMMYFUNCTION("""COMPUTED_VALUE"""),"| 1 P JAVA % | 3 L PHP-CGM % | 4 L NS % | 5 P CPT @ ")</f>
        <v xml:space="preserve">| 1 P JAVA % | 3 L PHP-CGM % | 4 L NS % | 5 P CPT @ </v>
      </c>
      <c r="AA501" s="4" t="str">
        <f ca="1">IFERROR(__xludf.DUMMYFUNCTION("""COMPUTED_VALUE"""),"| 1 P NS % | 3 L CPT % | 5 P Python @ ")</f>
        <v xml:space="preserve">| 1 P NS % | 3 L CPT % | 5 P Python @ </v>
      </c>
      <c r="AB501" s="4" t="str">
        <f ca="1">IFERROR(__xludf.DUMMYFUNCTION("""COMPUTED_VALUE"""),"| 1 P PHP-CGM % | 3 L PHP-CGM @ | 4 L JAVA % | 5 L CPT % | 6 L NS % ")</f>
        <v xml:space="preserve">| 1 P PHP-CGM % | 3 L PHP-CGM @ | 4 L JAVA % | 5 L CPT % | 6 L NS % </v>
      </c>
      <c r="AC501" s="4" t="str">
        <f ca="1">IFERROR(__xludf.DUMMYFUNCTION("""COMPUTED_VALUE"""),"| 1 P Python % | 3 L CPT % | 4 L JAVA % ")</f>
        <v xml:space="preserve">| 1 P Python % | 3 L CPT % | 4 L JAVA % </v>
      </c>
      <c r="AD501" s="4" t="str">
        <f ca="1">IFERROR(__xludf.DUMMYFUNCTION("""COMPUTED_VALUE"""),"| 1 P JAVA % | 3 L JAVA % | 4 L NS % | 5 P PRO % ")</f>
        <v xml:space="preserve">| 1 P JAVA % | 3 L JAVA % | 4 L NS % | 5 P PRO % </v>
      </c>
      <c r="AE501" s="4" t="str">
        <f ca="1">IFERROR(__xludf.DUMMYFUNCTION("""COMPUTED_VALUE"""),"| 1 P JAVA % | 3 L PHP-CGM % | 4 L NS % | 5 P CPT % ")</f>
        <v xml:space="preserve">| 1 P JAVA % | 3 L PHP-CGM % | 4 L NS % | 5 P CPT % </v>
      </c>
      <c r="AF501" s="4" t="str">
        <f ca="1">IFERROR(__xludf.DUMMYFUNCTION("""COMPUTED_VALUE"""),"| 1 P NS % | 3 L CPT % | 4 L PHP-CGM % | 5 P Python % ")</f>
        <v xml:space="preserve">| 1 P NS % | 3 L CPT % | 4 L PHP-CGM % | 5 P Python % </v>
      </c>
      <c r="AG501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501" s="4" t="str">
        <f ca="1">IFERROR(__xludf.DUMMYFUNCTION("""COMPUTED_VALUE"""),"| 1 P NS % | 3 L CPT % | 4 L PHP-CGM % | 5 P Python % ")</f>
        <v xml:space="preserve">| 1 P NS % | 3 L CPT % | 4 L PHP-CGM % | 5 P Python % </v>
      </c>
      <c r="AI501" s="4" t="str">
        <f ca="1">IFERROR(__xludf.DUMMYFUNCTION("""COMPUTED_VALUE"""),"| 1 P PHP-CGM % | 3 L PHP-CGM @ | 4 L JAVA @ | 5 L CPT @ | 6 L NS @ ")</f>
        <v xml:space="preserve">| 1 P PHP-CGM % | 3 L PHP-CGM @ | 4 L JAVA @ | 5 L CPT @ | 6 L NS @ </v>
      </c>
      <c r="AJ501" s="4" t="str">
        <f ca="1">IFERROR(__xludf.DUMMYFUNCTION("""COMPUTED_VALUE"""),"| 1 P Python % | 3 L CPT % | 4 L JAVA % ")</f>
        <v xml:space="preserve">| 1 P Python % | 3 L CPT % | 4 L JAVA % </v>
      </c>
      <c r="AK501" s="4" t="str">
        <f ca="1">IFERROR(__xludf.DUMMYFUNCTION("""COMPUTED_VALUE"""),"| 1 P JAVA % | 4 L NS % | 3 L JAVA % | 5 P PRO % ")</f>
        <v xml:space="preserve">| 1 P JAVA % | 4 L NS % | 3 L JAVA % | 5 P PRO % </v>
      </c>
      <c r="AL501" s="4" t="str">
        <f ca="1">IFERROR(__xludf.DUMMYFUNCTION("""COMPUTED_VALUE"""),"| 1 P JAVA % | 3 L PHP-CGM % | 4 L NS % | 5 P CPT % ")</f>
        <v xml:space="preserve">| 1 P JAVA % | 3 L PHP-CGM % | 4 L NS % | 5 P CPT % </v>
      </c>
      <c r="AM501" s="4" t="str">
        <f ca="1">IFERROR(__xludf.DUMMYFUNCTION("""COMPUTED_VALUE"""),"| 1 P NS @ | 3 L CPT @ | 4 L PHP-CGM @ | 5 P Python @ ")</f>
        <v xml:space="preserve">| 1 P NS @ | 3 L CPT @ | 4 L PHP-CGM @ | 5 P Python @ </v>
      </c>
      <c r="AN501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01" s="4" t="str">
        <f ca="1">IFERROR(__xludf.DUMMYFUNCTION("""COMPUTED_VALUE"""),"| 1 P Python @ | 3 L CPT @ | 4 L JAVA @ | 5 L INE @ ")</f>
        <v xml:space="preserve">| 1 P Python @ | 3 L CPT @ | 4 L JAVA @ | 5 L INE @ </v>
      </c>
      <c r="AP501" s="4" t="str">
        <f ca="1">IFERROR(__xludf.DUMMYFUNCTION("""COMPUTED_VALUE"""),"| 1 P JAVA % | 3 L JAVA % | 4 L NS % | 5 P PRO % ")</f>
        <v xml:space="preserve">| 1 P JAVA % | 3 L JAVA % | 4 L NS % | 5 P PRO % </v>
      </c>
      <c r="AQ501" s="4" t="str">
        <f ca="1">IFERROR(__xludf.DUMMYFUNCTION("""COMPUTED_VALUE"""),"| 1 P JAVA % | 3 L PHP-CGM % | 4 L NS % | 5 P CPT @ ")</f>
        <v xml:space="preserve">| 1 P JAVA % | 3 L PHP-CGM % | 4 L NS % | 5 P CPT @ </v>
      </c>
      <c r="AR501" s="4" t="str">
        <f ca="1">IFERROR(__xludf.DUMMYFUNCTION("""COMPUTED_VALUE"""),"| 1 P NS % | 3 L CPT % | 5 P Python % ")</f>
        <v xml:space="preserve">| 1 P NS % | 3 L CPT % | 5 P Python % </v>
      </c>
      <c r="AS501" s="4" t="str">
        <f ca="1">IFERROR(__xludf.DUMMYFUNCTION("""COMPUTED_VALUE"""),"| 1 P Python % | 3 L CPT % | 4 L JAVA % | 5 L INE % ")</f>
        <v xml:space="preserve">| 1 P Python % | 3 L CPT % | 4 L JAVA % | 5 L INE % </v>
      </c>
      <c r="AT501" s="4" t="str">
        <f ca="1">IFERROR(__xludf.DUMMYFUNCTION("""COMPUTED_VALUE"""),"| 1 P JAVA % | 3 L JAVA % | 4 L NS % | 5 P PRO @ ")</f>
        <v xml:space="preserve">| 1 P JAVA % | 3 L JAVA % | 4 L NS % | 5 P PRO @ </v>
      </c>
      <c r="AU501" s="4" t="str">
        <f ca="1">IFERROR(__xludf.DUMMYFUNCTION("""COMPUTED_VALUE"""),"| 1 P JAVA % | 3 L PHP-CGM % | 4 L NS % | 5 P CPT @ ")</f>
        <v xml:space="preserve">| 1 P JAVA % | 3 L PHP-CGM % | 4 L NS % | 5 P CPT @ </v>
      </c>
      <c r="AV501" s="4" t="str">
        <f ca="1">IFERROR(__xludf.DUMMYFUNCTION("""COMPUTED_VALUE"""),"| 1 P NS % | 3 L CPT % | 4 L PHP-CGM % | 5 P Python @ ")</f>
        <v xml:space="preserve">| 1 P NS % | 3 L CPT % | 4 L PHP-CGM % | 5 P Python @ </v>
      </c>
      <c r="AW501" s="4" t="str">
        <f ca="1">IFERROR(__xludf.DUMMYFUNCTION("""COMPUTED_VALUE"""),"| 3 L PHP-CGM % | 4 L JAVA % | 5 L NS % | 5 L CPT % ")</f>
        <v xml:space="preserve">| 3 L PHP-CGM % | 4 L JAVA % | 5 L NS % | 5 L CPT % </v>
      </c>
      <c r="AX501" s="4" t="str">
        <f ca="1">IFERROR(__xludf.DUMMYFUNCTION("""COMPUTED_VALUE"""),"| 1 P Python % | 3 L CPT % | 4 L JAVA % | 5 L INE @ ")</f>
        <v xml:space="preserve">| 1 P Python % | 3 L CPT % | 4 L JAVA % | 5 L INE @ </v>
      </c>
      <c r="AY501" s="4" t="str">
        <f ca="1">IFERROR(__xludf.DUMMYFUNCTION("""COMPUTED_VALUE"""),"| 1 P JAVA % | 3 L JAVA % | 4 L NS % | 5 P PRO % ")</f>
        <v xml:space="preserve">| 1 P JAVA % | 3 L JAVA % | 4 L NS % | 5 P PRO % </v>
      </c>
      <c r="AZ501" s="4" t="str">
        <f ca="1">IFERROR(__xludf.DUMMYFUNCTION("""COMPUTED_VALUE"""),"| 1 P NS % | 3 L CPT @ | 4 L PHP-CGM % | 5 P Python @ ")</f>
        <v xml:space="preserve">| 1 P NS % | 3 L CPT @ | 4 L PHP-CGM % | 5 P Python @ </v>
      </c>
      <c r="BA501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B501" s="4" t="str">
        <f ca="1">IFERROR(__xludf.DUMMYFUNCTION("""COMPUTED_VALUE"""),"| 1 P Python % | 3 L CPT % | 4 L JAVA % | 5 L INE % ")</f>
        <v xml:space="preserve">| 1 P Python % | 3 L CPT % | 4 L JAVA % | 5 L INE % </v>
      </c>
      <c r="BC501" s="4" t="str">
        <f ca="1">IFERROR(__xludf.DUMMYFUNCTION("""COMPUTED_VALUE"""),"| 1 P JAVA % | 3 L JAVA % | 4 L NS % | 5 P PRO % ")</f>
        <v xml:space="preserve">| 1 P JAVA % | 3 L JAVA % | 4 L NS % | 5 P PRO % </v>
      </c>
      <c r="BD501" s="4" t="str">
        <f ca="1">IFERROR(__xludf.DUMMYFUNCTION("""COMPUTED_VALUE"""),"| 1 P JAVA % | 4 L NS %  | 3 L PHP-CGM % | 5 P CPT % ")</f>
        <v xml:space="preserve">| 1 P JAVA % | 4 L NS %  | 3 L PHP-CGM % | 5 P CPT % </v>
      </c>
      <c r="BE501" s="4" t="str">
        <f ca="1">IFERROR(__xludf.DUMMYFUNCTION("""COMPUTED_VALUE"""),"| 1 P NS % | 3 L CPT @ | 4 L PHP-CGM @ | 5 P Python @ ")</f>
        <v xml:space="preserve">| 1 P NS % | 3 L CPT @ | 4 L PHP-CGM @ | 5 P Python @ </v>
      </c>
      <c r="BF501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01" s="4" t="str">
        <f ca="1">IFERROR(__xludf.DUMMYFUNCTION("""COMPUTED_VALUE"""),"| 1 P JAVA % | 3 L JAVA % | 4 L NS % | 5 P PRO % ")</f>
        <v xml:space="preserve">| 1 P JAVA % | 3 L JAVA % | 4 L NS % | 5 P PRO % </v>
      </c>
      <c r="BH501" s="4" t="str">
        <f ca="1">IFERROR(__xludf.DUMMYFUNCTION("""COMPUTED_VALUE"""),"| 1 P JAVA % | 3 L PHP-CGM % | 4 L NS % | 5 P CPT @ ")</f>
        <v xml:space="preserve">| 1 P JAVA % | 3 L PHP-CGM % | 4 L NS % | 5 P CPT @ </v>
      </c>
      <c r="BI501" s="4" t="str">
        <f ca="1">IFERROR(__xludf.DUMMYFUNCTION("""COMPUTED_VALUE"""),"| 1 P NS % | 3 L CPT % | 4 L PHP-CGM % | 5 P Python % ")</f>
        <v xml:space="preserve">| 1 P NS % | 3 L CPT % | 4 L PHP-CGM % | 5 P Python % </v>
      </c>
      <c r="BJ501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K501" s="4" t="str">
        <f ca="1">IFERROR(__xludf.DUMMYFUNCTION("""COMPUTED_VALUE"""),"| 1 P Python % | 3 L CPT % | 4 L JAVA % | 5 L INE @ ")</f>
        <v xml:space="preserve">| 1 P Python % | 3 L CPT % | 4 L JAVA % | 5 L INE @ </v>
      </c>
      <c r="BL501" s="4" t="str">
        <f ca="1">IFERROR(__xludf.DUMMYFUNCTION("""COMPUTED_VALUE"""),"| 1 P JAVA @ | 3 L JAVA % | 4 L NS % ")</f>
        <v xml:space="preserve">| 1 P JAVA @ | 3 L JAVA % | 4 L NS % </v>
      </c>
      <c r="BM501" s="4" t="str">
        <f ca="1">IFERROR(__xludf.DUMMYFUNCTION("""COMPUTED_VALUE"""),"| 1 P JAVA @ | 3 L PHP-CGM % | 4 L NS % | 5 P CPT @ ")</f>
        <v xml:space="preserve">| 1 P JAVA @ | 3 L PHP-CGM % | 4 L NS % | 5 P CPT @ </v>
      </c>
      <c r="BN501" s="4" t="str">
        <f ca="1">IFERROR(__xludf.DUMMYFUNCTION("""COMPUTED_VALUE"""),"| 1 P NS % | 3 L CPT % | 4 L PHP-CGM % ")</f>
        <v xml:space="preserve">| 1 P NS % | 3 L CPT % | 4 L PHP-CGM % </v>
      </c>
      <c r="BO501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1" s="4" t="str">
        <f ca="1">IFERROR(__xludf.DUMMYFUNCTION("""COMPUTED_VALUE"""),"| 1 P Python % | 3 L CPT % | 4 L JAVA % | 5 L INE @ ")</f>
        <v xml:space="preserve">| 1 P Python % | 3 L CPT % | 4 L JAVA % | 5 L INE @ </v>
      </c>
      <c r="BQ501" s="4" t="str">
        <f ca="1">IFERROR(__xludf.DUMMYFUNCTION("""COMPUTED_VALUE"""),"| 4 L NS @ | 1 P JAVA % ")</f>
        <v xml:space="preserve">| 4 L NS @ | 1 P JAVA % </v>
      </c>
      <c r="BR501" s="4"/>
      <c r="BS501" s="4"/>
      <c r="BT501" s="4" t="str">
        <f ca="1">IFERROR(__xludf.DUMMYFUNCTION("""COMPUTED_VALUE"""),"| 1 P Python % | 3 L CPT % | 4 L JAVA % ")</f>
        <v xml:space="preserve">| 1 P Python % | 3 L CPT % | 4 L JAVA % </v>
      </c>
      <c r="BU501" s="4" t="str">
        <f ca="1">IFERROR(__xludf.DUMMYFUNCTION("""COMPUTED_VALUE"""),"| 1 P JAVA @ | 4 L NS @ | 3 L JAVA @ ")</f>
        <v xml:space="preserve">| 1 P JAVA @ | 4 L NS @ | 3 L JAVA @ </v>
      </c>
      <c r="BV501" s="4" t="str">
        <f ca="1">IFERROR(__xludf.DUMMYFUNCTION("""COMPUTED_VALUE"""),"| 1 P Python @ | 3 L CPT @ | 4 L JAVA @ ")</f>
        <v xml:space="preserve">| 1 P Python @ | 3 L CPT @ | 4 L JAVA @ </v>
      </c>
      <c r="BW501" s="4" t="str">
        <f ca="1">IFERROR(__xludf.DUMMYFUNCTION("""COMPUTED_VALUE"""),"| 1 P JAVA % | 3 L JAVA % | 4 L NS % ")</f>
        <v xml:space="preserve">| 1 P JAVA % | 3 L JAVA % | 4 L NS % </v>
      </c>
      <c r="BX501" s="4" t="str">
        <f ca="1">IFERROR(__xludf.DUMMYFUNCTION("""COMPUTED_VALUE"""),"| 1 P JAVA % | 3 L PHP-CGM % | 4 L NS % | 5 P CPT @ ")</f>
        <v xml:space="preserve">| 1 P JAVA % | 3 L PHP-CGM % | 4 L NS % | 5 P CPT @ </v>
      </c>
      <c r="BY501" s="4" t="str">
        <f ca="1">IFERROR(__xludf.DUMMYFUNCTION("""COMPUTED_VALUE"""),"| 1 P NS @ | 3 L CPT @ | 4 L PHP-CGM @ | 5 P Python @ ")</f>
        <v xml:space="preserve">| 1 P NS @ | 3 L CPT @ | 4 L PHP-CGM @ | 5 P Python @ </v>
      </c>
      <c r="BZ501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01" s="4" t="str">
        <f ca="1">IFERROR(__xludf.DUMMYFUNCTION("""COMPUTED_VALUE"""),"| 1 P Python % | 3 L CPT @ | 4 L JAVA @ | 5 L INE % ")</f>
        <v xml:space="preserve">| 1 P Python % | 3 L CPT @ | 4 L JAVA @ | 5 L INE % </v>
      </c>
      <c r="CB501" s="4" t="str">
        <f ca="1">IFERROR(__xludf.DUMMYFUNCTION("""COMPUTED_VALUE"""),"| 1 P JAVA % | 3 L JAVA @ | 4 L NS @ | 5 P PRO @ ")</f>
        <v xml:space="preserve">| 1 P JAVA % | 3 L JAVA @ | 4 L NS @ | 5 P PRO @ </v>
      </c>
      <c r="CC501" s="4" t="str">
        <f ca="1">IFERROR(__xludf.DUMMYFUNCTION("""COMPUTED_VALUE"""),"| 1 P JAVA % | 3 L PHP-CGM % | 4 L NS % | 5 P CPT % ")</f>
        <v xml:space="preserve">| 1 P JAVA % | 3 L PHP-CGM % | 4 L NS % | 5 P CPT % </v>
      </c>
      <c r="CD501" s="4" t="str">
        <f ca="1">IFERROR(__xludf.DUMMYFUNCTION("""COMPUTED_VALUE"""),"| 1 P NS % | 3 L CPT @ | 4 L PHP-CGM @ | 5 P Python @ ")</f>
        <v xml:space="preserve">| 1 P NS % | 3 L CPT @ | 4 L PHP-CGM @ | 5 P Python @ </v>
      </c>
      <c r="CE501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F501" s="4" t="str">
        <f ca="1">IFERROR(__xludf.DUMMYFUNCTION("""COMPUTED_VALUE"""),"| 1 P Python % | 3 L CPT % | 4 L JAVA % | 5 L INE % ")</f>
        <v xml:space="preserve">| 1 P Python % | 3 L CPT % | 4 L JAVA % | 5 L INE % </v>
      </c>
      <c r="CG501" s="4" t="str">
        <f ca="1">IFERROR(__xludf.DUMMYFUNCTION("""COMPUTED_VALUE"""),"| 1 P JAVA % | 4 L NS % ")</f>
        <v xml:space="preserve">| 1 P JAVA % | 4 L NS % </v>
      </c>
      <c r="CH501" s="4" t="str">
        <f ca="1">IFERROR(__xludf.DUMMYFUNCTION("""COMPUTED_VALUE"""),"| 1 P JAVA % | 3 L PHP-CGM @ | 4 L NS @ ")</f>
        <v xml:space="preserve">| 1 P JAVA % | 3 L PHP-CGM @ | 4 L NS @ </v>
      </c>
      <c r="CI501" s="4" t="str">
        <f ca="1">IFERROR(__xludf.DUMMYFUNCTION("""COMPUTED_VALUE"""),"| 1 P NS % ")</f>
        <v xml:space="preserve">| 1 P NS % </v>
      </c>
      <c r="CJ501" s="4" t="str">
        <f ca="1">IFERROR(__xludf.DUMMYFUNCTION("""COMPUTED_VALUE"""),"| 1 P PHP-CGM @ | 4 L JAVA % ")</f>
        <v xml:space="preserve">| 1 P PHP-CGM @ | 4 L JAVA % </v>
      </c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</row>
    <row r="502" spans="1:102" ht="12.5" x14ac:dyDescent="0.25">
      <c r="A502" s="3">
        <f ca="1">IFERROR(__xludf.DUMMYFUNCTION("""COMPUTED_VALUE"""),2)</f>
        <v>2</v>
      </c>
      <c r="B502" s="3" t="str">
        <f ca="1">IFERROR(__xludf.DUMMYFUNCTION("""COMPUTED_VALUE"""),"ITC")</f>
        <v>ITC</v>
      </c>
      <c r="C502" s="32" t="str">
        <f ca="1">IFERROR(__xludf.DUMMYFUNCTION("""COMPUTED_VALUE"""),"23171371080")</f>
        <v>23171371080</v>
      </c>
      <c r="D502" s="4" t="str">
        <f ca="1">IFERROR(__xludf.DUMMYFUNCTION("""COMPUTED_VALUE"""),"PATEL HENIL KIRANBHAI")</f>
        <v>PATEL HENIL KIRANBHAI</v>
      </c>
      <c r="E502" s="3" t="str">
        <f ca="1">IFERROR(__xludf.DUMMYFUNCTION("""COMPUTED_VALUE"""),"SDP&amp;KKP - Mor")</f>
        <v>SDP&amp;KKP - Mor</v>
      </c>
      <c r="F502" s="3">
        <f ca="1">IFERROR(__xludf.DUMMYFUNCTION("""COMPUTED_VALUE"""),9099776616)</f>
        <v>9099776616</v>
      </c>
      <c r="G502" s="3">
        <f ca="1">IFERROR(__xludf.DUMMYFUNCTION("""COMPUTED_VALUE"""),8160902265)</f>
        <v>8160902265</v>
      </c>
      <c r="H502" s="33">
        <f ca="1">IFERROR(__xludf.DUMMYFUNCTION("""COMPUTED_VALUE"""),0.369294605809128)</f>
        <v>0.36929460580912798</v>
      </c>
      <c r="I502" s="25">
        <f ca="1">IFERROR(__xludf.DUMMYFUNCTION("""COMPUTED_VALUE"""),0.444444444444444)</f>
        <v>0.44444444444444398</v>
      </c>
      <c r="J502" s="25">
        <f ca="1">IFERROR(__xludf.DUMMYFUNCTION("""COMPUTED_VALUE"""),0.3)</f>
        <v>0.3</v>
      </c>
      <c r="K502" s="25">
        <f ca="1">IFERROR(__xludf.DUMMYFUNCTION("""COMPUTED_VALUE"""),0.444444444444444)</f>
        <v>0.44444444444444398</v>
      </c>
      <c r="L502" s="25">
        <f ca="1">IFERROR(__xludf.DUMMYFUNCTION("""COMPUTED_VALUE"""),0.307692307692307)</f>
        <v>0.30769230769230699</v>
      </c>
      <c r="M502" s="25">
        <f ca="1">IFERROR(__xludf.DUMMYFUNCTION("""COMPUTED_VALUE"""),0.375)</f>
        <v>0.375</v>
      </c>
      <c r="N502" s="25">
        <f ca="1">IFERROR(__xludf.DUMMYFUNCTION("""COMPUTED_VALUE"""),0.0909090909090909)</f>
        <v>9.0909090909090898E-2</v>
      </c>
      <c r="O502" s="25">
        <f ca="1">IFERROR(__xludf.DUMMYFUNCTION("""COMPUTED_VALUE"""),0.459459459459459)</f>
        <v>0.45945945945945899</v>
      </c>
      <c r="P502" s="25">
        <f ca="1">IFERROR(__xludf.DUMMYFUNCTION("""COMPUTED_VALUE"""),0.4)</f>
        <v>0.4</v>
      </c>
      <c r="Q502" s="25">
        <f ca="1">IFERROR(__xludf.DUMMYFUNCTION("""COMPUTED_VALUE"""),0)</f>
        <v>0</v>
      </c>
      <c r="R502" s="25">
        <f ca="1">IFERROR(__xludf.DUMMYFUNCTION("""COMPUTED_VALUE"""),0.25)</f>
        <v>0.25</v>
      </c>
      <c r="S502" s="25">
        <f ca="1">IFERROR(__xludf.DUMMYFUNCTION("""COMPUTED_VALUE"""),0)</f>
        <v>0</v>
      </c>
      <c r="T502" s="25">
        <f ca="1">IFERROR(__xludf.DUMMYFUNCTION("""COMPUTED_VALUE"""),0.333333333333333)</f>
        <v>0.33333333333333298</v>
      </c>
      <c r="U502" s="25">
        <f ca="1">IFERROR(__xludf.DUMMYFUNCTION("""COMPUTED_VALUE"""),0.125)</f>
        <v>0.125</v>
      </c>
      <c r="V502" s="25">
        <f ca="1">IFERROR(__xludf.DUMMYFUNCTION("""COMPUTED_VALUE"""),0)</f>
        <v>0</v>
      </c>
      <c r="W502" s="4"/>
      <c r="X502" s="4" t="str">
        <f ca="1">IFERROR(__xludf.DUMMYFUNCTION("""COMPUTED_VALUE"""),"| 1 P JAVA @ | 3 L CPT % | 4 L JAVA % ")</f>
        <v xml:space="preserve">| 1 P JAVA @ | 3 L CPT % | 4 L JAVA % </v>
      </c>
      <c r="Y502" s="4" t="str">
        <f ca="1">IFERROR(__xludf.DUMMYFUNCTION("""COMPUTED_VALUE"""),"| 1 P PHP-CGM @ | 3 L JAVA @ | 4 L NS @ | 5 P PRO @ ")</f>
        <v xml:space="preserve">| 1 P PHP-CGM @ | 3 L JAVA @ | 4 L NS @ | 5 P PRO @ </v>
      </c>
      <c r="Z502" s="4" t="str">
        <f ca="1">IFERROR(__xludf.DUMMYFUNCTION("""COMPUTED_VALUE"""),"| 1 P Python @ | 3 L PHP-CGM @ | 4 L NS @ | 5 P JAVA @ ")</f>
        <v xml:space="preserve">| 1 P Python @ | 3 L PHP-CGM @ | 4 L NS @ | 5 P JAVA @ </v>
      </c>
      <c r="AA502" s="4" t="str">
        <f ca="1">IFERROR(__xludf.DUMMYFUNCTION("""COMPUTED_VALUE"""),"| 1 P Python @ | 3 L CPT % | 5 P NS % ")</f>
        <v xml:space="preserve">| 1 P Python @ | 3 L CPT % | 5 P NS % </v>
      </c>
      <c r="AB502" s="4" t="str">
        <f ca="1">IFERROR(__xludf.DUMMYFUNCTION("""COMPUTED_VALUE"""),"| 1 P CPT % | 3 L PHP-CGM @ | 4 L JAVA % | 5 L CPT % | 6 L NS % ")</f>
        <v xml:space="preserve">| 1 P CPT % | 3 L PHP-CGM @ | 4 L JAVA % | 5 L CPT % | 6 L NS % </v>
      </c>
      <c r="AC502" s="4" t="str">
        <f ca="1">IFERROR(__xludf.DUMMYFUNCTION("""COMPUTED_VALUE"""),"| 1 P Python @ | 3 L CPT @ | 4 L JAVA @ ")</f>
        <v xml:space="preserve">| 1 P Python @ | 3 L CPT @ | 4 L JAVA @ </v>
      </c>
      <c r="AD502" s="4" t="str">
        <f ca="1">IFERROR(__xludf.DUMMYFUNCTION("""COMPUTED_VALUE"""),"| 1 P JAVA % | 3 L JAVA % | 4 L NS % | 5 P PRO % ")</f>
        <v xml:space="preserve">| 1 P JAVA % | 3 L JAVA % | 4 L NS % | 5 P PRO % </v>
      </c>
      <c r="AE502" s="4" t="str">
        <f ca="1">IFERROR(__xludf.DUMMYFUNCTION("""COMPUTED_VALUE"""),"| 1 P JAVA @ | 3 L PHP-CGM % | 4 L NS % | 5 P CPT @ ")</f>
        <v xml:space="preserve">| 1 P JAVA @ | 3 L PHP-CGM % | 4 L NS % | 5 P CPT @ </v>
      </c>
      <c r="AF502" s="4" t="str">
        <f ca="1">IFERROR(__xludf.DUMMYFUNCTION("""COMPUTED_VALUE"""),"| 1 P NS @ | 3 L CPT @ | 4 L PHP-CGM @ | 5 P Python @ ")</f>
        <v xml:space="preserve">| 1 P NS @ | 3 L CPT @ | 4 L PHP-CGM @ | 5 P Python @ </v>
      </c>
      <c r="AG502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H502" s="4" t="str">
        <f ca="1">IFERROR(__xludf.DUMMYFUNCTION("""COMPUTED_VALUE"""),"| 1 P NS @ | 3 L CPT % | 4 L PHP-CGM % | 5 P Python % ")</f>
        <v xml:space="preserve">| 1 P NS @ | 3 L CPT % | 4 L PHP-CGM % | 5 P Python % </v>
      </c>
      <c r="AI502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J502" s="4" t="str">
        <f ca="1">IFERROR(__xludf.DUMMYFUNCTION("""COMPUTED_VALUE"""),"| 1 P Python @ | 3 L CPT @ | 4 L JAVA @ ")</f>
        <v xml:space="preserve">| 1 P Python @ | 3 L CPT @ | 4 L JAVA @ </v>
      </c>
      <c r="AK502" s="4" t="str">
        <f ca="1">IFERROR(__xludf.DUMMYFUNCTION("""COMPUTED_VALUE"""),"| 1 P JAVA @ | 4 L NS @ | 3 L JAVA @ | 5 P PRO @ ")</f>
        <v xml:space="preserve">| 1 P JAVA @ | 4 L NS @ | 3 L JAVA @ | 5 P PRO @ </v>
      </c>
      <c r="AL502" s="4" t="str">
        <f ca="1">IFERROR(__xludf.DUMMYFUNCTION("""COMPUTED_VALUE"""),"| 1 P JAVA % | 3 L PHP-CGM % | 4 L NS % | 5 P CPT % ")</f>
        <v xml:space="preserve">| 1 P JAVA % | 3 L PHP-CGM % | 4 L NS % | 5 P CPT % </v>
      </c>
      <c r="AM502" s="4" t="str">
        <f ca="1">IFERROR(__xludf.DUMMYFUNCTION("""COMPUTED_VALUE"""),"| 1 P NS % | 3 L CPT % | 4 L PHP-CGM % | 5 P Python @ ")</f>
        <v xml:space="preserve">| 1 P NS % | 3 L CPT % | 4 L PHP-CGM % | 5 P Python @ </v>
      </c>
      <c r="AN502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O502" s="4" t="str">
        <f ca="1">IFERROR(__xludf.DUMMYFUNCTION("""COMPUTED_VALUE"""),"| 1 P Python @ | 3 L CPT @ | 4 L JAVA @ | 5 L INE @ ")</f>
        <v xml:space="preserve">| 1 P Python @ | 3 L CPT @ | 4 L JAVA @ | 5 L INE @ </v>
      </c>
      <c r="AP502" s="4" t="str">
        <f ca="1">IFERROR(__xludf.DUMMYFUNCTION("""COMPUTED_VALUE"""),"| 1 P JAVA % | 3 L JAVA % | 4 L NS % | 5 P PRO % ")</f>
        <v xml:space="preserve">| 1 P JAVA % | 3 L JAVA % | 4 L NS % | 5 P PRO % </v>
      </c>
      <c r="AQ502" s="4" t="str">
        <f ca="1">IFERROR(__xludf.DUMMYFUNCTION("""COMPUTED_VALUE"""),"| 1 P JAVA @ | 3 L PHP-CGM @ | 4 L NS @ | 5 P CPT @ ")</f>
        <v xml:space="preserve">| 1 P JAVA @ | 3 L PHP-CGM @ | 4 L NS @ | 5 P CPT @ </v>
      </c>
      <c r="AR502" s="4" t="str">
        <f ca="1">IFERROR(__xludf.DUMMYFUNCTION("""COMPUTED_VALUE"""),"| 1 P NS % | 3 L CPT % | 5 P Python @ ")</f>
        <v xml:space="preserve">| 1 P NS % | 3 L CPT % | 5 P Python @ </v>
      </c>
      <c r="AS502" s="4" t="str">
        <f ca="1">IFERROR(__xludf.DUMMYFUNCTION("""COMPUTED_VALUE"""),"| 1 P Python % | 3 L CPT % | 4 L JAVA % | 5 L INE @ ")</f>
        <v xml:space="preserve">| 1 P Python % | 3 L CPT % | 4 L JAVA % | 5 L INE @ </v>
      </c>
      <c r="AT502" s="4" t="str">
        <f ca="1">IFERROR(__xludf.DUMMYFUNCTION("""COMPUTED_VALUE"""),"| 1 P JAVA % | 3 L JAVA % | 4 L NS % | 5 P PRO @ ")</f>
        <v xml:space="preserve">| 1 P JAVA % | 3 L JAVA % | 4 L NS % | 5 P PRO @ </v>
      </c>
      <c r="AU502" s="4" t="str">
        <f ca="1">IFERROR(__xludf.DUMMYFUNCTION("""COMPUTED_VALUE"""),"| 1 P JAVA % | 3 L PHP-CGM % | 4 L NS % | 5 P CPT @ ")</f>
        <v xml:space="preserve">| 1 P JAVA % | 3 L PHP-CGM % | 4 L NS % | 5 P CPT @ </v>
      </c>
      <c r="AV502" s="4" t="str">
        <f ca="1">IFERROR(__xludf.DUMMYFUNCTION("""COMPUTED_VALUE"""),"| 1 P NS @ | 3 L CPT @ | 4 L PHP-CGM @ | 5 P Python @ ")</f>
        <v xml:space="preserve">| 1 P NS @ | 3 L CPT @ | 4 L PHP-CGM @ | 5 P Python @ </v>
      </c>
      <c r="AW502" s="4" t="str">
        <f ca="1">IFERROR(__xludf.DUMMYFUNCTION("""COMPUTED_VALUE"""),"| 3 L PHP-CGM % | 4 L JAVA % | 5 L NS % | 5 L CPT @ ")</f>
        <v xml:space="preserve">| 3 L PHP-CGM % | 4 L JAVA % | 5 L NS % | 5 L CPT @ </v>
      </c>
      <c r="AX502" s="4" t="str">
        <f ca="1">IFERROR(__xludf.DUMMYFUNCTION("""COMPUTED_VALUE"""),"| 1 P Python @ | 3 L CPT @ | 4 L JAVA @ | 5 L INE @ ")</f>
        <v xml:space="preserve">| 1 P Python @ | 3 L CPT @ | 4 L JAVA @ | 5 L INE @ </v>
      </c>
      <c r="AY502" s="4" t="str">
        <f ca="1">IFERROR(__xludf.DUMMYFUNCTION("""COMPUTED_VALUE"""),"| 1 P JAVA @ | 3 L JAVA @ | 4 L NS @ | 5 P PRO @ ")</f>
        <v xml:space="preserve">| 1 P JAVA @ | 3 L JAVA @ | 4 L NS @ | 5 P PRO @ </v>
      </c>
      <c r="AZ502" s="4" t="str">
        <f ca="1">IFERROR(__xludf.DUMMYFUNCTION("""COMPUTED_VALUE"""),"| 1 P NS @ | 3 L CPT @ | 4 L PHP-CGM @ | 5 P Python @ ")</f>
        <v xml:space="preserve">| 1 P NS @ | 3 L CPT @ | 4 L PHP-CGM @ | 5 P Python @ </v>
      </c>
      <c r="BA502" s="4" t="str">
        <f ca="1">IFERROR(__xludf.DUMMYFUNCTION("""COMPUTED_VALUE"""),"| 1 P PHP-CGM @ | 3 L PHP-CGM % | 4 L JAVA % | 5 L NS @ | 6 L CPT @ ")</f>
        <v xml:space="preserve">| 1 P PHP-CGM @ | 3 L PHP-CGM % | 4 L JAVA % | 5 L NS @ | 6 L CPT @ </v>
      </c>
      <c r="BB502" s="4" t="str">
        <f ca="1">IFERROR(__xludf.DUMMYFUNCTION("""COMPUTED_VALUE"""),"| 1 P Python @ | 3 L CPT @ | 4 L JAVA @ | 5 L INE @ ")</f>
        <v xml:space="preserve">| 1 P Python @ | 3 L CPT @ | 4 L JAVA @ | 5 L INE @ </v>
      </c>
      <c r="BC502" s="4" t="str">
        <f ca="1">IFERROR(__xludf.DUMMYFUNCTION("""COMPUTED_VALUE"""),"| 1 P JAVA @ | 3 L JAVA @ | 4 L NS % | 5 P PRO % ")</f>
        <v xml:space="preserve">| 1 P JAVA @ | 3 L JAVA @ | 4 L NS % | 5 P PRO % </v>
      </c>
      <c r="BD502" s="4" t="str">
        <f ca="1">IFERROR(__xludf.DUMMYFUNCTION("""COMPUTED_VALUE"""),"| 1 P JAVA @ | 4 L NS @  | 3 L PHP-CGM @ | 5 P CPT @ ")</f>
        <v xml:space="preserve">| 1 P JAVA @ | 4 L NS @  | 3 L PHP-CGM @ | 5 P CPT @ </v>
      </c>
      <c r="BE502" s="4" t="str">
        <f ca="1">IFERROR(__xludf.DUMMYFUNCTION("""COMPUTED_VALUE"""),"| 1 P NS @ | 3 L CPT @ | 4 L PHP-CGM @ | 5 P Python @ ")</f>
        <v xml:space="preserve">| 1 P NS @ | 3 L CPT @ | 4 L PHP-CGM @ | 5 P Python @ </v>
      </c>
      <c r="BF502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02" s="4" t="str">
        <f ca="1">IFERROR(__xludf.DUMMYFUNCTION("""COMPUTED_VALUE"""),"| 1 P JAVA @ | 3 L JAVA @ | 4 L NS @ | 5 P PRO @ ")</f>
        <v xml:space="preserve">| 1 P JAVA @ | 3 L JAVA @ | 4 L NS @ | 5 P PRO @ </v>
      </c>
      <c r="BH502" s="4" t="str">
        <f ca="1">IFERROR(__xludf.DUMMYFUNCTION("""COMPUTED_VALUE"""),"| 1 P JAVA @ | 3 L PHP-CGM % | 4 L NS @ | 5 P CPT @ ")</f>
        <v xml:space="preserve">| 1 P JAVA @ | 3 L PHP-CGM % | 4 L NS @ | 5 P CPT @ </v>
      </c>
      <c r="BI502" s="4" t="str">
        <f ca="1">IFERROR(__xludf.DUMMYFUNCTION("""COMPUTED_VALUE"""),"| 1 P NS @ | 3 L CPT @ | 4 L PHP-CGM @ | 5 P Python % ")</f>
        <v xml:space="preserve">| 1 P NS @ | 3 L CPT @ | 4 L PHP-CGM @ | 5 P Python % </v>
      </c>
      <c r="BJ502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K502" s="4" t="str">
        <f ca="1">IFERROR(__xludf.DUMMYFUNCTION("""COMPUTED_VALUE"""),"| 1 P Python @ | 3 L CPT @ | 4 L JAVA @ | 5 L INE @ ")</f>
        <v xml:space="preserve">| 1 P Python @ | 3 L CPT @ | 4 L JAVA @ | 5 L INE @ </v>
      </c>
      <c r="BL502" s="4" t="str">
        <f ca="1">IFERROR(__xludf.DUMMYFUNCTION("""COMPUTED_VALUE"""),"| 1 P JAVA @ | 3 L JAVA @ | 4 L NS @ ")</f>
        <v xml:space="preserve">| 1 P JAVA @ | 3 L JAVA @ | 4 L NS @ </v>
      </c>
      <c r="BM502" s="4" t="str">
        <f ca="1">IFERROR(__xludf.DUMMYFUNCTION("""COMPUTED_VALUE"""),"| 1 P JAVA @ | 3 L PHP-CGM @ | 4 L NS @ | 5 P CPT @ ")</f>
        <v xml:space="preserve">| 1 P JAVA @ | 3 L PHP-CGM @ | 4 L NS @ | 5 P CPT @ </v>
      </c>
      <c r="BN502" s="4" t="str">
        <f ca="1">IFERROR(__xludf.DUMMYFUNCTION("""COMPUTED_VALUE"""),"| 1 P NS @ | 3 L CPT @ | 4 L PHP-CGM @ ")</f>
        <v xml:space="preserve">| 1 P NS @ | 3 L CPT @ | 4 L PHP-CGM @ </v>
      </c>
      <c r="BO502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2" s="4" t="str">
        <f ca="1">IFERROR(__xludf.DUMMYFUNCTION("""COMPUTED_VALUE"""),"| 1 P Python @ | 3 L CPT % | 4 L JAVA % | 5 L INE @ ")</f>
        <v xml:space="preserve">| 1 P Python @ | 3 L CPT % | 4 L JAVA % | 5 L INE @ </v>
      </c>
      <c r="BQ502" s="4" t="str">
        <f ca="1">IFERROR(__xludf.DUMMYFUNCTION("""COMPUTED_VALUE"""),"| 4 L NS % | 1 P JAVA % ")</f>
        <v xml:space="preserve">| 4 L NS % | 1 P JAVA % </v>
      </c>
      <c r="BR502" s="4"/>
      <c r="BS502" s="4"/>
      <c r="BT502" s="4" t="str">
        <f ca="1">IFERROR(__xludf.DUMMYFUNCTION("""COMPUTED_VALUE"""),"| 1 P Python @ | 3 L CPT % | 4 L JAVA % ")</f>
        <v xml:space="preserve">| 1 P Python @ | 3 L CPT % | 4 L JAVA % </v>
      </c>
      <c r="BU502" s="4" t="str">
        <f ca="1">IFERROR(__xludf.DUMMYFUNCTION("""COMPUTED_VALUE"""),"| 1 P JAVA @ | 4 L NS @ | 3 L JAVA @ ")</f>
        <v xml:space="preserve">| 1 P JAVA @ | 4 L NS @ | 3 L JAVA @ </v>
      </c>
      <c r="BV502" s="4" t="str">
        <f ca="1">IFERROR(__xludf.DUMMYFUNCTION("""COMPUTED_VALUE"""),"| 1 P Python % | 3 L CPT % | 4 L JAVA % ")</f>
        <v xml:space="preserve">| 1 P Python % | 3 L CPT % | 4 L JAVA % </v>
      </c>
      <c r="BW502" s="4" t="str">
        <f ca="1">IFERROR(__xludf.DUMMYFUNCTION("""COMPUTED_VALUE"""),"| 1 P JAVA @ | 3 L JAVA % | 4 L NS % ")</f>
        <v xml:space="preserve">| 1 P JAVA @ | 3 L JAVA % | 4 L NS % </v>
      </c>
      <c r="BX502" s="4" t="str">
        <f ca="1">IFERROR(__xludf.DUMMYFUNCTION("""COMPUTED_VALUE"""),"| 1 P JAVA @ | 3 L PHP-CGM % | 4 L NS % | 5 P CPT % ")</f>
        <v xml:space="preserve">| 1 P JAVA @ | 3 L PHP-CGM % | 4 L NS % | 5 P CPT % </v>
      </c>
      <c r="BY502" s="4" t="str">
        <f ca="1">IFERROR(__xludf.DUMMYFUNCTION("""COMPUTED_VALUE"""),"| 1 P NS @ | 3 L CPT @ | 4 L PHP-CGM @ | 5 P Python @ ")</f>
        <v xml:space="preserve">| 1 P NS @ | 3 L CPT @ | 4 L PHP-CGM @ | 5 P Python @ </v>
      </c>
      <c r="BZ502" s="4" t="str">
        <f ca="1">IFERROR(__xludf.DUMMYFUNCTION("""COMPUTED_VALUE"""),"| 1 P PHP-CGM @ | 3 L PHP-CGM % | 4 L JAVA % | 5 L NS % | 6 L CPT % ")</f>
        <v xml:space="preserve">| 1 P PHP-CGM @ | 3 L PHP-CGM % | 4 L JAVA % | 5 L NS % | 6 L CPT % </v>
      </c>
      <c r="CA502" s="4" t="str">
        <f ca="1">IFERROR(__xludf.DUMMYFUNCTION("""COMPUTED_VALUE"""),"| 1 P Python @ | 3 L CPT % | 4 L JAVA % | 5 L INE % ")</f>
        <v xml:space="preserve">| 1 P Python @ | 3 L CPT % | 4 L JAVA % | 5 L INE % </v>
      </c>
      <c r="CB502" s="4" t="str">
        <f ca="1">IFERROR(__xludf.DUMMYFUNCTION("""COMPUTED_VALUE"""),"| 1 P JAVA % | 3 L JAVA % | 4 L NS % | 5 P PRO @ ")</f>
        <v xml:space="preserve">| 1 P JAVA % | 3 L JAVA % | 4 L NS % | 5 P PRO @ </v>
      </c>
      <c r="CC502" s="4" t="str">
        <f ca="1">IFERROR(__xludf.DUMMYFUNCTION("""COMPUTED_VALUE"""),"| 1 P JAVA % | 3 L PHP-CGM % | 4 L NS % | 5 P CPT @ ")</f>
        <v xml:space="preserve">| 1 P JAVA % | 3 L PHP-CGM % | 4 L NS % | 5 P CPT @ </v>
      </c>
      <c r="CD502" s="4" t="str">
        <f ca="1">IFERROR(__xludf.DUMMYFUNCTION("""COMPUTED_VALUE"""),"| 1 P NS @ | 3 L CPT % | 4 L PHP-CGM % | 5 P Python % ")</f>
        <v xml:space="preserve">| 1 P NS @ | 3 L CPT % | 4 L PHP-CGM % | 5 P Python % </v>
      </c>
      <c r="CE502" s="4" t="str">
        <f ca="1">IFERROR(__xludf.DUMMYFUNCTION("""COMPUTED_VALUE"""),"| 1 P PHP-CGM % | 3 L PHP-CGM @ | 4 L JAVA @ | 5 L NS @ | 6 L CPT @ ")</f>
        <v xml:space="preserve">| 1 P PHP-CGM % | 3 L PHP-CGM @ | 4 L JAVA @ | 5 L NS @ | 6 L CPT @ </v>
      </c>
      <c r="CF502" s="4" t="str">
        <f ca="1">IFERROR(__xludf.DUMMYFUNCTION("""COMPUTED_VALUE"""),"| 1 P Python % | 3 L CPT % | 4 L JAVA % | 5 L INE @ ")</f>
        <v xml:space="preserve">| 1 P Python % | 3 L CPT % | 4 L JAVA % | 5 L INE @ </v>
      </c>
      <c r="CG502" s="4" t="str">
        <f ca="1">IFERROR(__xludf.DUMMYFUNCTION("""COMPUTED_VALUE"""),"| 1 P JAVA % | 4 L NS % ")</f>
        <v xml:space="preserve">| 1 P JAVA % | 4 L NS % </v>
      </c>
      <c r="CH502" s="4" t="str">
        <f ca="1">IFERROR(__xludf.DUMMYFUNCTION("""COMPUTED_VALUE"""),"| 1 P JAVA % | 3 L PHP-CGM @ | 4 L NS @ ")</f>
        <v xml:space="preserve">| 1 P JAVA % | 3 L PHP-CGM @ | 4 L NS @ </v>
      </c>
      <c r="CI502" s="4" t="str">
        <f ca="1">IFERROR(__xludf.DUMMYFUNCTION("""COMPUTED_VALUE"""),"| 1 P NS % ")</f>
        <v xml:space="preserve">| 1 P NS % </v>
      </c>
      <c r="CJ502" s="4" t="str">
        <f ca="1">IFERROR(__xludf.DUMMYFUNCTION("""COMPUTED_VALUE"""),"| 1 P PHP-CGM @ | 4 L JAVA % ")</f>
        <v xml:space="preserve">| 1 P PHP-CGM @ | 4 L JAVA % </v>
      </c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</row>
    <row r="503" spans="1:102" ht="12.5" x14ac:dyDescent="0.25">
      <c r="A503" s="3">
        <f ca="1">IFERROR(__xludf.DUMMYFUNCTION("""COMPUTED_VALUE"""),2)</f>
        <v>2</v>
      </c>
      <c r="B503" s="3" t="str">
        <f ca="1">IFERROR(__xludf.DUMMYFUNCTION("""COMPUTED_VALUE"""),"ITC")</f>
        <v>ITC</v>
      </c>
      <c r="C503" s="32" t="str">
        <f ca="1">IFERROR(__xludf.DUMMYFUNCTION("""COMPUTED_VALUE"""),"23171371081")</f>
        <v>23171371081</v>
      </c>
      <c r="D503" s="4" t="str">
        <f ca="1">IFERROR(__xludf.DUMMYFUNCTION("""COMPUTED_VALUE"""),"PATEL HENIL SANJAYKUMAR")</f>
        <v>PATEL HENIL SANJAYKUMAR</v>
      </c>
      <c r="E503" s="3" t="str">
        <f ca="1">IFERROR(__xludf.DUMMYFUNCTION("""COMPUTED_VALUE"""),"SDP&amp;KKP - Mor")</f>
        <v>SDP&amp;KKP - Mor</v>
      </c>
      <c r="F503" s="3">
        <f ca="1">IFERROR(__xludf.DUMMYFUNCTION("""COMPUTED_VALUE"""),9313223413)</f>
        <v>9313223413</v>
      </c>
      <c r="G503" s="3">
        <f ca="1">IFERROR(__xludf.DUMMYFUNCTION("""COMPUTED_VALUE"""),6353537822)</f>
        <v>6353537822</v>
      </c>
      <c r="H503" s="33">
        <f ca="1">IFERROR(__xludf.DUMMYFUNCTION("""COMPUTED_VALUE"""),0.423236514522821)</f>
        <v>0.42323651452282102</v>
      </c>
      <c r="I503" s="25">
        <f ca="1">IFERROR(__xludf.DUMMYFUNCTION("""COMPUTED_VALUE"""),0.444444444444444)</f>
        <v>0.44444444444444398</v>
      </c>
      <c r="J503" s="25">
        <f ca="1">IFERROR(__xludf.DUMMYFUNCTION("""COMPUTED_VALUE"""),0.2)</f>
        <v>0.2</v>
      </c>
      <c r="K503" s="25">
        <f ca="1">IFERROR(__xludf.DUMMYFUNCTION("""COMPUTED_VALUE"""),0.527777777777777)</f>
        <v>0.52777777777777701</v>
      </c>
      <c r="L503" s="25">
        <f ca="1">IFERROR(__xludf.DUMMYFUNCTION("""COMPUTED_VALUE"""),0.384615384615384)</f>
        <v>0.38461538461538403</v>
      </c>
      <c r="M503" s="25">
        <f ca="1">IFERROR(__xludf.DUMMYFUNCTION("""COMPUTED_VALUE"""),0.65625)</f>
        <v>0.65625</v>
      </c>
      <c r="N503" s="25">
        <f ca="1">IFERROR(__xludf.DUMMYFUNCTION("""COMPUTED_VALUE"""),0.454545454545454)</f>
        <v>0.45454545454545398</v>
      </c>
      <c r="O503" s="25">
        <f ca="1">IFERROR(__xludf.DUMMYFUNCTION("""COMPUTED_VALUE"""),0.486486486486486)</f>
        <v>0.48648648648648601</v>
      </c>
      <c r="P503" s="25">
        <f ca="1">IFERROR(__xludf.DUMMYFUNCTION("""COMPUTED_VALUE"""),0.52)</f>
        <v>0.52</v>
      </c>
      <c r="Q503" s="25">
        <f ca="1">IFERROR(__xludf.DUMMYFUNCTION("""COMPUTED_VALUE"""),0)</f>
        <v>0</v>
      </c>
      <c r="R503" s="25">
        <f ca="1">IFERROR(__xludf.DUMMYFUNCTION("""COMPUTED_VALUE"""),0.0416666666666666)</f>
        <v>4.1666666666666602E-2</v>
      </c>
      <c r="S503" s="25">
        <f ca="1">IFERROR(__xludf.DUMMYFUNCTION("""COMPUTED_VALUE"""),0)</f>
        <v>0</v>
      </c>
      <c r="T503" s="25">
        <f ca="1">IFERROR(__xludf.DUMMYFUNCTION("""COMPUTED_VALUE"""),0.222222222222222)</f>
        <v>0.22222222222222199</v>
      </c>
      <c r="U503" s="25">
        <f ca="1">IFERROR(__xludf.DUMMYFUNCTION("""COMPUTED_VALUE"""),0)</f>
        <v>0</v>
      </c>
      <c r="V503" s="25">
        <f ca="1">IFERROR(__xludf.DUMMYFUNCTION("""COMPUTED_VALUE"""),0)</f>
        <v>0</v>
      </c>
      <c r="W503" s="4"/>
      <c r="X503" s="4" t="str">
        <f ca="1">IFERROR(__xludf.DUMMYFUNCTION("""COMPUTED_VALUE"""),"| 1 P Python @ | 3 L CPT @ | 4 L JAVA @ ")</f>
        <v xml:space="preserve">| 1 P Python @ | 3 L CPT @ | 4 L JAVA @ </v>
      </c>
      <c r="Y503" s="4" t="str">
        <f ca="1">IFERROR(__xludf.DUMMYFUNCTION("""COMPUTED_VALUE"""),"| 1 P JAVA @ | 3 L JAVA @ | 4 L NS @ | 5 P PRO @ ")</f>
        <v xml:space="preserve">| 1 P JAVA @ | 3 L JAVA @ | 4 L NS @ | 5 P PRO @ </v>
      </c>
      <c r="Z503" s="4" t="str">
        <f ca="1">IFERROR(__xludf.DUMMYFUNCTION("""COMPUTED_VALUE"""),"| 1 P JAVA % | 3 L PHP-CGM % | 4 L NS % | 5 P CPT @ ")</f>
        <v xml:space="preserve">| 1 P JAVA % | 3 L PHP-CGM % | 4 L NS % | 5 P CPT @ </v>
      </c>
      <c r="AA503" s="4" t="str">
        <f ca="1">IFERROR(__xludf.DUMMYFUNCTION("""COMPUTED_VALUE"""),"| 1 P NS @ | 3 L CPT @ | 5 P Python @ ")</f>
        <v xml:space="preserve">| 1 P NS @ | 3 L CPT @ | 5 P Python @ </v>
      </c>
      <c r="AB503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03" s="4" t="str">
        <f ca="1">IFERROR(__xludf.DUMMYFUNCTION("""COMPUTED_VALUE"""),"| 1 P Python @ | 3 L CPT @ | 4 L JAVA @ ")</f>
        <v xml:space="preserve">| 1 P Python @ | 3 L CPT @ | 4 L JAVA @ </v>
      </c>
      <c r="AD503" s="4" t="str">
        <f ca="1">IFERROR(__xludf.DUMMYFUNCTION("""COMPUTED_VALUE"""),"| 1 P JAVA @ | 3 L JAVA % | 4 L NS % | 5 P PRO % ")</f>
        <v xml:space="preserve">| 1 P JAVA @ | 3 L JAVA % | 4 L NS % | 5 P PRO % </v>
      </c>
      <c r="AE503" s="4" t="str">
        <f ca="1">IFERROR(__xludf.DUMMYFUNCTION("""COMPUTED_VALUE"""),"| 1 P JAVA % | 3 L PHP-CGM % | 4 L NS % | 5 P CPT @ ")</f>
        <v xml:space="preserve">| 1 P JAVA % | 3 L PHP-CGM % | 4 L NS % | 5 P CPT @ </v>
      </c>
      <c r="AF503" s="4" t="str">
        <f ca="1">IFERROR(__xludf.DUMMYFUNCTION("""COMPUTED_VALUE"""),"| 1 P NS @ | 3 L CPT % | 4 L PHP-CGM % | 5 P Python @ ")</f>
        <v xml:space="preserve">| 1 P NS @ | 3 L CPT % | 4 L PHP-CGM % | 5 P Python @ </v>
      </c>
      <c r="AG503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503" s="4" t="str">
        <f ca="1">IFERROR(__xludf.DUMMYFUNCTION("""COMPUTED_VALUE"""),"| 1 P NS @ | 3 L CPT % | 4 L PHP-CGM % | 5 P Python @ ")</f>
        <v xml:space="preserve">| 1 P NS @ | 3 L CPT % | 4 L PHP-CGM % | 5 P Python @ </v>
      </c>
      <c r="AI503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J503" s="4" t="str">
        <f ca="1">IFERROR(__xludf.DUMMYFUNCTION("""COMPUTED_VALUE"""),"| 1 P Python @ | 3 L CPT @ | 4 L JAVA @ ")</f>
        <v xml:space="preserve">| 1 P Python @ | 3 L CPT @ | 4 L JAVA @ </v>
      </c>
      <c r="AK503" s="4" t="str">
        <f ca="1">IFERROR(__xludf.DUMMYFUNCTION("""COMPUTED_VALUE"""),"| 1 P JAVA % | 4 L NS % | 3 L JAVA % | 5 P PRO @ ")</f>
        <v xml:space="preserve">| 1 P JAVA % | 4 L NS % | 3 L JAVA % | 5 P PRO @ </v>
      </c>
      <c r="AL503" s="4" t="str">
        <f ca="1">IFERROR(__xludf.DUMMYFUNCTION("""COMPUTED_VALUE"""),"| 1 P JAVA % | 3 L PHP-CGM % | 4 L NS % | 5 P CPT @ ")</f>
        <v xml:space="preserve">| 1 P JAVA % | 3 L PHP-CGM % | 4 L NS % | 5 P CPT @ </v>
      </c>
      <c r="AM503" s="4" t="str">
        <f ca="1">IFERROR(__xludf.DUMMYFUNCTION("""COMPUTED_VALUE"""),"| 1 P NS % | 3 L CPT % | 4 L PHP-CGM % | 5 P Python @ ")</f>
        <v xml:space="preserve">| 1 P NS % | 3 L CPT % | 4 L PHP-CGM % | 5 P Python @ </v>
      </c>
      <c r="AN50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03" s="4" t="str">
        <f ca="1">IFERROR(__xludf.DUMMYFUNCTION("""COMPUTED_VALUE"""),"| 1 P Python % | 3 L CPT % | 4 L JAVA % | 5 L INE @ ")</f>
        <v xml:space="preserve">| 1 P Python % | 3 L CPT % | 4 L JAVA % | 5 L INE @ </v>
      </c>
      <c r="AP503" s="4" t="str">
        <f ca="1">IFERROR(__xludf.DUMMYFUNCTION("""COMPUTED_VALUE"""),"| 1 P JAVA @ | 3 L JAVA @ | 4 L NS @ | 5 P PRO @ ")</f>
        <v xml:space="preserve">| 1 P JAVA @ | 3 L JAVA @ | 4 L NS @ | 5 P PRO @ </v>
      </c>
      <c r="AQ503" s="4" t="str">
        <f ca="1">IFERROR(__xludf.DUMMYFUNCTION("""COMPUTED_VALUE"""),"| 1 P JAVA % | 3 L PHP-CGM % | 4 L NS % | 5 P CPT % ")</f>
        <v xml:space="preserve">| 1 P JAVA % | 3 L PHP-CGM % | 4 L NS % | 5 P CPT % </v>
      </c>
      <c r="AR503" s="4" t="str">
        <f ca="1">IFERROR(__xludf.DUMMYFUNCTION("""COMPUTED_VALUE"""),"| 1 P NS % | 3 L CPT % | 5 P Python @ ")</f>
        <v xml:space="preserve">| 1 P NS % | 3 L CPT % | 5 P Python @ </v>
      </c>
      <c r="AS503" s="4" t="str">
        <f ca="1">IFERROR(__xludf.DUMMYFUNCTION("""COMPUTED_VALUE"""),"| 1 P Python @ | 3 L CPT @ | 4 L JAVA @ | 5 L INE @ ")</f>
        <v xml:space="preserve">| 1 P Python @ | 3 L CPT @ | 4 L JAVA @ | 5 L INE @ </v>
      </c>
      <c r="AT503" s="4" t="str">
        <f ca="1">IFERROR(__xludf.DUMMYFUNCTION("""COMPUTED_VALUE"""),"| 1 P JAVA % | 3 L JAVA % | 4 L NS % | 5 P PRO @ ")</f>
        <v xml:space="preserve">| 1 P JAVA % | 3 L JAVA % | 4 L NS % | 5 P PRO @ </v>
      </c>
      <c r="AU503" s="4" t="str">
        <f ca="1">IFERROR(__xludf.DUMMYFUNCTION("""COMPUTED_VALUE"""),"| 1 P JAVA % | 3 L PHP-CGM % | 4 L NS % | 5 P CPT @ ")</f>
        <v xml:space="preserve">| 1 P JAVA % | 3 L PHP-CGM % | 4 L NS % | 5 P CPT @ </v>
      </c>
      <c r="AV503" s="4" t="str">
        <f ca="1">IFERROR(__xludf.DUMMYFUNCTION("""COMPUTED_VALUE"""),"| 1 P NS % | 3 L CPT % | 4 L PHP-CGM % | 5 P Python @ ")</f>
        <v xml:space="preserve">| 1 P NS % | 3 L CPT % | 4 L PHP-CGM % | 5 P Python @ </v>
      </c>
      <c r="AW503" s="4" t="str">
        <f ca="1">IFERROR(__xludf.DUMMYFUNCTION("""COMPUTED_VALUE"""),"| 3 L PHP-CGM % | 4 L JAVA % | 5 L NS @ | 5 L CPT @ ")</f>
        <v xml:space="preserve">| 3 L PHP-CGM % | 4 L JAVA % | 5 L NS @ | 5 L CPT @ </v>
      </c>
      <c r="AX503" s="4" t="str">
        <f ca="1">IFERROR(__xludf.DUMMYFUNCTION("""COMPUTED_VALUE"""),"| 1 P Python @ | 3 L CPT % | 4 L JAVA % | 5 L INE @ ")</f>
        <v xml:space="preserve">| 1 P Python @ | 3 L CPT % | 4 L JAVA % | 5 L INE @ </v>
      </c>
      <c r="AY503" s="4" t="str">
        <f ca="1">IFERROR(__xludf.DUMMYFUNCTION("""COMPUTED_VALUE"""),"| 1 P JAVA % | 3 L JAVA % | 4 L NS % | 5 P PRO @ ")</f>
        <v xml:space="preserve">| 1 P JAVA % | 3 L JAVA % | 4 L NS % | 5 P PRO @ </v>
      </c>
      <c r="AZ503" s="4" t="str">
        <f ca="1">IFERROR(__xludf.DUMMYFUNCTION("""COMPUTED_VALUE"""),"| 1 P NS @ | 3 L CPT % | 4 L PHP-CGM % | 5 P Python @ ")</f>
        <v xml:space="preserve">| 1 P NS @ | 3 L CPT % | 4 L PHP-CGM % | 5 P Python @ </v>
      </c>
      <c r="BA503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03" s="4" t="str">
        <f ca="1">IFERROR(__xludf.DUMMYFUNCTION("""COMPUTED_VALUE"""),"| 1 P Python @ | 3 L CPT % | 4 L JAVA % | 5 L INE @ ")</f>
        <v xml:space="preserve">| 1 P Python @ | 3 L CPT % | 4 L JAVA % | 5 L INE @ </v>
      </c>
      <c r="BC503" s="4" t="str">
        <f ca="1">IFERROR(__xludf.DUMMYFUNCTION("""COMPUTED_VALUE"""),"| 1 P JAVA % | 3 L JAVA % | 4 L NS % | 5 P PRO % ")</f>
        <v xml:space="preserve">| 1 P JAVA % | 3 L JAVA % | 4 L NS % | 5 P PRO % </v>
      </c>
      <c r="BD503" s="4" t="str">
        <f ca="1">IFERROR(__xludf.DUMMYFUNCTION("""COMPUTED_VALUE"""),"| 1 P JAVA % | 4 L NS %  | 3 L PHP-CGM % | 5 P CPT @ ")</f>
        <v xml:space="preserve">| 1 P JAVA % | 4 L NS %  | 3 L PHP-CGM % | 5 P CPT @ </v>
      </c>
      <c r="BE503" s="4" t="str">
        <f ca="1">IFERROR(__xludf.DUMMYFUNCTION("""COMPUTED_VALUE"""),"| 1 P NS @ | 3 L CPT % | 4 L PHP-CGM % | 5 P Python @ ")</f>
        <v xml:space="preserve">| 1 P NS @ | 3 L CPT % | 4 L PHP-CGM % | 5 P Python @ </v>
      </c>
      <c r="BF503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03" s="4" t="str">
        <f ca="1">IFERROR(__xludf.DUMMYFUNCTION("""COMPUTED_VALUE"""),"| 1 P JAVA @ | 3 L JAVA @ | 4 L NS @ | 5 P PRO @ ")</f>
        <v xml:space="preserve">| 1 P JAVA @ | 3 L JAVA @ | 4 L NS @ | 5 P PRO @ </v>
      </c>
      <c r="BH503" s="4" t="str">
        <f ca="1">IFERROR(__xludf.DUMMYFUNCTION("""COMPUTED_VALUE"""),"| 1 P JAVA % | 3 L PHP-CGM % | 4 L NS % | 5 P CPT % ")</f>
        <v xml:space="preserve">| 1 P JAVA % | 3 L PHP-CGM % | 4 L NS % | 5 P CPT % </v>
      </c>
      <c r="BI503" s="4" t="str">
        <f ca="1">IFERROR(__xludf.DUMMYFUNCTION("""COMPUTED_VALUE"""),"| 1 P NS % | 3 L CPT % | 4 L PHP-CGM % | 5 P Python @ ")</f>
        <v xml:space="preserve">| 1 P NS % | 3 L CPT % | 4 L PHP-CGM % | 5 P Python @ </v>
      </c>
      <c r="BJ503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03" s="4" t="str">
        <f ca="1">IFERROR(__xludf.DUMMYFUNCTION("""COMPUTED_VALUE"""),"| 1 P Python @ | 3 L CPT @ | 4 L JAVA @ | 5 L INE @ ")</f>
        <v xml:space="preserve">| 1 P Python @ | 3 L CPT @ | 4 L JAVA @ | 5 L INE @ </v>
      </c>
      <c r="BL503" s="4" t="str">
        <f ca="1">IFERROR(__xludf.DUMMYFUNCTION("""COMPUTED_VALUE"""),"| 1 P JAVA @ | 3 L JAVA @ | 4 L NS @ ")</f>
        <v xml:space="preserve">| 1 P JAVA @ | 3 L JAVA @ | 4 L NS @ </v>
      </c>
      <c r="BM503" s="4" t="str">
        <f ca="1">IFERROR(__xludf.DUMMYFUNCTION("""COMPUTED_VALUE"""),"| 1 P JAVA @ | 3 L PHP-CGM % | 4 L NS % | 5 P CPT @ ")</f>
        <v xml:space="preserve">| 1 P JAVA @ | 3 L PHP-CGM % | 4 L NS % | 5 P CPT @ </v>
      </c>
      <c r="BN503" s="4" t="str">
        <f ca="1">IFERROR(__xludf.DUMMYFUNCTION("""COMPUTED_VALUE"""),"| 1 P NS @ | 3 L CPT @ | 4 L PHP-CGM @ ")</f>
        <v xml:space="preserve">| 1 P NS @ | 3 L CPT @ | 4 L PHP-CGM @ </v>
      </c>
      <c r="BO503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3" s="4" t="str">
        <f ca="1">IFERROR(__xludf.DUMMYFUNCTION("""COMPUTED_VALUE"""),"| 1 P Python @ | 3 L CPT % | 4 L JAVA % | 5 L INE @ ")</f>
        <v xml:space="preserve">| 1 P Python @ | 3 L CPT % | 4 L JAVA % | 5 L INE @ </v>
      </c>
      <c r="BQ503" s="4" t="str">
        <f ca="1">IFERROR(__xludf.DUMMYFUNCTION("""COMPUTED_VALUE"""),"| 4 L NS % | 1 P JAVA % ")</f>
        <v xml:space="preserve">| 4 L NS % | 1 P JAVA % </v>
      </c>
      <c r="BR503" s="4"/>
      <c r="BS503" s="4"/>
      <c r="BT503" s="4" t="str">
        <f ca="1">IFERROR(__xludf.DUMMYFUNCTION("""COMPUTED_VALUE"""),"| 1 P Python @ | 3 L CPT @ | 4 L JAVA @ ")</f>
        <v xml:space="preserve">| 1 P Python @ | 3 L CPT @ | 4 L JAVA @ </v>
      </c>
      <c r="BU503" s="4" t="str">
        <f ca="1">IFERROR(__xludf.DUMMYFUNCTION("""COMPUTED_VALUE"""),"| 1 P JAVA @ | 4 L NS % | 3 L JAVA % ")</f>
        <v xml:space="preserve">| 1 P JAVA @ | 4 L NS % | 3 L JAVA % </v>
      </c>
      <c r="BV503" s="4" t="str">
        <f ca="1">IFERROR(__xludf.DUMMYFUNCTION("""COMPUTED_VALUE"""),"| 1 P Python @ | 3 L CPT @ | 4 L JAVA @ ")</f>
        <v xml:space="preserve">| 1 P Python @ | 3 L CPT @ | 4 L JAVA @ </v>
      </c>
      <c r="BW503" s="4" t="str">
        <f ca="1">IFERROR(__xludf.DUMMYFUNCTION("""COMPUTED_VALUE"""),"| 1 P JAVA @ | 3 L JAVA % | 4 L NS % ")</f>
        <v xml:space="preserve">| 1 P JAVA @ | 3 L JAVA % | 4 L NS % </v>
      </c>
      <c r="BX503" s="4" t="str">
        <f ca="1">IFERROR(__xludf.DUMMYFUNCTION("""COMPUTED_VALUE"""),"| 1 P JAVA @ | 3 L PHP-CGM @ | 4 L NS @ | 5 P CPT @ ")</f>
        <v xml:space="preserve">| 1 P JAVA @ | 3 L PHP-CGM @ | 4 L NS @ | 5 P CPT @ </v>
      </c>
      <c r="BY503" s="4" t="str">
        <f ca="1">IFERROR(__xludf.DUMMYFUNCTION("""COMPUTED_VALUE"""),"| 1 P NS @ | 3 L CPT @ | 4 L PHP-CGM @ | 5 P Python @ ")</f>
        <v xml:space="preserve">| 1 P NS @ | 3 L CPT @ | 4 L PHP-CGM @ | 5 P Python @ </v>
      </c>
      <c r="BZ503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503" s="4" t="str">
        <f ca="1">IFERROR(__xludf.DUMMYFUNCTION("""COMPUTED_VALUE"""),"| 1 P Python @ | 3 L CPT @ | 4 L JAVA @ | 5 L INE @ ")</f>
        <v xml:space="preserve">| 1 P Python @ | 3 L CPT @ | 4 L JAVA @ | 5 L INE @ </v>
      </c>
      <c r="CB503" s="4" t="str">
        <f ca="1">IFERROR(__xludf.DUMMYFUNCTION("""COMPUTED_VALUE"""),"| 1 P JAVA % | 3 L JAVA @ | 4 L NS @ | 5 P PRO @ ")</f>
        <v xml:space="preserve">| 1 P JAVA % | 3 L JAVA @ | 4 L NS @ | 5 P PRO @ </v>
      </c>
      <c r="CC503" s="4" t="str">
        <f ca="1">IFERROR(__xludf.DUMMYFUNCTION("""COMPUTED_VALUE"""),"| 1 P JAVA @ | 3 L PHP-CGM @ | 4 L NS @ | 5 P CPT @ ")</f>
        <v xml:space="preserve">| 1 P JAVA @ | 3 L PHP-CGM @ | 4 L NS @ | 5 P CPT @ </v>
      </c>
      <c r="CD503" s="4" t="str">
        <f ca="1">IFERROR(__xludf.DUMMYFUNCTION("""COMPUTED_VALUE"""),"| 1 P NS @ | 3 L CPT @ | 4 L PHP-CGM @ | 5 P Python @ ")</f>
        <v xml:space="preserve">| 1 P NS @ | 3 L CPT @ | 4 L PHP-CGM @ | 5 P Python @ </v>
      </c>
      <c r="CE503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F503" s="4" t="str">
        <f ca="1">IFERROR(__xludf.DUMMYFUNCTION("""COMPUTED_VALUE"""),"| 1 P Python @ | 3 L CPT @ | 4 L JAVA @ | 5 L INE @ ")</f>
        <v xml:space="preserve">| 1 P Python @ | 3 L CPT @ | 4 L JAVA @ | 5 L INE @ </v>
      </c>
      <c r="CG503" s="4" t="str">
        <f ca="1">IFERROR(__xludf.DUMMYFUNCTION("""COMPUTED_VALUE"""),"| 1 P JAVA @ | 4 L NS @ ")</f>
        <v xml:space="preserve">| 1 P JAVA @ | 4 L NS @ </v>
      </c>
      <c r="CH503" s="4" t="str">
        <f ca="1">IFERROR(__xludf.DUMMYFUNCTION("""COMPUTED_VALUE"""),"| 1 P JAVA @ | 3 L PHP-CGM @ | 4 L NS @ ")</f>
        <v xml:space="preserve">| 1 P JAVA @ | 3 L PHP-CGM @ | 4 L NS @ </v>
      </c>
      <c r="CI503" s="4" t="str">
        <f ca="1">IFERROR(__xludf.DUMMYFUNCTION("""COMPUTED_VALUE"""),"| 1 P NS % ")</f>
        <v xml:space="preserve">| 1 P NS % </v>
      </c>
      <c r="CJ503" s="4" t="str">
        <f ca="1">IFERROR(__xludf.DUMMYFUNCTION("""COMPUTED_VALUE"""),"| 1 P PHP-CGM @ | 4 L JAVA % ")</f>
        <v xml:space="preserve">| 1 P PHP-CGM @ | 4 L JAVA % </v>
      </c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</row>
    <row r="504" spans="1:102" ht="12.5" x14ac:dyDescent="0.25">
      <c r="A504" s="3">
        <f ca="1">IFERROR(__xludf.DUMMYFUNCTION("""COMPUTED_VALUE"""),2)</f>
        <v>2</v>
      </c>
      <c r="B504" s="3" t="str">
        <f ca="1">IFERROR(__xludf.DUMMYFUNCTION("""COMPUTED_VALUE"""),"ITC")</f>
        <v>ITC</v>
      </c>
      <c r="C504" s="32" t="str">
        <f ca="1">IFERROR(__xludf.DUMMYFUNCTION("""COMPUTED_VALUE"""),"23171371083")</f>
        <v>23171371083</v>
      </c>
      <c r="D504" s="4" t="str">
        <f ca="1">IFERROR(__xludf.DUMMYFUNCTION("""COMPUTED_VALUE"""),"PATEL HET BHARATKUMAR")</f>
        <v>PATEL HET BHARATKUMAR</v>
      </c>
      <c r="E504" s="3" t="str">
        <f ca="1">IFERROR(__xludf.DUMMYFUNCTION("""COMPUTED_VALUE"""),"SDP&amp;KKP - Mor")</f>
        <v>SDP&amp;KKP - Mor</v>
      </c>
      <c r="F504" s="3">
        <f ca="1">IFERROR(__xludf.DUMMYFUNCTION("""COMPUTED_VALUE"""),6351252351)</f>
        <v>6351252351</v>
      </c>
      <c r="G504" s="3">
        <f ca="1">IFERROR(__xludf.DUMMYFUNCTION("""COMPUTED_VALUE"""),9898305724)</f>
        <v>9898305724</v>
      </c>
      <c r="H504" s="33">
        <f ca="1">IFERROR(__xludf.DUMMYFUNCTION("""COMPUTED_VALUE"""),0.796680497925311)</f>
        <v>0.79668049792531104</v>
      </c>
      <c r="I504" s="25">
        <f ca="1">IFERROR(__xludf.DUMMYFUNCTION("""COMPUTED_VALUE"""),0.694444444444444)</f>
        <v>0.69444444444444398</v>
      </c>
      <c r="J504" s="25">
        <f ca="1">IFERROR(__xludf.DUMMYFUNCTION("""COMPUTED_VALUE"""),0.7)</f>
        <v>0.7</v>
      </c>
      <c r="K504" s="25">
        <f ca="1">IFERROR(__xludf.DUMMYFUNCTION("""COMPUTED_VALUE"""),0.777777777777777)</f>
        <v>0.77777777777777701</v>
      </c>
      <c r="L504" s="25">
        <f ca="1">IFERROR(__xludf.DUMMYFUNCTION("""COMPUTED_VALUE"""),0.846153846153846)</f>
        <v>0.84615384615384603</v>
      </c>
      <c r="M504" s="25">
        <f ca="1">IFERROR(__xludf.DUMMYFUNCTION("""COMPUTED_VALUE"""),0.90625)</f>
        <v>0.90625</v>
      </c>
      <c r="N504" s="25">
        <f ca="1">IFERROR(__xludf.DUMMYFUNCTION("""COMPUTED_VALUE"""),0.909090909090909)</f>
        <v>0.90909090909090895</v>
      </c>
      <c r="O504" s="25">
        <f ca="1">IFERROR(__xludf.DUMMYFUNCTION("""COMPUTED_VALUE"""),0.864864864864864)</f>
        <v>0.86486486486486402</v>
      </c>
      <c r="P504" s="25">
        <f ca="1">IFERROR(__xludf.DUMMYFUNCTION("""COMPUTED_VALUE"""),0.92)</f>
        <v>0.92</v>
      </c>
      <c r="Q504" s="25">
        <f ca="1">IFERROR(__xludf.DUMMYFUNCTION("""COMPUTED_VALUE"""),0)</f>
        <v>0</v>
      </c>
      <c r="R504" s="25">
        <f ca="1">IFERROR(__xludf.DUMMYFUNCTION("""COMPUTED_VALUE"""),0.708333333333333)</f>
        <v>0.70833333333333304</v>
      </c>
      <c r="S504" s="25">
        <f ca="1">IFERROR(__xludf.DUMMYFUNCTION("""COMPUTED_VALUE"""),0)</f>
        <v>0</v>
      </c>
      <c r="T504" s="25">
        <f ca="1">IFERROR(__xludf.DUMMYFUNCTION("""COMPUTED_VALUE"""),0.777777777777777)</f>
        <v>0.77777777777777701</v>
      </c>
      <c r="U504" s="25">
        <f ca="1">IFERROR(__xludf.DUMMYFUNCTION("""COMPUTED_VALUE"""),0.375)</f>
        <v>0.375</v>
      </c>
      <c r="V504" s="25">
        <f ca="1">IFERROR(__xludf.DUMMYFUNCTION("""COMPUTED_VALUE"""),0)</f>
        <v>0</v>
      </c>
      <c r="W504" s="4"/>
      <c r="X504" s="4" t="str">
        <f ca="1">IFERROR(__xludf.DUMMYFUNCTION("""COMPUTED_VALUE"""),"| 1 P Python @ | 3 L CPT @ | 4 L JAVA @ ")</f>
        <v xml:space="preserve">| 1 P Python @ | 3 L CPT @ | 4 L JAVA @ </v>
      </c>
      <c r="Y504" s="4" t="str">
        <f ca="1">IFERROR(__xludf.DUMMYFUNCTION("""COMPUTED_VALUE"""),"| 1 P JAVA % | 3 L JAVA % | 4 L NS % | 5 P PRO % ")</f>
        <v xml:space="preserve">| 1 P JAVA % | 3 L JAVA % | 4 L NS % | 5 P PRO % </v>
      </c>
      <c r="Z504" s="4" t="str">
        <f ca="1">IFERROR(__xludf.DUMMYFUNCTION("""COMPUTED_VALUE"""),"| 1 P JAVA % | 3 L PHP-CGM % | 4 L NS % | 5 P CPT % ")</f>
        <v xml:space="preserve">| 1 P JAVA % | 3 L PHP-CGM % | 4 L NS % | 5 P CPT % </v>
      </c>
      <c r="AA504" s="4" t="str">
        <f ca="1">IFERROR(__xludf.DUMMYFUNCTION("""COMPUTED_VALUE"""),"| 1 P NS % | 3 L CPT % | 5 P Python % ")</f>
        <v xml:space="preserve">| 1 P NS % | 3 L CPT % | 5 P Python % </v>
      </c>
      <c r="AB504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04" s="4" t="str">
        <f ca="1">IFERROR(__xludf.DUMMYFUNCTION("""COMPUTED_VALUE"""),"| 1 P Python % | 3 L CPT % | 4 L JAVA % ")</f>
        <v xml:space="preserve">| 1 P Python % | 3 L CPT % | 4 L JAVA % </v>
      </c>
      <c r="AD504" s="4" t="str">
        <f ca="1">IFERROR(__xludf.DUMMYFUNCTION("""COMPUTED_VALUE"""),"| 1 P JAVA % | 3 L JAVA % | 4 L NS % | 5 P PRO % ")</f>
        <v xml:space="preserve">| 1 P JAVA % | 3 L JAVA % | 4 L NS % | 5 P PRO % </v>
      </c>
      <c r="AE504" s="4" t="str">
        <f ca="1">IFERROR(__xludf.DUMMYFUNCTION("""COMPUTED_VALUE"""),"| 1 P JAVA % | 3 L PHP-CGM % | 4 L NS % | 5 P CPT % ")</f>
        <v xml:space="preserve">| 1 P JAVA % | 3 L PHP-CGM % | 4 L NS % | 5 P CPT % </v>
      </c>
      <c r="AF504" s="4" t="str">
        <f ca="1">IFERROR(__xludf.DUMMYFUNCTION("""COMPUTED_VALUE"""),"| 1 P NS % | 3 L CPT % | 4 L PHP-CGM % | 5 P Python % ")</f>
        <v xml:space="preserve">| 1 P NS % | 3 L CPT % | 4 L PHP-CGM % | 5 P Python % </v>
      </c>
      <c r="AG504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504" s="4" t="str">
        <f ca="1">IFERROR(__xludf.DUMMYFUNCTION("""COMPUTED_VALUE"""),"| 1 P NS % | 3 L CPT % | 4 L PHP-CGM % | 5 P Python % ")</f>
        <v xml:space="preserve">| 1 P NS % | 3 L CPT % | 4 L PHP-CGM % | 5 P Python % </v>
      </c>
      <c r="AI504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504" s="4" t="str">
        <f ca="1">IFERROR(__xludf.DUMMYFUNCTION("""COMPUTED_VALUE"""),"| 1 P Python % | 3 L CPT % | 4 L JAVA % ")</f>
        <v xml:space="preserve">| 1 P Python % | 3 L CPT % | 4 L JAVA % </v>
      </c>
      <c r="AK504" s="4" t="str">
        <f ca="1">IFERROR(__xludf.DUMMYFUNCTION("""COMPUTED_VALUE"""),"| 1 P JAVA % | 4 L NS % | 3 L JAVA % | 5 P PRO @ ")</f>
        <v xml:space="preserve">| 1 P JAVA % | 4 L NS % | 3 L JAVA % | 5 P PRO @ </v>
      </c>
      <c r="AL504" s="4" t="str">
        <f ca="1">IFERROR(__xludf.DUMMYFUNCTION("""COMPUTED_VALUE"""),"| 1 P JAVA % | 3 L PHP-CGM % | 4 L NS % | 5 P CPT % ")</f>
        <v xml:space="preserve">| 1 P JAVA % | 3 L PHP-CGM % | 4 L NS % | 5 P CPT % </v>
      </c>
      <c r="AM504" s="4" t="str">
        <f ca="1">IFERROR(__xludf.DUMMYFUNCTION("""COMPUTED_VALUE"""),"| 1 P NS % | 3 L CPT % | 4 L PHP-CGM % | 5 P Python % ")</f>
        <v xml:space="preserve">| 1 P NS % | 3 L CPT % | 4 L PHP-CGM % | 5 P Python % </v>
      </c>
      <c r="AN504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O504" s="4" t="str">
        <f ca="1">IFERROR(__xludf.DUMMYFUNCTION("""COMPUTED_VALUE"""),"| 1 P Python @ | 3 L CPT @ | 4 L JAVA @ | 5 L INE @ ")</f>
        <v xml:space="preserve">| 1 P Python @ | 3 L CPT @ | 4 L JAVA @ | 5 L INE @ </v>
      </c>
      <c r="AP504" s="4" t="str">
        <f ca="1">IFERROR(__xludf.DUMMYFUNCTION("""COMPUTED_VALUE"""),"| 1 P JAVA % | 3 L JAVA % | 4 L NS % | 5 P PRO % ")</f>
        <v xml:space="preserve">| 1 P JAVA % | 3 L JAVA % | 4 L NS % | 5 P PRO % </v>
      </c>
      <c r="AQ504" s="4" t="str">
        <f ca="1">IFERROR(__xludf.DUMMYFUNCTION("""COMPUTED_VALUE"""),"| 1 P JAVA % | 3 L PHP-CGM % | 4 L NS % | 5 P CPT % ")</f>
        <v xml:space="preserve">| 1 P JAVA % | 3 L PHP-CGM % | 4 L NS % | 5 P CPT % </v>
      </c>
      <c r="AR504" s="4" t="str">
        <f ca="1">IFERROR(__xludf.DUMMYFUNCTION("""COMPUTED_VALUE"""),"| 1 P NS % | 3 L CPT % | 5 P Python % ")</f>
        <v xml:space="preserve">| 1 P NS % | 3 L CPT % | 5 P Python % </v>
      </c>
      <c r="AS504" s="4" t="str">
        <f ca="1">IFERROR(__xludf.DUMMYFUNCTION("""COMPUTED_VALUE"""),"| 1 P Python % | 3 L CPT % | 4 L JAVA % | 5 L INE @ ")</f>
        <v xml:space="preserve">| 1 P Python % | 3 L CPT % | 4 L JAVA % | 5 L INE @ </v>
      </c>
      <c r="AT504" s="4" t="str">
        <f ca="1">IFERROR(__xludf.DUMMYFUNCTION("""COMPUTED_VALUE"""),"| 1 P JAVA % | 3 L JAVA % | 4 L NS % | 5 P PRO % ")</f>
        <v xml:space="preserve">| 1 P JAVA % | 3 L JAVA % | 4 L NS % | 5 P PRO % </v>
      </c>
      <c r="AU504" s="4" t="str">
        <f ca="1">IFERROR(__xludf.DUMMYFUNCTION("""COMPUTED_VALUE"""),"| 1 P JAVA % | 3 L PHP-CGM % | 4 L NS % | 5 P CPT @ ")</f>
        <v xml:space="preserve">| 1 P JAVA % | 3 L PHP-CGM % | 4 L NS % | 5 P CPT @ </v>
      </c>
      <c r="AV504" s="4" t="str">
        <f ca="1">IFERROR(__xludf.DUMMYFUNCTION("""COMPUTED_VALUE"""),"| 1 P NS % | 3 L CPT % | 4 L PHP-CGM % | 5 P Python % ")</f>
        <v xml:space="preserve">| 1 P NS % | 3 L CPT % | 4 L PHP-CGM % | 5 P Python % </v>
      </c>
      <c r="AW504" s="4" t="str">
        <f ca="1">IFERROR(__xludf.DUMMYFUNCTION("""COMPUTED_VALUE"""),"| 3 L PHP-CGM % | 4 L JAVA % | 5 L NS % | 5 L CPT % ")</f>
        <v xml:space="preserve">| 3 L PHP-CGM % | 4 L JAVA % | 5 L NS % | 5 L CPT % </v>
      </c>
      <c r="AX504" s="4" t="str">
        <f ca="1">IFERROR(__xludf.DUMMYFUNCTION("""COMPUTED_VALUE"""),"| 1 P Python @ | 3 L CPT @ | 4 L JAVA @ | 5 L INE @ ")</f>
        <v xml:space="preserve">| 1 P Python @ | 3 L CPT @ | 4 L JAVA @ | 5 L INE @ </v>
      </c>
      <c r="AY504" s="4" t="str">
        <f ca="1">IFERROR(__xludf.DUMMYFUNCTION("""COMPUTED_VALUE"""),"| 1 P JAVA % | 3 L JAVA % | 4 L NS % | 5 P PRO % ")</f>
        <v xml:space="preserve">| 1 P JAVA % | 3 L JAVA % | 4 L NS % | 5 P PRO % </v>
      </c>
      <c r="AZ504" s="4" t="str">
        <f ca="1">IFERROR(__xludf.DUMMYFUNCTION("""COMPUTED_VALUE"""),"| 1 P NS % | 3 L CPT % | 4 L PHP-CGM % | 5 P Python @ ")</f>
        <v xml:space="preserve">| 1 P NS % | 3 L CPT % | 4 L PHP-CGM % | 5 P Python @ </v>
      </c>
      <c r="BA504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04" s="4" t="str">
        <f ca="1">IFERROR(__xludf.DUMMYFUNCTION("""COMPUTED_VALUE"""),"| 1 P Python % | 3 L CPT % | 4 L JAVA % | 5 L INE % ")</f>
        <v xml:space="preserve">| 1 P Python % | 3 L CPT % | 4 L JAVA % | 5 L INE % </v>
      </c>
      <c r="BC504" s="4" t="str">
        <f ca="1">IFERROR(__xludf.DUMMYFUNCTION("""COMPUTED_VALUE"""),"| 1 P JAVA % | 3 L JAVA % | 4 L NS % | 5 P PRO % ")</f>
        <v xml:space="preserve">| 1 P JAVA % | 3 L JAVA % | 4 L NS % | 5 P PRO % </v>
      </c>
      <c r="BD504" s="4" t="str">
        <f ca="1">IFERROR(__xludf.DUMMYFUNCTION("""COMPUTED_VALUE"""),"| 1 P JAVA % | 4 L NS %  | 3 L PHP-CGM % | 5 P CPT % ")</f>
        <v xml:space="preserve">| 1 P JAVA % | 4 L NS %  | 3 L PHP-CGM % | 5 P CPT % </v>
      </c>
      <c r="BE504" s="4" t="str">
        <f ca="1">IFERROR(__xludf.DUMMYFUNCTION("""COMPUTED_VALUE"""),"| 1 P NS % | 3 L CPT % | 4 L PHP-CGM % | 5 P Python % ")</f>
        <v xml:space="preserve">| 1 P NS % | 3 L CPT % | 4 L PHP-CGM % | 5 P Python % </v>
      </c>
      <c r="BF504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G504" s="4" t="str">
        <f ca="1">IFERROR(__xludf.DUMMYFUNCTION("""COMPUTED_VALUE"""),"| 1 P JAVA % | 3 L JAVA % | 4 L NS % | 5 P PRO % ")</f>
        <v xml:space="preserve">| 1 P JAVA % | 3 L JAVA % | 4 L NS % | 5 P PRO % </v>
      </c>
      <c r="BH504" s="4" t="str">
        <f ca="1">IFERROR(__xludf.DUMMYFUNCTION("""COMPUTED_VALUE"""),"| 1 P JAVA % | 3 L PHP-CGM % | 4 L NS % | 5 P CPT % ")</f>
        <v xml:space="preserve">| 1 P JAVA % | 3 L PHP-CGM % | 4 L NS % | 5 P CPT % </v>
      </c>
      <c r="BI504" s="4" t="str">
        <f ca="1">IFERROR(__xludf.DUMMYFUNCTION("""COMPUTED_VALUE"""),"| 1 P NS % | 3 L CPT % | 4 L PHP-CGM % | 5 P Python % ")</f>
        <v xml:space="preserve">| 1 P NS % | 3 L CPT % | 4 L PHP-CGM % | 5 P Python % </v>
      </c>
      <c r="BJ504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K504" s="4" t="str">
        <f ca="1">IFERROR(__xludf.DUMMYFUNCTION("""COMPUTED_VALUE"""),"| 1 P Python % | 3 L CPT % | 4 L JAVA % | 5 L INE % ")</f>
        <v xml:space="preserve">| 1 P Python % | 3 L CPT % | 4 L JAVA % | 5 L INE % </v>
      </c>
      <c r="BL504" s="4" t="str">
        <f ca="1">IFERROR(__xludf.DUMMYFUNCTION("""COMPUTED_VALUE"""),"| 1 P JAVA % | 3 L JAVA % | 4 L NS % ")</f>
        <v xml:space="preserve">| 1 P JAVA % | 3 L JAVA % | 4 L NS % </v>
      </c>
      <c r="BM504" s="4" t="str">
        <f ca="1">IFERROR(__xludf.DUMMYFUNCTION("""COMPUTED_VALUE"""),"| 1 P JAVA % | 3 L PHP-CGM % | 4 L NS % | 5 P CPT @ ")</f>
        <v xml:space="preserve">| 1 P JAVA % | 3 L PHP-CGM % | 4 L NS % | 5 P CPT @ </v>
      </c>
      <c r="BN504" s="4" t="str">
        <f ca="1">IFERROR(__xludf.DUMMYFUNCTION("""COMPUTED_VALUE"""),"| 1 P NS @ | 3 L CPT @ | 4 L PHP-CGM @ ")</f>
        <v xml:space="preserve">| 1 P NS @ | 3 L CPT @ | 4 L PHP-CGM @ </v>
      </c>
      <c r="BO504" s="4" t="str">
        <f ca="1">IFERROR(__xludf.DUMMYFUNCTION("""COMPUTED_VALUE"""),"| 1 P PHP-CGM % | 3 L PHP-CGM % | 4 L JAVA % | 5 L NS @ | 6 L CPT % ")</f>
        <v xml:space="preserve">| 1 P PHP-CGM % | 3 L PHP-CGM % | 4 L JAVA % | 5 L NS @ | 6 L CPT % </v>
      </c>
      <c r="BP504" s="4" t="str">
        <f ca="1">IFERROR(__xludf.DUMMYFUNCTION("""COMPUTED_VALUE"""),"| 1 P Python % | 3 L CPT % | 4 L JAVA % | 5 L INE @ ")</f>
        <v xml:space="preserve">| 1 P Python % | 3 L CPT % | 4 L JAVA % | 5 L INE @ </v>
      </c>
      <c r="BQ504" s="4" t="str">
        <f ca="1">IFERROR(__xludf.DUMMYFUNCTION("""COMPUTED_VALUE"""),"| 4 L NS % | 1 P JAVA % ")</f>
        <v xml:space="preserve">| 4 L NS % | 1 P JAVA % </v>
      </c>
      <c r="BR504" s="4"/>
      <c r="BS504" s="4"/>
      <c r="BT504" s="4" t="str">
        <f ca="1">IFERROR(__xludf.DUMMYFUNCTION("""COMPUTED_VALUE"""),"| 1 P Python % | 3 L CPT % | 4 L JAVA % ")</f>
        <v xml:space="preserve">| 1 P Python % | 3 L CPT % | 4 L JAVA % </v>
      </c>
      <c r="BU504" s="4" t="str">
        <f ca="1">IFERROR(__xludf.DUMMYFUNCTION("""COMPUTED_VALUE"""),"| 1 P JAVA % | 4 L NS % | 3 L JAVA % ")</f>
        <v xml:space="preserve">| 1 P JAVA % | 4 L NS % | 3 L JAVA % </v>
      </c>
      <c r="BV504" s="4" t="str">
        <f ca="1">IFERROR(__xludf.DUMMYFUNCTION("""COMPUTED_VALUE"""),"| 1 P Python @ | 3 L CPT @ | 4 L JAVA @ ")</f>
        <v xml:space="preserve">| 1 P Python @ | 3 L CPT @ | 4 L JAVA @ </v>
      </c>
      <c r="BW504" s="4" t="str">
        <f ca="1">IFERROR(__xludf.DUMMYFUNCTION("""COMPUTED_VALUE"""),"| 1 P JAVA @ | 3 L JAVA @ | 4 L NS @ ")</f>
        <v xml:space="preserve">| 1 P JAVA @ | 3 L JAVA @ | 4 L NS @ </v>
      </c>
      <c r="BX504" s="4" t="str">
        <f ca="1">IFERROR(__xludf.DUMMYFUNCTION("""COMPUTED_VALUE"""),"| 1 P JAVA @ | 3 L PHP-CGM @ | 4 L NS @ | 5 P CPT @ ")</f>
        <v xml:space="preserve">| 1 P JAVA @ | 3 L PHP-CGM @ | 4 L NS @ | 5 P CPT @ </v>
      </c>
      <c r="BY504" s="4" t="str">
        <f ca="1">IFERROR(__xludf.DUMMYFUNCTION("""COMPUTED_VALUE"""),"| 1 P NS @ | 3 L CPT @ | 4 L PHP-CGM @ | 5 P Python @ ")</f>
        <v xml:space="preserve">| 1 P NS @ | 3 L CPT @ | 4 L PHP-CGM @ | 5 P Python @ </v>
      </c>
      <c r="BZ504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04" s="4" t="str">
        <f ca="1">IFERROR(__xludf.DUMMYFUNCTION("""COMPUTED_VALUE"""),"| 1 P Python @ | 3 L CPT % | 4 L JAVA % | 5 L INE % ")</f>
        <v xml:space="preserve">| 1 P Python @ | 3 L CPT % | 4 L JAVA % | 5 L INE % </v>
      </c>
      <c r="CB504" s="4" t="str">
        <f ca="1">IFERROR(__xludf.DUMMYFUNCTION("""COMPUTED_VALUE"""),"| 1 P JAVA % | 3 L JAVA % | 4 L NS % | 5 P PRO @ ")</f>
        <v xml:space="preserve">| 1 P JAVA % | 3 L JAVA % | 4 L NS % | 5 P PRO @ </v>
      </c>
      <c r="CC504" s="4" t="str">
        <f ca="1">IFERROR(__xludf.DUMMYFUNCTION("""COMPUTED_VALUE"""),"| 1 P JAVA % | 3 L PHP-CGM % | 4 L NS % | 5 P CPT % ")</f>
        <v xml:space="preserve">| 1 P JAVA % | 3 L PHP-CGM % | 4 L NS % | 5 P CPT % </v>
      </c>
      <c r="CD504" s="4" t="str">
        <f ca="1">IFERROR(__xludf.DUMMYFUNCTION("""COMPUTED_VALUE"""),"| 1 P NS % | 3 L CPT % | 4 L PHP-CGM % | 5 P Python % ")</f>
        <v xml:space="preserve">| 1 P NS % | 3 L CPT % | 4 L PHP-CGM % | 5 P Python % </v>
      </c>
      <c r="CE504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04" s="4" t="str">
        <f ca="1">IFERROR(__xludf.DUMMYFUNCTION("""COMPUTED_VALUE"""),"| 1 P Python % | 3 L CPT % | 4 L JAVA % | 5 L INE @ ")</f>
        <v xml:space="preserve">| 1 P Python % | 3 L CPT % | 4 L JAVA % | 5 L INE @ </v>
      </c>
      <c r="CG504" s="4" t="str">
        <f ca="1">IFERROR(__xludf.DUMMYFUNCTION("""COMPUTED_VALUE"""),"| 1 P JAVA % | 4 L NS % ")</f>
        <v xml:space="preserve">| 1 P JAVA % | 4 L NS % </v>
      </c>
      <c r="CH504" s="4" t="str">
        <f ca="1">IFERROR(__xludf.DUMMYFUNCTION("""COMPUTED_VALUE"""),"| 1 P JAVA % | 3 L PHP-CGM % | 4 L NS % ")</f>
        <v xml:space="preserve">| 1 P JAVA % | 3 L PHP-CGM % | 4 L NS % </v>
      </c>
      <c r="CI504" s="4" t="str">
        <f ca="1">IFERROR(__xludf.DUMMYFUNCTION("""COMPUTED_VALUE"""),"| 1 P NS % ")</f>
        <v xml:space="preserve">| 1 P NS % </v>
      </c>
      <c r="CJ504" s="4" t="str">
        <f ca="1">IFERROR(__xludf.DUMMYFUNCTION("""COMPUTED_VALUE"""),"| 1 P PHP-CGM @ | 4 L JAVA % ")</f>
        <v xml:space="preserve">| 1 P PHP-CGM @ | 4 L JAVA % </v>
      </c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</row>
    <row r="505" spans="1:102" ht="12.5" x14ac:dyDescent="0.25">
      <c r="A505" s="3">
        <f ca="1">IFERROR(__xludf.DUMMYFUNCTION("""COMPUTED_VALUE"""),2)</f>
        <v>2</v>
      </c>
      <c r="B505" s="3" t="str">
        <f ca="1">IFERROR(__xludf.DUMMYFUNCTION("""COMPUTED_VALUE"""),"ITC")</f>
        <v>ITC</v>
      </c>
      <c r="C505" s="32" t="str">
        <f ca="1">IFERROR(__xludf.DUMMYFUNCTION("""COMPUTED_VALUE"""),"23171371084")</f>
        <v>23171371084</v>
      </c>
      <c r="D505" s="4" t="str">
        <f ca="1">IFERROR(__xludf.DUMMYFUNCTION("""COMPUTED_VALUE"""),"PATEL HETKUMAR NILESHBHAI")</f>
        <v>PATEL HETKUMAR NILESHBHAI</v>
      </c>
      <c r="E505" s="3" t="str">
        <f ca="1">IFERROR(__xludf.DUMMYFUNCTION("""COMPUTED_VALUE"""),"SDP&amp;KKP - Mor")</f>
        <v>SDP&amp;KKP - Mor</v>
      </c>
      <c r="F505" s="3">
        <f ca="1">IFERROR(__xludf.DUMMYFUNCTION("""COMPUTED_VALUE"""),9924064451)</f>
        <v>9924064451</v>
      </c>
      <c r="G505" s="3">
        <f ca="1">IFERROR(__xludf.DUMMYFUNCTION("""COMPUTED_VALUE"""),9924064432)</f>
        <v>9924064432</v>
      </c>
      <c r="H505" s="33">
        <f ca="1">IFERROR(__xludf.DUMMYFUNCTION("""COMPUTED_VALUE"""),0.705394190871369)</f>
        <v>0.70539419087136901</v>
      </c>
      <c r="I505" s="25">
        <f ca="1">IFERROR(__xludf.DUMMYFUNCTION("""COMPUTED_VALUE"""),0.75)</f>
        <v>0.75</v>
      </c>
      <c r="J505" s="25">
        <f ca="1">IFERROR(__xludf.DUMMYFUNCTION("""COMPUTED_VALUE"""),0.5)</f>
        <v>0.5</v>
      </c>
      <c r="K505" s="25">
        <f ca="1">IFERROR(__xludf.DUMMYFUNCTION("""COMPUTED_VALUE"""),0.722222222222222)</f>
        <v>0.72222222222222199</v>
      </c>
      <c r="L505" s="25">
        <f ca="1">IFERROR(__xludf.DUMMYFUNCTION("""COMPUTED_VALUE"""),0.846153846153846)</f>
        <v>0.84615384615384603</v>
      </c>
      <c r="M505" s="25">
        <f ca="1">IFERROR(__xludf.DUMMYFUNCTION("""COMPUTED_VALUE"""),0.8125)</f>
        <v>0.8125</v>
      </c>
      <c r="N505" s="25">
        <f ca="1">IFERROR(__xludf.DUMMYFUNCTION("""COMPUTED_VALUE"""),0.909090909090909)</f>
        <v>0.90909090909090895</v>
      </c>
      <c r="O505" s="25">
        <f ca="1">IFERROR(__xludf.DUMMYFUNCTION("""COMPUTED_VALUE"""),0.783783783783783)</f>
        <v>0.78378378378378299</v>
      </c>
      <c r="P505" s="25">
        <f ca="1">IFERROR(__xludf.DUMMYFUNCTION("""COMPUTED_VALUE"""),0.68)</f>
        <v>0.68</v>
      </c>
      <c r="Q505" s="25">
        <f ca="1">IFERROR(__xludf.DUMMYFUNCTION("""COMPUTED_VALUE"""),0)</f>
        <v>0</v>
      </c>
      <c r="R505" s="25">
        <f ca="1">IFERROR(__xludf.DUMMYFUNCTION("""COMPUTED_VALUE"""),0.458333333333333)</f>
        <v>0.45833333333333298</v>
      </c>
      <c r="S505" s="25">
        <f ca="1">IFERROR(__xludf.DUMMYFUNCTION("""COMPUTED_VALUE"""),0)</f>
        <v>0</v>
      </c>
      <c r="T505" s="25">
        <f ca="1">IFERROR(__xludf.DUMMYFUNCTION("""COMPUTED_VALUE"""),0.333333333333333)</f>
        <v>0.33333333333333298</v>
      </c>
      <c r="U505" s="25">
        <f ca="1">IFERROR(__xludf.DUMMYFUNCTION("""COMPUTED_VALUE"""),0.625)</f>
        <v>0.625</v>
      </c>
      <c r="V505" s="25">
        <f ca="1">IFERROR(__xludf.DUMMYFUNCTION("""COMPUTED_VALUE"""),0)</f>
        <v>0</v>
      </c>
      <c r="W505" s="4"/>
      <c r="X505" s="4" t="str">
        <f ca="1">IFERROR(__xludf.DUMMYFUNCTION("""COMPUTED_VALUE"""),"| 1 P Python @ | 3 L CPT @ | 4 L JAVA @ ")</f>
        <v xml:space="preserve">| 1 P Python @ | 3 L CPT @ | 4 L JAVA @ </v>
      </c>
      <c r="Y505" s="4" t="str">
        <f ca="1">IFERROR(__xludf.DUMMYFUNCTION("""COMPUTED_VALUE"""),"| 1 P JAVA % | 3 L JAVA % | 4 L NS % | 5 P PRO @ ")</f>
        <v xml:space="preserve">| 1 P JAVA % | 3 L JAVA % | 4 L NS % | 5 P PRO @ </v>
      </c>
      <c r="Z505" s="4" t="str">
        <f ca="1">IFERROR(__xludf.DUMMYFUNCTION("""COMPUTED_VALUE"""),"| 1 P JAVA % | 3 L PHP-CGM % | 4 L NS % | 5 P CPT @ ")</f>
        <v xml:space="preserve">| 1 P JAVA % | 3 L PHP-CGM % | 4 L NS % | 5 P CPT @ </v>
      </c>
      <c r="AA505" s="4" t="str">
        <f ca="1">IFERROR(__xludf.DUMMYFUNCTION("""COMPUTED_VALUE"""),"| 1 P NS % | 3 L CPT % | 5 P Python @ ")</f>
        <v xml:space="preserve">| 1 P NS % | 3 L CPT % | 5 P Python @ </v>
      </c>
      <c r="AB505" s="4" t="str">
        <f ca="1">IFERROR(__xludf.DUMMYFUNCTION("""COMPUTED_VALUE"""),"| 1 P PHP-CGM % | 3 L PHP-CGM % | 4 L JAVA @ | 5 L CPT % | 6 L NS % ")</f>
        <v xml:space="preserve">| 1 P PHP-CGM % | 3 L PHP-CGM % | 4 L JAVA @ | 5 L CPT % | 6 L NS % </v>
      </c>
      <c r="AC505" s="4" t="str">
        <f ca="1">IFERROR(__xludf.DUMMYFUNCTION("""COMPUTED_VALUE"""),"| 1 P Python % | 3 L CPT % | 4 L JAVA % ")</f>
        <v xml:space="preserve">| 1 P Python % | 3 L CPT % | 4 L JAVA % </v>
      </c>
      <c r="AD505" s="4" t="str">
        <f ca="1">IFERROR(__xludf.DUMMYFUNCTION("""COMPUTED_VALUE"""),"| 1 P JAVA @ | 3 L JAVA @ | 4 L NS @ | 5 P PRO @ ")</f>
        <v xml:space="preserve">| 1 P JAVA @ | 3 L JAVA @ | 4 L NS @ | 5 P PRO @ </v>
      </c>
      <c r="AE505" s="4" t="str">
        <f ca="1">IFERROR(__xludf.DUMMYFUNCTION("""COMPUTED_VALUE"""),"| 1 P JAVA @ | 3 L PHP-CGM @ | 4 L NS @ | 5 P CPT @ ")</f>
        <v xml:space="preserve">| 1 P JAVA @ | 3 L PHP-CGM @ | 4 L NS @ | 5 P CPT @ </v>
      </c>
      <c r="AF505" s="4" t="str">
        <f ca="1">IFERROR(__xludf.DUMMYFUNCTION("""COMPUTED_VALUE"""),"| 1 P NS @ | 3 L CPT @ | 4 L PHP-CGM @ | 5 P Python @ ")</f>
        <v xml:space="preserve">| 1 P NS @ | 3 L CPT @ | 4 L PHP-CGM @ | 5 P Python @ </v>
      </c>
      <c r="AG505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05" s="4" t="str">
        <f ca="1">IFERROR(__xludf.DUMMYFUNCTION("""COMPUTED_VALUE"""),"| 1 P NS % | 3 L CPT % | 4 L PHP-CGM % | 5 P Python % ")</f>
        <v xml:space="preserve">| 1 P NS % | 3 L CPT % | 4 L PHP-CGM % | 5 P Python % </v>
      </c>
      <c r="AI505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505" s="4" t="str">
        <f ca="1">IFERROR(__xludf.DUMMYFUNCTION("""COMPUTED_VALUE"""),"| 1 P Python % | 3 L CPT % | 4 L JAVA % ")</f>
        <v xml:space="preserve">| 1 P Python % | 3 L CPT % | 4 L JAVA % </v>
      </c>
      <c r="AK505" s="4" t="str">
        <f ca="1">IFERROR(__xludf.DUMMYFUNCTION("""COMPUTED_VALUE"""),"| 1 P JAVA % | 4 L NS % | 3 L JAVA % | 5 P PRO % ")</f>
        <v xml:space="preserve">| 1 P JAVA % | 4 L NS % | 3 L JAVA % | 5 P PRO % </v>
      </c>
      <c r="AL505" s="4" t="str">
        <f ca="1">IFERROR(__xludf.DUMMYFUNCTION("""COMPUTED_VALUE"""),"| 1 P JAVA % | 3 L PHP-CGM % | 4 L NS % | 5 P CPT % ")</f>
        <v xml:space="preserve">| 1 P JAVA % | 3 L PHP-CGM % | 4 L NS % | 5 P CPT % </v>
      </c>
      <c r="AM505" s="4" t="str">
        <f ca="1">IFERROR(__xludf.DUMMYFUNCTION("""COMPUTED_VALUE"""),"| 1 P NS % | 3 L CPT % | 4 L PHP-CGM % | 5 P Python % ")</f>
        <v xml:space="preserve">| 1 P NS % | 3 L CPT % | 4 L PHP-CGM % | 5 P Python % </v>
      </c>
      <c r="AN505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O505" s="4" t="str">
        <f ca="1">IFERROR(__xludf.DUMMYFUNCTION("""COMPUTED_VALUE"""),"| 1 P Python % | 3 L CPT % | 4 L JAVA % | 5 L INE % ")</f>
        <v xml:space="preserve">| 1 P Python % | 3 L CPT % | 4 L JAVA % | 5 L INE % </v>
      </c>
      <c r="AP505" s="4" t="str">
        <f ca="1">IFERROR(__xludf.DUMMYFUNCTION("""COMPUTED_VALUE"""),"| 1 P JAVA % | 3 L JAVA % | 4 L NS % | 5 P PRO @ ")</f>
        <v xml:space="preserve">| 1 P JAVA % | 3 L JAVA % | 4 L NS % | 5 P PRO @ </v>
      </c>
      <c r="AQ505" s="4" t="str">
        <f ca="1">IFERROR(__xludf.DUMMYFUNCTION("""COMPUTED_VALUE"""),"| 1 P JAVA % | 3 L PHP-CGM % | 4 L NS % | 5 P CPT % ")</f>
        <v xml:space="preserve">| 1 P JAVA % | 3 L PHP-CGM % | 4 L NS % | 5 P CPT % </v>
      </c>
      <c r="AR505" s="4" t="str">
        <f ca="1">IFERROR(__xludf.DUMMYFUNCTION("""COMPUTED_VALUE"""),"| 1 P NS % | 3 L CPT % | 5 P Python % ")</f>
        <v xml:space="preserve">| 1 P NS % | 3 L CPT % | 5 P Python % </v>
      </c>
      <c r="AS505" s="4" t="str">
        <f ca="1">IFERROR(__xludf.DUMMYFUNCTION("""COMPUTED_VALUE"""),"| 1 P Python @ | 3 L CPT % | 4 L JAVA % | 5 L INE % ")</f>
        <v xml:space="preserve">| 1 P Python @ | 3 L CPT % | 4 L JAVA % | 5 L INE % </v>
      </c>
      <c r="AT505" s="4" t="str">
        <f ca="1">IFERROR(__xludf.DUMMYFUNCTION("""COMPUTED_VALUE"""),"| 1 P JAVA % | 3 L JAVA @ | 4 L NS @ | 5 P PRO @ ")</f>
        <v xml:space="preserve">| 1 P JAVA % | 3 L JAVA @ | 4 L NS @ | 5 P PRO @ </v>
      </c>
      <c r="AU505" s="4" t="str">
        <f ca="1">IFERROR(__xludf.DUMMYFUNCTION("""COMPUTED_VALUE"""),"| 1 P JAVA @ | 3 L PHP-CGM @ | 4 L NS @ | 5 P CPT @ ")</f>
        <v xml:space="preserve">| 1 P JAVA @ | 3 L PHP-CGM @ | 4 L NS @ | 5 P CPT @ </v>
      </c>
      <c r="AV505" s="4" t="str">
        <f ca="1">IFERROR(__xludf.DUMMYFUNCTION("""COMPUTED_VALUE"""),"| 1 P NS @ | 3 L CPT @ | 4 L PHP-CGM @ | 5 P Python @ ")</f>
        <v xml:space="preserve">| 1 P NS @ | 3 L CPT @ | 4 L PHP-CGM @ | 5 P Python @ </v>
      </c>
      <c r="AW505" s="4" t="str">
        <f ca="1">IFERROR(__xludf.DUMMYFUNCTION("""COMPUTED_VALUE"""),"| 3 L PHP-CGM @ | 4 L JAVA @ | 5 L NS @ | 5 L CPT @ ")</f>
        <v xml:space="preserve">| 3 L PHP-CGM @ | 4 L JAVA @ | 5 L NS @ | 5 L CPT @ </v>
      </c>
      <c r="AX505" s="4" t="str">
        <f ca="1">IFERROR(__xludf.DUMMYFUNCTION("""COMPUTED_VALUE"""),"| 1 P Python % | 3 L CPT % | 4 L JAVA % | 5 L INE % ")</f>
        <v xml:space="preserve">| 1 P Python % | 3 L CPT % | 4 L JAVA % | 5 L INE % </v>
      </c>
      <c r="AY505" s="4" t="str">
        <f ca="1">IFERROR(__xludf.DUMMYFUNCTION("""COMPUTED_VALUE"""),"| 1 P JAVA % | 3 L JAVA % | 4 L NS % | 5 P PRO % ")</f>
        <v xml:space="preserve">| 1 P JAVA % | 3 L JAVA % | 4 L NS % | 5 P PRO % </v>
      </c>
      <c r="AZ505" s="4" t="str">
        <f ca="1">IFERROR(__xludf.DUMMYFUNCTION("""COMPUTED_VALUE"""),"| 1 P NS % | 3 L CPT % | 4 L PHP-CGM % | 5 P Python @ ")</f>
        <v xml:space="preserve">| 1 P NS % | 3 L CPT % | 4 L PHP-CGM % | 5 P Python @ </v>
      </c>
      <c r="BA50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05" s="4" t="str">
        <f ca="1">IFERROR(__xludf.DUMMYFUNCTION("""COMPUTED_VALUE"""),"| 1 P Python @ | 3 L CPT % | 4 L JAVA % | 5 L INE % ")</f>
        <v xml:space="preserve">| 1 P Python @ | 3 L CPT % | 4 L JAVA % | 5 L INE % </v>
      </c>
      <c r="BC505" s="4" t="str">
        <f ca="1">IFERROR(__xludf.DUMMYFUNCTION("""COMPUTED_VALUE"""),"| 1 P JAVA % | 3 L JAVA % | 4 L NS % | 5 P PRO % ")</f>
        <v xml:space="preserve">| 1 P JAVA % | 3 L JAVA % | 4 L NS % | 5 P PRO % </v>
      </c>
      <c r="BD505" s="4" t="str">
        <f ca="1">IFERROR(__xludf.DUMMYFUNCTION("""COMPUTED_VALUE"""),"| 1 P JAVA % | 4 L NS %  | 3 L PHP-CGM % | 5 P CPT % ")</f>
        <v xml:space="preserve">| 1 P JAVA % | 4 L NS %  | 3 L PHP-CGM % | 5 P CPT % </v>
      </c>
      <c r="BE505" s="4" t="str">
        <f ca="1">IFERROR(__xludf.DUMMYFUNCTION("""COMPUTED_VALUE"""),"| 1 P NS % | 3 L CPT % | 4 L PHP-CGM % | 5 P Python % ")</f>
        <v xml:space="preserve">| 1 P NS % | 3 L CPT % | 4 L PHP-CGM % | 5 P Python % </v>
      </c>
      <c r="BF505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G505" s="4" t="str">
        <f ca="1">IFERROR(__xludf.DUMMYFUNCTION("""COMPUTED_VALUE"""),"| 1 P JAVA % | 3 L JAVA % | 4 L NS % | 5 P PRO @ ")</f>
        <v xml:space="preserve">| 1 P JAVA % | 3 L JAVA % | 4 L NS % | 5 P PRO @ </v>
      </c>
      <c r="BH505" s="4" t="str">
        <f ca="1">IFERROR(__xludf.DUMMYFUNCTION("""COMPUTED_VALUE"""),"| 1 P JAVA % | 3 L PHP-CGM % | 4 L NS % | 5 P CPT % ")</f>
        <v xml:space="preserve">| 1 P JAVA % | 3 L PHP-CGM % | 4 L NS % | 5 P CPT % </v>
      </c>
      <c r="BI505" s="4" t="str">
        <f ca="1">IFERROR(__xludf.DUMMYFUNCTION("""COMPUTED_VALUE"""),"| 1 P NS % | 3 L CPT % | 4 L PHP-CGM % | 5 P Python @ ")</f>
        <v xml:space="preserve">| 1 P NS % | 3 L CPT % | 4 L PHP-CGM % | 5 P Python @ </v>
      </c>
      <c r="BJ50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05" s="4" t="str">
        <f ca="1">IFERROR(__xludf.DUMMYFUNCTION("""COMPUTED_VALUE"""),"| 1 P Python @ | 3 L CPT @ | 4 L JAVA @ | 5 L INE @ ")</f>
        <v xml:space="preserve">| 1 P Python @ | 3 L CPT @ | 4 L JAVA @ | 5 L INE @ </v>
      </c>
      <c r="BL505" s="4" t="str">
        <f ca="1">IFERROR(__xludf.DUMMYFUNCTION("""COMPUTED_VALUE"""),"| 1 P JAVA % | 3 L JAVA % | 4 L NS % ")</f>
        <v xml:space="preserve">| 1 P JAVA % | 3 L JAVA % | 4 L NS % </v>
      </c>
      <c r="BM505" s="4" t="str">
        <f ca="1">IFERROR(__xludf.DUMMYFUNCTION("""COMPUTED_VALUE"""),"| 1 P JAVA @ | 3 L PHP-CGM @ | 4 L NS @ | 5 P CPT @ ")</f>
        <v xml:space="preserve">| 1 P JAVA @ | 3 L PHP-CGM @ | 4 L NS @ | 5 P CPT @ </v>
      </c>
      <c r="BN505" s="4" t="str">
        <f ca="1">IFERROR(__xludf.DUMMYFUNCTION("""COMPUTED_VALUE"""),"| 1 P NS % | 3 L CPT % | 4 L PHP-CGM % ")</f>
        <v xml:space="preserve">| 1 P NS % | 3 L CPT % | 4 L PHP-CGM % </v>
      </c>
      <c r="BO50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P505" s="4" t="str">
        <f ca="1">IFERROR(__xludf.DUMMYFUNCTION("""COMPUTED_VALUE"""),"| 1 P Python % | 3 L CPT % | 4 L JAVA % | 5 L INE @ ")</f>
        <v xml:space="preserve">| 1 P Python % | 3 L CPT % | 4 L JAVA % | 5 L INE @ </v>
      </c>
      <c r="BQ505" s="4" t="str">
        <f ca="1">IFERROR(__xludf.DUMMYFUNCTION("""COMPUTED_VALUE"""),"| 4 L NS % | 1 P JAVA % ")</f>
        <v xml:space="preserve">| 4 L NS % | 1 P JAVA % </v>
      </c>
      <c r="BR505" s="4"/>
      <c r="BS505" s="4"/>
      <c r="BT505" s="4" t="str">
        <f ca="1">IFERROR(__xludf.DUMMYFUNCTION("""COMPUTED_VALUE"""),"| 1 P Python % | 3 L CPT % | 4 L JAVA % ")</f>
        <v xml:space="preserve">| 1 P Python % | 3 L CPT % | 4 L JAVA % </v>
      </c>
      <c r="BU505" s="4" t="str">
        <f ca="1">IFERROR(__xludf.DUMMYFUNCTION("""COMPUTED_VALUE"""),"| 1 P JAVA % | 4 L NS % | 3 L JAVA % ")</f>
        <v xml:space="preserve">| 1 P JAVA % | 4 L NS % | 3 L JAVA % </v>
      </c>
      <c r="BV505" s="4" t="str">
        <f ca="1">IFERROR(__xludf.DUMMYFUNCTION("""COMPUTED_VALUE"""),"| 1 P Python @ | 3 L CPT @ | 4 L JAVA @ ")</f>
        <v xml:space="preserve">| 1 P Python @ | 3 L CPT @ | 4 L JAVA @ </v>
      </c>
      <c r="BW505" s="4" t="str">
        <f ca="1">IFERROR(__xludf.DUMMYFUNCTION("""COMPUTED_VALUE"""),"| 1 P JAVA @ | 3 L JAVA @ | 4 L NS @ ")</f>
        <v xml:space="preserve">| 1 P JAVA @ | 3 L JAVA @ | 4 L NS @ </v>
      </c>
      <c r="BX505" s="4" t="str">
        <f ca="1">IFERROR(__xludf.DUMMYFUNCTION("""COMPUTED_VALUE"""),"| 1 P JAVA @ | 3 L PHP-CGM % | 4 L NS % | 5 P CPT @ ")</f>
        <v xml:space="preserve">| 1 P JAVA @ | 3 L PHP-CGM % | 4 L NS % | 5 P CPT @ </v>
      </c>
      <c r="BY505" s="4" t="str">
        <f ca="1">IFERROR(__xludf.DUMMYFUNCTION("""COMPUTED_VALUE"""),"| 1 P NS % | 3 L CPT % | 4 L PHP-CGM % | 5 P Python @ ")</f>
        <v xml:space="preserve">| 1 P NS % | 3 L CPT % | 4 L PHP-CGM % | 5 P Python @ </v>
      </c>
      <c r="BZ505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05" s="4" t="str">
        <f ca="1">IFERROR(__xludf.DUMMYFUNCTION("""COMPUTED_VALUE"""),"| 1 P Python @ | 3 L CPT % | 4 L JAVA % | 5 L INE % ")</f>
        <v xml:space="preserve">| 1 P Python @ | 3 L CPT % | 4 L JAVA % | 5 L INE % </v>
      </c>
      <c r="CB505" s="4" t="str">
        <f ca="1">IFERROR(__xludf.DUMMYFUNCTION("""COMPUTED_VALUE"""),"| 1 P JAVA % | 3 L JAVA % | 4 L NS % | 5 P PRO @ ")</f>
        <v xml:space="preserve">| 1 P JAVA % | 3 L JAVA % | 4 L NS % | 5 P PRO @ </v>
      </c>
      <c r="CC505" s="4" t="str">
        <f ca="1">IFERROR(__xludf.DUMMYFUNCTION("""COMPUTED_VALUE"""),"| 1 P JAVA % | 3 L PHP-CGM % | 4 L NS % | 5 P CPT % ")</f>
        <v xml:space="preserve">| 1 P JAVA % | 3 L PHP-CGM % | 4 L NS % | 5 P CPT % </v>
      </c>
      <c r="CD505" s="4" t="str">
        <f ca="1">IFERROR(__xludf.DUMMYFUNCTION("""COMPUTED_VALUE"""),"| 1 P NS % | 3 L CPT % | 4 L PHP-CGM % | 5 P Python @ ")</f>
        <v xml:space="preserve">| 1 P NS % | 3 L CPT % | 4 L PHP-CGM % | 5 P Python @ </v>
      </c>
      <c r="CE50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05" s="4" t="str">
        <f ca="1">IFERROR(__xludf.DUMMYFUNCTION("""COMPUTED_VALUE"""),"| 1 P Python % | 3 L CPT % | 4 L JAVA % | 5 L INE @ ")</f>
        <v xml:space="preserve">| 1 P Python % | 3 L CPT % | 4 L JAVA % | 5 L INE @ </v>
      </c>
      <c r="CG505" s="4" t="str">
        <f ca="1">IFERROR(__xludf.DUMMYFUNCTION("""COMPUTED_VALUE"""),"| 1 P JAVA @ | 4 L NS % ")</f>
        <v xml:space="preserve">| 1 P JAVA @ | 4 L NS % </v>
      </c>
      <c r="CH505" s="4" t="str">
        <f ca="1">IFERROR(__xludf.DUMMYFUNCTION("""COMPUTED_VALUE"""),"| 1 P JAVA @ | 3 L PHP-CGM % | 4 L NS % ")</f>
        <v xml:space="preserve">| 1 P JAVA @ | 3 L PHP-CGM % | 4 L NS % </v>
      </c>
      <c r="CI505" s="4" t="str">
        <f ca="1">IFERROR(__xludf.DUMMYFUNCTION("""COMPUTED_VALUE"""),"| 1 P NS % ")</f>
        <v xml:space="preserve">| 1 P NS % </v>
      </c>
      <c r="CJ505" s="4" t="str">
        <f ca="1">IFERROR(__xludf.DUMMYFUNCTION("""COMPUTED_VALUE"""),"| 1 P PHP-CGM @ | 4 L JAVA % ")</f>
        <v xml:space="preserve">| 1 P PHP-CGM @ | 4 L JAVA % </v>
      </c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</row>
    <row r="506" spans="1:102" ht="12.5" x14ac:dyDescent="0.25">
      <c r="A506" s="3">
        <f ca="1">IFERROR(__xludf.DUMMYFUNCTION("""COMPUTED_VALUE"""),2)</f>
        <v>2</v>
      </c>
      <c r="B506" s="3" t="str">
        <f ca="1">IFERROR(__xludf.DUMMYFUNCTION("""COMPUTED_VALUE"""),"ITC")</f>
        <v>ITC</v>
      </c>
      <c r="C506" s="32" t="str">
        <f ca="1">IFERROR(__xludf.DUMMYFUNCTION("""COMPUTED_VALUE"""),"23171371090")</f>
        <v>23171371090</v>
      </c>
      <c r="D506" s="4" t="str">
        <f ca="1">IFERROR(__xludf.DUMMYFUNCTION("""COMPUTED_VALUE"""),"PATEL JAYKUMAR PRAKASHCHANDRA")</f>
        <v>PATEL JAYKUMAR PRAKASHCHANDRA</v>
      </c>
      <c r="E506" s="3" t="str">
        <f ca="1">IFERROR(__xludf.DUMMYFUNCTION("""COMPUTED_VALUE"""),"SDP&amp;KKP - Mor")</f>
        <v>SDP&amp;KKP - Mor</v>
      </c>
      <c r="F506" s="3">
        <f ca="1">IFERROR(__xludf.DUMMYFUNCTION("""COMPUTED_VALUE"""),8200552347)</f>
        <v>8200552347</v>
      </c>
      <c r="G506" s="3">
        <f ca="1">IFERROR(__xludf.DUMMYFUNCTION("""COMPUTED_VALUE"""),9974201883)</f>
        <v>9974201883</v>
      </c>
      <c r="H506" s="33">
        <f ca="1">IFERROR(__xludf.DUMMYFUNCTION("""COMPUTED_VALUE"""),0.493775933609958)</f>
        <v>0.49377593360995797</v>
      </c>
      <c r="I506" s="25">
        <f ca="1">IFERROR(__xludf.DUMMYFUNCTION("""COMPUTED_VALUE"""),0.5)</f>
        <v>0.5</v>
      </c>
      <c r="J506" s="25">
        <f ca="1">IFERROR(__xludf.DUMMYFUNCTION("""COMPUTED_VALUE"""),0.1)</f>
        <v>0.1</v>
      </c>
      <c r="K506" s="25">
        <f ca="1">IFERROR(__xludf.DUMMYFUNCTION("""COMPUTED_VALUE"""),0.611111111111111)</f>
        <v>0.61111111111111105</v>
      </c>
      <c r="L506" s="25">
        <f ca="1">IFERROR(__xludf.DUMMYFUNCTION("""COMPUTED_VALUE"""),0.461538461538461)</f>
        <v>0.46153846153846101</v>
      </c>
      <c r="M506" s="25">
        <f ca="1">IFERROR(__xludf.DUMMYFUNCTION("""COMPUTED_VALUE"""),0.625)</f>
        <v>0.625</v>
      </c>
      <c r="N506" s="25">
        <f ca="1">IFERROR(__xludf.DUMMYFUNCTION("""COMPUTED_VALUE"""),0.454545454545454)</f>
        <v>0.45454545454545398</v>
      </c>
      <c r="O506" s="25">
        <f ca="1">IFERROR(__xludf.DUMMYFUNCTION("""COMPUTED_VALUE"""),0.621621621621621)</f>
        <v>0.62162162162162105</v>
      </c>
      <c r="P506" s="25">
        <f ca="1">IFERROR(__xludf.DUMMYFUNCTION("""COMPUTED_VALUE"""),0.56)</f>
        <v>0.56000000000000005</v>
      </c>
      <c r="Q506" s="25">
        <f ca="1">IFERROR(__xludf.DUMMYFUNCTION("""COMPUTED_VALUE"""),0)</f>
        <v>0</v>
      </c>
      <c r="R506" s="25">
        <f ca="1">IFERROR(__xludf.DUMMYFUNCTION("""COMPUTED_VALUE"""),0.291666666666666)</f>
        <v>0.29166666666666602</v>
      </c>
      <c r="S506" s="25">
        <f ca="1">IFERROR(__xludf.DUMMYFUNCTION("""COMPUTED_VALUE"""),0)</f>
        <v>0</v>
      </c>
      <c r="T506" s="25">
        <f ca="1">IFERROR(__xludf.DUMMYFUNCTION("""COMPUTED_VALUE"""),0.333333333333333)</f>
        <v>0.33333333333333298</v>
      </c>
      <c r="U506" s="25">
        <f ca="1">IFERROR(__xludf.DUMMYFUNCTION("""COMPUTED_VALUE"""),0)</f>
        <v>0</v>
      </c>
      <c r="V506" s="25">
        <f ca="1">IFERROR(__xludf.DUMMYFUNCTION("""COMPUTED_VALUE"""),0)</f>
        <v>0</v>
      </c>
      <c r="W506" s="4"/>
      <c r="X506" s="4" t="str">
        <f ca="1">IFERROR(__xludf.DUMMYFUNCTION("""COMPUTED_VALUE"""),"| 1 P Python % | 3 L CPT % | 4 L JAVA % ")</f>
        <v xml:space="preserve">| 1 P Python % | 3 L CPT % | 4 L JAVA % </v>
      </c>
      <c r="Y506" s="4" t="str">
        <f ca="1">IFERROR(__xludf.DUMMYFUNCTION("""COMPUTED_VALUE"""),"| 1 P JAVA % | 3 L JAVA % | 4 L NS % | 5 P PRO % ")</f>
        <v xml:space="preserve">| 1 P JAVA % | 3 L JAVA % | 4 L NS % | 5 P PRO % </v>
      </c>
      <c r="Z506" s="4" t="str">
        <f ca="1">IFERROR(__xludf.DUMMYFUNCTION("""COMPUTED_VALUE"""),"| 1 P JAVA % | 3 L PHP-CGM % | 4 L NS % | 5 P CPT % ")</f>
        <v xml:space="preserve">| 1 P JAVA % | 3 L PHP-CGM % | 4 L NS % | 5 P CPT % </v>
      </c>
      <c r="AA506" s="4" t="str">
        <f ca="1">IFERROR(__xludf.DUMMYFUNCTION("""COMPUTED_VALUE"""),"| 1 P NS @ | 3 L CPT @ | 5 P Python @ ")</f>
        <v xml:space="preserve">| 1 P NS @ | 3 L CPT @ | 5 P Python @ </v>
      </c>
      <c r="AB506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06" s="4" t="str">
        <f ca="1">IFERROR(__xludf.DUMMYFUNCTION("""COMPUTED_VALUE"""),"| 1 P Python % | 3 L CPT @ | 4 L JAVA @ ")</f>
        <v xml:space="preserve">| 1 P Python % | 3 L CPT @ | 4 L JAVA @ </v>
      </c>
      <c r="AD506" s="4" t="str">
        <f ca="1">IFERROR(__xludf.DUMMYFUNCTION("""COMPUTED_VALUE"""),"| 1 P JAVA % | 3 L JAVA % | 4 L NS % | 5 P PRO % ")</f>
        <v xml:space="preserve">| 1 P JAVA % | 3 L JAVA % | 4 L NS % | 5 P PRO % </v>
      </c>
      <c r="AE506" s="4" t="str">
        <f ca="1">IFERROR(__xludf.DUMMYFUNCTION("""COMPUTED_VALUE"""),"| 1 P JAVA % | 3 L PHP-CGM % | 4 L NS % | 5 P CPT @ ")</f>
        <v xml:space="preserve">| 1 P JAVA % | 3 L PHP-CGM % | 4 L NS % | 5 P CPT @ </v>
      </c>
      <c r="AF506" s="4" t="str">
        <f ca="1">IFERROR(__xludf.DUMMYFUNCTION("""COMPUTED_VALUE"""),"| 1 P NS @ | 3 L CPT % | 4 L PHP-CGM % | 5 P Python % ")</f>
        <v xml:space="preserve">| 1 P NS @ | 3 L CPT % | 4 L PHP-CGM % | 5 P Python % </v>
      </c>
      <c r="AG506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506" s="4" t="str">
        <f ca="1">IFERROR(__xludf.DUMMYFUNCTION("""COMPUTED_VALUE"""),"| 1 P NS % | 3 L CPT % | 4 L PHP-CGM % | 5 P Python @ ")</f>
        <v xml:space="preserve">| 1 P NS % | 3 L CPT % | 4 L PHP-CGM % | 5 P Python @ </v>
      </c>
      <c r="AI506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506" s="4" t="str">
        <f ca="1">IFERROR(__xludf.DUMMYFUNCTION("""COMPUTED_VALUE"""),"| 1 P Python @ | 3 L CPT @ | 4 L JAVA @ ")</f>
        <v xml:space="preserve">| 1 P Python @ | 3 L CPT @ | 4 L JAVA @ </v>
      </c>
      <c r="AK506" s="4" t="str">
        <f ca="1">IFERROR(__xludf.DUMMYFUNCTION("""COMPUTED_VALUE"""),"| 1 P JAVA % | 4 L NS % | 3 L JAVA % | 5 P PRO @ ")</f>
        <v xml:space="preserve">| 1 P JAVA % | 4 L NS % | 3 L JAVA % | 5 P PRO @ </v>
      </c>
      <c r="AL506" s="4" t="str">
        <f ca="1">IFERROR(__xludf.DUMMYFUNCTION("""COMPUTED_VALUE"""),"| 1 P JAVA % | 3 L PHP-CGM % | 4 L NS % | 5 P CPT @ ")</f>
        <v xml:space="preserve">| 1 P JAVA % | 3 L PHP-CGM % | 4 L NS % | 5 P CPT @ </v>
      </c>
      <c r="AM506" s="4" t="str">
        <f ca="1">IFERROR(__xludf.DUMMYFUNCTION("""COMPUTED_VALUE"""),"| 1 P NS % | 3 L CPT % | 4 L PHP-CGM % | 5 P Python @ ")</f>
        <v xml:space="preserve">| 1 P NS % | 3 L CPT % | 4 L PHP-CGM % | 5 P Python @ </v>
      </c>
      <c r="AN506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06" s="4" t="str">
        <f ca="1">IFERROR(__xludf.DUMMYFUNCTION("""COMPUTED_VALUE"""),"| 1 P Python % | 3 L CPT % | 4 L JAVA % | 5 L INE @ ")</f>
        <v xml:space="preserve">| 1 P Python % | 3 L CPT % | 4 L JAVA % | 5 L INE @ </v>
      </c>
      <c r="AP506" s="4" t="str">
        <f ca="1">IFERROR(__xludf.DUMMYFUNCTION("""COMPUTED_VALUE"""),"| 1 P JAVA % | 3 L JAVA % | 4 L NS % | 5 P PRO @ ")</f>
        <v xml:space="preserve">| 1 P JAVA % | 3 L JAVA % | 4 L NS % | 5 P PRO @ </v>
      </c>
      <c r="AQ506" s="4" t="str">
        <f ca="1">IFERROR(__xludf.DUMMYFUNCTION("""COMPUTED_VALUE"""),"| 1 P JAVA % | 3 L PHP-CGM % | 4 L NS % | 5 P CPT @ ")</f>
        <v xml:space="preserve">| 1 P JAVA % | 3 L PHP-CGM % | 4 L NS % | 5 P CPT @ </v>
      </c>
      <c r="AR506" s="4" t="str">
        <f ca="1">IFERROR(__xludf.DUMMYFUNCTION("""COMPUTED_VALUE"""),"| 1 P NS % | 3 L CPT % | 5 P Python @ ")</f>
        <v xml:space="preserve">| 1 P NS % | 3 L CPT % | 5 P Python @ </v>
      </c>
      <c r="AS506" s="4" t="str">
        <f ca="1">IFERROR(__xludf.DUMMYFUNCTION("""COMPUTED_VALUE"""),"| 1 P Python % | 3 L CPT % | 4 L JAVA % | 5 L INE @ ")</f>
        <v xml:space="preserve">| 1 P Python % | 3 L CPT % | 4 L JAVA % | 5 L INE @ </v>
      </c>
      <c r="AT506" s="4" t="str">
        <f ca="1">IFERROR(__xludf.DUMMYFUNCTION("""COMPUTED_VALUE"""),"| 1 P JAVA % | 3 L JAVA % | 4 L NS % | 5 P PRO @ ")</f>
        <v xml:space="preserve">| 1 P JAVA % | 3 L JAVA % | 4 L NS % | 5 P PRO @ </v>
      </c>
      <c r="AU506" s="4" t="str">
        <f ca="1">IFERROR(__xludf.DUMMYFUNCTION("""COMPUTED_VALUE"""),"| 1 P JAVA @ | 3 L PHP-CGM % | 4 L NS % | 5 P CPT @ ")</f>
        <v xml:space="preserve">| 1 P JAVA @ | 3 L PHP-CGM % | 4 L NS % | 5 P CPT @ </v>
      </c>
      <c r="AV506" s="4" t="str">
        <f ca="1">IFERROR(__xludf.DUMMYFUNCTION("""COMPUTED_VALUE"""),"| 1 P NS % | 3 L CPT % | 4 L PHP-CGM % | 5 P Python % ")</f>
        <v xml:space="preserve">| 1 P NS % | 3 L CPT % | 4 L PHP-CGM % | 5 P Python % </v>
      </c>
      <c r="AW506" s="4" t="str">
        <f ca="1">IFERROR(__xludf.DUMMYFUNCTION("""COMPUTED_VALUE"""),"| 3 L PHP-CGM % | 4 L JAVA % | 5 L NS @ | 5 L CPT @ ")</f>
        <v xml:space="preserve">| 3 L PHP-CGM % | 4 L JAVA % | 5 L NS @ | 5 L CPT @ </v>
      </c>
      <c r="AX506" s="4" t="str">
        <f ca="1">IFERROR(__xludf.DUMMYFUNCTION("""COMPUTED_VALUE"""),"| 1 P Python % | 3 L CPT % | 4 L JAVA % | 5 L INE @ ")</f>
        <v xml:space="preserve">| 1 P Python % | 3 L CPT % | 4 L JAVA % | 5 L INE @ </v>
      </c>
      <c r="AY506" s="4" t="str">
        <f ca="1">IFERROR(__xludf.DUMMYFUNCTION("""COMPUTED_VALUE"""),"| 1 P JAVA % | 3 L JAVA % | 4 L NS % | 5 P PRO @ ")</f>
        <v xml:space="preserve">| 1 P JAVA % | 3 L JAVA % | 4 L NS % | 5 P PRO @ </v>
      </c>
      <c r="AZ506" s="4" t="str">
        <f ca="1">IFERROR(__xludf.DUMMYFUNCTION("""COMPUTED_VALUE"""),"| 1 P NS @ | 3 L CPT % | 4 L PHP-CGM % | 5 P Python @ ")</f>
        <v xml:space="preserve">| 1 P NS @ | 3 L CPT % | 4 L PHP-CGM % | 5 P Python @ </v>
      </c>
      <c r="BA506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06" s="4" t="str">
        <f ca="1">IFERROR(__xludf.DUMMYFUNCTION("""COMPUTED_VALUE"""),"| 1 P Python @ | 3 L CPT % | 4 L JAVA % | 5 L INE @ ")</f>
        <v xml:space="preserve">| 1 P Python @ | 3 L CPT % | 4 L JAVA % | 5 L INE @ </v>
      </c>
      <c r="BC506" s="4" t="str">
        <f ca="1">IFERROR(__xludf.DUMMYFUNCTION("""COMPUTED_VALUE"""),"| 1 P JAVA % | 3 L JAVA % | 4 L NS % | 5 P PRO % ")</f>
        <v xml:space="preserve">| 1 P JAVA % | 3 L JAVA % | 4 L NS % | 5 P PRO % </v>
      </c>
      <c r="BD506" s="4" t="str">
        <f ca="1">IFERROR(__xludf.DUMMYFUNCTION("""COMPUTED_VALUE"""),"| 1 P JAVA @ | 4 L NS %  | 3 L PHP-CGM % | 5 P CPT @ ")</f>
        <v xml:space="preserve">| 1 P JAVA @ | 4 L NS %  | 3 L PHP-CGM % | 5 P CPT @ </v>
      </c>
      <c r="BE506" s="4" t="str">
        <f ca="1">IFERROR(__xludf.DUMMYFUNCTION("""COMPUTED_VALUE"""),"| 1 P NS @ | 3 L CPT % | 4 L PHP-CGM % | 5 P Python @ ")</f>
        <v xml:space="preserve">| 1 P NS @ | 3 L CPT % | 4 L PHP-CGM % | 5 P Python @ </v>
      </c>
      <c r="BF50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06" s="4" t="str">
        <f ca="1">IFERROR(__xludf.DUMMYFUNCTION("""COMPUTED_VALUE"""),"| 1 P JAVA @ | 3 L JAVA @ | 4 L NS @ | 5 P PRO @ ")</f>
        <v xml:space="preserve">| 1 P JAVA @ | 3 L JAVA @ | 4 L NS @ | 5 P PRO @ </v>
      </c>
      <c r="BH506" s="4" t="str">
        <f ca="1">IFERROR(__xludf.DUMMYFUNCTION("""COMPUTED_VALUE"""),"| 1 P JAVA % | 3 L PHP-CGM % | 4 L NS % | 5 P CPT @ ")</f>
        <v xml:space="preserve">| 1 P JAVA % | 3 L PHP-CGM % | 4 L NS % | 5 P CPT @ </v>
      </c>
      <c r="BI506" s="4" t="str">
        <f ca="1">IFERROR(__xludf.DUMMYFUNCTION("""COMPUTED_VALUE"""),"| 1 P NS % | 3 L CPT % | 4 L PHP-CGM @ | 5 P Python @ ")</f>
        <v xml:space="preserve">| 1 P NS % | 3 L CPT % | 4 L PHP-CGM @ | 5 P Python @ </v>
      </c>
      <c r="BJ506" s="4" t="str">
        <f ca="1">IFERROR(__xludf.DUMMYFUNCTION("""COMPUTED_VALUE"""),"| 1 P PHP-CGM % | 3 L PHP-CGM % | 4 L JAVA % | 5 L NS % | 6 L CPT @ ")</f>
        <v xml:space="preserve">| 1 P PHP-CGM % | 3 L PHP-CGM % | 4 L JAVA % | 5 L NS % | 6 L CPT @ </v>
      </c>
      <c r="BK506" s="4" t="str">
        <f ca="1">IFERROR(__xludf.DUMMYFUNCTION("""COMPUTED_VALUE"""),"| 1 P Python @ | 3 L CPT @ | 4 L JAVA @ | 5 L INE @ ")</f>
        <v xml:space="preserve">| 1 P Python @ | 3 L CPT @ | 4 L JAVA @ | 5 L INE @ </v>
      </c>
      <c r="BL506" s="4" t="str">
        <f ca="1">IFERROR(__xludf.DUMMYFUNCTION("""COMPUTED_VALUE"""),"| 1 P JAVA @ | 3 L JAVA % | 4 L NS % ")</f>
        <v xml:space="preserve">| 1 P JAVA @ | 3 L JAVA % | 4 L NS % </v>
      </c>
      <c r="BM506" s="4" t="str">
        <f ca="1">IFERROR(__xludf.DUMMYFUNCTION("""COMPUTED_VALUE"""),"| 1 P JAVA @ | 3 L PHP-CGM % | 4 L NS % | 5 P CPT @ ")</f>
        <v xml:space="preserve">| 1 P JAVA @ | 3 L PHP-CGM % | 4 L NS % | 5 P CPT @ </v>
      </c>
      <c r="BN506" s="4" t="str">
        <f ca="1">IFERROR(__xludf.DUMMYFUNCTION("""COMPUTED_VALUE"""),"| 1 P NS @ | 3 L CPT @ | 4 L PHP-CGM @ ")</f>
        <v xml:space="preserve">| 1 P NS @ | 3 L CPT @ | 4 L PHP-CGM @ </v>
      </c>
      <c r="BO506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6" s="4" t="str">
        <f ca="1">IFERROR(__xludf.DUMMYFUNCTION("""COMPUTED_VALUE"""),"| 1 P Python @ | 3 L CPT % | 4 L JAVA % | 5 L INE @ ")</f>
        <v xml:space="preserve">| 1 P Python @ | 3 L CPT % | 4 L JAVA % | 5 L INE @ </v>
      </c>
      <c r="BQ506" s="4" t="str">
        <f ca="1">IFERROR(__xludf.DUMMYFUNCTION("""COMPUTED_VALUE"""),"| 4 L NS @ | 1 P JAVA % ")</f>
        <v xml:space="preserve">| 4 L NS @ | 1 P JAVA % </v>
      </c>
      <c r="BR506" s="4"/>
      <c r="BS506" s="4"/>
      <c r="BT506" s="4" t="str">
        <f ca="1">IFERROR(__xludf.DUMMYFUNCTION("""COMPUTED_VALUE"""),"| 1 P Python @ | 3 L CPT @ | 4 L JAVA @ ")</f>
        <v xml:space="preserve">| 1 P Python @ | 3 L CPT @ | 4 L JAVA @ </v>
      </c>
      <c r="BU506" s="4" t="str">
        <f ca="1">IFERROR(__xludf.DUMMYFUNCTION("""COMPUTED_VALUE"""),"| 1 P JAVA @ | 4 L NS % | 3 L JAVA % ")</f>
        <v xml:space="preserve">| 1 P JAVA @ | 4 L NS % | 3 L JAVA % </v>
      </c>
      <c r="BV506" s="4" t="str">
        <f ca="1">IFERROR(__xludf.DUMMYFUNCTION("""COMPUTED_VALUE"""),"| 1 P Python @ | 3 L CPT @ | 4 L JAVA @ ")</f>
        <v xml:space="preserve">| 1 P Python @ | 3 L CPT @ | 4 L JAVA @ </v>
      </c>
      <c r="BW506" s="4" t="str">
        <f ca="1">IFERROR(__xludf.DUMMYFUNCTION("""COMPUTED_VALUE"""),"| 1 P JAVA @ | 3 L JAVA % | 4 L NS % ")</f>
        <v xml:space="preserve">| 1 P JAVA @ | 3 L JAVA % | 4 L NS % </v>
      </c>
      <c r="BX506" s="4" t="str">
        <f ca="1">IFERROR(__xludf.DUMMYFUNCTION("""COMPUTED_VALUE"""),"| 1 P JAVA @ | 3 L PHP-CGM @ | 4 L NS @ | 5 P CPT @ ")</f>
        <v xml:space="preserve">| 1 P JAVA @ | 3 L PHP-CGM @ | 4 L NS @ | 5 P CPT @ </v>
      </c>
      <c r="BY506" s="4" t="str">
        <f ca="1">IFERROR(__xludf.DUMMYFUNCTION("""COMPUTED_VALUE"""),"| 1 P NS @ | 3 L CPT @ | 4 L PHP-CGM @ | 5 P Python @ ")</f>
        <v xml:space="preserve">| 1 P NS @ | 3 L CPT @ | 4 L PHP-CGM @ | 5 P Python @ </v>
      </c>
      <c r="BZ50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506" s="4" t="str">
        <f ca="1">IFERROR(__xludf.DUMMYFUNCTION("""COMPUTED_VALUE"""),"| 1 P Python @ | 3 L CPT @ | 4 L JAVA @ | 5 L INE @ ")</f>
        <v xml:space="preserve">| 1 P Python @ | 3 L CPT @ | 4 L JAVA @ | 5 L INE @ </v>
      </c>
      <c r="CB506" s="4" t="str">
        <f ca="1">IFERROR(__xludf.DUMMYFUNCTION("""COMPUTED_VALUE"""),"| 1 P JAVA % | 3 L JAVA @ | 4 L NS @ | 5 P PRO @ ")</f>
        <v xml:space="preserve">| 1 P JAVA % | 3 L JAVA @ | 4 L NS @ | 5 P PRO @ </v>
      </c>
      <c r="CC506" s="4" t="str">
        <f ca="1">IFERROR(__xludf.DUMMYFUNCTION("""COMPUTED_VALUE"""),"| 1 P JAVA @ | 3 L PHP-CGM @ | 4 L NS @ | 5 P CPT @ ")</f>
        <v xml:space="preserve">| 1 P JAVA @ | 3 L PHP-CGM @ | 4 L NS @ | 5 P CPT @ </v>
      </c>
      <c r="CD506" s="4" t="str">
        <f ca="1">IFERROR(__xludf.DUMMYFUNCTION("""COMPUTED_VALUE"""),"| 1 P NS @ | 3 L CPT @ | 4 L PHP-CGM @ | 5 P Python @ ")</f>
        <v xml:space="preserve">| 1 P NS @ | 3 L CPT @ | 4 L PHP-CGM @ | 5 P Python @ </v>
      </c>
      <c r="CE506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F506" s="4" t="str">
        <f ca="1">IFERROR(__xludf.DUMMYFUNCTION("""COMPUTED_VALUE"""),"| 1 P Python @ | 3 L CPT @ | 4 L JAVA @ | 5 L INE @ ")</f>
        <v xml:space="preserve">| 1 P Python @ | 3 L CPT @ | 4 L JAVA @ | 5 L INE @ </v>
      </c>
      <c r="CG506" s="4" t="str">
        <f ca="1">IFERROR(__xludf.DUMMYFUNCTION("""COMPUTED_VALUE"""),"| 1 P JAVA @ | 4 L NS @ ")</f>
        <v xml:space="preserve">| 1 P JAVA @ | 4 L NS @ </v>
      </c>
      <c r="CH506" s="4" t="str">
        <f ca="1">IFERROR(__xludf.DUMMYFUNCTION("""COMPUTED_VALUE"""),"| 1 P JAVA @ | 3 L PHP-CGM @ | 4 L NS @ ")</f>
        <v xml:space="preserve">| 1 P JAVA @ | 3 L PHP-CGM @ | 4 L NS @ </v>
      </c>
      <c r="CI506" s="4" t="str">
        <f ca="1">IFERROR(__xludf.DUMMYFUNCTION("""COMPUTED_VALUE"""),"| 1 P NS % ")</f>
        <v xml:space="preserve">| 1 P NS % </v>
      </c>
      <c r="CJ506" s="4" t="str">
        <f ca="1">IFERROR(__xludf.DUMMYFUNCTION("""COMPUTED_VALUE"""),"| 1 P PHP-CGM @ | 4 L JAVA % ")</f>
        <v xml:space="preserve">| 1 P PHP-CGM @ | 4 L JAVA % </v>
      </c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</row>
    <row r="507" spans="1:102" ht="12.5" x14ac:dyDescent="0.25">
      <c r="A507" s="3">
        <f ca="1">IFERROR(__xludf.DUMMYFUNCTION("""COMPUTED_VALUE"""),2)</f>
        <v>2</v>
      </c>
      <c r="B507" s="3" t="str">
        <f ca="1">IFERROR(__xludf.DUMMYFUNCTION("""COMPUTED_VALUE"""),"ITC")</f>
        <v>ITC</v>
      </c>
      <c r="C507" s="32" t="str">
        <f ca="1">IFERROR(__xludf.DUMMYFUNCTION("""COMPUTED_VALUE"""),"23171371093")</f>
        <v>23171371093</v>
      </c>
      <c r="D507" s="4" t="str">
        <f ca="1">IFERROR(__xludf.DUMMYFUNCTION("""COMPUTED_VALUE"""),"PATEL KRISH YOGESHKUMAR")</f>
        <v>PATEL KRISH YOGESHKUMAR</v>
      </c>
      <c r="E507" s="3" t="str">
        <f ca="1">IFERROR(__xludf.DUMMYFUNCTION("""COMPUTED_VALUE"""),"SDP&amp;KKP - Mor")</f>
        <v>SDP&amp;KKP - Mor</v>
      </c>
      <c r="F507" s="3">
        <f ca="1">IFERROR(__xludf.DUMMYFUNCTION("""COMPUTED_VALUE"""),9426507082)</f>
        <v>9426507082</v>
      </c>
      <c r="G507" s="3">
        <f ca="1">IFERROR(__xludf.DUMMYFUNCTION("""COMPUTED_VALUE"""),9924610654)</f>
        <v>9924610654</v>
      </c>
      <c r="H507" s="33">
        <f ca="1">IFERROR(__xludf.DUMMYFUNCTION("""COMPUTED_VALUE"""),0.601659751037344)</f>
        <v>0.60165975103734404</v>
      </c>
      <c r="I507" s="25">
        <f ca="1">IFERROR(__xludf.DUMMYFUNCTION("""COMPUTED_VALUE"""),0.638888888888888)</f>
        <v>0.63888888888888795</v>
      </c>
      <c r="J507" s="25">
        <f ca="1">IFERROR(__xludf.DUMMYFUNCTION("""COMPUTED_VALUE"""),0.3)</f>
        <v>0.3</v>
      </c>
      <c r="K507" s="25">
        <f ca="1">IFERROR(__xludf.DUMMYFUNCTION("""COMPUTED_VALUE"""),0.722222222222222)</f>
        <v>0.72222222222222199</v>
      </c>
      <c r="L507" s="25">
        <f ca="1">IFERROR(__xludf.DUMMYFUNCTION("""COMPUTED_VALUE"""),0.615384615384615)</f>
        <v>0.61538461538461497</v>
      </c>
      <c r="M507" s="25">
        <f ca="1">IFERROR(__xludf.DUMMYFUNCTION("""COMPUTED_VALUE"""),0.65625)</f>
        <v>0.65625</v>
      </c>
      <c r="N507" s="25">
        <f ca="1">IFERROR(__xludf.DUMMYFUNCTION("""COMPUTED_VALUE"""),0.454545454545454)</f>
        <v>0.45454545454545398</v>
      </c>
      <c r="O507" s="25">
        <f ca="1">IFERROR(__xludf.DUMMYFUNCTION("""COMPUTED_VALUE"""),0.702702702702702)</f>
        <v>0.70270270270270196</v>
      </c>
      <c r="P507" s="25">
        <f ca="1">IFERROR(__xludf.DUMMYFUNCTION("""COMPUTED_VALUE"""),0.68)</f>
        <v>0.68</v>
      </c>
      <c r="Q507" s="25">
        <f ca="1">IFERROR(__xludf.DUMMYFUNCTION("""COMPUTED_VALUE"""),0)</f>
        <v>0</v>
      </c>
      <c r="R507" s="25">
        <f ca="1">IFERROR(__xludf.DUMMYFUNCTION("""COMPUTED_VALUE"""),0.416666666666666)</f>
        <v>0.41666666666666602</v>
      </c>
      <c r="S507" s="25">
        <f ca="1">IFERROR(__xludf.DUMMYFUNCTION("""COMPUTED_VALUE"""),0)</f>
        <v>0</v>
      </c>
      <c r="T507" s="25">
        <f ca="1">IFERROR(__xludf.DUMMYFUNCTION("""COMPUTED_VALUE"""),0.333333333333333)</f>
        <v>0.33333333333333298</v>
      </c>
      <c r="U507" s="25">
        <f ca="1">IFERROR(__xludf.DUMMYFUNCTION("""COMPUTED_VALUE"""),0.375)</f>
        <v>0.375</v>
      </c>
      <c r="V507" s="25">
        <f ca="1">IFERROR(__xludf.DUMMYFUNCTION("""COMPUTED_VALUE"""),0)</f>
        <v>0</v>
      </c>
      <c r="W507" s="4"/>
      <c r="X507" s="4" t="str">
        <f ca="1">IFERROR(__xludf.DUMMYFUNCTION("""COMPUTED_VALUE"""),"| 1 P Python % | 3 L CPT % | 4 L JAVA % ")</f>
        <v xml:space="preserve">| 1 P Python % | 3 L CPT % | 4 L JAVA % </v>
      </c>
      <c r="Y507" s="4" t="str">
        <f ca="1">IFERROR(__xludf.DUMMYFUNCTION("""COMPUTED_VALUE"""),"| 1 P JAVA % | 3 L JAVA % | 4 L NS % | 5 P PRO @ ")</f>
        <v xml:space="preserve">| 1 P JAVA % | 3 L JAVA % | 4 L NS % | 5 P PRO @ </v>
      </c>
      <c r="Z507" s="4" t="str">
        <f ca="1">IFERROR(__xludf.DUMMYFUNCTION("""COMPUTED_VALUE"""),"| 1 P JAVA % | 3 L PHP-CGM % | 4 L NS % | 5 P CPT @ ")</f>
        <v xml:space="preserve">| 1 P JAVA % | 3 L PHP-CGM % | 4 L NS % | 5 P CPT @ </v>
      </c>
      <c r="AA507" s="4" t="str">
        <f ca="1">IFERROR(__xludf.DUMMYFUNCTION("""COMPUTED_VALUE"""),"| 1 P NS @ | 3 L CPT @ | 5 P Python @ ")</f>
        <v xml:space="preserve">| 1 P NS @ | 3 L CPT @ | 5 P Python @ </v>
      </c>
      <c r="AB507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07" s="4" t="str">
        <f ca="1">IFERROR(__xludf.DUMMYFUNCTION("""COMPUTED_VALUE"""),"| 1 P Python @ | 3 L CPT @ | 4 L JAVA @ ")</f>
        <v xml:space="preserve">| 1 P Python @ | 3 L CPT @ | 4 L JAVA @ </v>
      </c>
      <c r="AD507" s="4" t="str">
        <f ca="1">IFERROR(__xludf.DUMMYFUNCTION("""COMPUTED_VALUE"""),"| 1 P JAVA % | 3 L JAVA % | 4 L NS % | 5 P PRO % ")</f>
        <v xml:space="preserve">| 1 P JAVA % | 3 L JAVA % | 4 L NS % | 5 P PRO % </v>
      </c>
      <c r="AE507" s="4" t="str">
        <f ca="1">IFERROR(__xludf.DUMMYFUNCTION("""COMPUTED_VALUE"""),"| 1 P JAVA % | 3 L PHP-CGM % | 4 L NS % | 5 P CPT @ ")</f>
        <v xml:space="preserve">| 1 P JAVA % | 3 L PHP-CGM % | 4 L NS % | 5 P CPT @ </v>
      </c>
      <c r="AF507" s="4" t="str">
        <f ca="1">IFERROR(__xludf.DUMMYFUNCTION("""COMPUTED_VALUE"""),"| 1 P NS % | 3 L CPT % | 4 L PHP-CGM % | 5 P Python % ")</f>
        <v xml:space="preserve">| 1 P NS % | 3 L CPT % | 4 L PHP-CGM % | 5 P Python % </v>
      </c>
      <c r="AG507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07" s="4" t="str">
        <f ca="1">IFERROR(__xludf.DUMMYFUNCTION("""COMPUTED_VALUE"""),"| 1 P NS % | 3 L CPT @ | 4 L PHP-CGM @ | 5 P Python @ ")</f>
        <v xml:space="preserve">| 1 P NS % | 3 L CPT @ | 4 L PHP-CGM @ | 5 P Python @ </v>
      </c>
      <c r="AI507" s="4" t="str">
        <f ca="1">IFERROR(__xludf.DUMMYFUNCTION("""COMPUTED_VALUE"""),"| 1 P PHP-CGM @ | 3 L PHP-CGM % | 4 L JAVA % | 5 L CPT % | 6 L NS % ")</f>
        <v xml:space="preserve">| 1 P PHP-CGM @ | 3 L PHP-CGM % | 4 L JAVA % | 5 L CPT % | 6 L NS % </v>
      </c>
      <c r="AJ507" s="4" t="str">
        <f ca="1">IFERROR(__xludf.DUMMYFUNCTION("""COMPUTED_VALUE"""),"| 1 P Python % | 3 L CPT % | 4 L JAVA % ")</f>
        <v xml:space="preserve">| 1 P Python % | 3 L CPT % | 4 L JAVA % </v>
      </c>
      <c r="AK507" s="4" t="str">
        <f ca="1">IFERROR(__xludf.DUMMYFUNCTION("""COMPUTED_VALUE"""),"| 1 P JAVA @ | 4 L NS @ | 3 L JAVA @ | 5 P PRO @ ")</f>
        <v xml:space="preserve">| 1 P JAVA @ | 4 L NS @ | 3 L JAVA @ | 5 P PRO @ </v>
      </c>
      <c r="AL507" s="4" t="str">
        <f ca="1">IFERROR(__xludf.DUMMYFUNCTION("""COMPUTED_VALUE"""),"| 1 P JAVA % | 3 L PHP-CGM % | 4 L NS % | 5 P CPT % ")</f>
        <v xml:space="preserve">| 1 P JAVA % | 3 L PHP-CGM % | 4 L NS % | 5 P CPT % </v>
      </c>
      <c r="AM507" s="4" t="str">
        <f ca="1">IFERROR(__xludf.DUMMYFUNCTION("""COMPUTED_VALUE"""),"| 1 P NS % | 3 L CPT % | 4 L PHP-CGM % | 5 P Python % ")</f>
        <v xml:space="preserve">| 1 P NS % | 3 L CPT % | 4 L PHP-CGM % | 5 P Python % </v>
      </c>
      <c r="AN507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07" s="4" t="str">
        <f ca="1">IFERROR(__xludf.DUMMYFUNCTION("""COMPUTED_VALUE"""),"| 1 P Python % | 3 L CPT % | 4 L JAVA % | 5 L INE % ")</f>
        <v xml:space="preserve">| 1 P Python % | 3 L CPT % | 4 L JAVA % | 5 L INE % </v>
      </c>
      <c r="AP507" s="4" t="str">
        <f ca="1">IFERROR(__xludf.DUMMYFUNCTION("""COMPUTED_VALUE"""),"| 1 P JAVA % | 3 L JAVA % | 4 L NS % | 5 P PRO @ ")</f>
        <v xml:space="preserve">| 1 P JAVA % | 3 L JAVA % | 4 L NS % | 5 P PRO @ </v>
      </c>
      <c r="AQ507" s="4" t="str">
        <f ca="1">IFERROR(__xludf.DUMMYFUNCTION("""COMPUTED_VALUE"""),"| 1 P JAVA % | 3 L PHP-CGM % | 4 L NS % | 5 P CPT % ")</f>
        <v xml:space="preserve">| 1 P JAVA % | 3 L PHP-CGM % | 4 L NS % | 5 P CPT % </v>
      </c>
      <c r="AR507" s="4" t="str">
        <f ca="1">IFERROR(__xludf.DUMMYFUNCTION("""COMPUTED_VALUE"""),"| 1 P NS % | 3 L CPT % | 5 P Python @ ")</f>
        <v xml:space="preserve">| 1 P NS % | 3 L CPT % | 5 P Python @ </v>
      </c>
      <c r="AS507" s="4" t="str">
        <f ca="1">IFERROR(__xludf.DUMMYFUNCTION("""COMPUTED_VALUE"""),"| 1 P Python % | 3 L CPT % | 4 L JAVA % | 5 L INE @ ")</f>
        <v xml:space="preserve">| 1 P Python % | 3 L CPT % | 4 L JAVA % | 5 L INE @ </v>
      </c>
      <c r="AT507" s="4" t="str">
        <f ca="1">IFERROR(__xludf.DUMMYFUNCTION("""COMPUTED_VALUE"""),"| 1 P JAVA % | 3 L JAVA % | 4 L NS % | 5 P PRO @ ")</f>
        <v xml:space="preserve">| 1 P JAVA % | 3 L JAVA % | 4 L NS % | 5 P PRO @ </v>
      </c>
      <c r="AU507" s="4" t="str">
        <f ca="1">IFERROR(__xludf.DUMMYFUNCTION("""COMPUTED_VALUE"""),"| 1 P JAVA % | 3 L PHP-CGM % | 4 L NS % | 5 P CPT @ ")</f>
        <v xml:space="preserve">| 1 P JAVA % | 3 L PHP-CGM % | 4 L NS % | 5 P CPT @ </v>
      </c>
      <c r="AV507" s="4" t="str">
        <f ca="1">IFERROR(__xludf.DUMMYFUNCTION("""COMPUTED_VALUE"""),"| 1 P NS % | 3 L CPT % | 4 L PHP-CGM % | 5 P Python % ")</f>
        <v xml:space="preserve">| 1 P NS % | 3 L CPT % | 4 L PHP-CGM % | 5 P Python % </v>
      </c>
      <c r="AW507" s="4" t="str">
        <f ca="1">IFERROR(__xludf.DUMMYFUNCTION("""COMPUTED_VALUE"""),"| 3 L PHP-CGM % | 4 L JAVA % | 5 L NS % | 5 L CPT % ")</f>
        <v xml:space="preserve">| 3 L PHP-CGM % | 4 L JAVA % | 5 L NS % | 5 L CPT % </v>
      </c>
      <c r="AX507" s="4" t="str">
        <f ca="1">IFERROR(__xludf.DUMMYFUNCTION("""COMPUTED_VALUE"""),"| 1 P Python @ | 3 L CPT @ | 4 L JAVA @ | 5 L INE @ ")</f>
        <v xml:space="preserve">| 1 P Python @ | 3 L CPT @ | 4 L JAVA @ | 5 L INE @ </v>
      </c>
      <c r="AY507" s="4" t="str">
        <f ca="1">IFERROR(__xludf.DUMMYFUNCTION("""COMPUTED_VALUE"""),"| 1 P JAVA % | 3 L JAVA % | 4 L NS % | 5 P PRO % ")</f>
        <v xml:space="preserve">| 1 P JAVA % | 3 L JAVA % | 4 L NS % | 5 P PRO % </v>
      </c>
      <c r="AZ507" s="4" t="str">
        <f ca="1">IFERROR(__xludf.DUMMYFUNCTION("""COMPUTED_VALUE"""),"| 1 P NS @ | 3 L CPT % | 4 L PHP-CGM % | 5 P Python @ ")</f>
        <v xml:space="preserve">| 1 P NS @ | 3 L CPT % | 4 L PHP-CGM % | 5 P Python @ </v>
      </c>
      <c r="BA50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07" s="4" t="str">
        <f ca="1">IFERROR(__xludf.DUMMYFUNCTION("""COMPUTED_VALUE"""),"| 1 P Python @ | 3 L CPT % | 4 L JAVA % | 5 L INE % ")</f>
        <v xml:space="preserve">| 1 P Python @ | 3 L CPT % | 4 L JAVA % | 5 L INE % </v>
      </c>
      <c r="BC507" s="4" t="str">
        <f ca="1">IFERROR(__xludf.DUMMYFUNCTION("""COMPUTED_VALUE"""),"| 1 P JAVA % | 3 L JAVA % | 4 L NS % | 5 P PRO @ ")</f>
        <v xml:space="preserve">| 1 P JAVA % | 3 L JAVA % | 4 L NS % | 5 P PRO @ </v>
      </c>
      <c r="BD507" s="4" t="str">
        <f ca="1">IFERROR(__xludf.DUMMYFUNCTION("""COMPUTED_VALUE"""),"| 1 P JAVA @ | 4 L NS @  | 3 L PHP-CGM @ | 5 P CPT @ ")</f>
        <v xml:space="preserve">| 1 P JAVA @ | 4 L NS @  | 3 L PHP-CGM @ | 5 P CPT @ </v>
      </c>
      <c r="BE507" s="4" t="str">
        <f ca="1">IFERROR(__xludf.DUMMYFUNCTION("""COMPUTED_VALUE"""),"| 1 P NS % | 3 L CPT @ | 4 L PHP-CGM @ | 5 P Python % ")</f>
        <v xml:space="preserve">| 1 P NS % | 3 L CPT @ | 4 L PHP-CGM @ | 5 P Python % </v>
      </c>
      <c r="BF507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07" s="4" t="str">
        <f ca="1">IFERROR(__xludf.DUMMYFUNCTION("""COMPUTED_VALUE"""),"| 1 P JAVA % | 3 L JAVA % | 4 L NS % | 5 P PRO % ")</f>
        <v xml:space="preserve">| 1 P JAVA % | 3 L JAVA % | 4 L NS % | 5 P PRO % </v>
      </c>
      <c r="BH507" s="4" t="str">
        <f ca="1">IFERROR(__xludf.DUMMYFUNCTION("""COMPUTED_VALUE"""),"| 1 P JAVA % | 3 L PHP-CGM % | 4 L NS % | 5 P CPT % ")</f>
        <v xml:space="preserve">| 1 P JAVA % | 3 L PHP-CGM % | 4 L NS % | 5 P CPT % </v>
      </c>
      <c r="BI507" s="4" t="str">
        <f ca="1">IFERROR(__xludf.DUMMYFUNCTION("""COMPUTED_VALUE"""),"| 1 P NS % | 3 L CPT % | 4 L PHP-CGM % | 5 P Python @ ")</f>
        <v xml:space="preserve">| 1 P NS % | 3 L CPT % | 4 L PHP-CGM % | 5 P Python @ </v>
      </c>
      <c r="BJ507" s="4" t="str">
        <f ca="1">IFERROR(__xludf.DUMMYFUNCTION("""COMPUTED_VALUE"""),"| 1 P PHP-CGM @ | 3 L PHP-CGM % | 4 L JAVA % | 5 L NS % | 6 L CPT % ")</f>
        <v xml:space="preserve">| 1 P PHP-CGM @ | 3 L PHP-CGM % | 4 L JAVA % | 5 L NS % | 6 L CPT % </v>
      </c>
      <c r="BK507" s="4" t="str">
        <f ca="1">IFERROR(__xludf.DUMMYFUNCTION("""COMPUTED_VALUE"""),"| 1 P Python % | 3 L CPT @ | 4 L JAVA @ | 5 L INE @ ")</f>
        <v xml:space="preserve">| 1 P Python % | 3 L CPT @ | 4 L JAVA @ | 5 L INE @ </v>
      </c>
      <c r="BL507" s="4" t="str">
        <f ca="1">IFERROR(__xludf.DUMMYFUNCTION("""COMPUTED_VALUE"""),"| 1 P JAVA % | 3 L JAVA % | 4 L NS % ")</f>
        <v xml:space="preserve">| 1 P JAVA % | 3 L JAVA % | 4 L NS % </v>
      </c>
      <c r="BM507" s="4" t="str">
        <f ca="1">IFERROR(__xludf.DUMMYFUNCTION("""COMPUTED_VALUE"""),"| 1 P JAVA @ | 3 L PHP-CGM @ | 4 L NS @ | 5 P CPT @ ")</f>
        <v xml:space="preserve">| 1 P JAVA @ | 3 L PHP-CGM @ | 4 L NS @ | 5 P CPT @ </v>
      </c>
      <c r="BN507" s="4" t="str">
        <f ca="1">IFERROR(__xludf.DUMMYFUNCTION("""COMPUTED_VALUE"""),"| 1 P NS @ | 3 L CPT @ | 4 L PHP-CGM @ ")</f>
        <v xml:space="preserve">| 1 P NS @ | 3 L CPT @ | 4 L PHP-CGM @ </v>
      </c>
      <c r="BO507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7" s="4" t="str">
        <f ca="1">IFERROR(__xludf.DUMMYFUNCTION("""COMPUTED_VALUE"""),"| 1 P Python @ | 3 L CPT % | 4 L JAVA % | 5 L INE @ ")</f>
        <v xml:space="preserve">| 1 P Python @ | 3 L CPT % | 4 L JAVA % | 5 L INE @ </v>
      </c>
      <c r="BQ507" s="4" t="str">
        <f ca="1">IFERROR(__xludf.DUMMYFUNCTION("""COMPUTED_VALUE"""),"| 4 L NS @ | 1 P JAVA % ")</f>
        <v xml:space="preserve">| 4 L NS @ | 1 P JAVA % </v>
      </c>
      <c r="BR507" s="4"/>
      <c r="BS507" s="4"/>
      <c r="BT507" s="4" t="str">
        <f ca="1">IFERROR(__xludf.DUMMYFUNCTION("""COMPUTED_VALUE"""),"| 1 P Python % | 3 L CPT % | 4 L JAVA % ")</f>
        <v xml:space="preserve">| 1 P Python % | 3 L CPT % | 4 L JAVA % </v>
      </c>
      <c r="BU507" s="4" t="str">
        <f ca="1">IFERROR(__xludf.DUMMYFUNCTION("""COMPUTED_VALUE"""),"| 1 P JAVA % | 4 L NS % | 3 L JAVA % ")</f>
        <v xml:space="preserve">| 1 P JAVA % | 4 L NS % | 3 L JAVA % </v>
      </c>
      <c r="BV507" s="4" t="str">
        <f ca="1">IFERROR(__xludf.DUMMYFUNCTION("""COMPUTED_VALUE"""),"| 1 P Python @ | 3 L CPT @ | 4 L JAVA @ ")</f>
        <v xml:space="preserve">| 1 P Python @ | 3 L CPT @ | 4 L JAVA @ </v>
      </c>
      <c r="BW507" s="4" t="str">
        <f ca="1">IFERROR(__xludf.DUMMYFUNCTION("""COMPUTED_VALUE"""),"| 1 P JAVA @ | 3 L JAVA @ | 4 L NS @ ")</f>
        <v xml:space="preserve">| 1 P JAVA @ | 3 L JAVA @ | 4 L NS @ </v>
      </c>
      <c r="BX507" s="4" t="str">
        <f ca="1">IFERROR(__xludf.DUMMYFUNCTION("""COMPUTED_VALUE"""),"| 1 P JAVA @ | 3 L PHP-CGM % | 4 L NS % | 5 P CPT @ ")</f>
        <v xml:space="preserve">| 1 P JAVA @ | 3 L PHP-CGM % | 4 L NS % | 5 P CPT @ </v>
      </c>
      <c r="BY507" s="4" t="str">
        <f ca="1">IFERROR(__xludf.DUMMYFUNCTION("""COMPUTED_VALUE"""),"| 1 P NS % | 3 L CPT % | 4 L PHP-CGM % | 5 P Python @ ")</f>
        <v xml:space="preserve">| 1 P NS % | 3 L CPT % | 4 L PHP-CGM % | 5 P Python @ </v>
      </c>
      <c r="BZ507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07" s="4" t="str">
        <f ca="1">IFERROR(__xludf.DUMMYFUNCTION("""COMPUTED_VALUE"""),"| 1 P Python @ | 3 L CPT @ | 4 L JAVA @ | 5 L INE % ")</f>
        <v xml:space="preserve">| 1 P Python @ | 3 L CPT @ | 4 L JAVA @ | 5 L INE % </v>
      </c>
      <c r="CB507" s="4" t="str">
        <f ca="1">IFERROR(__xludf.DUMMYFUNCTION("""COMPUTED_VALUE"""),"| 1 P JAVA % | 3 L JAVA % | 4 L NS % | 5 P PRO @ ")</f>
        <v xml:space="preserve">| 1 P JAVA % | 3 L JAVA % | 4 L NS % | 5 P PRO @ </v>
      </c>
      <c r="CC507" s="4" t="str">
        <f ca="1">IFERROR(__xludf.DUMMYFUNCTION("""COMPUTED_VALUE"""),"| 1 P JAVA @ | 3 L PHP-CGM @ | 4 L NS @ | 5 P CPT @ ")</f>
        <v xml:space="preserve">| 1 P JAVA @ | 3 L PHP-CGM @ | 4 L NS @ | 5 P CPT @ </v>
      </c>
      <c r="CD507" s="4" t="str">
        <f ca="1">IFERROR(__xludf.DUMMYFUNCTION("""COMPUTED_VALUE"""),"| 1 P NS @ | 3 L CPT @ | 4 L PHP-CGM @ | 5 P Python @ ")</f>
        <v xml:space="preserve">| 1 P NS @ | 3 L CPT @ | 4 L PHP-CGM @ | 5 P Python @ </v>
      </c>
      <c r="CE507" s="4" t="str">
        <f ca="1">IFERROR(__xludf.DUMMYFUNCTION("""COMPUTED_VALUE"""),"| 1 P PHP-CGM % | 3 L PHP-CGM @ | 4 L JAVA @ | 5 L NS % | 6 L CPT % ")</f>
        <v xml:space="preserve">| 1 P PHP-CGM % | 3 L PHP-CGM @ | 4 L JAVA @ | 5 L NS % | 6 L CPT % </v>
      </c>
      <c r="CF507" s="4" t="str">
        <f ca="1">IFERROR(__xludf.DUMMYFUNCTION("""COMPUTED_VALUE"""),"| 1 P Python @ | 3 L CPT % | 4 L JAVA % | 5 L INE @ ")</f>
        <v xml:space="preserve">| 1 P Python @ | 3 L CPT % | 4 L JAVA % | 5 L INE @ </v>
      </c>
      <c r="CG507" s="4" t="str">
        <f ca="1">IFERROR(__xludf.DUMMYFUNCTION("""COMPUTED_VALUE"""),"| 1 P JAVA @ | 4 L NS % ")</f>
        <v xml:space="preserve">| 1 P JAVA @ | 4 L NS % </v>
      </c>
      <c r="CH507" s="4" t="str">
        <f ca="1">IFERROR(__xludf.DUMMYFUNCTION("""COMPUTED_VALUE"""),"| 1 P JAVA @ | 3 L PHP-CGM % | 4 L NS % ")</f>
        <v xml:space="preserve">| 1 P JAVA @ | 3 L PHP-CGM % | 4 L NS % </v>
      </c>
      <c r="CI507" s="4" t="str">
        <f ca="1">IFERROR(__xludf.DUMMYFUNCTION("""COMPUTED_VALUE"""),"| 1 P NS @ ")</f>
        <v xml:space="preserve">| 1 P NS @ </v>
      </c>
      <c r="CJ507" s="4" t="str">
        <f ca="1">IFERROR(__xludf.DUMMYFUNCTION("""COMPUTED_VALUE"""),"| 1 P PHP-CGM @ | 4 L JAVA % ")</f>
        <v xml:space="preserve">| 1 P PHP-CGM @ | 4 L JAVA % </v>
      </c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</row>
    <row r="508" spans="1:102" ht="12.5" x14ac:dyDescent="0.25">
      <c r="A508" s="3">
        <f ca="1">IFERROR(__xludf.DUMMYFUNCTION("""COMPUTED_VALUE"""),2)</f>
        <v>2</v>
      </c>
      <c r="B508" s="3" t="str">
        <f ca="1">IFERROR(__xludf.DUMMYFUNCTION("""COMPUTED_VALUE"""),"ITC")</f>
        <v>ITC</v>
      </c>
      <c r="C508" s="32" t="str">
        <f ca="1">IFERROR(__xludf.DUMMYFUNCTION("""COMPUTED_VALUE"""),"23171371094")</f>
        <v>23171371094</v>
      </c>
      <c r="D508" s="4" t="str">
        <f ca="1">IFERROR(__xludf.DUMMYFUNCTION("""COMPUTED_VALUE"""),"PATEL MAHIR ROHITKUMAR")</f>
        <v>PATEL MAHIR ROHITKUMAR</v>
      </c>
      <c r="E508" s="3" t="str">
        <f ca="1">IFERROR(__xludf.DUMMYFUNCTION("""COMPUTED_VALUE"""),"SDP&amp;KKP - Mor")</f>
        <v>SDP&amp;KKP - Mor</v>
      </c>
      <c r="F508" s="3">
        <f ca="1">IFERROR(__xludf.DUMMYFUNCTION("""COMPUTED_VALUE"""),7990013629)</f>
        <v>7990013629</v>
      </c>
      <c r="G508" s="3">
        <f ca="1">IFERROR(__xludf.DUMMYFUNCTION("""COMPUTED_VALUE"""),9726043028)</f>
        <v>9726043028</v>
      </c>
      <c r="H508" s="33">
        <f ca="1">IFERROR(__xludf.DUMMYFUNCTION("""COMPUTED_VALUE"""),0.688796680497925)</f>
        <v>0.68879668049792497</v>
      </c>
      <c r="I508" s="25">
        <f ca="1">IFERROR(__xludf.DUMMYFUNCTION("""COMPUTED_VALUE"""),0.666666666666666)</f>
        <v>0.66666666666666596</v>
      </c>
      <c r="J508" s="25">
        <f ca="1">IFERROR(__xludf.DUMMYFUNCTION("""COMPUTED_VALUE"""),0.6)</f>
        <v>0.6</v>
      </c>
      <c r="K508" s="25">
        <f ca="1">IFERROR(__xludf.DUMMYFUNCTION("""COMPUTED_VALUE"""),0.722222222222222)</f>
        <v>0.72222222222222199</v>
      </c>
      <c r="L508" s="25">
        <f ca="1">IFERROR(__xludf.DUMMYFUNCTION("""COMPUTED_VALUE"""),0.692307692307692)</f>
        <v>0.69230769230769196</v>
      </c>
      <c r="M508" s="25">
        <f ca="1">IFERROR(__xludf.DUMMYFUNCTION("""COMPUTED_VALUE"""),0.71875)</f>
        <v>0.71875</v>
      </c>
      <c r="N508" s="25">
        <f ca="1">IFERROR(__xludf.DUMMYFUNCTION("""COMPUTED_VALUE"""),0.636363636363636)</f>
        <v>0.63636363636363602</v>
      </c>
      <c r="O508" s="25">
        <f ca="1">IFERROR(__xludf.DUMMYFUNCTION("""COMPUTED_VALUE"""),0.756756756756756)</f>
        <v>0.75675675675675602</v>
      </c>
      <c r="P508" s="25">
        <f ca="1">IFERROR(__xludf.DUMMYFUNCTION("""COMPUTED_VALUE"""),0.84)</f>
        <v>0.84</v>
      </c>
      <c r="Q508" s="25">
        <f ca="1">IFERROR(__xludf.DUMMYFUNCTION("""COMPUTED_VALUE"""),0)</f>
        <v>0</v>
      </c>
      <c r="R508" s="25">
        <f ca="1">IFERROR(__xludf.DUMMYFUNCTION("""COMPUTED_VALUE"""),0.583333333333333)</f>
        <v>0.58333333333333304</v>
      </c>
      <c r="S508" s="25">
        <f ca="1">IFERROR(__xludf.DUMMYFUNCTION("""COMPUTED_VALUE"""),0)</f>
        <v>0</v>
      </c>
      <c r="T508" s="25">
        <f ca="1">IFERROR(__xludf.DUMMYFUNCTION("""COMPUTED_VALUE"""),0.444444444444444)</f>
        <v>0.44444444444444398</v>
      </c>
      <c r="U508" s="25">
        <f ca="1">IFERROR(__xludf.DUMMYFUNCTION("""COMPUTED_VALUE"""),0.5)</f>
        <v>0.5</v>
      </c>
      <c r="V508" s="25">
        <f ca="1">IFERROR(__xludf.DUMMYFUNCTION("""COMPUTED_VALUE"""),0)</f>
        <v>0</v>
      </c>
      <c r="W508" s="4"/>
      <c r="X508" s="4" t="str">
        <f ca="1">IFERROR(__xludf.DUMMYFUNCTION("""COMPUTED_VALUE"""),"| 1 P Python @ | 3 L CPT @ | 4 L JAVA % ")</f>
        <v xml:space="preserve">| 1 P Python @ | 3 L CPT @ | 4 L JAVA % </v>
      </c>
      <c r="Y508" s="4" t="str">
        <f ca="1">IFERROR(__xludf.DUMMYFUNCTION("""COMPUTED_VALUE"""),"| 1 P JAVA % | 3 L JAVA % | 4 L NS % | 5 P PRO @ ")</f>
        <v xml:space="preserve">| 1 P JAVA % | 3 L JAVA % | 4 L NS % | 5 P PRO @ </v>
      </c>
      <c r="Z508" s="4" t="str">
        <f ca="1">IFERROR(__xludf.DUMMYFUNCTION("""COMPUTED_VALUE"""),"| 1 P JAVA % | 3 L PHP-CGM % | 4 L NS % | 5 P CPT @ ")</f>
        <v xml:space="preserve">| 1 P JAVA % | 3 L PHP-CGM % | 4 L NS % | 5 P CPT @ </v>
      </c>
      <c r="AA508" s="4" t="str">
        <f ca="1">IFERROR(__xludf.DUMMYFUNCTION("""COMPUTED_VALUE"""),"| 1 P NS % | 3 L CPT % | 5 P Python % ")</f>
        <v xml:space="preserve">| 1 P NS % | 3 L CPT % | 5 P Python % </v>
      </c>
      <c r="AB50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08" s="4" t="str">
        <f ca="1">IFERROR(__xludf.DUMMYFUNCTION("""COMPUTED_VALUE"""),"| 1 P Python % | 3 L CPT % | 4 L JAVA % ")</f>
        <v xml:space="preserve">| 1 P Python % | 3 L CPT % | 4 L JAVA % </v>
      </c>
      <c r="AD508" s="4" t="str">
        <f ca="1">IFERROR(__xludf.DUMMYFUNCTION("""COMPUTED_VALUE"""),"| 1 P JAVA % | 3 L JAVA % | 4 L NS % | 5 P PRO % ")</f>
        <v xml:space="preserve">| 1 P JAVA % | 3 L JAVA % | 4 L NS % | 5 P PRO % </v>
      </c>
      <c r="AE508" s="4" t="str">
        <f ca="1">IFERROR(__xludf.DUMMYFUNCTION("""COMPUTED_VALUE"""),"| 1 P JAVA % | 3 L PHP-CGM % | 4 L NS % | 5 P CPT % ")</f>
        <v xml:space="preserve">| 1 P JAVA % | 3 L PHP-CGM % | 4 L NS % | 5 P CPT % </v>
      </c>
      <c r="AF508" s="4" t="str">
        <f ca="1">IFERROR(__xludf.DUMMYFUNCTION("""COMPUTED_VALUE"""),"| 1 P NS % | 3 L CPT % | 4 L PHP-CGM % | 5 P Python % ")</f>
        <v xml:space="preserve">| 1 P NS % | 3 L CPT % | 4 L PHP-CGM % | 5 P Python % </v>
      </c>
      <c r="AG50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08" s="4" t="str">
        <f ca="1">IFERROR(__xludf.DUMMYFUNCTION("""COMPUTED_VALUE"""),"| 1 P NS % | 3 L CPT % | 4 L PHP-CGM % | 5 P Python % ")</f>
        <v xml:space="preserve">| 1 P NS % | 3 L CPT % | 4 L PHP-CGM % | 5 P Python % </v>
      </c>
      <c r="AI50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508" s="4" t="str">
        <f ca="1">IFERROR(__xludf.DUMMYFUNCTION("""COMPUTED_VALUE"""),"| 1 P Python % | 3 L CPT % | 4 L JAVA % ")</f>
        <v xml:space="preserve">| 1 P Python % | 3 L CPT % | 4 L JAVA % </v>
      </c>
      <c r="AK508" s="4" t="str">
        <f ca="1">IFERROR(__xludf.DUMMYFUNCTION("""COMPUTED_VALUE"""),"| 1 P JAVA % | 4 L NS % | 3 L JAVA % | 5 P PRO % ")</f>
        <v xml:space="preserve">| 1 P JAVA % | 4 L NS % | 3 L JAVA % | 5 P PRO % </v>
      </c>
      <c r="AL508" s="4" t="str">
        <f ca="1">IFERROR(__xludf.DUMMYFUNCTION("""COMPUTED_VALUE"""),"| 1 P JAVA % | 3 L PHP-CGM % | 4 L NS % | 5 P CPT % ")</f>
        <v xml:space="preserve">| 1 P JAVA % | 3 L PHP-CGM % | 4 L NS % | 5 P CPT % </v>
      </c>
      <c r="AM508" s="4" t="str">
        <f ca="1">IFERROR(__xludf.DUMMYFUNCTION("""COMPUTED_VALUE"""),"| 1 P NS % | 3 L CPT @ | 4 L PHP-CGM @ | 5 P Python % ")</f>
        <v xml:space="preserve">| 1 P NS % | 3 L CPT @ | 4 L PHP-CGM @ | 5 P Python % </v>
      </c>
      <c r="AN50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08" s="4" t="str">
        <f ca="1">IFERROR(__xludf.DUMMYFUNCTION("""COMPUTED_VALUE"""),"| 1 P Python % | 3 L CPT @ | 4 L JAVA % | 5 L INE % ")</f>
        <v xml:space="preserve">| 1 P Python % | 3 L CPT @ | 4 L JAVA % | 5 L INE % </v>
      </c>
      <c r="AP508" s="4" t="str">
        <f ca="1">IFERROR(__xludf.DUMMYFUNCTION("""COMPUTED_VALUE"""),"| 1 P JAVA @ | 3 L JAVA @ | 4 L NS @ | 5 P PRO @ ")</f>
        <v xml:space="preserve">| 1 P JAVA @ | 3 L JAVA @ | 4 L NS @ | 5 P PRO @ </v>
      </c>
      <c r="AQ508" s="4" t="str">
        <f ca="1">IFERROR(__xludf.DUMMYFUNCTION("""COMPUTED_VALUE"""),"| 1 P JAVA % | 3 L PHP-CGM % | 4 L NS % | 5 P CPT % ")</f>
        <v xml:space="preserve">| 1 P JAVA % | 3 L PHP-CGM % | 4 L NS % | 5 P CPT % </v>
      </c>
      <c r="AR508" s="4" t="str">
        <f ca="1">IFERROR(__xludf.DUMMYFUNCTION("""COMPUTED_VALUE"""),"| 1 P NS % | 3 L CPT % | 5 P Python @ ")</f>
        <v xml:space="preserve">| 1 P NS % | 3 L CPT % | 5 P Python @ </v>
      </c>
      <c r="AS508" s="4" t="str">
        <f ca="1">IFERROR(__xludf.DUMMYFUNCTION("""COMPUTED_VALUE"""),"| 1 P Python @ | 3 L CPT % | 4 L JAVA % | 5 L INE % ")</f>
        <v xml:space="preserve">| 1 P Python @ | 3 L CPT % | 4 L JAVA % | 5 L INE % </v>
      </c>
      <c r="AT508" s="4" t="str">
        <f ca="1">IFERROR(__xludf.DUMMYFUNCTION("""COMPUTED_VALUE"""),"| 1 P JAVA % | 3 L JAVA % | 4 L NS % | 5 P PRO % ")</f>
        <v xml:space="preserve">| 1 P JAVA % | 3 L JAVA % | 4 L NS % | 5 P PRO % </v>
      </c>
      <c r="AU508" s="4" t="str">
        <f ca="1">IFERROR(__xludf.DUMMYFUNCTION("""COMPUTED_VALUE"""),"| 1 P JAVA % | 3 L PHP-CGM % | 4 L NS % | 5 P CPT % ")</f>
        <v xml:space="preserve">| 1 P JAVA % | 3 L PHP-CGM % | 4 L NS % | 5 P CPT % </v>
      </c>
      <c r="AV508" s="4" t="str">
        <f ca="1">IFERROR(__xludf.DUMMYFUNCTION("""COMPUTED_VALUE"""),"| 1 P NS % | 3 L CPT % | 4 L PHP-CGM % | 5 P Python % ")</f>
        <v xml:space="preserve">| 1 P NS % | 3 L CPT % | 4 L PHP-CGM % | 5 P Python % </v>
      </c>
      <c r="AW508" s="4" t="str">
        <f ca="1">IFERROR(__xludf.DUMMYFUNCTION("""COMPUTED_VALUE"""),"| 3 L PHP-CGM % | 4 L JAVA % | 5 L NS % | 5 L CPT % ")</f>
        <v xml:space="preserve">| 3 L PHP-CGM % | 4 L JAVA % | 5 L NS % | 5 L CPT % </v>
      </c>
      <c r="AX508" s="4" t="str">
        <f ca="1">IFERROR(__xludf.DUMMYFUNCTION("""COMPUTED_VALUE"""),"| 1 P Python @ | 3 L CPT @ | 4 L JAVA @ | 5 L INE @ ")</f>
        <v xml:space="preserve">| 1 P Python @ | 3 L CPT @ | 4 L JAVA @ | 5 L INE @ </v>
      </c>
      <c r="AY508" s="4" t="str">
        <f ca="1">IFERROR(__xludf.DUMMYFUNCTION("""COMPUTED_VALUE"""),"| 1 P JAVA % | 3 L JAVA % | 4 L NS % | 5 P PRO % ")</f>
        <v xml:space="preserve">| 1 P JAVA % | 3 L JAVA % | 4 L NS % | 5 P PRO % </v>
      </c>
      <c r="AZ508" s="4" t="str">
        <f ca="1">IFERROR(__xludf.DUMMYFUNCTION("""COMPUTED_VALUE"""),"| 1 P NS % | 3 L CPT % | 4 L PHP-CGM % | 5 P Python % ")</f>
        <v xml:space="preserve">| 1 P NS % | 3 L CPT % | 4 L PHP-CGM % | 5 P Python % </v>
      </c>
      <c r="BA508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B508" s="4" t="str">
        <f ca="1">IFERROR(__xludf.DUMMYFUNCTION("""COMPUTED_VALUE"""),"| 1 P Python @ | 3 L CPT @ | 4 L JAVA @ | 5 L INE @ ")</f>
        <v xml:space="preserve">| 1 P Python @ | 3 L CPT @ | 4 L JAVA @ | 5 L INE @ </v>
      </c>
      <c r="BC508" s="4" t="str">
        <f ca="1">IFERROR(__xludf.DUMMYFUNCTION("""COMPUTED_VALUE"""),"| 1 P JAVA % | 3 L JAVA % | 4 L NS % | 5 P PRO @ ")</f>
        <v xml:space="preserve">| 1 P JAVA % | 3 L JAVA % | 4 L NS % | 5 P PRO @ </v>
      </c>
      <c r="BD508" s="4" t="str">
        <f ca="1">IFERROR(__xludf.DUMMYFUNCTION("""COMPUTED_VALUE"""),"| 1 P JAVA % | 4 L NS %  | 3 L PHP-CGM % | 5 P CPT % ")</f>
        <v xml:space="preserve">| 1 P JAVA % | 4 L NS %  | 3 L PHP-CGM % | 5 P CPT % </v>
      </c>
      <c r="BE508" s="4" t="str">
        <f ca="1">IFERROR(__xludf.DUMMYFUNCTION("""COMPUTED_VALUE"""),"| 1 P NS @ | 3 L CPT @ | 4 L PHP-CGM @ | 5 P Python @ ")</f>
        <v xml:space="preserve">| 1 P NS @ | 3 L CPT @ | 4 L PHP-CGM @ | 5 P Python @ </v>
      </c>
      <c r="BF508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08" s="4" t="str">
        <f ca="1">IFERROR(__xludf.DUMMYFUNCTION("""COMPUTED_VALUE"""),"| 1 P JAVA % | 3 L JAVA % | 4 L NS % | 5 P PRO @ ")</f>
        <v xml:space="preserve">| 1 P JAVA % | 3 L JAVA % | 4 L NS % | 5 P PRO @ </v>
      </c>
      <c r="BH508" s="4" t="str">
        <f ca="1">IFERROR(__xludf.DUMMYFUNCTION("""COMPUTED_VALUE"""),"| 1 P JAVA % | 3 L PHP-CGM % | 4 L NS % | 5 P CPT @ ")</f>
        <v xml:space="preserve">| 1 P JAVA % | 3 L PHP-CGM % | 4 L NS % | 5 P CPT @ </v>
      </c>
      <c r="BI508" s="4" t="str">
        <f ca="1">IFERROR(__xludf.DUMMYFUNCTION("""COMPUTED_VALUE"""),"| 1 P NS % | 3 L CPT % | 4 L PHP-CGM % | 5 P Python % ")</f>
        <v xml:space="preserve">| 1 P NS % | 3 L CPT % | 4 L PHP-CGM % | 5 P Python % </v>
      </c>
      <c r="BJ508" s="4" t="str">
        <f ca="1">IFERROR(__xludf.DUMMYFUNCTION("""COMPUTED_VALUE"""),"| 1 P PHP-CGM @ | 3 L PHP-CGM % | 4 L JAVA % | 5 L NS % | 6 L CPT % ")</f>
        <v xml:space="preserve">| 1 P PHP-CGM @ | 3 L PHP-CGM % | 4 L JAVA % | 5 L NS % | 6 L CPT % </v>
      </c>
      <c r="BK508" s="4" t="str">
        <f ca="1">IFERROR(__xludf.DUMMYFUNCTION("""COMPUTED_VALUE"""),"| 1 P Python % | 3 L CPT % | 4 L JAVA % | 5 L INE @ ")</f>
        <v xml:space="preserve">| 1 P Python % | 3 L CPT % | 4 L JAVA % | 5 L INE @ </v>
      </c>
      <c r="BL508" s="4" t="str">
        <f ca="1">IFERROR(__xludf.DUMMYFUNCTION("""COMPUTED_VALUE"""),"| 1 P JAVA @ | 3 L JAVA @ | 4 L NS @ ")</f>
        <v xml:space="preserve">| 1 P JAVA @ | 3 L JAVA @ | 4 L NS @ </v>
      </c>
      <c r="BM508" s="4" t="str">
        <f ca="1">IFERROR(__xludf.DUMMYFUNCTION("""COMPUTED_VALUE"""),"| 1 P JAVA @ | 3 L PHP-CGM @ | 4 L NS @ | 5 P CPT @ ")</f>
        <v xml:space="preserve">| 1 P JAVA @ | 3 L PHP-CGM @ | 4 L NS @ | 5 P CPT @ </v>
      </c>
      <c r="BN508" s="4" t="str">
        <f ca="1">IFERROR(__xludf.DUMMYFUNCTION("""COMPUTED_VALUE"""),"| 1 P NS @ | 3 L CPT @ | 4 L PHP-CGM @ ")</f>
        <v xml:space="preserve">| 1 P NS @ | 3 L CPT @ | 4 L PHP-CGM @ </v>
      </c>
      <c r="BO508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8" s="4" t="str">
        <f ca="1">IFERROR(__xludf.DUMMYFUNCTION("""COMPUTED_VALUE"""),"| 1 P Python % | 3 L CPT % | 4 L JAVA % | 5 L INE % ")</f>
        <v xml:space="preserve">| 1 P Python % | 3 L CPT % | 4 L JAVA % | 5 L INE % </v>
      </c>
      <c r="BQ508" s="4" t="str">
        <f ca="1">IFERROR(__xludf.DUMMYFUNCTION("""COMPUTED_VALUE"""),"| 4 L NS @ | 1 P JAVA % ")</f>
        <v xml:space="preserve">| 4 L NS @ | 1 P JAVA % </v>
      </c>
      <c r="BR508" s="4"/>
      <c r="BS508" s="4"/>
      <c r="BT508" s="4" t="str">
        <f ca="1">IFERROR(__xludf.DUMMYFUNCTION("""COMPUTED_VALUE"""),"| 1 P Python % | 3 L CPT % | 4 L JAVA % ")</f>
        <v xml:space="preserve">| 1 P Python % | 3 L CPT % | 4 L JAVA % </v>
      </c>
      <c r="BU508" s="4" t="str">
        <f ca="1">IFERROR(__xludf.DUMMYFUNCTION("""COMPUTED_VALUE"""),"| 1 P JAVA % | 4 L NS % | 3 L JAVA % ")</f>
        <v xml:space="preserve">| 1 P JAVA % | 4 L NS % | 3 L JAVA % </v>
      </c>
      <c r="BV508" s="4" t="str">
        <f ca="1">IFERROR(__xludf.DUMMYFUNCTION("""COMPUTED_VALUE"""),"| 1 P Python @ | 3 L CPT @ | 4 L JAVA @ ")</f>
        <v xml:space="preserve">| 1 P Python @ | 3 L CPT @ | 4 L JAVA @ </v>
      </c>
      <c r="BW508" s="4" t="str">
        <f ca="1">IFERROR(__xludf.DUMMYFUNCTION("""COMPUTED_VALUE"""),"| 1 P JAVA % | 3 L JAVA % | 4 L NS % ")</f>
        <v xml:space="preserve">| 1 P JAVA % | 3 L JAVA % | 4 L NS % </v>
      </c>
      <c r="BX508" s="4" t="str">
        <f ca="1">IFERROR(__xludf.DUMMYFUNCTION("""COMPUTED_VALUE"""),"| 1 P JAVA % | 3 L PHP-CGM % | 4 L NS % | 5 P CPT @ ")</f>
        <v xml:space="preserve">| 1 P JAVA % | 3 L PHP-CGM % | 4 L NS % | 5 P CPT @ </v>
      </c>
      <c r="BY508" s="4" t="str">
        <f ca="1">IFERROR(__xludf.DUMMYFUNCTION("""COMPUTED_VALUE"""),"| 1 P NS @ | 3 L CPT % | 4 L PHP-CGM % | 5 P Python @ ")</f>
        <v xml:space="preserve">| 1 P NS @ | 3 L CPT % | 4 L PHP-CGM % | 5 P Python @ </v>
      </c>
      <c r="BZ508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08" s="4" t="str">
        <f ca="1">IFERROR(__xludf.DUMMYFUNCTION("""COMPUTED_VALUE"""),"| 1 P Python % | 3 L CPT % | 4 L JAVA % | 5 L INE % ")</f>
        <v xml:space="preserve">| 1 P Python % | 3 L CPT % | 4 L JAVA % | 5 L INE % </v>
      </c>
      <c r="CB508" s="4" t="str">
        <f ca="1">IFERROR(__xludf.DUMMYFUNCTION("""COMPUTED_VALUE"""),"| 1 P JAVA % | 3 L JAVA @ | 4 L NS @ | 5 P PRO @ ")</f>
        <v xml:space="preserve">| 1 P JAVA % | 3 L JAVA @ | 4 L NS @ | 5 P PRO @ </v>
      </c>
      <c r="CC508" s="4" t="str">
        <f ca="1">IFERROR(__xludf.DUMMYFUNCTION("""COMPUTED_VALUE"""),"| 1 P JAVA % | 3 L PHP-CGM % | 4 L NS % | 5 P CPT % ")</f>
        <v xml:space="preserve">| 1 P JAVA % | 3 L PHP-CGM % | 4 L NS % | 5 P CPT % </v>
      </c>
      <c r="CD508" s="4" t="str">
        <f ca="1">IFERROR(__xludf.DUMMYFUNCTION("""COMPUTED_VALUE"""),"| 1 P NS @ | 3 L CPT @ | 4 L PHP-CGM @ | 5 P Python @ ")</f>
        <v xml:space="preserve">| 1 P NS @ | 3 L CPT @ | 4 L PHP-CGM @ | 5 P Python @ </v>
      </c>
      <c r="CE508" s="4" t="str">
        <f ca="1">IFERROR(__xludf.DUMMYFUNCTION("""COMPUTED_VALUE"""),"| 1 P PHP-CGM % | 3 L PHP-CGM @ | 4 L JAVA @ | 5 L NS % | 6 L CPT % ")</f>
        <v xml:space="preserve">| 1 P PHP-CGM % | 3 L PHP-CGM @ | 4 L JAVA @ | 5 L NS % | 6 L CPT % </v>
      </c>
      <c r="CF508" s="4" t="str">
        <f ca="1">IFERROR(__xludf.DUMMYFUNCTION("""COMPUTED_VALUE"""),"| 1 P Python @ | 3 L CPT % | 4 L JAVA % | 5 L INE @ ")</f>
        <v xml:space="preserve">| 1 P Python @ | 3 L CPT % | 4 L JAVA % | 5 L INE @ </v>
      </c>
      <c r="CG508" s="4" t="str">
        <f ca="1">IFERROR(__xludf.DUMMYFUNCTION("""COMPUTED_VALUE"""),"| 1 P JAVA % | 4 L NS % ")</f>
        <v xml:space="preserve">| 1 P JAVA % | 4 L NS % </v>
      </c>
      <c r="CH508" s="4" t="str">
        <f ca="1">IFERROR(__xludf.DUMMYFUNCTION("""COMPUTED_VALUE"""),"| 1 P JAVA @ | 3 L PHP-CGM @ | 4 L NS @ ")</f>
        <v xml:space="preserve">| 1 P JAVA @ | 3 L PHP-CGM @ | 4 L NS @ </v>
      </c>
      <c r="CI508" s="4" t="str">
        <f ca="1">IFERROR(__xludf.DUMMYFUNCTION("""COMPUTED_VALUE"""),"| 1 P NS % ")</f>
        <v xml:space="preserve">| 1 P NS % </v>
      </c>
      <c r="CJ508" s="4" t="str">
        <f ca="1">IFERROR(__xludf.DUMMYFUNCTION("""COMPUTED_VALUE"""),"| 1 P PHP-CGM @ | 4 L JAVA % ")</f>
        <v xml:space="preserve">| 1 P PHP-CGM @ | 4 L JAVA % </v>
      </c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</row>
    <row r="509" spans="1:102" ht="12.5" x14ac:dyDescent="0.25">
      <c r="A509" s="3">
        <f ca="1">IFERROR(__xludf.DUMMYFUNCTION("""COMPUTED_VALUE"""),2)</f>
        <v>2</v>
      </c>
      <c r="B509" s="3" t="str">
        <f ca="1">IFERROR(__xludf.DUMMYFUNCTION("""COMPUTED_VALUE"""),"ITC")</f>
        <v>ITC</v>
      </c>
      <c r="C509" s="32" t="str">
        <f ca="1">IFERROR(__xludf.DUMMYFUNCTION("""COMPUTED_VALUE"""),"23171371095")</f>
        <v>23171371095</v>
      </c>
      <c r="D509" s="4" t="str">
        <f ca="1">IFERROR(__xludf.DUMMYFUNCTION("""COMPUTED_VALUE"""),"PATEL MANTHAN RAJENDRAKUMAR")</f>
        <v>PATEL MANTHAN RAJENDRAKUMAR</v>
      </c>
      <c r="E509" s="3" t="str">
        <f ca="1">IFERROR(__xludf.DUMMYFUNCTION("""COMPUTED_VALUE"""),"SDP&amp;KKP - Mor")</f>
        <v>SDP&amp;KKP - Mor</v>
      </c>
      <c r="F509" s="3">
        <f ca="1">IFERROR(__xludf.DUMMYFUNCTION("""COMPUTED_VALUE"""),6354569595)</f>
        <v>6354569595</v>
      </c>
      <c r="G509" s="3">
        <f ca="1">IFERROR(__xludf.DUMMYFUNCTION("""COMPUTED_VALUE"""),9979630255)</f>
        <v>9979630255</v>
      </c>
      <c r="H509" s="33">
        <f ca="1">IFERROR(__xludf.DUMMYFUNCTION("""COMPUTED_VALUE"""),0.680497925311203)</f>
        <v>0.68049792531120301</v>
      </c>
      <c r="I509" s="25">
        <f ca="1">IFERROR(__xludf.DUMMYFUNCTION("""COMPUTED_VALUE"""),0.722222222222222)</f>
        <v>0.72222222222222199</v>
      </c>
      <c r="J509" s="25">
        <f ca="1">IFERROR(__xludf.DUMMYFUNCTION("""COMPUTED_VALUE"""),0.8)</f>
        <v>0.8</v>
      </c>
      <c r="K509" s="25">
        <f ca="1">IFERROR(__xludf.DUMMYFUNCTION("""COMPUTED_VALUE"""),0.611111111111111)</f>
        <v>0.61111111111111105</v>
      </c>
      <c r="L509" s="25">
        <f ca="1">IFERROR(__xludf.DUMMYFUNCTION("""COMPUTED_VALUE"""),0.692307692307692)</f>
        <v>0.69230769230769196</v>
      </c>
      <c r="M509" s="25">
        <f ca="1">IFERROR(__xludf.DUMMYFUNCTION("""COMPUTED_VALUE"""),0.71875)</f>
        <v>0.71875</v>
      </c>
      <c r="N509" s="25">
        <f ca="1">IFERROR(__xludf.DUMMYFUNCTION("""COMPUTED_VALUE"""),0.636363636363636)</f>
        <v>0.63636363636363602</v>
      </c>
      <c r="O509" s="25">
        <f ca="1">IFERROR(__xludf.DUMMYFUNCTION("""COMPUTED_VALUE"""),0.648648648648648)</f>
        <v>0.64864864864864802</v>
      </c>
      <c r="P509" s="25">
        <f ca="1">IFERROR(__xludf.DUMMYFUNCTION("""COMPUTED_VALUE"""),0.68)</f>
        <v>0.68</v>
      </c>
      <c r="Q509" s="25">
        <f ca="1">IFERROR(__xludf.DUMMYFUNCTION("""COMPUTED_VALUE"""),0)</f>
        <v>0</v>
      </c>
      <c r="R509" s="25">
        <f ca="1">IFERROR(__xludf.DUMMYFUNCTION("""COMPUTED_VALUE"""),0.625)</f>
        <v>0.625</v>
      </c>
      <c r="S509" s="25">
        <f ca="1">IFERROR(__xludf.DUMMYFUNCTION("""COMPUTED_VALUE"""),0)</f>
        <v>0</v>
      </c>
      <c r="T509" s="25">
        <f ca="1">IFERROR(__xludf.DUMMYFUNCTION("""COMPUTED_VALUE"""),0.777777777777777)</f>
        <v>0.77777777777777701</v>
      </c>
      <c r="U509" s="25">
        <f ca="1">IFERROR(__xludf.DUMMYFUNCTION("""COMPUTED_VALUE"""),0.75)</f>
        <v>0.75</v>
      </c>
      <c r="V509" s="25">
        <f ca="1">IFERROR(__xludf.DUMMYFUNCTION("""COMPUTED_VALUE"""),0)</f>
        <v>0</v>
      </c>
      <c r="W509" s="4"/>
      <c r="X509" s="4" t="str">
        <f ca="1">IFERROR(__xludf.DUMMYFUNCTION("""COMPUTED_VALUE"""),"| 1 P Python @ | 3 L CPT @ | 4 L JAVA % ")</f>
        <v xml:space="preserve">| 1 P Python @ | 3 L CPT @ | 4 L JAVA % </v>
      </c>
      <c r="Y509" s="4" t="str">
        <f ca="1">IFERROR(__xludf.DUMMYFUNCTION("""COMPUTED_VALUE"""),"| 1 P JAVA % | 3 L JAVA @ | 4 L NS % | 5 P PRO % ")</f>
        <v xml:space="preserve">| 1 P JAVA % | 3 L JAVA @ | 4 L NS % | 5 P PRO % </v>
      </c>
      <c r="Z509" s="4" t="str">
        <f ca="1">IFERROR(__xludf.DUMMYFUNCTION("""COMPUTED_VALUE"""),"| 1 P JAVA % | 3 L PHP-CGM % | 4 L NS % | 5 P CPT % ")</f>
        <v xml:space="preserve">| 1 P JAVA % | 3 L PHP-CGM % | 4 L NS % | 5 P CPT % </v>
      </c>
      <c r="AA509" s="4" t="str">
        <f ca="1">IFERROR(__xludf.DUMMYFUNCTION("""COMPUTED_VALUE"""),"| 1 P NS @ | 3 L CPT @ | 5 P Python @ ")</f>
        <v xml:space="preserve">| 1 P NS @ | 3 L CPT @ | 5 P Python @ </v>
      </c>
      <c r="AB509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09" s="4" t="str">
        <f ca="1">IFERROR(__xludf.DUMMYFUNCTION("""COMPUTED_VALUE"""),"| 1 P Python % | 3 L CPT % | 4 L JAVA % ")</f>
        <v xml:space="preserve">| 1 P Python % | 3 L CPT % | 4 L JAVA % </v>
      </c>
      <c r="AD509" s="4" t="str">
        <f ca="1">IFERROR(__xludf.DUMMYFUNCTION("""COMPUTED_VALUE"""),"| 1 P JAVA % | 3 L JAVA % | 4 L NS % | 5 P PRO % ")</f>
        <v xml:space="preserve">| 1 P JAVA % | 3 L JAVA % | 4 L NS % | 5 P PRO % </v>
      </c>
      <c r="AE509" s="4" t="str">
        <f ca="1">IFERROR(__xludf.DUMMYFUNCTION("""COMPUTED_VALUE"""),"| 1 P JAVA % | 3 L PHP-CGM % | 4 L NS % | 5 P CPT % ")</f>
        <v xml:space="preserve">| 1 P JAVA % | 3 L PHP-CGM % | 4 L NS % | 5 P CPT % </v>
      </c>
      <c r="AF509" s="4" t="str">
        <f ca="1">IFERROR(__xludf.DUMMYFUNCTION("""COMPUTED_VALUE"""),"| 1 P NS % | 3 L CPT % | 4 L PHP-CGM % | 5 P Python % ")</f>
        <v xml:space="preserve">| 1 P NS % | 3 L CPT % | 4 L PHP-CGM % | 5 P Python % </v>
      </c>
      <c r="AG509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09" s="4" t="str">
        <f ca="1">IFERROR(__xludf.DUMMYFUNCTION("""COMPUTED_VALUE"""),"| 1 P NS % | 3 L CPT % | 4 L PHP-CGM % | 5 P Python % ")</f>
        <v xml:space="preserve">| 1 P NS % | 3 L CPT % | 4 L PHP-CGM % | 5 P Python % </v>
      </c>
      <c r="AI509" s="4" t="str">
        <f ca="1">IFERROR(__xludf.DUMMYFUNCTION("""COMPUTED_VALUE"""),"| 1 P PHP-CGM % | 3 L PHP-CGM % | 4 L JAVA % | 5 L CPT % | 6 L NS @ ")</f>
        <v xml:space="preserve">| 1 P PHP-CGM % | 3 L PHP-CGM % | 4 L JAVA % | 5 L CPT % | 6 L NS @ </v>
      </c>
      <c r="AJ509" s="4" t="str">
        <f ca="1">IFERROR(__xludf.DUMMYFUNCTION("""COMPUTED_VALUE"""),"| 1 P Python % | 3 L CPT % | 4 L JAVA % ")</f>
        <v xml:space="preserve">| 1 P Python % | 3 L CPT % | 4 L JAVA % </v>
      </c>
      <c r="AK509" s="4" t="str">
        <f ca="1">IFERROR(__xludf.DUMMYFUNCTION("""COMPUTED_VALUE"""),"| 1 P JAVA @ | 4 L NS @ | 3 L JAVA @ | 5 P PRO @ ")</f>
        <v xml:space="preserve">| 1 P JAVA @ | 4 L NS @ | 3 L JAVA @ | 5 P PRO @ </v>
      </c>
      <c r="AL509" s="4" t="str">
        <f ca="1">IFERROR(__xludf.DUMMYFUNCTION("""COMPUTED_VALUE"""),"| 1 P JAVA % | 3 L PHP-CGM % | 4 L NS % | 5 P CPT % ")</f>
        <v xml:space="preserve">| 1 P JAVA % | 3 L PHP-CGM % | 4 L NS % | 5 P CPT % </v>
      </c>
      <c r="AM509" s="4" t="str">
        <f ca="1">IFERROR(__xludf.DUMMYFUNCTION("""COMPUTED_VALUE"""),"| 1 P NS @ | 3 L CPT @ | 4 L PHP-CGM @ | 5 P Python @ ")</f>
        <v xml:space="preserve">| 1 P NS @ | 3 L CPT @ | 4 L PHP-CGM @ | 5 P Python @ </v>
      </c>
      <c r="AN509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09" s="4" t="str">
        <f ca="1">IFERROR(__xludf.DUMMYFUNCTION("""COMPUTED_VALUE"""),"| 1 P Python % | 3 L CPT % | 4 L JAVA % | 5 L INE % ")</f>
        <v xml:space="preserve">| 1 P Python % | 3 L CPT % | 4 L JAVA % | 5 L INE % </v>
      </c>
      <c r="AP509" s="4" t="str">
        <f ca="1">IFERROR(__xludf.DUMMYFUNCTION("""COMPUTED_VALUE"""),"| 1 P JAVA % | 3 L JAVA @ | 4 L NS % | 5 P PRO % ")</f>
        <v xml:space="preserve">| 1 P JAVA % | 3 L JAVA @ | 4 L NS % | 5 P PRO % </v>
      </c>
      <c r="AQ509" s="4" t="str">
        <f ca="1">IFERROR(__xludf.DUMMYFUNCTION("""COMPUTED_VALUE"""),"| 1 P JAVA % | 3 L PHP-CGM % | 4 L NS % | 5 P CPT % ")</f>
        <v xml:space="preserve">| 1 P JAVA % | 3 L PHP-CGM % | 4 L NS % | 5 P CPT % </v>
      </c>
      <c r="AR509" s="4" t="str">
        <f ca="1">IFERROR(__xludf.DUMMYFUNCTION("""COMPUTED_VALUE"""),"| 1 P NS % | 3 L CPT % | 5 P Python % ")</f>
        <v xml:space="preserve">| 1 P NS % | 3 L CPT % | 5 P Python % </v>
      </c>
      <c r="AS509" s="4" t="str">
        <f ca="1">IFERROR(__xludf.DUMMYFUNCTION("""COMPUTED_VALUE"""),"| 1 P Python @ | 3 L CPT % | 4 L JAVA % | 5 L INE % ")</f>
        <v xml:space="preserve">| 1 P Python @ | 3 L CPT % | 4 L JAVA % | 5 L INE % </v>
      </c>
      <c r="AT509" s="4" t="str">
        <f ca="1">IFERROR(__xludf.DUMMYFUNCTION("""COMPUTED_VALUE"""),"| 1 P JAVA % | 3 L JAVA % | 4 L NS % | 5 P PRO % ")</f>
        <v xml:space="preserve">| 1 P JAVA % | 3 L JAVA % | 4 L NS % | 5 P PRO % </v>
      </c>
      <c r="AU509" s="4" t="str">
        <f ca="1">IFERROR(__xludf.DUMMYFUNCTION("""COMPUTED_VALUE"""),"| 1 P JAVA % | 3 L PHP-CGM % | 4 L NS @ | 5 P CPT % ")</f>
        <v xml:space="preserve">| 1 P JAVA % | 3 L PHP-CGM % | 4 L NS @ | 5 P CPT % </v>
      </c>
      <c r="AV509" s="4" t="str">
        <f ca="1">IFERROR(__xludf.DUMMYFUNCTION("""COMPUTED_VALUE"""),"| 1 P NS % | 3 L CPT % | 4 L PHP-CGM % | 5 P Python % ")</f>
        <v xml:space="preserve">| 1 P NS % | 3 L CPT % | 4 L PHP-CGM % | 5 P Python % </v>
      </c>
      <c r="AW509" s="4" t="str">
        <f ca="1">IFERROR(__xludf.DUMMYFUNCTION("""COMPUTED_VALUE"""),"| 3 L PHP-CGM % | 4 L JAVA % | 5 L NS % | 5 L CPT % ")</f>
        <v xml:space="preserve">| 3 L PHP-CGM % | 4 L JAVA % | 5 L NS % | 5 L CPT % </v>
      </c>
      <c r="AX509" s="4" t="str">
        <f ca="1">IFERROR(__xludf.DUMMYFUNCTION("""COMPUTED_VALUE"""),"| 1 P Python @ | 3 L CPT @ | 4 L JAVA @ | 5 L INE @ ")</f>
        <v xml:space="preserve">| 1 P Python @ | 3 L CPT @ | 4 L JAVA @ | 5 L INE @ </v>
      </c>
      <c r="AY509" s="4" t="str">
        <f ca="1">IFERROR(__xludf.DUMMYFUNCTION("""COMPUTED_VALUE"""),"| 1 P JAVA % | 3 L JAVA % | 4 L NS % | 5 P PRO % ")</f>
        <v xml:space="preserve">| 1 P JAVA % | 3 L JAVA % | 4 L NS % | 5 P PRO % </v>
      </c>
      <c r="AZ509" s="4" t="str">
        <f ca="1">IFERROR(__xludf.DUMMYFUNCTION("""COMPUTED_VALUE"""),"| 1 P NS % | 3 L CPT % | 4 L PHP-CGM % | 5 P Python % ")</f>
        <v xml:space="preserve">| 1 P NS % | 3 L CPT % | 4 L PHP-CGM % | 5 P Python % </v>
      </c>
      <c r="BA509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B509" s="4" t="str">
        <f ca="1">IFERROR(__xludf.DUMMYFUNCTION("""COMPUTED_VALUE"""),"| 1 P Python @ | 3 L CPT @ | 4 L JAVA @ | 5 L INE @ ")</f>
        <v xml:space="preserve">| 1 P Python @ | 3 L CPT @ | 4 L JAVA @ | 5 L INE @ </v>
      </c>
      <c r="BC509" s="4" t="str">
        <f ca="1">IFERROR(__xludf.DUMMYFUNCTION("""COMPUTED_VALUE"""),"| 1 P JAVA @ | 3 L JAVA @ | 4 L NS @ | 5 P PRO @ ")</f>
        <v xml:space="preserve">| 1 P JAVA @ | 3 L JAVA @ | 4 L NS @ | 5 P PRO @ </v>
      </c>
      <c r="BD509" s="4" t="str">
        <f ca="1">IFERROR(__xludf.DUMMYFUNCTION("""COMPUTED_VALUE"""),"| 1 P JAVA @ | 4 L NS @  | 3 L PHP-CGM @ | 5 P CPT @ ")</f>
        <v xml:space="preserve">| 1 P JAVA @ | 4 L NS @  | 3 L PHP-CGM @ | 5 P CPT @ </v>
      </c>
      <c r="BE509" s="4" t="str">
        <f ca="1">IFERROR(__xludf.DUMMYFUNCTION("""COMPUTED_VALUE"""),"| 1 P NS @ | 3 L CPT @ | 4 L PHP-CGM @ | 5 P Python @ ")</f>
        <v xml:space="preserve">| 1 P NS @ | 3 L CPT @ | 4 L PHP-CGM @ | 5 P Python @ </v>
      </c>
      <c r="BF509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509" s="4" t="str">
        <f ca="1">IFERROR(__xludf.DUMMYFUNCTION("""COMPUTED_VALUE"""),"| 1 P JAVA % | 3 L JAVA % | 4 L NS % | 5 P PRO % ")</f>
        <v xml:space="preserve">| 1 P JAVA % | 3 L JAVA % | 4 L NS % | 5 P PRO % </v>
      </c>
      <c r="BH509" s="4" t="str">
        <f ca="1">IFERROR(__xludf.DUMMYFUNCTION("""COMPUTED_VALUE"""),"| 1 P JAVA % | 3 L PHP-CGM % | 4 L NS % | 5 P CPT % ")</f>
        <v xml:space="preserve">| 1 P JAVA % | 3 L PHP-CGM % | 4 L NS % | 5 P CPT % </v>
      </c>
      <c r="BI509" s="4" t="str">
        <f ca="1">IFERROR(__xludf.DUMMYFUNCTION("""COMPUTED_VALUE"""),"| 1 P NS % | 3 L CPT % | 4 L PHP-CGM % | 5 P Python % ")</f>
        <v xml:space="preserve">| 1 P NS % | 3 L CPT % | 4 L PHP-CGM % | 5 P Python % </v>
      </c>
      <c r="BJ509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09" s="4" t="str">
        <f ca="1">IFERROR(__xludf.DUMMYFUNCTION("""COMPUTED_VALUE"""),"| 1 P Python % | 3 L CPT % | 4 L JAVA % | 5 L INE % ")</f>
        <v xml:space="preserve">| 1 P Python % | 3 L CPT % | 4 L JAVA % | 5 L INE % </v>
      </c>
      <c r="BL509" s="4" t="str">
        <f ca="1">IFERROR(__xludf.DUMMYFUNCTION("""COMPUTED_VALUE"""),"| 1 P JAVA @ | 3 L JAVA @ | 4 L NS @ ")</f>
        <v xml:space="preserve">| 1 P JAVA @ | 3 L JAVA @ | 4 L NS @ </v>
      </c>
      <c r="BM509" s="4" t="str">
        <f ca="1">IFERROR(__xludf.DUMMYFUNCTION("""COMPUTED_VALUE"""),"| 1 P JAVA @ | 3 L PHP-CGM @ | 4 L NS @ | 5 P CPT @ ")</f>
        <v xml:space="preserve">| 1 P JAVA @ | 3 L PHP-CGM @ | 4 L NS @ | 5 P CPT @ </v>
      </c>
      <c r="BN509" s="4" t="str">
        <f ca="1">IFERROR(__xludf.DUMMYFUNCTION("""COMPUTED_VALUE"""),"| 1 P NS @ | 3 L CPT @ | 4 L PHP-CGM @ ")</f>
        <v xml:space="preserve">| 1 P NS @ | 3 L CPT @ | 4 L PHP-CGM @ </v>
      </c>
      <c r="BO509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09" s="4" t="str">
        <f ca="1">IFERROR(__xludf.DUMMYFUNCTION("""COMPUTED_VALUE"""),"| 1 P Python % | 3 L CPT % | 4 L JAVA % | 5 L INE % ")</f>
        <v xml:space="preserve">| 1 P Python % | 3 L CPT % | 4 L JAVA % | 5 L INE % </v>
      </c>
      <c r="BQ509" s="4" t="str">
        <f ca="1">IFERROR(__xludf.DUMMYFUNCTION("""COMPUTED_VALUE"""),"| 4 L NS @ | 1 P JAVA % ")</f>
        <v xml:space="preserve">| 4 L NS @ | 1 P JAVA % </v>
      </c>
      <c r="BR509" s="4"/>
      <c r="BS509" s="4"/>
      <c r="BT509" s="4" t="str">
        <f ca="1">IFERROR(__xludf.DUMMYFUNCTION("""COMPUTED_VALUE"""),"| 1 P Python % | 3 L CPT % | 4 L JAVA % ")</f>
        <v xml:space="preserve">| 1 P Python % | 3 L CPT % | 4 L JAVA % </v>
      </c>
      <c r="BU509" s="4" t="str">
        <f ca="1">IFERROR(__xludf.DUMMYFUNCTION("""COMPUTED_VALUE"""),"| 1 P JAVA @ | 4 L NS @ | 3 L JAVA @ ")</f>
        <v xml:space="preserve">| 1 P JAVA @ | 4 L NS @ | 3 L JAVA @ </v>
      </c>
      <c r="BV509" s="4" t="str">
        <f ca="1">IFERROR(__xludf.DUMMYFUNCTION("""COMPUTED_VALUE"""),"| 1 P Python @ | 3 L CPT @ | 4 L JAVA @ ")</f>
        <v xml:space="preserve">| 1 P Python @ | 3 L CPT @ | 4 L JAVA @ </v>
      </c>
      <c r="BW509" s="4" t="str">
        <f ca="1">IFERROR(__xludf.DUMMYFUNCTION("""COMPUTED_VALUE"""),"| 1 P JAVA @ | 3 L JAVA @ | 4 L NS @ ")</f>
        <v xml:space="preserve">| 1 P JAVA @ | 3 L JAVA @ | 4 L NS @ </v>
      </c>
      <c r="BX509" s="4" t="str">
        <f ca="1">IFERROR(__xludf.DUMMYFUNCTION("""COMPUTED_VALUE"""),"| 1 P JAVA % | 3 L PHP-CGM % | 4 L NS % | 5 P CPT % ")</f>
        <v xml:space="preserve">| 1 P JAVA % | 3 L PHP-CGM % | 4 L NS % | 5 P CPT % </v>
      </c>
      <c r="BY509" s="4" t="str">
        <f ca="1">IFERROR(__xludf.DUMMYFUNCTION("""COMPUTED_VALUE"""),"| 1 P NS % | 3 L CPT % | 4 L PHP-CGM % | 5 P Python % ")</f>
        <v xml:space="preserve">| 1 P NS % | 3 L CPT % | 4 L PHP-CGM % | 5 P Python % </v>
      </c>
      <c r="BZ509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509" s="4" t="str">
        <f ca="1">IFERROR(__xludf.DUMMYFUNCTION("""COMPUTED_VALUE"""),"| 1 P Python @ | 3 L CPT % | 4 L JAVA % | 5 L INE % ")</f>
        <v xml:space="preserve">| 1 P Python @ | 3 L CPT % | 4 L JAVA % | 5 L INE % </v>
      </c>
      <c r="CB509" s="4" t="str">
        <f ca="1">IFERROR(__xludf.DUMMYFUNCTION("""COMPUTED_VALUE"""),"| 1 P JAVA % | 3 L JAVA % | 4 L NS % | 5 P PRO % ")</f>
        <v xml:space="preserve">| 1 P JAVA % | 3 L JAVA % | 4 L NS % | 5 P PRO % </v>
      </c>
      <c r="CC509" s="4" t="str">
        <f ca="1">IFERROR(__xludf.DUMMYFUNCTION("""COMPUTED_VALUE"""),"| 1 P JAVA % | 3 L PHP-CGM % | 4 L NS % | 5 P CPT % ")</f>
        <v xml:space="preserve">| 1 P JAVA % | 3 L PHP-CGM % | 4 L NS % | 5 P CPT % </v>
      </c>
      <c r="CD509" s="4" t="str">
        <f ca="1">IFERROR(__xludf.DUMMYFUNCTION("""COMPUTED_VALUE"""),"| 1 P NS % | 3 L CPT % | 4 L PHP-CGM % | 5 P Python % ")</f>
        <v xml:space="preserve">| 1 P NS % | 3 L CPT % | 4 L PHP-CGM % | 5 P Python % </v>
      </c>
      <c r="CE509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09" s="4" t="str">
        <f ca="1">IFERROR(__xludf.DUMMYFUNCTION("""COMPUTED_VALUE"""),"| 1 P Python % | 3 L CPT % | 4 L JAVA % | 5 L INE % ")</f>
        <v xml:space="preserve">| 1 P Python % | 3 L CPT % | 4 L JAVA % | 5 L INE % </v>
      </c>
      <c r="CG509" s="4" t="str">
        <f ca="1">IFERROR(__xludf.DUMMYFUNCTION("""COMPUTED_VALUE"""),"| 1 P JAVA @ | 4 L NS % ")</f>
        <v xml:space="preserve">| 1 P JAVA @ | 4 L NS % </v>
      </c>
      <c r="CH509" s="4" t="str">
        <f ca="1">IFERROR(__xludf.DUMMYFUNCTION("""COMPUTED_VALUE"""),"| 1 P JAVA % | 3 L PHP-CGM @ | 4 L NS @ ")</f>
        <v xml:space="preserve">| 1 P JAVA % | 3 L PHP-CGM @ | 4 L NS @ </v>
      </c>
      <c r="CI509" s="4" t="str">
        <f ca="1">IFERROR(__xludf.DUMMYFUNCTION("""COMPUTED_VALUE"""),"| 1 P NS % ")</f>
        <v xml:space="preserve">| 1 P NS % </v>
      </c>
      <c r="CJ509" s="4" t="str">
        <f ca="1">IFERROR(__xludf.DUMMYFUNCTION("""COMPUTED_VALUE"""),"| 1 P PHP-CGM @ | 4 L JAVA % ")</f>
        <v xml:space="preserve">| 1 P PHP-CGM @ | 4 L JAVA % </v>
      </c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</row>
    <row r="510" spans="1:102" ht="12.5" x14ac:dyDescent="0.25">
      <c r="A510" s="3">
        <f ca="1">IFERROR(__xludf.DUMMYFUNCTION("""COMPUTED_VALUE"""),2)</f>
        <v>2</v>
      </c>
      <c r="B510" s="3" t="str">
        <f ca="1">IFERROR(__xludf.DUMMYFUNCTION("""COMPUTED_VALUE"""),"ITC")</f>
        <v>ITC</v>
      </c>
      <c r="C510" s="32" t="str">
        <f ca="1">IFERROR(__xludf.DUMMYFUNCTION("""COMPUTED_VALUE"""),"23171371096")</f>
        <v>23171371096</v>
      </c>
      <c r="D510" s="4" t="str">
        <f ca="1">IFERROR(__xludf.DUMMYFUNCTION("""COMPUTED_VALUE"""),"PATEL MASOOM BHAVESH")</f>
        <v>PATEL MASOOM BHAVESH</v>
      </c>
      <c r="E510" s="3" t="str">
        <f ca="1">IFERROR(__xludf.DUMMYFUNCTION("""COMPUTED_VALUE"""),"SDP&amp;KKP - Mor")</f>
        <v>SDP&amp;KKP - Mor</v>
      </c>
      <c r="F510" s="3">
        <f ca="1">IFERROR(__xludf.DUMMYFUNCTION("""COMPUTED_VALUE"""),9409074919)</f>
        <v>9409074919</v>
      </c>
      <c r="G510" s="3">
        <f ca="1">IFERROR(__xludf.DUMMYFUNCTION("""COMPUTED_VALUE"""),9713150004)</f>
        <v>9713150004</v>
      </c>
      <c r="H510" s="33">
        <f ca="1">IFERROR(__xludf.DUMMYFUNCTION("""COMPUTED_VALUE"""),0.647302904564315)</f>
        <v>0.64730290456431505</v>
      </c>
      <c r="I510" s="25">
        <f ca="1">IFERROR(__xludf.DUMMYFUNCTION("""COMPUTED_VALUE"""),0.638888888888888)</f>
        <v>0.63888888888888795</v>
      </c>
      <c r="J510" s="25">
        <f ca="1">IFERROR(__xludf.DUMMYFUNCTION("""COMPUTED_VALUE"""),0.6)</f>
        <v>0.6</v>
      </c>
      <c r="K510" s="25">
        <f ca="1">IFERROR(__xludf.DUMMYFUNCTION("""COMPUTED_VALUE"""),0.666666666666666)</f>
        <v>0.66666666666666596</v>
      </c>
      <c r="L510" s="25">
        <f ca="1">IFERROR(__xludf.DUMMYFUNCTION("""COMPUTED_VALUE"""),0.538461538461538)</f>
        <v>0.53846153846153799</v>
      </c>
      <c r="M510" s="25">
        <f ca="1">IFERROR(__xludf.DUMMYFUNCTION("""COMPUTED_VALUE"""),0.6875)</f>
        <v>0.6875</v>
      </c>
      <c r="N510" s="25">
        <f ca="1">IFERROR(__xludf.DUMMYFUNCTION("""COMPUTED_VALUE"""),0.545454545454545)</f>
        <v>0.54545454545454497</v>
      </c>
      <c r="O510" s="25">
        <f ca="1">IFERROR(__xludf.DUMMYFUNCTION("""COMPUTED_VALUE"""),0.702702702702702)</f>
        <v>0.70270270270270196</v>
      </c>
      <c r="P510" s="25">
        <f ca="1">IFERROR(__xludf.DUMMYFUNCTION("""COMPUTED_VALUE"""),0.64)</f>
        <v>0.64</v>
      </c>
      <c r="Q510" s="25">
        <f ca="1">IFERROR(__xludf.DUMMYFUNCTION("""COMPUTED_VALUE"""),0)</f>
        <v>0</v>
      </c>
      <c r="R510" s="25">
        <f ca="1">IFERROR(__xludf.DUMMYFUNCTION("""COMPUTED_VALUE"""),0.583333333333333)</f>
        <v>0.58333333333333304</v>
      </c>
      <c r="S510" s="25">
        <f ca="1">IFERROR(__xludf.DUMMYFUNCTION("""COMPUTED_VALUE"""),0)</f>
        <v>0</v>
      </c>
      <c r="T510" s="25">
        <f ca="1">IFERROR(__xludf.DUMMYFUNCTION("""COMPUTED_VALUE"""),0.888888888888888)</f>
        <v>0.88888888888888795</v>
      </c>
      <c r="U510" s="25">
        <f ca="1">IFERROR(__xludf.DUMMYFUNCTION("""COMPUTED_VALUE"""),0.5)</f>
        <v>0.5</v>
      </c>
      <c r="V510" s="25">
        <f ca="1">IFERROR(__xludf.DUMMYFUNCTION("""COMPUTED_VALUE"""),0)</f>
        <v>0</v>
      </c>
      <c r="W510" s="4"/>
      <c r="X510" s="4" t="str">
        <f ca="1">IFERROR(__xludf.DUMMYFUNCTION("""COMPUTED_VALUE"""),"| 1 P Python @ | 3 L CPT @ | 4 L JAVA @ ")</f>
        <v xml:space="preserve">| 1 P Python @ | 3 L CPT @ | 4 L JAVA @ </v>
      </c>
      <c r="Y510" s="4" t="str">
        <f ca="1">IFERROR(__xludf.DUMMYFUNCTION("""COMPUTED_VALUE"""),"| 1 P JAVA @ | 3 L JAVA @ | 4 L NS @ | 5 P PRO @ ")</f>
        <v xml:space="preserve">| 1 P JAVA @ | 3 L JAVA @ | 4 L NS @ | 5 P PRO @ </v>
      </c>
      <c r="Z510" s="4" t="str">
        <f ca="1">IFERROR(__xludf.DUMMYFUNCTION("""COMPUTED_VALUE"""),"| 1 P JAVA @ | 3 L PHP-CGM @ | 4 L NS @ | 5 P CPT @ ")</f>
        <v xml:space="preserve">| 1 P JAVA @ | 3 L PHP-CGM @ | 4 L NS @ | 5 P CPT @ </v>
      </c>
      <c r="AA510" s="4" t="str">
        <f ca="1">IFERROR(__xludf.DUMMYFUNCTION("""COMPUTED_VALUE"""),"| 1 P NS @ | 3 L CPT @ | 5 P Python @ ")</f>
        <v xml:space="preserve">| 1 P NS @ | 3 L CPT @ | 5 P Python @ </v>
      </c>
      <c r="AB510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10" s="4" t="str">
        <f ca="1">IFERROR(__xludf.DUMMYFUNCTION("""COMPUTED_VALUE"""),"| 1 P Python % | 3 L CPT % | 4 L JAVA % ")</f>
        <v xml:space="preserve">| 1 P Python % | 3 L CPT % | 4 L JAVA % </v>
      </c>
      <c r="AD510" s="4" t="str">
        <f ca="1">IFERROR(__xludf.DUMMYFUNCTION("""COMPUTED_VALUE"""),"| 1 P JAVA % | 3 L JAVA % | 4 L NS % | 5 P PRO % ")</f>
        <v xml:space="preserve">| 1 P JAVA % | 3 L JAVA % | 4 L NS % | 5 P PRO % </v>
      </c>
      <c r="AE510" s="4" t="str">
        <f ca="1">IFERROR(__xludf.DUMMYFUNCTION("""COMPUTED_VALUE"""),"| 1 P JAVA % | 3 L PHP-CGM % | 4 L NS % | 5 P CPT @ ")</f>
        <v xml:space="preserve">| 1 P JAVA % | 3 L PHP-CGM % | 4 L NS % | 5 P CPT @ </v>
      </c>
      <c r="AF510" s="4" t="str">
        <f ca="1">IFERROR(__xludf.DUMMYFUNCTION("""COMPUTED_VALUE"""),"| 1 P NS % | 3 L CPT % | 4 L PHP-CGM % | 5 P Python % ")</f>
        <v xml:space="preserve">| 1 P NS % | 3 L CPT % | 4 L PHP-CGM % | 5 P Python % </v>
      </c>
      <c r="AG510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H510" s="4" t="str">
        <f ca="1">IFERROR(__xludf.DUMMYFUNCTION("""COMPUTED_VALUE"""),"| 1 P NS @ | 3 L CPT @ | 4 L PHP-CGM @ | 5 P Python @ ")</f>
        <v xml:space="preserve">| 1 P NS @ | 3 L CPT @ | 4 L PHP-CGM @ | 5 P Python @ </v>
      </c>
      <c r="AI510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J510" s="4" t="str">
        <f ca="1">IFERROR(__xludf.DUMMYFUNCTION("""COMPUTED_VALUE"""),"| 1 P Python % | 3 L CPT % | 4 L JAVA % ")</f>
        <v xml:space="preserve">| 1 P Python % | 3 L CPT % | 4 L JAVA % </v>
      </c>
      <c r="AK510" s="4" t="str">
        <f ca="1">IFERROR(__xludf.DUMMYFUNCTION("""COMPUTED_VALUE"""),"| 1 P JAVA % | 4 L NS % | 3 L JAVA % | 5 P PRO % ")</f>
        <v xml:space="preserve">| 1 P JAVA % | 4 L NS % | 3 L JAVA % | 5 P PRO % </v>
      </c>
      <c r="AL510" s="4" t="str">
        <f ca="1">IFERROR(__xludf.DUMMYFUNCTION("""COMPUTED_VALUE"""),"| 1 P JAVA % | 3 L PHP-CGM % | 4 L NS % | 5 P CPT % ")</f>
        <v xml:space="preserve">| 1 P JAVA % | 3 L PHP-CGM % | 4 L NS % | 5 P CPT % </v>
      </c>
      <c r="AM510" s="4" t="str">
        <f ca="1">IFERROR(__xludf.DUMMYFUNCTION("""COMPUTED_VALUE"""),"| 1 P NS % | 3 L CPT % | 4 L PHP-CGM % | 5 P Python % ")</f>
        <v xml:space="preserve">| 1 P NS % | 3 L CPT % | 4 L PHP-CGM % | 5 P Python % </v>
      </c>
      <c r="AN510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0" s="4" t="str">
        <f ca="1">IFERROR(__xludf.DUMMYFUNCTION("""COMPUTED_VALUE"""),"| 1 P Python % | 3 L CPT % | 4 L JAVA % | 5 L INE % ")</f>
        <v xml:space="preserve">| 1 P Python % | 3 L CPT % | 4 L JAVA % | 5 L INE % </v>
      </c>
      <c r="AP510" s="4" t="str">
        <f ca="1">IFERROR(__xludf.DUMMYFUNCTION("""COMPUTED_VALUE"""),"| 1 P JAVA @ | 3 L JAVA % | 4 L NS % | 5 P PRO % ")</f>
        <v xml:space="preserve">| 1 P JAVA @ | 3 L JAVA % | 4 L NS % | 5 P PRO % </v>
      </c>
      <c r="AQ510" s="4" t="str">
        <f ca="1">IFERROR(__xludf.DUMMYFUNCTION("""COMPUTED_VALUE"""),"| 1 P JAVA @ | 3 L PHP-CGM @ | 4 L NS @ | 5 P CPT @ ")</f>
        <v xml:space="preserve">| 1 P JAVA @ | 3 L PHP-CGM @ | 4 L NS @ | 5 P CPT @ </v>
      </c>
      <c r="AR510" s="4" t="str">
        <f ca="1">IFERROR(__xludf.DUMMYFUNCTION("""COMPUTED_VALUE"""),"| 1 P NS @ | 3 L CPT @ | 5 P Python @ ")</f>
        <v xml:space="preserve">| 1 P NS @ | 3 L CPT @ | 5 P Python @ </v>
      </c>
      <c r="AS510" s="4" t="str">
        <f ca="1">IFERROR(__xludf.DUMMYFUNCTION("""COMPUTED_VALUE"""),"| 1 P Python @ | 3 L CPT @ | 4 L JAVA @ | 5 L INE @ ")</f>
        <v xml:space="preserve">| 1 P Python @ | 3 L CPT @ | 4 L JAVA @ | 5 L INE @ </v>
      </c>
      <c r="AT510" s="4" t="str">
        <f ca="1">IFERROR(__xludf.DUMMYFUNCTION("""COMPUTED_VALUE"""),"| 1 P JAVA % | 3 L JAVA % | 4 L NS % | 5 P PRO % ")</f>
        <v xml:space="preserve">| 1 P JAVA % | 3 L JAVA % | 4 L NS % | 5 P PRO % </v>
      </c>
      <c r="AU510" s="4" t="str">
        <f ca="1">IFERROR(__xludf.DUMMYFUNCTION("""COMPUTED_VALUE"""),"| 1 P JAVA % | 3 L PHP-CGM % | 4 L NS % | 5 P CPT % ")</f>
        <v xml:space="preserve">| 1 P JAVA % | 3 L PHP-CGM % | 4 L NS % | 5 P CPT % </v>
      </c>
      <c r="AV510" s="4" t="str">
        <f ca="1">IFERROR(__xludf.DUMMYFUNCTION("""COMPUTED_VALUE"""),"| 1 P NS % | 3 L CPT % | 4 L PHP-CGM % | 5 P Python % ")</f>
        <v xml:space="preserve">| 1 P NS % | 3 L CPT % | 4 L PHP-CGM % | 5 P Python % </v>
      </c>
      <c r="AW510" s="4" t="str">
        <f ca="1">IFERROR(__xludf.DUMMYFUNCTION("""COMPUTED_VALUE"""),"| 3 L PHP-CGM % | 4 L JAVA % | 5 L NS % | 5 L CPT % ")</f>
        <v xml:space="preserve">| 3 L PHP-CGM % | 4 L JAVA % | 5 L NS % | 5 L CPT % </v>
      </c>
      <c r="AX510" s="4" t="str">
        <f ca="1">IFERROR(__xludf.DUMMYFUNCTION("""COMPUTED_VALUE"""),"| 1 P Python % | 3 L CPT % | 4 L JAVA % | 5 L INE % ")</f>
        <v xml:space="preserve">| 1 P Python % | 3 L CPT % | 4 L JAVA % | 5 L INE % </v>
      </c>
      <c r="AY510" s="4" t="str">
        <f ca="1">IFERROR(__xludf.DUMMYFUNCTION("""COMPUTED_VALUE"""),"| 1 P JAVA % | 3 L JAVA % | 4 L NS % | 5 P PRO % ")</f>
        <v xml:space="preserve">| 1 P JAVA % | 3 L JAVA % | 4 L NS % | 5 P PRO % </v>
      </c>
      <c r="AZ510" s="4" t="str">
        <f ca="1">IFERROR(__xludf.DUMMYFUNCTION("""COMPUTED_VALUE"""),"| 1 P NS % | 3 L CPT % | 4 L PHP-CGM % | 5 P Python % ")</f>
        <v xml:space="preserve">| 1 P NS % | 3 L CPT % | 4 L PHP-CGM % | 5 P Python % </v>
      </c>
      <c r="BA510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B510" s="4" t="str">
        <f ca="1">IFERROR(__xludf.DUMMYFUNCTION("""COMPUTED_VALUE"""),"| 1 P Python % | 3 L CPT % | 4 L JAVA % | 5 L INE @ ")</f>
        <v xml:space="preserve">| 1 P Python % | 3 L CPT % | 4 L JAVA % | 5 L INE @ </v>
      </c>
      <c r="BC510" s="4" t="str">
        <f ca="1">IFERROR(__xludf.DUMMYFUNCTION("""COMPUTED_VALUE"""),"| 1 P JAVA % | 3 L JAVA % | 4 L NS % | 5 P PRO % ")</f>
        <v xml:space="preserve">| 1 P JAVA % | 3 L JAVA % | 4 L NS % | 5 P PRO % </v>
      </c>
      <c r="BD510" s="4" t="str">
        <f ca="1">IFERROR(__xludf.DUMMYFUNCTION("""COMPUTED_VALUE"""),"| 1 P JAVA % | 4 L NS %  | 3 L PHP-CGM % | 5 P CPT @ ")</f>
        <v xml:space="preserve">| 1 P JAVA % | 4 L NS %  | 3 L PHP-CGM % | 5 P CPT @ </v>
      </c>
      <c r="BE510" s="4" t="str">
        <f ca="1">IFERROR(__xludf.DUMMYFUNCTION("""COMPUTED_VALUE"""),"| 1 P NS @ | 3 L CPT @ | 4 L PHP-CGM @ | 5 P Python @ ")</f>
        <v xml:space="preserve">| 1 P NS @ | 3 L CPT @ | 4 L PHP-CGM @ | 5 P Python @ </v>
      </c>
      <c r="BF510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510" s="4" t="str">
        <f ca="1">IFERROR(__xludf.DUMMYFUNCTION("""COMPUTED_VALUE"""),"| 1 P JAVA % | 3 L JAVA % | 4 L NS % | 5 P PRO % ")</f>
        <v xml:space="preserve">| 1 P JAVA % | 3 L JAVA % | 4 L NS % | 5 P PRO % </v>
      </c>
      <c r="BH510" s="4" t="str">
        <f ca="1">IFERROR(__xludf.DUMMYFUNCTION("""COMPUTED_VALUE"""),"| 1 P JAVA % | 3 L PHP-CGM % | 4 L NS % | 5 P CPT % ")</f>
        <v xml:space="preserve">| 1 P JAVA % | 3 L PHP-CGM % | 4 L NS % | 5 P CPT % </v>
      </c>
      <c r="BI510" s="4" t="str">
        <f ca="1">IFERROR(__xludf.DUMMYFUNCTION("""COMPUTED_VALUE"""),"| 1 P NS % | 3 L CPT % | 4 L PHP-CGM % | 5 P Python @ ")</f>
        <v xml:space="preserve">| 1 P NS % | 3 L CPT % | 4 L PHP-CGM % | 5 P Python @ </v>
      </c>
      <c r="BJ510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10" s="4" t="str">
        <f ca="1">IFERROR(__xludf.DUMMYFUNCTION("""COMPUTED_VALUE"""),"| 1 P Python @ | 3 L CPT @ | 4 L JAVA @ | 5 L INE @ ")</f>
        <v xml:space="preserve">| 1 P Python @ | 3 L CPT @ | 4 L JAVA @ | 5 L INE @ </v>
      </c>
      <c r="BL510" s="4" t="str">
        <f ca="1">IFERROR(__xludf.DUMMYFUNCTION("""COMPUTED_VALUE"""),"| 1 P JAVA @ | 3 L JAVA @ | 4 L NS @ ")</f>
        <v xml:space="preserve">| 1 P JAVA @ | 3 L JAVA @ | 4 L NS @ </v>
      </c>
      <c r="BM510" s="4" t="str">
        <f ca="1">IFERROR(__xludf.DUMMYFUNCTION("""COMPUTED_VALUE"""),"| 1 P JAVA @ | 3 L PHP-CGM % | 4 L NS % | 5 P CPT % ")</f>
        <v xml:space="preserve">| 1 P JAVA @ | 3 L PHP-CGM % | 4 L NS % | 5 P CPT % </v>
      </c>
      <c r="BN510" s="4" t="str">
        <f ca="1">IFERROR(__xludf.DUMMYFUNCTION("""COMPUTED_VALUE"""),"| 1 P NS @ | 3 L CPT @ | 4 L PHP-CGM @ ")</f>
        <v xml:space="preserve">| 1 P NS @ | 3 L CPT @ | 4 L PHP-CGM @ </v>
      </c>
      <c r="BO510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10" s="4" t="str">
        <f ca="1">IFERROR(__xludf.DUMMYFUNCTION("""COMPUTED_VALUE"""),"| 1 P Python % | 3 L CPT % | 4 L JAVA % | 5 L INE % ")</f>
        <v xml:space="preserve">| 1 P Python % | 3 L CPT % | 4 L JAVA % | 5 L INE % </v>
      </c>
      <c r="BQ510" s="4" t="str">
        <f ca="1">IFERROR(__xludf.DUMMYFUNCTION("""COMPUTED_VALUE"""),"| 4 L NS % | 1 P JAVA % ")</f>
        <v xml:space="preserve">| 4 L NS % | 1 P JAVA % </v>
      </c>
      <c r="BR510" s="4"/>
      <c r="BS510" s="4"/>
      <c r="BT510" s="4" t="str">
        <f ca="1">IFERROR(__xludf.DUMMYFUNCTION("""COMPUTED_VALUE"""),"| 1 P Python @ | 3 L CPT @ | 4 L JAVA @ ")</f>
        <v xml:space="preserve">| 1 P Python @ | 3 L CPT @ | 4 L JAVA @ </v>
      </c>
      <c r="BU510" s="4" t="str">
        <f ca="1">IFERROR(__xludf.DUMMYFUNCTION("""COMPUTED_VALUE"""),"| 1 P JAVA @ | 4 L NS @ | 3 L JAVA @ ")</f>
        <v xml:space="preserve">| 1 P JAVA @ | 4 L NS @ | 3 L JAVA @ </v>
      </c>
      <c r="BV510" s="4" t="str">
        <f ca="1">IFERROR(__xludf.DUMMYFUNCTION("""COMPUTED_VALUE"""),"| 1 P Python % | 3 L CPT % | 4 L JAVA % ")</f>
        <v xml:space="preserve">| 1 P Python % | 3 L CPT % | 4 L JAVA % </v>
      </c>
      <c r="BW510" s="4" t="str">
        <f ca="1">IFERROR(__xludf.DUMMYFUNCTION("""COMPUTED_VALUE"""),"| 1 P JAVA % | 3 L JAVA % | 4 L NS % ")</f>
        <v xml:space="preserve">| 1 P JAVA % | 3 L JAVA % | 4 L NS % </v>
      </c>
      <c r="BX510" s="4" t="str">
        <f ca="1">IFERROR(__xludf.DUMMYFUNCTION("""COMPUTED_VALUE"""),"| 1 P JAVA % | 3 L PHP-CGM % | 4 L NS % | 5 P CPT % ")</f>
        <v xml:space="preserve">| 1 P JAVA % | 3 L PHP-CGM % | 4 L NS % | 5 P CPT % </v>
      </c>
      <c r="BY510" s="4" t="str">
        <f ca="1">IFERROR(__xludf.DUMMYFUNCTION("""COMPUTED_VALUE"""),"| 1 P NS % | 3 L CPT % | 4 L PHP-CGM % | 5 P Python % ")</f>
        <v xml:space="preserve">| 1 P NS % | 3 L CPT % | 4 L PHP-CGM % | 5 P Python % </v>
      </c>
      <c r="BZ510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10" s="4" t="str">
        <f ca="1">IFERROR(__xludf.DUMMYFUNCTION("""COMPUTED_VALUE"""),"| 1 P Python @ | 3 L CPT % | 4 L JAVA % | 5 L INE % ")</f>
        <v xml:space="preserve">| 1 P Python @ | 3 L CPT % | 4 L JAVA % | 5 L INE % </v>
      </c>
      <c r="CB510" s="4" t="str">
        <f ca="1">IFERROR(__xludf.DUMMYFUNCTION("""COMPUTED_VALUE"""),"| 1 P JAVA % | 3 L JAVA % | 4 L NS % | 5 P PRO % ")</f>
        <v xml:space="preserve">| 1 P JAVA % | 3 L JAVA % | 4 L NS % | 5 P PRO % </v>
      </c>
      <c r="CC510" s="4" t="str">
        <f ca="1">IFERROR(__xludf.DUMMYFUNCTION("""COMPUTED_VALUE"""),"| 1 P JAVA % | 3 L PHP-CGM % | 4 L NS % | 5 P CPT % ")</f>
        <v xml:space="preserve">| 1 P JAVA % | 3 L PHP-CGM % | 4 L NS % | 5 P CPT % </v>
      </c>
      <c r="CD510" s="4" t="str">
        <f ca="1">IFERROR(__xludf.DUMMYFUNCTION("""COMPUTED_VALUE"""),"| 1 P NS % | 3 L CPT % | 4 L PHP-CGM % | 5 P Python % ")</f>
        <v xml:space="preserve">| 1 P NS % | 3 L CPT % | 4 L PHP-CGM % | 5 P Python % </v>
      </c>
      <c r="CE510" s="4" t="str">
        <f ca="1">IFERROR(__xludf.DUMMYFUNCTION("""COMPUTED_VALUE"""),"| 1 P PHP-CGM @ | 3 L PHP-CGM @ | 4 L JAVA @ | 5 L NS % | 6 L CPT % ")</f>
        <v xml:space="preserve">| 1 P PHP-CGM @ | 3 L PHP-CGM @ | 4 L JAVA @ | 5 L NS % | 6 L CPT % </v>
      </c>
      <c r="CF510" s="4" t="str">
        <f ca="1">IFERROR(__xludf.DUMMYFUNCTION("""COMPUTED_VALUE"""),"| 1 P Python % | 3 L CPT % | 4 L JAVA % | 5 L INE @ ")</f>
        <v xml:space="preserve">| 1 P Python % | 3 L CPT % | 4 L JAVA % | 5 L INE @ </v>
      </c>
      <c r="CG510" s="4" t="str">
        <f ca="1">IFERROR(__xludf.DUMMYFUNCTION("""COMPUTED_VALUE"""),"| 1 P JAVA @ | 4 L NS @ ")</f>
        <v xml:space="preserve">| 1 P JAVA @ | 4 L NS @ </v>
      </c>
      <c r="CH510" s="4" t="str">
        <f ca="1">IFERROR(__xludf.DUMMYFUNCTION("""COMPUTED_VALUE"""),"| 1 P JAVA @ | 3 L PHP-CGM @ | 4 L NS @ ")</f>
        <v xml:space="preserve">| 1 P JAVA @ | 3 L PHP-CGM @ | 4 L NS @ </v>
      </c>
      <c r="CI510" s="4" t="str">
        <f ca="1">IFERROR(__xludf.DUMMYFUNCTION("""COMPUTED_VALUE"""),"| 1 P NS @ ")</f>
        <v xml:space="preserve">| 1 P NS @ </v>
      </c>
      <c r="CJ510" s="4" t="str">
        <f ca="1">IFERROR(__xludf.DUMMYFUNCTION("""COMPUTED_VALUE"""),"| 1 P PHP-CGM @ | 4 L JAVA % ")</f>
        <v xml:space="preserve">| 1 P PHP-CGM @ | 4 L JAVA % </v>
      </c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</row>
    <row r="511" spans="1:102" ht="12.5" x14ac:dyDescent="0.25">
      <c r="A511" s="3">
        <f ca="1">IFERROR(__xludf.DUMMYFUNCTION("""COMPUTED_VALUE"""),2)</f>
        <v>2</v>
      </c>
      <c r="B511" s="3" t="str">
        <f ca="1">IFERROR(__xludf.DUMMYFUNCTION("""COMPUTED_VALUE"""),"ITC")</f>
        <v>ITC</v>
      </c>
      <c r="C511" s="32" t="str">
        <f ca="1">IFERROR(__xludf.DUMMYFUNCTION("""COMPUTED_VALUE"""),"23171371099")</f>
        <v>23171371099</v>
      </c>
      <c r="D511" s="4" t="str">
        <f ca="1">IFERROR(__xludf.DUMMYFUNCTION("""COMPUTED_VALUE"""),"PATEL NENS SURESHKUMAR")</f>
        <v>PATEL NENS SURESHKUMAR</v>
      </c>
      <c r="E511" s="3" t="str">
        <f ca="1">IFERROR(__xludf.DUMMYFUNCTION("""COMPUTED_VALUE"""),"SDP&amp;KKP - Mor")</f>
        <v>SDP&amp;KKP - Mor</v>
      </c>
      <c r="F511" s="3">
        <f ca="1">IFERROR(__xludf.DUMMYFUNCTION("""COMPUTED_VALUE"""),9408005221)</f>
        <v>9408005221</v>
      </c>
      <c r="G511" s="3">
        <f ca="1">IFERROR(__xludf.DUMMYFUNCTION("""COMPUTED_VALUE"""),7436024582)</f>
        <v>7436024582</v>
      </c>
      <c r="H511" s="33">
        <f ca="1">IFERROR(__xludf.DUMMYFUNCTION("""COMPUTED_VALUE"""),0.609958506224066)</f>
        <v>0.609958506224066</v>
      </c>
      <c r="I511" s="25">
        <f ca="1">IFERROR(__xludf.DUMMYFUNCTION("""COMPUTED_VALUE"""),0.583333333333333)</f>
        <v>0.58333333333333304</v>
      </c>
      <c r="J511" s="25">
        <f ca="1">IFERROR(__xludf.DUMMYFUNCTION("""COMPUTED_VALUE"""),0.3)</f>
        <v>0.3</v>
      </c>
      <c r="K511" s="25">
        <f ca="1">IFERROR(__xludf.DUMMYFUNCTION("""COMPUTED_VALUE"""),0.527777777777777)</f>
        <v>0.52777777777777701</v>
      </c>
      <c r="L511" s="25">
        <f ca="1">IFERROR(__xludf.DUMMYFUNCTION("""COMPUTED_VALUE"""),0.846153846153846)</f>
        <v>0.84615384615384603</v>
      </c>
      <c r="M511" s="25">
        <f ca="1">IFERROR(__xludf.DUMMYFUNCTION("""COMPUTED_VALUE"""),0.78125)</f>
        <v>0.78125</v>
      </c>
      <c r="N511" s="25">
        <f ca="1">IFERROR(__xludf.DUMMYFUNCTION("""COMPUTED_VALUE"""),0.636363636363636)</f>
        <v>0.63636363636363602</v>
      </c>
      <c r="O511" s="25">
        <f ca="1">IFERROR(__xludf.DUMMYFUNCTION("""COMPUTED_VALUE"""),0.729729729729729)</f>
        <v>0.72972972972972905</v>
      </c>
      <c r="P511" s="25">
        <f ca="1">IFERROR(__xludf.DUMMYFUNCTION("""COMPUTED_VALUE"""),0.76)</f>
        <v>0.76</v>
      </c>
      <c r="Q511" s="25">
        <f ca="1">IFERROR(__xludf.DUMMYFUNCTION("""COMPUTED_VALUE"""),0)</f>
        <v>0</v>
      </c>
      <c r="R511" s="25">
        <f ca="1">IFERROR(__xludf.DUMMYFUNCTION("""COMPUTED_VALUE"""),0.458333333333333)</f>
        <v>0.45833333333333298</v>
      </c>
      <c r="S511" s="25">
        <f ca="1">IFERROR(__xludf.DUMMYFUNCTION("""COMPUTED_VALUE"""),0)</f>
        <v>0</v>
      </c>
      <c r="T511" s="25">
        <f ca="1">IFERROR(__xludf.DUMMYFUNCTION("""COMPUTED_VALUE"""),0.333333333333333)</f>
        <v>0.33333333333333298</v>
      </c>
      <c r="U511" s="25">
        <f ca="1">IFERROR(__xludf.DUMMYFUNCTION("""COMPUTED_VALUE"""),0.125)</f>
        <v>0.125</v>
      </c>
      <c r="V511" s="25">
        <f ca="1">IFERROR(__xludf.DUMMYFUNCTION("""COMPUTED_VALUE"""),0)</f>
        <v>0</v>
      </c>
      <c r="W511" s="4"/>
      <c r="X511" s="4" t="str">
        <f ca="1">IFERROR(__xludf.DUMMYFUNCTION("""COMPUTED_VALUE"""),"| 1 P Python @ | 3 L CPT @ | 4 L JAVA @ ")</f>
        <v xml:space="preserve">| 1 P Python @ | 3 L CPT @ | 4 L JAVA @ </v>
      </c>
      <c r="Y511" s="4" t="str">
        <f ca="1">IFERROR(__xludf.DUMMYFUNCTION("""COMPUTED_VALUE"""),"| 1 P JAVA @ | 3 L JAVA @ | 4 L NS @ | 5 P PRO @ ")</f>
        <v xml:space="preserve">| 1 P JAVA @ | 3 L JAVA @ | 4 L NS @ | 5 P PRO @ </v>
      </c>
      <c r="Z511" s="4" t="str">
        <f ca="1">IFERROR(__xludf.DUMMYFUNCTION("""COMPUTED_VALUE"""),"| 1 P JAVA @ | 3 L PHP-CGM @ | 4 L NS @ | 5 P CPT @ ")</f>
        <v xml:space="preserve">| 1 P JAVA @ | 3 L PHP-CGM @ | 4 L NS @ | 5 P CPT @ </v>
      </c>
      <c r="AA511" s="4" t="str">
        <f ca="1">IFERROR(__xludf.DUMMYFUNCTION("""COMPUTED_VALUE"""),"| 1 P NS % | 3 L CPT % | 5 P Python @ ")</f>
        <v xml:space="preserve">| 1 P NS % | 3 L CPT % | 5 P Python @ </v>
      </c>
      <c r="AB511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C511" s="4" t="str">
        <f ca="1">IFERROR(__xludf.DUMMYFUNCTION("""COMPUTED_VALUE"""),"| 1 P Python % | 3 L CPT % | 4 L JAVA % ")</f>
        <v xml:space="preserve">| 1 P Python % | 3 L CPT % | 4 L JAVA % </v>
      </c>
      <c r="AD511" s="4" t="str">
        <f ca="1">IFERROR(__xludf.DUMMYFUNCTION("""COMPUTED_VALUE"""),"| 1 P JAVA % | 3 L JAVA % | 4 L NS % | 5 P PRO @ ")</f>
        <v xml:space="preserve">| 1 P JAVA % | 3 L JAVA % | 4 L NS % | 5 P PRO @ </v>
      </c>
      <c r="AE511" s="4" t="str">
        <f ca="1">IFERROR(__xludf.DUMMYFUNCTION("""COMPUTED_VALUE"""),"| 1 P JAVA % | 3 L PHP-CGM % | 4 L NS % | 5 P CPT % ")</f>
        <v xml:space="preserve">| 1 P JAVA % | 3 L PHP-CGM % | 4 L NS % | 5 P CPT % </v>
      </c>
      <c r="AF511" s="4" t="str">
        <f ca="1">IFERROR(__xludf.DUMMYFUNCTION("""COMPUTED_VALUE"""),"| 1 P NS % | 3 L CPT % | 4 L PHP-CGM % | 5 P Python % ")</f>
        <v xml:space="preserve">| 1 P NS % | 3 L CPT % | 4 L PHP-CGM % | 5 P Python % </v>
      </c>
      <c r="AG511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511" s="4" t="str">
        <f ca="1">IFERROR(__xludf.DUMMYFUNCTION("""COMPUTED_VALUE"""),"| 1 P NS % | 3 L CPT % | 4 L PHP-CGM % | 5 P Python % ")</f>
        <v xml:space="preserve">| 1 P NS % | 3 L CPT % | 4 L PHP-CGM % | 5 P Python % </v>
      </c>
      <c r="AI511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511" s="4" t="str">
        <f ca="1">IFERROR(__xludf.DUMMYFUNCTION("""COMPUTED_VALUE"""),"| 1 P Python % | 3 L CPT % | 4 L JAVA % ")</f>
        <v xml:space="preserve">| 1 P Python % | 3 L CPT % | 4 L JAVA % </v>
      </c>
      <c r="AK511" s="4" t="str">
        <f ca="1">IFERROR(__xludf.DUMMYFUNCTION("""COMPUTED_VALUE"""),"| 1 P JAVA % | 4 L NS % | 3 L JAVA % | 5 P PRO % ")</f>
        <v xml:space="preserve">| 1 P JAVA % | 4 L NS % | 3 L JAVA % | 5 P PRO % </v>
      </c>
      <c r="AL511" s="4" t="str">
        <f ca="1">IFERROR(__xludf.DUMMYFUNCTION("""COMPUTED_VALUE"""),"| 1 P JAVA % | 3 L PHP-CGM % | 4 L NS % | 5 P CPT @ ")</f>
        <v xml:space="preserve">| 1 P JAVA % | 3 L PHP-CGM % | 4 L NS % | 5 P CPT @ </v>
      </c>
      <c r="AM511" s="4" t="str">
        <f ca="1">IFERROR(__xludf.DUMMYFUNCTION("""COMPUTED_VALUE"""),"| 1 P NS % | 3 L CPT % | 4 L PHP-CGM % | 5 P Python % ")</f>
        <v xml:space="preserve">| 1 P NS % | 3 L CPT % | 4 L PHP-CGM % | 5 P Python % </v>
      </c>
      <c r="AN511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O511" s="4" t="str">
        <f ca="1">IFERROR(__xludf.DUMMYFUNCTION("""COMPUTED_VALUE"""),"| 1 P Python @ | 3 L CPT @ | 4 L JAVA @ | 5 L INE @ ")</f>
        <v xml:space="preserve">| 1 P Python @ | 3 L CPT @ | 4 L JAVA @ | 5 L INE @ </v>
      </c>
      <c r="AP511" s="4" t="str">
        <f ca="1">IFERROR(__xludf.DUMMYFUNCTION("""COMPUTED_VALUE"""),"| 1 P JAVA % | 3 L JAVA % | 4 L NS % | 5 P PRO @ ")</f>
        <v xml:space="preserve">| 1 P JAVA % | 3 L JAVA % | 4 L NS % | 5 P PRO @ </v>
      </c>
      <c r="AQ511" s="4" t="str">
        <f ca="1">IFERROR(__xludf.DUMMYFUNCTION("""COMPUTED_VALUE"""),"| 1 P JAVA % | 3 L PHP-CGM % | 4 L NS % | 5 P CPT @ ")</f>
        <v xml:space="preserve">| 1 P JAVA % | 3 L PHP-CGM % | 4 L NS % | 5 P CPT @ </v>
      </c>
      <c r="AR511" s="4" t="str">
        <f ca="1">IFERROR(__xludf.DUMMYFUNCTION("""COMPUTED_VALUE"""),"| 1 P NS % | 3 L CPT % | 5 P Python @ ")</f>
        <v xml:space="preserve">| 1 P NS % | 3 L CPT % | 5 P Python @ </v>
      </c>
      <c r="AS511" s="4" t="str">
        <f ca="1">IFERROR(__xludf.DUMMYFUNCTION("""COMPUTED_VALUE"""),"| 1 P Python % | 3 L CPT % | 4 L JAVA % | 5 L INE @ ")</f>
        <v xml:space="preserve">| 1 P Python % | 3 L CPT % | 4 L JAVA % | 5 L INE @ </v>
      </c>
      <c r="AT511" s="4" t="str">
        <f ca="1">IFERROR(__xludf.DUMMYFUNCTION("""COMPUTED_VALUE"""),"| 1 P JAVA % | 3 L JAVA % | 4 L NS % | 5 P PRO % ")</f>
        <v xml:space="preserve">| 1 P JAVA % | 3 L JAVA % | 4 L NS % | 5 P PRO % </v>
      </c>
      <c r="AU511" s="4" t="str">
        <f ca="1">IFERROR(__xludf.DUMMYFUNCTION("""COMPUTED_VALUE"""),"| 1 P JAVA % | 3 L PHP-CGM % | 4 L NS % | 5 P CPT % ")</f>
        <v xml:space="preserve">| 1 P JAVA % | 3 L PHP-CGM % | 4 L NS % | 5 P CPT % </v>
      </c>
      <c r="AV511" s="4" t="str">
        <f ca="1">IFERROR(__xludf.DUMMYFUNCTION("""COMPUTED_VALUE"""),"| 1 P NS % | 3 L CPT % | 4 L PHP-CGM % | 5 P Python % ")</f>
        <v xml:space="preserve">| 1 P NS % | 3 L CPT % | 4 L PHP-CGM % | 5 P Python % </v>
      </c>
      <c r="AW511" s="4" t="str">
        <f ca="1">IFERROR(__xludf.DUMMYFUNCTION("""COMPUTED_VALUE"""),"| 3 L PHP-CGM % | 4 L JAVA % | 5 L NS @ | 5 L CPT @ ")</f>
        <v xml:space="preserve">| 3 L PHP-CGM % | 4 L JAVA % | 5 L NS @ | 5 L CPT @ </v>
      </c>
      <c r="AX511" s="4" t="str">
        <f ca="1">IFERROR(__xludf.DUMMYFUNCTION("""COMPUTED_VALUE"""),"| 1 P Python % | 3 L CPT % | 4 L JAVA % | 5 L INE @ ")</f>
        <v xml:space="preserve">| 1 P Python % | 3 L CPT % | 4 L JAVA % | 5 L INE @ </v>
      </c>
      <c r="AY511" s="4" t="str">
        <f ca="1">IFERROR(__xludf.DUMMYFUNCTION("""COMPUTED_VALUE"""),"| 1 P JAVA % | 3 L JAVA % | 4 L NS % | 5 P PRO % ")</f>
        <v xml:space="preserve">| 1 P JAVA % | 3 L JAVA % | 4 L NS % | 5 P PRO % </v>
      </c>
      <c r="AZ511" s="4" t="str">
        <f ca="1">IFERROR(__xludf.DUMMYFUNCTION("""COMPUTED_VALUE"""),"| 1 P NS % | 3 L CPT % | 4 L PHP-CGM % | 5 P Python @ ")</f>
        <v xml:space="preserve">| 1 P NS % | 3 L CPT % | 4 L PHP-CGM % | 5 P Python @ </v>
      </c>
      <c r="BA511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B511" s="4" t="str">
        <f ca="1">IFERROR(__xludf.DUMMYFUNCTION("""COMPUTED_VALUE"""),"| 1 P Python % | 3 L CPT % | 4 L JAVA % | 5 L INE @ ")</f>
        <v xml:space="preserve">| 1 P Python % | 3 L CPT % | 4 L JAVA % | 5 L INE @ </v>
      </c>
      <c r="BC511" s="4" t="str">
        <f ca="1">IFERROR(__xludf.DUMMYFUNCTION("""COMPUTED_VALUE"""),"| 1 P JAVA % | 3 L JAVA % | 4 L NS % | 5 P PRO @ ")</f>
        <v xml:space="preserve">| 1 P JAVA % | 3 L JAVA % | 4 L NS % | 5 P PRO @ </v>
      </c>
      <c r="BD511" s="4" t="str">
        <f ca="1">IFERROR(__xludf.DUMMYFUNCTION("""COMPUTED_VALUE"""),"| 1 P JAVA % | 4 L NS %  | 3 L PHP-CGM % | 5 P CPT @ ")</f>
        <v xml:space="preserve">| 1 P JAVA % | 4 L NS %  | 3 L PHP-CGM % | 5 P CPT @ </v>
      </c>
      <c r="BE511" s="4" t="str">
        <f ca="1">IFERROR(__xludf.DUMMYFUNCTION("""COMPUTED_VALUE"""),"| 1 P NS % | 3 L CPT % | 4 L PHP-CGM % | 5 P Python % ")</f>
        <v xml:space="preserve">| 1 P NS % | 3 L CPT % | 4 L PHP-CGM % | 5 P Python % </v>
      </c>
      <c r="BF511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G511" s="4" t="str">
        <f ca="1">IFERROR(__xludf.DUMMYFUNCTION("""COMPUTED_VALUE"""),"| 1 P JAVA % | 3 L JAVA % | 4 L NS % | 5 P PRO @ ")</f>
        <v xml:space="preserve">| 1 P JAVA % | 3 L JAVA % | 4 L NS % | 5 P PRO @ </v>
      </c>
      <c r="BH511" s="4" t="str">
        <f ca="1">IFERROR(__xludf.DUMMYFUNCTION("""COMPUTED_VALUE"""),"| 1 P JAVA % | 3 L PHP-CGM % | 4 L NS % | 5 P CPT @ ")</f>
        <v xml:space="preserve">| 1 P JAVA % | 3 L PHP-CGM % | 4 L NS % | 5 P CPT @ </v>
      </c>
      <c r="BI511" s="4" t="str">
        <f ca="1">IFERROR(__xludf.DUMMYFUNCTION("""COMPUTED_VALUE"""),"| 1 P NS % | 3 L CPT % | 4 L PHP-CGM % | 5 P Python @ ")</f>
        <v xml:space="preserve">| 1 P NS % | 3 L CPT % | 4 L PHP-CGM % | 5 P Python @ </v>
      </c>
      <c r="BJ511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K511" s="4" t="str">
        <f ca="1">IFERROR(__xludf.DUMMYFUNCTION("""COMPUTED_VALUE"""),"| 1 P Python @ | 3 L CPT @ | 4 L JAVA @ | 5 L INE @ ")</f>
        <v xml:space="preserve">| 1 P Python @ | 3 L CPT @ | 4 L JAVA @ | 5 L INE @ </v>
      </c>
      <c r="BL511" s="4" t="str">
        <f ca="1">IFERROR(__xludf.DUMMYFUNCTION("""COMPUTED_VALUE"""),"| 1 P JAVA @ | 3 L JAVA @ | 4 L NS @ ")</f>
        <v xml:space="preserve">| 1 P JAVA @ | 3 L JAVA @ | 4 L NS @ </v>
      </c>
      <c r="BM511" s="4" t="str">
        <f ca="1">IFERROR(__xludf.DUMMYFUNCTION("""COMPUTED_VALUE"""),"| 1 P JAVA @ | 3 L PHP-CGM @ | 4 L NS @ | 5 P CPT @ ")</f>
        <v xml:space="preserve">| 1 P JAVA @ | 3 L PHP-CGM @ | 4 L NS @ | 5 P CPT @ </v>
      </c>
      <c r="BN511" s="4" t="str">
        <f ca="1">IFERROR(__xludf.DUMMYFUNCTION("""COMPUTED_VALUE"""),"| 1 P NS @ | 3 L CPT @ | 4 L PHP-CGM @ ")</f>
        <v xml:space="preserve">| 1 P NS @ | 3 L CPT @ | 4 L PHP-CGM @ </v>
      </c>
      <c r="BO511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11" s="4" t="str">
        <f ca="1">IFERROR(__xludf.DUMMYFUNCTION("""COMPUTED_VALUE"""),"| 1 P Python % | 3 L CPT % | 4 L JAVA % | 5 L INE @ ")</f>
        <v xml:space="preserve">| 1 P Python % | 3 L CPT % | 4 L JAVA % | 5 L INE @ </v>
      </c>
      <c r="BQ511" s="4" t="str">
        <f ca="1">IFERROR(__xludf.DUMMYFUNCTION("""COMPUTED_VALUE"""),"| 4 L NS @ | 1 P JAVA % ")</f>
        <v xml:space="preserve">| 4 L NS @ | 1 P JAVA % </v>
      </c>
      <c r="BR511" s="4"/>
      <c r="BS511" s="4"/>
      <c r="BT511" s="4" t="str">
        <f ca="1">IFERROR(__xludf.DUMMYFUNCTION("""COMPUTED_VALUE"""),"| 1 P Python @ | 3 L CPT @ | 4 L JAVA @ ")</f>
        <v xml:space="preserve">| 1 P Python @ | 3 L CPT @ | 4 L JAVA @ </v>
      </c>
      <c r="BU511" s="4" t="str">
        <f ca="1">IFERROR(__xludf.DUMMYFUNCTION("""COMPUTED_VALUE"""),"| 1 P JAVA % | 4 L NS % | 3 L JAVA % ")</f>
        <v xml:space="preserve">| 1 P JAVA % | 4 L NS % | 3 L JAVA % </v>
      </c>
      <c r="BV511" s="4" t="str">
        <f ca="1">IFERROR(__xludf.DUMMYFUNCTION("""COMPUTED_VALUE"""),"| 1 P Python @ | 3 L CPT % | 4 L JAVA % ")</f>
        <v xml:space="preserve">| 1 P Python @ | 3 L CPT % | 4 L JAVA % </v>
      </c>
      <c r="BW511" s="4" t="str">
        <f ca="1">IFERROR(__xludf.DUMMYFUNCTION("""COMPUTED_VALUE"""),"| 1 P JAVA % | 3 L JAVA % | 4 L NS % ")</f>
        <v xml:space="preserve">| 1 P JAVA % | 3 L JAVA % | 4 L NS % </v>
      </c>
      <c r="BX511" s="4" t="str">
        <f ca="1">IFERROR(__xludf.DUMMYFUNCTION("""COMPUTED_VALUE"""),"| 1 P JAVA % | 3 L PHP-CGM % | 4 L NS % | 5 P CPT @ ")</f>
        <v xml:space="preserve">| 1 P JAVA % | 3 L PHP-CGM % | 4 L NS % | 5 P CPT @ </v>
      </c>
      <c r="BY511" s="4" t="str">
        <f ca="1">IFERROR(__xludf.DUMMYFUNCTION("""COMPUTED_VALUE"""),"| 1 P NS @ | 3 L CPT % | 4 L PHP-CGM % | 5 P Python @ ")</f>
        <v xml:space="preserve">| 1 P NS @ | 3 L CPT % | 4 L PHP-CGM % | 5 P Python @ </v>
      </c>
      <c r="BZ511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511" s="4" t="str">
        <f ca="1">IFERROR(__xludf.DUMMYFUNCTION("""COMPUTED_VALUE"""),"| 1 P Python @ | 3 L CPT % | 4 L JAVA % | 5 L INE % ")</f>
        <v xml:space="preserve">| 1 P Python @ | 3 L CPT % | 4 L JAVA % | 5 L INE % </v>
      </c>
      <c r="CB511" s="4" t="str">
        <f ca="1">IFERROR(__xludf.DUMMYFUNCTION("""COMPUTED_VALUE"""),"| 1 P JAVA % | 3 L JAVA % | 4 L NS % | 5 P PRO @ ")</f>
        <v xml:space="preserve">| 1 P JAVA % | 3 L JAVA % | 4 L NS % | 5 P PRO @ </v>
      </c>
      <c r="CC511" s="4" t="str">
        <f ca="1">IFERROR(__xludf.DUMMYFUNCTION("""COMPUTED_VALUE"""),"| 1 P JAVA % | 3 L PHP-CGM % | 4 L NS % | 5 P CPT % ")</f>
        <v xml:space="preserve">| 1 P JAVA % | 3 L PHP-CGM % | 4 L NS % | 5 P CPT % </v>
      </c>
      <c r="CD511" s="4" t="str">
        <f ca="1">IFERROR(__xludf.DUMMYFUNCTION("""COMPUTED_VALUE"""),"| 1 P NS % | 3 L CPT % | 4 L PHP-CGM % | 5 P Python @ ")</f>
        <v xml:space="preserve">| 1 P NS % | 3 L CPT % | 4 L PHP-CGM % | 5 P Python @ </v>
      </c>
      <c r="CE511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F511" s="4" t="str">
        <f ca="1">IFERROR(__xludf.DUMMYFUNCTION("""COMPUTED_VALUE"""),"| 1 P Python @ | 3 L CPT @ | 4 L JAVA @ | 5 L INE @ ")</f>
        <v xml:space="preserve">| 1 P Python @ | 3 L CPT @ | 4 L JAVA @ | 5 L INE @ </v>
      </c>
      <c r="CG511" s="4" t="str">
        <f ca="1">IFERROR(__xludf.DUMMYFUNCTION("""COMPUTED_VALUE"""),"| 1 P JAVA @ | 4 L NS @ ")</f>
        <v xml:space="preserve">| 1 P JAVA @ | 4 L NS @ </v>
      </c>
      <c r="CH511" s="4" t="str">
        <f ca="1">IFERROR(__xludf.DUMMYFUNCTION("""COMPUTED_VALUE"""),"| 1 P JAVA @ | 3 L PHP-CGM @ | 4 L NS @ ")</f>
        <v xml:space="preserve">| 1 P JAVA @ | 3 L PHP-CGM @ | 4 L NS @ </v>
      </c>
      <c r="CI511" s="4" t="str">
        <f ca="1">IFERROR(__xludf.DUMMYFUNCTION("""COMPUTED_VALUE"""),"| 1 P NS % ")</f>
        <v xml:space="preserve">| 1 P NS % </v>
      </c>
      <c r="CJ511" s="4" t="str">
        <f ca="1">IFERROR(__xludf.DUMMYFUNCTION("""COMPUTED_VALUE"""),"| 1 P PHP-CGM @ | 4 L JAVA % ")</f>
        <v xml:space="preserve">| 1 P PHP-CGM @ | 4 L JAVA % </v>
      </c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</row>
    <row r="512" spans="1:102" ht="12.5" x14ac:dyDescent="0.25">
      <c r="A512" s="3">
        <f ca="1">IFERROR(__xludf.DUMMYFUNCTION("""COMPUTED_VALUE"""),2)</f>
        <v>2</v>
      </c>
      <c r="B512" s="3" t="str">
        <f ca="1">IFERROR(__xludf.DUMMYFUNCTION("""COMPUTED_VALUE"""),"ITC")</f>
        <v>ITC</v>
      </c>
      <c r="C512" s="32" t="str">
        <f ca="1">IFERROR(__xludf.DUMMYFUNCTION("""COMPUTED_VALUE"""),"23171371101")</f>
        <v>23171371101</v>
      </c>
      <c r="D512" s="4" t="str">
        <f ca="1">IFERROR(__xludf.DUMMYFUNCTION("""COMPUTED_VALUE"""),"PATEL PARAM DINESHBHAI")</f>
        <v>PATEL PARAM DINESHBHAI</v>
      </c>
      <c r="E512" s="3" t="str">
        <f ca="1">IFERROR(__xludf.DUMMYFUNCTION("""COMPUTED_VALUE"""),"SDP&amp;KKP - Mor")</f>
        <v>SDP&amp;KKP - Mor</v>
      </c>
      <c r="F512" s="3">
        <f ca="1">IFERROR(__xludf.DUMMYFUNCTION("""COMPUTED_VALUE"""),9712934437)</f>
        <v>9712934437</v>
      </c>
      <c r="G512" s="3">
        <f ca="1">IFERROR(__xludf.DUMMYFUNCTION("""COMPUTED_VALUE"""),9909018437)</f>
        <v>9909018437</v>
      </c>
      <c r="H512" s="33">
        <f ca="1">IFERROR(__xludf.DUMMYFUNCTION("""COMPUTED_VALUE"""),0.506224066390041)</f>
        <v>0.50622406639004103</v>
      </c>
      <c r="I512" s="25">
        <f ca="1">IFERROR(__xludf.DUMMYFUNCTION("""COMPUTED_VALUE"""),0.5)</f>
        <v>0.5</v>
      </c>
      <c r="J512" s="25">
        <f ca="1">IFERROR(__xludf.DUMMYFUNCTION("""COMPUTED_VALUE"""),0.4)</f>
        <v>0.4</v>
      </c>
      <c r="K512" s="25">
        <f ca="1">IFERROR(__xludf.DUMMYFUNCTION("""COMPUTED_VALUE"""),0.5)</f>
        <v>0.5</v>
      </c>
      <c r="L512" s="25">
        <f ca="1">IFERROR(__xludf.DUMMYFUNCTION("""COMPUTED_VALUE"""),0.538461538461538)</f>
        <v>0.53846153846153799</v>
      </c>
      <c r="M512" s="25">
        <f ca="1">IFERROR(__xludf.DUMMYFUNCTION("""COMPUTED_VALUE"""),0.53125)</f>
        <v>0.53125</v>
      </c>
      <c r="N512" s="25">
        <f ca="1">IFERROR(__xludf.DUMMYFUNCTION("""COMPUTED_VALUE"""),0.454545454545454)</f>
        <v>0.45454545454545398</v>
      </c>
      <c r="O512" s="25">
        <f ca="1">IFERROR(__xludf.DUMMYFUNCTION("""COMPUTED_VALUE"""),0.567567567567567)</f>
        <v>0.56756756756756699</v>
      </c>
      <c r="P512" s="25">
        <f ca="1">IFERROR(__xludf.DUMMYFUNCTION("""COMPUTED_VALUE"""),0.56)</f>
        <v>0.56000000000000005</v>
      </c>
      <c r="Q512" s="25">
        <f ca="1">IFERROR(__xludf.DUMMYFUNCTION("""COMPUTED_VALUE"""),0)</f>
        <v>0</v>
      </c>
      <c r="R512" s="25">
        <f ca="1">IFERROR(__xludf.DUMMYFUNCTION("""COMPUTED_VALUE"""),0.5)</f>
        <v>0.5</v>
      </c>
      <c r="S512" s="25">
        <f ca="1">IFERROR(__xludf.DUMMYFUNCTION("""COMPUTED_VALUE"""),0)</f>
        <v>0</v>
      </c>
      <c r="T512" s="25">
        <f ca="1">IFERROR(__xludf.DUMMYFUNCTION("""COMPUTED_VALUE"""),0.444444444444444)</f>
        <v>0.44444444444444398</v>
      </c>
      <c r="U512" s="25">
        <f ca="1">IFERROR(__xludf.DUMMYFUNCTION("""COMPUTED_VALUE"""),0.25)</f>
        <v>0.25</v>
      </c>
      <c r="V512" s="25">
        <f ca="1">IFERROR(__xludf.DUMMYFUNCTION("""COMPUTED_VALUE"""),0)</f>
        <v>0</v>
      </c>
      <c r="W512" s="4"/>
      <c r="X512" s="4" t="str">
        <f ca="1">IFERROR(__xludf.DUMMYFUNCTION("""COMPUTED_VALUE"""),"| 1 P Python % | 3 L CPT % | 4 L JAVA % ")</f>
        <v xml:space="preserve">| 1 P Python % | 3 L CPT % | 4 L JAVA % </v>
      </c>
      <c r="Y512" s="4" t="str">
        <f ca="1">IFERROR(__xludf.DUMMYFUNCTION("""COMPUTED_VALUE"""),"| 1 P JAVA % | 3 L JAVA % | 4 L NS % | 5 P PRO % ")</f>
        <v xml:space="preserve">| 1 P JAVA % | 3 L JAVA % | 4 L NS % | 5 P PRO % </v>
      </c>
      <c r="Z512" s="4" t="str">
        <f ca="1">IFERROR(__xludf.DUMMYFUNCTION("""COMPUTED_VALUE"""),"| 1 P JAVA % | 3 L PHP-CGM % | 4 L NS % | 5 P CPT @ ")</f>
        <v xml:space="preserve">| 1 P JAVA % | 3 L PHP-CGM % | 4 L NS % | 5 P CPT @ </v>
      </c>
      <c r="AA512" s="4" t="str">
        <f ca="1">IFERROR(__xludf.DUMMYFUNCTION("""COMPUTED_VALUE"""),"| 1 P NS @ | 3 L CPT @ | 5 P Python @ ")</f>
        <v xml:space="preserve">| 1 P NS @ | 3 L CPT @ | 5 P Python @ </v>
      </c>
      <c r="AB512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12" s="4" t="str">
        <f ca="1">IFERROR(__xludf.DUMMYFUNCTION("""COMPUTED_VALUE"""),"| 1 P Python % | 3 L CPT % | 4 L JAVA % ")</f>
        <v xml:space="preserve">| 1 P Python % | 3 L CPT % | 4 L JAVA % </v>
      </c>
      <c r="AD512" s="4" t="str">
        <f ca="1">IFERROR(__xludf.DUMMYFUNCTION("""COMPUTED_VALUE"""),"| 1 P JAVA % | 3 L JAVA % | 4 L NS % | 5 P PRO @ ")</f>
        <v xml:space="preserve">| 1 P JAVA % | 3 L JAVA % | 4 L NS % | 5 P PRO @ </v>
      </c>
      <c r="AE512" s="4" t="str">
        <f ca="1">IFERROR(__xludf.DUMMYFUNCTION("""COMPUTED_VALUE"""),"| 1 P JAVA % | 3 L PHP-CGM % | 4 L NS % | 5 P CPT % ")</f>
        <v xml:space="preserve">| 1 P JAVA % | 3 L PHP-CGM % | 4 L NS % | 5 P CPT % </v>
      </c>
      <c r="AF512" s="4" t="str">
        <f ca="1">IFERROR(__xludf.DUMMYFUNCTION("""COMPUTED_VALUE"""),"| 1 P NS % | 3 L CPT % | 4 L PHP-CGM % | 5 P Python % ")</f>
        <v xml:space="preserve">| 1 P NS % | 3 L CPT % | 4 L PHP-CGM % | 5 P Python % </v>
      </c>
      <c r="AG512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512" s="4" t="str">
        <f ca="1">IFERROR(__xludf.DUMMYFUNCTION("""COMPUTED_VALUE"""),"| 1 P NS % | 3 L CPT % | 4 L PHP-CGM % | 5 P Python % ")</f>
        <v xml:space="preserve">| 1 P NS % | 3 L CPT % | 4 L PHP-CGM % | 5 P Python % </v>
      </c>
      <c r="AI512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J512" s="4" t="str">
        <f ca="1">IFERROR(__xludf.DUMMYFUNCTION("""COMPUTED_VALUE"""),"| 1 P Python % | 3 L CPT % | 4 L JAVA % ")</f>
        <v xml:space="preserve">| 1 P Python % | 3 L CPT % | 4 L JAVA % </v>
      </c>
      <c r="AK512" s="4" t="str">
        <f ca="1">IFERROR(__xludf.DUMMYFUNCTION("""COMPUTED_VALUE"""),"| 1 P JAVA % | 4 L NS % | 3 L JAVA % | 5 P PRO % ")</f>
        <v xml:space="preserve">| 1 P JAVA % | 4 L NS % | 3 L JAVA % | 5 P PRO % </v>
      </c>
      <c r="AL512" s="4" t="str">
        <f ca="1">IFERROR(__xludf.DUMMYFUNCTION("""COMPUTED_VALUE"""),"| 1 P JAVA % | 3 L PHP-CGM % | 4 L NS % | 5 P CPT % ")</f>
        <v xml:space="preserve">| 1 P JAVA % | 3 L PHP-CGM % | 4 L NS % | 5 P CPT % </v>
      </c>
      <c r="AM512" s="4" t="str">
        <f ca="1">IFERROR(__xludf.DUMMYFUNCTION("""COMPUTED_VALUE"""),"| 1 P NS % | 3 L CPT % | 4 L PHP-CGM % | 5 P Python % ")</f>
        <v xml:space="preserve">| 1 P NS % | 3 L CPT % | 4 L PHP-CGM % | 5 P Python % </v>
      </c>
      <c r="AN512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2" s="4" t="str">
        <f ca="1">IFERROR(__xludf.DUMMYFUNCTION("""COMPUTED_VALUE"""),"| 1 P Python @ | 3 L CPT @ | 4 L JAVA @ | 5 L INE @ ")</f>
        <v xml:space="preserve">| 1 P Python @ | 3 L CPT @ | 4 L JAVA @ | 5 L INE @ </v>
      </c>
      <c r="AP512" s="4" t="str">
        <f ca="1">IFERROR(__xludf.DUMMYFUNCTION("""COMPUTED_VALUE"""),"| 1 P JAVA @ | 3 L JAVA @ | 4 L NS @ | 5 P PRO @ ")</f>
        <v xml:space="preserve">| 1 P JAVA @ | 3 L JAVA @ | 4 L NS @ | 5 P PRO @ </v>
      </c>
      <c r="AQ512" s="4" t="str">
        <f ca="1">IFERROR(__xludf.DUMMYFUNCTION("""COMPUTED_VALUE"""),"| 1 P JAVA @ | 3 L PHP-CGM @ | 4 L NS @ | 5 P CPT @ ")</f>
        <v xml:space="preserve">| 1 P JAVA @ | 3 L PHP-CGM @ | 4 L NS @ | 5 P CPT @ </v>
      </c>
      <c r="AR512" s="4" t="str">
        <f ca="1">IFERROR(__xludf.DUMMYFUNCTION("""COMPUTED_VALUE"""),"| 1 P NS @ | 3 L CPT @ | 5 P Python @ ")</f>
        <v xml:space="preserve">| 1 P NS @ | 3 L CPT @ | 5 P Python @ </v>
      </c>
      <c r="AS512" s="4" t="str">
        <f ca="1">IFERROR(__xludf.DUMMYFUNCTION("""COMPUTED_VALUE"""),"| 1 P Python @ | 3 L CPT @ | 4 L JAVA @ | 5 L INE @ ")</f>
        <v xml:space="preserve">| 1 P Python @ | 3 L CPT @ | 4 L JAVA @ | 5 L INE @ </v>
      </c>
      <c r="AT512" s="4" t="str">
        <f ca="1">IFERROR(__xludf.DUMMYFUNCTION("""COMPUTED_VALUE"""),"| 1 P JAVA @ | 3 L JAVA @ | 4 L NS @ | 5 P PRO @ ")</f>
        <v xml:space="preserve">| 1 P JAVA @ | 3 L JAVA @ | 4 L NS @ | 5 P PRO @ </v>
      </c>
      <c r="AU512" s="4" t="str">
        <f ca="1">IFERROR(__xludf.DUMMYFUNCTION("""COMPUTED_VALUE"""),"| 1 P JAVA @ | 3 L PHP-CGM @ | 4 L NS @ | 5 P CPT @ ")</f>
        <v xml:space="preserve">| 1 P JAVA @ | 3 L PHP-CGM @ | 4 L NS @ | 5 P CPT @ </v>
      </c>
      <c r="AV512" s="4" t="str">
        <f ca="1">IFERROR(__xludf.DUMMYFUNCTION("""COMPUTED_VALUE"""),"| 1 P NS @ | 3 L CPT @ | 4 L PHP-CGM @ | 5 P Python @ ")</f>
        <v xml:space="preserve">| 1 P NS @ | 3 L CPT @ | 4 L PHP-CGM @ | 5 P Python @ </v>
      </c>
      <c r="AW512" s="4" t="str">
        <f ca="1">IFERROR(__xludf.DUMMYFUNCTION("""COMPUTED_VALUE"""),"| 3 L PHP-CGM @ | 4 L JAVA @ | 5 L NS % | 5 L CPT @ ")</f>
        <v xml:space="preserve">| 3 L PHP-CGM @ | 4 L JAVA @ | 5 L NS % | 5 L CPT @ </v>
      </c>
      <c r="AX512" s="4" t="str">
        <f ca="1">IFERROR(__xludf.DUMMYFUNCTION("""COMPUTED_VALUE"""),"| 1 P Python @ | 3 L CPT @ | 4 L JAVA @ | 5 L INE @ ")</f>
        <v xml:space="preserve">| 1 P Python @ | 3 L CPT @ | 4 L JAVA @ | 5 L INE @ </v>
      </c>
      <c r="AY512" s="4" t="str">
        <f ca="1">IFERROR(__xludf.DUMMYFUNCTION("""COMPUTED_VALUE"""),"| 1 P JAVA @ | 3 L JAVA @ | 4 L NS @ | 5 P PRO @ ")</f>
        <v xml:space="preserve">| 1 P JAVA @ | 3 L JAVA @ | 4 L NS @ | 5 P PRO @ </v>
      </c>
      <c r="AZ512" s="4" t="str">
        <f ca="1">IFERROR(__xludf.DUMMYFUNCTION("""COMPUTED_VALUE"""),"| 1 P NS @ | 3 L CPT @ | 4 L PHP-CGM @ | 5 P Python @ ")</f>
        <v xml:space="preserve">| 1 P NS @ | 3 L CPT @ | 4 L PHP-CGM @ | 5 P Python @ </v>
      </c>
      <c r="BA512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B512" s="4" t="str">
        <f ca="1">IFERROR(__xludf.DUMMYFUNCTION("""COMPUTED_VALUE"""),"| 1 P Python @ | 3 L CPT @ | 4 L JAVA @ | 5 L INE @ ")</f>
        <v xml:space="preserve">| 1 P Python @ | 3 L CPT @ | 4 L JAVA @ | 5 L INE @ </v>
      </c>
      <c r="BC512" s="4" t="str">
        <f ca="1">IFERROR(__xludf.DUMMYFUNCTION("""COMPUTED_VALUE"""),"| 1 P JAVA @ | 3 L JAVA @ | 4 L NS @ | 5 P PRO @ ")</f>
        <v xml:space="preserve">| 1 P JAVA @ | 3 L JAVA @ | 4 L NS @ | 5 P PRO @ </v>
      </c>
      <c r="BD512" s="4" t="str">
        <f ca="1">IFERROR(__xludf.DUMMYFUNCTION("""COMPUTED_VALUE"""),"| 1 P JAVA @ | 4 L NS @  | 3 L PHP-CGM @ | 5 P CPT @ ")</f>
        <v xml:space="preserve">| 1 P JAVA @ | 4 L NS @  | 3 L PHP-CGM @ | 5 P CPT @ </v>
      </c>
      <c r="BE512" s="4" t="str">
        <f ca="1">IFERROR(__xludf.DUMMYFUNCTION("""COMPUTED_VALUE"""),"| 1 P NS @ | 3 L CPT @ | 4 L PHP-CGM @ | 5 P Python @ ")</f>
        <v xml:space="preserve">| 1 P NS @ | 3 L CPT @ | 4 L PHP-CGM @ | 5 P Python @ </v>
      </c>
      <c r="BF512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12" s="4" t="str">
        <f ca="1">IFERROR(__xludf.DUMMYFUNCTION("""COMPUTED_VALUE"""),"| 1 P JAVA % | 3 L JAVA % | 4 L NS % | 5 P PRO % ")</f>
        <v xml:space="preserve">| 1 P JAVA % | 3 L JAVA % | 4 L NS % | 5 P PRO % </v>
      </c>
      <c r="BH512" s="4" t="str">
        <f ca="1">IFERROR(__xludf.DUMMYFUNCTION("""COMPUTED_VALUE"""),"| 1 P JAVA % | 3 L PHP-CGM % | 4 L NS % | 5 P CPT % ")</f>
        <v xml:space="preserve">| 1 P JAVA % | 3 L PHP-CGM % | 4 L NS % | 5 P CPT % </v>
      </c>
      <c r="BI512" s="4" t="str">
        <f ca="1">IFERROR(__xludf.DUMMYFUNCTION("""COMPUTED_VALUE"""),"| 1 P NS % | 3 L CPT % | 4 L PHP-CGM % | 5 P Python @ ")</f>
        <v xml:space="preserve">| 1 P NS % | 3 L CPT % | 4 L PHP-CGM % | 5 P Python @ </v>
      </c>
      <c r="BJ512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12" s="4" t="str">
        <f ca="1">IFERROR(__xludf.DUMMYFUNCTION("""COMPUTED_VALUE"""),"| 1 P Python % | 3 L CPT @ | 4 L JAVA @ | 5 L INE % ")</f>
        <v xml:space="preserve">| 1 P Python % | 3 L CPT @ | 4 L JAVA @ | 5 L INE % </v>
      </c>
      <c r="BL512" s="4" t="str">
        <f ca="1">IFERROR(__xludf.DUMMYFUNCTION("""COMPUTED_VALUE"""),"| 1 P JAVA @ | 3 L JAVA % | 4 L NS @ ")</f>
        <v xml:space="preserve">| 1 P JAVA @ | 3 L JAVA % | 4 L NS @ </v>
      </c>
      <c r="BM512" s="4" t="str">
        <f ca="1">IFERROR(__xludf.DUMMYFUNCTION("""COMPUTED_VALUE"""),"| 1 P JAVA @ | 3 L PHP-CGM @ | 4 L NS @ | 5 P CPT @ ")</f>
        <v xml:space="preserve">| 1 P JAVA @ | 3 L PHP-CGM @ | 4 L NS @ | 5 P CPT @ </v>
      </c>
      <c r="BN512" s="4" t="str">
        <f ca="1">IFERROR(__xludf.DUMMYFUNCTION("""COMPUTED_VALUE"""),"| 1 P NS % | 3 L CPT % | 4 L PHP-CGM @ ")</f>
        <v xml:space="preserve">| 1 P NS % | 3 L CPT % | 4 L PHP-CGM @ </v>
      </c>
      <c r="BO512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12" s="4" t="str">
        <f ca="1">IFERROR(__xludf.DUMMYFUNCTION("""COMPUTED_VALUE"""),"| 1 P Python % | 3 L CPT % | 4 L JAVA % | 5 L INE @ ")</f>
        <v xml:space="preserve">| 1 P Python % | 3 L CPT % | 4 L JAVA % | 5 L INE @ </v>
      </c>
      <c r="BQ512" s="4" t="str">
        <f ca="1">IFERROR(__xludf.DUMMYFUNCTION("""COMPUTED_VALUE"""),"| 4 L NS % | 1 P JAVA % ")</f>
        <v xml:space="preserve">| 4 L NS % | 1 P JAVA % </v>
      </c>
      <c r="BR512" s="4"/>
      <c r="BS512" s="4"/>
      <c r="BT512" s="4" t="str">
        <f ca="1">IFERROR(__xludf.DUMMYFUNCTION("""COMPUTED_VALUE"""),"| 1 P Python % | 3 L CPT % | 4 L JAVA % ")</f>
        <v xml:space="preserve">| 1 P Python % | 3 L CPT % | 4 L JAVA % </v>
      </c>
      <c r="BU512" s="4" t="str">
        <f ca="1">IFERROR(__xludf.DUMMYFUNCTION("""COMPUTED_VALUE"""),"| 1 P JAVA @ | 4 L NS @ | 3 L JAVA @ ")</f>
        <v xml:space="preserve">| 1 P JAVA @ | 4 L NS @ | 3 L JAVA @ </v>
      </c>
      <c r="BV512" s="4" t="str">
        <f ca="1">IFERROR(__xludf.DUMMYFUNCTION("""COMPUTED_VALUE"""),"| 1 P Python % | 3 L CPT % | 4 L JAVA % ")</f>
        <v xml:space="preserve">| 1 P Python % | 3 L CPT % | 4 L JAVA % </v>
      </c>
      <c r="BW512" s="4" t="str">
        <f ca="1">IFERROR(__xludf.DUMMYFUNCTION("""COMPUTED_VALUE"""),"| 1 P JAVA % | 3 L JAVA % | 4 L NS % ")</f>
        <v xml:space="preserve">| 1 P JAVA % | 3 L JAVA % | 4 L NS % </v>
      </c>
      <c r="BX512" s="4" t="str">
        <f ca="1">IFERROR(__xludf.DUMMYFUNCTION("""COMPUTED_VALUE"""),"| 1 P JAVA % | 3 L PHP-CGM % | 4 L NS % | 5 P CPT @ ")</f>
        <v xml:space="preserve">| 1 P JAVA % | 3 L PHP-CGM % | 4 L NS % | 5 P CPT @ </v>
      </c>
      <c r="BY512" s="4" t="str">
        <f ca="1">IFERROR(__xludf.DUMMYFUNCTION("""COMPUTED_VALUE"""),"| 1 P NS @ | 3 L CPT % | 4 L PHP-CGM % | 5 P Python @ ")</f>
        <v xml:space="preserve">| 1 P NS @ | 3 L CPT % | 4 L PHP-CGM % | 5 P Python @ </v>
      </c>
      <c r="BZ512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12" s="4" t="str">
        <f ca="1">IFERROR(__xludf.DUMMYFUNCTION("""COMPUTED_VALUE"""),"| 1 P Python @ | 3 L CPT % | 4 L JAVA % | 5 L INE % ")</f>
        <v xml:space="preserve">| 1 P Python @ | 3 L CPT % | 4 L JAVA % | 5 L INE % </v>
      </c>
      <c r="CB512" s="4" t="str">
        <f ca="1">IFERROR(__xludf.DUMMYFUNCTION("""COMPUTED_VALUE"""),"| 1 P JAVA % | 3 L JAVA % | 4 L NS % | 5 P PRO % ")</f>
        <v xml:space="preserve">| 1 P JAVA % | 3 L JAVA % | 4 L NS % | 5 P PRO % </v>
      </c>
      <c r="CC512" s="4" t="str">
        <f ca="1">IFERROR(__xludf.DUMMYFUNCTION("""COMPUTED_VALUE"""),"| 1 P JAVA % | 3 L PHP-CGM % | 4 L NS % | 5 P CPT % ")</f>
        <v xml:space="preserve">| 1 P JAVA % | 3 L PHP-CGM % | 4 L NS % | 5 P CPT % </v>
      </c>
      <c r="CD512" s="4" t="str">
        <f ca="1">IFERROR(__xludf.DUMMYFUNCTION("""COMPUTED_VALUE"""),"| 1 P NS % | 3 L CPT @ | 4 L PHP-CGM % | 5 P Python % ")</f>
        <v xml:space="preserve">| 1 P NS % | 3 L CPT @ | 4 L PHP-CGM % | 5 P Python % </v>
      </c>
      <c r="CE512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12" s="4" t="str">
        <f ca="1">IFERROR(__xludf.DUMMYFUNCTION("""COMPUTED_VALUE"""),"| 1 P Python % | 3 L CPT % | 4 L JAVA % | 5 L INE @ ")</f>
        <v xml:space="preserve">| 1 P Python % | 3 L CPT % | 4 L JAVA % | 5 L INE @ </v>
      </c>
      <c r="CG512" s="4" t="str">
        <f ca="1">IFERROR(__xludf.DUMMYFUNCTION("""COMPUTED_VALUE"""),"| 1 P JAVA @ | 4 L NS % ")</f>
        <v xml:space="preserve">| 1 P JAVA @ | 4 L NS % </v>
      </c>
      <c r="CH512" s="4" t="str">
        <f ca="1">IFERROR(__xludf.DUMMYFUNCTION("""COMPUTED_VALUE"""),"| 1 P JAVA % | 3 L PHP-CGM @ | 4 L NS @ ")</f>
        <v xml:space="preserve">| 1 P JAVA % | 3 L PHP-CGM @ | 4 L NS @ </v>
      </c>
      <c r="CI512" s="4" t="str">
        <f ca="1">IFERROR(__xludf.DUMMYFUNCTION("""COMPUTED_VALUE"""),"| 1 P NS % ")</f>
        <v xml:space="preserve">| 1 P NS % </v>
      </c>
      <c r="CJ512" s="4" t="str">
        <f ca="1">IFERROR(__xludf.DUMMYFUNCTION("""COMPUTED_VALUE"""),"| 1 P PHP-CGM @ | 4 L JAVA % ")</f>
        <v xml:space="preserve">| 1 P PHP-CGM @ | 4 L JAVA % </v>
      </c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</row>
    <row r="513" spans="1:102" ht="12.5" x14ac:dyDescent="0.25">
      <c r="A513" s="3">
        <f ca="1">IFERROR(__xludf.DUMMYFUNCTION("""COMPUTED_VALUE"""),2)</f>
        <v>2</v>
      </c>
      <c r="B513" s="3" t="str">
        <f ca="1">IFERROR(__xludf.DUMMYFUNCTION("""COMPUTED_VALUE"""),"ITC")</f>
        <v>ITC</v>
      </c>
      <c r="C513" s="32" t="str">
        <f ca="1">IFERROR(__xludf.DUMMYFUNCTION("""COMPUTED_VALUE"""),"23171371106")</f>
        <v>23171371106</v>
      </c>
      <c r="D513" s="4" t="str">
        <f ca="1">IFERROR(__xludf.DUMMYFUNCTION("""COMPUTED_VALUE"""),"PATEL RUSHI KAMLESHBHAI")</f>
        <v>PATEL RUSHI KAMLESHBHAI</v>
      </c>
      <c r="E513" s="3" t="str">
        <f ca="1">IFERROR(__xludf.DUMMYFUNCTION("""COMPUTED_VALUE"""),"SDP&amp;KKP - Mor")</f>
        <v>SDP&amp;KKP - Mor</v>
      </c>
      <c r="F513" s="3">
        <f ca="1">IFERROR(__xludf.DUMMYFUNCTION("""COMPUTED_VALUE"""),8320145244)</f>
        <v>8320145244</v>
      </c>
      <c r="G513" s="3">
        <f ca="1">IFERROR(__xludf.DUMMYFUNCTION("""COMPUTED_VALUE"""),9925480466)</f>
        <v>9925480466</v>
      </c>
      <c r="H513" s="33">
        <f ca="1">IFERROR(__xludf.DUMMYFUNCTION("""COMPUTED_VALUE"""),0.780082987551867)</f>
        <v>0.780082987551867</v>
      </c>
      <c r="I513" s="25">
        <f ca="1">IFERROR(__xludf.DUMMYFUNCTION("""COMPUTED_VALUE"""),0.777777777777777)</f>
        <v>0.77777777777777701</v>
      </c>
      <c r="J513" s="25">
        <f ca="1">IFERROR(__xludf.DUMMYFUNCTION("""COMPUTED_VALUE"""),0.8)</f>
        <v>0.8</v>
      </c>
      <c r="K513" s="25">
        <f ca="1">IFERROR(__xludf.DUMMYFUNCTION("""COMPUTED_VALUE"""),0.777777777777777)</f>
        <v>0.77777777777777701</v>
      </c>
      <c r="L513" s="25">
        <f ca="1">IFERROR(__xludf.DUMMYFUNCTION("""COMPUTED_VALUE"""),0.692307692307692)</f>
        <v>0.69230769230769196</v>
      </c>
      <c r="M513" s="25">
        <f ca="1">IFERROR(__xludf.DUMMYFUNCTION("""COMPUTED_VALUE"""),0.8125)</f>
        <v>0.8125</v>
      </c>
      <c r="N513" s="25">
        <f ca="1">IFERROR(__xludf.DUMMYFUNCTION("""COMPUTED_VALUE"""),0.727272727272727)</f>
        <v>0.72727272727272696</v>
      </c>
      <c r="O513" s="25">
        <f ca="1">IFERROR(__xludf.DUMMYFUNCTION("""COMPUTED_VALUE"""),0.81081081081081)</f>
        <v>0.81081081081080997</v>
      </c>
      <c r="P513" s="25">
        <f ca="1">IFERROR(__xludf.DUMMYFUNCTION("""COMPUTED_VALUE"""),0.84)</f>
        <v>0.84</v>
      </c>
      <c r="Q513" s="25">
        <f ca="1">IFERROR(__xludf.DUMMYFUNCTION("""COMPUTED_VALUE"""),0)</f>
        <v>0</v>
      </c>
      <c r="R513" s="25">
        <f ca="1">IFERROR(__xludf.DUMMYFUNCTION("""COMPUTED_VALUE"""),0.791666666666666)</f>
        <v>0.79166666666666596</v>
      </c>
      <c r="S513" s="25">
        <f ca="1">IFERROR(__xludf.DUMMYFUNCTION("""COMPUTED_VALUE"""),0)</f>
        <v>0</v>
      </c>
      <c r="T513" s="25">
        <f ca="1">IFERROR(__xludf.DUMMYFUNCTION("""COMPUTED_VALUE"""),0.777777777777777)</f>
        <v>0.77777777777777701</v>
      </c>
      <c r="U513" s="25">
        <f ca="1">IFERROR(__xludf.DUMMYFUNCTION("""COMPUTED_VALUE"""),0.5)</f>
        <v>0.5</v>
      </c>
      <c r="V513" s="25">
        <f ca="1">IFERROR(__xludf.DUMMYFUNCTION("""COMPUTED_VALUE"""),0)</f>
        <v>0</v>
      </c>
      <c r="W513" s="4"/>
      <c r="X513" s="4" t="str">
        <f ca="1">IFERROR(__xludf.DUMMYFUNCTION("""COMPUTED_VALUE"""),"| 1 P Python % | 3 L CPT @ | 4 L JAVA @ ")</f>
        <v xml:space="preserve">| 1 P Python % | 3 L CPT @ | 4 L JAVA @ </v>
      </c>
      <c r="Y513" s="4" t="str">
        <f ca="1">IFERROR(__xludf.DUMMYFUNCTION("""COMPUTED_VALUE"""),"| 1 P JAVA @ | 3 L JAVA @ | 4 L NS @ | 5 P PRO @ ")</f>
        <v xml:space="preserve">| 1 P JAVA @ | 3 L JAVA @ | 4 L NS @ | 5 P PRO @ </v>
      </c>
      <c r="Z513" s="4" t="str">
        <f ca="1">IFERROR(__xludf.DUMMYFUNCTION("""COMPUTED_VALUE"""),"| 1 P JAVA % | 3 L PHP-CGM % | 4 L NS % | 5 P CPT % ")</f>
        <v xml:space="preserve">| 1 P JAVA % | 3 L PHP-CGM % | 4 L NS % | 5 P CPT % </v>
      </c>
      <c r="AA513" s="4" t="str">
        <f ca="1">IFERROR(__xludf.DUMMYFUNCTION("""COMPUTED_VALUE"""),"| 1 P NS % | 3 L CPT % | 5 P Python % ")</f>
        <v xml:space="preserve">| 1 P NS % | 3 L CPT % | 5 P Python % </v>
      </c>
      <c r="AB513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C513" s="4" t="str">
        <f ca="1">IFERROR(__xludf.DUMMYFUNCTION("""COMPUTED_VALUE"""),"| 1 P Python % | 3 L CPT % | 4 L JAVA % ")</f>
        <v xml:space="preserve">| 1 P Python % | 3 L CPT % | 4 L JAVA % </v>
      </c>
      <c r="AD513" s="4" t="str">
        <f ca="1">IFERROR(__xludf.DUMMYFUNCTION("""COMPUTED_VALUE"""),"| 1 P JAVA @ | 3 L JAVA @ | 4 L NS @ | 5 P PRO @ ")</f>
        <v xml:space="preserve">| 1 P JAVA @ | 3 L JAVA @ | 4 L NS @ | 5 P PRO @ </v>
      </c>
      <c r="AE513" s="4" t="str">
        <f ca="1">IFERROR(__xludf.DUMMYFUNCTION("""COMPUTED_VALUE"""),"| 1 P JAVA % | 3 L PHP-CGM % | 4 L NS % | 5 P CPT % ")</f>
        <v xml:space="preserve">| 1 P JAVA % | 3 L PHP-CGM % | 4 L NS % | 5 P CPT % </v>
      </c>
      <c r="AF513" s="4" t="str">
        <f ca="1">IFERROR(__xludf.DUMMYFUNCTION("""COMPUTED_VALUE"""),"| 1 P NS % | 3 L CPT % | 4 L PHP-CGM % | 5 P Python % ")</f>
        <v xml:space="preserve">| 1 P NS % | 3 L CPT % | 4 L PHP-CGM % | 5 P Python % </v>
      </c>
      <c r="AG51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13" s="4" t="str">
        <f ca="1">IFERROR(__xludf.DUMMYFUNCTION("""COMPUTED_VALUE"""),"| 1 P NS % | 3 L CPT % | 4 L PHP-CGM % | 5 P Python % ")</f>
        <v xml:space="preserve">| 1 P NS % | 3 L CPT % | 4 L PHP-CGM % | 5 P Python % </v>
      </c>
      <c r="AI51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513" s="4" t="str">
        <f ca="1">IFERROR(__xludf.DUMMYFUNCTION("""COMPUTED_VALUE"""),"| 1 P Python % | 3 L CPT % | 4 L JAVA % ")</f>
        <v xml:space="preserve">| 1 P Python % | 3 L CPT % | 4 L JAVA % </v>
      </c>
      <c r="AK513" s="4" t="str">
        <f ca="1">IFERROR(__xludf.DUMMYFUNCTION("""COMPUTED_VALUE"""),"| 1 P JAVA % | 4 L NS % | 3 L JAVA % | 5 P PRO % ")</f>
        <v xml:space="preserve">| 1 P JAVA % | 4 L NS % | 3 L JAVA % | 5 P PRO % </v>
      </c>
      <c r="AL513" s="4" t="str">
        <f ca="1">IFERROR(__xludf.DUMMYFUNCTION("""COMPUTED_VALUE"""),"| 1 P JAVA % | 3 L PHP-CGM % | 4 L NS % | 5 P CPT % ")</f>
        <v xml:space="preserve">| 1 P JAVA % | 3 L PHP-CGM % | 4 L NS % | 5 P CPT % </v>
      </c>
      <c r="AM513" s="4" t="str">
        <f ca="1">IFERROR(__xludf.DUMMYFUNCTION("""COMPUTED_VALUE"""),"| 1 P NS % | 3 L CPT % | 4 L PHP-CGM % | 5 P Python % ")</f>
        <v xml:space="preserve">| 1 P NS % | 3 L CPT % | 4 L PHP-CGM % | 5 P Python % </v>
      </c>
      <c r="AN51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3" s="4" t="str">
        <f ca="1">IFERROR(__xludf.DUMMYFUNCTION("""COMPUTED_VALUE"""),"| 1 P Python % | 3 L CPT % | 4 L JAVA % | 5 L INE % ")</f>
        <v xml:space="preserve">| 1 P Python % | 3 L CPT % | 4 L JAVA % | 5 L INE % </v>
      </c>
      <c r="AP513" s="4" t="str">
        <f ca="1">IFERROR(__xludf.DUMMYFUNCTION("""COMPUTED_VALUE"""),"| 1 P JAVA % | 3 L JAVA % | 4 L NS % | 5 P PRO % ")</f>
        <v xml:space="preserve">| 1 P JAVA % | 3 L JAVA % | 4 L NS % | 5 P PRO % </v>
      </c>
      <c r="AQ513" s="4" t="str">
        <f ca="1">IFERROR(__xludf.DUMMYFUNCTION("""COMPUTED_VALUE"""),"| 1 P JAVA % | 3 L PHP-CGM % | 4 L NS % | 5 P CPT % ")</f>
        <v xml:space="preserve">| 1 P JAVA % | 3 L PHP-CGM % | 4 L NS % | 5 P CPT % </v>
      </c>
      <c r="AR513" s="4" t="str">
        <f ca="1">IFERROR(__xludf.DUMMYFUNCTION("""COMPUTED_VALUE"""),"| 1 P NS @ | 3 L CPT @ | 5 P Python @ ")</f>
        <v xml:space="preserve">| 1 P NS @ | 3 L CPT @ | 5 P Python @ </v>
      </c>
      <c r="AS513" s="4" t="str">
        <f ca="1">IFERROR(__xludf.DUMMYFUNCTION("""COMPUTED_VALUE"""),"| 1 P Python % | 3 L CPT % | 4 L JAVA % | 5 L INE @ ")</f>
        <v xml:space="preserve">| 1 P Python % | 3 L CPT % | 4 L JAVA % | 5 L INE @ </v>
      </c>
      <c r="AT513" s="4" t="str">
        <f ca="1">IFERROR(__xludf.DUMMYFUNCTION("""COMPUTED_VALUE"""),"| 1 P JAVA % | 3 L JAVA % | 4 L NS % | 5 P PRO % ")</f>
        <v xml:space="preserve">| 1 P JAVA % | 3 L JAVA % | 4 L NS % | 5 P PRO % </v>
      </c>
      <c r="AU513" s="4" t="str">
        <f ca="1">IFERROR(__xludf.DUMMYFUNCTION("""COMPUTED_VALUE"""),"| 1 P JAVA % | 3 L PHP-CGM % | 4 L NS % | 5 P CPT % ")</f>
        <v xml:space="preserve">| 1 P JAVA % | 3 L PHP-CGM % | 4 L NS % | 5 P CPT % </v>
      </c>
      <c r="AV513" s="4" t="str">
        <f ca="1">IFERROR(__xludf.DUMMYFUNCTION("""COMPUTED_VALUE"""),"| 1 P NS % | 3 L CPT % | 4 L PHP-CGM % | 5 P Python % ")</f>
        <v xml:space="preserve">| 1 P NS % | 3 L CPT % | 4 L PHP-CGM % | 5 P Python % </v>
      </c>
      <c r="AW513" s="4" t="str">
        <f ca="1">IFERROR(__xludf.DUMMYFUNCTION("""COMPUTED_VALUE"""),"| 3 L PHP-CGM % | 4 L JAVA % | 5 L NS % | 5 L CPT % ")</f>
        <v xml:space="preserve">| 3 L PHP-CGM % | 4 L JAVA % | 5 L NS % | 5 L CPT % </v>
      </c>
      <c r="AX513" s="4" t="str">
        <f ca="1">IFERROR(__xludf.DUMMYFUNCTION("""COMPUTED_VALUE"""),"| 1 P Python % | 3 L CPT % | 4 L JAVA % | 5 L INE @ ")</f>
        <v xml:space="preserve">| 1 P Python % | 3 L CPT % | 4 L JAVA % | 5 L INE @ </v>
      </c>
      <c r="AY513" s="4" t="str">
        <f ca="1">IFERROR(__xludf.DUMMYFUNCTION("""COMPUTED_VALUE"""),"| 1 P JAVA % | 3 L JAVA % | 4 L NS % | 5 P PRO % ")</f>
        <v xml:space="preserve">| 1 P JAVA % | 3 L JAVA % | 4 L NS % | 5 P PRO % </v>
      </c>
      <c r="AZ513" s="4" t="str">
        <f ca="1">IFERROR(__xludf.DUMMYFUNCTION("""COMPUTED_VALUE"""),"| 1 P NS % | 3 L CPT % | 4 L PHP-CGM % | 5 P Python % ")</f>
        <v xml:space="preserve">| 1 P NS % | 3 L CPT % | 4 L PHP-CGM % | 5 P Python % </v>
      </c>
      <c r="BA513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13" s="4" t="str">
        <f ca="1">IFERROR(__xludf.DUMMYFUNCTION("""COMPUTED_VALUE"""),"| 1 P Python % | 3 L CPT % | 4 L JAVA % | 5 L INE % ")</f>
        <v xml:space="preserve">| 1 P Python % | 3 L CPT % | 4 L JAVA % | 5 L INE % </v>
      </c>
      <c r="BC513" s="4" t="str">
        <f ca="1">IFERROR(__xludf.DUMMYFUNCTION("""COMPUTED_VALUE"""),"| 1 P JAVA % | 3 L JAVA % | 4 L NS % | 5 P PRO % ")</f>
        <v xml:space="preserve">| 1 P JAVA % | 3 L JAVA % | 4 L NS % | 5 P PRO % </v>
      </c>
      <c r="BD513" s="4" t="str">
        <f ca="1">IFERROR(__xludf.DUMMYFUNCTION("""COMPUTED_VALUE"""),"| 1 P JAVA % | 4 L NS %  | 3 L PHP-CGM % | 5 P CPT % ")</f>
        <v xml:space="preserve">| 1 P JAVA % | 4 L NS %  | 3 L PHP-CGM % | 5 P CPT % </v>
      </c>
      <c r="BE513" s="4" t="str">
        <f ca="1">IFERROR(__xludf.DUMMYFUNCTION("""COMPUTED_VALUE"""),"| 1 P NS @ | 3 L CPT @ | 4 L PHP-CGM @ | 5 P Python @ ")</f>
        <v xml:space="preserve">| 1 P NS @ | 3 L CPT @ | 4 L PHP-CGM @ | 5 P Python @ </v>
      </c>
      <c r="BF513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G513" s="4" t="str">
        <f ca="1">IFERROR(__xludf.DUMMYFUNCTION("""COMPUTED_VALUE"""),"| 1 P JAVA % | 3 L JAVA % | 4 L NS % | 5 P PRO % ")</f>
        <v xml:space="preserve">| 1 P JAVA % | 3 L JAVA % | 4 L NS % | 5 P PRO % </v>
      </c>
      <c r="BH513" s="4" t="str">
        <f ca="1">IFERROR(__xludf.DUMMYFUNCTION("""COMPUTED_VALUE"""),"| 1 P JAVA % | 3 L PHP-CGM % | 4 L NS % | 5 P CPT @ ")</f>
        <v xml:space="preserve">| 1 P JAVA % | 3 L PHP-CGM % | 4 L NS % | 5 P CPT @ </v>
      </c>
      <c r="BI513" s="4" t="str">
        <f ca="1">IFERROR(__xludf.DUMMYFUNCTION("""COMPUTED_VALUE"""),"| 1 P NS @ | 3 L CPT @ | 4 L PHP-CGM @ | 5 P Python @ ")</f>
        <v xml:space="preserve">| 1 P NS @ | 3 L CPT @ | 4 L PHP-CGM @ | 5 P Python @ </v>
      </c>
      <c r="BJ513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13" s="4" t="str">
        <f ca="1">IFERROR(__xludf.DUMMYFUNCTION("""COMPUTED_VALUE"""),"| 1 P Python % | 3 L CPT % | 4 L JAVA % | 5 L INE @ ")</f>
        <v xml:space="preserve">| 1 P Python % | 3 L CPT % | 4 L JAVA % | 5 L INE @ </v>
      </c>
      <c r="BL513" s="4" t="str">
        <f ca="1">IFERROR(__xludf.DUMMYFUNCTION("""COMPUTED_VALUE"""),"| 1 P JAVA % | 3 L JAVA % | 4 L NS % ")</f>
        <v xml:space="preserve">| 1 P JAVA % | 3 L JAVA % | 4 L NS % </v>
      </c>
      <c r="BM513" s="4" t="str">
        <f ca="1">IFERROR(__xludf.DUMMYFUNCTION("""COMPUTED_VALUE"""),"| 1 P JAVA % | 3 L PHP-CGM % | 4 L NS % | 5 P CPT % ")</f>
        <v xml:space="preserve">| 1 P JAVA % | 3 L PHP-CGM % | 4 L NS % | 5 P CPT % </v>
      </c>
      <c r="BN513" s="4" t="str">
        <f ca="1">IFERROR(__xludf.DUMMYFUNCTION("""COMPUTED_VALUE"""),"| 1 P NS % | 3 L CPT % | 4 L PHP-CGM % ")</f>
        <v xml:space="preserve">| 1 P NS % | 3 L CPT % | 4 L PHP-CGM % </v>
      </c>
      <c r="BO513" s="4" t="str">
        <f ca="1">IFERROR(__xludf.DUMMYFUNCTION("""COMPUTED_VALUE"""),"| 1 P PHP-CGM % | 3 L PHP-CGM % | 4 L JAVA @ | 5 L NS @ | 6 L CPT % ")</f>
        <v xml:space="preserve">| 1 P PHP-CGM % | 3 L PHP-CGM % | 4 L JAVA @ | 5 L NS @ | 6 L CPT % </v>
      </c>
      <c r="BP513" s="4" t="str">
        <f ca="1">IFERROR(__xludf.DUMMYFUNCTION("""COMPUTED_VALUE"""),"| 1 P Python % | 3 L CPT % | 4 L JAVA % | 5 L INE % ")</f>
        <v xml:space="preserve">| 1 P Python % | 3 L CPT % | 4 L JAVA % | 5 L INE % </v>
      </c>
      <c r="BQ513" s="4" t="str">
        <f ca="1">IFERROR(__xludf.DUMMYFUNCTION("""COMPUTED_VALUE"""),"| 4 L NS % | 1 P JAVA % ")</f>
        <v xml:space="preserve">| 4 L NS % | 1 P JAVA % </v>
      </c>
      <c r="BR513" s="4"/>
      <c r="BS513" s="4"/>
      <c r="BT513" s="4" t="str">
        <f ca="1">IFERROR(__xludf.DUMMYFUNCTION("""COMPUTED_VALUE"""),"| 1 P Python % | 3 L CPT % | 4 L JAVA % ")</f>
        <v xml:space="preserve">| 1 P Python % | 3 L CPT % | 4 L JAVA % </v>
      </c>
      <c r="BU513" s="4" t="str">
        <f ca="1">IFERROR(__xludf.DUMMYFUNCTION("""COMPUTED_VALUE"""),"| 1 P JAVA % | 4 L NS % | 3 L JAVA % ")</f>
        <v xml:space="preserve">| 1 P JAVA % | 4 L NS % | 3 L JAVA % </v>
      </c>
      <c r="BV513" s="4" t="str">
        <f ca="1">IFERROR(__xludf.DUMMYFUNCTION("""COMPUTED_VALUE"""),"| 1 P Python % | 3 L CPT % | 4 L JAVA % ")</f>
        <v xml:space="preserve">| 1 P Python % | 3 L CPT % | 4 L JAVA % </v>
      </c>
      <c r="BW513" s="4" t="str">
        <f ca="1">IFERROR(__xludf.DUMMYFUNCTION("""COMPUTED_VALUE"""),"| 1 P JAVA @ | 3 L JAVA @ | 4 L NS @ ")</f>
        <v xml:space="preserve">| 1 P JAVA @ | 3 L JAVA @ | 4 L NS @ </v>
      </c>
      <c r="BX513" s="4" t="str">
        <f ca="1">IFERROR(__xludf.DUMMYFUNCTION("""COMPUTED_VALUE"""),"| 1 P JAVA @ | 3 L PHP-CGM @ | 4 L NS @ | 5 P CPT @ ")</f>
        <v xml:space="preserve">| 1 P JAVA @ | 3 L PHP-CGM @ | 4 L NS @ | 5 P CPT @ </v>
      </c>
      <c r="BY513" s="4" t="str">
        <f ca="1">IFERROR(__xludf.DUMMYFUNCTION("""COMPUTED_VALUE"""),"| 1 P NS @ | 3 L CPT @ | 4 L PHP-CGM @ | 5 P Python @ ")</f>
        <v xml:space="preserve">| 1 P NS @ | 3 L CPT @ | 4 L PHP-CGM @ | 5 P Python @ </v>
      </c>
      <c r="BZ513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513" s="4" t="str">
        <f ca="1">IFERROR(__xludf.DUMMYFUNCTION("""COMPUTED_VALUE"""),"| 1 P Python @ | 3 L CPT % | 4 L JAVA % | 5 L INE % ")</f>
        <v xml:space="preserve">| 1 P Python @ | 3 L CPT % | 4 L JAVA % | 5 L INE % </v>
      </c>
      <c r="CB513" s="4" t="str">
        <f ca="1">IFERROR(__xludf.DUMMYFUNCTION("""COMPUTED_VALUE"""),"| 1 P JAVA % | 3 L JAVA % | 4 L NS % | 5 P PRO % ")</f>
        <v xml:space="preserve">| 1 P JAVA % | 3 L JAVA % | 4 L NS % | 5 P PRO % </v>
      </c>
      <c r="CC513" s="4" t="str">
        <f ca="1">IFERROR(__xludf.DUMMYFUNCTION("""COMPUTED_VALUE"""),"| 1 P JAVA % | 3 L PHP-CGM % | 4 L NS % | 5 P CPT % ")</f>
        <v xml:space="preserve">| 1 P JAVA % | 3 L PHP-CGM % | 4 L NS % | 5 P CPT % </v>
      </c>
      <c r="CD513" s="4" t="str">
        <f ca="1">IFERROR(__xludf.DUMMYFUNCTION("""COMPUTED_VALUE"""),"| 1 P NS % | 3 L CPT % | 4 L PHP-CGM % | 5 P Python % ")</f>
        <v xml:space="preserve">| 1 P NS % | 3 L CPT % | 4 L PHP-CGM % | 5 P Python % </v>
      </c>
      <c r="CE513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13" s="4" t="str">
        <f ca="1">IFERROR(__xludf.DUMMYFUNCTION("""COMPUTED_VALUE"""),"| 1 P Python % | 3 L CPT % | 4 L JAVA % | 5 L INE @ ")</f>
        <v xml:space="preserve">| 1 P Python % | 3 L CPT % | 4 L JAVA % | 5 L INE @ </v>
      </c>
      <c r="CG513" s="4" t="str">
        <f ca="1">IFERROR(__xludf.DUMMYFUNCTION("""COMPUTED_VALUE"""),"| 1 P JAVA % | 4 L NS % ")</f>
        <v xml:space="preserve">| 1 P JAVA % | 4 L NS % </v>
      </c>
      <c r="CH513" s="4" t="str">
        <f ca="1">IFERROR(__xludf.DUMMYFUNCTION("""COMPUTED_VALUE"""),"| 1 P JAVA % | 3 L PHP-CGM % | 4 L NS % ")</f>
        <v xml:space="preserve">| 1 P JAVA % | 3 L PHP-CGM % | 4 L NS % </v>
      </c>
      <c r="CI513" s="4" t="str">
        <f ca="1">IFERROR(__xludf.DUMMYFUNCTION("""COMPUTED_VALUE"""),"| 1 P NS % ")</f>
        <v xml:space="preserve">| 1 P NS % </v>
      </c>
      <c r="CJ513" s="4" t="str">
        <f ca="1">IFERROR(__xludf.DUMMYFUNCTION("""COMPUTED_VALUE"""),"| 1 P PHP-CGM @ | 4 L JAVA % ")</f>
        <v xml:space="preserve">| 1 P PHP-CGM @ | 4 L JAVA % </v>
      </c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</row>
    <row r="514" spans="1:102" ht="12.5" x14ac:dyDescent="0.25">
      <c r="A514" s="3">
        <f ca="1">IFERROR(__xludf.DUMMYFUNCTION("""COMPUTED_VALUE"""),2)</f>
        <v>2</v>
      </c>
      <c r="B514" s="3" t="str">
        <f ca="1">IFERROR(__xludf.DUMMYFUNCTION("""COMPUTED_VALUE"""),"ITC")</f>
        <v>ITC</v>
      </c>
      <c r="C514" s="32" t="str">
        <f ca="1">IFERROR(__xludf.DUMMYFUNCTION("""COMPUTED_VALUE"""),"23171371107")</f>
        <v>23171371107</v>
      </c>
      <c r="D514" s="4" t="str">
        <f ca="1">IFERROR(__xludf.DUMMYFUNCTION("""COMPUTED_VALUE"""),"PATEL SHABD PANKAJKUMAR")</f>
        <v>PATEL SHABD PANKAJKUMAR</v>
      </c>
      <c r="E514" s="3" t="str">
        <f ca="1">IFERROR(__xludf.DUMMYFUNCTION("""COMPUTED_VALUE"""),"SDP&amp;KKP - Mor")</f>
        <v>SDP&amp;KKP - Mor</v>
      </c>
      <c r="F514" s="3">
        <f ca="1">IFERROR(__xludf.DUMMYFUNCTION("""COMPUTED_VALUE"""),9313689230)</f>
        <v>9313689230</v>
      </c>
      <c r="G514" s="3">
        <f ca="1">IFERROR(__xludf.DUMMYFUNCTION("""COMPUTED_VALUE"""),9662234001)</f>
        <v>9662234001</v>
      </c>
      <c r="H514" s="33">
        <f ca="1">IFERROR(__xludf.DUMMYFUNCTION("""COMPUTED_VALUE"""),0.858921161825726)</f>
        <v>0.85892116182572598</v>
      </c>
      <c r="I514" s="25">
        <f ca="1">IFERROR(__xludf.DUMMYFUNCTION("""COMPUTED_VALUE"""),0.916666666666666)</f>
        <v>0.91666666666666596</v>
      </c>
      <c r="J514" s="25">
        <f ca="1">IFERROR(__xludf.DUMMYFUNCTION("""COMPUTED_VALUE"""),0.9)</f>
        <v>0.9</v>
      </c>
      <c r="K514" s="25">
        <f ca="1">IFERROR(__xludf.DUMMYFUNCTION("""COMPUTED_VALUE"""),0.805555555555555)</f>
        <v>0.80555555555555503</v>
      </c>
      <c r="L514" s="25">
        <f ca="1">IFERROR(__xludf.DUMMYFUNCTION("""COMPUTED_VALUE"""),1)</f>
        <v>1</v>
      </c>
      <c r="M514" s="25">
        <f ca="1">IFERROR(__xludf.DUMMYFUNCTION("""COMPUTED_VALUE"""),0.9375)</f>
        <v>0.9375</v>
      </c>
      <c r="N514" s="25">
        <f ca="1">IFERROR(__xludf.DUMMYFUNCTION("""COMPUTED_VALUE"""),0.909090909090909)</f>
        <v>0.90909090909090895</v>
      </c>
      <c r="O514" s="25">
        <f ca="1">IFERROR(__xludf.DUMMYFUNCTION("""COMPUTED_VALUE"""),0.891891891891891)</f>
        <v>0.891891891891891</v>
      </c>
      <c r="P514" s="25">
        <f ca="1">IFERROR(__xludf.DUMMYFUNCTION("""COMPUTED_VALUE"""),0.68)</f>
        <v>0.68</v>
      </c>
      <c r="Q514" s="25">
        <f ca="1">IFERROR(__xludf.DUMMYFUNCTION("""COMPUTED_VALUE"""),0)</f>
        <v>0</v>
      </c>
      <c r="R514" s="25">
        <f ca="1">IFERROR(__xludf.DUMMYFUNCTION("""COMPUTED_VALUE"""),0.875)</f>
        <v>0.875</v>
      </c>
      <c r="S514" s="25">
        <f ca="1">IFERROR(__xludf.DUMMYFUNCTION("""COMPUTED_VALUE"""),0)</f>
        <v>0</v>
      </c>
      <c r="T514" s="25">
        <f ca="1">IFERROR(__xludf.DUMMYFUNCTION("""COMPUTED_VALUE"""),0.888888888888888)</f>
        <v>0.88888888888888795</v>
      </c>
      <c r="U514" s="25">
        <f ca="1">IFERROR(__xludf.DUMMYFUNCTION("""COMPUTED_VALUE"""),0.5)</f>
        <v>0.5</v>
      </c>
      <c r="V514" s="25">
        <f ca="1">IFERROR(__xludf.DUMMYFUNCTION("""COMPUTED_VALUE"""),0)</f>
        <v>0</v>
      </c>
      <c r="W514" s="4"/>
      <c r="X514" s="4" t="str">
        <f ca="1">IFERROR(__xludf.DUMMYFUNCTION("""COMPUTED_VALUE"""),"| 1 P JAVA % | 3 L CPT % | 4 L JAVA % ")</f>
        <v xml:space="preserve">| 1 P JAVA % | 3 L CPT % | 4 L JAVA % </v>
      </c>
      <c r="Y514" s="4" t="str">
        <f ca="1">IFERROR(__xludf.DUMMYFUNCTION("""COMPUTED_VALUE"""),"| 1 P PHP-CGM % | 3 L JAVA % | 4 L NS % | 5 P PRO % ")</f>
        <v xml:space="preserve">| 1 P PHP-CGM % | 3 L JAVA % | 4 L NS % | 5 P PRO % </v>
      </c>
      <c r="Z514" s="4" t="str">
        <f ca="1">IFERROR(__xludf.DUMMYFUNCTION("""COMPUTED_VALUE"""),"| 1 P Python % | 3 L PHP-CGM % | 4 L NS % | 5 P JAVA % ")</f>
        <v xml:space="preserve">| 1 P Python % | 3 L PHP-CGM % | 4 L NS % | 5 P JAVA % </v>
      </c>
      <c r="AA514" s="4" t="str">
        <f ca="1">IFERROR(__xludf.DUMMYFUNCTION("""COMPUTED_VALUE"""),"| 1 P Python % | 3 L CPT % | 5 P NS % ")</f>
        <v xml:space="preserve">| 1 P Python % | 3 L CPT % | 5 P NS % </v>
      </c>
      <c r="AB514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14" s="4" t="str">
        <f ca="1">IFERROR(__xludf.DUMMYFUNCTION("""COMPUTED_VALUE"""),"| 1 P Python % | 3 L CPT % | 4 L JAVA % ")</f>
        <v xml:space="preserve">| 1 P Python % | 3 L CPT % | 4 L JAVA % </v>
      </c>
      <c r="AD514" s="4" t="str">
        <f ca="1">IFERROR(__xludf.DUMMYFUNCTION("""COMPUTED_VALUE"""),"| 1 P JAVA % | 3 L JAVA % | 4 L NS % | 5 P PRO % ")</f>
        <v xml:space="preserve">| 1 P JAVA % | 3 L JAVA % | 4 L NS % | 5 P PRO % </v>
      </c>
      <c r="AE514" s="4" t="str">
        <f ca="1">IFERROR(__xludf.DUMMYFUNCTION("""COMPUTED_VALUE"""),"| 1 P JAVA % | 3 L PHP-CGM % | 4 L NS % | 5 P CPT % ")</f>
        <v xml:space="preserve">| 1 P JAVA % | 3 L PHP-CGM % | 4 L NS % | 5 P CPT % </v>
      </c>
      <c r="AF514" s="4" t="str">
        <f ca="1">IFERROR(__xludf.DUMMYFUNCTION("""COMPUTED_VALUE"""),"| 1 P NS % | 3 L CPT % | 4 L PHP-CGM % | 5 P Python % ")</f>
        <v xml:space="preserve">| 1 P NS % | 3 L CPT % | 4 L PHP-CGM % | 5 P Python % </v>
      </c>
      <c r="AG514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14" s="4" t="str">
        <f ca="1">IFERROR(__xludf.DUMMYFUNCTION("""COMPUTED_VALUE"""),"| 1 P NS % | 3 L CPT % | 4 L PHP-CGM % | 5 P Python % ")</f>
        <v xml:space="preserve">| 1 P NS % | 3 L CPT % | 4 L PHP-CGM % | 5 P Python % </v>
      </c>
      <c r="AI514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J514" s="4" t="str">
        <f ca="1">IFERROR(__xludf.DUMMYFUNCTION("""COMPUTED_VALUE"""),"| 1 P Python % | 3 L CPT % | 4 L JAVA % ")</f>
        <v xml:space="preserve">| 1 P Python % | 3 L CPT % | 4 L JAVA % </v>
      </c>
      <c r="AK514" s="4" t="str">
        <f ca="1">IFERROR(__xludf.DUMMYFUNCTION("""COMPUTED_VALUE"""),"| 1 P JAVA % | 4 L NS % | 3 L JAVA % | 5 P PRO % ")</f>
        <v xml:space="preserve">| 1 P JAVA % | 4 L NS % | 3 L JAVA % | 5 P PRO % </v>
      </c>
      <c r="AL514" s="4" t="str">
        <f ca="1">IFERROR(__xludf.DUMMYFUNCTION("""COMPUTED_VALUE"""),"| 1 P JAVA % | 3 L PHP-CGM % | 4 L NS % | 5 P CPT % ")</f>
        <v xml:space="preserve">| 1 P JAVA % | 3 L PHP-CGM % | 4 L NS % | 5 P CPT % </v>
      </c>
      <c r="AM514" s="4" t="str">
        <f ca="1">IFERROR(__xludf.DUMMYFUNCTION("""COMPUTED_VALUE"""),"| 1 P NS % | 3 L CPT % | 4 L PHP-CGM % | 5 P Python % ")</f>
        <v xml:space="preserve">| 1 P NS % | 3 L CPT % | 4 L PHP-CGM % | 5 P Python % </v>
      </c>
      <c r="AN514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4" s="4" t="str">
        <f ca="1">IFERROR(__xludf.DUMMYFUNCTION("""COMPUTED_VALUE"""),"| 1 P Python % | 3 L CPT % | 4 L JAVA % | 5 L INE @ ")</f>
        <v xml:space="preserve">| 1 P Python % | 3 L CPT % | 4 L JAVA % | 5 L INE @ </v>
      </c>
      <c r="AP514" s="4" t="str">
        <f ca="1">IFERROR(__xludf.DUMMYFUNCTION("""COMPUTED_VALUE"""),"| 1 P JAVA @ | 3 L JAVA % | 4 L NS % | 5 P PRO % ")</f>
        <v xml:space="preserve">| 1 P JAVA @ | 3 L JAVA % | 4 L NS % | 5 P PRO % </v>
      </c>
      <c r="AQ514" s="4" t="str">
        <f ca="1">IFERROR(__xludf.DUMMYFUNCTION("""COMPUTED_VALUE"""),"| 1 P JAVA @ | 3 L PHP-CGM % | 4 L NS % | 5 P CPT @ ")</f>
        <v xml:space="preserve">| 1 P JAVA @ | 3 L PHP-CGM % | 4 L NS % | 5 P CPT @ </v>
      </c>
      <c r="AR514" s="4" t="str">
        <f ca="1">IFERROR(__xludf.DUMMYFUNCTION("""COMPUTED_VALUE"""),"| 1 P NS % | 3 L CPT % | 5 P Python @ ")</f>
        <v xml:space="preserve">| 1 P NS % | 3 L CPT % | 5 P Python @ </v>
      </c>
      <c r="AS514" s="4" t="str">
        <f ca="1">IFERROR(__xludf.DUMMYFUNCTION("""COMPUTED_VALUE"""),"| 1 P Python % | 3 L CPT % | 4 L JAVA % | 5 L INE @ ")</f>
        <v xml:space="preserve">| 1 P Python % | 3 L CPT % | 4 L JAVA % | 5 L INE @ </v>
      </c>
      <c r="AT514" s="4" t="str">
        <f ca="1">IFERROR(__xludf.DUMMYFUNCTION("""COMPUTED_VALUE"""),"| 1 P JAVA % | 3 L JAVA % | 4 L NS % | 5 P PRO % ")</f>
        <v xml:space="preserve">| 1 P JAVA % | 3 L JAVA % | 4 L NS % | 5 P PRO % </v>
      </c>
      <c r="AU514" s="4" t="str">
        <f ca="1">IFERROR(__xludf.DUMMYFUNCTION("""COMPUTED_VALUE"""),"| 1 P JAVA % | 3 L PHP-CGM % | 4 L NS % | 5 P CPT % ")</f>
        <v xml:space="preserve">| 1 P JAVA % | 3 L PHP-CGM % | 4 L NS % | 5 P CPT % </v>
      </c>
      <c r="AV514" s="4" t="str">
        <f ca="1">IFERROR(__xludf.DUMMYFUNCTION("""COMPUTED_VALUE"""),"| 1 P NS % | 3 L CPT % | 4 L PHP-CGM % | 5 P Python % ")</f>
        <v xml:space="preserve">| 1 P NS % | 3 L CPT % | 4 L PHP-CGM % | 5 P Python % </v>
      </c>
      <c r="AW514" s="4" t="str">
        <f ca="1">IFERROR(__xludf.DUMMYFUNCTION("""COMPUTED_VALUE"""),"| 3 L PHP-CGM % | 4 L JAVA % | 5 L NS % | 5 L CPT % ")</f>
        <v xml:space="preserve">| 3 L PHP-CGM % | 4 L JAVA % | 5 L NS % | 5 L CPT % </v>
      </c>
      <c r="AX514" s="4" t="str">
        <f ca="1">IFERROR(__xludf.DUMMYFUNCTION("""COMPUTED_VALUE"""),"| 1 P Python % | 3 L CPT % | 4 L JAVA % | 5 L INE % ")</f>
        <v xml:space="preserve">| 1 P Python % | 3 L CPT % | 4 L JAVA % | 5 L INE % </v>
      </c>
      <c r="AY514" s="4" t="str">
        <f ca="1">IFERROR(__xludf.DUMMYFUNCTION("""COMPUTED_VALUE"""),"| 1 P JAVA % | 3 L JAVA % | 4 L NS % | 5 P PRO % ")</f>
        <v xml:space="preserve">| 1 P JAVA % | 3 L JAVA % | 4 L NS % | 5 P PRO % </v>
      </c>
      <c r="AZ514" s="4" t="str">
        <f ca="1">IFERROR(__xludf.DUMMYFUNCTION("""COMPUTED_VALUE"""),"| 1 P NS % | 3 L CPT % | 4 L PHP-CGM % | 5 P Python % ")</f>
        <v xml:space="preserve">| 1 P NS % | 3 L CPT % | 4 L PHP-CGM % | 5 P Python % </v>
      </c>
      <c r="BA514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B514" s="4" t="str">
        <f ca="1">IFERROR(__xludf.DUMMYFUNCTION("""COMPUTED_VALUE"""),"| 1 P Python % | 3 L CPT % | 4 L JAVA % | 5 L INE @ ")</f>
        <v xml:space="preserve">| 1 P Python % | 3 L CPT % | 4 L JAVA % | 5 L INE @ </v>
      </c>
      <c r="BC514" s="4" t="str">
        <f ca="1">IFERROR(__xludf.DUMMYFUNCTION("""COMPUTED_VALUE"""),"| 1 P JAVA % | 3 L JAVA % | 4 L NS % | 5 P PRO % ")</f>
        <v xml:space="preserve">| 1 P JAVA % | 3 L JAVA % | 4 L NS % | 5 P PRO % </v>
      </c>
      <c r="BD514" s="4" t="str">
        <f ca="1">IFERROR(__xludf.DUMMYFUNCTION("""COMPUTED_VALUE"""),"| 1 P JAVA % | 4 L NS %  | 3 L PHP-CGM % | 5 P CPT % ")</f>
        <v xml:space="preserve">| 1 P JAVA % | 4 L NS %  | 3 L PHP-CGM % | 5 P CPT % </v>
      </c>
      <c r="BE514" s="4" t="str">
        <f ca="1">IFERROR(__xludf.DUMMYFUNCTION("""COMPUTED_VALUE"""),"| 1 P NS % | 3 L CPT % | 4 L PHP-CGM % | 5 P Python % ")</f>
        <v xml:space="preserve">| 1 P NS % | 3 L CPT % | 4 L PHP-CGM % | 5 P Python % </v>
      </c>
      <c r="BF514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514" s="4" t="str">
        <f ca="1">IFERROR(__xludf.DUMMYFUNCTION("""COMPUTED_VALUE"""),"| 1 P JAVA @ | 3 L JAVA % | 4 L NS % | 5 P PRO % ")</f>
        <v xml:space="preserve">| 1 P JAVA @ | 3 L JAVA % | 4 L NS % | 5 P PRO % </v>
      </c>
      <c r="BH514" s="4" t="str">
        <f ca="1">IFERROR(__xludf.DUMMYFUNCTION("""COMPUTED_VALUE"""),"| 1 P JAVA @ | 3 L PHP-CGM % | 4 L NS % | 5 P CPT % ")</f>
        <v xml:space="preserve">| 1 P JAVA @ | 3 L PHP-CGM % | 4 L NS % | 5 P CPT % </v>
      </c>
      <c r="BI514" s="4" t="str">
        <f ca="1">IFERROR(__xludf.DUMMYFUNCTION("""COMPUTED_VALUE"""),"| 1 P NS % | 3 L CPT % | 4 L PHP-CGM % | 5 P Python % ")</f>
        <v xml:space="preserve">| 1 P NS % | 3 L CPT % | 4 L PHP-CGM % | 5 P Python % </v>
      </c>
      <c r="BJ514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14" s="4" t="str">
        <f ca="1">IFERROR(__xludf.DUMMYFUNCTION("""COMPUTED_VALUE"""),"| 1 P Python @ | 3 L CPT @ | 4 L JAVA @ | 5 L INE @ ")</f>
        <v xml:space="preserve">| 1 P Python @ | 3 L CPT @ | 4 L JAVA @ | 5 L INE @ </v>
      </c>
      <c r="BL514" s="4" t="str">
        <f ca="1">IFERROR(__xludf.DUMMYFUNCTION("""COMPUTED_VALUE"""),"| 1 P JAVA @ | 3 L JAVA @ | 4 L NS @ ")</f>
        <v xml:space="preserve">| 1 P JAVA @ | 3 L JAVA @ | 4 L NS @ </v>
      </c>
      <c r="BM514" s="4" t="str">
        <f ca="1">IFERROR(__xludf.DUMMYFUNCTION("""COMPUTED_VALUE"""),"| 1 P JAVA % | 3 L PHP-CGM % | 4 L NS % | 5 P CPT % ")</f>
        <v xml:space="preserve">| 1 P JAVA % | 3 L PHP-CGM % | 4 L NS % | 5 P CPT % </v>
      </c>
      <c r="BN514" s="4" t="str">
        <f ca="1">IFERROR(__xludf.DUMMYFUNCTION("""COMPUTED_VALUE"""),"| 1 P NS % | 3 L CPT % | 4 L PHP-CGM % ")</f>
        <v xml:space="preserve">| 1 P NS % | 3 L CPT % | 4 L PHP-CGM % </v>
      </c>
      <c r="BO514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P514" s="4" t="str">
        <f ca="1">IFERROR(__xludf.DUMMYFUNCTION("""COMPUTED_VALUE"""),"| 1 P Python % | 3 L CPT % | 4 L JAVA % | 5 L INE % ")</f>
        <v xml:space="preserve">| 1 P Python % | 3 L CPT % | 4 L JAVA % | 5 L INE % </v>
      </c>
      <c r="BQ514" s="4" t="str">
        <f ca="1">IFERROR(__xludf.DUMMYFUNCTION("""COMPUTED_VALUE"""),"| 4 L NS @ | 1 P JAVA % ")</f>
        <v xml:space="preserve">| 4 L NS @ | 1 P JAVA % </v>
      </c>
      <c r="BR514" s="4"/>
      <c r="BS514" s="4"/>
      <c r="BT514" s="4" t="str">
        <f ca="1">IFERROR(__xludf.DUMMYFUNCTION("""COMPUTED_VALUE"""),"| 1 P Python % | 3 L CPT % | 4 L JAVA % ")</f>
        <v xml:space="preserve">| 1 P Python % | 3 L CPT % | 4 L JAVA % </v>
      </c>
      <c r="BU514" s="4" t="str">
        <f ca="1">IFERROR(__xludf.DUMMYFUNCTION("""COMPUTED_VALUE"""),"| 1 P JAVA % | 4 L NS @ | 3 L JAVA @ ")</f>
        <v xml:space="preserve">| 1 P JAVA % | 4 L NS @ | 3 L JAVA @ </v>
      </c>
      <c r="BV514" s="4" t="str">
        <f ca="1">IFERROR(__xludf.DUMMYFUNCTION("""COMPUTED_VALUE"""),"| 1 P Python % | 3 L CPT % | 4 L JAVA % ")</f>
        <v xml:space="preserve">| 1 P Python % | 3 L CPT % | 4 L JAVA % </v>
      </c>
      <c r="BW514" s="4" t="str">
        <f ca="1">IFERROR(__xludf.DUMMYFUNCTION("""COMPUTED_VALUE"""),"| 1 P JAVA @ | 3 L JAVA % | 4 L NS % ")</f>
        <v xml:space="preserve">| 1 P JAVA @ | 3 L JAVA % | 4 L NS % </v>
      </c>
      <c r="BX514" s="4" t="str">
        <f ca="1">IFERROR(__xludf.DUMMYFUNCTION("""COMPUTED_VALUE"""),"| 1 P JAVA @ | 3 L PHP-CGM % | 4 L NS % | 5 P CPT % ")</f>
        <v xml:space="preserve">| 1 P JAVA @ | 3 L PHP-CGM % | 4 L NS % | 5 P CPT % </v>
      </c>
      <c r="BY514" s="4" t="str">
        <f ca="1">IFERROR(__xludf.DUMMYFUNCTION("""COMPUTED_VALUE"""),"| 1 P NS % | 3 L CPT % | 4 L PHP-CGM % | 5 P Python % ")</f>
        <v xml:space="preserve">| 1 P NS % | 3 L CPT % | 4 L PHP-CGM % | 5 P Python % </v>
      </c>
      <c r="BZ514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A514" s="4" t="str">
        <f ca="1">IFERROR(__xludf.DUMMYFUNCTION("""COMPUTED_VALUE"""),"| 1 P Python @ | 3 L CPT % | 4 L JAVA % | 5 L INE % ")</f>
        <v xml:space="preserve">| 1 P Python @ | 3 L CPT % | 4 L JAVA % | 5 L INE % </v>
      </c>
      <c r="CB514" s="4" t="str">
        <f ca="1">IFERROR(__xludf.DUMMYFUNCTION("""COMPUTED_VALUE"""),"| 1 P JAVA % | 3 L JAVA % | 4 L NS % | 5 P PRO @ ")</f>
        <v xml:space="preserve">| 1 P JAVA % | 3 L JAVA % | 4 L NS % | 5 P PRO @ </v>
      </c>
      <c r="CC514" s="4" t="str">
        <f ca="1">IFERROR(__xludf.DUMMYFUNCTION("""COMPUTED_VALUE"""),"| 1 P JAVA @ | 3 L PHP-CGM % | 4 L NS % | 5 P CPT % ")</f>
        <v xml:space="preserve">| 1 P JAVA @ | 3 L PHP-CGM % | 4 L NS % | 5 P CPT % </v>
      </c>
      <c r="CD514" s="4" t="str">
        <f ca="1">IFERROR(__xludf.DUMMYFUNCTION("""COMPUTED_VALUE"""),"| 1 P NS % | 3 L CPT % | 4 L PHP-CGM % | 5 P Python % ")</f>
        <v xml:space="preserve">| 1 P NS % | 3 L CPT % | 4 L PHP-CGM % | 5 P Python % </v>
      </c>
      <c r="CE514" s="4" t="str">
        <f ca="1">IFERROR(__xludf.DUMMYFUNCTION("""COMPUTED_VALUE"""),"| 1 P PHP-CGM % | 3 L PHP-CGM @ | 4 L JAVA @ | 5 L NS @ | 6 L CPT % ")</f>
        <v xml:space="preserve">| 1 P PHP-CGM % | 3 L PHP-CGM @ | 4 L JAVA @ | 5 L NS @ | 6 L CPT % </v>
      </c>
      <c r="CF514" s="4" t="str">
        <f ca="1">IFERROR(__xludf.DUMMYFUNCTION("""COMPUTED_VALUE"""),"| 1 P Python % | 3 L CPT % | 4 L JAVA % | 5 L INE % ")</f>
        <v xml:space="preserve">| 1 P Python % | 3 L CPT % | 4 L JAVA % | 5 L INE % </v>
      </c>
      <c r="CG514" s="4" t="str">
        <f ca="1">IFERROR(__xludf.DUMMYFUNCTION("""COMPUTED_VALUE"""),"| 1 P JAVA % | 4 L NS % ")</f>
        <v xml:space="preserve">| 1 P JAVA % | 4 L NS % </v>
      </c>
      <c r="CH514" s="4" t="str">
        <f ca="1">IFERROR(__xludf.DUMMYFUNCTION("""COMPUTED_VALUE"""),"| 1 P JAVA % | 3 L PHP-CGM @ | 4 L NS @ ")</f>
        <v xml:space="preserve">| 1 P JAVA % | 3 L PHP-CGM @ | 4 L NS @ </v>
      </c>
      <c r="CI514" s="4" t="str">
        <f ca="1">IFERROR(__xludf.DUMMYFUNCTION("""COMPUTED_VALUE"""),"| 1 P NS % ")</f>
        <v xml:space="preserve">| 1 P NS % </v>
      </c>
      <c r="CJ514" s="4" t="str">
        <f ca="1">IFERROR(__xludf.DUMMYFUNCTION("""COMPUTED_VALUE"""),"| 1 P PHP-CGM @ | 4 L JAVA % ")</f>
        <v xml:space="preserve">| 1 P PHP-CGM @ | 4 L JAVA % </v>
      </c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</row>
    <row r="515" spans="1:102" ht="12.5" x14ac:dyDescent="0.25">
      <c r="A515" s="3">
        <f ca="1">IFERROR(__xludf.DUMMYFUNCTION("""COMPUTED_VALUE"""),2)</f>
        <v>2</v>
      </c>
      <c r="B515" s="3" t="str">
        <f ca="1">IFERROR(__xludf.DUMMYFUNCTION("""COMPUTED_VALUE"""),"ITC")</f>
        <v>ITC</v>
      </c>
      <c r="C515" s="32" t="str">
        <f ca="1">IFERROR(__xludf.DUMMYFUNCTION("""COMPUTED_VALUE"""),"23171371108")</f>
        <v>23171371108</v>
      </c>
      <c r="D515" s="4" t="str">
        <f ca="1">IFERROR(__xludf.DUMMYFUNCTION("""COMPUTED_VALUE"""),"PATEL SHLOK SANJAYKUMAR")</f>
        <v>PATEL SHLOK SANJAYKUMAR</v>
      </c>
      <c r="E515" s="3" t="str">
        <f ca="1">IFERROR(__xludf.DUMMYFUNCTION("""COMPUTED_VALUE"""),"SDP&amp;KKP - Mor")</f>
        <v>SDP&amp;KKP - Mor</v>
      </c>
      <c r="F515" s="3">
        <f ca="1">IFERROR(__xludf.DUMMYFUNCTION("""COMPUTED_VALUE"""),6354342506)</f>
        <v>6354342506</v>
      </c>
      <c r="G515" s="3">
        <f ca="1">IFERROR(__xludf.DUMMYFUNCTION("""COMPUTED_VALUE"""),9773235098)</f>
        <v>9773235098</v>
      </c>
      <c r="H515" s="33">
        <f ca="1">IFERROR(__xludf.DUMMYFUNCTION("""COMPUTED_VALUE"""),0.539419087136929)</f>
        <v>0.53941908713692899</v>
      </c>
      <c r="I515" s="25">
        <f ca="1">IFERROR(__xludf.DUMMYFUNCTION("""COMPUTED_VALUE"""),0.555555555555555)</f>
        <v>0.55555555555555503</v>
      </c>
      <c r="J515" s="25">
        <f ca="1">IFERROR(__xludf.DUMMYFUNCTION("""COMPUTED_VALUE"""),0.5)</f>
        <v>0.5</v>
      </c>
      <c r="K515" s="25">
        <f ca="1">IFERROR(__xludf.DUMMYFUNCTION("""COMPUTED_VALUE"""),0.444444444444444)</f>
        <v>0.44444444444444398</v>
      </c>
      <c r="L515" s="25">
        <f ca="1">IFERROR(__xludf.DUMMYFUNCTION("""COMPUTED_VALUE"""),0.769230769230769)</f>
        <v>0.76923076923076905</v>
      </c>
      <c r="M515" s="25">
        <f ca="1">IFERROR(__xludf.DUMMYFUNCTION("""COMPUTED_VALUE"""),0.5)</f>
        <v>0.5</v>
      </c>
      <c r="N515" s="25">
        <f ca="1">IFERROR(__xludf.DUMMYFUNCTION("""COMPUTED_VALUE"""),0.636363636363636)</f>
        <v>0.63636363636363602</v>
      </c>
      <c r="O515" s="25">
        <f ca="1">IFERROR(__xludf.DUMMYFUNCTION("""COMPUTED_VALUE"""),0.54054054054054)</f>
        <v>0.54054054054054002</v>
      </c>
      <c r="P515" s="25">
        <f ca="1">IFERROR(__xludf.DUMMYFUNCTION("""COMPUTED_VALUE"""),0.56)</f>
        <v>0.56000000000000005</v>
      </c>
      <c r="Q515" s="25">
        <f ca="1">IFERROR(__xludf.DUMMYFUNCTION("""COMPUTED_VALUE"""),0)</f>
        <v>0</v>
      </c>
      <c r="R515" s="25">
        <f ca="1">IFERROR(__xludf.DUMMYFUNCTION("""COMPUTED_VALUE"""),0.583333333333333)</f>
        <v>0.58333333333333304</v>
      </c>
      <c r="S515" s="25">
        <f ca="1">IFERROR(__xludf.DUMMYFUNCTION("""COMPUTED_VALUE"""),0)</f>
        <v>0</v>
      </c>
      <c r="T515" s="25">
        <f ca="1">IFERROR(__xludf.DUMMYFUNCTION("""COMPUTED_VALUE"""),0.444444444444444)</f>
        <v>0.44444444444444398</v>
      </c>
      <c r="U515" s="25">
        <f ca="1">IFERROR(__xludf.DUMMYFUNCTION("""COMPUTED_VALUE"""),0.5)</f>
        <v>0.5</v>
      </c>
      <c r="V515" s="25">
        <f ca="1">IFERROR(__xludf.DUMMYFUNCTION("""COMPUTED_VALUE"""),0)</f>
        <v>0</v>
      </c>
      <c r="W515" s="4"/>
      <c r="X515" s="4" t="str">
        <f ca="1">IFERROR(__xludf.DUMMYFUNCTION("""COMPUTED_VALUE"""),"| 1 P Python @ | 3 L CPT @ | 4 L JAVA @ ")</f>
        <v xml:space="preserve">| 1 P Python @ | 3 L CPT @ | 4 L JAVA @ </v>
      </c>
      <c r="Y515" s="4" t="str">
        <f ca="1">IFERROR(__xludf.DUMMYFUNCTION("""COMPUTED_VALUE"""),"| 1 P JAVA % | 3 L JAVA % | 4 L NS % | 5 P PRO % ")</f>
        <v xml:space="preserve">| 1 P JAVA % | 3 L JAVA % | 4 L NS % | 5 P PRO % </v>
      </c>
      <c r="Z515" s="4" t="str">
        <f ca="1">IFERROR(__xludf.DUMMYFUNCTION("""COMPUTED_VALUE"""),"| 1 P JAVA @ | 3 L PHP-CGM @ | 4 L NS @ | 5 P CPT @ ")</f>
        <v xml:space="preserve">| 1 P JAVA @ | 3 L PHP-CGM @ | 4 L NS @ | 5 P CPT @ </v>
      </c>
      <c r="AA515" s="4" t="str">
        <f ca="1">IFERROR(__xludf.DUMMYFUNCTION("""COMPUTED_VALUE"""),"| 1 P NS % | 3 L CPT % | 5 P Python % ")</f>
        <v xml:space="preserve">| 1 P NS % | 3 L CPT % | 5 P Python % </v>
      </c>
      <c r="AB515" s="4" t="str">
        <f ca="1">IFERROR(__xludf.DUMMYFUNCTION("""COMPUTED_VALUE"""),"| 1 P PHP-CGM % | 3 L PHP-CGM % | 4 L JAVA % | 5 L CPT @ | 6 L NS % ")</f>
        <v xml:space="preserve">| 1 P PHP-CGM % | 3 L PHP-CGM % | 4 L JAVA % | 5 L CPT @ | 6 L NS % </v>
      </c>
      <c r="AC515" s="4" t="str">
        <f ca="1">IFERROR(__xludf.DUMMYFUNCTION("""COMPUTED_VALUE"""),"| 1 P Python % | 3 L CPT % | 4 L JAVA % ")</f>
        <v xml:space="preserve">| 1 P Python % | 3 L CPT % | 4 L JAVA % </v>
      </c>
      <c r="AD515" s="4" t="str">
        <f ca="1">IFERROR(__xludf.DUMMYFUNCTION("""COMPUTED_VALUE"""),"| 1 P JAVA @ | 3 L JAVA @ | 4 L NS @ | 5 P PRO @ ")</f>
        <v xml:space="preserve">| 1 P JAVA @ | 3 L JAVA @ | 4 L NS @ | 5 P PRO @ </v>
      </c>
      <c r="AE515" s="4" t="str">
        <f ca="1">IFERROR(__xludf.DUMMYFUNCTION("""COMPUTED_VALUE"""),"| 1 P JAVA % | 3 L PHP-CGM % | 4 L NS % | 5 P CPT % ")</f>
        <v xml:space="preserve">| 1 P JAVA % | 3 L PHP-CGM % | 4 L NS % | 5 P CPT % </v>
      </c>
      <c r="AF515" s="4" t="str">
        <f ca="1">IFERROR(__xludf.DUMMYFUNCTION("""COMPUTED_VALUE"""),"| 1 P NS % | 3 L CPT % | 4 L PHP-CGM % | 5 P Python % ")</f>
        <v xml:space="preserve">| 1 P NS % | 3 L CPT % | 4 L PHP-CGM % | 5 P Python % </v>
      </c>
      <c r="AG515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15" s="4" t="str">
        <f ca="1">IFERROR(__xludf.DUMMYFUNCTION("""COMPUTED_VALUE"""),"| 1 P NS @ | 3 L CPT @ | 4 L PHP-CGM @ | 5 P Python @ ")</f>
        <v xml:space="preserve">| 1 P NS @ | 3 L CPT @ | 4 L PHP-CGM @ | 5 P Python @ </v>
      </c>
      <c r="AI515" s="4" t="str">
        <f ca="1">IFERROR(__xludf.DUMMYFUNCTION("""COMPUTED_VALUE"""),"| 1 P PHP-CGM % | 3 L PHP-CGM @ | 4 L JAVA % | 5 L CPT % | 6 L NS % ")</f>
        <v xml:space="preserve">| 1 P PHP-CGM % | 3 L PHP-CGM @ | 4 L JAVA % | 5 L CPT % | 6 L NS % </v>
      </c>
      <c r="AJ515" s="4" t="str">
        <f ca="1">IFERROR(__xludf.DUMMYFUNCTION("""COMPUTED_VALUE"""),"| 1 P Python % | 3 L CPT % | 4 L JAVA % ")</f>
        <v xml:space="preserve">| 1 P Python % | 3 L CPT % | 4 L JAVA % </v>
      </c>
      <c r="AK515" s="4" t="str">
        <f ca="1">IFERROR(__xludf.DUMMYFUNCTION("""COMPUTED_VALUE"""),"| 1 P JAVA % | 4 L NS % | 3 L JAVA % | 5 P PRO % ")</f>
        <v xml:space="preserve">| 1 P JAVA % | 4 L NS % | 3 L JAVA % | 5 P PRO % </v>
      </c>
      <c r="AL515" s="4" t="str">
        <f ca="1">IFERROR(__xludf.DUMMYFUNCTION("""COMPUTED_VALUE"""),"| 1 P JAVA @ | 3 L PHP-CGM @ | 4 L NS @ | 5 P CPT @ ")</f>
        <v xml:space="preserve">| 1 P JAVA @ | 3 L PHP-CGM @ | 4 L NS @ | 5 P CPT @ </v>
      </c>
      <c r="AM515" s="4" t="str">
        <f ca="1">IFERROR(__xludf.DUMMYFUNCTION("""COMPUTED_VALUE"""),"| 1 P NS % | 3 L CPT % | 4 L PHP-CGM % | 5 P Python % ")</f>
        <v xml:space="preserve">| 1 P NS % | 3 L CPT % | 4 L PHP-CGM % | 5 P Python % </v>
      </c>
      <c r="AN515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5" s="4" t="str">
        <f ca="1">IFERROR(__xludf.DUMMYFUNCTION("""COMPUTED_VALUE"""),"| 1 P Python @ | 3 L CPT @ | 4 L JAVA @ | 5 L INE @ ")</f>
        <v xml:space="preserve">| 1 P Python @ | 3 L CPT @ | 4 L JAVA @ | 5 L INE @ </v>
      </c>
      <c r="AP515" s="4" t="str">
        <f ca="1">IFERROR(__xludf.DUMMYFUNCTION("""COMPUTED_VALUE"""),"| 1 P JAVA % | 3 L JAVA % | 4 L NS % | 5 P PRO % ")</f>
        <v xml:space="preserve">| 1 P JAVA % | 3 L JAVA % | 4 L NS % | 5 P PRO % </v>
      </c>
      <c r="AQ515" s="4" t="str">
        <f ca="1">IFERROR(__xludf.DUMMYFUNCTION("""COMPUTED_VALUE"""),"| 1 P JAVA % | 3 L PHP-CGM % | 4 L NS % | 5 P CPT % ")</f>
        <v xml:space="preserve">| 1 P JAVA % | 3 L PHP-CGM % | 4 L NS % | 5 P CPT % </v>
      </c>
      <c r="AR515" s="4" t="str">
        <f ca="1">IFERROR(__xludf.DUMMYFUNCTION("""COMPUTED_VALUE"""),"| 1 P NS @ | 3 L CPT @ | 5 P Python @ ")</f>
        <v xml:space="preserve">| 1 P NS @ | 3 L CPT @ | 5 P Python @ </v>
      </c>
      <c r="AS515" s="4" t="str">
        <f ca="1">IFERROR(__xludf.DUMMYFUNCTION("""COMPUTED_VALUE"""),"| 1 P Python % | 3 L CPT % | 4 L JAVA % | 5 L INE @ ")</f>
        <v xml:space="preserve">| 1 P Python % | 3 L CPT % | 4 L JAVA % | 5 L INE @ </v>
      </c>
      <c r="AT515" s="4" t="str">
        <f ca="1">IFERROR(__xludf.DUMMYFUNCTION("""COMPUTED_VALUE"""),"| 1 P JAVA % | 3 L JAVA % | 4 L NS % | 5 P PRO % ")</f>
        <v xml:space="preserve">| 1 P JAVA % | 3 L JAVA % | 4 L NS % | 5 P PRO % </v>
      </c>
      <c r="AU515" s="4" t="str">
        <f ca="1">IFERROR(__xludf.DUMMYFUNCTION("""COMPUTED_VALUE"""),"| 1 P JAVA @ | 3 L PHP-CGM @ | 4 L NS @ | 5 P CPT @ ")</f>
        <v xml:space="preserve">| 1 P JAVA @ | 3 L PHP-CGM @ | 4 L NS @ | 5 P CPT @ </v>
      </c>
      <c r="AV515" s="4" t="str">
        <f ca="1">IFERROR(__xludf.DUMMYFUNCTION("""COMPUTED_VALUE"""),"| 1 P NS % | 3 L CPT % | 4 L PHP-CGM % | 5 P Python % ")</f>
        <v xml:space="preserve">| 1 P NS % | 3 L CPT % | 4 L PHP-CGM % | 5 P Python % </v>
      </c>
      <c r="AW515" s="4" t="str">
        <f ca="1">IFERROR(__xludf.DUMMYFUNCTION("""COMPUTED_VALUE"""),"| 3 L PHP-CGM % | 4 L JAVA % | 5 L NS @ | 5 L CPT @ ")</f>
        <v xml:space="preserve">| 3 L PHP-CGM % | 4 L JAVA % | 5 L NS @ | 5 L CPT @ </v>
      </c>
      <c r="AX515" s="4" t="str">
        <f ca="1">IFERROR(__xludf.DUMMYFUNCTION("""COMPUTED_VALUE"""),"| 1 P Python % | 3 L CPT % | 4 L JAVA % | 5 L INE % ")</f>
        <v xml:space="preserve">| 1 P Python % | 3 L CPT % | 4 L JAVA % | 5 L INE % </v>
      </c>
      <c r="AY515" s="4" t="str">
        <f ca="1">IFERROR(__xludf.DUMMYFUNCTION("""COMPUTED_VALUE"""),"| 1 P JAVA @ | 3 L JAVA @ | 4 L NS @ | 5 P PRO @ ")</f>
        <v xml:space="preserve">| 1 P JAVA @ | 3 L JAVA @ | 4 L NS @ | 5 P PRO @ </v>
      </c>
      <c r="AZ515" s="4" t="str">
        <f ca="1">IFERROR(__xludf.DUMMYFUNCTION("""COMPUTED_VALUE"""),"| 1 P NS @ | 3 L CPT @ | 4 L PHP-CGM @ | 5 P Python @ ")</f>
        <v xml:space="preserve">| 1 P NS @ | 3 L CPT @ | 4 L PHP-CGM @ | 5 P Python @ </v>
      </c>
      <c r="BA515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B515" s="4" t="str">
        <f ca="1">IFERROR(__xludf.DUMMYFUNCTION("""COMPUTED_VALUE"""),"| 1 P Python @ | 3 L CPT % | 4 L JAVA % | 5 L INE % ")</f>
        <v xml:space="preserve">| 1 P Python @ | 3 L CPT % | 4 L JAVA % | 5 L INE % </v>
      </c>
      <c r="BC515" s="4" t="str">
        <f ca="1">IFERROR(__xludf.DUMMYFUNCTION("""COMPUTED_VALUE"""),"| 1 P JAVA @ | 3 L JAVA @ | 4 L NS @ | 5 P PRO @ ")</f>
        <v xml:space="preserve">| 1 P JAVA @ | 3 L JAVA @ | 4 L NS @ | 5 P PRO @ </v>
      </c>
      <c r="BD515" s="4" t="str">
        <f ca="1">IFERROR(__xludf.DUMMYFUNCTION("""COMPUTED_VALUE"""),"| 1 P JAVA % | 4 L NS %  | 3 L PHP-CGM % | 5 P CPT % ")</f>
        <v xml:space="preserve">| 1 P JAVA % | 4 L NS %  | 3 L PHP-CGM % | 5 P CPT % </v>
      </c>
      <c r="BE515" s="4" t="str">
        <f ca="1">IFERROR(__xludf.DUMMYFUNCTION("""COMPUTED_VALUE"""),"| 1 P NS % | 3 L CPT % | 4 L PHP-CGM % | 5 P Python % ")</f>
        <v xml:space="preserve">| 1 P NS % | 3 L CPT % | 4 L PHP-CGM % | 5 P Python % </v>
      </c>
      <c r="BF515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515" s="4" t="str">
        <f ca="1">IFERROR(__xludf.DUMMYFUNCTION("""COMPUTED_VALUE"""),"| 1 P JAVA @ | 3 L JAVA @ | 4 L NS @ | 5 P PRO @ ")</f>
        <v xml:space="preserve">| 1 P JAVA @ | 3 L JAVA @ | 4 L NS @ | 5 P PRO @ </v>
      </c>
      <c r="BH515" s="4" t="str">
        <f ca="1">IFERROR(__xludf.DUMMYFUNCTION("""COMPUTED_VALUE"""),"| 1 P JAVA % | 3 L PHP-CGM % | 4 L NS % | 5 P CPT % ")</f>
        <v xml:space="preserve">| 1 P JAVA % | 3 L PHP-CGM % | 4 L NS % | 5 P CPT % </v>
      </c>
      <c r="BI515" s="4" t="str">
        <f ca="1">IFERROR(__xludf.DUMMYFUNCTION("""COMPUTED_VALUE"""),"| 1 P NS % | 3 L CPT % | 4 L PHP-CGM % | 5 P Python % ")</f>
        <v xml:space="preserve">| 1 P NS % | 3 L CPT % | 4 L PHP-CGM % | 5 P Python % </v>
      </c>
      <c r="BJ515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K515" s="4" t="str">
        <f ca="1">IFERROR(__xludf.DUMMYFUNCTION("""COMPUTED_VALUE"""),"| 1 P Python @ | 3 L CPT @ | 4 L JAVA @ | 5 L INE @ ")</f>
        <v xml:space="preserve">| 1 P Python @ | 3 L CPT @ | 4 L JAVA @ | 5 L INE @ </v>
      </c>
      <c r="BL515" s="4" t="str">
        <f ca="1">IFERROR(__xludf.DUMMYFUNCTION("""COMPUTED_VALUE"""),"| 1 P JAVA @ | 3 L JAVA @ | 4 L NS @ ")</f>
        <v xml:space="preserve">| 1 P JAVA @ | 3 L JAVA @ | 4 L NS @ </v>
      </c>
      <c r="BM515" s="4" t="str">
        <f ca="1">IFERROR(__xludf.DUMMYFUNCTION("""COMPUTED_VALUE"""),"| 1 P JAVA @ | 3 L PHP-CGM @ | 4 L NS @ | 5 P CPT @ ")</f>
        <v xml:space="preserve">| 1 P JAVA @ | 3 L PHP-CGM @ | 4 L NS @ | 5 P CPT @ </v>
      </c>
      <c r="BN515" s="4" t="str">
        <f ca="1">IFERROR(__xludf.DUMMYFUNCTION("""COMPUTED_VALUE"""),"| 1 P NS % | 3 L CPT % | 4 L PHP-CGM % ")</f>
        <v xml:space="preserve">| 1 P NS % | 3 L CPT % | 4 L PHP-CGM % </v>
      </c>
      <c r="BO515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15" s="4" t="str">
        <f ca="1">IFERROR(__xludf.DUMMYFUNCTION("""COMPUTED_VALUE"""),"| 1 P Python % | 3 L CPT % | 4 L JAVA % | 5 L INE @ ")</f>
        <v xml:space="preserve">| 1 P Python % | 3 L CPT % | 4 L JAVA % | 5 L INE @ </v>
      </c>
      <c r="BQ515" s="4" t="str">
        <f ca="1">IFERROR(__xludf.DUMMYFUNCTION("""COMPUTED_VALUE"""),"| 4 L NS % | 1 P JAVA % ")</f>
        <v xml:space="preserve">| 4 L NS % | 1 P JAVA % </v>
      </c>
      <c r="BR515" s="4"/>
      <c r="BS515" s="4"/>
      <c r="BT515" s="4" t="str">
        <f ca="1">IFERROR(__xludf.DUMMYFUNCTION("""COMPUTED_VALUE"""),"| 1 P Python % | 3 L CPT % | 4 L JAVA @ ")</f>
        <v xml:space="preserve">| 1 P Python % | 3 L CPT % | 4 L JAVA @ </v>
      </c>
      <c r="BU515" s="4" t="str">
        <f ca="1">IFERROR(__xludf.DUMMYFUNCTION("""COMPUTED_VALUE"""),"| 1 P JAVA @ | 4 L NS % | 3 L JAVA % ")</f>
        <v xml:space="preserve">| 1 P JAVA @ | 4 L NS % | 3 L JAVA % </v>
      </c>
      <c r="BV515" s="4" t="str">
        <f ca="1">IFERROR(__xludf.DUMMYFUNCTION("""COMPUTED_VALUE"""),"| 1 P Python % | 3 L CPT @ | 4 L JAVA @ ")</f>
        <v xml:space="preserve">| 1 P Python % | 3 L CPT @ | 4 L JAVA @ </v>
      </c>
      <c r="BW515" s="4" t="str">
        <f ca="1">IFERROR(__xludf.DUMMYFUNCTION("""COMPUTED_VALUE"""),"| 1 P JAVA % | 3 L JAVA @ | 4 L NS @ ")</f>
        <v xml:space="preserve">| 1 P JAVA % | 3 L JAVA @ | 4 L NS @ </v>
      </c>
      <c r="BX515" s="4" t="str">
        <f ca="1">IFERROR(__xludf.DUMMYFUNCTION("""COMPUTED_VALUE"""),"| 1 P JAVA @ | 3 L PHP-CGM @ | 4 L NS @ | 5 P CPT @ ")</f>
        <v xml:space="preserve">| 1 P JAVA @ | 3 L PHP-CGM @ | 4 L NS @ | 5 P CPT @ </v>
      </c>
      <c r="BY515" s="4" t="str">
        <f ca="1">IFERROR(__xludf.DUMMYFUNCTION("""COMPUTED_VALUE"""),"| 1 P NS % | 3 L CPT @ | 4 L PHP-CGM @ | 5 P Python @ ")</f>
        <v xml:space="preserve">| 1 P NS % | 3 L CPT @ | 4 L PHP-CGM @ | 5 P Python @ </v>
      </c>
      <c r="BZ515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515" s="4" t="str">
        <f ca="1">IFERROR(__xludf.DUMMYFUNCTION("""COMPUTED_VALUE"""),"| 1 P Python @ | 3 L CPT % | 4 L JAVA % | 5 L INE % ")</f>
        <v xml:space="preserve">| 1 P Python @ | 3 L CPT % | 4 L JAVA % | 5 L INE % </v>
      </c>
      <c r="CB515" s="4" t="str">
        <f ca="1">IFERROR(__xludf.DUMMYFUNCTION("""COMPUTED_VALUE"""),"| 1 P JAVA % | 3 L JAVA @ | 4 L NS @ | 5 P PRO @ ")</f>
        <v xml:space="preserve">| 1 P JAVA % | 3 L JAVA @ | 4 L NS @ | 5 P PRO @ </v>
      </c>
      <c r="CC515" s="4" t="str">
        <f ca="1">IFERROR(__xludf.DUMMYFUNCTION("""COMPUTED_VALUE"""),"| 1 P JAVA % | 3 L PHP-CGM @ | 4 L NS @ | 5 P CPT % ")</f>
        <v xml:space="preserve">| 1 P JAVA % | 3 L PHP-CGM @ | 4 L NS @ | 5 P CPT % </v>
      </c>
      <c r="CD515" s="4" t="str">
        <f ca="1">IFERROR(__xludf.DUMMYFUNCTION("""COMPUTED_VALUE"""),"| 1 P NS % | 3 L CPT @ | 4 L PHP-CGM @ | 5 P Python @ ")</f>
        <v xml:space="preserve">| 1 P NS % | 3 L CPT @ | 4 L PHP-CGM @ | 5 P Python @ </v>
      </c>
      <c r="CE515" s="4" t="str">
        <f ca="1">IFERROR(__xludf.DUMMYFUNCTION("""COMPUTED_VALUE"""),"| 1 P PHP-CGM % | 3 L PHP-CGM @ | 4 L JAVA @ | 5 L NS @ | 6 L CPT @ ")</f>
        <v xml:space="preserve">| 1 P PHP-CGM % | 3 L PHP-CGM @ | 4 L JAVA @ | 5 L NS @ | 6 L CPT @ </v>
      </c>
      <c r="CF515" s="4" t="str">
        <f ca="1">IFERROR(__xludf.DUMMYFUNCTION("""COMPUTED_VALUE"""),"| 1 P Python % | 3 L CPT @ | 4 L JAVA @ | 5 L INE % ")</f>
        <v xml:space="preserve">| 1 P Python % | 3 L CPT @ | 4 L JAVA @ | 5 L INE % </v>
      </c>
      <c r="CG515" s="4" t="str">
        <f ca="1">IFERROR(__xludf.DUMMYFUNCTION("""COMPUTED_VALUE"""),"| 1 P JAVA % | 4 L NS % ")</f>
        <v xml:space="preserve">| 1 P JAVA % | 4 L NS % </v>
      </c>
      <c r="CH515" s="4" t="str">
        <f ca="1">IFERROR(__xludf.DUMMYFUNCTION("""COMPUTED_VALUE"""),"| 1 P JAVA % | 3 L PHP-CGM @ | 4 L NS @ ")</f>
        <v xml:space="preserve">| 1 P JAVA % | 3 L PHP-CGM @ | 4 L NS @ </v>
      </c>
      <c r="CI515" s="4" t="str">
        <f ca="1">IFERROR(__xludf.DUMMYFUNCTION("""COMPUTED_VALUE"""),"| 1 P NS % ")</f>
        <v xml:space="preserve">| 1 P NS % </v>
      </c>
      <c r="CJ515" s="4" t="str">
        <f ca="1">IFERROR(__xludf.DUMMYFUNCTION("""COMPUTED_VALUE"""),"| 1 P PHP-CGM @ | 4 L JAVA % ")</f>
        <v xml:space="preserve">| 1 P PHP-CGM @ | 4 L JAVA % </v>
      </c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</row>
    <row r="516" spans="1:102" ht="12.5" x14ac:dyDescent="0.25">
      <c r="A516" s="3">
        <f ca="1">IFERROR(__xludf.DUMMYFUNCTION("""COMPUTED_VALUE"""),2)</f>
        <v>2</v>
      </c>
      <c r="B516" s="3" t="str">
        <f ca="1">IFERROR(__xludf.DUMMYFUNCTION("""COMPUTED_VALUE"""),"ITC")</f>
        <v>ITC</v>
      </c>
      <c r="C516" s="32" t="str">
        <f ca="1">IFERROR(__xludf.DUMMYFUNCTION("""COMPUTED_VALUE"""),"23171371109")</f>
        <v>23171371109</v>
      </c>
      <c r="D516" s="4" t="str">
        <f ca="1">IFERROR(__xludf.DUMMYFUNCTION("""COMPUTED_VALUE"""),"PATEL SMIT ASHOKBHAI")</f>
        <v>PATEL SMIT ASHOKBHAI</v>
      </c>
      <c r="E516" s="3" t="str">
        <f ca="1">IFERROR(__xludf.DUMMYFUNCTION("""COMPUTED_VALUE"""),"SDP&amp;KKP - Mor")</f>
        <v>SDP&amp;KKP - Mor</v>
      </c>
      <c r="F516" s="3">
        <f ca="1">IFERROR(__xludf.DUMMYFUNCTION("""COMPUTED_VALUE"""),9316374770)</f>
        <v>9316374770</v>
      </c>
      <c r="G516" s="3">
        <f ca="1">IFERROR(__xludf.DUMMYFUNCTION("""COMPUTED_VALUE"""),6355456709)</f>
        <v>6355456709</v>
      </c>
      <c r="H516" s="33">
        <f ca="1">IFERROR(__xludf.DUMMYFUNCTION("""COMPUTED_VALUE"""),0.589211618257261)</f>
        <v>0.58921161825726098</v>
      </c>
      <c r="I516" s="25">
        <f ca="1">IFERROR(__xludf.DUMMYFUNCTION("""COMPUTED_VALUE"""),0.5)</f>
        <v>0.5</v>
      </c>
      <c r="J516" s="25">
        <f ca="1">IFERROR(__xludf.DUMMYFUNCTION("""COMPUTED_VALUE"""),0.2)</f>
        <v>0.2</v>
      </c>
      <c r="K516" s="25">
        <f ca="1">IFERROR(__xludf.DUMMYFUNCTION("""COMPUTED_VALUE"""),0.611111111111111)</f>
        <v>0.61111111111111105</v>
      </c>
      <c r="L516" s="25">
        <f ca="1">IFERROR(__xludf.DUMMYFUNCTION("""COMPUTED_VALUE"""),0.846153846153846)</f>
        <v>0.84615384615384603</v>
      </c>
      <c r="M516" s="25">
        <f ca="1">IFERROR(__xludf.DUMMYFUNCTION("""COMPUTED_VALUE"""),0.625)</f>
        <v>0.625</v>
      </c>
      <c r="N516" s="25">
        <f ca="1">IFERROR(__xludf.DUMMYFUNCTION("""COMPUTED_VALUE"""),0.727272727272727)</f>
        <v>0.72727272727272696</v>
      </c>
      <c r="O516" s="25">
        <f ca="1">IFERROR(__xludf.DUMMYFUNCTION("""COMPUTED_VALUE"""),0.648648648648648)</f>
        <v>0.64864864864864802</v>
      </c>
      <c r="P516" s="25">
        <f ca="1">IFERROR(__xludf.DUMMYFUNCTION("""COMPUTED_VALUE"""),0.68)</f>
        <v>0.68</v>
      </c>
      <c r="Q516" s="25">
        <f ca="1">IFERROR(__xludf.DUMMYFUNCTION("""COMPUTED_VALUE"""),0)</f>
        <v>0</v>
      </c>
      <c r="R516" s="25">
        <f ca="1">IFERROR(__xludf.DUMMYFUNCTION("""COMPUTED_VALUE"""),0.541666666666666)</f>
        <v>0.54166666666666596</v>
      </c>
      <c r="S516" s="25">
        <f ca="1">IFERROR(__xludf.DUMMYFUNCTION("""COMPUTED_VALUE"""),0)</f>
        <v>0</v>
      </c>
      <c r="T516" s="25">
        <f ca="1">IFERROR(__xludf.DUMMYFUNCTION("""COMPUTED_VALUE"""),0.444444444444444)</f>
        <v>0.44444444444444398</v>
      </c>
      <c r="U516" s="25">
        <f ca="1">IFERROR(__xludf.DUMMYFUNCTION("""COMPUTED_VALUE"""),0.375)</f>
        <v>0.375</v>
      </c>
      <c r="V516" s="25">
        <f ca="1">IFERROR(__xludf.DUMMYFUNCTION("""COMPUTED_VALUE"""),0)</f>
        <v>0</v>
      </c>
      <c r="W516" s="4"/>
      <c r="X516" s="4" t="str">
        <f ca="1">IFERROR(__xludf.DUMMYFUNCTION("""COMPUTED_VALUE"""),"| 1 P Python % | 3 L CPT % | 4 L JAVA % ")</f>
        <v xml:space="preserve">| 1 P Python % | 3 L CPT % | 4 L JAVA % </v>
      </c>
      <c r="Y516" s="4" t="str">
        <f ca="1">IFERROR(__xludf.DUMMYFUNCTION("""COMPUTED_VALUE"""),"| 1 P JAVA @ | 3 L JAVA % | 4 L NS % | 5 P PRO @ ")</f>
        <v xml:space="preserve">| 1 P JAVA @ | 3 L JAVA % | 4 L NS % | 5 P PRO @ </v>
      </c>
      <c r="Z516" s="4" t="str">
        <f ca="1">IFERROR(__xludf.DUMMYFUNCTION("""COMPUTED_VALUE"""),"| 1 P JAVA @ | 3 L PHP-CGM @ | 4 L NS @ | 5 P CPT @ ")</f>
        <v xml:space="preserve">| 1 P JAVA @ | 3 L PHP-CGM @ | 4 L NS @ | 5 P CPT @ </v>
      </c>
      <c r="AA516" s="4" t="str">
        <f ca="1">IFERROR(__xludf.DUMMYFUNCTION("""COMPUTED_VALUE"""),"| 1 P NS % | 3 L CPT % | 5 P Python @ ")</f>
        <v xml:space="preserve">| 1 P NS % | 3 L CPT % | 5 P Python @ </v>
      </c>
      <c r="AB516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16" s="4" t="str">
        <f ca="1">IFERROR(__xludf.DUMMYFUNCTION("""COMPUTED_VALUE"""),"| 1 P Python % | 3 L CPT % | 4 L JAVA % ")</f>
        <v xml:space="preserve">| 1 P Python % | 3 L CPT % | 4 L JAVA % </v>
      </c>
      <c r="AD516" s="4" t="str">
        <f ca="1">IFERROR(__xludf.DUMMYFUNCTION("""COMPUTED_VALUE"""),"| 1 P JAVA % | 3 L JAVA % | 4 L NS % | 5 P PRO % ")</f>
        <v xml:space="preserve">| 1 P JAVA % | 3 L JAVA % | 4 L NS % | 5 P PRO % </v>
      </c>
      <c r="AE516" s="4" t="str">
        <f ca="1">IFERROR(__xludf.DUMMYFUNCTION("""COMPUTED_VALUE"""),"| 1 P JAVA % | 3 L PHP-CGM % | 4 L NS % | 5 P CPT @ ")</f>
        <v xml:space="preserve">| 1 P JAVA % | 3 L PHP-CGM % | 4 L NS % | 5 P CPT @ </v>
      </c>
      <c r="AF516" s="4" t="str">
        <f ca="1">IFERROR(__xludf.DUMMYFUNCTION("""COMPUTED_VALUE"""),"| 1 P NS % | 3 L CPT % | 4 L PHP-CGM % | 5 P Python % ")</f>
        <v xml:space="preserve">| 1 P NS % | 3 L CPT % | 4 L PHP-CGM % | 5 P Python % </v>
      </c>
      <c r="AG516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H516" s="4" t="str">
        <f ca="1">IFERROR(__xludf.DUMMYFUNCTION("""COMPUTED_VALUE"""),"| 1 P NS % | 3 L CPT % | 4 L PHP-CGM % | 5 P Python @ ")</f>
        <v xml:space="preserve">| 1 P NS % | 3 L CPT % | 4 L PHP-CGM % | 5 P Python @ </v>
      </c>
      <c r="AI516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J516" s="4" t="str">
        <f ca="1">IFERROR(__xludf.DUMMYFUNCTION("""COMPUTED_VALUE"""),"| 1 P Python % | 3 L CPT % | 4 L JAVA % ")</f>
        <v xml:space="preserve">| 1 P Python % | 3 L CPT % | 4 L JAVA % </v>
      </c>
      <c r="AK516" s="4" t="str">
        <f ca="1">IFERROR(__xludf.DUMMYFUNCTION("""COMPUTED_VALUE"""),"| 1 P JAVA % | 4 L NS % | 3 L JAVA % | 5 P PRO % ")</f>
        <v xml:space="preserve">| 1 P JAVA % | 4 L NS % | 3 L JAVA % | 5 P PRO % </v>
      </c>
      <c r="AL516" s="4" t="str">
        <f ca="1">IFERROR(__xludf.DUMMYFUNCTION("""COMPUTED_VALUE"""),"| 1 P JAVA % | 3 L PHP-CGM % | 4 L NS % | 5 P CPT % ")</f>
        <v xml:space="preserve">| 1 P JAVA % | 3 L PHP-CGM % | 4 L NS % | 5 P CPT % </v>
      </c>
      <c r="AM516" s="4" t="str">
        <f ca="1">IFERROR(__xludf.DUMMYFUNCTION("""COMPUTED_VALUE"""),"| 1 P NS % | 3 L CPT @ | 4 L PHP-CGM @ | 5 P Python @ ")</f>
        <v xml:space="preserve">| 1 P NS % | 3 L CPT @ | 4 L PHP-CGM @ | 5 P Python @ </v>
      </c>
      <c r="AN516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6" s="4" t="str">
        <f ca="1">IFERROR(__xludf.DUMMYFUNCTION("""COMPUTED_VALUE"""),"| 1 P Python @ | 3 L CPT @ | 4 L JAVA @ | 5 L INE @ ")</f>
        <v xml:space="preserve">| 1 P Python @ | 3 L CPT @ | 4 L JAVA @ | 5 L INE @ </v>
      </c>
      <c r="AP516" s="4" t="str">
        <f ca="1">IFERROR(__xludf.DUMMYFUNCTION("""COMPUTED_VALUE"""),"| 1 P JAVA % | 3 L JAVA % | 4 L NS % | 5 P PRO @ ")</f>
        <v xml:space="preserve">| 1 P JAVA % | 3 L JAVA % | 4 L NS % | 5 P PRO @ </v>
      </c>
      <c r="AQ516" s="4" t="str">
        <f ca="1">IFERROR(__xludf.DUMMYFUNCTION("""COMPUTED_VALUE"""),"| 1 P JAVA % | 3 L PHP-CGM % | 4 L NS % | 5 P CPT @ ")</f>
        <v xml:space="preserve">| 1 P JAVA % | 3 L PHP-CGM % | 4 L NS % | 5 P CPT @ </v>
      </c>
      <c r="AR516" s="4" t="str">
        <f ca="1">IFERROR(__xludf.DUMMYFUNCTION("""COMPUTED_VALUE"""),"| 1 P NS % | 3 L CPT % | 5 P Python % ")</f>
        <v xml:space="preserve">| 1 P NS % | 3 L CPT % | 5 P Python % </v>
      </c>
      <c r="AS516" s="4" t="str">
        <f ca="1">IFERROR(__xludf.DUMMYFUNCTION("""COMPUTED_VALUE"""),"| 1 P Python % | 3 L CPT @ | 4 L JAVA @ | 5 L INE @ ")</f>
        <v xml:space="preserve">| 1 P Python % | 3 L CPT @ | 4 L JAVA @ | 5 L INE @ </v>
      </c>
      <c r="AT516" s="4" t="str">
        <f ca="1">IFERROR(__xludf.DUMMYFUNCTION("""COMPUTED_VALUE"""),"| 1 P JAVA % | 3 L JAVA % | 4 L NS % | 5 P PRO @ ")</f>
        <v xml:space="preserve">| 1 P JAVA % | 3 L JAVA % | 4 L NS % | 5 P PRO @ </v>
      </c>
      <c r="AU516" s="4" t="str">
        <f ca="1">IFERROR(__xludf.DUMMYFUNCTION("""COMPUTED_VALUE"""),"| 1 P JAVA % | 3 L PHP-CGM % | 4 L NS % | 5 P CPT @ ")</f>
        <v xml:space="preserve">| 1 P JAVA % | 3 L PHP-CGM % | 4 L NS % | 5 P CPT @ </v>
      </c>
      <c r="AV516" s="4" t="str">
        <f ca="1">IFERROR(__xludf.DUMMYFUNCTION("""COMPUTED_VALUE"""),"| 1 P NS @ | 3 L CPT @ | 4 L PHP-CGM @ | 5 P Python @ ")</f>
        <v xml:space="preserve">| 1 P NS @ | 3 L CPT @ | 4 L PHP-CGM @ | 5 P Python @ </v>
      </c>
      <c r="AW516" s="4" t="str">
        <f ca="1">IFERROR(__xludf.DUMMYFUNCTION("""COMPUTED_VALUE"""),"| 3 L PHP-CGM % | 4 L JAVA % | 5 L NS % | 5 L CPT % ")</f>
        <v xml:space="preserve">| 3 L PHP-CGM % | 4 L JAVA % | 5 L NS % | 5 L CPT % </v>
      </c>
      <c r="AX516" s="4" t="str">
        <f ca="1">IFERROR(__xludf.DUMMYFUNCTION("""COMPUTED_VALUE"""),"| 1 P Python % | 3 L CPT % | 4 L JAVA % | 5 L INE @ ")</f>
        <v xml:space="preserve">| 1 P Python % | 3 L CPT % | 4 L JAVA % | 5 L INE @ </v>
      </c>
      <c r="AY516" s="4" t="str">
        <f ca="1">IFERROR(__xludf.DUMMYFUNCTION("""COMPUTED_VALUE"""),"| 1 P JAVA @ | 3 L JAVA @ | 4 L NS @ | 5 P PRO @ ")</f>
        <v xml:space="preserve">| 1 P JAVA @ | 3 L JAVA @ | 4 L NS @ | 5 P PRO @ </v>
      </c>
      <c r="AZ516" s="4" t="str">
        <f ca="1">IFERROR(__xludf.DUMMYFUNCTION("""COMPUTED_VALUE"""),"| 1 P NS % | 3 L CPT @ | 4 L PHP-CGM % | 5 P Python @ ")</f>
        <v xml:space="preserve">| 1 P NS % | 3 L CPT @ | 4 L PHP-CGM % | 5 P Python @ </v>
      </c>
      <c r="BA516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B516" s="4" t="str">
        <f ca="1">IFERROR(__xludf.DUMMYFUNCTION("""COMPUTED_VALUE"""),"| 1 P Python % | 3 L CPT % | 4 L JAVA % | 5 L INE % ")</f>
        <v xml:space="preserve">| 1 P Python % | 3 L CPT % | 4 L JAVA % | 5 L INE % </v>
      </c>
      <c r="BC516" s="4" t="str">
        <f ca="1">IFERROR(__xludf.DUMMYFUNCTION("""COMPUTED_VALUE"""),"| 1 P JAVA % | 3 L JAVA % | 4 L NS % | 5 P PRO % ")</f>
        <v xml:space="preserve">| 1 P JAVA % | 3 L JAVA % | 4 L NS % | 5 P PRO % </v>
      </c>
      <c r="BD516" s="4" t="str">
        <f ca="1">IFERROR(__xludf.DUMMYFUNCTION("""COMPUTED_VALUE"""),"| 1 P JAVA @ | 4 L NS @  | 3 L PHP-CGM @ | 5 P CPT @ ")</f>
        <v xml:space="preserve">| 1 P JAVA @ | 4 L NS @  | 3 L PHP-CGM @ | 5 P CPT @ </v>
      </c>
      <c r="BE516" s="4" t="str">
        <f ca="1">IFERROR(__xludf.DUMMYFUNCTION("""COMPUTED_VALUE"""),"| 1 P NS @ | 3 L CPT @ | 4 L PHP-CGM @ | 5 P Python @ ")</f>
        <v xml:space="preserve">| 1 P NS @ | 3 L CPT @ | 4 L PHP-CGM @ | 5 P Python @ </v>
      </c>
      <c r="BF516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G516" s="4" t="str">
        <f ca="1">IFERROR(__xludf.DUMMYFUNCTION("""COMPUTED_VALUE"""),"| 1 P JAVA % | 3 L JAVA % | 4 L NS % | 5 P PRO % ")</f>
        <v xml:space="preserve">| 1 P JAVA % | 3 L JAVA % | 4 L NS % | 5 P PRO % </v>
      </c>
      <c r="BH516" s="4" t="str">
        <f ca="1">IFERROR(__xludf.DUMMYFUNCTION("""COMPUTED_VALUE"""),"| 1 P JAVA % | 3 L PHP-CGM % | 4 L NS % | 5 P CPT @ ")</f>
        <v xml:space="preserve">| 1 P JAVA % | 3 L PHP-CGM % | 4 L NS % | 5 P CPT @ </v>
      </c>
      <c r="BI516" s="4" t="str">
        <f ca="1">IFERROR(__xludf.DUMMYFUNCTION("""COMPUTED_VALUE"""),"| 1 P NS % | 3 L CPT % | 4 L PHP-CGM % | 5 P Python % ")</f>
        <v xml:space="preserve">| 1 P NS % | 3 L CPT % | 4 L PHP-CGM % | 5 P Python % </v>
      </c>
      <c r="BJ516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16" s="4" t="str">
        <f ca="1">IFERROR(__xludf.DUMMYFUNCTION("""COMPUTED_VALUE"""),"| 1 P Python % | 3 L CPT @ | 4 L JAVA @ | 5 L INE @ ")</f>
        <v xml:space="preserve">| 1 P Python % | 3 L CPT @ | 4 L JAVA @ | 5 L INE @ </v>
      </c>
      <c r="BL516" s="4" t="str">
        <f ca="1">IFERROR(__xludf.DUMMYFUNCTION("""COMPUTED_VALUE"""),"| 1 P JAVA @ | 3 L JAVA @ | 4 L NS @ ")</f>
        <v xml:space="preserve">| 1 P JAVA @ | 3 L JAVA @ | 4 L NS @ </v>
      </c>
      <c r="BM516" s="4" t="str">
        <f ca="1">IFERROR(__xludf.DUMMYFUNCTION("""COMPUTED_VALUE"""),"| 1 P JAVA @ | 3 L PHP-CGM % | 4 L NS % | 5 P CPT @ ")</f>
        <v xml:space="preserve">| 1 P JAVA @ | 3 L PHP-CGM % | 4 L NS % | 5 P CPT @ </v>
      </c>
      <c r="BN516" s="4" t="str">
        <f ca="1">IFERROR(__xludf.DUMMYFUNCTION("""COMPUTED_VALUE"""),"| 1 P NS % | 3 L CPT @ | 4 L PHP-CGM @ ")</f>
        <v xml:space="preserve">| 1 P NS % | 3 L CPT @ | 4 L PHP-CGM @ </v>
      </c>
      <c r="BO516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16" s="4" t="str">
        <f ca="1">IFERROR(__xludf.DUMMYFUNCTION("""COMPUTED_VALUE"""),"| 1 P Python % | 3 L CPT % | 4 L JAVA % | 5 L INE @ ")</f>
        <v xml:space="preserve">| 1 P Python % | 3 L CPT % | 4 L JAVA % | 5 L INE @ </v>
      </c>
      <c r="BQ516" s="4" t="str">
        <f ca="1">IFERROR(__xludf.DUMMYFUNCTION("""COMPUTED_VALUE"""),"| 4 L NS % | 1 P JAVA % ")</f>
        <v xml:space="preserve">| 4 L NS % | 1 P JAVA % </v>
      </c>
      <c r="BR516" s="4"/>
      <c r="BS516" s="4"/>
      <c r="BT516" s="4" t="str">
        <f ca="1">IFERROR(__xludf.DUMMYFUNCTION("""COMPUTED_VALUE"""),"| 1 P Python % | 3 L CPT % | 4 L JAVA % ")</f>
        <v xml:space="preserve">| 1 P Python % | 3 L CPT % | 4 L JAVA % </v>
      </c>
      <c r="BU516" s="4" t="str">
        <f ca="1">IFERROR(__xludf.DUMMYFUNCTION("""COMPUTED_VALUE"""),"| 1 P JAVA @ | 4 L NS @ | 3 L JAVA @ ")</f>
        <v xml:space="preserve">| 1 P JAVA @ | 4 L NS @ | 3 L JAVA @ </v>
      </c>
      <c r="BV516" s="4" t="str">
        <f ca="1">IFERROR(__xludf.DUMMYFUNCTION("""COMPUTED_VALUE"""),"| 1 P Python @ | 3 L CPT @ | 4 L JAVA @ ")</f>
        <v xml:space="preserve">| 1 P Python @ | 3 L CPT @ | 4 L JAVA @ </v>
      </c>
      <c r="BW516" s="4" t="str">
        <f ca="1">IFERROR(__xludf.DUMMYFUNCTION("""COMPUTED_VALUE"""),"| 1 P JAVA % | 3 L JAVA % | 4 L NS % ")</f>
        <v xml:space="preserve">| 1 P JAVA % | 3 L JAVA % | 4 L NS % </v>
      </c>
      <c r="BX516" s="4" t="str">
        <f ca="1">IFERROR(__xludf.DUMMYFUNCTION("""COMPUTED_VALUE"""),"| 1 P JAVA % | 3 L PHP-CGM % | 4 L NS % | 5 P CPT @ ")</f>
        <v xml:space="preserve">| 1 P JAVA % | 3 L PHP-CGM % | 4 L NS % | 5 P CPT @ </v>
      </c>
      <c r="BY516" s="4" t="str">
        <f ca="1">IFERROR(__xludf.DUMMYFUNCTION("""COMPUTED_VALUE"""),"| 1 P NS % | 3 L CPT @ | 4 L PHP-CGM @ | 5 P Python @ ")</f>
        <v xml:space="preserve">| 1 P NS % | 3 L CPT @ | 4 L PHP-CGM @ | 5 P Python @ </v>
      </c>
      <c r="BZ516" s="4" t="str">
        <f ca="1">IFERROR(__xludf.DUMMYFUNCTION("""COMPUTED_VALUE"""),"| 1 P PHP-CGM % | 3 L PHP-CGM % | 4 L JAVA @ | 5 L NS @ | 6 L CPT @ ")</f>
        <v xml:space="preserve">| 1 P PHP-CGM % | 3 L PHP-CGM % | 4 L JAVA @ | 5 L NS @ | 6 L CPT @ </v>
      </c>
      <c r="CA516" s="4" t="str">
        <f ca="1">IFERROR(__xludf.DUMMYFUNCTION("""COMPUTED_VALUE"""),"| 1 P Python @ | 3 L CPT @ | 4 L JAVA @ | 5 L INE % ")</f>
        <v xml:space="preserve">| 1 P Python @ | 3 L CPT @ | 4 L JAVA @ | 5 L INE % </v>
      </c>
      <c r="CB516" s="4" t="str">
        <f ca="1">IFERROR(__xludf.DUMMYFUNCTION("""COMPUTED_VALUE"""),"| 1 P JAVA % | 3 L JAVA @ | 4 L NS @ | 5 P PRO @ ")</f>
        <v xml:space="preserve">| 1 P JAVA % | 3 L JAVA @ | 4 L NS @ | 5 P PRO @ </v>
      </c>
      <c r="CC516" s="4" t="str">
        <f ca="1">IFERROR(__xludf.DUMMYFUNCTION("""COMPUTED_VALUE"""),"| 1 P JAVA % | 3 L PHP-CGM % | 4 L NS % | 5 P CPT % ")</f>
        <v xml:space="preserve">| 1 P JAVA % | 3 L PHP-CGM % | 4 L NS % | 5 P CPT % </v>
      </c>
      <c r="CD516" s="4" t="str">
        <f ca="1">IFERROR(__xludf.DUMMYFUNCTION("""COMPUTED_VALUE"""),"| 1 P NS % | 3 L CPT @ | 4 L PHP-CGM @ | 5 P Python @ ")</f>
        <v xml:space="preserve">| 1 P NS % | 3 L CPT @ | 4 L PHP-CGM @ | 5 P Python @ </v>
      </c>
      <c r="CE516" s="4" t="str">
        <f ca="1">IFERROR(__xludf.DUMMYFUNCTION("""COMPUTED_VALUE"""),"| 1 P PHP-CGM % | 3 L PHP-CGM @ | 4 L JAVA @ | 5 L NS @ | 6 L CPT @ ")</f>
        <v xml:space="preserve">| 1 P PHP-CGM % | 3 L PHP-CGM @ | 4 L JAVA @ | 5 L NS @ | 6 L CPT @ </v>
      </c>
      <c r="CF516" s="4" t="str">
        <f ca="1">IFERROR(__xludf.DUMMYFUNCTION("""COMPUTED_VALUE"""),"| 1 P Python % | 3 L CPT % | 4 L JAVA % | 5 L INE % ")</f>
        <v xml:space="preserve">| 1 P Python % | 3 L CPT % | 4 L JAVA % | 5 L INE % </v>
      </c>
      <c r="CG516" s="4" t="str">
        <f ca="1">IFERROR(__xludf.DUMMYFUNCTION("""COMPUTED_VALUE"""),"| 1 P JAVA @ | 4 L NS % ")</f>
        <v xml:space="preserve">| 1 P JAVA @ | 4 L NS % </v>
      </c>
      <c r="CH516" s="4" t="str">
        <f ca="1">IFERROR(__xludf.DUMMYFUNCTION("""COMPUTED_VALUE"""),"| 1 P JAVA % | 3 L PHP-CGM @ | 4 L NS @ ")</f>
        <v xml:space="preserve">| 1 P JAVA % | 3 L PHP-CGM @ | 4 L NS @ </v>
      </c>
      <c r="CI516" s="4" t="str">
        <f ca="1">IFERROR(__xludf.DUMMYFUNCTION("""COMPUTED_VALUE"""),"| 1 P NS % ")</f>
        <v xml:space="preserve">| 1 P NS % </v>
      </c>
      <c r="CJ516" s="4" t="str">
        <f ca="1">IFERROR(__xludf.DUMMYFUNCTION("""COMPUTED_VALUE"""),"| 1 P PHP-CGM @ | 4 L JAVA % ")</f>
        <v xml:space="preserve">| 1 P PHP-CGM @ | 4 L JAVA % </v>
      </c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</row>
    <row r="517" spans="1:102" ht="12.5" x14ac:dyDescent="0.25">
      <c r="A517" s="3">
        <f ca="1">IFERROR(__xludf.DUMMYFUNCTION("""COMPUTED_VALUE"""),2)</f>
        <v>2</v>
      </c>
      <c r="B517" s="3" t="str">
        <f ca="1">IFERROR(__xludf.DUMMYFUNCTION("""COMPUTED_VALUE"""),"ITC")</f>
        <v>ITC</v>
      </c>
      <c r="C517" s="32" t="str">
        <f ca="1">IFERROR(__xludf.DUMMYFUNCTION("""COMPUTED_VALUE"""),"23171371110")</f>
        <v>23171371110</v>
      </c>
      <c r="D517" s="4" t="str">
        <f ca="1">IFERROR(__xludf.DUMMYFUNCTION("""COMPUTED_VALUE"""),"PATEL SMIT RAJESHBHAI")</f>
        <v>PATEL SMIT RAJESHBHAI</v>
      </c>
      <c r="E517" s="3" t="str">
        <f ca="1">IFERROR(__xludf.DUMMYFUNCTION("""COMPUTED_VALUE"""),"SDP&amp;KKP - Mor")</f>
        <v>SDP&amp;KKP - Mor</v>
      </c>
      <c r="F517" s="3">
        <f ca="1">IFERROR(__xludf.DUMMYFUNCTION("""COMPUTED_VALUE"""),7863038042)</f>
        <v>7863038042</v>
      </c>
      <c r="G517" s="3">
        <f ca="1">IFERROR(__xludf.DUMMYFUNCTION("""COMPUTED_VALUE"""),6351478724)</f>
        <v>6351478724</v>
      </c>
      <c r="H517" s="33">
        <f ca="1">IFERROR(__xludf.DUMMYFUNCTION("""COMPUTED_VALUE"""),0.91701244813278)</f>
        <v>0.91701244813278004</v>
      </c>
      <c r="I517" s="25">
        <f ca="1">IFERROR(__xludf.DUMMYFUNCTION("""COMPUTED_VALUE"""),0.805555555555555)</f>
        <v>0.80555555555555503</v>
      </c>
      <c r="J517" s="25">
        <f ca="1">IFERROR(__xludf.DUMMYFUNCTION("""COMPUTED_VALUE"""),1)</f>
        <v>1</v>
      </c>
      <c r="K517" s="25">
        <f ca="1">IFERROR(__xludf.DUMMYFUNCTION("""COMPUTED_VALUE"""),0.916666666666666)</f>
        <v>0.91666666666666596</v>
      </c>
      <c r="L517" s="25">
        <f ca="1">IFERROR(__xludf.DUMMYFUNCTION("""COMPUTED_VALUE"""),1)</f>
        <v>1</v>
      </c>
      <c r="M517" s="25">
        <f ca="1">IFERROR(__xludf.DUMMYFUNCTION("""COMPUTED_VALUE"""),1)</f>
        <v>1</v>
      </c>
      <c r="N517" s="25">
        <f ca="1">IFERROR(__xludf.DUMMYFUNCTION("""COMPUTED_VALUE"""),0.909090909090909)</f>
        <v>0.90909090909090895</v>
      </c>
      <c r="O517" s="25">
        <f ca="1">IFERROR(__xludf.DUMMYFUNCTION("""COMPUTED_VALUE"""),0.945945945945945)</f>
        <v>0.94594594594594505</v>
      </c>
      <c r="P517" s="25">
        <f ca="1">IFERROR(__xludf.DUMMYFUNCTION("""COMPUTED_VALUE"""),1)</f>
        <v>1</v>
      </c>
      <c r="Q517" s="25">
        <f ca="1">IFERROR(__xludf.DUMMYFUNCTION("""COMPUTED_VALUE"""),0)</f>
        <v>0</v>
      </c>
      <c r="R517" s="25">
        <f ca="1">IFERROR(__xludf.DUMMYFUNCTION("""COMPUTED_VALUE"""),0.833333333333333)</f>
        <v>0.83333333333333304</v>
      </c>
      <c r="S517" s="25">
        <f ca="1">IFERROR(__xludf.DUMMYFUNCTION("""COMPUTED_VALUE"""),0)</f>
        <v>0</v>
      </c>
      <c r="T517" s="25">
        <f ca="1">IFERROR(__xludf.DUMMYFUNCTION("""COMPUTED_VALUE"""),0.888888888888888)</f>
        <v>0.88888888888888795</v>
      </c>
      <c r="U517" s="25">
        <f ca="1">IFERROR(__xludf.DUMMYFUNCTION("""COMPUTED_VALUE"""),0.75)</f>
        <v>0.75</v>
      </c>
      <c r="V517" s="25">
        <f ca="1">IFERROR(__xludf.DUMMYFUNCTION("""COMPUTED_VALUE"""),0)</f>
        <v>0</v>
      </c>
      <c r="W517" s="4"/>
      <c r="X517" s="4" t="str">
        <f ca="1">IFERROR(__xludf.DUMMYFUNCTION("""COMPUTED_VALUE"""),"| 1 P Python @ | 3 L CPT @ | 4 L JAVA @ ")</f>
        <v xml:space="preserve">| 1 P Python @ | 3 L CPT @ | 4 L JAVA @ </v>
      </c>
      <c r="Y517" s="4" t="str">
        <f ca="1">IFERROR(__xludf.DUMMYFUNCTION("""COMPUTED_VALUE"""),"| 1 P JAVA % | 3 L JAVA % | 4 L NS % | 5 P PRO @ ")</f>
        <v xml:space="preserve">| 1 P JAVA % | 3 L JAVA % | 4 L NS % | 5 P PRO @ </v>
      </c>
      <c r="Z517" s="4" t="str">
        <f ca="1">IFERROR(__xludf.DUMMYFUNCTION("""COMPUTED_VALUE"""),"| 1 P JAVA % | 3 L PHP-CGM % | 4 L NS % | 5 P CPT % ")</f>
        <v xml:space="preserve">| 1 P JAVA % | 3 L PHP-CGM % | 4 L NS % | 5 P CPT % </v>
      </c>
      <c r="AA517" s="4" t="str">
        <f ca="1">IFERROR(__xludf.DUMMYFUNCTION("""COMPUTED_VALUE"""),"| 1 P NS % | 3 L CPT % | 5 P Python @ ")</f>
        <v xml:space="preserve">| 1 P NS % | 3 L CPT % | 5 P Python @ </v>
      </c>
      <c r="AB517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17" s="4" t="str">
        <f ca="1">IFERROR(__xludf.DUMMYFUNCTION("""COMPUTED_VALUE"""),"| 1 P Python @ | 3 L CPT @ | 4 L JAVA @ ")</f>
        <v xml:space="preserve">| 1 P Python @ | 3 L CPT @ | 4 L JAVA @ </v>
      </c>
      <c r="AD517" s="4" t="str">
        <f ca="1">IFERROR(__xludf.DUMMYFUNCTION("""COMPUTED_VALUE"""),"| 1 P JAVA % | 3 L JAVA % | 4 L NS % | 5 P PRO % ")</f>
        <v xml:space="preserve">| 1 P JAVA % | 3 L JAVA % | 4 L NS % | 5 P PRO % </v>
      </c>
      <c r="AE517" s="4" t="str">
        <f ca="1">IFERROR(__xludf.DUMMYFUNCTION("""COMPUTED_VALUE"""),"| 1 P JAVA % | 3 L PHP-CGM % | 4 L NS % | 5 P CPT % ")</f>
        <v xml:space="preserve">| 1 P JAVA % | 3 L PHP-CGM % | 4 L NS % | 5 P CPT % </v>
      </c>
      <c r="AF517" s="4" t="str">
        <f ca="1">IFERROR(__xludf.DUMMYFUNCTION("""COMPUTED_VALUE"""),"| 1 P NS % | 3 L CPT % | 4 L PHP-CGM % | 5 P Python % ")</f>
        <v xml:space="preserve">| 1 P NS % | 3 L CPT % | 4 L PHP-CGM % | 5 P Python % </v>
      </c>
      <c r="AG517" s="4" t="str">
        <f ca="1">IFERROR(__xludf.DUMMYFUNCTION("""COMPUTED_VALUE"""),"| 1 P PHP-CGM % | 3 L PHP-CGM % | 4 L JAVA % | 5 L CPT @ | 6 L NS % ")</f>
        <v xml:space="preserve">| 1 P PHP-CGM % | 3 L PHP-CGM % | 4 L JAVA % | 5 L CPT @ | 6 L NS % </v>
      </c>
      <c r="AH517" s="4" t="str">
        <f ca="1">IFERROR(__xludf.DUMMYFUNCTION("""COMPUTED_VALUE"""),"| 1 P NS % | 3 L CPT % | 4 L PHP-CGM % | 5 P Python % ")</f>
        <v xml:space="preserve">| 1 P NS % | 3 L CPT % | 4 L PHP-CGM % | 5 P Python % </v>
      </c>
      <c r="AI517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J517" s="4" t="str">
        <f ca="1">IFERROR(__xludf.DUMMYFUNCTION("""COMPUTED_VALUE"""),"| 1 P Python % | 3 L CPT % | 4 L JAVA % ")</f>
        <v xml:space="preserve">| 1 P Python % | 3 L CPT % | 4 L JAVA % </v>
      </c>
      <c r="AK517" s="4" t="str">
        <f ca="1">IFERROR(__xludf.DUMMYFUNCTION("""COMPUTED_VALUE"""),"| 1 P JAVA % | 4 L NS % | 3 L JAVA % | 5 P PRO % ")</f>
        <v xml:space="preserve">| 1 P JAVA % | 4 L NS % | 3 L JAVA % | 5 P PRO % </v>
      </c>
      <c r="AL517" s="4" t="str">
        <f ca="1">IFERROR(__xludf.DUMMYFUNCTION("""COMPUTED_VALUE"""),"| 1 P JAVA % | 3 L PHP-CGM % | 4 L NS % | 5 P CPT % ")</f>
        <v xml:space="preserve">| 1 P JAVA % | 3 L PHP-CGM % | 4 L NS % | 5 P CPT % </v>
      </c>
      <c r="AM517" s="4" t="str">
        <f ca="1">IFERROR(__xludf.DUMMYFUNCTION("""COMPUTED_VALUE"""),"| 1 P NS % | 3 L CPT % | 4 L PHP-CGM % | 5 P Python % ")</f>
        <v xml:space="preserve">| 1 P NS % | 3 L CPT % | 4 L PHP-CGM % | 5 P Python % </v>
      </c>
      <c r="AN517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7" s="4" t="str">
        <f ca="1">IFERROR(__xludf.DUMMYFUNCTION("""COMPUTED_VALUE"""),"| 1 P Python % | 3 L CPT % | 4 L JAVA % | 5 L INE % ")</f>
        <v xml:space="preserve">| 1 P Python % | 3 L CPT % | 4 L JAVA % | 5 L INE % </v>
      </c>
      <c r="AP517" s="4" t="str">
        <f ca="1">IFERROR(__xludf.DUMMYFUNCTION("""COMPUTED_VALUE"""),"| 1 P JAVA % | 3 L JAVA % | 4 L NS % | 5 P PRO % ")</f>
        <v xml:space="preserve">| 1 P JAVA % | 3 L JAVA % | 4 L NS % | 5 P PRO % </v>
      </c>
      <c r="AQ517" s="4" t="str">
        <f ca="1">IFERROR(__xludf.DUMMYFUNCTION("""COMPUTED_VALUE"""),"| 1 P JAVA % | 3 L PHP-CGM % | 4 L NS % | 5 P CPT % ")</f>
        <v xml:space="preserve">| 1 P JAVA % | 3 L PHP-CGM % | 4 L NS % | 5 P CPT % </v>
      </c>
      <c r="AR517" s="4" t="str">
        <f ca="1">IFERROR(__xludf.DUMMYFUNCTION("""COMPUTED_VALUE"""),"| 1 P NS % | 3 L CPT % | 5 P Python % ")</f>
        <v xml:space="preserve">| 1 P NS % | 3 L CPT % | 5 P Python % </v>
      </c>
      <c r="AS517" s="4" t="str">
        <f ca="1">IFERROR(__xludf.DUMMYFUNCTION("""COMPUTED_VALUE"""),"| 1 P Python % | 3 L CPT % | 4 L JAVA % | 5 L INE % ")</f>
        <v xml:space="preserve">| 1 P Python % | 3 L CPT % | 4 L JAVA % | 5 L INE % </v>
      </c>
      <c r="AT517" s="4" t="str">
        <f ca="1">IFERROR(__xludf.DUMMYFUNCTION("""COMPUTED_VALUE"""),"| 1 P JAVA % | 3 L JAVA % | 4 L NS % | 5 P PRO % ")</f>
        <v xml:space="preserve">| 1 P JAVA % | 3 L JAVA % | 4 L NS % | 5 P PRO % </v>
      </c>
      <c r="AU517" s="4" t="str">
        <f ca="1">IFERROR(__xludf.DUMMYFUNCTION("""COMPUTED_VALUE"""),"| 1 P JAVA % | 3 L PHP-CGM % | 4 L NS % | 5 P CPT % ")</f>
        <v xml:space="preserve">| 1 P JAVA % | 3 L PHP-CGM % | 4 L NS % | 5 P CPT % </v>
      </c>
      <c r="AV517" s="4" t="str">
        <f ca="1">IFERROR(__xludf.DUMMYFUNCTION("""COMPUTED_VALUE"""),"| 1 P NS % | 3 L CPT % | 4 L PHP-CGM % | 5 P Python % ")</f>
        <v xml:space="preserve">| 1 P NS % | 3 L CPT % | 4 L PHP-CGM % | 5 P Python % </v>
      </c>
      <c r="AW517" s="4" t="str">
        <f ca="1">IFERROR(__xludf.DUMMYFUNCTION("""COMPUTED_VALUE"""),"| 3 L PHP-CGM % | 4 L JAVA % | 5 L NS % | 5 L CPT % ")</f>
        <v xml:space="preserve">| 3 L PHP-CGM % | 4 L JAVA % | 5 L NS % | 5 L CPT % </v>
      </c>
      <c r="AX517" s="4" t="str">
        <f ca="1">IFERROR(__xludf.DUMMYFUNCTION("""COMPUTED_VALUE"""),"| 1 P Python % | 3 L CPT % | 4 L JAVA % | 5 L INE % ")</f>
        <v xml:space="preserve">| 1 P Python % | 3 L CPT % | 4 L JAVA % | 5 L INE % </v>
      </c>
      <c r="AY517" s="4" t="str">
        <f ca="1">IFERROR(__xludf.DUMMYFUNCTION("""COMPUTED_VALUE"""),"| 1 P JAVA % | 3 L JAVA % | 4 L NS % | 5 P PRO % ")</f>
        <v xml:space="preserve">| 1 P JAVA % | 3 L JAVA % | 4 L NS % | 5 P PRO % </v>
      </c>
      <c r="AZ517" s="4" t="str">
        <f ca="1">IFERROR(__xludf.DUMMYFUNCTION("""COMPUTED_VALUE"""),"| 1 P NS % | 3 L CPT @ | 4 L PHP-CGM % | 5 P Python % ")</f>
        <v xml:space="preserve">| 1 P NS % | 3 L CPT @ | 4 L PHP-CGM % | 5 P Python % </v>
      </c>
      <c r="BA51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17" s="4" t="str">
        <f ca="1">IFERROR(__xludf.DUMMYFUNCTION("""COMPUTED_VALUE"""),"| 1 P Python % | 3 L CPT % | 4 L JAVA % | 5 L INE % ")</f>
        <v xml:space="preserve">| 1 P Python % | 3 L CPT % | 4 L JAVA % | 5 L INE % </v>
      </c>
      <c r="BC517" s="4" t="str">
        <f ca="1">IFERROR(__xludf.DUMMYFUNCTION("""COMPUTED_VALUE"""),"| 1 P JAVA % | 3 L JAVA % | 4 L NS % | 5 P PRO % ")</f>
        <v xml:space="preserve">| 1 P JAVA % | 3 L JAVA % | 4 L NS % | 5 P PRO % </v>
      </c>
      <c r="BD517" s="4" t="str">
        <f ca="1">IFERROR(__xludf.DUMMYFUNCTION("""COMPUTED_VALUE"""),"| 1 P JAVA % | 4 L NS %  | 3 L PHP-CGM % | 5 P CPT % ")</f>
        <v xml:space="preserve">| 1 P JAVA % | 4 L NS %  | 3 L PHP-CGM % | 5 P CPT % </v>
      </c>
      <c r="BE517" s="4" t="str">
        <f ca="1">IFERROR(__xludf.DUMMYFUNCTION("""COMPUTED_VALUE"""),"| 1 P NS % | 3 L CPT % | 4 L PHP-CGM % | 5 P Python % ")</f>
        <v xml:space="preserve">| 1 P NS % | 3 L CPT % | 4 L PHP-CGM % | 5 P Python % </v>
      </c>
      <c r="BF517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G517" s="4" t="str">
        <f ca="1">IFERROR(__xludf.DUMMYFUNCTION("""COMPUTED_VALUE"""),"| 1 P JAVA % | 3 L JAVA % | 4 L NS % | 5 P PRO % ")</f>
        <v xml:space="preserve">| 1 P JAVA % | 3 L JAVA % | 4 L NS % | 5 P PRO % </v>
      </c>
      <c r="BH517" s="4" t="str">
        <f ca="1">IFERROR(__xludf.DUMMYFUNCTION("""COMPUTED_VALUE"""),"| 1 P JAVA % | 3 L PHP-CGM % | 4 L NS % | 5 P CPT % ")</f>
        <v xml:space="preserve">| 1 P JAVA % | 3 L PHP-CGM % | 4 L NS % | 5 P CPT % </v>
      </c>
      <c r="BI517" s="4" t="str">
        <f ca="1">IFERROR(__xludf.DUMMYFUNCTION("""COMPUTED_VALUE"""),"| 1 P NS % | 3 L CPT % | 4 L PHP-CGM % | 5 P Python % ")</f>
        <v xml:space="preserve">| 1 P NS % | 3 L CPT % | 4 L PHP-CGM % | 5 P Python % </v>
      </c>
      <c r="BJ517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BK517" s="4" t="str">
        <f ca="1">IFERROR(__xludf.DUMMYFUNCTION("""COMPUTED_VALUE"""),"| 1 P Python % | 3 L CPT % | 4 L JAVA % | 5 L INE % ")</f>
        <v xml:space="preserve">| 1 P Python % | 3 L CPT % | 4 L JAVA % | 5 L INE % </v>
      </c>
      <c r="BL517" s="4" t="str">
        <f ca="1">IFERROR(__xludf.DUMMYFUNCTION("""COMPUTED_VALUE"""),"| 1 P JAVA % | 3 L JAVA % | 4 L NS % ")</f>
        <v xml:space="preserve">| 1 P JAVA % | 3 L JAVA % | 4 L NS % </v>
      </c>
      <c r="BM517" s="4" t="str">
        <f ca="1">IFERROR(__xludf.DUMMYFUNCTION("""COMPUTED_VALUE"""),"| 1 P JAVA % | 3 L PHP-CGM % | 4 L NS % | 5 P CPT % ")</f>
        <v xml:space="preserve">| 1 P JAVA % | 3 L PHP-CGM % | 4 L NS % | 5 P CPT % </v>
      </c>
      <c r="BN517" s="4" t="str">
        <f ca="1">IFERROR(__xludf.DUMMYFUNCTION("""COMPUTED_VALUE"""),"| 1 P NS % | 3 L CPT % | 4 L PHP-CGM % ")</f>
        <v xml:space="preserve">| 1 P NS % | 3 L CPT % | 4 L PHP-CGM % </v>
      </c>
      <c r="BO51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P517" s="4" t="str">
        <f ca="1">IFERROR(__xludf.DUMMYFUNCTION("""COMPUTED_VALUE"""),"| 1 P Python % | 3 L CPT % | 4 L JAVA % | 5 L INE @ ")</f>
        <v xml:space="preserve">| 1 P Python % | 3 L CPT % | 4 L JAVA % | 5 L INE @ </v>
      </c>
      <c r="BQ517" s="4" t="str">
        <f ca="1">IFERROR(__xludf.DUMMYFUNCTION("""COMPUTED_VALUE"""),"| 4 L NS % | 1 P JAVA % ")</f>
        <v xml:space="preserve">| 4 L NS % | 1 P JAVA % </v>
      </c>
      <c r="BR517" s="4"/>
      <c r="BS517" s="4"/>
      <c r="BT517" s="4" t="str">
        <f ca="1">IFERROR(__xludf.DUMMYFUNCTION("""COMPUTED_VALUE"""),"| 1 P Python % | 3 L CPT % | 4 L JAVA % ")</f>
        <v xml:space="preserve">| 1 P Python % | 3 L CPT % | 4 L JAVA % </v>
      </c>
      <c r="BU517" s="4" t="str">
        <f ca="1">IFERROR(__xludf.DUMMYFUNCTION("""COMPUTED_VALUE"""),"| 1 P JAVA % | 4 L NS % | 3 L JAVA % ")</f>
        <v xml:space="preserve">| 1 P JAVA % | 4 L NS % | 3 L JAVA % </v>
      </c>
      <c r="BV517" s="4" t="str">
        <f ca="1">IFERROR(__xludf.DUMMYFUNCTION("""COMPUTED_VALUE"""),"| 1 P Python % | 3 L CPT % | 4 L JAVA % ")</f>
        <v xml:space="preserve">| 1 P Python % | 3 L CPT % | 4 L JAVA % </v>
      </c>
      <c r="BW517" s="4" t="str">
        <f ca="1">IFERROR(__xludf.DUMMYFUNCTION("""COMPUTED_VALUE"""),"| 1 P JAVA % | 3 L JAVA % | 4 L NS % ")</f>
        <v xml:space="preserve">| 1 P JAVA % | 3 L JAVA % | 4 L NS % </v>
      </c>
      <c r="BX517" s="4" t="str">
        <f ca="1">IFERROR(__xludf.DUMMYFUNCTION("""COMPUTED_VALUE"""),"| 1 P JAVA % | 3 L PHP-CGM % | 4 L NS % | 5 P CPT % ")</f>
        <v xml:space="preserve">| 1 P JAVA % | 3 L PHP-CGM % | 4 L NS % | 5 P CPT % </v>
      </c>
      <c r="BY517" s="4" t="str">
        <f ca="1">IFERROR(__xludf.DUMMYFUNCTION("""COMPUTED_VALUE"""),"| 1 P NS % | 3 L CPT % | 4 L PHP-CGM % | 5 P Python % ")</f>
        <v xml:space="preserve">| 1 P NS % | 3 L CPT % | 4 L PHP-CGM % | 5 P Python % </v>
      </c>
      <c r="BZ517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17" s="4" t="str">
        <f ca="1">IFERROR(__xludf.DUMMYFUNCTION("""COMPUTED_VALUE"""),"| 1 P Python @ | 3 L CPT % | 4 L JAVA % | 5 L INE % ")</f>
        <v xml:space="preserve">| 1 P Python @ | 3 L CPT % | 4 L JAVA % | 5 L INE % </v>
      </c>
      <c r="CB517" s="4" t="str">
        <f ca="1">IFERROR(__xludf.DUMMYFUNCTION("""COMPUTED_VALUE"""),"| 1 P JAVA % | 3 L JAVA % | 4 L NS % | 5 P PRO % ")</f>
        <v xml:space="preserve">| 1 P JAVA % | 3 L JAVA % | 4 L NS % | 5 P PRO % </v>
      </c>
      <c r="CC517" s="4" t="str">
        <f ca="1">IFERROR(__xludf.DUMMYFUNCTION("""COMPUTED_VALUE"""),"| 1 P JAVA % | 3 L PHP-CGM % | 4 L NS % | 5 P CPT % ")</f>
        <v xml:space="preserve">| 1 P JAVA % | 3 L PHP-CGM % | 4 L NS % | 5 P CPT % </v>
      </c>
      <c r="CD517" s="4" t="str">
        <f ca="1">IFERROR(__xludf.DUMMYFUNCTION("""COMPUTED_VALUE"""),"| 1 P NS % | 3 L CPT % | 4 L PHP-CGM % | 5 P Python % ")</f>
        <v xml:space="preserve">| 1 P NS % | 3 L CPT % | 4 L PHP-CGM % | 5 P Python % </v>
      </c>
      <c r="CE517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17" s="4" t="str">
        <f ca="1">IFERROR(__xludf.DUMMYFUNCTION("""COMPUTED_VALUE"""),"| 1 P Python % | 3 L CPT % | 4 L JAVA % | 5 L INE @ ")</f>
        <v xml:space="preserve">| 1 P Python % | 3 L CPT % | 4 L JAVA % | 5 L INE @ </v>
      </c>
      <c r="CG517" s="4" t="str">
        <f ca="1">IFERROR(__xludf.DUMMYFUNCTION("""COMPUTED_VALUE"""),"| 1 P JAVA % | 4 L NS % ")</f>
        <v xml:space="preserve">| 1 P JAVA % | 4 L NS % </v>
      </c>
      <c r="CH517" s="4" t="str">
        <f ca="1">IFERROR(__xludf.DUMMYFUNCTION("""COMPUTED_VALUE"""),"| 1 P JAVA % | 3 L PHP-CGM % | 4 L NS % ")</f>
        <v xml:space="preserve">| 1 P JAVA % | 3 L PHP-CGM % | 4 L NS % </v>
      </c>
      <c r="CI517" s="4" t="str">
        <f ca="1">IFERROR(__xludf.DUMMYFUNCTION("""COMPUTED_VALUE"""),"| 1 P NS % ")</f>
        <v xml:space="preserve">| 1 P NS % </v>
      </c>
      <c r="CJ517" s="4" t="str">
        <f ca="1">IFERROR(__xludf.DUMMYFUNCTION("""COMPUTED_VALUE"""),"| 1 P PHP-CGM @ | 4 L JAVA % ")</f>
        <v xml:space="preserve">| 1 P PHP-CGM @ | 4 L JAVA % </v>
      </c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</row>
    <row r="518" spans="1:102" ht="12.5" x14ac:dyDescent="0.25">
      <c r="A518" s="3">
        <f ca="1">IFERROR(__xludf.DUMMYFUNCTION("""COMPUTED_VALUE"""),2)</f>
        <v>2</v>
      </c>
      <c r="B518" s="3" t="str">
        <f ca="1">IFERROR(__xludf.DUMMYFUNCTION("""COMPUTED_VALUE"""),"ITC")</f>
        <v>ITC</v>
      </c>
      <c r="C518" s="32" t="str">
        <f ca="1">IFERROR(__xludf.DUMMYFUNCTION("""COMPUTED_VALUE"""),"23171371114")</f>
        <v>23171371114</v>
      </c>
      <c r="D518" s="4" t="str">
        <f ca="1">IFERROR(__xludf.DUMMYFUNCTION("""COMPUTED_VALUE"""),"PATEL SOHAM RAJUBHAI")</f>
        <v>PATEL SOHAM RAJUBHAI</v>
      </c>
      <c r="E518" s="3" t="str">
        <f ca="1">IFERROR(__xludf.DUMMYFUNCTION("""COMPUTED_VALUE"""),"SDP&amp;KKP - Mor")</f>
        <v>SDP&amp;KKP - Mor</v>
      </c>
      <c r="F518" s="3">
        <f ca="1">IFERROR(__xludf.DUMMYFUNCTION("""COMPUTED_VALUE"""),8866067410)</f>
        <v>8866067410</v>
      </c>
      <c r="G518" s="3">
        <f ca="1">IFERROR(__xludf.DUMMYFUNCTION("""COMPUTED_VALUE"""),9824720766)</f>
        <v>9824720766</v>
      </c>
      <c r="H518" s="33">
        <f ca="1">IFERROR(__xludf.DUMMYFUNCTION("""COMPUTED_VALUE"""),0.838174273858921)</f>
        <v>0.83817427385892096</v>
      </c>
      <c r="I518" s="25">
        <f ca="1">IFERROR(__xludf.DUMMYFUNCTION("""COMPUTED_VALUE"""),0.805555555555555)</f>
        <v>0.80555555555555503</v>
      </c>
      <c r="J518" s="25">
        <f ca="1">IFERROR(__xludf.DUMMYFUNCTION("""COMPUTED_VALUE"""),0.9)</f>
        <v>0.9</v>
      </c>
      <c r="K518" s="25">
        <f ca="1">IFERROR(__xludf.DUMMYFUNCTION("""COMPUTED_VALUE"""),0.888888888888888)</f>
        <v>0.88888888888888795</v>
      </c>
      <c r="L518" s="25">
        <f ca="1">IFERROR(__xludf.DUMMYFUNCTION("""COMPUTED_VALUE"""),0.615384615384615)</f>
        <v>0.61538461538461497</v>
      </c>
      <c r="M518" s="25">
        <f ca="1">IFERROR(__xludf.DUMMYFUNCTION("""COMPUTED_VALUE"""),0.75)</f>
        <v>0.75</v>
      </c>
      <c r="N518" s="25">
        <f ca="1">IFERROR(__xludf.DUMMYFUNCTION("""COMPUTED_VALUE"""),0.727272727272727)</f>
        <v>0.72727272727272696</v>
      </c>
      <c r="O518" s="25">
        <f ca="1">IFERROR(__xludf.DUMMYFUNCTION("""COMPUTED_VALUE"""),0.918918918918919)</f>
        <v>0.91891891891891897</v>
      </c>
      <c r="P518" s="25">
        <f ca="1">IFERROR(__xludf.DUMMYFUNCTION("""COMPUTED_VALUE"""),0.92)</f>
        <v>0.92</v>
      </c>
      <c r="Q518" s="25">
        <f ca="1">IFERROR(__xludf.DUMMYFUNCTION("""COMPUTED_VALUE"""),0)</f>
        <v>0</v>
      </c>
      <c r="R518" s="25">
        <f ca="1">IFERROR(__xludf.DUMMYFUNCTION("""COMPUTED_VALUE"""),0.791666666666666)</f>
        <v>0.79166666666666596</v>
      </c>
      <c r="S518" s="25">
        <f ca="1">IFERROR(__xludf.DUMMYFUNCTION("""COMPUTED_VALUE"""),0)</f>
        <v>0</v>
      </c>
      <c r="T518" s="25">
        <f ca="1">IFERROR(__xludf.DUMMYFUNCTION("""COMPUTED_VALUE"""),1)</f>
        <v>1</v>
      </c>
      <c r="U518" s="25">
        <f ca="1">IFERROR(__xludf.DUMMYFUNCTION("""COMPUTED_VALUE"""),0.875)</f>
        <v>0.875</v>
      </c>
      <c r="V518" s="25">
        <f ca="1">IFERROR(__xludf.DUMMYFUNCTION("""COMPUTED_VALUE"""),0)</f>
        <v>0</v>
      </c>
      <c r="W518" s="4"/>
      <c r="X518" s="4" t="str">
        <f ca="1">IFERROR(__xludf.DUMMYFUNCTION("""COMPUTED_VALUE"""),"| 1 P Python % | 3 L CPT % | 4 L JAVA % ")</f>
        <v xml:space="preserve">| 1 P Python % | 3 L CPT % | 4 L JAVA % </v>
      </c>
      <c r="Y518" s="4" t="str">
        <f ca="1">IFERROR(__xludf.DUMMYFUNCTION("""COMPUTED_VALUE"""),"| 1 P JAVA % | 3 L JAVA % | 4 L NS % | 5 P PRO % ")</f>
        <v xml:space="preserve">| 1 P JAVA % | 3 L JAVA % | 4 L NS % | 5 P PRO % </v>
      </c>
      <c r="Z518" s="4" t="str">
        <f ca="1">IFERROR(__xludf.DUMMYFUNCTION("""COMPUTED_VALUE"""),"| 1 P JAVA % | 3 L PHP-CGM % | 4 L NS % | 5 P CPT % ")</f>
        <v xml:space="preserve">| 1 P JAVA % | 3 L PHP-CGM % | 4 L NS % | 5 P CPT % </v>
      </c>
      <c r="AA518" s="4" t="str">
        <f ca="1">IFERROR(__xludf.DUMMYFUNCTION("""COMPUTED_VALUE"""),"| 1 P NS % | 3 L CPT % | 5 P Python % ")</f>
        <v xml:space="preserve">| 1 P NS % | 3 L CPT % | 5 P Python % </v>
      </c>
      <c r="AB51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18" s="4" t="str">
        <f ca="1">IFERROR(__xludf.DUMMYFUNCTION("""COMPUTED_VALUE"""),"| 1 P Python % | 3 L CPT % | 4 L JAVA % ")</f>
        <v xml:space="preserve">| 1 P Python % | 3 L CPT % | 4 L JAVA % </v>
      </c>
      <c r="AD518" s="4" t="str">
        <f ca="1">IFERROR(__xludf.DUMMYFUNCTION("""COMPUTED_VALUE"""),"| 1 P JAVA % | 3 L JAVA % | 4 L NS % | 5 P PRO % ")</f>
        <v xml:space="preserve">| 1 P JAVA % | 3 L JAVA % | 4 L NS % | 5 P PRO % </v>
      </c>
      <c r="AE518" s="4" t="str">
        <f ca="1">IFERROR(__xludf.DUMMYFUNCTION("""COMPUTED_VALUE"""),"| 1 P JAVA % | 3 L PHP-CGM % | 4 L NS % | 5 P CPT % ")</f>
        <v xml:space="preserve">| 1 P JAVA % | 3 L PHP-CGM % | 4 L NS % | 5 P CPT % </v>
      </c>
      <c r="AF518" s="4" t="str">
        <f ca="1">IFERROR(__xludf.DUMMYFUNCTION("""COMPUTED_VALUE"""),"| 1 P NS @ | 3 L CPT @ | 4 L PHP-CGM @ | 5 P Python @ ")</f>
        <v xml:space="preserve">| 1 P NS @ | 3 L CPT @ | 4 L PHP-CGM @ | 5 P Python @ </v>
      </c>
      <c r="AG51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H518" s="4" t="str">
        <f ca="1">IFERROR(__xludf.DUMMYFUNCTION("""COMPUTED_VALUE"""),"| 1 P NS % | 3 L CPT % | 4 L PHP-CGM % | 5 P Python % ")</f>
        <v xml:space="preserve">| 1 P NS % | 3 L CPT % | 4 L PHP-CGM % | 5 P Python % </v>
      </c>
      <c r="AI518" s="4" t="str">
        <f ca="1">IFERROR(__xludf.DUMMYFUNCTION("""COMPUTED_VALUE"""),"| 1 P PHP-CGM % | 3 L PHP-CGM % | 4 L JAVA % | 5 L CPT @ | 6 L NS @ ")</f>
        <v xml:space="preserve">| 1 P PHP-CGM % | 3 L PHP-CGM % | 4 L JAVA % | 5 L CPT @ | 6 L NS @ </v>
      </c>
      <c r="AJ518" s="4" t="str">
        <f ca="1">IFERROR(__xludf.DUMMYFUNCTION("""COMPUTED_VALUE"""),"| 1 P Python % | 3 L CPT % | 4 L JAVA % ")</f>
        <v xml:space="preserve">| 1 P Python % | 3 L CPT % | 4 L JAVA % </v>
      </c>
      <c r="AK518" s="4" t="str">
        <f ca="1">IFERROR(__xludf.DUMMYFUNCTION("""COMPUTED_VALUE"""),"| 1 P JAVA % | 4 L NS % | 3 L JAVA % | 5 P PRO % ")</f>
        <v xml:space="preserve">| 1 P JAVA % | 4 L NS % | 3 L JAVA % | 5 P PRO % </v>
      </c>
      <c r="AL518" s="4" t="str">
        <f ca="1">IFERROR(__xludf.DUMMYFUNCTION("""COMPUTED_VALUE"""),"| 1 P JAVA % | 3 L PHP-CGM % | 4 L NS % | 5 P CPT % ")</f>
        <v xml:space="preserve">| 1 P JAVA % | 3 L PHP-CGM % | 4 L NS % | 5 P CPT % </v>
      </c>
      <c r="AM518" s="4" t="str">
        <f ca="1">IFERROR(__xludf.DUMMYFUNCTION("""COMPUTED_VALUE"""),"| 1 P NS @ | 3 L CPT @ | 4 L PHP-CGM @ | 5 P Python @ ")</f>
        <v xml:space="preserve">| 1 P NS @ | 3 L CPT @ | 4 L PHP-CGM @ | 5 P Python @ </v>
      </c>
      <c r="AN518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O518" s="4" t="str">
        <f ca="1">IFERROR(__xludf.DUMMYFUNCTION("""COMPUTED_VALUE"""),"| 1 P Python % | 3 L CPT % | 4 L JAVA % | 5 L INE % ")</f>
        <v xml:space="preserve">| 1 P Python % | 3 L CPT % | 4 L JAVA % | 5 L INE % </v>
      </c>
      <c r="AP518" s="4" t="str">
        <f ca="1">IFERROR(__xludf.DUMMYFUNCTION("""COMPUTED_VALUE"""),"| 1 P JAVA % | 3 L JAVA % | 4 L NS % | 5 P PRO % ")</f>
        <v xml:space="preserve">| 1 P JAVA % | 3 L JAVA % | 4 L NS % | 5 P PRO % </v>
      </c>
      <c r="AQ518" s="4" t="str">
        <f ca="1">IFERROR(__xludf.DUMMYFUNCTION("""COMPUTED_VALUE"""),"| 1 P JAVA % | 3 L PHP-CGM % | 4 L NS % | 5 P CPT @ ")</f>
        <v xml:space="preserve">| 1 P JAVA % | 3 L PHP-CGM % | 4 L NS % | 5 P CPT @ </v>
      </c>
      <c r="AR518" s="4" t="str">
        <f ca="1">IFERROR(__xludf.DUMMYFUNCTION("""COMPUTED_VALUE"""),"| 1 P NS % | 3 L CPT % | 5 P Python % ")</f>
        <v xml:space="preserve">| 1 P NS % | 3 L CPT % | 5 P Python % </v>
      </c>
      <c r="AS518" s="4" t="str">
        <f ca="1">IFERROR(__xludf.DUMMYFUNCTION("""COMPUTED_VALUE"""),"| 1 P Python @ | 3 L CPT @ | 4 L JAVA @ | 5 L INE @ ")</f>
        <v xml:space="preserve">| 1 P Python @ | 3 L CPT @ | 4 L JAVA @ | 5 L INE @ </v>
      </c>
      <c r="AT518" s="4" t="str">
        <f ca="1">IFERROR(__xludf.DUMMYFUNCTION("""COMPUTED_VALUE"""),"| 1 P JAVA % | 3 L JAVA % | 4 L NS % | 5 P PRO % ")</f>
        <v xml:space="preserve">| 1 P JAVA % | 3 L JAVA % | 4 L NS % | 5 P PRO % </v>
      </c>
      <c r="AU518" s="4" t="str">
        <f ca="1">IFERROR(__xludf.DUMMYFUNCTION("""COMPUTED_VALUE"""),"| 1 P JAVA % | 3 L PHP-CGM % | 4 L NS % | 5 P CPT % ")</f>
        <v xml:space="preserve">| 1 P JAVA % | 3 L PHP-CGM % | 4 L NS % | 5 P CPT % </v>
      </c>
      <c r="AV518" s="4" t="str">
        <f ca="1">IFERROR(__xludf.DUMMYFUNCTION("""COMPUTED_VALUE"""),"| 1 P NS % | 3 L CPT % | 4 L PHP-CGM % | 5 P Python % ")</f>
        <v xml:space="preserve">| 1 P NS % | 3 L CPT % | 4 L PHP-CGM % | 5 P Python % </v>
      </c>
      <c r="AW518" s="4" t="str">
        <f ca="1">IFERROR(__xludf.DUMMYFUNCTION("""COMPUTED_VALUE"""),"| 3 L PHP-CGM % | 4 L JAVA % | 5 L NS % | 5 L CPT % ")</f>
        <v xml:space="preserve">| 3 L PHP-CGM % | 4 L JAVA % | 5 L NS % | 5 L CPT % </v>
      </c>
      <c r="AX518" s="4" t="str">
        <f ca="1">IFERROR(__xludf.DUMMYFUNCTION("""COMPUTED_VALUE"""),"| 1 P Python % | 3 L CPT % | 4 L JAVA % | 5 L INE % ")</f>
        <v xml:space="preserve">| 1 P Python % | 3 L CPT % | 4 L JAVA % | 5 L INE % </v>
      </c>
      <c r="AY518" s="4" t="str">
        <f ca="1">IFERROR(__xludf.DUMMYFUNCTION("""COMPUTED_VALUE"""),"| 1 P JAVA % | 3 L JAVA % | 4 L NS % | 5 P PRO % ")</f>
        <v xml:space="preserve">| 1 P JAVA % | 3 L JAVA % | 4 L NS % | 5 P PRO % </v>
      </c>
      <c r="AZ518" s="4" t="str">
        <f ca="1">IFERROR(__xludf.DUMMYFUNCTION("""COMPUTED_VALUE"""),"| 1 P NS % | 3 L CPT % | 4 L PHP-CGM % | 5 P Python % ")</f>
        <v xml:space="preserve">| 1 P NS % | 3 L CPT % | 4 L PHP-CGM % | 5 P Python % </v>
      </c>
      <c r="BA518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B518" s="4" t="str">
        <f ca="1">IFERROR(__xludf.DUMMYFUNCTION("""COMPUTED_VALUE"""),"| 1 P Python % | 3 L CPT % | 4 L JAVA % | 5 L INE % ")</f>
        <v xml:space="preserve">| 1 P Python % | 3 L CPT % | 4 L JAVA % | 5 L INE % </v>
      </c>
      <c r="BC518" s="4" t="str">
        <f ca="1">IFERROR(__xludf.DUMMYFUNCTION("""COMPUTED_VALUE"""),"| 1 P JAVA % | 3 L JAVA % | 4 L NS % | 5 P PRO % ")</f>
        <v xml:space="preserve">| 1 P JAVA % | 3 L JAVA % | 4 L NS % | 5 P PRO % </v>
      </c>
      <c r="BD518" s="4" t="str">
        <f ca="1">IFERROR(__xludf.DUMMYFUNCTION("""COMPUTED_VALUE"""),"| 1 P JAVA % | 4 L NS %  | 3 L PHP-CGM % | 5 P CPT % ")</f>
        <v xml:space="preserve">| 1 P JAVA % | 4 L NS %  | 3 L PHP-CGM % | 5 P CPT % </v>
      </c>
      <c r="BE518" s="4" t="str">
        <f ca="1">IFERROR(__xludf.DUMMYFUNCTION("""COMPUTED_VALUE"""),"| 1 P NS % | 3 L CPT % | 4 L PHP-CGM % | 5 P Python % ")</f>
        <v xml:space="preserve">| 1 P NS % | 3 L CPT % | 4 L PHP-CGM % | 5 P Python % </v>
      </c>
      <c r="BF518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518" s="4" t="str">
        <f ca="1">IFERROR(__xludf.DUMMYFUNCTION("""COMPUTED_VALUE"""),"| 1 P JAVA % | 3 L JAVA % | 4 L NS % | 5 P PRO % ")</f>
        <v xml:space="preserve">| 1 P JAVA % | 3 L JAVA % | 4 L NS % | 5 P PRO % </v>
      </c>
      <c r="BH518" s="4" t="str">
        <f ca="1">IFERROR(__xludf.DUMMYFUNCTION("""COMPUTED_VALUE"""),"| 1 P JAVA % | 3 L PHP-CGM % | 4 L NS % | 5 P CPT % ")</f>
        <v xml:space="preserve">| 1 P JAVA % | 3 L PHP-CGM % | 4 L NS % | 5 P CPT % </v>
      </c>
      <c r="BI518" s="4" t="str">
        <f ca="1">IFERROR(__xludf.DUMMYFUNCTION("""COMPUTED_VALUE"""),"| 1 P NS @ | 3 L CPT @ | 4 L PHP-CGM @ | 5 P Python @ ")</f>
        <v xml:space="preserve">| 1 P NS @ | 3 L CPT @ | 4 L PHP-CGM @ | 5 P Python @ </v>
      </c>
      <c r="BJ518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K518" s="4" t="str">
        <f ca="1">IFERROR(__xludf.DUMMYFUNCTION("""COMPUTED_VALUE"""),"| 1 P Python % | 3 L CPT % | 4 L JAVA % | 5 L INE % ")</f>
        <v xml:space="preserve">| 1 P Python % | 3 L CPT % | 4 L JAVA % | 5 L INE % </v>
      </c>
      <c r="BL518" s="4" t="str">
        <f ca="1">IFERROR(__xludf.DUMMYFUNCTION("""COMPUTED_VALUE"""),"| 1 P JAVA % | 3 L JAVA % | 4 L NS % ")</f>
        <v xml:space="preserve">| 1 P JAVA % | 3 L JAVA % | 4 L NS % </v>
      </c>
      <c r="BM518" s="4" t="str">
        <f ca="1">IFERROR(__xludf.DUMMYFUNCTION("""COMPUTED_VALUE"""),"| 1 P JAVA @ | 3 L PHP-CGM @ | 4 L NS @ | 5 P CPT % ")</f>
        <v xml:space="preserve">| 1 P JAVA @ | 3 L PHP-CGM @ | 4 L NS @ | 5 P CPT % </v>
      </c>
      <c r="BN518" s="4" t="str">
        <f ca="1">IFERROR(__xludf.DUMMYFUNCTION("""COMPUTED_VALUE"""),"| 1 P NS @ | 3 L CPT @ | 4 L PHP-CGM @ ")</f>
        <v xml:space="preserve">| 1 P NS @ | 3 L CPT @ | 4 L PHP-CGM @ </v>
      </c>
      <c r="BO518" s="4" t="str">
        <f ca="1">IFERROR(__xludf.DUMMYFUNCTION("""COMPUTED_VALUE"""),"| 1 P PHP-CGM @ | 3 L PHP-CGM @ | 4 L JAVA @ | 5 L NS % | 6 L CPT % ")</f>
        <v xml:space="preserve">| 1 P PHP-CGM @ | 3 L PHP-CGM @ | 4 L JAVA @ | 5 L NS % | 6 L CPT % </v>
      </c>
      <c r="BP518" s="4" t="str">
        <f ca="1">IFERROR(__xludf.DUMMYFUNCTION("""COMPUTED_VALUE"""),"| 1 P Python % | 3 L CPT % | 4 L JAVA % | 5 L INE % ")</f>
        <v xml:space="preserve">| 1 P Python % | 3 L CPT % | 4 L JAVA % | 5 L INE % </v>
      </c>
      <c r="BQ518" s="4" t="str">
        <f ca="1">IFERROR(__xludf.DUMMYFUNCTION("""COMPUTED_VALUE"""),"| 4 L NS % | 1 P JAVA % ")</f>
        <v xml:space="preserve">| 4 L NS % | 1 P JAVA % </v>
      </c>
      <c r="BR518" s="4"/>
      <c r="BS518" s="4"/>
      <c r="BT518" s="4" t="str">
        <f ca="1">IFERROR(__xludf.DUMMYFUNCTION("""COMPUTED_VALUE"""),"| 1 P Python % | 3 L CPT % | 4 L JAVA % ")</f>
        <v xml:space="preserve">| 1 P Python % | 3 L CPT % | 4 L JAVA % </v>
      </c>
      <c r="BU518" s="4" t="str">
        <f ca="1">IFERROR(__xludf.DUMMYFUNCTION("""COMPUTED_VALUE"""),"| 1 P JAVA % | 4 L NS % | 3 L JAVA % ")</f>
        <v xml:space="preserve">| 1 P JAVA % | 4 L NS % | 3 L JAVA % </v>
      </c>
      <c r="BV518" s="4" t="str">
        <f ca="1">IFERROR(__xludf.DUMMYFUNCTION("""COMPUTED_VALUE"""),"| 1 P Python % | 3 L CPT % | 4 L JAVA % ")</f>
        <v xml:space="preserve">| 1 P Python % | 3 L CPT % | 4 L JAVA % </v>
      </c>
      <c r="BW518" s="4" t="str">
        <f ca="1">IFERROR(__xludf.DUMMYFUNCTION("""COMPUTED_VALUE"""),"| 1 P JAVA % | 3 L JAVA % | 4 L NS % ")</f>
        <v xml:space="preserve">| 1 P JAVA % | 3 L JAVA % | 4 L NS % </v>
      </c>
      <c r="BX518" s="4" t="str">
        <f ca="1">IFERROR(__xludf.DUMMYFUNCTION("""COMPUTED_VALUE"""),"| 1 P JAVA % | 3 L PHP-CGM % | 4 L NS % | 5 P CPT % ")</f>
        <v xml:space="preserve">| 1 P JAVA % | 3 L PHP-CGM % | 4 L NS % | 5 P CPT % </v>
      </c>
      <c r="BY518" s="4" t="str">
        <f ca="1">IFERROR(__xludf.DUMMYFUNCTION("""COMPUTED_VALUE"""),"| 1 P NS % | 3 L CPT % | 4 L PHP-CGM % | 5 P Python % ")</f>
        <v xml:space="preserve">| 1 P NS % | 3 L CPT % | 4 L PHP-CGM % | 5 P Python % </v>
      </c>
      <c r="BZ518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CA518" s="4" t="str">
        <f ca="1">IFERROR(__xludf.DUMMYFUNCTION("""COMPUTED_VALUE"""),"| 1 P Python @ | 3 L CPT % | 4 L JAVA % | 5 L INE % ")</f>
        <v xml:space="preserve">| 1 P Python @ | 3 L CPT % | 4 L JAVA % | 5 L INE % </v>
      </c>
      <c r="CB518" s="4" t="str">
        <f ca="1">IFERROR(__xludf.DUMMYFUNCTION("""COMPUTED_VALUE"""),"| 1 P JAVA % | 3 L JAVA % | 4 L NS % | 5 P PRO % ")</f>
        <v xml:space="preserve">| 1 P JAVA % | 3 L JAVA % | 4 L NS % | 5 P PRO % </v>
      </c>
      <c r="CC518" s="4" t="str">
        <f ca="1">IFERROR(__xludf.DUMMYFUNCTION("""COMPUTED_VALUE"""),"| 1 P JAVA % | 3 L PHP-CGM % | 4 L NS % | 5 P CPT % ")</f>
        <v xml:space="preserve">| 1 P JAVA % | 3 L PHP-CGM % | 4 L NS % | 5 P CPT % </v>
      </c>
      <c r="CD518" s="4" t="str">
        <f ca="1">IFERROR(__xludf.DUMMYFUNCTION("""COMPUTED_VALUE"""),"| 1 P NS % | 3 L CPT % | 4 L PHP-CGM % | 5 P Python % ")</f>
        <v xml:space="preserve">| 1 P NS % | 3 L CPT % | 4 L PHP-CGM % | 5 P Python % </v>
      </c>
      <c r="CE518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CF518" s="4" t="str">
        <f ca="1">IFERROR(__xludf.DUMMYFUNCTION("""COMPUTED_VALUE"""),"| 1 P Python % | 3 L CPT % | 4 L JAVA % | 5 L INE % ")</f>
        <v xml:space="preserve">| 1 P Python % | 3 L CPT % | 4 L JAVA % | 5 L INE % </v>
      </c>
      <c r="CG518" s="4" t="str">
        <f ca="1">IFERROR(__xludf.DUMMYFUNCTION("""COMPUTED_VALUE"""),"| 1 P JAVA % | 4 L NS % ")</f>
        <v xml:space="preserve">| 1 P JAVA % | 4 L NS % </v>
      </c>
      <c r="CH518" s="4" t="str">
        <f ca="1">IFERROR(__xludf.DUMMYFUNCTION("""COMPUTED_VALUE"""),"| 1 P JAVA @ | 3 L PHP-CGM @ | 4 L NS @ ")</f>
        <v xml:space="preserve">| 1 P JAVA @ | 3 L PHP-CGM @ | 4 L NS @ </v>
      </c>
      <c r="CI518" s="4" t="str">
        <f ca="1">IFERROR(__xludf.DUMMYFUNCTION("""COMPUTED_VALUE"""),"| 1 P NS @ ")</f>
        <v xml:space="preserve">| 1 P NS @ </v>
      </c>
      <c r="CJ518" s="4" t="str">
        <f ca="1">IFERROR(__xludf.DUMMYFUNCTION("""COMPUTED_VALUE"""),"| 1 P PHP-CGM @ | 4 L JAVA % ")</f>
        <v xml:space="preserve">| 1 P PHP-CGM @ | 4 L JAVA % </v>
      </c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</row>
    <row r="519" spans="1:102" ht="12.5" x14ac:dyDescent="0.25">
      <c r="A519" s="3">
        <f ca="1">IFERROR(__xludf.DUMMYFUNCTION("""COMPUTED_VALUE"""),2)</f>
        <v>2</v>
      </c>
      <c r="B519" s="3" t="str">
        <f ca="1">IFERROR(__xludf.DUMMYFUNCTION("""COMPUTED_VALUE"""),"ITC")</f>
        <v>ITC</v>
      </c>
      <c r="C519" s="32" t="str">
        <f ca="1">IFERROR(__xludf.DUMMYFUNCTION("""COMPUTED_VALUE"""),"23171371115")</f>
        <v>23171371115</v>
      </c>
      <c r="D519" s="4" t="str">
        <f ca="1">IFERROR(__xludf.DUMMYFUNCTION("""COMPUTED_VALUE"""),"PATEL SUCHIBEN RAKESHKUMAR")</f>
        <v>PATEL SUCHIBEN RAKESHKUMAR</v>
      </c>
      <c r="E519" s="3" t="str">
        <f ca="1">IFERROR(__xludf.DUMMYFUNCTION("""COMPUTED_VALUE"""),"SDP&amp;KKP - Mor")</f>
        <v>SDP&amp;KKP - Mor</v>
      </c>
      <c r="F519" s="3">
        <f ca="1">IFERROR(__xludf.DUMMYFUNCTION("""COMPUTED_VALUE"""),9157215315)</f>
        <v>9157215315</v>
      </c>
      <c r="G519" s="3">
        <f ca="1">IFERROR(__xludf.DUMMYFUNCTION("""COMPUTED_VALUE"""),9375415315)</f>
        <v>9375415315</v>
      </c>
      <c r="H519" s="33">
        <f ca="1">IFERROR(__xludf.DUMMYFUNCTION("""COMPUTED_VALUE"""),0.576763485477178)</f>
        <v>0.57676348547717804</v>
      </c>
      <c r="I519" s="25">
        <f ca="1">IFERROR(__xludf.DUMMYFUNCTION("""COMPUTED_VALUE"""),0.611111111111111)</f>
        <v>0.61111111111111105</v>
      </c>
      <c r="J519" s="25">
        <f ca="1">IFERROR(__xludf.DUMMYFUNCTION("""COMPUTED_VALUE"""),0.4)</f>
        <v>0.4</v>
      </c>
      <c r="K519" s="25">
        <f ca="1">IFERROR(__xludf.DUMMYFUNCTION("""COMPUTED_VALUE"""),0.583333333333333)</f>
        <v>0.58333333333333304</v>
      </c>
      <c r="L519" s="25">
        <f ca="1">IFERROR(__xludf.DUMMYFUNCTION("""COMPUTED_VALUE"""),0.615384615384615)</f>
        <v>0.61538461538461497</v>
      </c>
      <c r="M519" s="25">
        <f ca="1">IFERROR(__xludf.DUMMYFUNCTION("""COMPUTED_VALUE"""),0.5)</f>
        <v>0.5</v>
      </c>
      <c r="N519" s="25">
        <f ca="1">IFERROR(__xludf.DUMMYFUNCTION("""COMPUTED_VALUE"""),0.363636363636363)</f>
        <v>0.36363636363636298</v>
      </c>
      <c r="O519" s="25">
        <f ca="1">IFERROR(__xludf.DUMMYFUNCTION("""COMPUTED_VALUE"""),0.675675675675675)</f>
        <v>0.67567567567567499</v>
      </c>
      <c r="P519" s="25">
        <f ca="1">IFERROR(__xludf.DUMMYFUNCTION("""COMPUTED_VALUE"""),0.76)</f>
        <v>0.76</v>
      </c>
      <c r="Q519" s="25">
        <f ca="1">IFERROR(__xludf.DUMMYFUNCTION("""COMPUTED_VALUE"""),0)</f>
        <v>0</v>
      </c>
      <c r="R519" s="25">
        <f ca="1">IFERROR(__xludf.DUMMYFUNCTION("""COMPUTED_VALUE"""),0.541666666666666)</f>
        <v>0.54166666666666596</v>
      </c>
      <c r="S519" s="25">
        <f ca="1">IFERROR(__xludf.DUMMYFUNCTION("""COMPUTED_VALUE"""),0)</f>
        <v>0</v>
      </c>
      <c r="T519" s="25">
        <f ca="1">IFERROR(__xludf.DUMMYFUNCTION("""COMPUTED_VALUE"""),0.555555555555555)</f>
        <v>0.55555555555555503</v>
      </c>
      <c r="U519" s="25">
        <f ca="1">IFERROR(__xludf.DUMMYFUNCTION("""COMPUTED_VALUE"""),0.25)</f>
        <v>0.25</v>
      </c>
      <c r="V519" s="25">
        <f ca="1">IFERROR(__xludf.DUMMYFUNCTION("""COMPUTED_VALUE"""),0)</f>
        <v>0</v>
      </c>
      <c r="W519" s="4"/>
      <c r="X519" s="4" t="str">
        <f ca="1">IFERROR(__xludf.DUMMYFUNCTION("""COMPUTED_VALUE"""),"| 1 P Python % | 3 L CPT % | 4 L JAVA % ")</f>
        <v xml:space="preserve">| 1 P Python % | 3 L CPT % | 4 L JAVA % </v>
      </c>
      <c r="Y519" s="4" t="str">
        <f ca="1">IFERROR(__xludf.DUMMYFUNCTION("""COMPUTED_VALUE"""),"| 1 P JAVA @ | 3 L JAVA @ | 4 L NS @ | 5 P PRO @ ")</f>
        <v xml:space="preserve">| 1 P JAVA @ | 3 L JAVA @ | 4 L NS @ | 5 P PRO @ </v>
      </c>
      <c r="Z519" s="4" t="str">
        <f ca="1">IFERROR(__xludf.DUMMYFUNCTION("""COMPUTED_VALUE"""),"| 1 P JAVA @ | 3 L PHP-CGM @ | 4 L NS @ | 5 P CPT @ ")</f>
        <v xml:space="preserve">| 1 P JAVA @ | 3 L PHP-CGM @ | 4 L NS @ | 5 P CPT @ </v>
      </c>
      <c r="AA519" s="4" t="str">
        <f ca="1">IFERROR(__xludf.DUMMYFUNCTION("""COMPUTED_VALUE"""),"| 1 P NS % | 3 L CPT % | 5 P Python @ ")</f>
        <v xml:space="preserve">| 1 P NS % | 3 L CPT % | 5 P Python @ </v>
      </c>
      <c r="AB519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19" s="4" t="str">
        <f ca="1">IFERROR(__xludf.DUMMYFUNCTION("""COMPUTED_VALUE"""),"| 1 P Python % | 3 L CPT % | 4 L JAVA % ")</f>
        <v xml:space="preserve">| 1 P Python % | 3 L CPT % | 4 L JAVA % </v>
      </c>
      <c r="AD519" s="4" t="str">
        <f ca="1">IFERROR(__xludf.DUMMYFUNCTION("""COMPUTED_VALUE"""),"| 1 P JAVA % | 3 L JAVA % | 4 L NS % | 5 P PRO % ")</f>
        <v xml:space="preserve">| 1 P JAVA % | 3 L JAVA % | 4 L NS % | 5 P PRO % </v>
      </c>
      <c r="AE519" s="4" t="str">
        <f ca="1">IFERROR(__xludf.DUMMYFUNCTION("""COMPUTED_VALUE"""),"| 1 P JAVA % | 3 L PHP-CGM % | 4 L NS % | 5 P CPT % ")</f>
        <v xml:space="preserve">| 1 P JAVA % | 3 L PHP-CGM % | 4 L NS % | 5 P CPT % </v>
      </c>
      <c r="AF519" s="4" t="str">
        <f ca="1">IFERROR(__xludf.DUMMYFUNCTION("""COMPUTED_VALUE"""),"| 1 P NS @ | 3 L CPT % | 4 L PHP-CGM % | 5 P Python @ ")</f>
        <v xml:space="preserve">| 1 P NS @ | 3 L CPT % | 4 L PHP-CGM % | 5 P Python @ </v>
      </c>
      <c r="AG519" s="4" t="str">
        <f ca="1">IFERROR(__xludf.DUMMYFUNCTION("""COMPUTED_VALUE"""),"| 1 P PHP-CGM @ | 3 L PHP-CGM % | 4 L JAVA % | 5 L CPT @ | 6 L NS @ ")</f>
        <v xml:space="preserve">| 1 P PHP-CGM @ | 3 L PHP-CGM % | 4 L JAVA % | 5 L CPT @ | 6 L NS @ </v>
      </c>
      <c r="AH519" s="4" t="str">
        <f ca="1">IFERROR(__xludf.DUMMYFUNCTION("""COMPUTED_VALUE"""),"| 1 P NS @ | 3 L CPT @ | 4 L PHP-CGM @ | 5 P Python @ ")</f>
        <v xml:space="preserve">| 1 P NS @ | 3 L CPT @ | 4 L PHP-CGM @ | 5 P Python @ </v>
      </c>
      <c r="AI519" s="4" t="str">
        <f ca="1">IFERROR(__xludf.DUMMYFUNCTION("""COMPUTED_VALUE"""),"| 1 P PHP-CGM % | 3 L PHP-CGM @ | 4 L JAVA @ | 5 L CPT @ | 6 L NS @ ")</f>
        <v xml:space="preserve">| 1 P PHP-CGM % | 3 L PHP-CGM @ | 4 L JAVA @ | 5 L CPT @ | 6 L NS @ </v>
      </c>
      <c r="AJ519" s="4" t="str">
        <f ca="1">IFERROR(__xludf.DUMMYFUNCTION("""COMPUTED_VALUE"""),"| 1 P Python % | 3 L CPT % | 4 L JAVA % ")</f>
        <v xml:space="preserve">| 1 P Python % | 3 L CPT % | 4 L JAVA % </v>
      </c>
      <c r="AK519" s="4" t="str">
        <f ca="1">IFERROR(__xludf.DUMMYFUNCTION("""COMPUTED_VALUE"""),"| 1 P JAVA @ | 4 L NS % | 3 L JAVA % | 5 P PRO @ ")</f>
        <v xml:space="preserve">| 1 P JAVA @ | 4 L NS % | 3 L JAVA % | 5 P PRO @ </v>
      </c>
      <c r="AL519" s="4" t="str">
        <f ca="1">IFERROR(__xludf.DUMMYFUNCTION("""COMPUTED_VALUE"""),"| 1 P JAVA % | 3 L PHP-CGM % | 4 L NS % | 5 P CPT @ ")</f>
        <v xml:space="preserve">| 1 P JAVA % | 3 L PHP-CGM % | 4 L NS % | 5 P CPT @ </v>
      </c>
      <c r="AM519" s="4" t="str">
        <f ca="1">IFERROR(__xludf.DUMMYFUNCTION("""COMPUTED_VALUE"""),"| 1 P NS @ | 3 L CPT @ | 4 L PHP-CGM @ | 5 P Python @ ")</f>
        <v xml:space="preserve">| 1 P NS @ | 3 L CPT @ | 4 L PHP-CGM @ | 5 P Python @ </v>
      </c>
      <c r="AN519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O519" s="4" t="str">
        <f ca="1">IFERROR(__xludf.DUMMYFUNCTION("""COMPUTED_VALUE"""),"| 1 P Python @ | 3 L CPT @ | 4 L JAVA @ | 5 L INE @ ")</f>
        <v xml:space="preserve">| 1 P Python @ | 3 L CPT @ | 4 L JAVA @ | 5 L INE @ </v>
      </c>
      <c r="AP519" s="4" t="str">
        <f ca="1">IFERROR(__xludf.DUMMYFUNCTION("""COMPUTED_VALUE"""),"| 1 P JAVA % | 3 L JAVA % | 4 L NS % | 5 P PRO % ")</f>
        <v xml:space="preserve">| 1 P JAVA % | 3 L JAVA % | 4 L NS % | 5 P PRO % </v>
      </c>
      <c r="AQ519" s="4" t="str">
        <f ca="1">IFERROR(__xludf.DUMMYFUNCTION("""COMPUTED_VALUE"""),"| 1 P JAVA % | 3 L PHP-CGM % | 4 L NS % | 5 P CPT @ ")</f>
        <v xml:space="preserve">| 1 P JAVA % | 3 L PHP-CGM % | 4 L NS % | 5 P CPT @ </v>
      </c>
      <c r="AR519" s="4" t="str">
        <f ca="1">IFERROR(__xludf.DUMMYFUNCTION("""COMPUTED_VALUE"""),"| 1 P NS % | 3 L CPT % | 5 P Python % ")</f>
        <v xml:space="preserve">| 1 P NS % | 3 L CPT % | 5 P Python % </v>
      </c>
      <c r="AS519" s="4" t="str">
        <f ca="1">IFERROR(__xludf.DUMMYFUNCTION("""COMPUTED_VALUE"""),"| 1 P Python % | 3 L CPT % | 4 L JAVA % | 5 L INE @ ")</f>
        <v xml:space="preserve">| 1 P Python % | 3 L CPT % | 4 L JAVA % | 5 L INE @ </v>
      </c>
      <c r="AT519" s="4" t="str">
        <f ca="1">IFERROR(__xludf.DUMMYFUNCTION("""COMPUTED_VALUE"""),"| 1 P JAVA % | 3 L JAVA % | 4 L NS % | 5 P PRO % ")</f>
        <v xml:space="preserve">| 1 P JAVA % | 3 L JAVA % | 4 L NS % | 5 P PRO % </v>
      </c>
      <c r="AU519" s="4" t="str">
        <f ca="1">IFERROR(__xludf.DUMMYFUNCTION("""COMPUTED_VALUE"""),"| 1 P JAVA % | 3 L PHP-CGM % | 4 L NS % | 5 P CPT @ ")</f>
        <v xml:space="preserve">| 1 P JAVA % | 3 L PHP-CGM % | 4 L NS % | 5 P CPT @ </v>
      </c>
      <c r="AV519" s="4" t="str">
        <f ca="1">IFERROR(__xludf.DUMMYFUNCTION("""COMPUTED_VALUE"""),"| 1 P NS % | 3 L CPT % | 4 L PHP-CGM % | 5 P Python % ")</f>
        <v xml:space="preserve">| 1 P NS % | 3 L CPT % | 4 L PHP-CGM % | 5 P Python % </v>
      </c>
      <c r="AW519" s="4" t="str">
        <f ca="1">IFERROR(__xludf.DUMMYFUNCTION("""COMPUTED_VALUE"""),"| 3 L PHP-CGM % | 4 L JAVA % | 5 L NS % | 5 L CPT % ")</f>
        <v xml:space="preserve">| 3 L PHP-CGM % | 4 L JAVA % | 5 L NS % | 5 L CPT % </v>
      </c>
      <c r="AX519" s="4" t="str">
        <f ca="1">IFERROR(__xludf.DUMMYFUNCTION("""COMPUTED_VALUE"""),"| 1 P Python % | 3 L CPT % | 4 L JAVA % | 5 L INE @ ")</f>
        <v xml:space="preserve">| 1 P Python % | 3 L CPT % | 4 L JAVA % | 5 L INE @ </v>
      </c>
      <c r="AY519" s="4" t="str">
        <f ca="1">IFERROR(__xludf.DUMMYFUNCTION("""COMPUTED_VALUE"""),"| 1 P JAVA @ | 3 L JAVA @ | 4 L NS @ | 5 P PRO @ ")</f>
        <v xml:space="preserve">| 1 P JAVA @ | 3 L JAVA @ | 4 L NS @ | 5 P PRO @ </v>
      </c>
      <c r="AZ519" s="4" t="str">
        <f ca="1">IFERROR(__xludf.DUMMYFUNCTION("""COMPUTED_VALUE"""),"| 1 P NS % | 3 L CPT @ | 4 L PHP-CGM @ | 5 P Python @ ")</f>
        <v xml:space="preserve">| 1 P NS % | 3 L CPT @ | 4 L PHP-CGM @ | 5 P Python @ </v>
      </c>
      <c r="BA519" s="4" t="str">
        <f ca="1">IFERROR(__xludf.DUMMYFUNCTION("""COMPUTED_VALUE"""),"| 1 P PHP-CGM @ | 3 L PHP-CGM % | 4 L JAVA % | 5 L NS % | 6 L CPT @ ")</f>
        <v xml:space="preserve">| 1 P PHP-CGM @ | 3 L PHP-CGM % | 4 L JAVA % | 5 L NS % | 6 L CPT @ </v>
      </c>
      <c r="BB519" s="4" t="str">
        <f ca="1">IFERROR(__xludf.DUMMYFUNCTION("""COMPUTED_VALUE"""),"| 1 P Python @ | 3 L CPT % | 4 L JAVA % | 5 L INE % ")</f>
        <v xml:space="preserve">| 1 P Python @ | 3 L CPT % | 4 L JAVA % | 5 L INE % </v>
      </c>
      <c r="BC519" s="4" t="str">
        <f ca="1">IFERROR(__xludf.DUMMYFUNCTION("""COMPUTED_VALUE"""),"| 1 P JAVA % | 3 L JAVA % | 4 L NS % | 5 P PRO % ")</f>
        <v xml:space="preserve">| 1 P JAVA % | 3 L JAVA % | 4 L NS % | 5 P PRO % </v>
      </c>
      <c r="BD519" s="4" t="str">
        <f ca="1">IFERROR(__xludf.DUMMYFUNCTION("""COMPUTED_VALUE"""),"| 1 P JAVA % | 4 L NS %  | 3 L PHP-CGM % | 5 P CPT % ")</f>
        <v xml:space="preserve">| 1 P JAVA % | 4 L NS %  | 3 L PHP-CGM % | 5 P CPT % </v>
      </c>
      <c r="BE519" s="4" t="str">
        <f ca="1">IFERROR(__xludf.DUMMYFUNCTION("""COMPUTED_VALUE"""),"| 1 P NS % | 3 L CPT % | 4 L PHP-CGM % | 5 P Python @ ")</f>
        <v xml:space="preserve">| 1 P NS % | 3 L CPT % | 4 L PHP-CGM % | 5 P Python @ </v>
      </c>
      <c r="BF519" s="4" t="str">
        <f ca="1">IFERROR(__xludf.DUMMYFUNCTION("""COMPUTED_VALUE"""),"| 1 P PHP-CGM % | 3 L PHP-CGM % | 4 L JAVA % | 5 L NS % | 6 L CPT % ")</f>
        <v xml:space="preserve">| 1 P PHP-CGM % | 3 L PHP-CGM % | 4 L JAVA % | 5 L NS % | 6 L CPT % </v>
      </c>
      <c r="BG519" s="4" t="str">
        <f ca="1">IFERROR(__xludf.DUMMYFUNCTION("""COMPUTED_VALUE"""),"| 1 P JAVA % | 3 L JAVA % | 4 L NS % | 5 P PRO % ")</f>
        <v xml:space="preserve">| 1 P JAVA % | 3 L JAVA % | 4 L NS % | 5 P PRO % </v>
      </c>
      <c r="BH519" s="4" t="str">
        <f ca="1">IFERROR(__xludf.DUMMYFUNCTION("""COMPUTED_VALUE"""),"| 1 P JAVA % | 3 L PHP-CGM @ | 4 L NS % | 5 P CPT % ")</f>
        <v xml:space="preserve">| 1 P JAVA % | 3 L PHP-CGM @ | 4 L NS % | 5 P CPT % </v>
      </c>
      <c r="BI519" s="4" t="str">
        <f ca="1">IFERROR(__xludf.DUMMYFUNCTION("""COMPUTED_VALUE"""),"| 1 P NS @ | 3 L CPT % | 4 L PHP-CGM @ | 5 P Python @ ")</f>
        <v xml:space="preserve">| 1 P NS @ | 3 L CPT % | 4 L PHP-CGM @ | 5 P Python @ </v>
      </c>
      <c r="BJ519" s="4" t="str">
        <f ca="1">IFERROR(__xludf.DUMMYFUNCTION("""COMPUTED_VALUE"""),"| 1 P PHP-CGM @ | 3 L PHP-CGM @ | 4 L JAVA @ | 5 L NS @ | 6 L CPT @ ")</f>
        <v xml:space="preserve">| 1 P PHP-CGM @ | 3 L PHP-CGM @ | 4 L JAVA @ | 5 L NS @ | 6 L CPT @ </v>
      </c>
      <c r="BK519" s="4" t="str">
        <f ca="1">IFERROR(__xludf.DUMMYFUNCTION("""COMPUTED_VALUE"""),"| 1 P Python % | 3 L CPT % | 4 L JAVA % | 5 L INE @ ")</f>
        <v xml:space="preserve">| 1 P Python % | 3 L CPT % | 4 L JAVA % | 5 L INE @ </v>
      </c>
      <c r="BL519" s="4" t="str">
        <f ca="1">IFERROR(__xludf.DUMMYFUNCTION("""COMPUTED_VALUE"""),"| 1 P JAVA % | 3 L JAVA @ | 4 L NS @ ")</f>
        <v xml:space="preserve">| 1 P JAVA % | 3 L JAVA @ | 4 L NS @ </v>
      </c>
      <c r="BM519" s="4" t="str">
        <f ca="1">IFERROR(__xludf.DUMMYFUNCTION("""COMPUTED_VALUE"""),"| 1 P JAVA @ | 3 L PHP-CGM % | 4 L NS % | 5 P CPT @ ")</f>
        <v xml:space="preserve">| 1 P JAVA @ | 3 L PHP-CGM % | 4 L NS % | 5 P CPT @ </v>
      </c>
      <c r="BN519" s="4" t="str">
        <f ca="1">IFERROR(__xludf.DUMMYFUNCTION("""COMPUTED_VALUE"""),"| 1 P NS % | 3 L CPT @ | 4 L PHP-CGM @ ")</f>
        <v xml:space="preserve">| 1 P NS % | 3 L CPT @ | 4 L PHP-CGM @ </v>
      </c>
      <c r="BO519" s="4" t="str">
        <f ca="1">IFERROR(__xludf.DUMMYFUNCTION("""COMPUTED_VALUE"""),"| 1 P PHP-CGM @ | 3 L PHP-CGM @ | 4 L JAVA @ | 5 L NS @ | 6 L CPT % ")</f>
        <v xml:space="preserve">| 1 P PHP-CGM @ | 3 L PHP-CGM @ | 4 L JAVA @ | 5 L NS @ | 6 L CPT % </v>
      </c>
      <c r="BP519" s="4" t="str">
        <f ca="1">IFERROR(__xludf.DUMMYFUNCTION("""COMPUTED_VALUE"""),"| 1 P Python % | 3 L CPT % | 4 L JAVA % | 5 L INE @ ")</f>
        <v xml:space="preserve">| 1 P Python % | 3 L CPT % | 4 L JAVA % | 5 L INE @ </v>
      </c>
      <c r="BQ519" s="4" t="str">
        <f ca="1">IFERROR(__xludf.DUMMYFUNCTION("""COMPUTED_VALUE"""),"| 4 L NS @ | 1 P JAVA % ")</f>
        <v xml:space="preserve">| 4 L NS @ | 1 P JAVA % </v>
      </c>
      <c r="BR519" s="4"/>
      <c r="BS519" s="4"/>
      <c r="BT519" s="4" t="str">
        <f ca="1">IFERROR(__xludf.DUMMYFUNCTION("""COMPUTED_VALUE"""),"| 1 P Python % | 3 L CPT % | 4 L JAVA % ")</f>
        <v xml:space="preserve">| 1 P Python % | 3 L CPT % | 4 L JAVA % </v>
      </c>
      <c r="BU519" s="4" t="str">
        <f ca="1">IFERROR(__xludf.DUMMYFUNCTION("""COMPUTED_VALUE"""),"| 1 P JAVA % | 4 L NS @ | 3 L JAVA @ ")</f>
        <v xml:space="preserve">| 1 P JAVA % | 4 L NS @ | 3 L JAVA @ </v>
      </c>
      <c r="BV519" s="4" t="str">
        <f ca="1">IFERROR(__xludf.DUMMYFUNCTION("""COMPUTED_VALUE"""),"| 1 P Python % | 3 L CPT % | 4 L JAVA % ")</f>
        <v xml:space="preserve">| 1 P Python % | 3 L CPT % | 4 L JAVA % </v>
      </c>
      <c r="BW519" s="4" t="str">
        <f ca="1">IFERROR(__xludf.DUMMYFUNCTION("""COMPUTED_VALUE"""),"| 1 P JAVA % | 3 L JAVA % | 4 L NS % ")</f>
        <v xml:space="preserve">| 1 P JAVA % | 3 L JAVA % | 4 L NS % </v>
      </c>
      <c r="BX519" s="4" t="str">
        <f ca="1">IFERROR(__xludf.DUMMYFUNCTION("""COMPUTED_VALUE"""),"| 1 P JAVA % | 3 L PHP-CGM % | 4 L NS % | 5 P CPT % ")</f>
        <v xml:space="preserve">| 1 P JAVA % | 3 L PHP-CGM % | 4 L NS % | 5 P CPT % </v>
      </c>
      <c r="BY519" s="4" t="str">
        <f ca="1">IFERROR(__xludf.DUMMYFUNCTION("""COMPUTED_VALUE"""),"| 1 P NS @ | 3 L CPT @ | 4 L PHP-CGM @ | 5 P Python @ ")</f>
        <v xml:space="preserve">| 1 P NS @ | 3 L CPT @ | 4 L PHP-CGM @ | 5 P Python @ </v>
      </c>
      <c r="BZ519" s="4" t="str">
        <f ca="1">IFERROR(__xludf.DUMMYFUNCTION("""COMPUTED_VALUE"""),"| 1 P PHP-CGM % | 3 L PHP-CGM % | 4 L JAVA % | 5 L NS @ | 6 L CPT @ ")</f>
        <v xml:space="preserve">| 1 P PHP-CGM % | 3 L PHP-CGM % | 4 L JAVA % | 5 L NS @ | 6 L CPT @ </v>
      </c>
      <c r="CA519" s="4" t="str">
        <f ca="1">IFERROR(__xludf.DUMMYFUNCTION("""COMPUTED_VALUE"""),"| 1 P Python @ | 3 L CPT % | 4 L JAVA % | 5 L INE % ")</f>
        <v xml:space="preserve">| 1 P Python @ | 3 L CPT % | 4 L JAVA % | 5 L INE % </v>
      </c>
      <c r="CB519" s="4" t="str">
        <f ca="1">IFERROR(__xludf.DUMMYFUNCTION("""COMPUTED_VALUE"""),"| 1 P JAVA % | 3 L JAVA % | 4 L NS % | 5 P PRO @ ")</f>
        <v xml:space="preserve">| 1 P JAVA % | 3 L JAVA % | 4 L NS % | 5 P PRO @ </v>
      </c>
      <c r="CC519" s="4" t="str">
        <f ca="1">IFERROR(__xludf.DUMMYFUNCTION("""COMPUTED_VALUE"""),"| 1 P JAVA % | 3 L PHP-CGM @ | 4 L NS @ | 5 P CPT @ ")</f>
        <v xml:space="preserve">| 1 P JAVA % | 3 L PHP-CGM @ | 4 L NS @ | 5 P CPT @ </v>
      </c>
      <c r="CD519" s="4" t="str">
        <f ca="1">IFERROR(__xludf.DUMMYFUNCTION("""COMPUTED_VALUE"""),"| 1 P NS % | 3 L CPT % | 4 L PHP-CGM % | 5 P Python % ")</f>
        <v xml:space="preserve">| 1 P NS % | 3 L CPT % | 4 L PHP-CGM % | 5 P Python % </v>
      </c>
      <c r="CE519" s="4" t="str">
        <f ca="1">IFERROR(__xludf.DUMMYFUNCTION("""COMPUTED_VALUE"""),"| 1 P PHP-CGM % | 3 L PHP-CGM @ | 4 L JAVA @ | 5 L NS % | 6 L CPT % ")</f>
        <v xml:space="preserve">| 1 P PHP-CGM % | 3 L PHP-CGM @ | 4 L JAVA @ | 5 L NS % | 6 L CPT % </v>
      </c>
      <c r="CF519" s="4" t="str">
        <f ca="1">IFERROR(__xludf.DUMMYFUNCTION("""COMPUTED_VALUE"""),"| 1 P Python % | 3 L CPT @ | 4 L JAVA @ | 5 L INE @ ")</f>
        <v xml:space="preserve">| 1 P Python % | 3 L CPT @ | 4 L JAVA @ | 5 L INE @ </v>
      </c>
      <c r="CG519" s="4" t="str">
        <f ca="1">IFERROR(__xludf.DUMMYFUNCTION("""COMPUTED_VALUE"""),"| 1 P JAVA % | 4 L NS % ")</f>
        <v xml:space="preserve">| 1 P JAVA % | 4 L NS % </v>
      </c>
      <c r="CH519" s="4" t="str">
        <f ca="1">IFERROR(__xludf.DUMMYFUNCTION("""COMPUTED_VALUE"""),"| 1 P JAVA @ | 3 L PHP-CGM @ | 4 L NS @ ")</f>
        <v xml:space="preserve">| 1 P JAVA @ | 3 L PHP-CGM @ | 4 L NS @ </v>
      </c>
      <c r="CI519" s="4" t="str">
        <f ca="1">IFERROR(__xludf.DUMMYFUNCTION("""COMPUTED_VALUE"""),"| 1 P NS % ")</f>
        <v xml:space="preserve">| 1 P NS % </v>
      </c>
      <c r="CJ519" s="4" t="str">
        <f ca="1">IFERROR(__xludf.DUMMYFUNCTION("""COMPUTED_VALUE"""),"| 1 P PHP-CGM @ | 4 L JAVA % ")</f>
        <v xml:space="preserve">| 1 P PHP-CGM @ | 4 L JAVA % </v>
      </c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</row>
    <row r="520" spans="1:102" ht="12.5" x14ac:dyDescent="0.25">
      <c r="A520" s="3">
        <f ca="1">IFERROR(__xludf.DUMMYFUNCTION("""COMPUTED_VALUE"""),3)</f>
        <v>3</v>
      </c>
      <c r="B520" s="3" t="str">
        <f ca="1">IFERROR(__xludf.DUMMYFUNCTION("""COMPUTED_VALUE"""),"ITC")</f>
        <v>ITC</v>
      </c>
      <c r="C520" s="32" t="str">
        <f ca="1">IFERROR(__xludf.DUMMYFUNCTION("""COMPUTED_VALUE"""),"23171371116")</f>
        <v>23171371116</v>
      </c>
      <c r="D520" s="4" t="str">
        <f ca="1">IFERROR(__xludf.DUMMYFUNCTION("""COMPUTED_VALUE"""),"PATEL TIRTH BALDEVBHAI")</f>
        <v>PATEL TIRTH BALDEVBHAI</v>
      </c>
      <c r="E520" s="3" t="str">
        <f ca="1">IFERROR(__xludf.DUMMYFUNCTION("""COMPUTED_VALUE"""),"SDP&amp;KKP - Mor")</f>
        <v>SDP&amp;KKP - Mor</v>
      </c>
      <c r="F520" s="3">
        <f ca="1">IFERROR(__xludf.DUMMYFUNCTION("""COMPUTED_VALUE"""),9723304573)</f>
        <v>9723304573</v>
      </c>
      <c r="G520" s="3">
        <f ca="1">IFERROR(__xludf.DUMMYFUNCTION("""COMPUTED_VALUE"""),9825804573)</f>
        <v>9825804573</v>
      </c>
      <c r="H520" s="33">
        <f ca="1">IFERROR(__xludf.DUMMYFUNCTION("""COMPUTED_VALUE"""),0.436734693877551)</f>
        <v>0.43673469387755098</v>
      </c>
      <c r="I520" s="25">
        <f ca="1">IFERROR(__xludf.DUMMYFUNCTION("""COMPUTED_VALUE"""),0.583333333333333)</f>
        <v>0.58333333333333304</v>
      </c>
      <c r="J520" s="25">
        <f ca="1">IFERROR(__xludf.DUMMYFUNCTION("""COMPUTED_VALUE"""),0.333333333333333)</f>
        <v>0.33333333333333298</v>
      </c>
      <c r="K520" s="25">
        <f ca="1">IFERROR(__xludf.DUMMYFUNCTION("""COMPUTED_VALUE"""),0.527777777777777)</f>
        <v>0.52777777777777701</v>
      </c>
      <c r="L520" s="25">
        <f ca="1">IFERROR(__xludf.DUMMYFUNCTION("""COMPUTED_VALUE"""),0.461538461538461)</f>
        <v>0.46153846153846101</v>
      </c>
      <c r="M520" s="25">
        <f ca="1">IFERROR(__xludf.DUMMYFUNCTION("""COMPUTED_VALUE"""),0.59375)</f>
        <v>0.59375</v>
      </c>
      <c r="N520" s="25">
        <f ca="1">IFERROR(__xludf.DUMMYFUNCTION("""COMPUTED_VALUE"""),0.23076923076923)</f>
        <v>0.23076923076923</v>
      </c>
      <c r="O520" s="25">
        <f ca="1">IFERROR(__xludf.DUMMYFUNCTION("""COMPUTED_VALUE"""),0.459459459459459)</f>
        <v>0.45945945945945899</v>
      </c>
      <c r="P520" s="25">
        <f ca="1">IFERROR(__xludf.DUMMYFUNCTION("""COMPUTED_VALUE"""),0.32)</f>
        <v>0.32</v>
      </c>
      <c r="Q520" s="25">
        <f ca="1">IFERROR(__xludf.DUMMYFUNCTION("""COMPUTED_VALUE"""),0)</f>
        <v>0</v>
      </c>
      <c r="R520" s="25">
        <f ca="1">IFERROR(__xludf.DUMMYFUNCTION("""COMPUTED_VALUE"""),0.17391304347826)</f>
        <v>0.17391304347826</v>
      </c>
      <c r="S520" s="25">
        <f ca="1">IFERROR(__xludf.DUMMYFUNCTION("""COMPUTED_VALUE"""),0)</f>
        <v>0</v>
      </c>
      <c r="T520" s="25">
        <f ca="1">IFERROR(__xludf.DUMMYFUNCTION("""COMPUTED_VALUE"""),0.5)</f>
        <v>0.5</v>
      </c>
      <c r="U520" s="25">
        <f ca="1">IFERROR(__xludf.DUMMYFUNCTION("""COMPUTED_VALUE"""),0.125)</f>
        <v>0.125</v>
      </c>
      <c r="V520" s="25">
        <f ca="1">IFERROR(__xludf.DUMMYFUNCTION("""COMPUTED_VALUE"""),0)</f>
        <v>0</v>
      </c>
      <c r="W520" s="4"/>
      <c r="X520" s="4" t="str">
        <f ca="1">IFERROR(__xludf.DUMMYFUNCTION("""COMPUTED_VALUE"""),"| 1 P Python @ | 3 L CPT @ | 4 L JAVA @ ")</f>
        <v xml:space="preserve">| 1 P Python @ | 3 L CPT @ | 4 L JAVA @ </v>
      </c>
      <c r="Y520" s="4" t="str">
        <f ca="1">IFERROR(__xludf.DUMMYFUNCTION("""COMPUTED_VALUE"""),"| 1 P JAVA % | 3 L JAVA % | 4 L NS % | 5 P PRO @ ")</f>
        <v xml:space="preserve">| 1 P JAVA % | 3 L JAVA % | 4 L NS % | 5 P PRO @ </v>
      </c>
      <c r="Z520" s="4" t="str">
        <f ca="1">IFERROR(__xludf.DUMMYFUNCTION("""COMPUTED_VALUE"""),"| 1 P JAVA % | 3 L PHP-CGM % | 4 L NS @ | 5 P CPT @ ")</f>
        <v xml:space="preserve">| 1 P JAVA % | 3 L PHP-CGM % | 4 L NS @ | 5 P CPT @ </v>
      </c>
      <c r="AA520" s="4" t="str">
        <f ca="1">IFERROR(__xludf.DUMMYFUNCTION("""COMPUTED_VALUE"""),"| 1 P NS % | 3 L CPT % | 5 P Python @ ")</f>
        <v xml:space="preserve">| 1 P NS % | 3 L CPT % | 5 P Python @ </v>
      </c>
      <c r="AB520" s="4" t="str">
        <f ca="1">IFERROR(__xludf.DUMMYFUNCTION("""COMPUTED_VALUE"""),"| 1 P PHP-CGM @ | 3 L PHP-CGM @ | 4 L JAVA @ | 5 L CPT % | 6 L NS % ")</f>
        <v xml:space="preserve">| 1 P PHP-CGM @ | 3 L PHP-CGM @ | 4 L JAVA @ | 5 L CPT % | 6 L NS % </v>
      </c>
      <c r="AC520" s="4" t="str">
        <f ca="1">IFERROR(__xludf.DUMMYFUNCTION("""COMPUTED_VALUE"""),"| 1 P JAVA % | 3 L CPT % | 4 L JAVA % ")</f>
        <v xml:space="preserve">| 1 P JAVA % | 3 L CPT % | 4 L JAVA % </v>
      </c>
      <c r="AD520" s="4" t="str">
        <f ca="1">IFERROR(__xludf.DUMMYFUNCTION("""COMPUTED_VALUE"""),"| 1 P PHP-CGM % | 3 L JAVA % | 4 L NS % | 5 P PRO % ")</f>
        <v xml:space="preserve">| 1 P PHP-CGM % | 3 L JAVA % | 4 L NS % | 5 P PRO % </v>
      </c>
      <c r="AE520" s="4" t="str">
        <f ca="1">IFERROR(__xludf.DUMMYFUNCTION("""COMPUTED_VALUE"""),"| 1 P Python % | 3 L PHP-CGM % | 4 L NS % | 5 P JAVA @ ")</f>
        <v xml:space="preserve">| 1 P Python % | 3 L PHP-CGM % | 4 L NS % | 5 P JAVA @ </v>
      </c>
      <c r="AF520" s="4" t="str">
        <f ca="1">IFERROR(__xludf.DUMMYFUNCTION("""COMPUTED_VALUE"""),"| 1 P Python % | 3 L CPT % | 4 L PHP-CGM % | 5 P NS % ")</f>
        <v xml:space="preserve">| 1 P Python % | 3 L CPT % | 4 L PHP-CGM % | 5 P NS % </v>
      </c>
      <c r="AG520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20" s="4" t="str">
        <f ca="1">IFERROR(__xludf.DUMMYFUNCTION("""COMPUTED_VALUE"""),"| 1 P Python @ | 3 L CPT % | 4 L PHP-CGM % | 5 P NS @ ")</f>
        <v xml:space="preserve">| 1 P Python @ | 3 L CPT % | 4 L PHP-CGM % | 5 P NS @ </v>
      </c>
      <c r="AI520" s="4" t="str">
        <f ca="1">IFERROR(__xludf.DUMMYFUNCTION("""COMPUTED_VALUE"""),"| 1 P CPT @ | 3 L PHP-CGM @ | 4 L JAVA @ | 5 L CPT % | 6 L NS % ")</f>
        <v xml:space="preserve">| 1 P CPT @ | 3 L PHP-CGM @ | 4 L JAVA @ | 5 L CPT % | 6 L NS % </v>
      </c>
      <c r="AJ520" s="4" t="str">
        <f ca="1">IFERROR(__xludf.DUMMYFUNCTION("""COMPUTED_VALUE"""),"| 1 P JAVA @ | 3 L CPT % | 4 L JAVA % ")</f>
        <v xml:space="preserve">| 1 P JAVA @ | 3 L CPT % | 4 L JAVA % </v>
      </c>
      <c r="AK520" s="4" t="str">
        <f ca="1">IFERROR(__xludf.DUMMYFUNCTION("""COMPUTED_VALUE"""),"| 1 P PHP-CGM % | 4 L NS % | 3 L JAVA % | 5 P PRO @ ")</f>
        <v xml:space="preserve">| 1 P PHP-CGM % | 4 L NS % | 3 L JAVA % | 5 P PRO @ </v>
      </c>
      <c r="AL520" s="4" t="str">
        <f ca="1">IFERROR(__xludf.DUMMYFUNCTION("""COMPUTED_VALUE"""),"| 1 P Python @ | 3 L PHP-CGM % | 4 L NS % | 5 P JAVA @ ")</f>
        <v xml:space="preserve">| 1 P Python @ | 3 L PHP-CGM % | 4 L NS % | 5 P JAVA @ </v>
      </c>
      <c r="AM520" s="4" t="str">
        <f ca="1">IFERROR(__xludf.DUMMYFUNCTION("""COMPUTED_VALUE"""),"| 1 P Python @ | 3 L CPT % | 4 L PHP-CGM % | 5 P NS @ ")</f>
        <v xml:space="preserve">| 1 P Python @ | 3 L CPT % | 4 L PHP-CGM % | 5 P NS @ </v>
      </c>
      <c r="AN520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20" s="4" t="str">
        <f ca="1">IFERROR(__xludf.DUMMYFUNCTION("""COMPUTED_VALUE"""),"| 1 P JAVA % | 3 L CPT % | 4 L JAVA % | 5 L INE @ ")</f>
        <v xml:space="preserve">| 1 P JAVA % | 3 L CPT % | 4 L JAVA % | 5 L INE @ </v>
      </c>
      <c r="AP520" s="4" t="str">
        <f ca="1">IFERROR(__xludf.DUMMYFUNCTION("""COMPUTED_VALUE"""),"| 1 P PHP-CGM @ | 3 L JAVA @ | 4 L NS @ | 5 P PRO % ")</f>
        <v xml:space="preserve">| 1 P PHP-CGM @ | 3 L JAVA @ | 4 L NS @ | 5 P PRO % </v>
      </c>
      <c r="AQ520" s="4" t="str">
        <f ca="1">IFERROR(__xludf.DUMMYFUNCTION("""COMPUTED_VALUE"""),"| 1 P Python % | 3 L PHP-CGM % | 4 L NS % | 5 P JAVA % ")</f>
        <v xml:space="preserve">| 1 P Python % | 3 L PHP-CGM % | 4 L NS % | 5 P JAVA % </v>
      </c>
      <c r="AR520" s="4" t="str">
        <f ca="1">IFERROR(__xludf.DUMMYFUNCTION("""COMPUTED_VALUE"""),"| 1 P Python @ | 3 L CPT % | 5 P NS @ ")</f>
        <v xml:space="preserve">| 1 P Python @ | 3 L CPT % | 5 P NS @ </v>
      </c>
      <c r="AS520" s="4" t="str">
        <f ca="1">IFERROR(__xludf.DUMMYFUNCTION("""COMPUTED_VALUE"""),"| 1 P JAVA @ | 3 L CPT % | 4 L JAVA % | 5 L INE @ ")</f>
        <v xml:space="preserve">| 1 P JAVA @ | 3 L CPT % | 4 L JAVA % | 5 L INE @ </v>
      </c>
      <c r="AT520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20" s="4" t="str">
        <f ca="1">IFERROR(__xludf.DUMMYFUNCTION("""COMPUTED_VALUE"""),"| 1 P Python @ | 3 L PHP-CGM % | 4 L NS % | 5 P JAVA @ ")</f>
        <v xml:space="preserve">| 1 P Python @ | 3 L PHP-CGM % | 4 L NS % | 5 P JAVA @ </v>
      </c>
      <c r="AV520" s="4" t="str">
        <f ca="1">IFERROR(__xludf.DUMMYFUNCTION("""COMPUTED_VALUE"""),"| 1 P Python @ | 3 L CPT % | 4 L PHP-CGM % | 5 P NS % ")</f>
        <v xml:space="preserve">| 1 P Python @ | 3 L CPT % | 4 L PHP-CGM % | 5 P NS % </v>
      </c>
      <c r="AW520" s="4" t="str">
        <f ca="1">IFERROR(__xludf.DUMMYFUNCTION("""COMPUTED_VALUE"""),"| 1 P CPT @ | 3 L PHP-CGM @ | 4 L JAVA @ | 5 L NS @ | 5 L CPT @ ")</f>
        <v xml:space="preserve">| 1 P CPT @ | 3 L PHP-CGM @ | 4 L JAVA @ | 5 L NS @ | 5 L CPT @ </v>
      </c>
      <c r="AX520" s="4" t="str">
        <f ca="1">IFERROR(__xludf.DUMMYFUNCTION("""COMPUTED_VALUE"""),"| 1 P JAVA % | 3 L CPT % | 4 L JAVA % | 5 L INE @ ")</f>
        <v xml:space="preserve">| 1 P JAVA % | 3 L CPT % | 4 L JAVA % | 5 L INE @ </v>
      </c>
      <c r="AY520" s="4" t="str">
        <f ca="1">IFERROR(__xludf.DUMMYFUNCTION("""COMPUTED_VALUE"""),"| 1 P PHP-CGM @ | 3 L JAVA @ | 4 L NS @ | 5 P PRO @ ")</f>
        <v xml:space="preserve">| 1 P PHP-CGM @ | 3 L JAVA @ | 4 L NS @ | 5 P PRO @ </v>
      </c>
      <c r="AZ520" s="4" t="str">
        <f ca="1">IFERROR(__xludf.DUMMYFUNCTION("""COMPUTED_VALUE"""),"| 1 P Python @ | 3 L CPT % | 4 L PHP-CGM % | 5 P NS % ")</f>
        <v xml:space="preserve">| 1 P Python @ | 3 L CPT % | 4 L PHP-CGM % | 5 P NS % </v>
      </c>
      <c r="BA520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BB520" s="4" t="str">
        <f ca="1">IFERROR(__xludf.DUMMYFUNCTION("""COMPUTED_VALUE"""),"| 1 P JAVA % | 3 L CPT % | 4 L JAVA % | 5 L INE % ")</f>
        <v xml:space="preserve">| 1 P JAVA % | 3 L CPT % | 4 L JAVA % | 5 L INE % </v>
      </c>
      <c r="BC520" s="4" t="str">
        <f ca="1">IFERROR(__xludf.DUMMYFUNCTION("""COMPUTED_VALUE"""),"| 1 P PHP-CGM @ | 3 L JAVA % | 4 L NS % | 5 P PRO % ")</f>
        <v xml:space="preserve">| 1 P PHP-CGM @ | 3 L JAVA % | 4 L NS % | 5 P PRO % </v>
      </c>
      <c r="BD520" s="4" t="str">
        <f ca="1">IFERROR(__xludf.DUMMYFUNCTION("""COMPUTED_VALUE"""),"| 1 P Python % | 4 L NS %  | 3 L PHP-CGM % | 5 P JAVA @ ")</f>
        <v xml:space="preserve">| 1 P Python % | 4 L NS %  | 3 L PHP-CGM % | 5 P JAVA @ </v>
      </c>
      <c r="BE520" s="4" t="str">
        <f ca="1">IFERROR(__xludf.DUMMYFUNCTION("""COMPUTED_VALUE"""),"| 1 P Python @ | 3 L CPT % | 4 L PHP-CGM % | 5 P NS % ")</f>
        <v xml:space="preserve">| 1 P Python @ | 3 L CPT % | 4 L PHP-CGM % | 5 P NS % </v>
      </c>
      <c r="BF520" s="4" t="str">
        <f ca="1">IFERROR(__xludf.DUMMYFUNCTION("""COMPUTED_VALUE"""),"| 1 P CPT @ | 3 L PHP-CGM % | 4 L JAVA % | 5 L NS @ | 6 L CPT @ ")</f>
        <v xml:space="preserve">| 1 P CPT @ | 3 L PHP-CGM % | 4 L JAVA % | 5 L NS @ | 6 L CPT @ </v>
      </c>
      <c r="BG520" s="4" t="str">
        <f ca="1">IFERROR(__xludf.DUMMYFUNCTION("""COMPUTED_VALUE"""),"| 1 P PHP-CGM @ | 3 L JAVA @ | 4 L NS @ | 5 P PRO % ")</f>
        <v xml:space="preserve">| 1 P PHP-CGM @ | 3 L JAVA @ | 4 L NS @ | 5 P PRO % </v>
      </c>
      <c r="BH520" s="4" t="str">
        <f ca="1">IFERROR(__xludf.DUMMYFUNCTION("""COMPUTED_VALUE"""),"| 1 P Python @ | 3 L PHP-CGM % | 4 L NS % | 5 P JAVA @ ")</f>
        <v xml:space="preserve">| 1 P Python @ | 3 L PHP-CGM % | 4 L NS % | 5 P JAVA @ </v>
      </c>
      <c r="BI520" s="4" t="str">
        <f ca="1">IFERROR(__xludf.DUMMYFUNCTION("""COMPUTED_VALUE"""),"| 1 P Python @ | 3 L CPT % | 4 L PHP-CGM % | 5 P NS % ")</f>
        <v xml:space="preserve">| 1 P Python @ | 3 L CPT % | 4 L PHP-CGM % | 5 P NS % </v>
      </c>
      <c r="BJ520" s="4" t="str">
        <f ca="1">IFERROR(__xludf.DUMMYFUNCTION("""COMPUTED_VALUE"""),"| 1 P CPT % | 3 L PHP-CGM % | 4 L JAVA % | 5 L NS % | 6 L CPT @ ")</f>
        <v xml:space="preserve">| 1 P CPT % | 3 L PHP-CGM % | 4 L JAVA % | 5 L NS % | 6 L CPT @ </v>
      </c>
      <c r="BK520" s="4" t="str">
        <f ca="1">IFERROR(__xludf.DUMMYFUNCTION("""COMPUTED_VALUE"""),"| 1 P JAVA @ | 3 L CPT @ | 4 L JAVA @ | 5 L INE @ ")</f>
        <v xml:space="preserve">| 1 P JAVA @ | 3 L CPT @ | 4 L JAVA @ | 5 L INE @ </v>
      </c>
      <c r="BL520" s="4" t="str">
        <f ca="1">IFERROR(__xludf.DUMMYFUNCTION("""COMPUTED_VALUE"""),"| 1 P PHP-CGM @ | 3 L JAVA % | 4 L NS % | 5 P PRO @ ")</f>
        <v xml:space="preserve">| 1 P PHP-CGM @ | 3 L JAVA % | 4 L NS % | 5 P PRO @ </v>
      </c>
      <c r="BM520" s="4" t="str">
        <f ca="1">IFERROR(__xludf.DUMMYFUNCTION("""COMPUTED_VALUE"""),"| 1 P Python @ | 3 L PHP-CGM % | 4 L NS % | 5 P JAVA @ ")</f>
        <v xml:space="preserve">| 1 P Python @ | 3 L PHP-CGM % | 4 L NS % | 5 P JAVA @ </v>
      </c>
      <c r="BN520" s="4" t="str">
        <f ca="1">IFERROR(__xludf.DUMMYFUNCTION("""COMPUTED_VALUE"""),"| 1 P Python @ | 3 L CPT @ | 4 L PHP-CGM @ | 5 P NS @ ")</f>
        <v xml:space="preserve">| 1 P Python @ | 3 L CPT @ | 4 L PHP-CGM @ | 5 P NS @ </v>
      </c>
      <c r="BO520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20" s="4" t="str">
        <f ca="1">IFERROR(__xludf.DUMMYFUNCTION("""COMPUTED_VALUE"""),"| 1 P JAVA @ | 3 L CPT @ | 4 L JAVA @ | 5 L INE @ ")</f>
        <v xml:space="preserve">| 1 P JAVA @ | 3 L CPT @ | 4 L JAVA @ | 5 L INE @ </v>
      </c>
      <c r="BQ520" s="4" t="str">
        <f ca="1">IFERROR(__xludf.DUMMYFUNCTION("""COMPUTED_VALUE"""),"| 4 L NS @ | 5 P JAVA % ")</f>
        <v xml:space="preserve">| 4 L NS @ | 5 P JAVA % </v>
      </c>
      <c r="BR520" s="4"/>
      <c r="BS520" s="4"/>
      <c r="BT520" s="4" t="str">
        <f ca="1">IFERROR(__xludf.DUMMYFUNCTION("""COMPUTED_VALUE"""),"| 1 P JAVA @ | 3 L CPT @ | 4 L JAVA @ ")</f>
        <v xml:space="preserve">| 1 P JAVA @ | 3 L CPT @ | 4 L JAVA @ </v>
      </c>
      <c r="BU520" s="4" t="str">
        <f ca="1">IFERROR(__xludf.DUMMYFUNCTION("""COMPUTED_VALUE"""),"| 1 P PHP-CGM @ | 4 L NS @ | 3 L JAVA @ ")</f>
        <v xml:space="preserve">| 1 P PHP-CGM @ | 4 L NS @ | 3 L JAVA @ </v>
      </c>
      <c r="BV520" s="4" t="str">
        <f ca="1">IFERROR(__xludf.DUMMYFUNCTION("""COMPUTED_VALUE"""),"| 1 P JAVA @ | 3 L CPT @ | 4 L JAVA @ ")</f>
        <v xml:space="preserve">| 1 P JAVA @ | 3 L CPT @ | 4 L JAVA @ </v>
      </c>
      <c r="BW520" s="4" t="str">
        <f ca="1">IFERROR(__xludf.DUMMYFUNCTION("""COMPUTED_VALUE"""),"| 1 P PHP-CGM @ | 3 L JAVA @ | 4 L NS @ ")</f>
        <v xml:space="preserve">| 1 P PHP-CGM @ | 3 L JAVA @ | 4 L NS @ </v>
      </c>
      <c r="BX520" s="4" t="str">
        <f ca="1">IFERROR(__xludf.DUMMYFUNCTION("""COMPUTED_VALUE"""),"| 1 P Python @ | 3 L PHP-CGM @ | 4 L NS @ | 5 P JAVA @ ")</f>
        <v xml:space="preserve">| 1 P Python @ | 3 L PHP-CGM @ | 4 L NS @ | 5 P JAVA @ </v>
      </c>
      <c r="BY520" s="4" t="str">
        <f ca="1">IFERROR(__xludf.DUMMYFUNCTION("""COMPUTED_VALUE"""),"| 1 P Python @ | 3 L CPT @ | 4 L PHP-CGM @ | 5 P NS @ ")</f>
        <v xml:space="preserve">| 1 P Python @ | 3 L CPT @ | 4 L PHP-CGM @ | 5 P NS @ </v>
      </c>
      <c r="BZ52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20" s="4" t="str">
        <f ca="1">IFERROR(__xludf.DUMMYFUNCTION("""COMPUTED_VALUE"""),"| 1 P JAVA @ | 3 L CPT @ | 4 L JAVA @ | 5 L INE @ ")</f>
        <v xml:space="preserve">| 1 P JAVA @ | 3 L CPT @ | 4 L JAVA @ | 5 L INE @ </v>
      </c>
      <c r="CB520" s="4" t="str">
        <f ca="1">IFERROR(__xludf.DUMMYFUNCTION("""COMPUTED_VALUE"""),"| 1 P PHP-CGM @ | 3 L JAVA @ | 4 L NS @ | 5 P PRO @ ")</f>
        <v xml:space="preserve">| 1 P PHP-CGM @ | 3 L JAVA @ | 4 L NS @ | 5 P PRO @ </v>
      </c>
      <c r="CC520" s="4" t="str">
        <f ca="1">IFERROR(__xludf.DUMMYFUNCTION("""COMPUTED_VALUE"""),"| 1 P Python @ | 3 L PHP-CGM @ | 4 L NS @ | 5 P JAVA @ ")</f>
        <v xml:space="preserve">| 1 P Python @ | 3 L PHP-CGM @ | 4 L NS @ | 5 P JAVA @ </v>
      </c>
      <c r="CD520" s="4" t="str">
        <f ca="1">IFERROR(__xludf.DUMMYFUNCTION("""COMPUTED_VALUE"""),"| 1 P Python @ | 3 L CPT @ | 4 L PHP-CGM @ | 5 P NS @ ")</f>
        <v xml:space="preserve">| 1 P Python @ | 3 L CPT @ | 4 L PHP-CGM @ | 5 P NS @ </v>
      </c>
      <c r="CE52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20" s="4" t="str">
        <f ca="1">IFERROR(__xludf.DUMMYFUNCTION("""COMPUTED_VALUE"""),"| 1 P JAVA @ | 3 L CPT @ | 4 L JAVA @ | 5 L INE @ ")</f>
        <v xml:space="preserve">| 1 P JAVA @ | 3 L CPT @ | 4 L JAVA @ | 5 L INE @ </v>
      </c>
      <c r="CG520" s="4" t="str">
        <f ca="1">IFERROR(__xludf.DUMMYFUNCTION("""COMPUTED_VALUE"""),"| 1 P PHP-CGM @ | 4 L NS @ ")</f>
        <v xml:space="preserve">| 1 P PHP-CGM @ | 4 L NS @ </v>
      </c>
      <c r="CH520" s="4" t="str">
        <f ca="1">IFERROR(__xludf.DUMMYFUNCTION("""COMPUTED_VALUE"""),"| 3 L PHP-CGM @ | 4 L NS @ ")</f>
        <v xml:space="preserve">| 3 L PHP-CGM @ | 4 L NS @ </v>
      </c>
      <c r="CI520" s="4" t="str">
        <f ca="1">IFERROR(__xludf.DUMMYFUNCTION("""COMPUTED_VALUE"""),"| 1 P Python @ | 5 P NS @ ")</f>
        <v xml:space="preserve">| 1 P Python @ | 5 P NS @ </v>
      </c>
      <c r="CJ520" s="4" t="str">
        <f ca="1">IFERROR(__xludf.DUMMYFUNCTION("""COMPUTED_VALUE"""),"| 4 L JAVA % | 1 P CPT @ ")</f>
        <v xml:space="preserve">| 4 L JAVA % | 1 P CPT @ </v>
      </c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</row>
    <row r="521" spans="1:102" ht="12.5" x14ac:dyDescent="0.25">
      <c r="A521" s="3">
        <f ca="1">IFERROR(__xludf.DUMMYFUNCTION("""COMPUTED_VALUE"""),3)</f>
        <v>3</v>
      </c>
      <c r="B521" s="3" t="str">
        <f ca="1">IFERROR(__xludf.DUMMYFUNCTION("""COMPUTED_VALUE"""),"ITC")</f>
        <v>ITC</v>
      </c>
      <c r="C521" s="32" t="str">
        <f ca="1">IFERROR(__xludf.DUMMYFUNCTION("""COMPUTED_VALUE"""),"23171371118")</f>
        <v>23171371118</v>
      </c>
      <c r="D521" s="4" t="str">
        <f ca="1">IFERROR(__xludf.DUMMYFUNCTION("""COMPUTED_VALUE"""),"PATEL VAIDIKA BHARATBHAI")</f>
        <v>PATEL VAIDIKA BHARATBHAI</v>
      </c>
      <c r="E521" s="3" t="str">
        <f ca="1">IFERROR(__xludf.DUMMYFUNCTION("""COMPUTED_VALUE"""),"SDP&amp;KKP - Mor")</f>
        <v>SDP&amp;KKP - Mor</v>
      </c>
      <c r="F521" s="3">
        <f ca="1">IFERROR(__xludf.DUMMYFUNCTION("""COMPUTED_VALUE"""),9316407424)</f>
        <v>9316407424</v>
      </c>
      <c r="G521" s="3">
        <f ca="1">IFERROR(__xludf.DUMMYFUNCTION("""COMPUTED_VALUE"""),9925018824)</f>
        <v>9925018824</v>
      </c>
      <c r="H521" s="33">
        <f ca="1">IFERROR(__xludf.DUMMYFUNCTION("""COMPUTED_VALUE"""),0.742857142857142)</f>
        <v>0.74285714285714199</v>
      </c>
      <c r="I521" s="25">
        <f ca="1">IFERROR(__xludf.DUMMYFUNCTION("""COMPUTED_VALUE"""),0.777777777777777)</f>
        <v>0.77777777777777701</v>
      </c>
      <c r="J521" s="25">
        <f ca="1">IFERROR(__xludf.DUMMYFUNCTION("""COMPUTED_VALUE"""),0.666666666666666)</f>
        <v>0.66666666666666596</v>
      </c>
      <c r="K521" s="25">
        <f ca="1">IFERROR(__xludf.DUMMYFUNCTION("""COMPUTED_VALUE"""),0.722222222222222)</f>
        <v>0.72222222222222199</v>
      </c>
      <c r="L521" s="25">
        <f ca="1">IFERROR(__xludf.DUMMYFUNCTION("""COMPUTED_VALUE"""),0.692307692307692)</f>
        <v>0.69230769230769196</v>
      </c>
      <c r="M521" s="25">
        <f ca="1">IFERROR(__xludf.DUMMYFUNCTION("""COMPUTED_VALUE"""),0.75)</f>
        <v>0.75</v>
      </c>
      <c r="N521" s="25">
        <f ca="1">IFERROR(__xludf.DUMMYFUNCTION("""COMPUTED_VALUE"""),0.692307692307692)</f>
        <v>0.69230769230769196</v>
      </c>
      <c r="O521" s="25">
        <f ca="1">IFERROR(__xludf.DUMMYFUNCTION("""COMPUTED_VALUE"""),0.783783783783783)</f>
        <v>0.78378378378378299</v>
      </c>
      <c r="P521" s="25">
        <f ca="1">IFERROR(__xludf.DUMMYFUNCTION("""COMPUTED_VALUE"""),0.76)</f>
        <v>0.76</v>
      </c>
      <c r="Q521" s="25">
        <f ca="1">IFERROR(__xludf.DUMMYFUNCTION("""COMPUTED_VALUE"""),0)</f>
        <v>0</v>
      </c>
      <c r="R521" s="25">
        <f ca="1">IFERROR(__xludf.DUMMYFUNCTION("""COMPUTED_VALUE"""),0.869565217391304)</f>
        <v>0.86956521739130399</v>
      </c>
      <c r="S521" s="25">
        <f ca="1">IFERROR(__xludf.DUMMYFUNCTION("""COMPUTED_VALUE"""),0)</f>
        <v>0</v>
      </c>
      <c r="T521" s="25">
        <f ca="1">IFERROR(__xludf.DUMMYFUNCTION("""COMPUTED_VALUE"""),0.5)</f>
        <v>0.5</v>
      </c>
      <c r="U521" s="25">
        <f ca="1">IFERROR(__xludf.DUMMYFUNCTION("""COMPUTED_VALUE"""),0.625)</f>
        <v>0.625</v>
      </c>
      <c r="V521" s="25">
        <f ca="1">IFERROR(__xludf.DUMMYFUNCTION("""COMPUTED_VALUE"""),0)</f>
        <v>0</v>
      </c>
      <c r="W521" s="4"/>
      <c r="X521" s="4" t="str">
        <f ca="1">IFERROR(__xludf.DUMMYFUNCTION("""COMPUTED_VALUE"""),"| 1 P Python @ | 3 L CPT @ | 4 L JAVA @ ")</f>
        <v xml:space="preserve">| 1 P Python @ | 3 L CPT @ | 4 L JAVA @ </v>
      </c>
      <c r="Y521" s="4" t="str">
        <f ca="1">IFERROR(__xludf.DUMMYFUNCTION("""COMPUTED_VALUE"""),"| 1 P JAVA @ | 3 L JAVA @ | 4 L NS @ | 5 P PRO @ ")</f>
        <v xml:space="preserve">| 1 P JAVA @ | 3 L JAVA @ | 4 L NS @ | 5 P PRO @ </v>
      </c>
      <c r="Z521" s="4" t="str">
        <f ca="1">IFERROR(__xludf.DUMMYFUNCTION("""COMPUTED_VALUE"""),"| 1 P JAVA @ | 3 L PHP-CGM @ | 4 L NS @ | 5 P CPT @ ")</f>
        <v xml:space="preserve">| 1 P JAVA @ | 3 L PHP-CGM @ | 4 L NS @ | 5 P CPT @ </v>
      </c>
      <c r="AA521" s="4" t="str">
        <f ca="1">IFERROR(__xludf.DUMMYFUNCTION("""COMPUTED_VALUE"""),"| 1 P NS % | 3 L CPT % | 5 P Python % ")</f>
        <v xml:space="preserve">| 1 P NS % | 3 L CPT % | 5 P Python % </v>
      </c>
      <c r="AB521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21" s="4" t="str">
        <f ca="1">IFERROR(__xludf.DUMMYFUNCTION("""COMPUTED_VALUE"""),"| 1 P JAVA % | 3 L CPT % | 4 L JAVA % ")</f>
        <v xml:space="preserve">| 1 P JAVA % | 3 L CPT % | 4 L JAVA % </v>
      </c>
      <c r="AD521" s="4" t="str">
        <f ca="1">IFERROR(__xludf.DUMMYFUNCTION("""COMPUTED_VALUE"""),"| 1 P PHP-CGM % | 3 L JAVA % | 4 L NS % | 5 P PRO % ")</f>
        <v xml:space="preserve">| 1 P PHP-CGM % | 3 L JAVA % | 4 L NS % | 5 P PRO % </v>
      </c>
      <c r="AE521" s="4" t="str">
        <f ca="1">IFERROR(__xludf.DUMMYFUNCTION("""COMPUTED_VALUE"""),"| 1 P Python % | 3 L PHP-CGM % | 4 L NS % | 5 P JAVA % ")</f>
        <v xml:space="preserve">| 1 P Python % | 3 L PHP-CGM % | 4 L NS % | 5 P JAVA % </v>
      </c>
      <c r="AF521" s="4" t="str">
        <f ca="1">IFERROR(__xludf.DUMMYFUNCTION("""COMPUTED_VALUE"""),"| 1 P Python % | 3 L CPT % | 4 L PHP-CGM % | 5 P NS % ")</f>
        <v xml:space="preserve">| 1 P Python % | 3 L CPT % | 4 L PHP-CGM % | 5 P NS % </v>
      </c>
      <c r="AG521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21" s="4" t="str">
        <f ca="1">IFERROR(__xludf.DUMMYFUNCTION("""COMPUTED_VALUE"""),"| 1 P Python % | 3 L CPT % | 4 L PHP-CGM % | 5 P NS % ")</f>
        <v xml:space="preserve">| 1 P Python % | 3 L CPT % | 4 L PHP-CGM % | 5 P NS % </v>
      </c>
      <c r="AI521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J521" s="4" t="str">
        <f ca="1">IFERROR(__xludf.DUMMYFUNCTION("""COMPUTED_VALUE"""),"| 1 P JAVA % | 3 L CPT % | 4 L JAVA % ")</f>
        <v xml:space="preserve">| 1 P JAVA % | 3 L CPT % | 4 L JAVA % </v>
      </c>
      <c r="AK521" s="4" t="str">
        <f ca="1">IFERROR(__xludf.DUMMYFUNCTION("""COMPUTED_VALUE"""),"| 1 P PHP-CGM % | 4 L NS % | 3 L JAVA % | 5 P PRO @ ")</f>
        <v xml:space="preserve">| 1 P PHP-CGM % | 4 L NS % | 3 L JAVA % | 5 P PRO @ </v>
      </c>
      <c r="AL521" s="4" t="str">
        <f ca="1">IFERROR(__xludf.DUMMYFUNCTION("""COMPUTED_VALUE"""),"| 1 P Python % | 3 L PHP-CGM % | 4 L NS % | 5 P JAVA % ")</f>
        <v xml:space="preserve">| 1 P Python % | 3 L PHP-CGM % | 4 L NS % | 5 P JAVA % </v>
      </c>
      <c r="AM521" s="4" t="str">
        <f ca="1">IFERROR(__xludf.DUMMYFUNCTION("""COMPUTED_VALUE"""),"| 1 P Python % | 3 L CPT @ | 4 L PHP-CGM @ | 5 P NS % ")</f>
        <v xml:space="preserve">| 1 P Python % | 3 L CPT @ | 4 L PHP-CGM @ | 5 P NS % </v>
      </c>
      <c r="AN521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O521" s="4" t="str">
        <f ca="1">IFERROR(__xludf.DUMMYFUNCTION("""COMPUTED_VALUE"""),"| 1 P JAVA @ | 3 L CPT % | 4 L JAVA % | 5 L INE % ")</f>
        <v xml:space="preserve">| 1 P JAVA @ | 3 L CPT % | 4 L JAVA % | 5 L INE % </v>
      </c>
      <c r="AP521" s="4" t="str">
        <f ca="1">IFERROR(__xludf.DUMMYFUNCTION("""COMPUTED_VALUE"""),"| 1 P PHP-CGM @ | 3 L JAVA % | 4 L NS % | 5 P PRO % ")</f>
        <v xml:space="preserve">| 1 P PHP-CGM @ | 3 L JAVA % | 4 L NS % | 5 P PRO % </v>
      </c>
      <c r="AQ521" s="4" t="str">
        <f ca="1">IFERROR(__xludf.DUMMYFUNCTION("""COMPUTED_VALUE"""),"| 1 P Python % | 3 L PHP-CGM % | 4 L NS % | 5 P JAVA % ")</f>
        <v xml:space="preserve">| 1 P Python % | 3 L PHP-CGM % | 4 L NS % | 5 P JAVA % </v>
      </c>
      <c r="AR521" s="4" t="str">
        <f ca="1">IFERROR(__xludf.DUMMYFUNCTION("""COMPUTED_VALUE"""),"| 1 P Python % | 3 L CPT @ | 5 P NS @ ")</f>
        <v xml:space="preserve">| 1 P Python % | 3 L CPT @ | 5 P NS @ </v>
      </c>
      <c r="AS521" s="4" t="str">
        <f ca="1">IFERROR(__xludf.DUMMYFUNCTION("""COMPUTED_VALUE"""),"| 1 P JAVA % | 3 L CPT % | 4 L JAVA % | 5 L INE @ ")</f>
        <v xml:space="preserve">| 1 P JAVA % | 3 L CPT % | 4 L JAVA % | 5 L INE @ </v>
      </c>
      <c r="AT521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21" s="4" t="str">
        <f ca="1">IFERROR(__xludf.DUMMYFUNCTION("""COMPUTED_VALUE"""),"| 1 P Python % | 3 L PHP-CGM % | 4 L NS % | 5 P JAVA % ")</f>
        <v xml:space="preserve">| 1 P Python % | 3 L PHP-CGM % | 4 L NS % | 5 P JAVA % </v>
      </c>
      <c r="AV521" s="4" t="str">
        <f ca="1">IFERROR(__xludf.DUMMYFUNCTION("""COMPUTED_VALUE"""),"| 1 P Python % | 3 L CPT % | 4 L PHP-CGM % | 5 P NS % ")</f>
        <v xml:space="preserve">| 1 P Python % | 3 L CPT % | 4 L PHP-CGM % | 5 P NS % </v>
      </c>
      <c r="AW521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21" s="4" t="str">
        <f ca="1">IFERROR(__xludf.DUMMYFUNCTION("""COMPUTED_VALUE"""),"| 1 P JAVA % | 3 L CPT % | 4 L JAVA % | 5 L INE % ")</f>
        <v xml:space="preserve">| 1 P JAVA % | 3 L CPT % | 4 L JAVA % | 5 L INE % </v>
      </c>
      <c r="AY521" s="4" t="str">
        <f ca="1">IFERROR(__xludf.DUMMYFUNCTION("""COMPUTED_VALUE"""),"| 1 P PHP-CGM @ | 3 L JAVA % | 4 L NS % | 5 P PRO @ ")</f>
        <v xml:space="preserve">| 1 P PHP-CGM @ | 3 L JAVA % | 4 L NS % | 5 P PRO @ </v>
      </c>
      <c r="AZ521" s="4" t="str">
        <f ca="1">IFERROR(__xludf.DUMMYFUNCTION("""COMPUTED_VALUE"""),"| 1 P Python % | 3 L CPT % | 4 L PHP-CGM % | 5 P NS @ ")</f>
        <v xml:space="preserve">| 1 P Python % | 3 L CPT % | 4 L PHP-CGM % | 5 P NS @ </v>
      </c>
      <c r="BA521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21" s="4" t="str">
        <f ca="1">IFERROR(__xludf.DUMMYFUNCTION("""COMPUTED_VALUE"""),"| 1 P JAVA % | 3 L CPT % | 4 L JAVA % | 5 L INE @ ")</f>
        <v xml:space="preserve">| 1 P JAVA % | 3 L CPT % | 4 L JAVA % | 5 L INE @ </v>
      </c>
      <c r="BC521" s="4" t="str">
        <f ca="1">IFERROR(__xludf.DUMMYFUNCTION("""COMPUTED_VALUE"""),"| 1 P PHP-CGM % | 3 L JAVA % | 4 L NS % | 5 P PRO % ")</f>
        <v xml:space="preserve">| 1 P PHP-CGM % | 3 L JAVA % | 4 L NS % | 5 P PRO % </v>
      </c>
      <c r="BD521" s="4" t="str">
        <f ca="1">IFERROR(__xludf.DUMMYFUNCTION("""COMPUTED_VALUE"""),"| 1 P Python % | 4 L NS %  | 3 L PHP-CGM % | 5 P JAVA % ")</f>
        <v xml:space="preserve">| 1 P Python % | 4 L NS %  | 3 L PHP-CGM % | 5 P JAVA % </v>
      </c>
      <c r="BE521" s="4" t="str">
        <f ca="1">IFERROR(__xludf.DUMMYFUNCTION("""COMPUTED_VALUE"""),"| 1 P Python % | 3 L CPT % | 4 L PHP-CGM % | 5 P NS % ")</f>
        <v xml:space="preserve">| 1 P Python % | 3 L CPT % | 4 L PHP-CGM % | 5 P NS % </v>
      </c>
      <c r="BF521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BG521" s="4" t="str">
        <f ca="1">IFERROR(__xludf.DUMMYFUNCTION("""COMPUTED_VALUE"""),"| 1 P PHP-CGM @ | 3 L JAVA @ | 4 L NS @ | 5 P PRO @ ")</f>
        <v xml:space="preserve">| 1 P PHP-CGM @ | 3 L JAVA @ | 4 L NS @ | 5 P PRO @ </v>
      </c>
      <c r="BH521" s="4" t="str">
        <f ca="1">IFERROR(__xludf.DUMMYFUNCTION("""COMPUTED_VALUE"""),"| 1 P Python % | 3 L PHP-CGM % | 4 L NS % | 5 P JAVA % ")</f>
        <v xml:space="preserve">| 1 P Python % | 3 L PHP-CGM % | 4 L NS % | 5 P JAVA % </v>
      </c>
      <c r="BI521" s="4" t="str">
        <f ca="1">IFERROR(__xludf.DUMMYFUNCTION("""COMPUTED_VALUE"""),"| 1 P Python % | 3 L CPT % | 4 L PHP-CGM % | 5 P NS % ")</f>
        <v xml:space="preserve">| 1 P Python % | 3 L CPT % | 4 L PHP-CGM % | 5 P NS % </v>
      </c>
      <c r="BJ521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K521" s="4" t="str">
        <f ca="1">IFERROR(__xludf.DUMMYFUNCTION("""COMPUTED_VALUE"""),"| 1 P JAVA % | 3 L CPT % | 4 L JAVA % | 5 L INE % ")</f>
        <v xml:space="preserve">| 1 P JAVA % | 3 L CPT % | 4 L JAVA % | 5 L INE % </v>
      </c>
      <c r="BL521" s="4" t="str">
        <f ca="1">IFERROR(__xludf.DUMMYFUNCTION("""COMPUTED_VALUE"""),"| 1 P PHP-CGM % | 3 L JAVA % | 4 L NS % | 5 P PRO % ")</f>
        <v xml:space="preserve">| 1 P PHP-CGM % | 3 L JAVA % | 4 L NS % | 5 P PRO % </v>
      </c>
      <c r="BM521" s="4" t="str">
        <f ca="1">IFERROR(__xludf.DUMMYFUNCTION("""COMPUTED_VALUE"""),"| 1 P Python % | 3 L PHP-CGM % | 4 L NS @ | 5 P JAVA % ")</f>
        <v xml:space="preserve">| 1 P Python % | 3 L PHP-CGM % | 4 L NS @ | 5 P JAVA % </v>
      </c>
      <c r="BN521" s="4" t="str">
        <f ca="1">IFERROR(__xludf.DUMMYFUNCTION("""COMPUTED_VALUE"""),"| 1 P Python % | 3 L CPT % | 4 L PHP-CGM % | 5 P NS % ")</f>
        <v xml:space="preserve">| 1 P Python % | 3 L CPT % | 4 L PHP-CGM % | 5 P NS % </v>
      </c>
      <c r="BO521" s="4" t="str">
        <f ca="1">IFERROR(__xludf.DUMMYFUNCTION("""COMPUTED_VALUE"""),"| 1 P CPT @ | 3 L PHP-CGM @ | 4 L JAVA @ | 5 L NS % | 6 L CPT % ")</f>
        <v xml:space="preserve">| 1 P CPT @ | 3 L PHP-CGM @ | 4 L JAVA @ | 5 L NS % | 6 L CPT % </v>
      </c>
      <c r="BP521" s="4" t="str">
        <f ca="1">IFERROR(__xludf.DUMMYFUNCTION("""COMPUTED_VALUE"""),"| 1 P JAVA % | 3 L CPT % | 4 L JAVA % | 5 L INE % ")</f>
        <v xml:space="preserve">| 1 P JAVA % | 3 L CPT % | 4 L JAVA % | 5 L INE % </v>
      </c>
      <c r="BQ521" s="4" t="str">
        <f ca="1">IFERROR(__xludf.DUMMYFUNCTION("""COMPUTED_VALUE"""),"| 4 L NS % | 5 P JAVA % ")</f>
        <v xml:space="preserve">| 4 L NS % | 5 P JAVA % </v>
      </c>
      <c r="BR521" s="4"/>
      <c r="BS521" s="4"/>
      <c r="BT521" s="4" t="str">
        <f ca="1">IFERROR(__xludf.DUMMYFUNCTION("""COMPUTED_VALUE"""),"| 1 P JAVA @ | 3 L CPT @ | 4 L JAVA @ ")</f>
        <v xml:space="preserve">| 1 P JAVA @ | 3 L CPT @ | 4 L JAVA @ </v>
      </c>
      <c r="BU521" s="4" t="str">
        <f ca="1">IFERROR(__xludf.DUMMYFUNCTION("""COMPUTED_VALUE"""),"| 1 P PHP-CGM @ | 4 L NS @ | 3 L JAVA @ ")</f>
        <v xml:space="preserve">| 1 P PHP-CGM @ | 4 L NS @ | 3 L JAVA @ </v>
      </c>
      <c r="BV521" s="4" t="str">
        <f ca="1">IFERROR(__xludf.DUMMYFUNCTION("""COMPUTED_VALUE"""),"| 1 P JAVA % | 3 L CPT % | 4 L JAVA % ")</f>
        <v xml:space="preserve">| 1 P JAVA % | 3 L CPT % | 4 L JAVA % </v>
      </c>
      <c r="BW521" s="4" t="str">
        <f ca="1">IFERROR(__xludf.DUMMYFUNCTION("""COMPUTED_VALUE"""),"| 1 P PHP-CGM % | 3 L JAVA % | 4 L NS % ")</f>
        <v xml:space="preserve">| 1 P PHP-CGM % | 3 L JAVA % | 4 L NS % </v>
      </c>
      <c r="BX521" s="4" t="str">
        <f ca="1">IFERROR(__xludf.DUMMYFUNCTION("""COMPUTED_VALUE"""),"| 1 P Python % | 3 L PHP-CGM % | 4 L NS % | 5 P JAVA % ")</f>
        <v xml:space="preserve">| 1 P Python % | 3 L PHP-CGM % | 4 L NS % | 5 P JAVA % </v>
      </c>
      <c r="BY521" s="4" t="str">
        <f ca="1">IFERROR(__xludf.DUMMYFUNCTION("""COMPUTED_VALUE"""),"| 1 P Python % | 3 L CPT % | 4 L PHP-CGM % | 5 P NS @ ")</f>
        <v xml:space="preserve">| 1 P Python % | 3 L CPT % | 4 L PHP-CGM % | 5 P NS @ </v>
      </c>
      <c r="BZ521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CA521" s="4" t="str">
        <f ca="1">IFERROR(__xludf.DUMMYFUNCTION("""COMPUTED_VALUE"""),"| 1 P JAVA % | 3 L CPT % | 4 L JAVA % | 5 L INE % ")</f>
        <v xml:space="preserve">| 1 P JAVA % | 3 L CPT % | 4 L JAVA % | 5 L INE % </v>
      </c>
      <c r="CB521" s="4" t="str">
        <f ca="1">IFERROR(__xludf.DUMMYFUNCTION("""COMPUTED_VALUE"""),"| 1 P PHP-CGM % | 3 L JAVA % | 4 L NS % | 5 P PRO @ ")</f>
        <v xml:space="preserve">| 1 P PHP-CGM % | 3 L JAVA % | 4 L NS % | 5 P PRO @ </v>
      </c>
      <c r="CC521" s="4" t="str">
        <f ca="1">IFERROR(__xludf.DUMMYFUNCTION("""COMPUTED_VALUE"""),"| 1 P Python % | 3 L PHP-CGM @ | 4 L NS @ | 5 P JAVA @ ")</f>
        <v xml:space="preserve">| 1 P Python % | 3 L PHP-CGM @ | 4 L NS @ | 5 P JAVA @ </v>
      </c>
      <c r="CD521" s="4" t="str">
        <f ca="1">IFERROR(__xludf.DUMMYFUNCTION("""COMPUTED_VALUE"""),"| 1 P Python @ | 3 L CPT @ | 4 L PHP-CGM @ | 5 P NS @ ")</f>
        <v xml:space="preserve">| 1 P Python @ | 3 L CPT @ | 4 L PHP-CGM @ | 5 P NS @ </v>
      </c>
      <c r="CE521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21" s="4" t="str">
        <f ca="1">IFERROR(__xludf.DUMMYFUNCTION("""COMPUTED_VALUE"""),"| 1 P JAVA % | 3 L CPT % | 4 L JAVA % | 5 L INE @ ")</f>
        <v xml:space="preserve">| 1 P JAVA % | 3 L CPT % | 4 L JAVA % | 5 L INE @ </v>
      </c>
      <c r="CG521" s="4" t="str">
        <f ca="1">IFERROR(__xludf.DUMMYFUNCTION("""COMPUTED_VALUE"""),"| 1 P PHP-CGM % | 4 L NS % ")</f>
        <v xml:space="preserve">| 1 P PHP-CGM % | 4 L NS % </v>
      </c>
      <c r="CH521" s="4" t="str">
        <f ca="1">IFERROR(__xludf.DUMMYFUNCTION("""COMPUTED_VALUE"""),"| 3 L PHP-CGM @ | 4 L NS @ ")</f>
        <v xml:space="preserve">| 3 L PHP-CGM @ | 4 L NS @ </v>
      </c>
      <c r="CI521" s="4" t="str">
        <f ca="1">IFERROR(__xludf.DUMMYFUNCTION("""COMPUTED_VALUE"""),"| 1 P Python @ | 5 P NS % ")</f>
        <v xml:space="preserve">| 1 P Python @ | 5 P NS % </v>
      </c>
      <c r="CJ521" s="4" t="str">
        <f ca="1">IFERROR(__xludf.DUMMYFUNCTION("""COMPUTED_VALUE"""),"| 4 L JAVA % | 1 P CPT % ")</f>
        <v xml:space="preserve">| 4 L JAVA % | 1 P CPT % </v>
      </c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</row>
    <row r="522" spans="1:102" ht="12.5" x14ac:dyDescent="0.25">
      <c r="A522" s="3">
        <f ca="1">IFERROR(__xludf.DUMMYFUNCTION("""COMPUTED_VALUE"""),3)</f>
        <v>3</v>
      </c>
      <c r="B522" s="3" t="str">
        <f ca="1">IFERROR(__xludf.DUMMYFUNCTION("""COMPUTED_VALUE"""),"ITC")</f>
        <v>ITC</v>
      </c>
      <c r="C522" s="32" t="str">
        <f ca="1">IFERROR(__xludf.DUMMYFUNCTION("""COMPUTED_VALUE"""),"23171371119")</f>
        <v>23171371119</v>
      </c>
      <c r="D522" s="4" t="str">
        <f ca="1">IFERROR(__xludf.DUMMYFUNCTION("""COMPUTED_VALUE"""),"PATEL VEDKUMAR VIMALBHAI")</f>
        <v>PATEL VEDKUMAR VIMALBHAI</v>
      </c>
      <c r="E522" s="3" t="str">
        <f ca="1">IFERROR(__xludf.DUMMYFUNCTION("""COMPUTED_VALUE"""),"SDP&amp;KKP - Mor")</f>
        <v>SDP&amp;KKP - Mor</v>
      </c>
      <c r="F522" s="3">
        <f ca="1">IFERROR(__xludf.DUMMYFUNCTION("""COMPUTED_VALUE"""),7990163274)</f>
        <v>7990163274</v>
      </c>
      <c r="G522" s="3">
        <f ca="1">IFERROR(__xludf.DUMMYFUNCTION("""COMPUTED_VALUE"""),9825989466)</f>
        <v>9825989466</v>
      </c>
      <c r="H522" s="33">
        <f ca="1">IFERROR(__xludf.DUMMYFUNCTION("""COMPUTED_VALUE"""),0.46938775510204)</f>
        <v>0.46938775510204001</v>
      </c>
      <c r="I522" s="25">
        <f ca="1">IFERROR(__xludf.DUMMYFUNCTION("""COMPUTED_VALUE"""),0.444444444444444)</f>
        <v>0.44444444444444398</v>
      </c>
      <c r="J522" s="25">
        <f ca="1">IFERROR(__xludf.DUMMYFUNCTION("""COMPUTED_VALUE"""),0.5)</f>
        <v>0.5</v>
      </c>
      <c r="K522" s="25">
        <f ca="1">IFERROR(__xludf.DUMMYFUNCTION("""COMPUTED_VALUE"""),0.472222222222222)</f>
        <v>0.47222222222222199</v>
      </c>
      <c r="L522" s="25">
        <f ca="1">IFERROR(__xludf.DUMMYFUNCTION("""COMPUTED_VALUE"""),0.692307692307692)</f>
        <v>0.69230769230769196</v>
      </c>
      <c r="M522" s="25">
        <f ca="1">IFERROR(__xludf.DUMMYFUNCTION("""COMPUTED_VALUE"""),0.53125)</f>
        <v>0.53125</v>
      </c>
      <c r="N522" s="25">
        <f ca="1">IFERROR(__xludf.DUMMYFUNCTION("""COMPUTED_VALUE"""),0.538461538461538)</f>
        <v>0.53846153846153799</v>
      </c>
      <c r="O522" s="25">
        <f ca="1">IFERROR(__xludf.DUMMYFUNCTION("""COMPUTED_VALUE"""),0.432432432432432)</f>
        <v>0.43243243243243201</v>
      </c>
      <c r="P522" s="25">
        <f ca="1">IFERROR(__xludf.DUMMYFUNCTION("""COMPUTED_VALUE"""),0.4)</f>
        <v>0.4</v>
      </c>
      <c r="Q522" s="25">
        <f ca="1">IFERROR(__xludf.DUMMYFUNCTION("""COMPUTED_VALUE"""),0)</f>
        <v>0</v>
      </c>
      <c r="R522" s="25">
        <f ca="1">IFERROR(__xludf.DUMMYFUNCTION("""COMPUTED_VALUE"""),0.608695652173913)</f>
        <v>0.60869565217391297</v>
      </c>
      <c r="S522" s="25">
        <f ca="1">IFERROR(__xludf.DUMMYFUNCTION("""COMPUTED_VALUE"""),0)</f>
        <v>0</v>
      </c>
      <c r="T522" s="25">
        <f ca="1">IFERROR(__xludf.DUMMYFUNCTION("""COMPUTED_VALUE"""),0.2)</f>
        <v>0.2</v>
      </c>
      <c r="U522" s="25">
        <f ca="1">IFERROR(__xludf.DUMMYFUNCTION("""COMPUTED_VALUE"""),0.125)</f>
        <v>0.125</v>
      </c>
      <c r="V522" s="25">
        <f ca="1">IFERROR(__xludf.DUMMYFUNCTION("""COMPUTED_VALUE"""),0)</f>
        <v>0</v>
      </c>
      <c r="W522" s="4"/>
      <c r="X522" s="4" t="str">
        <f ca="1">IFERROR(__xludf.DUMMYFUNCTION("""COMPUTED_VALUE"""),"| 1 P Python @ | 3 L CPT @ | 4 L JAVA @ ")</f>
        <v xml:space="preserve">| 1 P Python @ | 3 L CPT @ | 4 L JAVA @ </v>
      </c>
      <c r="Y522" s="4" t="str">
        <f ca="1">IFERROR(__xludf.DUMMYFUNCTION("""COMPUTED_VALUE"""),"| 1 P JAVA @ | 3 L JAVA @ | 4 L NS @ | 5 P PRO @ ")</f>
        <v xml:space="preserve">| 1 P JAVA @ | 3 L JAVA @ | 4 L NS @ | 5 P PRO @ </v>
      </c>
      <c r="Z522" s="4" t="str">
        <f ca="1">IFERROR(__xludf.DUMMYFUNCTION("""COMPUTED_VALUE"""),"| 1 P JAVA % | 3 L PHP-CGM % | 4 L NS % | 5 P CPT % ")</f>
        <v xml:space="preserve">| 1 P JAVA % | 3 L PHP-CGM % | 4 L NS % | 5 P CPT % </v>
      </c>
      <c r="AA522" s="4" t="str">
        <f ca="1">IFERROR(__xludf.DUMMYFUNCTION("""COMPUTED_VALUE"""),"| 1 P NS % | 3 L CPT % | 5 P Python @ ")</f>
        <v xml:space="preserve">| 1 P NS % | 3 L CPT % | 5 P Python @ </v>
      </c>
      <c r="AB522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22" s="4" t="str">
        <f ca="1">IFERROR(__xludf.DUMMYFUNCTION("""COMPUTED_VALUE"""),"| 1 P JAVA % | 3 L CPT % | 4 L JAVA % ")</f>
        <v xml:space="preserve">| 1 P JAVA % | 3 L CPT % | 4 L JAVA % </v>
      </c>
      <c r="AD522" s="4" t="str">
        <f ca="1">IFERROR(__xludf.DUMMYFUNCTION("""COMPUTED_VALUE"""),"| 1 P PHP-CGM % | 3 L JAVA % | 4 L NS % | 5 P PRO % ")</f>
        <v xml:space="preserve">| 1 P PHP-CGM % | 3 L JAVA % | 4 L NS % | 5 P PRO % </v>
      </c>
      <c r="AE522" s="4" t="str">
        <f ca="1">IFERROR(__xludf.DUMMYFUNCTION("""COMPUTED_VALUE"""),"| 1 P Python % | 3 L PHP-CGM % | 4 L NS % | 5 P JAVA @ ")</f>
        <v xml:space="preserve">| 1 P Python % | 3 L PHP-CGM % | 4 L NS % | 5 P JAVA @ </v>
      </c>
      <c r="AF522" s="4" t="str">
        <f ca="1">IFERROR(__xludf.DUMMYFUNCTION("""COMPUTED_VALUE"""),"| 1 P Python % | 3 L CPT @ | 4 L PHP-CGM @ | 5 P NS @ ")</f>
        <v xml:space="preserve">| 1 P Python % | 3 L CPT @ | 4 L PHP-CGM @ | 5 P NS @ </v>
      </c>
      <c r="AG522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22" s="4" t="str">
        <f ca="1">IFERROR(__xludf.DUMMYFUNCTION("""COMPUTED_VALUE"""),"| 1 P Python % | 3 L CPT % | 4 L PHP-CGM % | 5 P NS % ")</f>
        <v xml:space="preserve">| 1 P Python % | 3 L CPT % | 4 L PHP-CGM % | 5 P NS % </v>
      </c>
      <c r="AI522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J522" s="4" t="str">
        <f ca="1">IFERROR(__xludf.DUMMYFUNCTION("""COMPUTED_VALUE"""),"| 1 P JAVA % | 3 L CPT % | 4 L JAVA % ")</f>
        <v xml:space="preserve">| 1 P JAVA % | 3 L CPT % | 4 L JAVA % </v>
      </c>
      <c r="AK522" s="4" t="str">
        <f ca="1">IFERROR(__xludf.DUMMYFUNCTION("""COMPUTED_VALUE"""),"| 1 P PHP-CGM % | 4 L NS % | 3 L JAVA % | 5 P PRO @ ")</f>
        <v xml:space="preserve">| 1 P PHP-CGM % | 4 L NS % | 3 L JAVA % | 5 P PRO @ </v>
      </c>
      <c r="AL522" s="4" t="str">
        <f ca="1">IFERROR(__xludf.DUMMYFUNCTION("""COMPUTED_VALUE"""),"| 1 P Python % | 3 L PHP-CGM % | 4 L NS % | 5 P JAVA % ")</f>
        <v xml:space="preserve">| 1 P Python % | 3 L PHP-CGM % | 4 L NS % | 5 P JAVA % </v>
      </c>
      <c r="AM522" s="4" t="str">
        <f ca="1">IFERROR(__xludf.DUMMYFUNCTION("""COMPUTED_VALUE"""),"| 1 P Python % | 3 L CPT % | 4 L PHP-CGM % | 5 P NS % ")</f>
        <v xml:space="preserve">| 1 P Python % | 3 L CPT % | 4 L PHP-CGM % | 5 P NS % </v>
      </c>
      <c r="AN522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22" s="4" t="str">
        <f ca="1">IFERROR(__xludf.DUMMYFUNCTION("""COMPUTED_VALUE"""),"| 1 P JAVA @ | 3 L CPT @ | 4 L JAVA @ | 5 L INE @ ")</f>
        <v xml:space="preserve">| 1 P JAVA @ | 3 L CPT @ | 4 L JAVA @ | 5 L INE @ </v>
      </c>
      <c r="AP522" s="4" t="str">
        <f ca="1">IFERROR(__xludf.DUMMYFUNCTION("""COMPUTED_VALUE"""),"| 1 P PHP-CGM @ | 3 L JAVA @ | 4 L NS @ | 5 P PRO @ ")</f>
        <v xml:space="preserve">| 1 P PHP-CGM @ | 3 L JAVA @ | 4 L NS @ | 5 P PRO @ </v>
      </c>
      <c r="AQ522" s="4" t="str">
        <f ca="1">IFERROR(__xludf.DUMMYFUNCTION("""COMPUTED_VALUE"""),"| 1 P Python @ | 3 L PHP-CGM @ | 4 L NS @ | 5 P JAVA @ ")</f>
        <v xml:space="preserve">| 1 P Python @ | 3 L PHP-CGM @ | 4 L NS @ | 5 P JAVA @ </v>
      </c>
      <c r="AR522" s="4" t="str">
        <f ca="1">IFERROR(__xludf.DUMMYFUNCTION("""COMPUTED_VALUE"""),"| 1 P Python @ | 3 L CPT @ | 5 P NS @ ")</f>
        <v xml:space="preserve">| 1 P Python @ | 3 L CPT @ | 5 P NS @ </v>
      </c>
      <c r="AS522" s="4" t="str">
        <f ca="1">IFERROR(__xludf.DUMMYFUNCTION("""COMPUTED_VALUE"""),"| 1 P JAVA @ | 3 L CPT @ | 4 L JAVA @ | 5 L INE @ ")</f>
        <v xml:space="preserve">| 1 P JAVA @ | 3 L CPT @ | 4 L JAVA @ | 5 L INE @ </v>
      </c>
      <c r="AT522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22" s="4" t="str">
        <f ca="1">IFERROR(__xludf.DUMMYFUNCTION("""COMPUTED_VALUE"""),"| 1 P Python % | 3 L PHP-CGM % | 4 L NS % | 5 P JAVA @ ")</f>
        <v xml:space="preserve">| 1 P Python % | 3 L PHP-CGM % | 4 L NS % | 5 P JAVA @ </v>
      </c>
      <c r="AV522" s="4" t="str">
        <f ca="1">IFERROR(__xludf.DUMMYFUNCTION("""COMPUTED_VALUE"""),"| 1 P Python % | 3 L CPT % | 4 L PHP-CGM % | 5 P NS % ")</f>
        <v xml:space="preserve">| 1 P Python % | 3 L CPT % | 4 L PHP-CGM % | 5 P NS % </v>
      </c>
      <c r="AW522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22" s="4" t="str">
        <f ca="1">IFERROR(__xludf.DUMMYFUNCTION("""COMPUTED_VALUE"""),"| 1 P JAVA % | 3 L CPT % | 4 L JAVA % | 5 L INE @ ")</f>
        <v xml:space="preserve">| 1 P JAVA % | 3 L CPT % | 4 L JAVA % | 5 L INE @ </v>
      </c>
      <c r="AY522" s="4" t="str">
        <f ca="1">IFERROR(__xludf.DUMMYFUNCTION("""COMPUTED_VALUE"""),"| 1 P PHP-CGM % | 3 L JAVA % | 4 L NS % | 5 P PRO @ ")</f>
        <v xml:space="preserve">| 1 P PHP-CGM % | 3 L JAVA % | 4 L NS % | 5 P PRO @ </v>
      </c>
      <c r="AZ522" s="4" t="str">
        <f ca="1">IFERROR(__xludf.DUMMYFUNCTION("""COMPUTED_VALUE"""),"| 1 P Python % | 3 L CPT % | 4 L PHP-CGM % | 5 P NS % ")</f>
        <v xml:space="preserve">| 1 P Python % | 3 L CPT % | 4 L PHP-CGM % | 5 P NS % </v>
      </c>
      <c r="BA522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B522" s="4" t="str">
        <f ca="1">IFERROR(__xludf.DUMMYFUNCTION("""COMPUTED_VALUE"""),"| 1 P JAVA @ | 3 L CPT @ | 4 L JAVA @ | 5 L INE @ ")</f>
        <v xml:space="preserve">| 1 P JAVA @ | 3 L CPT @ | 4 L JAVA @ | 5 L INE @ </v>
      </c>
      <c r="BC522" s="4" t="str">
        <f ca="1">IFERROR(__xludf.DUMMYFUNCTION("""COMPUTED_VALUE"""),"| 1 P PHP-CGM @ | 3 L JAVA @ | 4 L NS @ | 5 P PRO @ ")</f>
        <v xml:space="preserve">| 1 P PHP-CGM @ | 3 L JAVA @ | 4 L NS @ | 5 P PRO @ </v>
      </c>
      <c r="BD522" s="4" t="str">
        <f ca="1">IFERROR(__xludf.DUMMYFUNCTION("""COMPUTED_VALUE"""),"| 1 P Python @ | 4 L NS @  | 3 L PHP-CGM @ | 5 P JAVA @ ")</f>
        <v xml:space="preserve">| 1 P Python @ | 4 L NS @  | 3 L PHP-CGM @ | 5 P JAVA @ </v>
      </c>
      <c r="BE522" s="4" t="str">
        <f ca="1">IFERROR(__xludf.DUMMYFUNCTION("""COMPUTED_VALUE"""),"| 1 P Python @ | 3 L CPT @ | 4 L PHP-CGM @ | 5 P NS % ")</f>
        <v xml:space="preserve">| 1 P Python @ | 3 L CPT @ | 4 L PHP-CGM @ | 5 P NS % </v>
      </c>
      <c r="BF522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BG522" s="4" t="str">
        <f ca="1">IFERROR(__xludf.DUMMYFUNCTION("""COMPUTED_VALUE"""),"| 1 P PHP-CGM % | 3 L JAVA % | 4 L NS % | 5 P PRO @ ")</f>
        <v xml:space="preserve">| 1 P PHP-CGM % | 3 L JAVA % | 4 L NS % | 5 P PRO @ </v>
      </c>
      <c r="BH522" s="4" t="str">
        <f ca="1">IFERROR(__xludf.DUMMYFUNCTION("""COMPUTED_VALUE"""),"| 1 P Python % | 3 L PHP-CGM % | 4 L NS % | 5 P JAVA % ")</f>
        <v xml:space="preserve">| 1 P Python % | 3 L PHP-CGM % | 4 L NS % | 5 P JAVA % </v>
      </c>
      <c r="BI522" s="4" t="str">
        <f ca="1">IFERROR(__xludf.DUMMYFUNCTION("""COMPUTED_VALUE"""),"| 1 P Python % | 3 L CPT % | 4 L PHP-CGM % | 5 P NS % ")</f>
        <v xml:space="preserve">| 1 P Python % | 3 L CPT % | 4 L PHP-CGM % | 5 P NS % </v>
      </c>
      <c r="BJ522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22" s="4" t="str">
        <f ca="1">IFERROR(__xludf.DUMMYFUNCTION("""COMPUTED_VALUE"""),"| 1 P JAVA @ | 3 L CPT @ | 4 L JAVA @ | 5 L INE @ ")</f>
        <v xml:space="preserve">| 1 P JAVA @ | 3 L CPT @ | 4 L JAVA @ | 5 L INE @ </v>
      </c>
      <c r="BL522" s="4" t="str">
        <f ca="1">IFERROR(__xludf.DUMMYFUNCTION("""COMPUTED_VALUE"""),"| 1 P PHP-CGM @ | 3 L JAVA @ | 4 L NS @ | 5 P PRO @ ")</f>
        <v xml:space="preserve">| 1 P PHP-CGM @ | 3 L JAVA @ | 4 L NS @ | 5 P PRO @ </v>
      </c>
      <c r="BM522" s="4" t="str">
        <f ca="1">IFERROR(__xludf.DUMMYFUNCTION("""COMPUTED_VALUE"""),"| 1 P Python @ | 3 L PHP-CGM @ | 4 L NS @ | 5 P JAVA @ ")</f>
        <v xml:space="preserve">| 1 P Python @ | 3 L PHP-CGM @ | 4 L NS @ | 5 P JAVA @ </v>
      </c>
      <c r="BN522" s="4" t="str">
        <f ca="1">IFERROR(__xludf.DUMMYFUNCTION("""COMPUTED_VALUE"""),"| 1 P Python @ | 3 L CPT @ | 4 L PHP-CGM @ | 5 P NS @ ")</f>
        <v xml:space="preserve">| 1 P Python @ | 3 L CPT @ | 4 L PHP-CGM @ | 5 P NS @ </v>
      </c>
      <c r="BO522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22" s="4" t="str">
        <f ca="1">IFERROR(__xludf.DUMMYFUNCTION("""COMPUTED_VALUE"""),"| 1 P JAVA % | 3 L CPT % | 4 L JAVA % | 5 L INE @ ")</f>
        <v xml:space="preserve">| 1 P JAVA % | 3 L CPT % | 4 L JAVA % | 5 L INE @ </v>
      </c>
      <c r="BQ522" s="4" t="str">
        <f ca="1">IFERROR(__xludf.DUMMYFUNCTION("""COMPUTED_VALUE"""),"| 4 L NS @ | 5 P JAVA % ")</f>
        <v xml:space="preserve">| 4 L NS @ | 5 P JAVA % </v>
      </c>
      <c r="BR522" s="4"/>
      <c r="BS522" s="4"/>
      <c r="BT522" s="4" t="str">
        <f ca="1">IFERROR(__xludf.DUMMYFUNCTION("""COMPUTED_VALUE"""),"| 1 P JAVA @ | 3 L CPT @ | 4 L JAVA @ ")</f>
        <v xml:space="preserve">| 1 P JAVA @ | 3 L CPT @ | 4 L JAVA @ </v>
      </c>
      <c r="BU522" s="4" t="str">
        <f ca="1">IFERROR(__xludf.DUMMYFUNCTION("""COMPUTED_VALUE"""),"| 1 P PHP-CGM @ | 4 L NS @ | 3 L JAVA @ ")</f>
        <v xml:space="preserve">| 1 P PHP-CGM @ | 4 L NS @ | 3 L JAVA @ </v>
      </c>
      <c r="BV522" s="4" t="str">
        <f ca="1">IFERROR(__xludf.DUMMYFUNCTION("""COMPUTED_VALUE"""),"| 1 P JAVA @ | 3 L CPT @ | 4 L JAVA @ ")</f>
        <v xml:space="preserve">| 1 P JAVA @ | 3 L CPT @ | 4 L JAVA @ </v>
      </c>
      <c r="BW522" s="4" t="str">
        <f ca="1">IFERROR(__xludf.DUMMYFUNCTION("""COMPUTED_VALUE"""),"| 1 P PHP-CGM % | 3 L JAVA % | 4 L NS % ")</f>
        <v xml:space="preserve">| 1 P PHP-CGM % | 3 L JAVA % | 4 L NS % </v>
      </c>
      <c r="BX522" s="4" t="str">
        <f ca="1">IFERROR(__xludf.DUMMYFUNCTION("""COMPUTED_VALUE"""),"| 1 P Python % | 3 L PHP-CGM % | 4 L NS % | 5 P JAVA @ ")</f>
        <v xml:space="preserve">| 1 P Python % | 3 L PHP-CGM % | 4 L NS % | 5 P JAVA @ </v>
      </c>
      <c r="BY522" s="4" t="str">
        <f ca="1">IFERROR(__xludf.DUMMYFUNCTION("""COMPUTED_VALUE"""),"| 1 P Python % | 3 L CPT % | 4 L PHP-CGM @ | 5 P NS @ ")</f>
        <v xml:space="preserve">| 1 P Python % | 3 L CPT % | 4 L PHP-CGM @ | 5 P NS @ </v>
      </c>
      <c r="BZ522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22" s="4" t="str">
        <f ca="1">IFERROR(__xludf.DUMMYFUNCTION("""COMPUTED_VALUE"""),"| 1 P JAVA @ | 3 L CPT @ | 4 L JAVA @ | 5 L INE @ ")</f>
        <v xml:space="preserve">| 1 P JAVA @ | 3 L CPT @ | 4 L JAVA @ | 5 L INE @ </v>
      </c>
      <c r="CB522" s="4" t="str">
        <f ca="1">IFERROR(__xludf.DUMMYFUNCTION("""COMPUTED_VALUE"""),"| 1 P PHP-CGM @ | 3 L JAVA @ | 4 L NS @ | 5 P PRO @ ")</f>
        <v xml:space="preserve">| 1 P PHP-CGM @ | 3 L JAVA @ | 4 L NS @ | 5 P PRO @ </v>
      </c>
      <c r="CC522" s="4" t="str">
        <f ca="1">IFERROR(__xludf.DUMMYFUNCTION("""COMPUTED_VALUE"""),"| 1 P Python % | 3 L PHP-CGM % | 4 L NS % | 5 P JAVA % ")</f>
        <v xml:space="preserve">| 1 P Python % | 3 L PHP-CGM % | 4 L NS % | 5 P JAVA % </v>
      </c>
      <c r="CD522" s="4" t="str">
        <f ca="1">IFERROR(__xludf.DUMMYFUNCTION("""COMPUTED_VALUE"""),"| 1 P Python % | 3 L CPT @ | 4 L PHP-CGM @ | 5 P NS % ")</f>
        <v xml:space="preserve">| 1 P Python % | 3 L CPT @ | 4 L PHP-CGM @ | 5 P NS % </v>
      </c>
      <c r="CE522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22" s="4" t="str">
        <f ca="1">IFERROR(__xludf.DUMMYFUNCTION("""COMPUTED_VALUE"""),"| 1 P JAVA % | 3 L CPT @ | 4 L JAVA @ | 5 L INE % ")</f>
        <v xml:space="preserve">| 1 P JAVA % | 3 L CPT @ | 4 L JAVA @ | 5 L INE % </v>
      </c>
      <c r="CG522" s="4" t="str">
        <f ca="1">IFERROR(__xludf.DUMMYFUNCTION("""COMPUTED_VALUE"""),"| 1 P PHP-CGM % | 4 L NS @ ")</f>
        <v xml:space="preserve">| 1 P PHP-CGM % | 4 L NS @ </v>
      </c>
      <c r="CH522" s="4" t="str">
        <f ca="1">IFERROR(__xludf.DUMMYFUNCTION("""COMPUTED_VALUE"""),"| 3 L PHP-CGM @ | 4 L NS @ ")</f>
        <v xml:space="preserve">| 3 L PHP-CGM @ | 4 L NS @ </v>
      </c>
      <c r="CI522" s="4" t="str">
        <f ca="1">IFERROR(__xludf.DUMMYFUNCTION("""COMPUTED_VALUE"""),"| 1 P Python @ | 5 P NS % ")</f>
        <v xml:space="preserve">| 1 P Python @ | 5 P NS % </v>
      </c>
      <c r="CJ522" s="4" t="str">
        <f ca="1">IFERROR(__xludf.DUMMYFUNCTION("""COMPUTED_VALUE"""),"| 4 L JAVA % | 1 P CPT % ")</f>
        <v xml:space="preserve">| 4 L JAVA % | 1 P CPT % </v>
      </c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</row>
    <row r="523" spans="1:102" ht="12.5" x14ac:dyDescent="0.25">
      <c r="A523" s="3">
        <f ca="1">IFERROR(__xludf.DUMMYFUNCTION("""COMPUTED_VALUE"""),3)</f>
        <v>3</v>
      </c>
      <c r="B523" s="3" t="str">
        <f ca="1">IFERROR(__xludf.DUMMYFUNCTION("""COMPUTED_VALUE"""),"ITC")</f>
        <v>ITC</v>
      </c>
      <c r="C523" s="32" t="str">
        <f ca="1">IFERROR(__xludf.DUMMYFUNCTION("""COMPUTED_VALUE"""),"23171371120")</f>
        <v>23171371120</v>
      </c>
      <c r="D523" s="4" t="str">
        <f ca="1">IFERROR(__xludf.DUMMYFUNCTION("""COMPUTED_VALUE"""),"PATEL VRAJ JAYESHKUMAR")</f>
        <v>PATEL VRAJ JAYESHKUMAR</v>
      </c>
      <c r="E523" s="3" t="str">
        <f ca="1">IFERROR(__xludf.DUMMYFUNCTION("""COMPUTED_VALUE"""),"SDP&amp;KKP - Mor")</f>
        <v>SDP&amp;KKP - Mor</v>
      </c>
      <c r="F523" s="3">
        <f ca="1">IFERROR(__xludf.DUMMYFUNCTION("""COMPUTED_VALUE"""),9727328144)</f>
        <v>9727328144</v>
      </c>
      <c r="G523" s="3">
        <f ca="1">IFERROR(__xludf.DUMMYFUNCTION("""COMPUTED_VALUE"""),9879080044)</f>
        <v>9879080044</v>
      </c>
      <c r="H523" s="33">
        <f ca="1">IFERROR(__xludf.DUMMYFUNCTION("""COMPUTED_VALUE"""),0.689795918367347)</f>
        <v>0.68979591836734699</v>
      </c>
      <c r="I523" s="25">
        <f ca="1">IFERROR(__xludf.DUMMYFUNCTION("""COMPUTED_VALUE"""),0.694444444444444)</f>
        <v>0.69444444444444398</v>
      </c>
      <c r="J523" s="25">
        <f ca="1">IFERROR(__xludf.DUMMYFUNCTION("""COMPUTED_VALUE"""),0.75)</f>
        <v>0.75</v>
      </c>
      <c r="K523" s="25">
        <f ca="1">IFERROR(__xludf.DUMMYFUNCTION("""COMPUTED_VALUE"""),0.611111111111111)</f>
        <v>0.61111111111111105</v>
      </c>
      <c r="L523" s="25">
        <f ca="1">IFERROR(__xludf.DUMMYFUNCTION("""COMPUTED_VALUE"""),0.461538461538461)</f>
        <v>0.46153846153846101</v>
      </c>
      <c r="M523" s="25">
        <f ca="1">IFERROR(__xludf.DUMMYFUNCTION("""COMPUTED_VALUE"""),0.625)</f>
        <v>0.625</v>
      </c>
      <c r="N523" s="25">
        <f ca="1">IFERROR(__xludf.DUMMYFUNCTION("""COMPUTED_VALUE"""),0.923076923076923)</f>
        <v>0.92307692307692302</v>
      </c>
      <c r="O523" s="25">
        <f ca="1">IFERROR(__xludf.DUMMYFUNCTION("""COMPUTED_VALUE"""),0.702702702702702)</f>
        <v>0.70270270270270196</v>
      </c>
      <c r="P523" s="25">
        <f ca="1">IFERROR(__xludf.DUMMYFUNCTION("""COMPUTED_VALUE"""),0.76)</f>
        <v>0.76</v>
      </c>
      <c r="Q523" s="25">
        <f ca="1">IFERROR(__xludf.DUMMYFUNCTION("""COMPUTED_VALUE"""),0)</f>
        <v>0</v>
      </c>
      <c r="R523" s="25">
        <f ca="1">IFERROR(__xludf.DUMMYFUNCTION("""COMPUTED_VALUE"""),0.782608695652174)</f>
        <v>0.78260869565217395</v>
      </c>
      <c r="S523" s="25">
        <f ca="1">IFERROR(__xludf.DUMMYFUNCTION("""COMPUTED_VALUE"""),0)</f>
        <v>0</v>
      </c>
      <c r="T523" s="25">
        <f ca="1">IFERROR(__xludf.DUMMYFUNCTION("""COMPUTED_VALUE"""),0.6)</f>
        <v>0.6</v>
      </c>
      <c r="U523" s="25">
        <f ca="1">IFERROR(__xludf.DUMMYFUNCTION("""COMPUTED_VALUE"""),0.75)</f>
        <v>0.75</v>
      </c>
      <c r="V523" s="25">
        <f ca="1">IFERROR(__xludf.DUMMYFUNCTION("""COMPUTED_VALUE"""),0)</f>
        <v>0</v>
      </c>
      <c r="W523" s="4"/>
      <c r="X523" s="4" t="str">
        <f ca="1">IFERROR(__xludf.DUMMYFUNCTION("""COMPUTED_VALUE"""),"| 1 P Python % | 3 L CPT % | 4 L JAVA % ")</f>
        <v xml:space="preserve">| 1 P Python % | 3 L CPT % | 4 L JAVA % </v>
      </c>
      <c r="Y523" s="4" t="str">
        <f ca="1">IFERROR(__xludf.DUMMYFUNCTION("""COMPUTED_VALUE"""),"| 1 P JAVA % | 3 L JAVA % | 4 L NS % | 5 P PRO % ")</f>
        <v xml:space="preserve">| 1 P JAVA % | 3 L JAVA % | 4 L NS % | 5 P PRO % </v>
      </c>
      <c r="Z523" s="4" t="str">
        <f ca="1">IFERROR(__xludf.DUMMYFUNCTION("""COMPUTED_VALUE"""),"| 1 P JAVA % | 3 L PHP-CGM % | 4 L NS % | 5 P CPT % ")</f>
        <v xml:space="preserve">| 1 P JAVA % | 3 L PHP-CGM % | 4 L NS % | 5 P CPT % </v>
      </c>
      <c r="AA523" s="4" t="str">
        <f ca="1">IFERROR(__xludf.DUMMYFUNCTION("""COMPUTED_VALUE"""),"| 1 P NS % | 3 L CPT % | 5 P Python % ")</f>
        <v xml:space="preserve">| 1 P NS % | 3 L CPT % | 5 P Python % </v>
      </c>
      <c r="AB523" s="4" t="str">
        <f ca="1">IFERROR(__xludf.DUMMYFUNCTION("""COMPUTED_VALUE"""),"| 1 P PHP-CGM % | 3 L PHP-CGM % | 4 L JAVA % | 5 L CPT % | 6 L NS % ")</f>
        <v xml:space="preserve">| 1 P PHP-CGM % | 3 L PHP-CGM % | 4 L JAVA % | 5 L CPT % | 6 L NS % </v>
      </c>
      <c r="AC523" s="4" t="str">
        <f ca="1">IFERROR(__xludf.DUMMYFUNCTION("""COMPUTED_VALUE"""),"| 1 P JAVA % | 3 L CPT % | 4 L JAVA % ")</f>
        <v xml:space="preserve">| 1 P JAVA % | 3 L CPT % | 4 L JAVA % </v>
      </c>
      <c r="AD523" s="4" t="str">
        <f ca="1">IFERROR(__xludf.DUMMYFUNCTION("""COMPUTED_VALUE"""),"| 1 P PHP-CGM % | 3 L JAVA % | 4 L NS % | 5 P PRO % ")</f>
        <v xml:space="preserve">| 1 P PHP-CGM % | 3 L JAVA % | 4 L NS % | 5 P PRO % </v>
      </c>
      <c r="AE523" s="4" t="str">
        <f ca="1">IFERROR(__xludf.DUMMYFUNCTION("""COMPUTED_VALUE"""),"| 1 P Python @ | 3 L PHP-CGM @ | 4 L NS @ | 5 P JAVA @ ")</f>
        <v xml:space="preserve">| 1 P Python @ | 3 L PHP-CGM @ | 4 L NS @ | 5 P JAVA @ </v>
      </c>
      <c r="AF523" s="4" t="str">
        <f ca="1">IFERROR(__xludf.DUMMYFUNCTION("""COMPUTED_VALUE"""),"| 1 P Python % | 3 L CPT % | 4 L PHP-CGM % | 5 P NS % ")</f>
        <v xml:space="preserve">| 1 P Python % | 3 L CPT % | 4 L PHP-CGM % | 5 P NS % </v>
      </c>
      <c r="AG523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23" s="4" t="str">
        <f ca="1">IFERROR(__xludf.DUMMYFUNCTION("""COMPUTED_VALUE"""),"| 1 P Python % | 3 L CPT % | 4 L PHP-CGM % | 5 P NS % ")</f>
        <v xml:space="preserve">| 1 P Python % | 3 L CPT % | 4 L PHP-CGM % | 5 P NS % </v>
      </c>
      <c r="AI523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23" s="4" t="str">
        <f ca="1">IFERROR(__xludf.DUMMYFUNCTION("""COMPUTED_VALUE"""),"| 1 P JAVA % | 3 L CPT % | 4 L JAVA % ")</f>
        <v xml:space="preserve">| 1 P JAVA % | 3 L CPT % | 4 L JAVA % </v>
      </c>
      <c r="AK523" s="4" t="str">
        <f ca="1">IFERROR(__xludf.DUMMYFUNCTION("""COMPUTED_VALUE"""),"| 1 P PHP-CGM % | 4 L NS % | 3 L JAVA % | 5 P PRO % ")</f>
        <v xml:space="preserve">| 1 P PHP-CGM % | 4 L NS % | 3 L JAVA % | 5 P PRO % </v>
      </c>
      <c r="AL523" s="4" t="str">
        <f ca="1">IFERROR(__xludf.DUMMYFUNCTION("""COMPUTED_VALUE"""),"| 1 P Python % | 3 L PHP-CGM % | 4 L NS % | 5 P JAVA % ")</f>
        <v xml:space="preserve">| 1 P Python % | 3 L PHP-CGM % | 4 L NS % | 5 P JAVA % </v>
      </c>
      <c r="AM523" s="4" t="str">
        <f ca="1">IFERROR(__xludf.DUMMYFUNCTION("""COMPUTED_VALUE"""),"| 1 P Python % | 3 L CPT @ | 4 L PHP-CGM % | 5 P NS @ ")</f>
        <v xml:space="preserve">| 1 P Python % | 3 L CPT @ | 4 L PHP-CGM % | 5 P NS @ </v>
      </c>
      <c r="AN523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23" s="4" t="str">
        <f ca="1">IFERROR(__xludf.DUMMYFUNCTION("""COMPUTED_VALUE"""),"| 1 P JAVA % | 3 L CPT % | 4 L JAVA % | 5 L INE % ")</f>
        <v xml:space="preserve">| 1 P JAVA % | 3 L CPT % | 4 L JAVA % | 5 L INE % </v>
      </c>
      <c r="AP523" s="4" t="str">
        <f ca="1">IFERROR(__xludf.DUMMYFUNCTION("""COMPUTED_VALUE"""),"| 1 P PHP-CGM % | 3 L JAVA % | 4 L NS % | 5 P PRO @ ")</f>
        <v xml:space="preserve">| 1 P PHP-CGM % | 3 L JAVA % | 4 L NS % | 5 P PRO @ </v>
      </c>
      <c r="AQ523" s="4" t="str">
        <f ca="1">IFERROR(__xludf.DUMMYFUNCTION("""COMPUTED_VALUE"""),"| 1 P Python % | 3 L PHP-CGM % | 4 L NS % | 5 P JAVA % ")</f>
        <v xml:space="preserve">| 1 P Python % | 3 L PHP-CGM % | 4 L NS % | 5 P JAVA % </v>
      </c>
      <c r="AR523" s="4" t="str">
        <f ca="1">IFERROR(__xludf.DUMMYFUNCTION("""COMPUTED_VALUE"""),"| 1 P Python % | 3 L CPT % | 5 P NS @ ")</f>
        <v xml:space="preserve">| 1 P Python % | 3 L CPT % | 5 P NS @ </v>
      </c>
      <c r="AS523" s="4" t="str">
        <f ca="1">IFERROR(__xludf.DUMMYFUNCTION("""COMPUTED_VALUE"""),"| 1 P JAVA % | 3 L CPT % | 4 L JAVA % | 5 L INE % ")</f>
        <v xml:space="preserve">| 1 P JAVA % | 3 L CPT % | 4 L JAVA % | 5 L INE % </v>
      </c>
      <c r="AT523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23" s="4" t="str">
        <f ca="1">IFERROR(__xludf.DUMMYFUNCTION("""COMPUTED_VALUE"""),"| 1 P Python % | 3 L PHP-CGM % | 4 L NS % | 5 P JAVA % ")</f>
        <v xml:space="preserve">| 1 P Python % | 3 L PHP-CGM % | 4 L NS % | 5 P JAVA % </v>
      </c>
      <c r="AV523" s="4" t="str">
        <f ca="1">IFERROR(__xludf.DUMMYFUNCTION("""COMPUTED_VALUE"""),"| 1 P Python % | 3 L CPT @ | 4 L PHP-CGM @ | 5 P NS @ ")</f>
        <v xml:space="preserve">| 1 P Python % | 3 L CPT @ | 4 L PHP-CGM @ | 5 P NS @ </v>
      </c>
      <c r="AW523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23" s="4" t="str">
        <f ca="1">IFERROR(__xludf.DUMMYFUNCTION("""COMPUTED_VALUE"""),"| 1 P JAVA % | 3 L CPT % | 4 L JAVA % | 5 L INE % ")</f>
        <v xml:space="preserve">| 1 P JAVA % | 3 L CPT % | 4 L JAVA % | 5 L INE % </v>
      </c>
      <c r="AY523" s="4" t="str">
        <f ca="1">IFERROR(__xludf.DUMMYFUNCTION("""COMPUTED_VALUE"""),"| 1 P PHP-CGM % | 3 L JAVA % | 4 L NS % | 5 P PRO % ")</f>
        <v xml:space="preserve">| 1 P PHP-CGM % | 3 L JAVA % | 4 L NS % | 5 P PRO % </v>
      </c>
      <c r="AZ523" s="4" t="str">
        <f ca="1">IFERROR(__xludf.DUMMYFUNCTION("""COMPUTED_VALUE"""),"| 1 P Python % | 3 L CPT % | 4 L PHP-CGM % | 5 P NS % ")</f>
        <v xml:space="preserve">| 1 P Python % | 3 L CPT % | 4 L PHP-CGM % | 5 P NS % </v>
      </c>
      <c r="BA523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BB523" s="4" t="str">
        <f ca="1">IFERROR(__xludf.DUMMYFUNCTION("""COMPUTED_VALUE"""),"| 1 P JAVA % | 3 L CPT % | 4 L JAVA % | 5 L INE @ ")</f>
        <v xml:space="preserve">| 1 P JAVA % | 3 L CPT % | 4 L JAVA % | 5 L INE @ </v>
      </c>
      <c r="BC523" s="4" t="str">
        <f ca="1">IFERROR(__xludf.DUMMYFUNCTION("""COMPUTED_VALUE"""),"| 1 P PHP-CGM @ | 3 L JAVA @ | 4 L NS @ | 5 P PRO @ ")</f>
        <v xml:space="preserve">| 1 P PHP-CGM @ | 3 L JAVA @ | 4 L NS @ | 5 P PRO @ </v>
      </c>
      <c r="BD523" s="4" t="str">
        <f ca="1">IFERROR(__xludf.DUMMYFUNCTION("""COMPUTED_VALUE"""),"| 1 P Python % | 4 L NS %  | 3 L PHP-CGM % | 5 P JAVA % ")</f>
        <v xml:space="preserve">| 1 P Python % | 4 L NS %  | 3 L PHP-CGM % | 5 P JAVA % </v>
      </c>
      <c r="BE523" s="4" t="str">
        <f ca="1">IFERROR(__xludf.DUMMYFUNCTION("""COMPUTED_VALUE"""),"| 1 P Python % | 3 L CPT % | 4 L PHP-CGM % | 5 P NS @ ")</f>
        <v xml:space="preserve">| 1 P Python % | 3 L CPT % | 4 L PHP-CGM % | 5 P NS @ </v>
      </c>
      <c r="BF523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23" s="4" t="str">
        <f ca="1">IFERROR(__xludf.DUMMYFUNCTION("""COMPUTED_VALUE"""),"| 1 P PHP-CGM % | 3 L JAVA % | 4 L NS % | 5 P PRO % ")</f>
        <v xml:space="preserve">| 1 P PHP-CGM % | 3 L JAVA % | 4 L NS % | 5 P PRO % </v>
      </c>
      <c r="BH523" s="4" t="str">
        <f ca="1">IFERROR(__xludf.DUMMYFUNCTION("""COMPUTED_VALUE"""),"| 1 P Python % | 3 L PHP-CGM % | 4 L NS % | 5 P JAVA % ")</f>
        <v xml:space="preserve">| 1 P Python % | 3 L PHP-CGM % | 4 L NS % | 5 P JAVA % </v>
      </c>
      <c r="BI523" s="4" t="str">
        <f ca="1">IFERROR(__xludf.DUMMYFUNCTION("""COMPUTED_VALUE"""),"| 1 P Python % | 3 L CPT % | 4 L PHP-CGM % | 5 P NS % ")</f>
        <v xml:space="preserve">| 1 P Python % | 3 L CPT % | 4 L PHP-CGM % | 5 P NS % </v>
      </c>
      <c r="BJ523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K523" s="4" t="str">
        <f ca="1">IFERROR(__xludf.DUMMYFUNCTION("""COMPUTED_VALUE"""),"| 1 P JAVA % | 3 L CPT % | 4 L JAVA % | 5 L INE % ")</f>
        <v xml:space="preserve">| 1 P JAVA % | 3 L CPT % | 4 L JAVA % | 5 L INE % </v>
      </c>
      <c r="BL523" s="4" t="str">
        <f ca="1">IFERROR(__xludf.DUMMYFUNCTION("""COMPUTED_VALUE"""),"| 1 P PHP-CGM % | 3 L JAVA % | 4 L NS % | 5 P PRO @ ")</f>
        <v xml:space="preserve">| 1 P PHP-CGM % | 3 L JAVA % | 4 L NS % | 5 P PRO @ </v>
      </c>
      <c r="BM523" s="4" t="str">
        <f ca="1">IFERROR(__xludf.DUMMYFUNCTION("""COMPUTED_VALUE"""),"| 1 P Python @ | 3 L PHP-CGM @ | 4 L NS @ | 5 P JAVA @ ")</f>
        <v xml:space="preserve">| 1 P Python @ | 3 L PHP-CGM @ | 4 L NS @ | 5 P JAVA @ </v>
      </c>
      <c r="BN523" s="4" t="str">
        <f ca="1">IFERROR(__xludf.DUMMYFUNCTION("""COMPUTED_VALUE"""),"| 1 P Python % | 3 L CPT % | 4 L PHP-CGM % | 5 P NS @ ")</f>
        <v xml:space="preserve">| 1 P Python % | 3 L CPT % | 4 L PHP-CGM % | 5 P NS @ </v>
      </c>
      <c r="BO523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23" s="4" t="str">
        <f ca="1">IFERROR(__xludf.DUMMYFUNCTION("""COMPUTED_VALUE"""),"| 1 P JAVA % | 3 L CPT % | 4 L JAVA % | 5 L INE % ")</f>
        <v xml:space="preserve">| 1 P JAVA % | 3 L CPT % | 4 L JAVA % | 5 L INE % </v>
      </c>
      <c r="BQ523" s="4" t="str">
        <f ca="1">IFERROR(__xludf.DUMMYFUNCTION("""COMPUTED_VALUE"""),"| 4 L NS % | 5 P JAVA % ")</f>
        <v xml:space="preserve">| 4 L NS % | 5 P JAVA % </v>
      </c>
      <c r="BR523" s="4"/>
      <c r="BS523" s="4"/>
      <c r="BT523" s="4" t="str">
        <f ca="1">IFERROR(__xludf.DUMMYFUNCTION("""COMPUTED_VALUE"""),"| 1 P JAVA % | 3 L CPT % | 4 L JAVA % ")</f>
        <v xml:space="preserve">| 1 P JAVA % | 3 L CPT % | 4 L JAVA % </v>
      </c>
      <c r="BU523" s="4" t="str">
        <f ca="1">IFERROR(__xludf.DUMMYFUNCTION("""COMPUTED_VALUE"""),"| 1 P PHP-CGM % | 4 L NS @ | 3 L JAVA @ ")</f>
        <v xml:space="preserve">| 1 P PHP-CGM % | 4 L NS @ | 3 L JAVA @ </v>
      </c>
      <c r="BV523" s="4" t="str">
        <f ca="1">IFERROR(__xludf.DUMMYFUNCTION("""COMPUTED_VALUE"""),"| 1 P JAVA @ | 3 L CPT @ | 4 L JAVA @ ")</f>
        <v xml:space="preserve">| 1 P JAVA @ | 3 L CPT @ | 4 L JAVA @ </v>
      </c>
      <c r="BW523" s="4" t="str">
        <f ca="1">IFERROR(__xludf.DUMMYFUNCTION("""COMPUTED_VALUE"""),"| 1 P PHP-CGM % | 3 L JAVA % | 4 L NS % ")</f>
        <v xml:space="preserve">| 1 P PHP-CGM % | 3 L JAVA % | 4 L NS % </v>
      </c>
      <c r="BX523" s="4" t="str">
        <f ca="1">IFERROR(__xludf.DUMMYFUNCTION("""COMPUTED_VALUE"""),"| 1 P Python % | 3 L PHP-CGM % | 4 L NS % | 5 P JAVA @ ")</f>
        <v xml:space="preserve">| 1 P Python % | 3 L PHP-CGM % | 4 L NS % | 5 P JAVA @ </v>
      </c>
      <c r="BY523" s="4" t="str">
        <f ca="1">IFERROR(__xludf.DUMMYFUNCTION("""COMPUTED_VALUE"""),"| 1 P Python @ | 3 L CPT @ | 4 L PHP-CGM @ | 5 P NS @ ")</f>
        <v xml:space="preserve">| 1 P Python @ | 3 L CPT @ | 4 L PHP-CGM @ | 5 P NS @ </v>
      </c>
      <c r="BZ523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CA523" s="4" t="str">
        <f ca="1">IFERROR(__xludf.DUMMYFUNCTION("""COMPUTED_VALUE"""),"| 1 P JAVA % | 3 L CPT % | 4 L JAVA % | 5 L INE % ")</f>
        <v xml:space="preserve">| 1 P JAVA % | 3 L CPT % | 4 L JAVA % | 5 L INE % </v>
      </c>
      <c r="CB523" s="4" t="str">
        <f ca="1">IFERROR(__xludf.DUMMYFUNCTION("""COMPUTED_VALUE"""),"| 1 P PHP-CGM % | 3 L JAVA @ | 4 L NS @ | 5 P PRO @ ")</f>
        <v xml:space="preserve">| 1 P PHP-CGM % | 3 L JAVA @ | 4 L NS @ | 5 P PRO @ </v>
      </c>
      <c r="CC523" s="4" t="str">
        <f ca="1">IFERROR(__xludf.DUMMYFUNCTION("""COMPUTED_VALUE"""),"| 1 P Python % | 3 L PHP-CGM @ | 4 L NS @ | 5 P JAVA @ ")</f>
        <v xml:space="preserve">| 1 P Python % | 3 L PHP-CGM @ | 4 L NS @ | 5 P JAVA @ </v>
      </c>
      <c r="CD523" s="4" t="str">
        <f ca="1">IFERROR(__xludf.DUMMYFUNCTION("""COMPUTED_VALUE"""),"| 1 P Python @ | 3 L CPT @ | 4 L PHP-CGM @ | 5 P NS @ ")</f>
        <v xml:space="preserve">| 1 P Python @ | 3 L CPT @ | 4 L PHP-CGM @ | 5 P NS @ </v>
      </c>
      <c r="CE523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23" s="4" t="str">
        <f ca="1">IFERROR(__xludf.DUMMYFUNCTION("""COMPUTED_VALUE"""),"| 1 P JAVA % | 3 L CPT % | 4 L JAVA @ | 5 L INE @ ")</f>
        <v xml:space="preserve">| 1 P JAVA % | 3 L CPT % | 4 L JAVA @ | 5 L INE @ </v>
      </c>
      <c r="CG523" s="4" t="str">
        <f ca="1">IFERROR(__xludf.DUMMYFUNCTION("""COMPUTED_VALUE"""),"| 1 P PHP-CGM % | 4 L NS @ ")</f>
        <v xml:space="preserve">| 1 P PHP-CGM % | 4 L NS @ </v>
      </c>
      <c r="CH523" s="4" t="str">
        <f ca="1">IFERROR(__xludf.DUMMYFUNCTION("""COMPUTED_VALUE"""),"| 3 L PHP-CGM % | 4 L NS % ")</f>
        <v xml:space="preserve">| 3 L PHP-CGM % | 4 L NS % </v>
      </c>
      <c r="CI523" s="4" t="str">
        <f ca="1">IFERROR(__xludf.DUMMYFUNCTION("""COMPUTED_VALUE"""),"| 1 P Python @ | 5 P NS % ")</f>
        <v xml:space="preserve">| 1 P Python @ | 5 P NS % </v>
      </c>
      <c r="CJ523" s="4" t="str">
        <f ca="1">IFERROR(__xludf.DUMMYFUNCTION("""COMPUTED_VALUE"""),"| 4 L JAVA % | 1 P CPT % ")</f>
        <v xml:space="preserve">| 4 L JAVA % | 1 P CPT % </v>
      </c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</row>
    <row r="524" spans="1:102" ht="12.5" x14ac:dyDescent="0.25">
      <c r="A524" s="3">
        <f ca="1">IFERROR(__xludf.DUMMYFUNCTION("""COMPUTED_VALUE"""),3)</f>
        <v>3</v>
      </c>
      <c r="B524" s="3" t="str">
        <f ca="1">IFERROR(__xludf.DUMMYFUNCTION("""COMPUTED_VALUE"""),"ITC")</f>
        <v>ITC</v>
      </c>
      <c r="C524" s="32" t="str">
        <f ca="1">IFERROR(__xludf.DUMMYFUNCTION("""COMPUTED_VALUE"""),"23171371121")</f>
        <v>23171371121</v>
      </c>
      <c r="D524" s="4" t="str">
        <f ca="1">IFERROR(__xludf.DUMMYFUNCTION("""COMPUTED_VALUE"""),"PATEL YASHKUMAR PARESHKUMAR")</f>
        <v>PATEL YASHKUMAR PARESHKUMAR</v>
      </c>
      <c r="E524" s="3" t="str">
        <f ca="1">IFERROR(__xludf.DUMMYFUNCTION("""COMPUTED_VALUE"""),"SDP&amp;KKP - Mor")</f>
        <v>SDP&amp;KKP - Mor</v>
      </c>
      <c r="F524" s="3">
        <f ca="1">IFERROR(__xludf.DUMMYFUNCTION("""COMPUTED_VALUE"""),9773297823)</f>
        <v>9773297823</v>
      </c>
      <c r="G524" s="3">
        <f ca="1">IFERROR(__xludf.DUMMYFUNCTION("""COMPUTED_VALUE"""),9925546070)</f>
        <v>9925546070</v>
      </c>
      <c r="H524" s="33">
        <f ca="1">IFERROR(__xludf.DUMMYFUNCTION("""COMPUTED_VALUE"""),0.453061224489795)</f>
        <v>0.45306122448979502</v>
      </c>
      <c r="I524" s="25">
        <f ca="1">IFERROR(__xludf.DUMMYFUNCTION("""COMPUTED_VALUE"""),0.5)</f>
        <v>0.5</v>
      </c>
      <c r="J524" s="25">
        <f ca="1">IFERROR(__xludf.DUMMYFUNCTION("""COMPUTED_VALUE"""),0.25)</f>
        <v>0.25</v>
      </c>
      <c r="K524" s="25">
        <f ca="1">IFERROR(__xludf.DUMMYFUNCTION("""COMPUTED_VALUE"""),0.583333333333333)</f>
        <v>0.58333333333333304</v>
      </c>
      <c r="L524" s="25">
        <f ca="1">IFERROR(__xludf.DUMMYFUNCTION("""COMPUTED_VALUE"""),0.0769230769230769)</f>
        <v>7.69230769230769E-2</v>
      </c>
      <c r="M524" s="25">
        <f ca="1">IFERROR(__xludf.DUMMYFUNCTION("""COMPUTED_VALUE"""),0.6875)</f>
        <v>0.6875</v>
      </c>
      <c r="N524" s="25">
        <f ca="1">IFERROR(__xludf.DUMMYFUNCTION("""COMPUTED_VALUE"""),0.384615384615384)</f>
        <v>0.38461538461538403</v>
      </c>
      <c r="O524" s="25">
        <f ca="1">IFERROR(__xludf.DUMMYFUNCTION("""COMPUTED_VALUE"""),0.567567567567567)</f>
        <v>0.56756756756756699</v>
      </c>
      <c r="P524" s="25">
        <f ca="1">IFERROR(__xludf.DUMMYFUNCTION("""COMPUTED_VALUE"""),0.28)</f>
        <v>0.28000000000000003</v>
      </c>
      <c r="Q524" s="25">
        <f ca="1">IFERROR(__xludf.DUMMYFUNCTION("""COMPUTED_VALUE"""),0)</f>
        <v>0</v>
      </c>
      <c r="R524" s="25">
        <f ca="1">IFERROR(__xludf.DUMMYFUNCTION("""COMPUTED_VALUE"""),0.478260869565217)</f>
        <v>0.47826086956521702</v>
      </c>
      <c r="S524" s="25">
        <f ca="1">IFERROR(__xludf.DUMMYFUNCTION("""COMPUTED_VALUE"""),0)</f>
        <v>0</v>
      </c>
      <c r="T524" s="25">
        <f ca="1">IFERROR(__xludf.DUMMYFUNCTION("""COMPUTED_VALUE"""),0.2)</f>
        <v>0.2</v>
      </c>
      <c r="U524" s="25">
        <f ca="1">IFERROR(__xludf.DUMMYFUNCTION("""COMPUTED_VALUE"""),0)</f>
        <v>0</v>
      </c>
      <c r="V524" s="25">
        <f ca="1">IFERROR(__xludf.DUMMYFUNCTION("""COMPUTED_VALUE"""),0)</f>
        <v>0</v>
      </c>
      <c r="W524" s="4"/>
      <c r="X524" s="4" t="str">
        <f ca="1">IFERROR(__xludf.DUMMYFUNCTION("""COMPUTED_VALUE"""),"| 1 P Python @ | 3 L CPT @ | 4 L JAVA @ ")</f>
        <v xml:space="preserve">| 1 P Python @ | 3 L CPT @ | 4 L JAVA @ </v>
      </c>
      <c r="Y524" s="4" t="str">
        <f ca="1">IFERROR(__xludf.DUMMYFUNCTION("""COMPUTED_VALUE"""),"| 1 P JAVA @ | 3 L JAVA @ | 4 L NS @ | 5 P PRO @ ")</f>
        <v xml:space="preserve">| 1 P JAVA @ | 3 L JAVA @ | 4 L NS @ | 5 P PRO @ </v>
      </c>
      <c r="Z524" s="4" t="str">
        <f ca="1">IFERROR(__xludf.DUMMYFUNCTION("""COMPUTED_VALUE"""),"| 1 P JAVA % | 3 L PHP-CGM % | 4 L NS % | 5 P CPT @ ")</f>
        <v xml:space="preserve">| 1 P JAVA % | 3 L PHP-CGM % | 4 L NS % | 5 P CPT @ </v>
      </c>
      <c r="AA524" s="4" t="str">
        <f ca="1">IFERROR(__xludf.DUMMYFUNCTION("""COMPUTED_VALUE"""),"| 1 P NS @ | 3 L CPT @ | 5 P Python @ ")</f>
        <v xml:space="preserve">| 1 P NS @ | 3 L CPT @ | 5 P Python @ </v>
      </c>
      <c r="AB524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24" s="4" t="str">
        <f ca="1">IFERROR(__xludf.DUMMYFUNCTION("""COMPUTED_VALUE"""),"| 1 P JAVA @ | 3 L CPT @ | 4 L JAVA @ ")</f>
        <v xml:space="preserve">| 1 P JAVA @ | 3 L CPT @ | 4 L JAVA @ </v>
      </c>
      <c r="AD524" s="4" t="str">
        <f ca="1">IFERROR(__xludf.DUMMYFUNCTION("""COMPUTED_VALUE"""),"| 1 P PHP-CGM % | 3 L JAVA % | 4 L NS % | 5 P PRO % ")</f>
        <v xml:space="preserve">| 1 P PHP-CGM % | 3 L JAVA % | 4 L NS % | 5 P PRO % </v>
      </c>
      <c r="AE524" s="4" t="str">
        <f ca="1">IFERROR(__xludf.DUMMYFUNCTION("""COMPUTED_VALUE"""),"| 1 P Python % | 3 L PHP-CGM % | 4 L NS % | 5 P JAVA @ ")</f>
        <v xml:space="preserve">| 1 P Python % | 3 L PHP-CGM % | 4 L NS % | 5 P JAVA @ </v>
      </c>
      <c r="AF524" s="4" t="str">
        <f ca="1">IFERROR(__xludf.DUMMYFUNCTION("""COMPUTED_VALUE"""),"| 1 P Python @ | 3 L CPT % | 4 L PHP-CGM % | 5 P NS @ ")</f>
        <v xml:space="preserve">| 1 P Python @ | 3 L CPT % | 4 L PHP-CGM % | 5 P NS @ </v>
      </c>
      <c r="AG524" s="4" t="str">
        <f ca="1">IFERROR(__xludf.DUMMYFUNCTION("""COMPUTED_VALUE"""),"| 1 P CPT % | 3 L PHP-CGM % | 4 L JAVA % | 5 L CPT % | 6 L NS @ ")</f>
        <v xml:space="preserve">| 1 P CPT % | 3 L PHP-CGM % | 4 L JAVA % | 5 L CPT % | 6 L NS @ </v>
      </c>
      <c r="AH524" s="4" t="str">
        <f ca="1">IFERROR(__xludf.DUMMYFUNCTION("""COMPUTED_VALUE"""),"| 1 P Python % | 3 L CPT % | 4 L PHP-CGM % | 5 P NS @ ")</f>
        <v xml:space="preserve">| 1 P Python % | 3 L CPT % | 4 L PHP-CGM % | 5 P NS @ </v>
      </c>
      <c r="AI524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24" s="4" t="str">
        <f ca="1">IFERROR(__xludf.DUMMYFUNCTION("""COMPUTED_VALUE"""),"| 1 P JAVA @ | 3 L CPT @ | 4 L JAVA @ ")</f>
        <v xml:space="preserve">| 1 P JAVA @ | 3 L CPT @ | 4 L JAVA @ </v>
      </c>
      <c r="AK524" s="4" t="str">
        <f ca="1">IFERROR(__xludf.DUMMYFUNCTION("""COMPUTED_VALUE"""),"| 1 P PHP-CGM % | 4 L NS % | 3 L JAVA % | 5 P PRO @ ")</f>
        <v xml:space="preserve">| 1 P PHP-CGM % | 4 L NS % | 3 L JAVA % | 5 P PRO @ </v>
      </c>
      <c r="AL524" s="4" t="str">
        <f ca="1">IFERROR(__xludf.DUMMYFUNCTION("""COMPUTED_VALUE"""),"| 1 P Python % | 3 L PHP-CGM % | 4 L NS % | 5 P JAVA @ ")</f>
        <v xml:space="preserve">| 1 P Python % | 3 L PHP-CGM % | 4 L NS % | 5 P JAVA @ </v>
      </c>
      <c r="AM524" s="4" t="str">
        <f ca="1">IFERROR(__xludf.DUMMYFUNCTION("""COMPUTED_VALUE"""),"| 1 P Python % | 3 L CPT % | 4 L PHP-CGM % | 5 P NS @ ")</f>
        <v xml:space="preserve">| 1 P Python % | 3 L CPT % | 4 L PHP-CGM % | 5 P NS @ </v>
      </c>
      <c r="AN524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24" s="4" t="str">
        <f ca="1">IFERROR(__xludf.DUMMYFUNCTION("""COMPUTED_VALUE"""),"| 1 P JAVA % | 3 L CPT % | 4 L JAVA % | 5 L INE @ ")</f>
        <v xml:space="preserve">| 1 P JAVA % | 3 L CPT % | 4 L JAVA % | 5 L INE @ </v>
      </c>
      <c r="AP524" s="4" t="str">
        <f ca="1">IFERROR(__xludf.DUMMYFUNCTION("""COMPUTED_VALUE"""),"| 1 P PHP-CGM % | 3 L JAVA % | 4 L NS % | 5 P PRO @ ")</f>
        <v xml:space="preserve">| 1 P PHP-CGM % | 3 L JAVA % | 4 L NS % | 5 P PRO @ </v>
      </c>
      <c r="AQ524" s="4" t="str">
        <f ca="1">IFERROR(__xludf.DUMMYFUNCTION("""COMPUTED_VALUE"""),"| 1 P Python % | 3 L PHP-CGM % | 4 L NS % | 5 P JAVA % ")</f>
        <v xml:space="preserve">| 1 P Python % | 3 L PHP-CGM % | 4 L NS % | 5 P JAVA % </v>
      </c>
      <c r="AR524" s="4" t="str">
        <f ca="1">IFERROR(__xludf.DUMMYFUNCTION("""COMPUTED_VALUE"""),"| 1 P Python % | 3 L CPT % | 5 P NS @ ")</f>
        <v xml:space="preserve">| 1 P Python % | 3 L CPT % | 5 P NS @ </v>
      </c>
      <c r="AS524" s="4" t="str">
        <f ca="1">IFERROR(__xludf.DUMMYFUNCTION("""COMPUTED_VALUE"""),"| 1 P JAVA % | 3 L CPT % | 4 L JAVA % | 5 L INE @ ")</f>
        <v xml:space="preserve">| 1 P JAVA % | 3 L CPT % | 4 L JAVA % | 5 L INE @ </v>
      </c>
      <c r="AT524" s="4" t="str">
        <f ca="1">IFERROR(__xludf.DUMMYFUNCTION("""COMPUTED_VALUE"""),"| 1 P PHP-CGM @ | 3 L JAVA % | 1 P JAVA @ | 4 L NS % | 5 P PRO @ ")</f>
        <v xml:space="preserve">| 1 P PHP-CGM @ | 3 L JAVA % | 1 P JAVA @ | 4 L NS % | 5 P PRO @ </v>
      </c>
      <c r="AU524" s="4" t="str">
        <f ca="1">IFERROR(__xludf.DUMMYFUNCTION("""COMPUTED_VALUE"""),"| 1 P Python % | 3 L PHP-CGM % | 4 L NS % | 5 P JAVA @ ")</f>
        <v xml:space="preserve">| 1 P Python % | 3 L PHP-CGM % | 4 L NS % | 5 P JAVA @ </v>
      </c>
      <c r="AV524" s="4" t="str">
        <f ca="1">IFERROR(__xludf.DUMMYFUNCTION("""COMPUTED_VALUE"""),"| 1 P Python % | 3 L CPT % | 4 L PHP-CGM % | 5 P NS % ")</f>
        <v xml:space="preserve">| 1 P Python % | 3 L CPT % | 4 L PHP-CGM % | 5 P NS % </v>
      </c>
      <c r="AW524" s="4" t="str">
        <f ca="1">IFERROR(__xludf.DUMMYFUNCTION("""COMPUTED_VALUE"""),"| 1 P CPT @ | 3 L PHP-CGM % | 4 L JAVA % | 5 L NS @ | 5 L CPT @ ")</f>
        <v xml:space="preserve">| 1 P CPT @ | 3 L PHP-CGM % | 4 L JAVA % | 5 L NS @ | 5 L CPT @ </v>
      </c>
      <c r="AX524" s="4" t="str">
        <f ca="1">IFERROR(__xludf.DUMMYFUNCTION("""COMPUTED_VALUE"""),"| 1 P JAVA % | 3 L CPT % | 4 L JAVA % | 5 L INE @ ")</f>
        <v xml:space="preserve">| 1 P JAVA % | 3 L CPT % | 4 L JAVA % | 5 L INE @ </v>
      </c>
      <c r="AY524" s="4" t="str">
        <f ca="1">IFERROR(__xludf.DUMMYFUNCTION("""COMPUTED_VALUE"""),"| 1 P PHP-CGM @ | 3 L JAVA % | 4 L NS % | 5 P PRO @ ")</f>
        <v xml:space="preserve">| 1 P PHP-CGM @ | 3 L JAVA % | 4 L NS % | 5 P PRO @ </v>
      </c>
      <c r="AZ524" s="4" t="str">
        <f ca="1">IFERROR(__xludf.DUMMYFUNCTION("""COMPUTED_VALUE"""),"| 1 P Python @ | 3 L CPT % | 4 L PHP-CGM % | 5 P NS @ ")</f>
        <v xml:space="preserve">| 1 P Python @ | 3 L CPT % | 4 L PHP-CGM % | 5 P NS @ </v>
      </c>
      <c r="BA524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BB524" s="4" t="str">
        <f ca="1">IFERROR(__xludf.DUMMYFUNCTION("""COMPUTED_VALUE"""),"| 1 P JAVA @ | 3 L CPT % | 4 L JAVA % | 5 L INE @ ")</f>
        <v xml:space="preserve">| 1 P JAVA @ | 3 L CPT % | 4 L JAVA % | 5 L INE @ </v>
      </c>
      <c r="BC524" s="4" t="str">
        <f ca="1">IFERROR(__xludf.DUMMYFUNCTION("""COMPUTED_VALUE"""),"| 1 P PHP-CGM % | 3 L JAVA % | 4 L NS % | 5 P PRO % ")</f>
        <v xml:space="preserve">| 1 P PHP-CGM % | 3 L JAVA % | 4 L NS % | 5 P PRO % </v>
      </c>
      <c r="BD524" s="4" t="str">
        <f ca="1">IFERROR(__xludf.DUMMYFUNCTION("""COMPUTED_VALUE"""),"| 1 P Python % | 4 L NS %  | 3 L PHP-CGM % | 5 P JAVA % ")</f>
        <v xml:space="preserve">| 1 P Python % | 4 L NS %  | 3 L PHP-CGM % | 5 P JAVA % </v>
      </c>
      <c r="BE524" s="4" t="str">
        <f ca="1">IFERROR(__xludf.DUMMYFUNCTION("""COMPUTED_VALUE"""),"| 1 P Python @ | 3 L CPT % | 4 L PHP-CGM % | 5 P NS @ ")</f>
        <v xml:space="preserve">| 1 P Python @ | 3 L CPT % | 4 L PHP-CGM % | 5 P NS @ </v>
      </c>
      <c r="BF52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24" s="4" t="str">
        <f ca="1">IFERROR(__xludf.DUMMYFUNCTION("""COMPUTED_VALUE"""),"| 1 P PHP-CGM @ | 3 L JAVA @ | 4 L NS @ | 5 P PRO @ ")</f>
        <v xml:space="preserve">| 1 P PHP-CGM @ | 3 L JAVA @ | 4 L NS @ | 5 P PRO @ </v>
      </c>
      <c r="BH524" s="4" t="str">
        <f ca="1">IFERROR(__xludf.DUMMYFUNCTION("""COMPUTED_VALUE"""),"| 1 P Python @ | 3 L PHP-CGM % | 4 L NS % | 5 P JAVA @ ")</f>
        <v xml:space="preserve">| 1 P Python @ | 3 L PHP-CGM % | 4 L NS % | 5 P JAVA @ </v>
      </c>
      <c r="BI524" s="4" t="str">
        <f ca="1">IFERROR(__xludf.DUMMYFUNCTION("""COMPUTED_VALUE"""),"| 1 P Python % | 3 L CPT % | 4 L PHP-CGM % | 5 P NS @ ")</f>
        <v xml:space="preserve">| 1 P Python % | 3 L CPT % | 4 L PHP-CGM % | 5 P NS @ </v>
      </c>
      <c r="BJ524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BK524" s="4" t="str">
        <f ca="1">IFERROR(__xludf.DUMMYFUNCTION("""COMPUTED_VALUE"""),"| 1 P JAVA @ | 3 L CPT @ | 4 L JAVA @ | 5 L INE @ ")</f>
        <v xml:space="preserve">| 1 P JAVA @ | 3 L CPT @ | 4 L JAVA @ | 5 L INE @ </v>
      </c>
      <c r="BL524" s="4" t="str">
        <f ca="1">IFERROR(__xludf.DUMMYFUNCTION("""COMPUTED_VALUE"""),"| 1 P PHP-CGM @ | 3 L JAVA % | 4 L NS % | 5 P PRO @ ")</f>
        <v xml:space="preserve">| 1 P PHP-CGM @ | 3 L JAVA % | 4 L NS % | 5 P PRO @ </v>
      </c>
      <c r="BM524" s="4" t="str">
        <f ca="1">IFERROR(__xludf.DUMMYFUNCTION("""COMPUTED_VALUE"""),"| 1 P Python @ | 3 L PHP-CGM % | 4 L NS % | 5 P JAVA @ ")</f>
        <v xml:space="preserve">| 1 P Python @ | 3 L PHP-CGM % | 4 L NS % | 5 P JAVA @ </v>
      </c>
      <c r="BN524" s="4" t="str">
        <f ca="1">IFERROR(__xludf.DUMMYFUNCTION("""COMPUTED_VALUE"""),"| 1 P Python @ | 3 L CPT @ | 4 L PHP-CGM @ | 5 P NS @ ")</f>
        <v xml:space="preserve">| 1 P Python @ | 3 L CPT @ | 4 L PHP-CGM @ | 5 P NS @ </v>
      </c>
      <c r="BO524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24" s="4" t="str">
        <f ca="1">IFERROR(__xludf.DUMMYFUNCTION("""COMPUTED_VALUE"""),"| 1 P JAVA @ | 3 L CPT % | 4 L JAVA % | 5 L INE @ ")</f>
        <v xml:space="preserve">| 1 P JAVA @ | 3 L CPT % | 4 L JAVA % | 5 L INE @ </v>
      </c>
      <c r="BQ524" s="4" t="str">
        <f ca="1">IFERROR(__xludf.DUMMYFUNCTION("""COMPUTED_VALUE"""),"| 4 L NS @ | 5 P JAVA % ")</f>
        <v xml:space="preserve">| 4 L NS @ | 5 P JAVA % </v>
      </c>
      <c r="BR524" s="4"/>
      <c r="BS524" s="4"/>
      <c r="BT524" s="4" t="str">
        <f ca="1">IFERROR(__xludf.DUMMYFUNCTION("""COMPUTED_VALUE"""),"| 1 P JAVA @ | 3 L CPT @ | 4 L JAVA @ ")</f>
        <v xml:space="preserve">| 1 P JAVA @ | 3 L CPT @ | 4 L JAVA @ </v>
      </c>
      <c r="BU524" s="4" t="str">
        <f ca="1">IFERROR(__xludf.DUMMYFUNCTION("""COMPUTED_VALUE"""),"| 1 P PHP-CGM @ | 4 L NS % | 3 L JAVA % ")</f>
        <v xml:space="preserve">| 1 P PHP-CGM @ | 4 L NS % | 3 L JAVA % </v>
      </c>
      <c r="BV524" s="4" t="str">
        <f ca="1">IFERROR(__xludf.DUMMYFUNCTION("""COMPUTED_VALUE"""),"| 1 P JAVA @ | 3 L CPT @ | 4 L JAVA @ ")</f>
        <v xml:space="preserve">| 1 P JAVA @ | 3 L CPT @ | 4 L JAVA @ </v>
      </c>
      <c r="BW524" s="4" t="str">
        <f ca="1">IFERROR(__xludf.DUMMYFUNCTION("""COMPUTED_VALUE"""),"| 1 P PHP-CGM % | 3 L JAVA % | 4 L NS % ")</f>
        <v xml:space="preserve">| 1 P PHP-CGM % | 3 L JAVA % | 4 L NS % </v>
      </c>
      <c r="BX524" s="4" t="str">
        <f ca="1">IFERROR(__xludf.DUMMYFUNCTION("""COMPUTED_VALUE"""),"| 1 P Python @ | 3 L PHP-CGM % | 4 L NS % | 5 P JAVA @ ")</f>
        <v xml:space="preserve">| 1 P Python @ | 3 L PHP-CGM % | 4 L NS % | 5 P JAVA @ </v>
      </c>
      <c r="BY524" s="4" t="str">
        <f ca="1">IFERROR(__xludf.DUMMYFUNCTION("""COMPUTED_VALUE"""),"| 1 P Python @ | 3 L CPT @ | 4 L PHP-CGM @ | 5 P NS @ ")</f>
        <v xml:space="preserve">| 1 P Python @ | 3 L CPT @ | 4 L PHP-CGM @ | 5 P NS @ </v>
      </c>
      <c r="BZ52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24" s="4" t="str">
        <f ca="1">IFERROR(__xludf.DUMMYFUNCTION("""COMPUTED_VALUE"""),"| 1 P JAVA @ | 3 L CPT @ | 4 L JAVA @ | 5 L INE @ ")</f>
        <v xml:space="preserve">| 1 P JAVA @ | 3 L CPT @ | 4 L JAVA @ | 5 L INE @ </v>
      </c>
      <c r="CB524" s="4" t="str">
        <f ca="1">IFERROR(__xludf.DUMMYFUNCTION("""COMPUTED_VALUE"""),"| 1 P PHP-CGM @ | 3 L JAVA @ | 4 L NS @ | 5 P PRO @ ")</f>
        <v xml:space="preserve">| 1 P PHP-CGM @ | 3 L JAVA @ | 4 L NS @ | 5 P PRO @ </v>
      </c>
      <c r="CC524" s="4" t="str">
        <f ca="1">IFERROR(__xludf.DUMMYFUNCTION("""COMPUTED_VALUE"""),"| 1 P Python @ | 3 L PHP-CGM @ | 4 L NS @ | 5 P JAVA @ ")</f>
        <v xml:space="preserve">| 1 P Python @ | 3 L PHP-CGM @ | 4 L NS @ | 5 P JAVA @ </v>
      </c>
      <c r="CD524" s="4" t="str">
        <f ca="1">IFERROR(__xludf.DUMMYFUNCTION("""COMPUTED_VALUE"""),"| 1 P Python @ | 3 L CPT @ | 4 L PHP-CGM @ | 5 P NS @ ")</f>
        <v xml:space="preserve">| 1 P Python @ | 3 L CPT @ | 4 L PHP-CGM @ | 5 P NS @ </v>
      </c>
      <c r="CE52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24" s="4" t="str">
        <f ca="1">IFERROR(__xludf.DUMMYFUNCTION("""COMPUTED_VALUE"""),"| 1 P JAVA @ | 3 L CPT @ | 4 L JAVA @ | 5 L INE @ ")</f>
        <v xml:space="preserve">| 1 P JAVA @ | 3 L CPT @ | 4 L JAVA @ | 5 L INE @ </v>
      </c>
      <c r="CG524" s="4" t="str">
        <f ca="1">IFERROR(__xludf.DUMMYFUNCTION("""COMPUTED_VALUE"""),"| 1 P PHP-CGM @ | 4 L NS @ ")</f>
        <v xml:space="preserve">| 1 P PHP-CGM @ | 4 L NS @ </v>
      </c>
      <c r="CH524" s="4" t="str">
        <f ca="1">IFERROR(__xludf.DUMMYFUNCTION("""COMPUTED_VALUE"""),"| 3 L PHP-CGM @ | 4 L NS @ ")</f>
        <v xml:space="preserve">| 3 L PHP-CGM @ | 4 L NS @ </v>
      </c>
      <c r="CI524" s="4" t="str">
        <f ca="1">IFERROR(__xludf.DUMMYFUNCTION("""COMPUTED_VALUE"""),"| 1 P Python % | 5 P NS @ ")</f>
        <v xml:space="preserve">| 1 P Python % | 5 P NS @ </v>
      </c>
      <c r="CJ524" s="4" t="str">
        <f ca="1">IFERROR(__xludf.DUMMYFUNCTION("""COMPUTED_VALUE"""),"| 4 L JAVA % | 1 P CPT @ ")</f>
        <v xml:space="preserve">| 4 L JAVA % | 1 P CPT @ </v>
      </c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</row>
    <row r="525" spans="1:102" ht="12.5" x14ac:dyDescent="0.25">
      <c r="A525" s="3">
        <f ca="1">IFERROR(__xludf.DUMMYFUNCTION("""COMPUTED_VALUE"""),3)</f>
        <v>3</v>
      </c>
      <c r="B525" s="3" t="str">
        <f ca="1">IFERROR(__xludf.DUMMYFUNCTION("""COMPUTED_VALUE"""),"ITC")</f>
        <v>ITC</v>
      </c>
      <c r="C525" s="32" t="str">
        <f ca="1">IFERROR(__xludf.DUMMYFUNCTION("""COMPUTED_VALUE"""),"23171371122")</f>
        <v>23171371122</v>
      </c>
      <c r="D525" s="4" t="str">
        <f ca="1">IFERROR(__xludf.DUMMYFUNCTION("""COMPUTED_VALUE"""),"PATEL YUG DIPAKKUMAR")</f>
        <v>PATEL YUG DIPAKKUMAR</v>
      </c>
      <c r="E525" s="3" t="str">
        <f ca="1">IFERROR(__xludf.DUMMYFUNCTION("""COMPUTED_VALUE"""),"SDP&amp;KKP - Mor")</f>
        <v>SDP&amp;KKP - Mor</v>
      </c>
      <c r="F525" s="3">
        <f ca="1">IFERROR(__xludf.DUMMYFUNCTION("""COMPUTED_VALUE"""),6357154654)</f>
        <v>6357154654</v>
      </c>
      <c r="G525" s="3">
        <f ca="1">IFERROR(__xludf.DUMMYFUNCTION("""COMPUTED_VALUE"""),9904765283)</f>
        <v>9904765283</v>
      </c>
      <c r="H525" s="33">
        <f ca="1">IFERROR(__xludf.DUMMYFUNCTION("""COMPUTED_VALUE"""),0.66938775510204)</f>
        <v>0.66938775510203996</v>
      </c>
      <c r="I525" s="25">
        <f ca="1">IFERROR(__xludf.DUMMYFUNCTION("""COMPUTED_VALUE"""),0.777777777777777)</f>
        <v>0.77777777777777701</v>
      </c>
      <c r="J525" s="25">
        <f ca="1">IFERROR(__xludf.DUMMYFUNCTION("""COMPUTED_VALUE"""),0.916666666666666)</f>
        <v>0.91666666666666596</v>
      </c>
      <c r="K525" s="25">
        <f ca="1">IFERROR(__xludf.DUMMYFUNCTION("""COMPUTED_VALUE"""),0.694444444444444)</f>
        <v>0.69444444444444398</v>
      </c>
      <c r="L525" s="25">
        <f ca="1">IFERROR(__xludf.DUMMYFUNCTION("""COMPUTED_VALUE"""),0.538461538461538)</f>
        <v>0.53846153846153799</v>
      </c>
      <c r="M525" s="25">
        <f ca="1">IFERROR(__xludf.DUMMYFUNCTION("""COMPUTED_VALUE"""),0.8125)</f>
        <v>0.8125</v>
      </c>
      <c r="N525" s="25">
        <f ca="1">IFERROR(__xludf.DUMMYFUNCTION("""COMPUTED_VALUE"""),0.538461538461538)</f>
        <v>0.53846153846153799</v>
      </c>
      <c r="O525" s="25">
        <f ca="1">IFERROR(__xludf.DUMMYFUNCTION("""COMPUTED_VALUE"""),0.702702702702702)</f>
        <v>0.70270270270270196</v>
      </c>
      <c r="P525" s="25">
        <f ca="1">IFERROR(__xludf.DUMMYFUNCTION("""COMPUTED_VALUE"""),0.52)</f>
        <v>0.52</v>
      </c>
      <c r="Q525" s="25">
        <f ca="1">IFERROR(__xludf.DUMMYFUNCTION("""COMPUTED_VALUE"""),0)</f>
        <v>0</v>
      </c>
      <c r="R525" s="25">
        <f ca="1">IFERROR(__xludf.DUMMYFUNCTION("""COMPUTED_VALUE"""),0.521739130434782)</f>
        <v>0.52173913043478204</v>
      </c>
      <c r="S525" s="25">
        <f ca="1">IFERROR(__xludf.DUMMYFUNCTION("""COMPUTED_VALUE"""),0)</f>
        <v>0</v>
      </c>
      <c r="T525" s="25">
        <f ca="1">IFERROR(__xludf.DUMMYFUNCTION("""COMPUTED_VALUE"""),0.7)</f>
        <v>0.7</v>
      </c>
      <c r="U525" s="25">
        <f ca="1">IFERROR(__xludf.DUMMYFUNCTION("""COMPUTED_VALUE"""),0.25)</f>
        <v>0.25</v>
      </c>
      <c r="V525" s="25">
        <f ca="1">IFERROR(__xludf.DUMMYFUNCTION("""COMPUTED_VALUE"""),0)</f>
        <v>0</v>
      </c>
      <c r="W525" s="4"/>
      <c r="X525" s="4" t="str">
        <f ca="1">IFERROR(__xludf.DUMMYFUNCTION("""COMPUTED_VALUE"""),"| 1 P JAVA @ | 3 L CPT @ | 4 L JAVA @ ")</f>
        <v xml:space="preserve">| 1 P JAVA @ | 3 L CPT @ | 4 L JAVA @ </v>
      </c>
      <c r="Y525" s="4" t="str">
        <f ca="1">IFERROR(__xludf.DUMMYFUNCTION("""COMPUTED_VALUE"""),"| 1 P PHP-CGM @ | 3 L JAVA @ | 4 L NS @ | 5 P PRO @ ")</f>
        <v xml:space="preserve">| 1 P PHP-CGM @ | 3 L JAVA @ | 4 L NS @ | 5 P PRO @ </v>
      </c>
      <c r="Z525" s="4" t="str">
        <f ca="1">IFERROR(__xludf.DUMMYFUNCTION("""COMPUTED_VALUE"""),"| 1 P Python @ | 3 L PHP-CGM % | 4 L NS % | 5 P JAVA % ")</f>
        <v xml:space="preserve">| 1 P Python @ | 3 L PHP-CGM % | 4 L NS % | 5 P JAVA % </v>
      </c>
      <c r="AA525" s="4" t="str">
        <f ca="1">IFERROR(__xludf.DUMMYFUNCTION("""COMPUTED_VALUE"""),"| 1 P Python % | 3 L CPT % | 5 P NS % ")</f>
        <v xml:space="preserve">| 1 P Python % | 3 L CPT % | 5 P NS % </v>
      </c>
      <c r="AB525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25" s="4" t="str">
        <f ca="1">IFERROR(__xludf.DUMMYFUNCTION("""COMPUTED_VALUE"""),"| 1 P JAVA % | 3 L CPT % | 4 L JAVA % ")</f>
        <v xml:space="preserve">| 1 P JAVA % | 3 L CPT % | 4 L JAVA % </v>
      </c>
      <c r="AD525" s="4" t="str">
        <f ca="1">IFERROR(__xludf.DUMMYFUNCTION("""COMPUTED_VALUE"""),"| 1 P PHP-CGM % | 3 L JAVA % | 4 L NS % | 5 P PRO % ")</f>
        <v xml:space="preserve">| 1 P PHP-CGM % | 3 L JAVA % | 4 L NS % | 5 P PRO % </v>
      </c>
      <c r="AE525" s="4" t="str">
        <f ca="1">IFERROR(__xludf.DUMMYFUNCTION("""COMPUTED_VALUE"""),"| 1 P Python % | 3 L PHP-CGM % | 4 L NS % | 5 P JAVA % ")</f>
        <v xml:space="preserve">| 1 P Python % | 3 L PHP-CGM % | 4 L NS % | 5 P JAVA % </v>
      </c>
      <c r="AF525" s="4" t="str">
        <f ca="1">IFERROR(__xludf.DUMMYFUNCTION("""COMPUTED_VALUE"""),"| 1 P Python % | 3 L CPT % | 4 L PHP-CGM % | 5 P NS % ")</f>
        <v xml:space="preserve">| 1 P Python % | 3 L CPT % | 4 L PHP-CGM % | 5 P NS % </v>
      </c>
      <c r="AG525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25" s="4" t="str">
        <f ca="1">IFERROR(__xludf.DUMMYFUNCTION("""COMPUTED_VALUE"""),"| 1 P Python % | 3 L CPT % | 4 L PHP-CGM % | 5 P NS % ")</f>
        <v xml:space="preserve">| 1 P Python % | 3 L CPT % | 4 L PHP-CGM % | 5 P NS % </v>
      </c>
      <c r="AI525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25" s="4" t="str">
        <f ca="1">IFERROR(__xludf.DUMMYFUNCTION("""COMPUTED_VALUE"""),"| 1 P JAVA % | 3 L CPT % | 4 L JAVA % ")</f>
        <v xml:space="preserve">| 1 P JAVA % | 3 L CPT % | 4 L JAVA % </v>
      </c>
      <c r="AK525" s="4" t="str">
        <f ca="1">IFERROR(__xludf.DUMMYFUNCTION("""COMPUTED_VALUE"""),"| 1 P PHP-CGM % | 4 L NS % | 3 L JAVA % | 5 P PRO % ")</f>
        <v xml:space="preserve">| 1 P PHP-CGM % | 4 L NS % | 3 L JAVA % | 5 P PRO % </v>
      </c>
      <c r="AL525" s="4" t="str">
        <f ca="1">IFERROR(__xludf.DUMMYFUNCTION("""COMPUTED_VALUE"""),"| 1 P Python @ | 3 L PHP-CGM @ | 4 L NS @ | 5 P JAVA @ ")</f>
        <v xml:space="preserve">| 1 P Python @ | 3 L PHP-CGM @ | 4 L NS @ | 5 P JAVA @ </v>
      </c>
      <c r="AM525" s="4" t="str">
        <f ca="1">IFERROR(__xludf.DUMMYFUNCTION("""COMPUTED_VALUE"""),"| 1 P Python % | 3 L CPT % | 4 L PHP-CGM % | 5 P NS @ ")</f>
        <v xml:space="preserve">| 1 P Python % | 3 L CPT % | 4 L PHP-CGM % | 5 P NS @ </v>
      </c>
      <c r="AN525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25" s="4" t="str">
        <f ca="1">IFERROR(__xludf.DUMMYFUNCTION("""COMPUTED_VALUE"""),"| 1 P JAVA % | 3 L CPT % | 4 L JAVA % | 5 L INE @ ")</f>
        <v xml:space="preserve">| 1 P JAVA % | 3 L CPT % | 4 L JAVA % | 5 L INE @ </v>
      </c>
      <c r="AP525" s="4" t="str">
        <f ca="1">IFERROR(__xludf.DUMMYFUNCTION("""COMPUTED_VALUE"""),"| 1 P PHP-CGM @ | 3 L JAVA % | 4 L NS % | 5 P PRO % ")</f>
        <v xml:space="preserve">| 1 P PHP-CGM @ | 3 L JAVA % | 4 L NS % | 5 P PRO % </v>
      </c>
      <c r="AQ525" s="4" t="str">
        <f ca="1">IFERROR(__xludf.DUMMYFUNCTION("""COMPUTED_VALUE"""),"| 1 P Python @ | 3 L PHP-CGM % | 4 L NS % | 5 P JAVA @ ")</f>
        <v xml:space="preserve">| 1 P Python @ | 3 L PHP-CGM % | 4 L NS % | 5 P JAVA @ </v>
      </c>
      <c r="AR525" s="4" t="str">
        <f ca="1">IFERROR(__xludf.DUMMYFUNCTION("""COMPUTED_VALUE"""),"| 1 P Python @ | 3 L CPT % | 5 P NS % ")</f>
        <v xml:space="preserve">| 1 P Python @ | 3 L CPT % | 5 P NS % </v>
      </c>
      <c r="AS525" s="4" t="str">
        <f ca="1">IFERROR(__xludf.DUMMYFUNCTION("""COMPUTED_VALUE"""),"| 1 P JAVA % | 3 L CPT % | 4 L JAVA @ | 5 L INE @ ")</f>
        <v xml:space="preserve">| 1 P JAVA % | 3 L CPT % | 4 L JAVA @ | 5 L INE @ </v>
      </c>
      <c r="AT525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25" s="4" t="str">
        <f ca="1">IFERROR(__xludf.DUMMYFUNCTION("""COMPUTED_VALUE"""),"| 1 P Python % | 3 L PHP-CGM % | 4 L NS % | 5 P JAVA @ ")</f>
        <v xml:space="preserve">| 1 P Python % | 3 L PHP-CGM % | 4 L NS % | 5 P JAVA @ </v>
      </c>
      <c r="AV525" s="4" t="str">
        <f ca="1">IFERROR(__xludf.DUMMYFUNCTION("""COMPUTED_VALUE"""),"| 1 P Python % | 3 L CPT % | 4 L PHP-CGM % | 5 P NS @ ")</f>
        <v xml:space="preserve">| 1 P Python % | 3 L CPT % | 4 L PHP-CGM % | 5 P NS @ </v>
      </c>
      <c r="AW525" s="4" t="str">
        <f ca="1">IFERROR(__xludf.DUMMYFUNCTION("""COMPUTED_VALUE"""),"| 1 P CPT % | 3 L PHP-CGM % | 4 L JAVA @ | 5 L NS % | 5 L CPT @ ")</f>
        <v xml:space="preserve">| 1 P CPT % | 3 L PHP-CGM % | 4 L JAVA @ | 5 L NS % | 5 L CPT @ </v>
      </c>
      <c r="AX525" s="4" t="str">
        <f ca="1">IFERROR(__xludf.DUMMYFUNCTION("""COMPUTED_VALUE"""),"| 1 P JAVA % | 3 L CPT % | 4 L JAVA % | 5 L INE % ")</f>
        <v xml:space="preserve">| 1 P JAVA % | 3 L CPT % | 4 L JAVA % | 5 L INE % </v>
      </c>
      <c r="AY525" s="4" t="str">
        <f ca="1">IFERROR(__xludf.DUMMYFUNCTION("""COMPUTED_VALUE"""),"| 1 P PHP-CGM % | 3 L JAVA @ | 4 L NS % | 5 P PRO % ")</f>
        <v xml:space="preserve">| 1 P PHP-CGM % | 3 L JAVA @ | 4 L NS % | 5 P PRO % </v>
      </c>
      <c r="AZ525" s="4" t="str">
        <f ca="1">IFERROR(__xludf.DUMMYFUNCTION("""COMPUTED_VALUE"""),"| 1 P Python % | 3 L CPT % | 4 L PHP-CGM % | 5 P NS % ")</f>
        <v xml:space="preserve">| 1 P Python % | 3 L CPT % | 4 L PHP-CGM % | 5 P NS % </v>
      </c>
      <c r="BA525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B525" s="4" t="str">
        <f ca="1">IFERROR(__xludf.DUMMYFUNCTION("""COMPUTED_VALUE"""),"| 1 P JAVA % | 3 L CPT % | 4 L JAVA % | 5 L INE @ ")</f>
        <v xml:space="preserve">| 1 P JAVA % | 3 L CPT % | 4 L JAVA % | 5 L INE @ </v>
      </c>
      <c r="BC525" s="4" t="str">
        <f ca="1">IFERROR(__xludf.DUMMYFUNCTION("""COMPUTED_VALUE"""),"| 1 P PHP-CGM % | 3 L JAVA % | 4 L NS % | 5 P PRO % ")</f>
        <v xml:space="preserve">| 1 P PHP-CGM % | 3 L JAVA % | 4 L NS % | 5 P PRO % </v>
      </c>
      <c r="BD525" s="4" t="str">
        <f ca="1">IFERROR(__xludf.DUMMYFUNCTION("""COMPUTED_VALUE"""),"| 1 P Python @ | 4 L NS %  | 3 L PHP-CGM % | 5 P JAVA @ ")</f>
        <v xml:space="preserve">| 1 P Python @ | 4 L NS %  | 3 L PHP-CGM % | 5 P JAVA @ </v>
      </c>
      <c r="BE525" s="4" t="str">
        <f ca="1">IFERROR(__xludf.DUMMYFUNCTION("""COMPUTED_VALUE"""),"| 1 P Python @ | 3 L CPT @ | 4 L PHP-CGM @ | 5 P NS @ ")</f>
        <v xml:space="preserve">| 1 P Python @ | 3 L CPT @ | 4 L PHP-CGM @ | 5 P NS @ </v>
      </c>
      <c r="BF525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G525" s="4" t="str">
        <f ca="1">IFERROR(__xludf.DUMMYFUNCTION("""COMPUTED_VALUE"""),"| 1 P PHP-CGM @ | 3 L JAVA % | 4 L NS % | 5 P PRO % ")</f>
        <v xml:space="preserve">| 1 P PHP-CGM @ | 3 L JAVA % | 4 L NS % | 5 P PRO % </v>
      </c>
      <c r="BH525" s="4" t="str">
        <f ca="1">IFERROR(__xludf.DUMMYFUNCTION("""COMPUTED_VALUE"""),"| 1 P Python @ | 3 L PHP-CGM % | 4 L NS % | 5 P JAVA % ")</f>
        <v xml:space="preserve">| 1 P Python @ | 3 L PHP-CGM % | 4 L NS % | 5 P JAVA % </v>
      </c>
      <c r="BI525" s="4" t="str">
        <f ca="1">IFERROR(__xludf.DUMMYFUNCTION("""COMPUTED_VALUE"""),"| 1 P Python % | 3 L CPT % | 4 L PHP-CGM % | 5 P NS % ")</f>
        <v xml:space="preserve">| 1 P Python % | 3 L CPT % | 4 L PHP-CGM % | 5 P NS % </v>
      </c>
      <c r="BJ525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25" s="4" t="str">
        <f ca="1">IFERROR(__xludf.DUMMYFUNCTION("""COMPUTED_VALUE"""),"| 1 P JAVA @ | 3 L CPT @ | 4 L JAVA @ | 5 L INE @ ")</f>
        <v xml:space="preserve">| 1 P JAVA @ | 3 L CPT @ | 4 L JAVA @ | 5 L INE @ </v>
      </c>
      <c r="BL525" s="4" t="str">
        <f ca="1">IFERROR(__xludf.DUMMYFUNCTION("""COMPUTED_VALUE"""),"| 1 P PHP-CGM @ | 3 L JAVA @ | 4 L NS @ | 5 P PRO @ ")</f>
        <v xml:space="preserve">| 1 P PHP-CGM @ | 3 L JAVA @ | 4 L NS @ | 5 P PRO @ </v>
      </c>
      <c r="BM525" s="4" t="str">
        <f ca="1">IFERROR(__xludf.DUMMYFUNCTION("""COMPUTED_VALUE"""),"| 1 P Python % | 3 L PHP-CGM % | 4 L NS % | 5 P JAVA @ ")</f>
        <v xml:space="preserve">| 1 P Python % | 3 L PHP-CGM % | 4 L NS % | 5 P JAVA @ </v>
      </c>
      <c r="BN525" s="4" t="str">
        <f ca="1">IFERROR(__xludf.DUMMYFUNCTION("""COMPUTED_VALUE"""),"| 1 P Python % | 3 L CPT % | 4 L PHP-CGM % | 5 P NS @ ")</f>
        <v xml:space="preserve">| 1 P Python % | 3 L CPT % | 4 L PHP-CGM % | 5 P NS @ </v>
      </c>
      <c r="BO525" s="4" t="str">
        <f ca="1">IFERROR(__xludf.DUMMYFUNCTION("""COMPUTED_VALUE"""),"| 1 P CPT @ | 3 L PHP-CGM @ | 4 L JAVA % | 5 L NS @ | 6 L CPT % ")</f>
        <v xml:space="preserve">| 1 P CPT @ | 3 L PHP-CGM @ | 4 L JAVA % | 5 L NS @ | 6 L CPT % </v>
      </c>
      <c r="BP525" s="4" t="str">
        <f ca="1">IFERROR(__xludf.DUMMYFUNCTION("""COMPUTED_VALUE"""),"| 1 P JAVA % | 3 L CPT @ | 4 L JAVA @ | 5 L INE @ ")</f>
        <v xml:space="preserve">| 1 P JAVA % | 3 L CPT @ | 4 L JAVA @ | 5 L INE @ </v>
      </c>
      <c r="BQ525" s="4" t="str">
        <f ca="1">IFERROR(__xludf.DUMMYFUNCTION("""COMPUTED_VALUE"""),"| 4 L NS % | 5 P JAVA % ")</f>
        <v xml:space="preserve">| 4 L NS % | 5 P JAVA % </v>
      </c>
      <c r="BR525" s="4"/>
      <c r="BS525" s="4"/>
      <c r="BT525" s="4" t="str">
        <f ca="1">IFERROR(__xludf.DUMMYFUNCTION("""COMPUTED_VALUE"""),"| 1 P JAVA % | 3 L CPT % | 4 L JAVA % ")</f>
        <v xml:space="preserve">| 1 P JAVA % | 3 L CPT % | 4 L JAVA % </v>
      </c>
      <c r="BU525" s="4" t="str">
        <f ca="1">IFERROR(__xludf.DUMMYFUNCTION("""COMPUTED_VALUE"""),"| 1 P PHP-CGM % | 4 L NS @ | 3 L JAVA @ ")</f>
        <v xml:space="preserve">| 1 P PHP-CGM % | 4 L NS @ | 3 L JAVA @ </v>
      </c>
      <c r="BV525" s="4" t="str">
        <f ca="1">IFERROR(__xludf.DUMMYFUNCTION("""COMPUTED_VALUE"""),"| 1 P JAVA @ | 3 L CPT % | 4 L JAVA % ")</f>
        <v xml:space="preserve">| 1 P JAVA @ | 3 L CPT % | 4 L JAVA % </v>
      </c>
      <c r="BW525" s="4" t="str">
        <f ca="1">IFERROR(__xludf.DUMMYFUNCTION("""COMPUTED_VALUE"""),"| 1 P PHP-CGM @ | 3 L JAVA % | 4 L NS % ")</f>
        <v xml:space="preserve">| 1 P PHP-CGM @ | 3 L JAVA % | 4 L NS % </v>
      </c>
      <c r="BX525" s="4" t="str">
        <f ca="1">IFERROR(__xludf.DUMMYFUNCTION("""COMPUTED_VALUE"""),"| 1 P Python @ | 3 L PHP-CGM % | 4 L NS % | 5 P JAVA @ ")</f>
        <v xml:space="preserve">| 1 P Python @ | 3 L PHP-CGM % | 4 L NS % | 5 P JAVA @ </v>
      </c>
      <c r="BY525" s="4" t="str">
        <f ca="1">IFERROR(__xludf.DUMMYFUNCTION("""COMPUTED_VALUE"""),"| 1 P Python % | 3 L CPT % | 4 L PHP-CGM % | 5 P NS @ ")</f>
        <v xml:space="preserve">| 1 P Python % | 3 L CPT % | 4 L PHP-CGM % | 5 P NS @ </v>
      </c>
      <c r="BZ525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CA525" s="4" t="str">
        <f ca="1">IFERROR(__xludf.DUMMYFUNCTION("""COMPUTED_VALUE"""),"| 1 P JAVA @ | 3 L CPT % | 4 L JAVA % | 5 L INE % ")</f>
        <v xml:space="preserve">| 1 P JAVA @ | 3 L CPT % | 4 L JAVA % | 5 L INE % </v>
      </c>
      <c r="CB525" s="4" t="str">
        <f ca="1">IFERROR(__xludf.DUMMYFUNCTION("""COMPUTED_VALUE"""),"| 1 P PHP-CGM @ | 3 L JAVA @ | 4 L NS @ | 5 P PRO @ ")</f>
        <v xml:space="preserve">| 1 P PHP-CGM @ | 3 L JAVA @ | 4 L NS @ | 5 P PRO @ </v>
      </c>
      <c r="CC525" s="4" t="str">
        <f ca="1">IFERROR(__xludf.DUMMYFUNCTION("""COMPUTED_VALUE"""),"| 1 P Python @ | 3 L PHP-CGM % | 4 L NS % | 5 P JAVA @ ")</f>
        <v xml:space="preserve">| 1 P Python @ | 3 L PHP-CGM % | 4 L NS % | 5 P JAVA @ </v>
      </c>
      <c r="CD525" s="4" t="str">
        <f ca="1">IFERROR(__xludf.DUMMYFUNCTION("""COMPUTED_VALUE"""),"| 1 P Python @ | 3 L CPT @ | 4 L PHP-CGM @ | 5 P NS @ ")</f>
        <v xml:space="preserve">| 1 P Python @ | 3 L CPT @ | 4 L PHP-CGM @ | 5 P NS @ </v>
      </c>
      <c r="CE525" s="4" t="str">
        <f ca="1">IFERROR(__xludf.DUMMYFUNCTION("""COMPUTED_VALUE"""),"| 1 P CPT % | 3 L PHP-CGM @ | 4 L JAVA @ | 5 L NS @ | 6 L CPT % ")</f>
        <v xml:space="preserve">| 1 P CPT % | 3 L PHP-CGM @ | 4 L JAVA @ | 5 L NS @ | 6 L CPT % </v>
      </c>
      <c r="CF525" s="4" t="str">
        <f ca="1">IFERROR(__xludf.DUMMYFUNCTION("""COMPUTED_VALUE"""),"| 1 P JAVA % | 3 L CPT % | 4 L JAVA % | 5 L INE @ ")</f>
        <v xml:space="preserve">| 1 P JAVA % | 3 L CPT % | 4 L JAVA % | 5 L INE @ </v>
      </c>
      <c r="CG525" s="4" t="str">
        <f ca="1">IFERROR(__xludf.DUMMYFUNCTION("""COMPUTED_VALUE"""),"| 1 P PHP-CGM % | 4 L NS @ ")</f>
        <v xml:space="preserve">| 1 P PHP-CGM % | 4 L NS @ </v>
      </c>
      <c r="CH525" s="4" t="str">
        <f ca="1">IFERROR(__xludf.DUMMYFUNCTION("""COMPUTED_VALUE"""),"| 3 L PHP-CGM @ | 4 L NS @ ")</f>
        <v xml:space="preserve">| 3 L PHP-CGM @ | 4 L NS @ </v>
      </c>
      <c r="CI525" s="4" t="str">
        <f ca="1">IFERROR(__xludf.DUMMYFUNCTION("""COMPUTED_VALUE"""),"| 1 P Python @ | 5 P NS % ")</f>
        <v xml:space="preserve">| 1 P Python @ | 5 P NS % </v>
      </c>
      <c r="CJ525" s="4" t="str">
        <f ca="1">IFERROR(__xludf.DUMMYFUNCTION("""COMPUTED_VALUE"""),"| 4 L JAVA % | 1 P CPT % ")</f>
        <v xml:space="preserve">| 4 L JAVA % | 1 P CPT % </v>
      </c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</row>
    <row r="526" spans="1:102" ht="12.5" x14ac:dyDescent="0.25">
      <c r="A526" s="3">
        <f ca="1">IFERROR(__xludf.DUMMYFUNCTION("""COMPUTED_VALUE"""),3)</f>
        <v>3</v>
      </c>
      <c r="B526" s="3" t="str">
        <f ca="1">IFERROR(__xludf.DUMMYFUNCTION("""COMPUTED_VALUE"""),"ITC")</f>
        <v>ITC</v>
      </c>
      <c r="C526" s="32" t="str">
        <f ca="1">IFERROR(__xludf.DUMMYFUNCTION("""COMPUTED_VALUE"""),"23171371123")</f>
        <v>23171371123</v>
      </c>
      <c r="D526" s="4" t="str">
        <f ca="1">IFERROR(__xludf.DUMMYFUNCTION("""COMPUTED_VALUE"""),"PATEL YUGKUMAR PARESHKUMAR")</f>
        <v>PATEL YUGKUMAR PARESHKUMAR</v>
      </c>
      <c r="E526" s="3" t="str">
        <f ca="1">IFERROR(__xludf.DUMMYFUNCTION("""COMPUTED_VALUE"""),"SDP&amp;KKP - Mor")</f>
        <v>SDP&amp;KKP - Mor</v>
      </c>
      <c r="F526" s="3">
        <f ca="1">IFERROR(__xludf.DUMMYFUNCTION("""COMPUTED_VALUE"""),6352405252)</f>
        <v>6352405252</v>
      </c>
      <c r="G526" s="3">
        <f ca="1">IFERROR(__xludf.DUMMYFUNCTION("""COMPUTED_VALUE"""),9925546070)</f>
        <v>9925546070</v>
      </c>
      <c r="H526" s="33">
        <f ca="1">IFERROR(__xludf.DUMMYFUNCTION("""COMPUTED_VALUE"""),0.461224489795918)</f>
        <v>0.46122448979591801</v>
      </c>
      <c r="I526" s="25">
        <f ca="1">IFERROR(__xludf.DUMMYFUNCTION("""COMPUTED_VALUE"""),0.444444444444444)</f>
        <v>0.44444444444444398</v>
      </c>
      <c r="J526" s="25">
        <f ca="1">IFERROR(__xludf.DUMMYFUNCTION("""COMPUTED_VALUE"""),0.333333333333333)</f>
        <v>0.33333333333333298</v>
      </c>
      <c r="K526" s="25">
        <f ca="1">IFERROR(__xludf.DUMMYFUNCTION("""COMPUTED_VALUE"""),0.638888888888888)</f>
        <v>0.63888888888888795</v>
      </c>
      <c r="L526" s="25">
        <f ca="1">IFERROR(__xludf.DUMMYFUNCTION("""COMPUTED_VALUE"""),0.153846153846153)</f>
        <v>0.15384615384615299</v>
      </c>
      <c r="M526" s="25">
        <f ca="1">IFERROR(__xludf.DUMMYFUNCTION("""COMPUTED_VALUE"""),0.6875)</f>
        <v>0.6875</v>
      </c>
      <c r="N526" s="25">
        <f ca="1">IFERROR(__xludf.DUMMYFUNCTION("""COMPUTED_VALUE"""),0.384615384615384)</f>
        <v>0.38461538461538403</v>
      </c>
      <c r="O526" s="25">
        <f ca="1">IFERROR(__xludf.DUMMYFUNCTION("""COMPUTED_VALUE"""),0.594594594594594)</f>
        <v>0.59459459459459396</v>
      </c>
      <c r="P526" s="25">
        <f ca="1">IFERROR(__xludf.DUMMYFUNCTION("""COMPUTED_VALUE"""),0.2)</f>
        <v>0.2</v>
      </c>
      <c r="Q526" s="25">
        <f ca="1">IFERROR(__xludf.DUMMYFUNCTION("""COMPUTED_VALUE"""),0)</f>
        <v>0</v>
      </c>
      <c r="R526" s="25">
        <f ca="1">IFERROR(__xludf.DUMMYFUNCTION("""COMPUTED_VALUE"""),0.521739130434782)</f>
        <v>0.52173913043478204</v>
      </c>
      <c r="S526" s="25">
        <f ca="1">IFERROR(__xludf.DUMMYFUNCTION("""COMPUTED_VALUE"""),0)</f>
        <v>0</v>
      </c>
      <c r="T526" s="25">
        <f ca="1">IFERROR(__xludf.DUMMYFUNCTION("""COMPUTED_VALUE"""),0.2)</f>
        <v>0.2</v>
      </c>
      <c r="U526" s="25">
        <f ca="1">IFERROR(__xludf.DUMMYFUNCTION("""COMPUTED_VALUE"""),0)</f>
        <v>0</v>
      </c>
      <c r="V526" s="25">
        <f ca="1">IFERROR(__xludf.DUMMYFUNCTION("""COMPUTED_VALUE"""),0)</f>
        <v>0</v>
      </c>
      <c r="W526" s="4"/>
      <c r="X526" s="4" t="str">
        <f ca="1">IFERROR(__xludf.DUMMYFUNCTION("""COMPUTED_VALUE"""),"| 1 P Python @ | 3 L CPT @ | 4 L JAVA @ ")</f>
        <v xml:space="preserve">| 1 P Python @ | 3 L CPT @ | 4 L JAVA @ </v>
      </c>
      <c r="Y526" s="4" t="str">
        <f ca="1">IFERROR(__xludf.DUMMYFUNCTION("""COMPUTED_VALUE"""),"| 1 P JAVA @ | 3 L JAVA @ | 4 L NS @ | 5 P PRO @ ")</f>
        <v xml:space="preserve">| 1 P JAVA @ | 3 L JAVA @ | 4 L NS @ | 5 P PRO @ </v>
      </c>
      <c r="Z526" s="4" t="str">
        <f ca="1">IFERROR(__xludf.DUMMYFUNCTION("""COMPUTED_VALUE"""),"| 1 P JAVA % | 3 L PHP-CGM % | 4 L NS % | 5 P CPT @ ")</f>
        <v xml:space="preserve">| 1 P JAVA % | 3 L PHP-CGM % | 4 L NS % | 5 P CPT @ </v>
      </c>
      <c r="AA526" s="4" t="str">
        <f ca="1">IFERROR(__xludf.DUMMYFUNCTION("""COMPUTED_VALUE"""),"| 1 P NS @ | 3 L CPT @ | 5 P Python @ ")</f>
        <v xml:space="preserve">| 1 P NS @ | 3 L CPT @ | 5 P Python @ </v>
      </c>
      <c r="AB526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26" s="4" t="str">
        <f ca="1">IFERROR(__xludf.DUMMYFUNCTION("""COMPUTED_VALUE"""),"| 1 P JAVA @ | 3 L CPT @ | 4 L JAVA @ ")</f>
        <v xml:space="preserve">| 1 P JAVA @ | 3 L CPT @ | 4 L JAVA @ </v>
      </c>
      <c r="AD526" s="4" t="str">
        <f ca="1">IFERROR(__xludf.DUMMYFUNCTION("""COMPUTED_VALUE"""),"| 1 P PHP-CGM % | 3 L JAVA % | 4 L NS % | 5 P PRO % ")</f>
        <v xml:space="preserve">| 1 P PHP-CGM % | 3 L JAVA % | 4 L NS % | 5 P PRO % </v>
      </c>
      <c r="AE526" s="4" t="str">
        <f ca="1">IFERROR(__xludf.DUMMYFUNCTION("""COMPUTED_VALUE"""),"| 1 P Python % | 3 L PHP-CGM % | 4 L NS % | 5 P JAVA @ ")</f>
        <v xml:space="preserve">| 1 P Python % | 3 L PHP-CGM % | 4 L NS % | 5 P JAVA @ </v>
      </c>
      <c r="AF526" s="4" t="str">
        <f ca="1">IFERROR(__xludf.DUMMYFUNCTION("""COMPUTED_VALUE"""),"| 1 P Python % | 3 L CPT % | 4 L PHP-CGM % | 5 P NS @ ")</f>
        <v xml:space="preserve">| 1 P Python % | 3 L CPT % | 4 L PHP-CGM % | 5 P NS @ </v>
      </c>
      <c r="AG526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26" s="4" t="str">
        <f ca="1">IFERROR(__xludf.DUMMYFUNCTION("""COMPUTED_VALUE"""),"| 1 P Python % | 3 L CPT % | 4 L PHP-CGM % | 5 P NS @ ")</f>
        <v xml:space="preserve">| 1 P Python % | 3 L CPT % | 4 L PHP-CGM % | 5 P NS @ </v>
      </c>
      <c r="AI526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26" s="4" t="str">
        <f ca="1">IFERROR(__xludf.DUMMYFUNCTION("""COMPUTED_VALUE"""),"| 1 P JAVA @ | 3 L CPT @ | 4 L JAVA % ")</f>
        <v xml:space="preserve">| 1 P JAVA @ | 3 L CPT @ | 4 L JAVA % </v>
      </c>
      <c r="AK526" s="4" t="str">
        <f ca="1">IFERROR(__xludf.DUMMYFUNCTION("""COMPUTED_VALUE"""),"| 1 P PHP-CGM % | 4 L NS % | 3 L JAVA % | 5 P PRO @ ")</f>
        <v xml:space="preserve">| 1 P PHP-CGM % | 4 L NS % | 3 L JAVA % | 5 P PRO @ </v>
      </c>
      <c r="AL526" s="4" t="str">
        <f ca="1">IFERROR(__xludf.DUMMYFUNCTION("""COMPUTED_VALUE"""),"| 1 P Python % | 3 L PHP-CGM % | 4 L NS % | 5 P JAVA @ ")</f>
        <v xml:space="preserve">| 1 P Python % | 3 L PHP-CGM % | 4 L NS % | 5 P JAVA @ </v>
      </c>
      <c r="AM526" s="4" t="str">
        <f ca="1">IFERROR(__xludf.DUMMYFUNCTION("""COMPUTED_VALUE"""),"| 1 P Python % | 3 L CPT @ | 4 L PHP-CGM % | 5 P NS @ ")</f>
        <v xml:space="preserve">| 1 P Python % | 3 L CPT @ | 4 L PHP-CGM % | 5 P NS @ </v>
      </c>
      <c r="AN526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26" s="4" t="str">
        <f ca="1">IFERROR(__xludf.DUMMYFUNCTION("""COMPUTED_VALUE"""),"| 1 P JAVA % | 3 L CPT % | 4 L JAVA % | 5 L INE @ ")</f>
        <v xml:space="preserve">| 1 P JAVA % | 3 L CPT % | 4 L JAVA % | 5 L INE @ </v>
      </c>
      <c r="AP526" s="4" t="str">
        <f ca="1">IFERROR(__xludf.DUMMYFUNCTION("""COMPUTED_VALUE"""),"| 1 P PHP-CGM % | 3 L JAVA % | 4 L NS % | 5 P PRO @ ")</f>
        <v xml:space="preserve">| 1 P PHP-CGM % | 3 L JAVA % | 4 L NS % | 5 P PRO @ </v>
      </c>
      <c r="AQ526" s="4" t="str">
        <f ca="1">IFERROR(__xludf.DUMMYFUNCTION("""COMPUTED_VALUE"""),"| 1 P Python % | 3 L PHP-CGM % | 4 L NS % | 5 P JAVA % ")</f>
        <v xml:space="preserve">| 1 P Python % | 3 L PHP-CGM % | 4 L NS % | 5 P JAVA % </v>
      </c>
      <c r="AR526" s="4" t="str">
        <f ca="1">IFERROR(__xludf.DUMMYFUNCTION("""COMPUTED_VALUE"""),"| 1 P Python % | 3 L CPT % | 5 P NS @ ")</f>
        <v xml:space="preserve">| 1 P Python % | 3 L CPT % | 5 P NS @ </v>
      </c>
      <c r="AS526" s="4" t="str">
        <f ca="1">IFERROR(__xludf.DUMMYFUNCTION("""COMPUTED_VALUE"""),"| 1 P JAVA % | 3 L CPT % | 4 L JAVA % | 5 L INE @ ")</f>
        <v xml:space="preserve">| 1 P JAVA % | 3 L CPT % | 4 L JAVA % | 5 L INE @ </v>
      </c>
      <c r="AT526" s="4" t="str">
        <f ca="1">IFERROR(__xludf.DUMMYFUNCTION("""COMPUTED_VALUE"""),"| 1 P PHP-CGM % | 3 L JAVA % | 1 P JAVA @ | 4 L NS % | 5 P PRO @ ")</f>
        <v xml:space="preserve">| 1 P PHP-CGM % | 3 L JAVA % | 1 P JAVA @ | 4 L NS % | 5 P PRO @ </v>
      </c>
      <c r="AU526" s="4" t="str">
        <f ca="1">IFERROR(__xludf.DUMMYFUNCTION("""COMPUTED_VALUE"""),"| 1 P Python % | 3 L PHP-CGM % | 4 L NS % | 5 P JAVA @ ")</f>
        <v xml:space="preserve">| 1 P Python % | 3 L PHP-CGM % | 4 L NS % | 5 P JAVA @ </v>
      </c>
      <c r="AV526" s="4" t="str">
        <f ca="1">IFERROR(__xludf.DUMMYFUNCTION("""COMPUTED_VALUE"""),"| 1 P Python % | 3 L CPT % | 4 L PHP-CGM % | 5 P NS % ")</f>
        <v xml:space="preserve">| 1 P Python % | 3 L CPT % | 4 L PHP-CGM % | 5 P NS % </v>
      </c>
      <c r="AW526" s="4" t="str">
        <f ca="1">IFERROR(__xludf.DUMMYFUNCTION("""COMPUTED_VALUE"""),"| 1 P CPT @ | 3 L PHP-CGM % | 4 L JAVA % | 5 L NS @ | 5 L CPT @ ")</f>
        <v xml:space="preserve">| 1 P CPT @ | 3 L PHP-CGM % | 4 L JAVA % | 5 L NS @ | 5 L CPT @ </v>
      </c>
      <c r="AX526" s="4" t="str">
        <f ca="1">IFERROR(__xludf.DUMMYFUNCTION("""COMPUTED_VALUE"""),"| 1 P JAVA @ | 3 L CPT % | 4 L JAVA % | 5 L INE @ ")</f>
        <v xml:space="preserve">| 1 P JAVA @ | 3 L CPT % | 4 L JAVA % | 5 L INE @ </v>
      </c>
      <c r="AY526" s="4" t="str">
        <f ca="1">IFERROR(__xludf.DUMMYFUNCTION("""COMPUTED_VALUE"""),"| 1 P PHP-CGM @ | 3 L JAVA % | 4 L NS % | 5 P PRO @ ")</f>
        <v xml:space="preserve">| 1 P PHP-CGM @ | 3 L JAVA % | 4 L NS % | 5 P PRO @ </v>
      </c>
      <c r="AZ526" s="4" t="str">
        <f ca="1">IFERROR(__xludf.DUMMYFUNCTION("""COMPUTED_VALUE"""),"| 1 P Python @ | 3 L CPT % | 4 L PHP-CGM % | 5 P NS @ ")</f>
        <v xml:space="preserve">| 1 P Python @ | 3 L CPT % | 4 L PHP-CGM % | 5 P NS @ </v>
      </c>
      <c r="BA526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BB526" s="4" t="str">
        <f ca="1">IFERROR(__xludf.DUMMYFUNCTION("""COMPUTED_VALUE"""),"| 1 P JAVA @ | 3 L CPT % | 4 L JAVA % | 5 L INE @ ")</f>
        <v xml:space="preserve">| 1 P JAVA @ | 3 L CPT % | 4 L JAVA % | 5 L INE @ </v>
      </c>
      <c r="BC526" s="4" t="str">
        <f ca="1">IFERROR(__xludf.DUMMYFUNCTION("""COMPUTED_VALUE"""),"| 1 P PHP-CGM % | 3 L JAVA % | 4 L NS % | 5 P PRO % ")</f>
        <v xml:space="preserve">| 1 P PHP-CGM % | 3 L JAVA % | 4 L NS % | 5 P PRO % </v>
      </c>
      <c r="BD526" s="4" t="str">
        <f ca="1">IFERROR(__xludf.DUMMYFUNCTION("""COMPUTED_VALUE"""),"| 1 P Python % | 4 L NS %  | 3 L PHP-CGM % | 5 P JAVA @ ")</f>
        <v xml:space="preserve">| 1 P Python % | 4 L NS %  | 3 L PHP-CGM % | 5 P JAVA @ </v>
      </c>
      <c r="BE526" s="4" t="str">
        <f ca="1">IFERROR(__xludf.DUMMYFUNCTION("""COMPUTED_VALUE"""),"| 1 P Python @ | 3 L CPT % | 4 L PHP-CGM % | 5 P NS @ ")</f>
        <v xml:space="preserve">| 1 P Python @ | 3 L CPT % | 4 L PHP-CGM % | 5 P NS @ </v>
      </c>
      <c r="BF526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26" s="4" t="str">
        <f ca="1">IFERROR(__xludf.DUMMYFUNCTION("""COMPUTED_VALUE"""),"| 1 P PHP-CGM @ | 3 L JAVA @ | 4 L NS @ | 5 P PRO @ ")</f>
        <v xml:space="preserve">| 1 P PHP-CGM @ | 3 L JAVA @ | 4 L NS @ | 5 P PRO @ </v>
      </c>
      <c r="BH526" s="4" t="str">
        <f ca="1">IFERROR(__xludf.DUMMYFUNCTION("""COMPUTED_VALUE"""),"| 1 P Python @ | 3 L PHP-CGM % | 4 L NS % | 5 P JAVA @ ")</f>
        <v xml:space="preserve">| 1 P Python @ | 3 L PHP-CGM % | 4 L NS % | 5 P JAVA @ </v>
      </c>
      <c r="BI526" s="4" t="str">
        <f ca="1">IFERROR(__xludf.DUMMYFUNCTION("""COMPUTED_VALUE"""),"| 1 P Python % | 3 L CPT % | 4 L PHP-CGM % | 5 P NS @ ")</f>
        <v xml:space="preserve">| 1 P Python % | 3 L CPT % | 4 L PHP-CGM % | 5 P NS @ </v>
      </c>
      <c r="BJ526" s="4" t="str">
        <f ca="1">IFERROR(__xludf.DUMMYFUNCTION("""COMPUTED_VALUE"""),"| 1 P CPT % | 3 L PHP-CGM % | 4 L JAVA % | 5 L NS % | 6 L CPT @ ")</f>
        <v xml:space="preserve">| 1 P CPT % | 3 L PHP-CGM % | 4 L JAVA % | 5 L NS % | 6 L CPT @ </v>
      </c>
      <c r="BK526" s="4" t="str">
        <f ca="1">IFERROR(__xludf.DUMMYFUNCTION("""COMPUTED_VALUE"""),"| 1 P JAVA @ | 3 L CPT @ | 4 L JAVA @ | 5 L INE @ ")</f>
        <v xml:space="preserve">| 1 P JAVA @ | 3 L CPT @ | 4 L JAVA @ | 5 L INE @ </v>
      </c>
      <c r="BL526" s="4" t="str">
        <f ca="1">IFERROR(__xludf.DUMMYFUNCTION("""COMPUTED_VALUE"""),"| 1 P PHP-CGM @ | 3 L JAVA % | 4 L NS % | 5 P PRO @ ")</f>
        <v xml:space="preserve">| 1 P PHP-CGM @ | 3 L JAVA % | 4 L NS % | 5 P PRO @ </v>
      </c>
      <c r="BM526" s="4" t="str">
        <f ca="1">IFERROR(__xludf.DUMMYFUNCTION("""COMPUTED_VALUE"""),"| 1 P Python @ | 3 L PHP-CGM % | 4 L NS % | 5 P JAVA @ ")</f>
        <v xml:space="preserve">| 1 P Python @ | 3 L PHP-CGM % | 4 L NS % | 5 P JAVA @ </v>
      </c>
      <c r="BN526" s="4" t="str">
        <f ca="1">IFERROR(__xludf.DUMMYFUNCTION("""COMPUTED_VALUE"""),"| 1 P Python @ | 3 L CPT @ | 4 L PHP-CGM @ | 5 P NS @ ")</f>
        <v xml:space="preserve">| 1 P Python @ | 3 L CPT @ | 4 L PHP-CGM @ | 5 P NS @ </v>
      </c>
      <c r="BO526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26" s="4" t="str">
        <f ca="1">IFERROR(__xludf.DUMMYFUNCTION("""COMPUTED_VALUE"""),"| 1 P JAVA @ | 3 L CPT % | 4 L JAVA % | 5 L INE @ ")</f>
        <v xml:space="preserve">| 1 P JAVA @ | 3 L CPT % | 4 L JAVA % | 5 L INE @ </v>
      </c>
      <c r="BQ526" s="4" t="str">
        <f ca="1">IFERROR(__xludf.DUMMYFUNCTION("""COMPUTED_VALUE"""),"| 4 L NS % | 5 P JAVA % ")</f>
        <v xml:space="preserve">| 4 L NS % | 5 P JAVA % </v>
      </c>
      <c r="BR526" s="4"/>
      <c r="BS526" s="4"/>
      <c r="BT526" s="4" t="str">
        <f ca="1">IFERROR(__xludf.DUMMYFUNCTION("""COMPUTED_VALUE"""),"| 1 P JAVA @ | 3 L CPT @ | 4 L JAVA @ ")</f>
        <v xml:space="preserve">| 1 P JAVA @ | 3 L CPT @ | 4 L JAVA @ </v>
      </c>
      <c r="BU526" s="4" t="str">
        <f ca="1">IFERROR(__xludf.DUMMYFUNCTION("""COMPUTED_VALUE"""),"| 1 P PHP-CGM @ | 4 L NS % | 3 L JAVA % ")</f>
        <v xml:space="preserve">| 1 P PHP-CGM @ | 4 L NS % | 3 L JAVA % </v>
      </c>
      <c r="BV526" s="4" t="str">
        <f ca="1">IFERROR(__xludf.DUMMYFUNCTION("""COMPUTED_VALUE"""),"| 1 P JAVA @ | 3 L CPT @ | 4 L JAVA @ ")</f>
        <v xml:space="preserve">| 1 P JAVA @ | 3 L CPT @ | 4 L JAVA @ </v>
      </c>
      <c r="BW526" s="4" t="str">
        <f ca="1">IFERROR(__xludf.DUMMYFUNCTION("""COMPUTED_VALUE"""),"| 1 P PHP-CGM @ | 3 L JAVA % | 4 L NS % ")</f>
        <v xml:space="preserve">| 1 P PHP-CGM @ | 3 L JAVA % | 4 L NS % </v>
      </c>
      <c r="BX526" s="4" t="str">
        <f ca="1">IFERROR(__xludf.DUMMYFUNCTION("""COMPUTED_VALUE"""),"| 1 P Python @ | 3 L PHP-CGM % | 4 L NS % | 5 P JAVA @ ")</f>
        <v xml:space="preserve">| 1 P Python @ | 3 L PHP-CGM % | 4 L NS % | 5 P JAVA @ </v>
      </c>
      <c r="BY526" s="4" t="str">
        <f ca="1">IFERROR(__xludf.DUMMYFUNCTION("""COMPUTED_VALUE"""),"| 1 P Python @ | 3 L CPT @ | 4 L PHP-CGM @ | 5 P NS @ ")</f>
        <v xml:space="preserve">| 1 P Python @ | 3 L CPT @ | 4 L PHP-CGM @ | 5 P NS @ </v>
      </c>
      <c r="BZ526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26" s="4" t="str">
        <f ca="1">IFERROR(__xludf.DUMMYFUNCTION("""COMPUTED_VALUE"""),"| 1 P JAVA @ | 3 L CPT @ | 4 L JAVA @ | 5 L INE @ ")</f>
        <v xml:space="preserve">| 1 P JAVA @ | 3 L CPT @ | 4 L JAVA @ | 5 L INE @ </v>
      </c>
      <c r="CB526" s="4" t="str">
        <f ca="1">IFERROR(__xludf.DUMMYFUNCTION("""COMPUTED_VALUE"""),"| 1 P PHP-CGM @ | 3 L JAVA @ | 4 L NS @ | 5 P PRO @ ")</f>
        <v xml:space="preserve">| 1 P PHP-CGM @ | 3 L JAVA @ | 4 L NS @ | 5 P PRO @ </v>
      </c>
      <c r="CC526" s="4" t="str">
        <f ca="1">IFERROR(__xludf.DUMMYFUNCTION("""COMPUTED_VALUE"""),"| 1 P Python @ | 3 L PHP-CGM @ | 4 L NS @ | 5 P JAVA @ ")</f>
        <v xml:space="preserve">| 1 P Python @ | 3 L PHP-CGM @ | 4 L NS @ | 5 P JAVA @ </v>
      </c>
      <c r="CD526" s="4" t="str">
        <f ca="1">IFERROR(__xludf.DUMMYFUNCTION("""COMPUTED_VALUE"""),"| 1 P Python @ | 3 L CPT @ | 4 L PHP-CGM @ | 5 P NS @ ")</f>
        <v xml:space="preserve">| 1 P Python @ | 3 L CPT @ | 4 L PHP-CGM @ | 5 P NS @ </v>
      </c>
      <c r="CE526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26" s="4" t="str">
        <f ca="1">IFERROR(__xludf.DUMMYFUNCTION("""COMPUTED_VALUE"""),"| 1 P JAVA @ | 3 L CPT @ | 4 L JAVA @ | 5 L INE @ ")</f>
        <v xml:space="preserve">| 1 P JAVA @ | 3 L CPT @ | 4 L JAVA @ | 5 L INE @ </v>
      </c>
      <c r="CG526" s="4" t="str">
        <f ca="1">IFERROR(__xludf.DUMMYFUNCTION("""COMPUTED_VALUE"""),"| 1 P PHP-CGM @ | 4 L NS @ ")</f>
        <v xml:space="preserve">| 1 P PHP-CGM @ | 4 L NS @ </v>
      </c>
      <c r="CH526" s="4" t="str">
        <f ca="1">IFERROR(__xludf.DUMMYFUNCTION("""COMPUTED_VALUE"""),"| 3 L PHP-CGM @ | 4 L NS @ ")</f>
        <v xml:space="preserve">| 3 L PHP-CGM @ | 4 L NS @ </v>
      </c>
      <c r="CI526" s="4" t="str">
        <f ca="1">IFERROR(__xludf.DUMMYFUNCTION("""COMPUTED_VALUE"""),"| 1 P Python % | 5 P NS % ")</f>
        <v xml:space="preserve">| 1 P Python % | 5 P NS % </v>
      </c>
      <c r="CJ526" s="4" t="str">
        <f ca="1">IFERROR(__xludf.DUMMYFUNCTION("""COMPUTED_VALUE"""),"| 4 L JAVA % | 1 P CPT @ ")</f>
        <v xml:space="preserve">| 4 L JAVA % | 1 P CPT @ </v>
      </c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</row>
    <row r="527" spans="1:102" ht="12.5" x14ac:dyDescent="0.25">
      <c r="A527" s="3">
        <f ca="1">IFERROR(__xludf.DUMMYFUNCTION("""COMPUTED_VALUE"""),3)</f>
        <v>3</v>
      </c>
      <c r="B527" s="3" t="str">
        <f ca="1">IFERROR(__xludf.DUMMYFUNCTION("""COMPUTED_VALUE"""),"ITC")</f>
        <v>ITC</v>
      </c>
      <c r="C527" s="32" t="str">
        <f ca="1">IFERROR(__xludf.DUMMYFUNCTION("""COMPUTED_VALUE"""),"23171371124")</f>
        <v>23171371124</v>
      </c>
      <c r="D527" s="4" t="str">
        <f ca="1">IFERROR(__xludf.DUMMYFUNCTION("""COMPUTED_VALUE"""),"PATEL YUGKUMAR RAKESHBHAI")</f>
        <v>PATEL YUGKUMAR RAKESHBHAI</v>
      </c>
      <c r="E527" s="3" t="str">
        <f ca="1">IFERROR(__xludf.DUMMYFUNCTION("""COMPUTED_VALUE"""),"SDP&amp;KKP - Mor")</f>
        <v>SDP&amp;KKP - Mor</v>
      </c>
      <c r="F527" s="3">
        <f ca="1">IFERROR(__xludf.DUMMYFUNCTION("""COMPUTED_VALUE"""),8320115921)</f>
        <v>8320115921</v>
      </c>
      <c r="G527" s="3">
        <f ca="1">IFERROR(__xludf.DUMMYFUNCTION("""COMPUTED_VALUE"""),9904647608)</f>
        <v>9904647608</v>
      </c>
      <c r="H527" s="33">
        <f ca="1">IFERROR(__xludf.DUMMYFUNCTION("""COMPUTED_VALUE"""),0.46938775510204)</f>
        <v>0.46938775510204001</v>
      </c>
      <c r="I527" s="25">
        <f ca="1">IFERROR(__xludf.DUMMYFUNCTION("""COMPUTED_VALUE"""),0.444444444444444)</f>
        <v>0.44444444444444398</v>
      </c>
      <c r="J527" s="25">
        <f ca="1">IFERROR(__xludf.DUMMYFUNCTION("""COMPUTED_VALUE"""),0.416666666666666)</f>
        <v>0.41666666666666602</v>
      </c>
      <c r="K527" s="25">
        <f ca="1">IFERROR(__xludf.DUMMYFUNCTION("""COMPUTED_VALUE"""),0.638888888888888)</f>
        <v>0.63888888888888795</v>
      </c>
      <c r="L527" s="25">
        <f ca="1">IFERROR(__xludf.DUMMYFUNCTION("""COMPUTED_VALUE"""),0.307692307692307)</f>
        <v>0.30769230769230699</v>
      </c>
      <c r="M527" s="25">
        <f ca="1">IFERROR(__xludf.DUMMYFUNCTION("""COMPUTED_VALUE"""),0.6875)</f>
        <v>0.6875</v>
      </c>
      <c r="N527" s="25">
        <f ca="1">IFERROR(__xludf.DUMMYFUNCTION("""COMPUTED_VALUE"""),0.461538461538461)</f>
        <v>0.46153846153846101</v>
      </c>
      <c r="O527" s="25">
        <f ca="1">IFERROR(__xludf.DUMMYFUNCTION("""COMPUTED_VALUE"""),0.54054054054054)</f>
        <v>0.54054054054054002</v>
      </c>
      <c r="P527" s="25">
        <f ca="1">IFERROR(__xludf.DUMMYFUNCTION("""COMPUTED_VALUE"""),0.24)</f>
        <v>0.24</v>
      </c>
      <c r="Q527" s="25">
        <f ca="1">IFERROR(__xludf.DUMMYFUNCTION("""COMPUTED_VALUE"""),0)</f>
        <v>0</v>
      </c>
      <c r="R527" s="25">
        <f ca="1">IFERROR(__xludf.DUMMYFUNCTION("""COMPUTED_VALUE"""),0.478260869565217)</f>
        <v>0.47826086956521702</v>
      </c>
      <c r="S527" s="25">
        <f ca="1">IFERROR(__xludf.DUMMYFUNCTION("""COMPUTED_VALUE"""),0)</f>
        <v>0</v>
      </c>
      <c r="T527" s="25">
        <f ca="1">IFERROR(__xludf.DUMMYFUNCTION("""COMPUTED_VALUE"""),0.2)</f>
        <v>0.2</v>
      </c>
      <c r="U527" s="25">
        <f ca="1">IFERROR(__xludf.DUMMYFUNCTION("""COMPUTED_VALUE"""),0)</f>
        <v>0</v>
      </c>
      <c r="V527" s="25">
        <f ca="1">IFERROR(__xludf.DUMMYFUNCTION("""COMPUTED_VALUE"""),0)</f>
        <v>0</v>
      </c>
      <c r="W527" s="4"/>
      <c r="X527" s="4" t="str">
        <f ca="1">IFERROR(__xludf.DUMMYFUNCTION("""COMPUTED_VALUE"""),"| 1 P Python @ | 3 L CPT @ | 4 L JAVA @ ")</f>
        <v xml:space="preserve">| 1 P Python @ | 3 L CPT @ | 4 L JAVA @ </v>
      </c>
      <c r="Y527" s="4" t="str">
        <f ca="1">IFERROR(__xludf.DUMMYFUNCTION("""COMPUTED_VALUE"""),"| 1 P JAVA @ | 3 L JAVA @ | 4 L NS @ | 5 P PRO @ ")</f>
        <v xml:space="preserve">| 1 P JAVA @ | 3 L JAVA @ | 4 L NS @ | 5 P PRO @ </v>
      </c>
      <c r="Z527" s="4" t="str">
        <f ca="1">IFERROR(__xludf.DUMMYFUNCTION("""COMPUTED_VALUE"""),"| 1 P JAVA % | 3 L PHP-CGM % | 4 L NS % | 5 P CPT @ ")</f>
        <v xml:space="preserve">| 1 P JAVA % | 3 L PHP-CGM % | 4 L NS % | 5 P CPT @ </v>
      </c>
      <c r="AA527" s="4" t="str">
        <f ca="1">IFERROR(__xludf.DUMMYFUNCTION("""COMPUTED_VALUE"""),"| 1 P NS @ | 3 L CPT @ | 5 P Python @ ")</f>
        <v xml:space="preserve">| 1 P NS @ | 3 L CPT @ | 5 P Python @ </v>
      </c>
      <c r="AB527" s="4" t="str">
        <f ca="1">IFERROR(__xludf.DUMMYFUNCTION("""COMPUTED_VALUE"""),"| 1 P PHP-CGM @ | 3 L PHP-CGM @ | 4 L JAVA @ | 5 L CPT @ | 6 L NS @ ")</f>
        <v xml:space="preserve">| 1 P PHP-CGM @ | 3 L PHP-CGM @ | 4 L JAVA @ | 5 L CPT @ | 6 L NS @ </v>
      </c>
      <c r="AC527" s="4" t="str">
        <f ca="1">IFERROR(__xludf.DUMMYFUNCTION("""COMPUTED_VALUE"""),"| 1 P JAVA @ | 3 L CPT @ | 4 L JAVA @ ")</f>
        <v xml:space="preserve">| 1 P JAVA @ | 3 L CPT @ | 4 L JAVA @ </v>
      </c>
      <c r="AD527" s="4" t="str">
        <f ca="1">IFERROR(__xludf.DUMMYFUNCTION("""COMPUTED_VALUE"""),"| 1 P PHP-CGM % | 3 L JAVA % | 4 L NS % | 5 P PRO % ")</f>
        <v xml:space="preserve">| 1 P PHP-CGM % | 3 L JAVA % | 4 L NS % | 5 P PRO % </v>
      </c>
      <c r="AE527" s="4" t="str">
        <f ca="1">IFERROR(__xludf.DUMMYFUNCTION("""COMPUTED_VALUE"""),"| 1 P Python % | 3 L PHP-CGM % | 4 L NS % | 5 P JAVA @ ")</f>
        <v xml:space="preserve">| 1 P Python % | 3 L PHP-CGM % | 4 L NS % | 5 P JAVA @ </v>
      </c>
      <c r="AF527" s="4" t="str">
        <f ca="1">IFERROR(__xludf.DUMMYFUNCTION("""COMPUTED_VALUE"""),"| 1 P Python % | 3 L CPT % | 4 L PHP-CGM % | 5 P NS @ ")</f>
        <v xml:space="preserve">| 1 P Python % | 3 L CPT % | 4 L PHP-CGM % | 5 P NS @ </v>
      </c>
      <c r="AG527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27" s="4" t="str">
        <f ca="1">IFERROR(__xludf.DUMMYFUNCTION("""COMPUTED_VALUE"""),"| 1 P Python % | 3 L CPT % | 4 L PHP-CGM % | 5 P NS % ")</f>
        <v xml:space="preserve">| 1 P Python % | 3 L CPT % | 4 L PHP-CGM % | 5 P NS % </v>
      </c>
      <c r="AI527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27" s="4" t="str">
        <f ca="1">IFERROR(__xludf.DUMMYFUNCTION("""COMPUTED_VALUE"""),"| 1 P JAVA @ | 3 L CPT @ | 4 L JAVA @ ")</f>
        <v xml:space="preserve">| 1 P JAVA @ | 3 L CPT @ | 4 L JAVA @ </v>
      </c>
      <c r="AK527" s="4" t="str">
        <f ca="1">IFERROR(__xludf.DUMMYFUNCTION("""COMPUTED_VALUE"""),"| 1 P PHP-CGM % | 4 L NS % | 3 L JAVA % | 5 P PRO @ ")</f>
        <v xml:space="preserve">| 1 P PHP-CGM % | 4 L NS % | 3 L JAVA % | 5 P PRO @ </v>
      </c>
      <c r="AL527" s="4" t="str">
        <f ca="1">IFERROR(__xludf.DUMMYFUNCTION("""COMPUTED_VALUE"""),"| 1 P Python % | 3 L PHP-CGM % | 4 L NS % | 5 P JAVA @ ")</f>
        <v xml:space="preserve">| 1 P Python % | 3 L PHP-CGM % | 4 L NS % | 5 P JAVA @ </v>
      </c>
      <c r="AM527" s="4" t="str">
        <f ca="1">IFERROR(__xludf.DUMMYFUNCTION("""COMPUTED_VALUE"""),"| 1 P Python % | 3 L CPT % | 4 L PHP-CGM % | 5 P NS @ ")</f>
        <v xml:space="preserve">| 1 P Python % | 3 L CPT % | 4 L PHP-CGM % | 5 P NS @ </v>
      </c>
      <c r="AN527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27" s="4" t="str">
        <f ca="1">IFERROR(__xludf.DUMMYFUNCTION("""COMPUTED_VALUE"""),"| 1 P JAVA % | 3 L CPT % | 4 L JAVA % | 5 L INE @ ")</f>
        <v xml:space="preserve">| 1 P JAVA % | 3 L CPT % | 4 L JAVA % | 5 L INE @ </v>
      </c>
      <c r="AP527" s="4" t="str">
        <f ca="1">IFERROR(__xludf.DUMMYFUNCTION("""COMPUTED_VALUE"""),"| 1 P PHP-CGM % | 3 L JAVA % | 4 L NS % | 5 P PRO @ ")</f>
        <v xml:space="preserve">| 1 P PHP-CGM % | 3 L JAVA % | 4 L NS % | 5 P PRO @ </v>
      </c>
      <c r="AQ527" s="4" t="str">
        <f ca="1">IFERROR(__xludf.DUMMYFUNCTION("""COMPUTED_VALUE"""),"| 1 P Python % | 3 L PHP-CGM % | 4 L NS % | 5 P JAVA % ")</f>
        <v xml:space="preserve">| 1 P Python % | 3 L PHP-CGM % | 4 L NS % | 5 P JAVA % </v>
      </c>
      <c r="AR527" s="4" t="str">
        <f ca="1">IFERROR(__xludf.DUMMYFUNCTION("""COMPUTED_VALUE"""),"| 1 P Python @ | 3 L CPT @ | 5 P NS % ")</f>
        <v xml:space="preserve">| 1 P Python @ | 3 L CPT @ | 5 P NS % </v>
      </c>
      <c r="AS527" s="4" t="str">
        <f ca="1">IFERROR(__xludf.DUMMYFUNCTION("""COMPUTED_VALUE"""),"| 1 P JAVA @ | 3 L CPT @ | 4 L JAVA @ | 5 L INE @ ")</f>
        <v xml:space="preserve">| 1 P JAVA @ | 3 L CPT @ | 4 L JAVA @ | 5 L INE @ </v>
      </c>
      <c r="AT527" s="4" t="str">
        <f ca="1">IFERROR(__xludf.DUMMYFUNCTION("""COMPUTED_VALUE"""),"| 1 P PHP-CGM % | 3 L JAVA % | 1 P JAVA @ | 4 L NS % | 5 P PRO @ ")</f>
        <v xml:space="preserve">| 1 P PHP-CGM % | 3 L JAVA % | 1 P JAVA @ | 4 L NS % | 5 P PRO @ </v>
      </c>
      <c r="AU527" s="4" t="str">
        <f ca="1">IFERROR(__xludf.DUMMYFUNCTION("""COMPUTED_VALUE"""),"| 1 P Python % | 3 L PHP-CGM % | 4 L NS % | 5 P JAVA @ ")</f>
        <v xml:space="preserve">| 1 P Python % | 3 L PHP-CGM % | 4 L NS % | 5 P JAVA @ </v>
      </c>
      <c r="AV527" s="4" t="str">
        <f ca="1">IFERROR(__xludf.DUMMYFUNCTION("""COMPUTED_VALUE"""),"| 1 P Python % | 3 L CPT % | 4 L PHP-CGM % | 5 P NS % ")</f>
        <v xml:space="preserve">| 1 P Python % | 3 L CPT % | 4 L PHP-CGM % | 5 P NS % </v>
      </c>
      <c r="AW527" s="4" t="str">
        <f ca="1">IFERROR(__xludf.DUMMYFUNCTION("""COMPUTED_VALUE"""),"| 1 P CPT % | 3 L PHP-CGM % | 4 L JAVA % | 5 L NS @ | 5 L CPT @ ")</f>
        <v xml:space="preserve">| 1 P CPT % | 3 L PHP-CGM % | 4 L JAVA % | 5 L NS @ | 5 L CPT @ </v>
      </c>
      <c r="AX527" s="4" t="str">
        <f ca="1">IFERROR(__xludf.DUMMYFUNCTION("""COMPUTED_VALUE"""),"| 1 P JAVA % | 3 L CPT % | 4 L JAVA % | 5 L INE @ ")</f>
        <v xml:space="preserve">| 1 P JAVA % | 3 L CPT % | 4 L JAVA % | 5 L INE @ </v>
      </c>
      <c r="AY527" s="4" t="str">
        <f ca="1">IFERROR(__xludf.DUMMYFUNCTION("""COMPUTED_VALUE"""),"| 1 P PHP-CGM @ | 3 L JAVA % | 4 L NS % | 5 P PRO @ ")</f>
        <v xml:space="preserve">| 1 P PHP-CGM @ | 3 L JAVA % | 4 L NS % | 5 P PRO @ </v>
      </c>
      <c r="AZ527" s="4" t="str">
        <f ca="1">IFERROR(__xludf.DUMMYFUNCTION("""COMPUTED_VALUE"""),"| 1 P Python @ | 3 L CPT % | 4 L PHP-CGM % | 5 P NS @ ")</f>
        <v xml:space="preserve">| 1 P Python @ | 3 L CPT % | 4 L PHP-CGM % | 5 P NS @ </v>
      </c>
      <c r="BA527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BB527" s="4" t="str">
        <f ca="1">IFERROR(__xludf.DUMMYFUNCTION("""COMPUTED_VALUE"""),"| 1 P JAVA @ | 3 L CPT % | 4 L JAVA % | 5 L INE @ ")</f>
        <v xml:space="preserve">| 1 P JAVA @ | 3 L CPT % | 4 L JAVA % | 5 L INE @ </v>
      </c>
      <c r="BC527" s="4" t="str">
        <f ca="1">IFERROR(__xludf.DUMMYFUNCTION("""COMPUTED_VALUE"""),"| 1 P PHP-CGM % | 3 L JAVA % | 4 L NS % | 5 P PRO % ")</f>
        <v xml:space="preserve">| 1 P PHP-CGM % | 3 L JAVA % | 4 L NS % | 5 P PRO % </v>
      </c>
      <c r="BD527" s="4" t="str">
        <f ca="1">IFERROR(__xludf.DUMMYFUNCTION("""COMPUTED_VALUE"""),"| 1 P Python % | 4 L NS %  | 3 L PHP-CGM % | 5 P JAVA % ")</f>
        <v xml:space="preserve">| 1 P Python % | 4 L NS %  | 3 L PHP-CGM % | 5 P JAVA % </v>
      </c>
      <c r="BE527" s="4" t="str">
        <f ca="1">IFERROR(__xludf.DUMMYFUNCTION("""COMPUTED_VALUE"""),"| 1 P Python @ | 3 L CPT % | 4 L PHP-CGM % | 5 P NS @ ")</f>
        <v xml:space="preserve">| 1 P Python @ | 3 L CPT % | 4 L PHP-CGM % | 5 P NS @ </v>
      </c>
      <c r="BF527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27" s="4" t="str">
        <f ca="1">IFERROR(__xludf.DUMMYFUNCTION("""COMPUTED_VALUE"""),"| 1 P PHP-CGM @ | 3 L JAVA @ | 4 L NS @ | 5 P PRO @ ")</f>
        <v xml:space="preserve">| 1 P PHP-CGM @ | 3 L JAVA @ | 4 L NS @ | 5 P PRO @ </v>
      </c>
      <c r="BH527" s="4" t="str">
        <f ca="1">IFERROR(__xludf.DUMMYFUNCTION("""COMPUTED_VALUE"""),"| 1 P Python @ | 3 L PHP-CGM % | 4 L NS % | 5 P JAVA @ ")</f>
        <v xml:space="preserve">| 1 P Python @ | 3 L PHP-CGM % | 4 L NS % | 5 P JAVA @ </v>
      </c>
      <c r="BI527" s="4" t="str">
        <f ca="1">IFERROR(__xludf.DUMMYFUNCTION("""COMPUTED_VALUE"""),"| 1 P Python % | 3 L CPT % | 4 L PHP-CGM % | 5 P NS @ ")</f>
        <v xml:space="preserve">| 1 P Python % | 3 L CPT % | 4 L PHP-CGM % | 5 P NS @ </v>
      </c>
      <c r="BJ527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27" s="4" t="str">
        <f ca="1">IFERROR(__xludf.DUMMYFUNCTION("""COMPUTED_VALUE"""),"| 1 P JAVA @ | 3 L CPT @ | 4 L JAVA @ | 5 L INE @ ")</f>
        <v xml:space="preserve">| 1 P JAVA @ | 3 L CPT @ | 4 L JAVA @ | 5 L INE @ </v>
      </c>
      <c r="BL527" s="4" t="str">
        <f ca="1">IFERROR(__xludf.DUMMYFUNCTION("""COMPUTED_VALUE"""),"| 1 P PHP-CGM @ | 3 L JAVA % | 4 L NS % | 5 P PRO @ ")</f>
        <v xml:space="preserve">| 1 P PHP-CGM @ | 3 L JAVA % | 4 L NS % | 5 P PRO @ </v>
      </c>
      <c r="BM527" s="4" t="str">
        <f ca="1">IFERROR(__xludf.DUMMYFUNCTION("""COMPUTED_VALUE"""),"| 1 P Python @ | 3 L PHP-CGM % | 4 L NS % | 5 P JAVA @ ")</f>
        <v xml:space="preserve">| 1 P Python @ | 3 L PHP-CGM % | 4 L NS % | 5 P JAVA @ </v>
      </c>
      <c r="BN527" s="4" t="str">
        <f ca="1">IFERROR(__xludf.DUMMYFUNCTION("""COMPUTED_VALUE"""),"| 1 P Python @ | 3 L CPT @ | 4 L PHP-CGM @ | 5 P NS @ ")</f>
        <v xml:space="preserve">| 1 P Python @ | 3 L CPT @ | 4 L PHP-CGM @ | 5 P NS @ </v>
      </c>
      <c r="BO527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27" s="4" t="str">
        <f ca="1">IFERROR(__xludf.DUMMYFUNCTION("""COMPUTED_VALUE"""),"| 1 P JAVA @ | 3 L CPT % | 4 L JAVA % | 5 L INE @ ")</f>
        <v xml:space="preserve">| 1 P JAVA @ | 3 L CPT % | 4 L JAVA % | 5 L INE @ </v>
      </c>
      <c r="BQ527" s="4" t="str">
        <f ca="1">IFERROR(__xludf.DUMMYFUNCTION("""COMPUTED_VALUE"""),"| 4 L NS % | 5 P JAVA % ")</f>
        <v xml:space="preserve">| 4 L NS % | 5 P JAVA % </v>
      </c>
      <c r="BR527" s="4"/>
      <c r="BS527" s="4"/>
      <c r="BT527" s="4" t="str">
        <f ca="1">IFERROR(__xludf.DUMMYFUNCTION("""COMPUTED_VALUE"""),"| 1 P JAVA @ | 3 L CPT @ | 4 L JAVA @ ")</f>
        <v xml:space="preserve">| 1 P JAVA @ | 3 L CPT @ | 4 L JAVA @ </v>
      </c>
      <c r="BU527" s="4" t="str">
        <f ca="1">IFERROR(__xludf.DUMMYFUNCTION("""COMPUTED_VALUE"""),"| 1 P PHP-CGM @ | 4 L NS % | 3 L JAVA % ")</f>
        <v xml:space="preserve">| 1 P PHP-CGM @ | 4 L NS % | 3 L JAVA % </v>
      </c>
      <c r="BV527" s="4" t="str">
        <f ca="1">IFERROR(__xludf.DUMMYFUNCTION("""COMPUTED_VALUE"""),"| 1 P JAVA @ | 3 L CPT @ | 4 L JAVA @ ")</f>
        <v xml:space="preserve">| 1 P JAVA @ | 3 L CPT @ | 4 L JAVA @ </v>
      </c>
      <c r="BW527" s="4" t="str">
        <f ca="1">IFERROR(__xludf.DUMMYFUNCTION("""COMPUTED_VALUE"""),"| 1 P PHP-CGM % | 3 L JAVA % | 4 L NS % ")</f>
        <v xml:space="preserve">| 1 P PHP-CGM % | 3 L JAVA % | 4 L NS % </v>
      </c>
      <c r="BX527" s="4" t="str">
        <f ca="1">IFERROR(__xludf.DUMMYFUNCTION("""COMPUTED_VALUE"""),"| 1 P Python @ | 3 L PHP-CGM % | 4 L NS % | 5 P JAVA @ ")</f>
        <v xml:space="preserve">| 1 P Python @ | 3 L PHP-CGM % | 4 L NS % | 5 P JAVA @ </v>
      </c>
      <c r="BY527" s="4" t="str">
        <f ca="1">IFERROR(__xludf.DUMMYFUNCTION("""COMPUTED_VALUE"""),"| 1 P Python @ | 3 L CPT @ | 4 L PHP-CGM @ | 5 P NS @ ")</f>
        <v xml:space="preserve">| 1 P Python @ | 3 L CPT @ | 4 L PHP-CGM @ | 5 P NS @ </v>
      </c>
      <c r="BZ527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27" s="4" t="str">
        <f ca="1">IFERROR(__xludf.DUMMYFUNCTION("""COMPUTED_VALUE"""),"| 1 P JAVA @ | 3 L CPT @ | 4 L JAVA @ | 5 L INE @ ")</f>
        <v xml:space="preserve">| 1 P JAVA @ | 3 L CPT @ | 4 L JAVA @ | 5 L INE @ </v>
      </c>
      <c r="CB527" s="4" t="str">
        <f ca="1">IFERROR(__xludf.DUMMYFUNCTION("""COMPUTED_VALUE"""),"| 1 P PHP-CGM @ | 3 L JAVA @ | 4 L NS @ | 5 P PRO @ ")</f>
        <v xml:space="preserve">| 1 P PHP-CGM @ | 3 L JAVA @ | 4 L NS @ | 5 P PRO @ </v>
      </c>
      <c r="CC527" s="4" t="str">
        <f ca="1">IFERROR(__xludf.DUMMYFUNCTION("""COMPUTED_VALUE"""),"| 1 P Python @ | 3 L PHP-CGM @ | 4 L NS @ | 5 P JAVA @ ")</f>
        <v xml:space="preserve">| 1 P Python @ | 3 L PHP-CGM @ | 4 L NS @ | 5 P JAVA @ </v>
      </c>
      <c r="CD527" s="4" t="str">
        <f ca="1">IFERROR(__xludf.DUMMYFUNCTION("""COMPUTED_VALUE"""),"| 1 P Python @ | 3 L CPT @ | 4 L PHP-CGM @ | 5 P NS @ ")</f>
        <v xml:space="preserve">| 1 P Python @ | 3 L CPT @ | 4 L PHP-CGM @ | 5 P NS @ </v>
      </c>
      <c r="CE527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27" s="4" t="str">
        <f ca="1">IFERROR(__xludf.DUMMYFUNCTION("""COMPUTED_VALUE"""),"| 1 P JAVA @ | 3 L CPT @ | 4 L JAVA @ | 5 L INE @ ")</f>
        <v xml:space="preserve">| 1 P JAVA @ | 3 L CPT @ | 4 L JAVA @ | 5 L INE @ </v>
      </c>
      <c r="CG527" s="4" t="str">
        <f ca="1">IFERROR(__xludf.DUMMYFUNCTION("""COMPUTED_VALUE"""),"| 1 P PHP-CGM @ | 4 L NS @ ")</f>
        <v xml:space="preserve">| 1 P PHP-CGM @ | 4 L NS @ </v>
      </c>
      <c r="CH527" s="4" t="str">
        <f ca="1">IFERROR(__xludf.DUMMYFUNCTION("""COMPUTED_VALUE"""),"| 3 L PHP-CGM @ | 4 L NS @ ")</f>
        <v xml:space="preserve">| 3 L PHP-CGM @ | 4 L NS @ </v>
      </c>
      <c r="CI527" s="4" t="str">
        <f ca="1">IFERROR(__xludf.DUMMYFUNCTION("""COMPUTED_VALUE"""),"| 1 P Python % | 5 P NS % ")</f>
        <v xml:space="preserve">| 1 P Python % | 5 P NS % </v>
      </c>
      <c r="CJ527" s="4" t="str">
        <f ca="1">IFERROR(__xludf.DUMMYFUNCTION("""COMPUTED_VALUE"""),"| 4 L JAVA % | 1 P CPT @ ")</f>
        <v xml:space="preserve">| 4 L JAVA % | 1 P CPT @ </v>
      </c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</row>
    <row r="528" spans="1:102" ht="12.5" x14ac:dyDescent="0.25">
      <c r="A528" s="3">
        <f ca="1">IFERROR(__xludf.DUMMYFUNCTION("""COMPUTED_VALUE"""),3)</f>
        <v>3</v>
      </c>
      <c r="B528" s="3" t="str">
        <f ca="1">IFERROR(__xludf.DUMMYFUNCTION("""COMPUTED_VALUE"""),"ITC")</f>
        <v>ITC</v>
      </c>
      <c r="C528" s="32" t="str">
        <f ca="1">IFERROR(__xludf.DUMMYFUNCTION("""COMPUTED_VALUE"""),"23171371125")</f>
        <v>23171371125</v>
      </c>
      <c r="D528" s="4" t="str">
        <f ca="1">IFERROR(__xludf.DUMMYFUNCTION("""COMPUTED_VALUE"""),"PRADIPKUMAR LAXMANJI THAKOR")</f>
        <v>PRADIPKUMAR LAXMANJI THAKOR</v>
      </c>
      <c r="E528" s="3" t="str">
        <f ca="1">IFERROR(__xludf.DUMMYFUNCTION("""COMPUTED_VALUE"""),"SDP&amp;KKP - Mor")</f>
        <v>SDP&amp;KKP - Mor</v>
      </c>
      <c r="F528" s="3">
        <f ca="1">IFERROR(__xludf.DUMMYFUNCTION("""COMPUTED_VALUE"""),9316409580)</f>
        <v>9316409580</v>
      </c>
      <c r="G528" s="3">
        <f ca="1">IFERROR(__xludf.DUMMYFUNCTION("""COMPUTED_VALUE"""),8849047909)</f>
        <v>8849047909</v>
      </c>
      <c r="H528" s="33">
        <f ca="1">IFERROR(__xludf.DUMMYFUNCTION("""COMPUTED_VALUE"""),0.751020408163265)</f>
        <v>0.75102040816326499</v>
      </c>
      <c r="I528" s="25">
        <f ca="1">IFERROR(__xludf.DUMMYFUNCTION("""COMPUTED_VALUE"""),0.833333333333333)</f>
        <v>0.83333333333333304</v>
      </c>
      <c r="J528" s="25">
        <f ca="1">IFERROR(__xludf.DUMMYFUNCTION("""COMPUTED_VALUE"""),0.538461538461538)</f>
        <v>0.53846153846153799</v>
      </c>
      <c r="K528" s="25">
        <f ca="1">IFERROR(__xludf.DUMMYFUNCTION("""COMPUTED_VALUE"""),0.75)</f>
        <v>0.75</v>
      </c>
      <c r="L528" s="25">
        <f ca="1">IFERROR(__xludf.DUMMYFUNCTION("""COMPUTED_VALUE"""),0.642857142857142)</f>
        <v>0.64285714285714202</v>
      </c>
      <c r="M528" s="25">
        <f ca="1">IFERROR(__xludf.DUMMYFUNCTION("""COMPUTED_VALUE"""),0.78125)</f>
        <v>0.78125</v>
      </c>
      <c r="N528" s="25">
        <f ca="1">IFERROR(__xludf.DUMMYFUNCTION("""COMPUTED_VALUE"""),0.916666666666666)</f>
        <v>0.91666666666666596</v>
      </c>
      <c r="O528" s="25">
        <f ca="1">IFERROR(__xludf.DUMMYFUNCTION("""COMPUTED_VALUE"""),0.81081081081081)</f>
        <v>0.81081081081080997</v>
      </c>
      <c r="P528" s="25">
        <f ca="1">IFERROR(__xludf.DUMMYFUNCTION("""COMPUTED_VALUE"""),0.76)</f>
        <v>0.76</v>
      </c>
      <c r="Q528" s="25">
        <f ca="1">IFERROR(__xludf.DUMMYFUNCTION("""COMPUTED_VALUE"""),0)</f>
        <v>0</v>
      </c>
      <c r="R528" s="25">
        <f ca="1">IFERROR(__xludf.DUMMYFUNCTION("""COMPUTED_VALUE"""),0.818181818181818)</f>
        <v>0.81818181818181801</v>
      </c>
      <c r="S528" s="25">
        <f ca="1">IFERROR(__xludf.DUMMYFUNCTION("""COMPUTED_VALUE"""),0)</f>
        <v>0</v>
      </c>
      <c r="T528" s="25">
        <f ca="1">IFERROR(__xludf.DUMMYFUNCTION("""COMPUTED_VALUE"""),0.3)</f>
        <v>0.3</v>
      </c>
      <c r="U528" s="25">
        <f ca="1">IFERROR(__xludf.DUMMYFUNCTION("""COMPUTED_VALUE"""),0.625)</f>
        <v>0.625</v>
      </c>
      <c r="V528" s="25">
        <f ca="1">IFERROR(__xludf.DUMMYFUNCTION("""COMPUTED_VALUE"""),0)</f>
        <v>0</v>
      </c>
      <c r="W528" s="4"/>
      <c r="X528" s="4" t="str">
        <f ca="1">IFERROR(__xludf.DUMMYFUNCTION("""COMPUTED_VALUE"""),"| 1 P Python % | 3 L CPT % | 4 L JAVA % ")</f>
        <v xml:space="preserve">| 1 P Python % | 3 L CPT % | 4 L JAVA % </v>
      </c>
      <c r="Y528" s="4" t="str">
        <f ca="1">IFERROR(__xludf.DUMMYFUNCTION("""COMPUTED_VALUE"""),"| 1 P JAVA % | 3 L JAVA % | 4 L NS % | 5 P PRO @ ")</f>
        <v xml:space="preserve">| 1 P JAVA % | 3 L JAVA % | 4 L NS % | 5 P PRO @ </v>
      </c>
      <c r="Z528" s="4" t="str">
        <f ca="1">IFERROR(__xludf.DUMMYFUNCTION("""COMPUTED_VALUE"""),"| 1 P JAVA % | 3 L PHP-CGM % | 4 L NS % | 5 P CPT % ")</f>
        <v xml:space="preserve">| 1 P JAVA % | 3 L PHP-CGM % | 4 L NS % | 5 P CPT % </v>
      </c>
      <c r="AA528" s="4" t="str">
        <f ca="1">IFERROR(__xludf.DUMMYFUNCTION("""COMPUTED_VALUE"""),"| 1 P NS % | 3 L CPT % | 5 P NS @ ")</f>
        <v xml:space="preserve">| 1 P NS % | 3 L CPT % | 5 P NS @ </v>
      </c>
      <c r="AB528" s="4" t="str">
        <f ca="1">IFERROR(__xludf.DUMMYFUNCTION("""COMPUTED_VALUE"""),"| 1 P CPT @ | 3 L PHP-CGM % | 4 L JAVA % | 5 L CPT % | 6 L NS % ")</f>
        <v xml:space="preserve">| 1 P CPT @ | 3 L PHP-CGM % | 4 L JAVA % | 5 L CPT % | 6 L NS % </v>
      </c>
      <c r="AC528" s="4" t="str">
        <f ca="1">IFERROR(__xludf.DUMMYFUNCTION("""COMPUTED_VALUE"""),"| 1 P JAVA % | 3 L CPT % | 4 L JAVA % ")</f>
        <v xml:space="preserve">| 1 P JAVA % | 3 L CPT % | 4 L JAVA % </v>
      </c>
      <c r="AD528" s="4" t="str">
        <f ca="1">IFERROR(__xludf.DUMMYFUNCTION("""COMPUTED_VALUE"""),"| 1 P PHP-CGM % | 3 L JAVA % | 4 L NS % | 5 P PRO % ")</f>
        <v xml:space="preserve">| 1 P PHP-CGM % | 3 L JAVA % | 4 L NS % | 5 P PRO % </v>
      </c>
      <c r="AE528" s="4" t="str">
        <f ca="1">IFERROR(__xludf.DUMMYFUNCTION("""COMPUTED_VALUE"""),"| 1 P Python % | 3 L PHP-CGM % | 4 L NS % | 5 P JAVA % ")</f>
        <v xml:space="preserve">| 1 P Python % | 3 L PHP-CGM % | 4 L NS % | 5 P JAVA % </v>
      </c>
      <c r="AF528" s="4" t="str">
        <f ca="1">IFERROR(__xludf.DUMMYFUNCTION("""COMPUTED_VALUE"""),"| 1 P Python @ | 3 L CPT % | 4 L PHP-CGM % | 5 P NS @ ")</f>
        <v xml:space="preserve">| 1 P Python @ | 3 L CPT % | 4 L PHP-CGM % | 5 P NS @ </v>
      </c>
      <c r="AG528" s="4" t="str">
        <f ca="1">IFERROR(__xludf.DUMMYFUNCTION("""COMPUTED_VALUE"""),"| 1 P CPT % | 3 L PHP-CGM % | 4 L JAVA % | 5 L CPT % | 6 L NS @ ")</f>
        <v xml:space="preserve">| 1 P CPT % | 3 L PHP-CGM % | 4 L JAVA % | 5 L CPT % | 6 L NS @ </v>
      </c>
      <c r="AH528" s="4" t="str">
        <f ca="1">IFERROR(__xludf.DUMMYFUNCTION("""COMPUTED_VALUE"""),"| 1 P Python % | 3 L CPT % | 4 L PHP-CGM % | 5 P NS % ")</f>
        <v xml:space="preserve">| 1 P Python % | 3 L CPT % | 4 L PHP-CGM % | 5 P NS % </v>
      </c>
      <c r="AI528" s="4" t="str">
        <f ca="1">IFERROR(__xludf.DUMMYFUNCTION("""COMPUTED_VALUE"""),"| 1 P CPT @ | 3 L PHP-CGM % | 4 L JAVA % | 5 L CPT % | 6 L NS % ")</f>
        <v xml:space="preserve">| 1 P CPT @ | 3 L PHP-CGM % | 4 L JAVA % | 5 L CPT % | 6 L NS % </v>
      </c>
      <c r="AJ528" s="4" t="str">
        <f ca="1">IFERROR(__xludf.DUMMYFUNCTION("""COMPUTED_VALUE"""),"| 1 P JAVA @ | 3 L CPT @ | 4 L JAVA @ ")</f>
        <v xml:space="preserve">| 1 P JAVA @ | 3 L CPT @ | 4 L JAVA @ </v>
      </c>
      <c r="AK528" s="4" t="str">
        <f ca="1">IFERROR(__xludf.DUMMYFUNCTION("""COMPUTED_VALUE"""),"| 1 P PHP-CGM @ | 4 L NS % | 3 L JAVA % | 5 P PRO @ ")</f>
        <v xml:space="preserve">| 1 P PHP-CGM @ | 4 L NS % | 3 L JAVA % | 5 P PRO @ </v>
      </c>
      <c r="AL528" s="4" t="str">
        <f ca="1">IFERROR(__xludf.DUMMYFUNCTION("""COMPUTED_VALUE"""),"| 1 P Python % | 3 L PHP-CGM % | 4 L NS % | 5 P JAVA % ")</f>
        <v xml:space="preserve">| 1 P Python % | 3 L PHP-CGM % | 4 L NS % | 5 P JAVA % </v>
      </c>
      <c r="AM528" s="4" t="str">
        <f ca="1">IFERROR(__xludf.DUMMYFUNCTION("""COMPUTED_VALUE"""),"| 1 P Python % | 3 L CPT % | 4 L PHP-CGM % | 5 P NS % ")</f>
        <v xml:space="preserve">| 1 P Python % | 3 L CPT % | 4 L PHP-CGM % | 5 P NS % </v>
      </c>
      <c r="AN528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28" s="4" t="str">
        <f ca="1">IFERROR(__xludf.DUMMYFUNCTION("""COMPUTED_VALUE"""),"| 1 P JAVA % | 3 L CPT % | 4 L JAVA % | 5 L INE % ")</f>
        <v xml:space="preserve">| 1 P JAVA % | 3 L CPT % | 4 L JAVA % | 5 L INE % </v>
      </c>
      <c r="AP528" s="4" t="str">
        <f ca="1">IFERROR(__xludf.DUMMYFUNCTION("""COMPUTED_VALUE"""),"| 1 P PHP-CGM % | 3 L JAVA % | 4 L NS % | 5 P PRO @ ")</f>
        <v xml:space="preserve">| 1 P PHP-CGM % | 3 L JAVA % | 4 L NS % | 5 P PRO @ </v>
      </c>
      <c r="AQ528" s="4" t="str">
        <f ca="1">IFERROR(__xludf.DUMMYFUNCTION("""COMPUTED_VALUE"""),"| 1 P Python % | 3 L PHP-CGM % | 4 L NS % | 5 P JAVA % ")</f>
        <v xml:space="preserve">| 1 P Python % | 3 L PHP-CGM % | 4 L NS % | 5 P JAVA % </v>
      </c>
      <c r="AR528" s="4" t="str">
        <f ca="1">IFERROR(__xludf.DUMMYFUNCTION("""COMPUTED_VALUE"""),"| 1 P Python % | 3 L CPT % | 5 P NS % ")</f>
        <v xml:space="preserve">| 1 P Python % | 3 L CPT % | 5 P NS % </v>
      </c>
      <c r="AS528" s="4" t="str">
        <f ca="1">IFERROR(__xludf.DUMMYFUNCTION("""COMPUTED_VALUE"""),"| 1 P JAVA % | 3 L CPT % | 4 L JAVA % | 5 L INE % ")</f>
        <v xml:space="preserve">| 1 P JAVA % | 3 L CPT % | 4 L JAVA % | 5 L INE % </v>
      </c>
      <c r="AT528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28" s="4" t="str">
        <f ca="1">IFERROR(__xludf.DUMMYFUNCTION("""COMPUTED_VALUE"""),"| 1 P Python % | 3 L PHP-CGM % | 4 L NS % | 5 P JAVA % ")</f>
        <v xml:space="preserve">| 1 P Python % | 3 L PHP-CGM % | 4 L NS % | 5 P JAVA % </v>
      </c>
      <c r="AV528" s="4" t="str">
        <f ca="1">IFERROR(__xludf.DUMMYFUNCTION("""COMPUTED_VALUE"""),"| 1 P Python % | 3 L CPT % | 4 L PHP-CGM % | 5 P NS % ")</f>
        <v xml:space="preserve">| 1 P Python % | 3 L CPT % | 4 L PHP-CGM % | 5 P NS % </v>
      </c>
      <c r="AW528" s="4" t="str">
        <f ca="1">IFERROR(__xludf.DUMMYFUNCTION("""COMPUTED_VALUE"""),"| 1 P CPT @ | 3 L PHP-CGM % | 4 L JAVA % | 5 L NS % | 5 L CPT % ")</f>
        <v xml:space="preserve">| 1 P CPT @ | 3 L PHP-CGM % | 4 L JAVA % | 5 L NS % | 5 L CPT % </v>
      </c>
      <c r="AX528" s="4" t="str">
        <f ca="1">IFERROR(__xludf.DUMMYFUNCTION("""COMPUTED_VALUE"""),"| 1 P JAVA % | 3 L CPT % | 4 L JAVA % | 5 L INE % ")</f>
        <v xml:space="preserve">| 1 P JAVA % | 3 L CPT % | 4 L JAVA % | 5 L INE % </v>
      </c>
      <c r="AY528" s="4" t="str">
        <f ca="1">IFERROR(__xludf.DUMMYFUNCTION("""COMPUTED_VALUE"""),"| 1 P PHP-CGM % | 3 L JAVA % | 4 L NS % | 5 P PRO @ ")</f>
        <v xml:space="preserve">| 1 P PHP-CGM % | 3 L JAVA % | 4 L NS % | 5 P PRO @ </v>
      </c>
      <c r="AZ528" s="4" t="str">
        <f ca="1">IFERROR(__xludf.DUMMYFUNCTION("""COMPUTED_VALUE"""),"| 1 P Python % | 3 L CPT % | 4 L PHP-CGM % | 5 P NS % ")</f>
        <v xml:space="preserve">| 1 P Python % | 3 L CPT % | 4 L PHP-CGM % | 5 P NS % </v>
      </c>
      <c r="BA528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B528" s="4" t="str">
        <f ca="1">IFERROR(__xludf.DUMMYFUNCTION("""COMPUTED_VALUE"""),"| 1 P JAVA @ | 3 L CPT @ | 4 L JAVA @ | 5 L INE @ ")</f>
        <v xml:space="preserve">| 1 P JAVA @ | 3 L CPT @ | 4 L JAVA @ | 5 L INE @ </v>
      </c>
      <c r="BC528" s="4" t="str">
        <f ca="1">IFERROR(__xludf.DUMMYFUNCTION("""COMPUTED_VALUE"""),"| 1 P PHP-CGM % | 3 L JAVA % | 4 L NS % | 5 P PRO % ")</f>
        <v xml:space="preserve">| 1 P PHP-CGM % | 3 L JAVA % | 4 L NS % | 5 P PRO % </v>
      </c>
      <c r="BD528" s="4" t="str">
        <f ca="1">IFERROR(__xludf.DUMMYFUNCTION("""COMPUTED_VALUE"""),"| 1 P Python % | 4 L NS @  | 3 L PHP-CGM @ | 5 P JAVA @ ")</f>
        <v xml:space="preserve">| 1 P Python % | 4 L NS @  | 3 L PHP-CGM @ | 5 P JAVA @ </v>
      </c>
      <c r="BE528" s="4" t="str">
        <f ca="1">IFERROR(__xludf.DUMMYFUNCTION("""COMPUTED_VALUE"""),"| 1 P Python @ | 3 L CPT @ | 4 L PHP-CGM @ | 5 P NS @ ")</f>
        <v xml:space="preserve">| 1 P Python @ | 3 L CPT @ | 4 L PHP-CGM @ | 5 P NS @ </v>
      </c>
      <c r="BF528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G528" s="4" t="str">
        <f ca="1">IFERROR(__xludf.DUMMYFUNCTION("""COMPUTED_VALUE"""),"| 1 P PHP-CGM % | 3 L JAVA @ | 4 L NS % | 5 P PRO @ ")</f>
        <v xml:space="preserve">| 1 P PHP-CGM % | 3 L JAVA @ | 4 L NS % | 5 P PRO @ </v>
      </c>
      <c r="BH528" s="4" t="str">
        <f ca="1">IFERROR(__xludf.DUMMYFUNCTION("""COMPUTED_VALUE"""),"| 1 P Python % | 3 L PHP-CGM % | 4 L NS % | 5 P JAVA % ")</f>
        <v xml:space="preserve">| 1 P Python % | 3 L PHP-CGM % | 4 L NS % | 5 P JAVA % </v>
      </c>
      <c r="BI528" s="4" t="str">
        <f ca="1">IFERROR(__xludf.DUMMYFUNCTION("""COMPUTED_VALUE"""),"| 1 P Python % | 3 L CPT % | 4 L PHP-CGM % | 5 P NS @ ")</f>
        <v xml:space="preserve">| 1 P Python % | 3 L CPT % | 4 L PHP-CGM % | 5 P NS @ </v>
      </c>
      <c r="BJ528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28" s="4" t="str">
        <f ca="1">IFERROR(__xludf.DUMMYFUNCTION("""COMPUTED_VALUE"""),"| 1 P JAVA % | 3 L CPT % | 4 L JAVA % | 5 L INE % ")</f>
        <v xml:space="preserve">| 1 P JAVA % | 3 L CPT % | 4 L JAVA % | 5 L INE % </v>
      </c>
      <c r="BL528" s="4" t="str">
        <f ca="1">IFERROR(__xludf.DUMMYFUNCTION("""COMPUTED_VALUE"""),"| 1 P PHP-CGM % | 3 L JAVA % | 4 L NS % | 5 P PRO @ ")</f>
        <v xml:space="preserve">| 1 P PHP-CGM % | 3 L JAVA % | 4 L NS % | 5 P PRO @ </v>
      </c>
      <c r="BM528" s="4" t="str">
        <f ca="1">IFERROR(__xludf.DUMMYFUNCTION("""COMPUTED_VALUE"""),"| 1 P Python @ | 3 L PHP-CGM @ | 4 L NS @ | 5 P JAVA @ ")</f>
        <v xml:space="preserve">| 1 P Python @ | 3 L PHP-CGM @ | 4 L NS @ | 5 P JAVA @ </v>
      </c>
      <c r="BN528" s="4" t="str">
        <f ca="1">IFERROR(__xludf.DUMMYFUNCTION("""COMPUTED_VALUE"""),"| 1 P Python % | 3 L CPT % | 4 L PHP-CGM % | 5 P NS @ ")</f>
        <v xml:space="preserve">| 1 P Python % | 3 L CPT % | 4 L PHP-CGM % | 5 P NS @ </v>
      </c>
      <c r="BO528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28" s="4" t="str">
        <f ca="1">IFERROR(__xludf.DUMMYFUNCTION("""COMPUTED_VALUE"""),"| 1 P JAVA % | 3 L CPT % | 4 L JAVA % | 5 L INE @ ")</f>
        <v xml:space="preserve">| 1 P JAVA % | 3 L CPT % | 4 L JAVA % | 5 L INE @ </v>
      </c>
      <c r="BQ528" s="4" t="str">
        <f ca="1">IFERROR(__xludf.DUMMYFUNCTION("""COMPUTED_VALUE"""),"| 4 L NS % | 5 P JAVA % ")</f>
        <v xml:space="preserve">| 4 L NS % | 5 P JAVA % </v>
      </c>
      <c r="BR528" s="4"/>
      <c r="BS528" s="4"/>
      <c r="BT528" s="4" t="str">
        <f ca="1">IFERROR(__xludf.DUMMYFUNCTION("""COMPUTED_VALUE"""),"| 1 P JAVA % | 3 L CPT % | 4 L JAVA % ")</f>
        <v xml:space="preserve">| 1 P JAVA % | 3 L CPT % | 4 L JAVA % </v>
      </c>
      <c r="BU528" s="4" t="str">
        <f ca="1">IFERROR(__xludf.DUMMYFUNCTION("""COMPUTED_VALUE"""),"| 1 P PHP-CGM % | 4 L NS @ | 3 L JAVA @ ")</f>
        <v xml:space="preserve">| 1 P PHP-CGM % | 4 L NS @ | 3 L JAVA @ </v>
      </c>
      <c r="BV528" s="4" t="str">
        <f ca="1">IFERROR(__xludf.DUMMYFUNCTION("""COMPUTED_VALUE"""),"| 1 P JAVA % | 3 L CPT % | 4 L JAVA % ")</f>
        <v xml:space="preserve">| 1 P JAVA % | 3 L CPT % | 4 L JAVA % </v>
      </c>
      <c r="BW528" s="4" t="str">
        <f ca="1">IFERROR(__xludf.DUMMYFUNCTION("""COMPUTED_VALUE"""),"| 1 P PHP-CGM % | 3 L JAVA % | 4 L NS % ")</f>
        <v xml:space="preserve">| 1 P PHP-CGM % | 3 L JAVA % | 4 L NS % </v>
      </c>
      <c r="BX528" s="4" t="str">
        <f ca="1">IFERROR(__xludf.DUMMYFUNCTION("""COMPUTED_VALUE"""),"| 1 P Python % | 3 L PHP-CGM % | 4 L NS % | 5 P JAVA % ")</f>
        <v xml:space="preserve">| 1 P Python % | 3 L PHP-CGM % | 4 L NS % | 5 P JAVA % </v>
      </c>
      <c r="BY528" s="4" t="str">
        <f ca="1">IFERROR(__xludf.DUMMYFUNCTION("""COMPUTED_VALUE"""),"| 1 P Python % | 3 L CPT % | 4 L PHP-CGM % | 5 P NS % ")</f>
        <v xml:space="preserve">| 1 P Python % | 3 L CPT % | 4 L PHP-CGM % | 5 P NS % </v>
      </c>
      <c r="BZ528" s="4" t="str">
        <f ca="1">IFERROR(__xludf.DUMMYFUNCTION("""COMPUTED_VALUE"""),"| 1 P CPT @ | 3 L PHP-CGM % | 4 L JAVA % | 5 L NS @ | 6 L CPT @ ")</f>
        <v xml:space="preserve">| 1 P CPT @ | 3 L PHP-CGM % | 4 L JAVA % | 5 L NS @ | 6 L CPT @ </v>
      </c>
      <c r="CA528" s="4" t="str">
        <f ca="1">IFERROR(__xludf.DUMMYFUNCTION("""COMPUTED_VALUE"""),"| 1 P JAVA % | 3 L CPT % | 4 L JAVA % | 5 L INE % ")</f>
        <v xml:space="preserve">| 1 P JAVA % | 3 L CPT % | 4 L JAVA % | 5 L INE % </v>
      </c>
      <c r="CB528" s="4" t="str">
        <f ca="1">IFERROR(__xludf.DUMMYFUNCTION("""COMPUTED_VALUE"""),"| 1 P PHP-CGM % | 3 L JAVA % | 4 L NS % | 5 P PRO @ ")</f>
        <v xml:space="preserve">| 1 P PHP-CGM % | 3 L JAVA % | 4 L NS % | 5 P PRO @ </v>
      </c>
      <c r="CC528" s="4" t="str">
        <f ca="1">IFERROR(__xludf.DUMMYFUNCTION("""COMPUTED_VALUE"""),"| 1 P Python @ | 3 L PHP-CGM @ | 4 L NS @ | 5 P JAVA @ ")</f>
        <v xml:space="preserve">| 1 P Python @ | 3 L PHP-CGM @ | 4 L NS @ | 5 P JAVA @ </v>
      </c>
      <c r="CD528" s="4" t="str">
        <f ca="1">IFERROR(__xludf.DUMMYFUNCTION("""COMPUTED_VALUE"""),"| 1 P Python % | 3 L CPT % | 4 L PHP-CGM % | 5 P NS % ")</f>
        <v xml:space="preserve">| 1 P Python % | 3 L CPT % | 4 L PHP-CGM % | 5 P NS % </v>
      </c>
      <c r="CE528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28" s="4" t="str">
        <f ca="1">IFERROR(__xludf.DUMMYFUNCTION("""COMPUTED_VALUE"""),"| 1 P JAVA % | 3 L CPT % | 4 L JAVA % | 5 L INE @ ")</f>
        <v xml:space="preserve">| 1 P JAVA % | 3 L CPT % | 4 L JAVA % | 5 L INE @ </v>
      </c>
      <c r="CG528" s="4" t="str">
        <f ca="1">IFERROR(__xludf.DUMMYFUNCTION("""COMPUTED_VALUE"""),"| 1 P PHP-CGM % | 4 L NS % ")</f>
        <v xml:space="preserve">| 1 P PHP-CGM % | 4 L NS % </v>
      </c>
      <c r="CH528" s="4" t="str">
        <f ca="1">IFERROR(__xludf.DUMMYFUNCTION("""COMPUTED_VALUE"""),"| 3 L PHP-CGM % | 4 L NS % ")</f>
        <v xml:space="preserve">| 3 L PHP-CGM % | 4 L NS % </v>
      </c>
      <c r="CI528" s="4" t="str">
        <f ca="1">IFERROR(__xludf.DUMMYFUNCTION("""COMPUTED_VALUE"""),"| 1 P Python % | 5 P NS % ")</f>
        <v xml:space="preserve">| 1 P Python % | 5 P NS % </v>
      </c>
      <c r="CJ528" s="4" t="str">
        <f ca="1">IFERROR(__xludf.DUMMYFUNCTION("""COMPUTED_VALUE"""),"| 4 L JAVA % | 1 P CPT % ")</f>
        <v xml:space="preserve">| 4 L JAVA % | 1 P CPT % </v>
      </c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</row>
    <row r="529" spans="1:102" ht="12.5" x14ac:dyDescent="0.25">
      <c r="A529" s="3">
        <f ca="1">IFERROR(__xludf.DUMMYFUNCTION("""COMPUTED_VALUE"""),3)</f>
        <v>3</v>
      </c>
      <c r="B529" s="3" t="str">
        <f ca="1">IFERROR(__xludf.DUMMYFUNCTION("""COMPUTED_VALUE"""),"ITC")</f>
        <v>ITC</v>
      </c>
      <c r="C529" s="32" t="str">
        <f ca="1">IFERROR(__xludf.DUMMYFUNCTION("""COMPUTED_VALUE"""),"23171371126")</f>
        <v>23171371126</v>
      </c>
      <c r="D529" s="4" t="str">
        <f ca="1">IFERROR(__xludf.DUMMYFUNCTION("""COMPUTED_VALUE"""),"PRAJAPATI ANSH KIRTIKUMAR")</f>
        <v>PRAJAPATI ANSH KIRTIKUMAR</v>
      </c>
      <c r="E529" s="3" t="str">
        <f ca="1">IFERROR(__xludf.DUMMYFUNCTION("""COMPUTED_VALUE"""),"SDP&amp;KKP - Mor")</f>
        <v>SDP&amp;KKP - Mor</v>
      </c>
      <c r="F529" s="3">
        <f ca="1">IFERROR(__xludf.DUMMYFUNCTION("""COMPUTED_VALUE"""),9016182794)</f>
        <v>9016182794</v>
      </c>
      <c r="G529" s="3" t="str">
        <f ca="1">IFERROR(__xludf.DUMMYFUNCTION("""COMPUTED_VALUE"""),"9712757757, 8238076864")</f>
        <v>9712757757, 8238076864</v>
      </c>
      <c r="H529" s="33">
        <f ca="1">IFERROR(__xludf.DUMMYFUNCTION("""COMPUTED_VALUE"""),0.612244897959183)</f>
        <v>0.61224489795918302</v>
      </c>
      <c r="I529" s="25">
        <f ca="1">IFERROR(__xludf.DUMMYFUNCTION("""COMPUTED_VALUE"""),0.583333333333333)</f>
        <v>0.58333333333333304</v>
      </c>
      <c r="J529" s="25">
        <f ca="1">IFERROR(__xludf.DUMMYFUNCTION("""COMPUTED_VALUE"""),0.666666666666666)</f>
        <v>0.66666666666666596</v>
      </c>
      <c r="K529" s="25">
        <f ca="1">IFERROR(__xludf.DUMMYFUNCTION("""COMPUTED_VALUE"""),0.444444444444444)</f>
        <v>0.44444444444444398</v>
      </c>
      <c r="L529" s="25">
        <f ca="1">IFERROR(__xludf.DUMMYFUNCTION("""COMPUTED_VALUE"""),0.769230769230769)</f>
        <v>0.76923076923076905</v>
      </c>
      <c r="M529" s="25">
        <f ca="1">IFERROR(__xludf.DUMMYFUNCTION("""COMPUTED_VALUE"""),0.53125)</f>
        <v>0.53125</v>
      </c>
      <c r="N529" s="25">
        <f ca="1">IFERROR(__xludf.DUMMYFUNCTION("""COMPUTED_VALUE"""),0.769230769230769)</f>
        <v>0.76923076923076905</v>
      </c>
      <c r="O529" s="25">
        <f ca="1">IFERROR(__xludf.DUMMYFUNCTION("""COMPUTED_VALUE"""),0.594594594594594)</f>
        <v>0.59459459459459396</v>
      </c>
      <c r="P529" s="25">
        <f ca="1">IFERROR(__xludf.DUMMYFUNCTION("""COMPUTED_VALUE"""),0.76)</f>
        <v>0.76</v>
      </c>
      <c r="Q529" s="25">
        <f ca="1">IFERROR(__xludf.DUMMYFUNCTION("""COMPUTED_VALUE"""),0)</f>
        <v>0</v>
      </c>
      <c r="R529" s="25">
        <f ca="1">IFERROR(__xludf.DUMMYFUNCTION("""COMPUTED_VALUE"""),0.782608695652174)</f>
        <v>0.78260869565217395</v>
      </c>
      <c r="S529" s="25">
        <f ca="1">IFERROR(__xludf.DUMMYFUNCTION("""COMPUTED_VALUE"""),0)</f>
        <v>0</v>
      </c>
      <c r="T529" s="25">
        <f ca="1">IFERROR(__xludf.DUMMYFUNCTION("""COMPUTED_VALUE"""),0.5)</f>
        <v>0.5</v>
      </c>
      <c r="U529" s="25">
        <f ca="1">IFERROR(__xludf.DUMMYFUNCTION("""COMPUTED_VALUE"""),0.5)</f>
        <v>0.5</v>
      </c>
      <c r="V529" s="25">
        <f ca="1">IFERROR(__xludf.DUMMYFUNCTION("""COMPUTED_VALUE"""),0)</f>
        <v>0</v>
      </c>
      <c r="W529" s="4"/>
      <c r="X529" s="4" t="str">
        <f ca="1">IFERROR(__xludf.DUMMYFUNCTION("""COMPUTED_VALUE"""),"| 1 P JAVA % | 3 L CPT % | 4 L JAVA % ")</f>
        <v xml:space="preserve">| 1 P JAVA % | 3 L CPT % | 4 L JAVA % </v>
      </c>
      <c r="Y529" s="4" t="str">
        <f ca="1">IFERROR(__xludf.DUMMYFUNCTION("""COMPUTED_VALUE"""),"| 1 P PHP-CGM % | 3 L JAVA % | 4 L NS % | 5 P PRO % ")</f>
        <v xml:space="preserve">| 1 P PHP-CGM % | 3 L JAVA % | 4 L NS % | 5 P PRO % </v>
      </c>
      <c r="Z529" s="4" t="str">
        <f ca="1">IFERROR(__xludf.DUMMYFUNCTION("""COMPUTED_VALUE"""),"| 1 P Python % | 3 L PHP-CGM % | 4 L NS % | 5 P JAVA % ")</f>
        <v xml:space="preserve">| 1 P Python % | 3 L PHP-CGM % | 4 L NS % | 5 P JAVA % </v>
      </c>
      <c r="AA529" s="4" t="str">
        <f ca="1">IFERROR(__xludf.DUMMYFUNCTION("""COMPUTED_VALUE"""),"| 1 P Python % | 3 L CPT % | 5 P NS % ")</f>
        <v xml:space="preserve">| 1 P Python % | 3 L CPT % | 5 P NS % </v>
      </c>
      <c r="AB529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C529" s="4" t="str">
        <f ca="1">IFERROR(__xludf.DUMMYFUNCTION("""COMPUTED_VALUE"""),"| 1 P JAVA % | 3 L CPT % | 4 L JAVA % ")</f>
        <v xml:space="preserve">| 1 P JAVA % | 3 L CPT % | 4 L JAVA % </v>
      </c>
      <c r="AD529" s="4" t="str">
        <f ca="1">IFERROR(__xludf.DUMMYFUNCTION("""COMPUTED_VALUE"""),"| 1 P PHP-CGM % | 3 L JAVA % | 4 L NS % | 5 P PRO @ ")</f>
        <v xml:space="preserve">| 1 P PHP-CGM % | 3 L JAVA % | 4 L NS % | 5 P PRO @ </v>
      </c>
      <c r="AE529" s="4" t="str">
        <f ca="1">IFERROR(__xludf.DUMMYFUNCTION("""COMPUTED_VALUE"""),"| 1 P Python % | 3 L PHP-CGM % | 4 L NS % | 5 P JAVA % ")</f>
        <v xml:space="preserve">| 1 P Python % | 3 L PHP-CGM % | 4 L NS % | 5 P JAVA % </v>
      </c>
      <c r="AF529" s="4" t="str">
        <f ca="1">IFERROR(__xludf.DUMMYFUNCTION("""COMPUTED_VALUE"""),"| 1 P Python % | 3 L CPT % | 4 L PHP-CGM % | 5 P NS % ")</f>
        <v xml:space="preserve">| 1 P Python % | 3 L CPT % | 4 L PHP-CGM % | 5 P NS % </v>
      </c>
      <c r="AG529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29" s="4" t="str">
        <f ca="1">IFERROR(__xludf.DUMMYFUNCTION("""COMPUTED_VALUE"""),"| 1 P Python % | 3 L CPT % | 4 L PHP-CGM % | 5 P NS % ")</f>
        <v xml:space="preserve">| 1 P Python % | 3 L CPT % | 4 L PHP-CGM % | 5 P NS % </v>
      </c>
      <c r="AI529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J529" s="4" t="str">
        <f ca="1">IFERROR(__xludf.DUMMYFUNCTION("""COMPUTED_VALUE"""),"| 1 P JAVA % | 3 L CPT % | 4 L JAVA % ")</f>
        <v xml:space="preserve">| 1 P JAVA % | 3 L CPT % | 4 L JAVA % </v>
      </c>
      <c r="AK529" s="4" t="str">
        <f ca="1">IFERROR(__xludf.DUMMYFUNCTION("""COMPUTED_VALUE"""),"| 1 P PHP-CGM % | 4 L NS % | 3 L JAVA % | 5 P PRO % ")</f>
        <v xml:space="preserve">| 1 P PHP-CGM % | 4 L NS % | 3 L JAVA % | 5 P PRO % </v>
      </c>
      <c r="AL529" s="4" t="str">
        <f ca="1">IFERROR(__xludf.DUMMYFUNCTION("""COMPUTED_VALUE"""),"| 1 P Python % | 3 L PHP-CGM % | 4 L NS % | 5 P JAVA % ")</f>
        <v xml:space="preserve">| 1 P Python % | 3 L PHP-CGM % | 4 L NS % | 5 P JAVA % </v>
      </c>
      <c r="AM529" s="4" t="str">
        <f ca="1">IFERROR(__xludf.DUMMYFUNCTION("""COMPUTED_VALUE"""),"| 1 P Python @ | 3 L CPT @ | 4 L PHP-CGM @ | 5 P NS @ ")</f>
        <v xml:space="preserve">| 1 P Python @ | 3 L CPT @ | 4 L PHP-CGM @ | 5 P NS @ </v>
      </c>
      <c r="AN529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29" s="4" t="str">
        <f ca="1">IFERROR(__xludf.DUMMYFUNCTION("""COMPUTED_VALUE"""),"| 1 P JAVA % | 3 L CPT % | 4 L JAVA % | 5 L INE % ")</f>
        <v xml:space="preserve">| 1 P JAVA % | 3 L CPT % | 4 L JAVA % | 5 L INE % </v>
      </c>
      <c r="AP529" s="4" t="str">
        <f ca="1">IFERROR(__xludf.DUMMYFUNCTION("""COMPUTED_VALUE"""),"| 1 P PHP-CGM % | 3 L JAVA % | 4 L NS % | 5 P PRO @ ")</f>
        <v xml:space="preserve">| 1 P PHP-CGM % | 3 L JAVA % | 4 L NS % | 5 P PRO @ </v>
      </c>
      <c r="AQ529" s="4" t="str">
        <f ca="1">IFERROR(__xludf.DUMMYFUNCTION("""COMPUTED_VALUE"""),"| 1 P Python % | 3 L PHP-CGM % | 4 L NS % | 5 P JAVA % ")</f>
        <v xml:space="preserve">| 1 P Python % | 3 L PHP-CGM % | 4 L NS % | 5 P JAVA % </v>
      </c>
      <c r="AR529" s="4" t="str">
        <f ca="1">IFERROR(__xludf.DUMMYFUNCTION("""COMPUTED_VALUE"""),"| 1 P Python % | 3 L CPT % | 5 P NS % ")</f>
        <v xml:space="preserve">| 1 P Python % | 3 L CPT % | 5 P NS % </v>
      </c>
      <c r="AS529" s="4" t="str">
        <f ca="1">IFERROR(__xludf.DUMMYFUNCTION("""COMPUTED_VALUE"""),"| 1 P JAVA % | 3 L CPT % | 4 L JAVA % | 5 L INE % ")</f>
        <v xml:space="preserve">| 1 P JAVA % | 3 L CPT % | 4 L JAVA % | 5 L INE % </v>
      </c>
      <c r="AT529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29" s="4" t="str">
        <f ca="1">IFERROR(__xludf.DUMMYFUNCTION("""COMPUTED_VALUE"""),"| 1 P Python % | 3 L PHP-CGM % | 4 L NS % | 5 P JAVA % ")</f>
        <v xml:space="preserve">| 1 P Python % | 3 L PHP-CGM % | 4 L NS % | 5 P JAVA % </v>
      </c>
      <c r="AV529" s="4" t="str">
        <f ca="1">IFERROR(__xludf.DUMMYFUNCTION("""COMPUTED_VALUE"""),"| 1 P Python % | 3 L CPT % | 4 L PHP-CGM % | 5 P NS % ")</f>
        <v xml:space="preserve">| 1 P Python % | 3 L CPT % | 4 L PHP-CGM % | 5 P NS % </v>
      </c>
      <c r="AW529" s="4" t="str">
        <f ca="1">IFERROR(__xludf.DUMMYFUNCTION("""COMPUTED_VALUE"""),"| 1 P CPT % | 3 L PHP-CGM % | 4 L JAVA % | 5 L NS @ | 5 L CPT @ ")</f>
        <v xml:space="preserve">| 1 P CPT % | 3 L PHP-CGM % | 4 L JAVA % | 5 L NS @ | 5 L CPT @ </v>
      </c>
      <c r="AX529" s="4" t="str">
        <f ca="1">IFERROR(__xludf.DUMMYFUNCTION("""COMPUTED_VALUE"""),"| 1 P JAVA % | 3 L CPT % | 4 L JAVA % | 5 L INE @ ")</f>
        <v xml:space="preserve">| 1 P JAVA % | 3 L CPT % | 4 L JAVA % | 5 L INE @ </v>
      </c>
      <c r="AY529" s="4" t="str">
        <f ca="1">IFERROR(__xludf.DUMMYFUNCTION("""COMPUTED_VALUE"""),"| 1 P PHP-CGM % | 3 L JAVA % | 4 L NS % | 5 P PRO % ")</f>
        <v xml:space="preserve">| 1 P PHP-CGM % | 3 L JAVA % | 4 L NS % | 5 P PRO % </v>
      </c>
      <c r="AZ529" s="4" t="str">
        <f ca="1">IFERROR(__xludf.DUMMYFUNCTION("""COMPUTED_VALUE"""),"| 1 P Python % | 3 L CPT % | 4 L PHP-CGM % | 5 P NS % ")</f>
        <v xml:space="preserve">| 1 P Python % | 3 L CPT % | 4 L PHP-CGM % | 5 P NS % </v>
      </c>
      <c r="BA529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B529" s="4" t="str">
        <f ca="1">IFERROR(__xludf.DUMMYFUNCTION("""COMPUTED_VALUE"""),"| 1 P JAVA % | 3 L CPT % | 4 L JAVA % | 5 L INE @ ")</f>
        <v xml:space="preserve">| 1 P JAVA % | 3 L CPT % | 4 L JAVA % | 5 L INE @ </v>
      </c>
      <c r="BC529" s="4" t="str">
        <f ca="1">IFERROR(__xludf.DUMMYFUNCTION("""COMPUTED_VALUE"""),"| 1 P PHP-CGM % | 3 L JAVA % | 4 L NS % | 5 P PRO @ ")</f>
        <v xml:space="preserve">| 1 P PHP-CGM % | 3 L JAVA % | 4 L NS % | 5 P PRO @ </v>
      </c>
      <c r="BD529" s="4" t="str">
        <f ca="1">IFERROR(__xludf.DUMMYFUNCTION("""COMPUTED_VALUE"""),"| 1 P Python @ | 4 L NS @  | 3 L PHP-CGM @ | 5 P JAVA @ ")</f>
        <v xml:space="preserve">| 1 P Python @ | 4 L NS @  | 3 L PHP-CGM @ | 5 P JAVA @ </v>
      </c>
      <c r="BE529" s="4" t="str">
        <f ca="1">IFERROR(__xludf.DUMMYFUNCTION("""COMPUTED_VALUE"""),"| 1 P Python % | 3 L CPT % | 4 L PHP-CGM % | 5 P NS % ")</f>
        <v xml:space="preserve">| 1 P Python % | 3 L CPT % | 4 L PHP-CGM % | 5 P NS % </v>
      </c>
      <c r="BF529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29" s="4" t="str">
        <f ca="1">IFERROR(__xludf.DUMMYFUNCTION("""COMPUTED_VALUE"""),"| 1 P PHP-CGM % | 3 L JAVA % | 4 L NS % | 5 P PRO @ ")</f>
        <v xml:space="preserve">| 1 P PHP-CGM % | 3 L JAVA % | 4 L NS % | 5 P PRO @ </v>
      </c>
      <c r="BH529" s="4" t="str">
        <f ca="1">IFERROR(__xludf.DUMMYFUNCTION("""COMPUTED_VALUE"""),"| 1 P Python % | 3 L PHP-CGM % | 4 L NS % | 5 P JAVA % ")</f>
        <v xml:space="preserve">| 1 P Python % | 3 L PHP-CGM % | 4 L NS % | 5 P JAVA % </v>
      </c>
      <c r="BI529" s="4" t="str">
        <f ca="1">IFERROR(__xludf.DUMMYFUNCTION("""COMPUTED_VALUE"""),"| 1 P Python % | 3 L CPT % | 4 L PHP-CGM % | 5 P NS % ")</f>
        <v xml:space="preserve">| 1 P Python % | 3 L CPT % | 4 L PHP-CGM % | 5 P NS % </v>
      </c>
      <c r="BJ529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BK529" s="4" t="str">
        <f ca="1">IFERROR(__xludf.DUMMYFUNCTION("""COMPUTED_VALUE"""),"| 1 P JAVA @ | 3 L CPT @ | 4 L JAVA @ | 5 L INE @ ")</f>
        <v xml:space="preserve">| 1 P JAVA @ | 3 L CPT @ | 4 L JAVA @ | 5 L INE @ </v>
      </c>
      <c r="BL529" s="4" t="str">
        <f ca="1">IFERROR(__xludf.DUMMYFUNCTION("""COMPUTED_VALUE"""),"| 1 P PHP-CGM @ | 3 L JAVA @ | 4 L NS @ | 5 P PRO @ ")</f>
        <v xml:space="preserve">| 1 P PHP-CGM @ | 3 L JAVA @ | 4 L NS @ | 5 P PRO @ </v>
      </c>
      <c r="BM529" s="4" t="str">
        <f ca="1">IFERROR(__xludf.DUMMYFUNCTION("""COMPUTED_VALUE"""),"| 1 P Python @ | 3 L PHP-CGM @ | 4 L NS @ | 5 P JAVA @ ")</f>
        <v xml:space="preserve">| 1 P Python @ | 3 L PHP-CGM @ | 4 L NS @ | 5 P JAVA @ </v>
      </c>
      <c r="BN529" s="4" t="str">
        <f ca="1">IFERROR(__xludf.DUMMYFUNCTION("""COMPUTED_VALUE"""),"| 1 P Python @ | 3 L CPT @ | 4 L PHP-CGM % | 5 P NS @ ")</f>
        <v xml:space="preserve">| 1 P Python @ | 3 L CPT @ | 4 L PHP-CGM % | 5 P NS @ </v>
      </c>
      <c r="BO529" s="4" t="str">
        <f ca="1">IFERROR(__xludf.DUMMYFUNCTION("""COMPUTED_VALUE"""),"| 1 P CPT % | 3 L PHP-CGM @ | 4 L JAVA @ | 5 L NS @ | 6 L CPT % ")</f>
        <v xml:space="preserve">| 1 P CPT % | 3 L PHP-CGM @ | 4 L JAVA @ | 5 L NS @ | 6 L CPT % </v>
      </c>
      <c r="BP529" s="4" t="str">
        <f ca="1">IFERROR(__xludf.DUMMYFUNCTION("""COMPUTED_VALUE"""),"| 1 P JAVA % | 3 L CPT % | 4 L JAVA % | 5 L INE % ")</f>
        <v xml:space="preserve">| 1 P JAVA % | 3 L CPT % | 4 L JAVA % | 5 L INE % </v>
      </c>
      <c r="BQ529" s="4" t="str">
        <f ca="1">IFERROR(__xludf.DUMMYFUNCTION("""COMPUTED_VALUE"""),"| 4 L NS @ | 5 P JAVA % ")</f>
        <v xml:space="preserve">| 4 L NS @ | 5 P JAVA % </v>
      </c>
      <c r="BR529" s="4"/>
      <c r="BS529" s="4"/>
      <c r="BT529" s="4" t="str">
        <f ca="1">IFERROR(__xludf.DUMMYFUNCTION("""COMPUTED_VALUE"""),"| 1 P JAVA % | 3 L CPT % | 4 L JAVA % ")</f>
        <v xml:space="preserve">| 1 P JAVA % | 3 L CPT % | 4 L JAVA % </v>
      </c>
      <c r="BU529" s="4" t="str">
        <f ca="1">IFERROR(__xludf.DUMMYFUNCTION("""COMPUTED_VALUE"""),"| 1 P PHP-CGM @ | 4 L NS @ | 3 L JAVA @ ")</f>
        <v xml:space="preserve">| 1 P PHP-CGM @ | 4 L NS @ | 3 L JAVA @ </v>
      </c>
      <c r="BV529" s="4" t="str">
        <f ca="1">IFERROR(__xludf.DUMMYFUNCTION("""COMPUTED_VALUE"""),"| 1 P JAVA % | 3 L CPT @ | 4 L JAVA @ ")</f>
        <v xml:space="preserve">| 1 P JAVA % | 3 L CPT @ | 4 L JAVA @ </v>
      </c>
      <c r="BW529" s="4" t="str">
        <f ca="1">IFERROR(__xludf.DUMMYFUNCTION("""COMPUTED_VALUE"""),"| 1 P PHP-CGM @ | 3 L JAVA @ | 4 L NS @ ")</f>
        <v xml:space="preserve">| 1 P PHP-CGM @ | 3 L JAVA @ | 4 L NS @ </v>
      </c>
      <c r="BX529" s="4" t="str">
        <f ca="1">IFERROR(__xludf.DUMMYFUNCTION("""COMPUTED_VALUE"""),"| 1 P Python @ | 3 L PHP-CGM @ | 4 L NS @ | 5 P JAVA @ ")</f>
        <v xml:space="preserve">| 1 P Python @ | 3 L PHP-CGM @ | 4 L NS @ | 5 P JAVA @ </v>
      </c>
      <c r="BY529" s="4" t="str">
        <f ca="1">IFERROR(__xludf.DUMMYFUNCTION("""COMPUTED_VALUE"""),"| 1 P Python % | 3 L CPT % | 4 L PHP-CGM % | 5 P NS @ ")</f>
        <v xml:space="preserve">| 1 P Python % | 3 L CPT % | 4 L PHP-CGM % | 5 P NS @ </v>
      </c>
      <c r="BZ529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CA529" s="4" t="str">
        <f ca="1">IFERROR(__xludf.DUMMYFUNCTION("""COMPUTED_VALUE"""),"| 1 P JAVA % | 3 L CPT @ | 4 L JAVA @ | 5 L INE % ")</f>
        <v xml:space="preserve">| 1 P JAVA % | 3 L CPT @ | 4 L JAVA @ | 5 L INE % </v>
      </c>
      <c r="CB529" s="4" t="str">
        <f ca="1">IFERROR(__xludf.DUMMYFUNCTION("""COMPUTED_VALUE"""),"| 1 P PHP-CGM % | 3 L JAVA @ | 4 L NS @ | 5 P PRO % ")</f>
        <v xml:space="preserve">| 1 P PHP-CGM % | 3 L JAVA @ | 4 L NS @ | 5 P PRO % </v>
      </c>
      <c r="CC529" s="4" t="str">
        <f ca="1">IFERROR(__xludf.DUMMYFUNCTION("""COMPUTED_VALUE"""),"| 1 P Python % | 3 L PHP-CGM @ | 4 L NS @ | 5 P JAVA @ ")</f>
        <v xml:space="preserve">| 1 P Python % | 3 L PHP-CGM @ | 4 L NS @ | 5 P JAVA @ </v>
      </c>
      <c r="CD529" s="4" t="str">
        <f ca="1">IFERROR(__xludf.DUMMYFUNCTION("""COMPUTED_VALUE"""),"| 1 P Python % | 3 L CPT @ | 4 L PHP-CGM @ | 5 P NS % ")</f>
        <v xml:space="preserve">| 1 P Python % | 3 L CPT @ | 4 L PHP-CGM @ | 5 P NS % </v>
      </c>
      <c r="CE529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CF529" s="4" t="str">
        <f ca="1">IFERROR(__xludf.DUMMYFUNCTION("""COMPUTED_VALUE"""),"| 1 P JAVA % | 3 L CPT % | 4 L JAVA % | 5 L INE @ ")</f>
        <v xml:space="preserve">| 1 P JAVA % | 3 L CPT % | 4 L JAVA % | 5 L INE @ </v>
      </c>
      <c r="CG529" s="4" t="str">
        <f ca="1">IFERROR(__xludf.DUMMYFUNCTION("""COMPUTED_VALUE"""),"| 1 P PHP-CGM % | 4 L NS % ")</f>
        <v xml:space="preserve">| 1 P PHP-CGM % | 4 L NS % </v>
      </c>
      <c r="CH529" s="4" t="str">
        <f ca="1">IFERROR(__xludf.DUMMYFUNCTION("""COMPUTED_VALUE"""),"| 3 L PHP-CGM @ | 4 L NS @ ")</f>
        <v xml:space="preserve">| 3 L PHP-CGM @ | 4 L NS @ </v>
      </c>
      <c r="CI529" s="4" t="str">
        <f ca="1">IFERROR(__xludf.DUMMYFUNCTION("""COMPUTED_VALUE"""),"| 1 P Python % | 5 P NS % ")</f>
        <v xml:space="preserve">| 1 P Python % | 5 P NS % </v>
      </c>
      <c r="CJ529" s="4" t="str">
        <f ca="1">IFERROR(__xludf.DUMMYFUNCTION("""COMPUTED_VALUE"""),"| 4 L JAVA % | 1 P CPT % ")</f>
        <v xml:space="preserve">| 4 L JAVA % | 1 P CPT % </v>
      </c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</row>
    <row r="530" spans="1:102" ht="12.5" x14ac:dyDescent="0.25">
      <c r="A530" s="3">
        <f ca="1">IFERROR(__xludf.DUMMYFUNCTION("""COMPUTED_VALUE"""),3)</f>
        <v>3</v>
      </c>
      <c r="B530" s="3" t="str">
        <f ca="1">IFERROR(__xludf.DUMMYFUNCTION("""COMPUTED_VALUE"""),"ITC")</f>
        <v>ITC</v>
      </c>
      <c r="C530" s="32" t="str">
        <f ca="1">IFERROR(__xludf.DUMMYFUNCTION("""COMPUTED_VALUE"""),"23171371127")</f>
        <v>23171371127</v>
      </c>
      <c r="D530" s="4" t="str">
        <f ca="1">IFERROR(__xludf.DUMMYFUNCTION("""COMPUTED_VALUE"""),"PRAJAPATI ASHVINI RAJUBHAI")</f>
        <v>PRAJAPATI ASHVINI RAJUBHAI</v>
      </c>
      <c r="E530" s="3" t="str">
        <f ca="1">IFERROR(__xludf.DUMMYFUNCTION("""COMPUTED_VALUE"""),"SDP&amp;KKP - Mor")</f>
        <v>SDP&amp;KKP - Mor</v>
      </c>
      <c r="F530" s="3">
        <f ca="1">IFERROR(__xludf.DUMMYFUNCTION("""COMPUTED_VALUE"""),8780515382)</f>
        <v>8780515382</v>
      </c>
      <c r="G530" s="3">
        <f ca="1">IFERROR(__xludf.DUMMYFUNCTION("""COMPUTED_VALUE"""),9429121584)</f>
        <v>9429121584</v>
      </c>
      <c r="H530" s="33">
        <f ca="1">IFERROR(__xludf.DUMMYFUNCTION("""COMPUTED_VALUE"""),0.644897959183673)</f>
        <v>0.64489795918367299</v>
      </c>
      <c r="I530" s="25">
        <f ca="1">IFERROR(__xludf.DUMMYFUNCTION("""COMPUTED_VALUE"""),0.611111111111111)</f>
        <v>0.61111111111111105</v>
      </c>
      <c r="J530" s="25">
        <f ca="1">IFERROR(__xludf.DUMMYFUNCTION("""COMPUTED_VALUE"""),0.666666666666666)</f>
        <v>0.66666666666666596</v>
      </c>
      <c r="K530" s="25">
        <f ca="1">IFERROR(__xludf.DUMMYFUNCTION("""COMPUTED_VALUE"""),0.555555555555555)</f>
        <v>0.55555555555555503</v>
      </c>
      <c r="L530" s="25">
        <f ca="1">IFERROR(__xludf.DUMMYFUNCTION("""COMPUTED_VALUE"""),0.769230769230769)</f>
        <v>0.76923076923076905</v>
      </c>
      <c r="M530" s="25">
        <f ca="1">IFERROR(__xludf.DUMMYFUNCTION("""COMPUTED_VALUE"""),0.65625)</f>
        <v>0.65625</v>
      </c>
      <c r="N530" s="25">
        <f ca="1">IFERROR(__xludf.DUMMYFUNCTION("""COMPUTED_VALUE"""),0.692307692307692)</f>
        <v>0.69230769230769196</v>
      </c>
      <c r="O530" s="25">
        <f ca="1">IFERROR(__xludf.DUMMYFUNCTION("""COMPUTED_VALUE"""),0.621621621621621)</f>
        <v>0.62162162162162105</v>
      </c>
      <c r="P530" s="25">
        <f ca="1">IFERROR(__xludf.DUMMYFUNCTION("""COMPUTED_VALUE"""),0.72)</f>
        <v>0.72</v>
      </c>
      <c r="Q530" s="25">
        <f ca="1">IFERROR(__xludf.DUMMYFUNCTION("""COMPUTED_VALUE"""),0)</f>
        <v>0</v>
      </c>
      <c r="R530" s="25">
        <f ca="1">IFERROR(__xludf.DUMMYFUNCTION("""COMPUTED_VALUE"""),0.826086956521739)</f>
        <v>0.82608695652173902</v>
      </c>
      <c r="S530" s="25">
        <f ca="1">IFERROR(__xludf.DUMMYFUNCTION("""COMPUTED_VALUE"""),0)</f>
        <v>0</v>
      </c>
      <c r="T530" s="25">
        <f ca="1">IFERROR(__xludf.DUMMYFUNCTION("""COMPUTED_VALUE"""),0.4)</f>
        <v>0.4</v>
      </c>
      <c r="U530" s="25">
        <f ca="1">IFERROR(__xludf.DUMMYFUNCTION("""COMPUTED_VALUE"""),0.5)</f>
        <v>0.5</v>
      </c>
      <c r="V530" s="25">
        <f ca="1">IFERROR(__xludf.DUMMYFUNCTION("""COMPUTED_VALUE"""),0)</f>
        <v>0</v>
      </c>
      <c r="W530" s="4"/>
      <c r="X530" s="4" t="str">
        <f ca="1">IFERROR(__xludf.DUMMYFUNCTION("""COMPUTED_VALUE"""),"| 1 P JAVA % | 3 L CPT % | 4 L JAVA % ")</f>
        <v xml:space="preserve">| 1 P JAVA % | 3 L CPT % | 4 L JAVA % </v>
      </c>
      <c r="Y530" s="4" t="str">
        <f ca="1">IFERROR(__xludf.DUMMYFUNCTION("""COMPUTED_VALUE"""),"| 1 P PHP-CGM % | 3 L JAVA % | 4 L NS % | 5 P PRO % ")</f>
        <v xml:space="preserve">| 1 P PHP-CGM % | 3 L JAVA % | 4 L NS % | 5 P PRO % </v>
      </c>
      <c r="Z530" s="4" t="str">
        <f ca="1">IFERROR(__xludf.DUMMYFUNCTION("""COMPUTED_VALUE"""),"| 1 P Python % | 3 L PHP-CGM % | 4 L NS % | 5 P JAVA % ")</f>
        <v xml:space="preserve">| 1 P Python % | 3 L PHP-CGM % | 4 L NS % | 5 P JAVA % </v>
      </c>
      <c r="AA530" s="4" t="str">
        <f ca="1">IFERROR(__xludf.DUMMYFUNCTION("""COMPUTED_VALUE"""),"| 1 P Python % | 3 L CPT % | 5 P NS @ ")</f>
        <v xml:space="preserve">| 1 P Python % | 3 L CPT % | 5 P NS @ </v>
      </c>
      <c r="AB530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C530" s="4" t="str">
        <f ca="1">IFERROR(__xludf.DUMMYFUNCTION("""COMPUTED_VALUE"""),"| 1 P JAVA % | 3 L CPT % | 4 L JAVA % ")</f>
        <v xml:space="preserve">| 1 P JAVA % | 3 L CPT % | 4 L JAVA % </v>
      </c>
      <c r="AD530" s="4" t="str">
        <f ca="1">IFERROR(__xludf.DUMMYFUNCTION("""COMPUTED_VALUE"""),"| 1 P PHP-CGM % | 3 L JAVA % | 4 L NS % | 5 P PRO % ")</f>
        <v xml:space="preserve">| 1 P PHP-CGM % | 3 L JAVA % | 4 L NS % | 5 P PRO % </v>
      </c>
      <c r="AE530" s="4" t="str">
        <f ca="1">IFERROR(__xludf.DUMMYFUNCTION("""COMPUTED_VALUE"""),"| 1 P Python % | 3 L PHP-CGM % | 4 L NS % | 5 P JAVA % ")</f>
        <v xml:space="preserve">| 1 P Python % | 3 L PHP-CGM % | 4 L NS % | 5 P JAVA % </v>
      </c>
      <c r="AF530" s="4" t="str">
        <f ca="1">IFERROR(__xludf.DUMMYFUNCTION("""COMPUTED_VALUE"""),"| 1 P Python % | 3 L CPT % | 4 L PHP-CGM % | 5 P NS % ")</f>
        <v xml:space="preserve">| 1 P Python % | 3 L CPT % | 4 L PHP-CGM % | 5 P NS % </v>
      </c>
      <c r="AG530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30" s="4" t="str">
        <f ca="1">IFERROR(__xludf.DUMMYFUNCTION("""COMPUTED_VALUE"""),"| 1 P Python % | 3 L CPT % | 4 L PHP-CGM % | 5 P NS % ")</f>
        <v xml:space="preserve">| 1 P Python % | 3 L CPT % | 4 L PHP-CGM % | 5 P NS % </v>
      </c>
      <c r="AI530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J530" s="4" t="str">
        <f ca="1">IFERROR(__xludf.DUMMYFUNCTION("""COMPUTED_VALUE"""),"| 1 P JAVA % | 3 L CPT % | 4 L JAVA % ")</f>
        <v xml:space="preserve">| 1 P JAVA % | 3 L CPT % | 4 L JAVA % </v>
      </c>
      <c r="AK530" s="4" t="str">
        <f ca="1">IFERROR(__xludf.DUMMYFUNCTION("""COMPUTED_VALUE"""),"| 1 P PHP-CGM % | 4 L NS % | 3 L JAVA % | 5 P PRO @ ")</f>
        <v xml:space="preserve">| 1 P PHP-CGM % | 4 L NS % | 3 L JAVA % | 5 P PRO @ </v>
      </c>
      <c r="AL530" s="4" t="str">
        <f ca="1">IFERROR(__xludf.DUMMYFUNCTION("""COMPUTED_VALUE"""),"| 1 P Python % | 3 L PHP-CGM @ | 4 L NS @ | 5 P JAVA @ ")</f>
        <v xml:space="preserve">| 1 P Python % | 3 L PHP-CGM @ | 4 L NS @ | 5 P JAVA @ </v>
      </c>
      <c r="AM530" s="4" t="str">
        <f ca="1">IFERROR(__xludf.DUMMYFUNCTION("""COMPUTED_VALUE"""),"| 1 P Python % | 3 L CPT % | 4 L PHP-CGM @ | 5 P NS % ")</f>
        <v xml:space="preserve">| 1 P Python % | 3 L CPT % | 4 L PHP-CGM @ | 5 P NS % </v>
      </c>
      <c r="AN530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30" s="4" t="str">
        <f ca="1">IFERROR(__xludf.DUMMYFUNCTION("""COMPUTED_VALUE"""),"| 1 P JAVA @ | 3 L CPT @ | 4 L JAVA @ | 5 L INE @ ")</f>
        <v xml:space="preserve">| 1 P JAVA @ | 3 L CPT @ | 4 L JAVA @ | 5 L INE @ </v>
      </c>
      <c r="AP530" s="4" t="str">
        <f ca="1">IFERROR(__xludf.DUMMYFUNCTION("""COMPUTED_VALUE"""),"| 1 P PHP-CGM @ | 3 L JAVA @ | 4 L NS @ | 5 P PRO @ ")</f>
        <v xml:space="preserve">| 1 P PHP-CGM @ | 3 L JAVA @ | 4 L NS @ | 5 P PRO @ </v>
      </c>
      <c r="AQ530" s="4" t="str">
        <f ca="1">IFERROR(__xludf.DUMMYFUNCTION("""COMPUTED_VALUE"""),"| 1 P Python @ | 3 L PHP-CGM @ | 4 L NS @ | 5 P JAVA @ ")</f>
        <v xml:space="preserve">| 1 P Python @ | 3 L PHP-CGM @ | 4 L NS @ | 5 P JAVA @ </v>
      </c>
      <c r="AR530" s="4" t="str">
        <f ca="1">IFERROR(__xludf.DUMMYFUNCTION("""COMPUTED_VALUE"""),"| 1 P Python @ | 3 L CPT @ | 5 P NS % ")</f>
        <v xml:space="preserve">| 1 P Python @ | 3 L CPT @ | 5 P NS % </v>
      </c>
      <c r="AS530" s="4" t="str">
        <f ca="1">IFERROR(__xludf.DUMMYFUNCTION("""COMPUTED_VALUE"""),"| 1 P JAVA % | 3 L CPT % | 4 L JAVA % | 5 L INE % ")</f>
        <v xml:space="preserve">| 1 P JAVA % | 3 L CPT % | 4 L JAVA % | 5 L INE % </v>
      </c>
      <c r="AT530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0" s="4" t="str">
        <f ca="1">IFERROR(__xludf.DUMMYFUNCTION("""COMPUTED_VALUE"""),"| 1 P Python % | 3 L PHP-CGM % | 4 L NS % | 5 P JAVA % ")</f>
        <v xml:space="preserve">| 1 P Python % | 3 L PHP-CGM % | 4 L NS % | 5 P JAVA % </v>
      </c>
      <c r="AV530" s="4" t="str">
        <f ca="1">IFERROR(__xludf.DUMMYFUNCTION("""COMPUTED_VALUE"""),"| 1 P Python % | 3 L CPT % | 4 L PHP-CGM % | 5 P NS % ")</f>
        <v xml:space="preserve">| 1 P Python % | 3 L CPT % | 4 L PHP-CGM % | 5 P NS % </v>
      </c>
      <c r="AW530" s="4" t="str">
        <f ca="1">IFERROR(__xludf.DUMMYFUNCTION("""COMPUTED_VALUE"""),"| 1 P CPT % | 3 L PHP-CGM % | 4 L JAVA % | 5 L NS @ | 5 L CPT @ ")</f>
        <v xml:space="preserve">| 1 P CPT % | 3 L PHP-CGM % | 4 L JAVA % | 5 L NS @ | 5 L CPT @ </v>
      </c>
      <c r="AX530" s="4" t="str">
        <f ca="1">IFERROR(__xludf.DUMMYFUNCTION("""COMPUTED_VALUE"""),"| 1 P JAVA % | 3 L CPT % | 4 L JAVA % | 5 L INE % ")</f>
        <v xml:space="preserve">| 1 P JAVA % | 3 L CPT % | 4 L JAVA % | 5 L INE % </v>
      </c>
      <c r="AY530" s="4" t="str">
        <f ca="1">IFERROR(__xludf.DUMMYFUNCTION("""COMPUTED_VALUE"""),"| 1 P PHP-CGM @ | 3 L JAVA @ | 4 L NS @ | 5 P PRO @ ")</f>
        <v xml:space="preserve">| 1 P PHP-CGM @ | 3 L JAVA @ | 4 L NS @ | 5 P PRO @ </v>
      </c>
      <c r="AZ530" s="4" t="str">
        <f ca="1">IFERROR(__xludf.DUMMYFUNCTION("""COMPUTED_VALUE"""),"| 1 P Python @ | 3 L CPT @ | 4 L PHP-CGM @ | 5 P NS @ ")</f>
        <v xml:space="preserve">| 1 P Python @ | 3 L CPT @ | 4 L PHP-CGM @ | 5 P NS @ </v>
      </c>
      <c r="BA53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B530" s="4" t="str">
        <f ca="1">IFERROR(__xludf.DUMMYFUNCTION("""COMPUTED_VALUE"""),"| 1 P JAVA % | 3 L CPT @ | 4 L JAVA @ | 5 L INE @ ")</f>
        <v xml:space="preserve">| 1 P JAVA % | 3 L CPT @ | 4 L JAVA @ | 5 L INE @ </v>
      </c>
      <c r="BC530" s="4" t="str">
        <f ca="1">IFERROR(__xludf.DUMMYFUNCTION("""COMPUTED_VALUE"""),"| 1 P PHP-CGM % | 3 L JAVA % | 4 L NS % | 5 P PRO % ")</f>
        <v xml:space="preserve">| 1 P PHP-CGM % | 3 L JAVA % | 4 L NS % | 5 P PRO % </v>
      </c>
      <c r="BD530" s="4" t="str">
        <f ca="1">IFERROR(__xludf.DUMMYFUNCTION("""COMPUTED_VALUE"""),"| 1 P Python % | 4 L NS %  | 3 L PHP-CGM % | 5 P JAVA % ")</f>
        <v xml:space="preserve">| 1 P Python % | 4 L NS %  | 3 L PHP-CGM % | 5 P JAVA % </v>
      </c>
      <c r="BE530" s="4" t="str">
        <f ca="1">IFERROR(__xludf.DUMMYFUNCTION("""COMPUTED_VALUE"""),"| 1 P Python % | 3 L CPT % | 4 L PHP-CGM % | 5 P NS % ")</f>
        <v xml:space="preserve">| 1 P Python % | 3 L CPT % | 4 L PHP-CGM % | 5 P NS % </v>
      </c>
      <c r="BF530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G530" s="4" t="str">
        <f ca="1">IFERROR(__xludf.DUMMYFUNCTION("""COMPUTED_VALUE"""),"| 1 P PHP-CGM % | 3 L JAVA % | 4 L NS % | 5 P PRO @ ")</f>
        <v xml:space="preserve">| 1 P PHP-CGM % | 3 L JAVA % | 4 L NS % | 5 P PRO @ </v>
      </c>
      <c r="BH530" s="4" t="str">
        <f ca="1">IFERROR(__xludf.DUMMYFUNCTION("""COMPUTED_VALUE"""),"| 1 P Python % | 3 L PHP-CGM % | 4 L NS % | 5 P JAVA % ")</f>
        <v xml:space="preserve">| 1 P Python % | 3 L PHP-CGM % | 4 L NS % | 5 P JAVA % </v>
      </c>
      <c r="BI530" s="4" t="str">
        <f ca="1">IFERROR(__xludf.DUMMYFUNCTION("""COMPUTED_VALUE"""),"| 1 P Python % | 3 L CPT % | 4 L PHP-CGM % | 5 P NS % ")</f>
        <v xml:space="preserve">| 1 P Python % | 3 L CPT % | 4 L PHP-CGM % | 5 P NS % </v>
      </c>
      <c r="BJ53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K530" s="4" t="str">
        <f ca="1">IFERROR(__xludf.DUMMYFUNCTION("""COMPUTED_VALUE"""),"| 1 P JAVA % | 3 L CPT % | 4 L JAVA % | 5 L INE % ")</f>
        <v xml:space="preserve">| 1 P JAVA % | 3 L CPT % | 4 L JAVA % | 5 L INE % </v>
      </c>
      <c r="BL530" s="4" t="str">
        <f ca="1">IFERROR(__xludf.DUMMYFUNCTION("""COMPUTED_VALUE"""),"| 1 P PHP-CGM @ | 3 L JAVA @ | 4 L NS @ | 5 P PRO @ ")</f>
        <v xml:space="preserve">| 1 P PHP-CGM @ | 3 L JAVA @ | 4 L NS @ | 5 P PRO @ </v>
      </c>
      <c r="BM530" s="4" t="str">
        <f ca="1">IFERROR(__xludf.DUMMYFUNCTION("""COMPUTED_VALUE"""),"| 1 P Python % | 3 L PHP-CGM % | 4 L NS % | 5 P JAVA @ ")</f>
        <v xml:space="preserve">| 1 P Python % | 3 L PHP-CGM % | 4 L NS % | 5 P JAVA @ </v>
      </c>
      <c r="BN530" s="4" t="str">
        <f ca="1">IFERROR(__xludf.DUMMYFUNCTION("""COMPUTED_VALUE"""),"| 1 P Python % | 3 L CPT % | 4 L PHP-CGM % | 5 P NS % ")</f>
        <v xml:space="preserve">| 1 P Python % | 3 L CPT % | 4 L PHP-CGM % | 5 P NS % </v>
      </c>
      <c r="BO530" s="4" t="str">
        <f ca="1">IFERROR(__xludf.DUMMYFUNCTION("""COMPUTED_VALUE"""),"| 1 P CPT @ | 3 L PHP-CGM @ | 4 L JAVA @ | 5 L NS % | 6 L CPT % ")</f>
        <v xml:space="preserve">| 1 P CPT @ | 3 L PHP-CGM @ | 4 L JAVA @ | 5 L NS % | 6 L CPT % </v>
      </c>
      <c r="BP530" s="4" t="str">
        <f ca="1">IFERROR(__xludf.DUMMYFUNCTION("""COMPUTED_VALUE"""),"| 1 P JAVA @ | 3 L CPT @ | 4 L JAVA @ | 5 L INE @ ")</f>
        <v xml:space="preserve">| 1 P JAVA @ | 3 L CPT @ | 4 L JAVA @ | 5 L INE @ </v>
      </c>
      <c r="BQ530" s="4" t="str">
        <f ca="1">IFERROR(__xludf.DUMMYFUNCTION("""COMPUTED_VALUE"""),"| 4 L NS % | 5 P JAVA % ")</f>
        <v xml:space="preserve">| 4 L NS % | 5 P JAVA % </v>
      </c>
      <c r="BR530" s="4"/>
      <c r="BS530" s="4"/>
      <c r="BT530" s="4" t="str">
        <f ca="1">IFERROR(__xludf.DUMMYFUNCTION("""COMPUTED_VALUE"""),"| 1 P JAVA @ | 3 L CPT @ | 4 L JAVA @ ")</f>
        <v xml:space="preserve">| 1 P JAVA @ | 3 L CPT @ | 4 L JAVA @ </v>
      </c>
      <c r="BU530" s="4" t="str">
        <f ca="1">IFERROR(__xludf.DUMMYFUNCTION("""COMPUTED_VALUE"""),"| 1 P PHP-CGM @ | 4 L NS @ | 3 L JAVA @ ")</f>
        <v xml:space="preserve">| 1 P PHP-CGM @ | 4 L NS @ | 3 L JAVA @ </v>
      </c>
      <c r="BV530" s="4" t="str">
        <f ca="1">IFERROR(__xludf.DUMMYFUNCTION("""COMPUTED_VALUE"""),"| 1 P JAVA % | 3 L CPT % | 4 L JAVA % ")</f>
        <v xml:space="preserve">| 1 P JAVA % | 3 L CPT % | 4 L JAVA % </v>
      </c>
      <c r="BW530" s="4" t="str">
        <f ca="1">IFERROR(__xludf.DUMMYFUNCTION("""COMPUTED_VALUE"""),"| 1 P PHP-CGM % | 3 L JAVA % | 4 L NS % ")</f>
        <v xml:space="preserve">| 1 P PHP-CGM % | 3 L JAVA % | 4 L NS % </v>
      </c>
      <c r="BX530" s="4" t="str">
        <f ca="1">IFERROR(__xludf.DUMMYFUNCTION("""COMPUTED_VALUE"""),"| 1 P Python % | 3 L PHP-CGM % | 4 L NS % | 5 P JAVA % ")</f>
        <v xml:space="preserve">| 1 P Python % | 3 L PHP-CGM % | 4 L NS % | 5 P JAVA % </v>
      </c>
      <c r="BY530" s="4" t="str">
        <f ca="1">IFERROR(__xludf.DUMMYFUNCTION("""COMPUTED_VALUE"""),"| 1 P Python % | 3 L CPT % | 4 L PHP-CGM % | 5 P NS @ ")</f>
        <v xml:space="preserve">| 1 P Python % | 3 L CPT % | 4 L PHP-CGM % | 5 P NS @ </v>
      </c>
      <c r="BZ530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CA530" s="4" t="str">
        <f ca="1">IFERROR(__xludf.DUMMYFUNCTION("""COMPUTED_VALUE"""),"| 1 P JAVA % | 3 L CPT % | 4 L JAVA % | 5 L INE % ")</f>
        <v xml:space="preserve">| 1 P JAVA % | 3 L CPT % | 4 L JAVA % | 5 L INE % </v>
      </c>
      <c r="CB530" s="4" t="str">
        <f ca="1">IFERROR(__xludf.DUMMYFUNCTION("""COMPUTED_VALUE"""),"| 1 P PHP-CGM % | 3 L JAVA @ | 4 L NS @ | 5 P PRO @ ")</f>
        <v xml:space="preserve">| 1 P PHP-CGM % | 3 L JAVA @ | 4 L NS @ | 5 P PRO @ </v>
      </c>
      <c r="CC530" s="4" t="str">
        <f ca="1">IFERROR(__xludf.DUMMYFUNCTION("""COMPUTED_VALUE"""),"| 1 P Python % | 3 L PHP-CGM % | 4 L NS % | 5 P JAVA % ")</f>
        <v xml:space="preserve">| 1 P Python % | 3 L PHP-CGM % | 4 L NS % | 5 P JAVA % </v>
      </c>
      <c r="CD530" s="4" t="str">
        <f ca="1">IFERROR(__xludf.DUMMYFUNCTION("""COMPUTED_VALUE"""),"| 1 P Python % | 3 L CPT @ | 4 L PHP-CGM @ | 5 P NS % ")</f>
        <v xml:space="preserve">| 1 P Python % | 3 L CPT @ | 4 L PHP-CGM @ | 5 P NS % </v>
      </c>
      <c r="CE530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30" s="4" t="str">
        <f ca="1">IFERROR(__xludf.DUMMYFUNCTION("""COMPUTED_VALUE"""),"| 1 P JAVA % | 3 L CPT % | 4 L JAVA % | 5 L INE @ ")</f>
        <v xml:space="preserve">| 1 P JAVA % | 3 L CPT % | 4 L JAVA % | 5 L INE @ </v>
      </c>
      <c r="CG530" s="4" t="str">
        <f ca="1">IFERROR(__xludf.DUMMYFUNCTION("""COMPUTED_VALUE"""),"| 1 P PHP-CGM % | 4 L NS @ ")</f>
        <v xml:space="preserve">| 1 P PHP-CGM % | 4 L NS @ </v>
      </c>
      <c r="CH530" s="4" t="str">
        <f ca="1">IFERROR(__xludf.DUMMYFUNCTION("""COMPUTED_VALUE"""),"| 3 L PHP-CGM @ | 4 L NS @ ")</f>
        <v xml:space="preserve">| 3 L PHP-CGM @ | 4 L NS @ </v>
      </c>
      <c r="CI530" s="4" t="str">
        <f ca="1">IFERROR(__xludf.DUMMYFUNCTION("""COMPUTED_VALUE"""),"| 1 P Python @ | 5 P NS % ")</f>
        <v xml:space="preserve">| 1 P Python @ | 5 P NS % </v>
      </c>
      <c r="CJ530" s="4" t="str">
        <f ca="1">IFERROR(__xludf.DUMMYFUNCTION("""COMPUTED_VALUE"""),"| 4 L JAVA % | 1 P CPT % ")</f>
        <v xml:space="preserve">| 4 L JAVA % | 1 P CPT % </v>
      </c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</row>
    <row r="531" spans="1:102" ht="12.5" x14ac:dyDescent="0.25">
      <c r="A531" s="3">
        <f ca="1">IFERROR(__xludf.DUMMYFUNCTION("""COMPUTED_VALUE"""),3)</f>
        <v>3</v>
      </c>
      <c r="B531" s="3" t="str">
        <f ca="1">IFERROR(__xludf.DUMMYFUNCTION("""COMPUTED_VALUE"""),"ITC")</f>
        <v>ITC</v>
      </c>
      <c r="C531" s="32" t="str">
        <f ca="1">IFERROR(__xludf.DUMMYFUNCTION("""COMPUTED_VALUE"""),"23171371128")</f>
        <v>23171371128</v>
      </c>
      <c r="D531" s="4" t="str">
        <f ca="1">IFERROR(__xludf.DUMMYFUNCTION("""COMPUTED_VALUE"""),"PRAJAPATI KRISH RAMESHBHAI")</f>
        <v>PRAJAPATI KRISH RAMESHBHAI</v>
      </c>
      <c r="E531" s="3" t="str">
        <f ca="1">IFERROR(__xludf.DUMMYFUNCTION("""COMPUTED_VALUE"""),"SDP&amp;KKP - Mor")</f>
        <v>SDP&amp;KKP - Mor</v>
      </c>
      <c r="F531" s="3">
        <f ca="1">IFERROR(__xludf.DUMMYFUNCTION("""COMPUTED_VALUE"""),9313594233)</f>
        <v>9313594233</v>
      </c>
      <c r="G531" s="3">
        <f ca="1">IFERROR(__xludf.DUMMYFUNCTION("""COMPUTED_VALUE"""),9898653013)</f>
        <v>9898653013</v>
      </c>
      <c r="H531" s="33">
        <f ca="1">IFERROR(__xludf.DUMMYFUNCTION("""COMPUTED_VALUE"""),0.76734693877551)</f>
        <v>0.76734693877550997</v>
      </c>
      <c r="I531" s="25">
        <f ca="1">IFERROR(__xludf.DUMMYFUNCTION("""COMPUTED_VALUE"""),0.805555555555555)</f>
        <v>0.80555555555555503</v>
      </c>
      <c r="J531" s="25">
        <f ca="1">IFERROR(__xludf.DUMMYFUNCTION("""COMPUTED_VALUE"""),0.75)</f>
        <v>0.75</v>
      </c>
      <c r="K531" s="25">
        <f ca="1">IFERROR(__xludf.DUMMYFUNCTION("""COMPUTED_VALUE"""),0.75)</f>
        <v>0.75</v>
      </c>
      <c r="L531" s="25">
        <f ca="1">IFERROR(__xludf.DUMMYFUNCTION("""COMPUTED_VALUE"""),0.692307692307692)</f>
        <v>0.69230769230769196</v>
      </c>
      <c r="M531" s="25">
        <f ca="1">IFERROR(__xludf.DUMMYFUNCTION("""COMPUTED_VALUE"""),0.71875)</f>
        <v>0.71875</v>
      </c>
      <c r="N531" s="25">
        <f ca="1">IFERROR(__xludf.DUMMYFUNCTION("""COMPUTED_VALUE"""),0.923076923076923)</f>
        <v>0.92307692307692302</v>
      </c>
      <c r="O531" s="25">
        <f ca="1">IFERROR(__xludf.DUMMYFUNCTION("""COMPUTED_VALUE"""),0.837837837837837)</f>
        <v>0.83783783783783705</v>
      </c>
      <c r="P531" s="25">
        <f ca="1">IFERROR(__xludf.DUMMYFUNCTION("""COMPUTED_VALUE"""),0.8)</f>
        <v>0.8</v>
      </c>
      <c r="Q531" s="25">
        <f ca="1">IFERROR(__xludf.DUMMYFUNCTION("""COMPUTED_VALUE"""),0)</f>
        <v>0</v>
      </c>
      <c r="R531" s="25">
        <f ca="1">IFERROR(__xludf.DUMMYFUNCTION("""COMPUTED_VALUE"""),0.869565217391304)</f>
        <v>0.86956521739130399</v>
      </c>
      <c r="S531" s="25">
        <f ca="1">IFERROR(__xludf.DUMMYFUNCTION("""COMPUTED_VALUE"""),0)</f>
        <v>0</v>
      </c>
      <c r="T531" s="25">
        <f ca="1">IFERROR(__xludf.DUMMYFUNCTION("""COMPUTED_VALUE"""),0.3)</f>
        <v>0.3</v>
      </c>
      <c r="U531" s="25">
        <f ca="1">IFERROR(__xludf.DUMMYFUNCTION("""COMPUTED_VALUE"""),0.625)</f>
        <v>0.625</v>
      </c>
      <c r="V531" s="25">
        <f ca="1">IFERROR(__xludf.DUMMYFUNCTION("""COMPUTED_VALUE"""),0)</f>
        <v>0</v>
      </c>
      <c r="W531" s="4"/>
      <c r="X531" s="4" t="str">
        <f ca="1">IFERROR(__xludf.DUMMYFUNCTION("""COMPUTED_VALUE"""),"| 1 P JAVA % | 3 L CPT % | 4 L JAVA % ")</f>
        <v xml:space="preserve">| 1 P JAVA % | 3 L CPT % | 4 L JAVA % </v>
      </c>
      <c r="Y531" s="4" t="str">
        <f ca="1">IFERROR(__xludf.DUMMYFUNCTION("""COMPUTED_VALUE"""),"| 1 P PHP-CGM @ | 3 L JAVA @ | 4 L NS @ | 5 P PRO @ ")</f>
        <v xml:space="preserve">| 1 P PHP-CGM @ | 3 L JAVA @ | 4 L NS @ | 5 P PRO @ </v>
      </c>
      <c r="Z531" s="4" t="str">
        <f ca="1">IFERROR(__xludf.DUMMYFUNCTION("""COMPUTED_VALUE"""),"| 1 P Python @ | 3 L PHP-CGM @ | 4 L NS @ | 5 P JAVA @ ")</f>
        <v xml:space="preserve">| 1 P Python @ | 3 L PHP-CGM @ | 4 L NS @ | 5 P JAVA @ </v>
      </c>
      <c r="AA531" s="4" t="str">
        <f ca="1">IFERROR(__xludf.DUMMYFUNCTION("""COMPUTED_VALUE"""),"| 1 P Python % | 3 L CPT % | 5 P NS % ")</f>
        <v xml:space="preserve">| 1 P Python % | 3 L CPT % | 5 P NS % </v>
      </c>
      <c r="AB531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31" s="4" t="str">
        <f ca="1">IFERROR(__xludf.DUMMYFUNCTION("""COMPUTED_VALUE"""),"| 1 P JAVA % | 3 L CPT @ | 4 L JAVA % ")</f>
        <v xml:space="preserve">| 1 P JAVA % | 3 L CPT @ | 4 L JAVA % </v>
      </c>
      <c r="AD531" s="4" t="str">
        <f ca="1">IFERROR(__xludf.DUMMYFUNCTION("""COMPUTED_VALUE"""),"| 1 P PHP-CGM % | 3 L JAVA % | 4 L NS % | 5 P PRO % ")</f>
        <v xml:space="preserve">| 1 P PHP-CGM % | 3 L JAVA % | 4 L NS % | 5 P PRO % </v>
      </c>
      <c r="AE531" s="4" t="str">
        <f ca="1">IFERROR(__xludf.DUMMYFUNCTION("""COMPUTED_VALUE"""),"| 1 P Python % | 3 L PHP-CGM % | 4 L NS % | 5 P JAVA % ")</f>
        <v xml:space="preserve">| 1 P Python % | 3 L PHP-CGM % | 4 L NS % | 5 P JAVA % </v>
      </c>
      <c r="AF531" s="4" t="str">
        <f ca="1">IFERROR(__xludf.DUMMYFUNCTION("""COMPUTED_VALUE"""),"| 1 P Python % | 3 L CPT % | 4 L PHP-CGM % | 5 P NS % ")</f>
        <v xml:space="preserve">| 1 P Python % | 3 L CPT % | 4 L PHP-CGM % | 5 P NS % </v>
      </c>
      <c r="AG531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31" s="4" t="str">
        <f ca="1">IFERROR(__xludf.DUMMYFUNCTION("""COMPUTED_VALUE"""),"| 1 P Python % | 3 L CPT % | 4 L PHP-CGM % | 5 P NS % ")</f>
        <v xml:space="preserve">| 1 P Python % | 3 L CPT % | 4 L PHP-CGM % | 5 P NS % </v>
      </c>
      <c r="AI531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31" s="4" t="str">
        <f ca="1">IFERROR(__xludf.DUMMYFUNCTION("""COMPUTED_VALUE"""),"| 1 P JAVA % | 3 L CPT % | 4 L JAVA % ")</f>
        <v xml:space="preserve">| 1 P JAVA % | 3 L CPT % | 4 L JAVA % </v>
      </c>
      <c r="AK531" s="4" t="str">
        <f ca="1">IFERROR(__xludf.DUMMYFUNCTION("""COMPUTED_VALUE"""),"| 1 P PHP-CGM % | 4 L NS % | 3 L JAVA % | 5 P PRO @ ")</f>
        <v xml:space="preserve">| 1 P PHP-CGM % | 4 L NS % | 3 L JAVA % | 5 P PRO @ </v>
      </c>
      <c r="AL531" s="4" t="str">
        <f ca="1">IFERROR(__xludf.DUMMYFUNCTION("""COMPUTED_VALUE"""),"| 1 P Python % | 3 L PHP-CGM @ | 4 L NS @ | 5 P JAVA @ ")</f>
        <v xml:space="preserve">| 1 P Python % | 3 L PHP-CGM @ | 4 L NS @ | 5 P JAVA @ </v>
      </c>
      <c r="AM531" s="4" t="str">
        <f ca="1">IFERROR(__xludf.DUMMYFUNCTION("""COMPUTED_VALUE"""),"| 1 P Python @ | 3 L CPT @ | 4 L PHP-CGM @ | 5 P NS @ ")</f>
        <v xml:space="preserve">| 1 P Python @ | 3 L CPT @ | 4 L PHP-CGM @ | 5 P NS @ </v>
      </c>
      <c r="AN531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31" s="4" t="str">
        <f ca="1">IFERROR(__xludf.DUMMYFUNCTION("""COMPUTED_VALUE"""),"| 1 P JAVA % | 3 L CPT % | 4 L JAVA % | 5 L INE % ")</f>
        <v xml:space="preserve">| 1 P JAVA % | 3 L CPT % | 4 L JAVA % | 5 L INE % </v>
      </c>
      <c r="AP531" s="4" t="str">
        <f ca="1">IFERROR(__xludf.DUMMYFUNCTION("""COMPUTED_VALUE"""),"| 1 P PHP-CGM % | 3 L JAVA % | 4 L NS % | 5 P PRO % ")</f>
        <v xml:space="preserve">| 1 P PHP-CGM % | 3 L JAVA % | 4 L NS % | 5 P PRO % </v>
      </c>
      <c r="AQ531" s="4" t="str">
        <f ca="1">IFERROR(__xludf.DUMMYFUNCTION("""COMPUTED_VALUE"""),"| 1 P Python % | 3 L PHP-CGM % | 4 L NS % | 5 P JAVA % ")</f>
        <v xml:space="preserve">| 1 P Python % | 3 L PHP-CGM % | 4 L NS % | 5 P JAVA % </v>
      </c>
      <c r="AR531" s="4" t="str">
        <f ca="1">IFERROR(__xludf.DUMMYFUNCTION("""COMPUTED_VALUE"""),"| 1 P Python % | 3 L CPT % | 5 P NS @ ")</f>
        <v xml:space="preserve">| 1 P Python % | 3 L CPT % | 5 P NS @ </v>
      </c>
      <c r="AS531" s="4" t="str">
        <f ca="1">IFERROR(__xludf.DUMMYFUNCTION("""COMPUTED_VALUE"""),"| 1 P JAVA % | 3 L CPT % | 4 L JAVA % | 5 L INE % ")</f>
        <v xml:space="preserve">| 1 P JAVA % | 3 L CPT % | 4 L JAVA % | 5 L INE % </v>
      </c>
      <c r="AT531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1" s="4" t="str">
        <f ca="1">IFERROR(__xludf.DUMMYFUNCTION("""COMPUTED_VALUE"""),"| 1 P Python % | 3 L PHP-CGM % | 4 L NS % | 5 P JAVA % ")</f>
        <v xml:space="preserve">| 1 P Python % | 3 L PHP-CGM % | 4 L NS % | 5 P JAVA % </v>
      </c>
      <c r="AV531" s="4" t="str">
        <f ca="1">IFERROR(__xludf.DUMMYFUNCTION("""COMPUTED_VALUE"""),"| 1 P Python % | 3 L CPT % | 4 L PHP-CGM % | 5 P NS % ")</f>
        <v xml:space="preserve">| 1 P Python % | 3 L CPT % | 4 L PHP-CGM % | 5 P NS % </v>
      </c>
      <c r="AW531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31" s="4" t="str">
        <f ca="1">IFERROR(__xludf.DUMMYFUNCTION("""COMPUTED_VALUE"""),"| 1 P JAVA % | 3 L CPT % | 4 L JAVA @ | 5 L INE % ")</f>
        <v xml:space="preserve">| 1 P JAVA % | 3 L CPT % | 4 L JAVA @ | 5 L INE % </v>
      </c>
      <c r="AY531" s="4" t="str">
        <f ca="1">IFERROR(__xludf.DUMMYFUNCTION("""COMPUTED_VALUE"""),"| 1 P PHP-CGM % | 3 L JAVA % | 4 L NS % | 5 P PRO @ ")</f>
        <v xml:space="preserve">| 1 P PHP-CGM % | 3 L JAVA % | 4 L NS % | 5 P PRO @ </v>
      </c>
      <c r="AZ531" s="4" t="str">
        <f ca="1">IFERROR(__xludf.DUMMYFUNCTION("""COMPUTED_VALUE"""),"| 1 P Python % | 3 L CPT % | 4 L PHP-CGM % | 5 P NS % ")</f>
        <v xml:space="preserve">| 1 P Python % | 3 L CPT % | 4 L PHP-CGM % | 5 P NS % </v>
      </c>
      <c r="BA531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31" s="4" t="str">
        <f ca="1">IFERROR(__xludf.DUMMYFUNCTION("""COMPUTED_VALUE"""),"| 1 P JAVA % | 3 L CPT % | 4 L JAVA % | 5 L INE % ")</f>
        <v xml:space="preserve">| 1 P JAVA % | 3 L CPT % | 4 L JAVA % | 5 L INE % </v>
      </c>
      <c r="BC531" s="4" t="str">
        <f ca="1">IFERROR(__xludf.DUMMYFUNCTION("""COMPUTED_VALUE"""),"| 1 P PHP-CGM % | 3 L JAVA % | 4 L NS % | 5 P PRO @ ")</f>
        <v xml:space="preserve">| 1 P PHP-CGM % | 3 L JAVA % | 4 L NS % | 5 P PRO @ </v>
      </c>
      <c r="BD531" s="4" t="str">
        <f ca="1">IFERROR(__xludf.DUMMYFUNCTION("""COMPUTED_VALUE"""),"| 1 P Python % | 4 L NS %  | 3 L PHP-CGM % | 5 P JAVA % ")</f>
        <v xml:space="preserve">| 1 P Python % | 4 L NS %  | 3 L PHP-CGM % | 5 P JAVA % </v>
      </c>
      <c r="BE531" s="4" t="str">
        <f ca="1">IFERROR(__xludf.DUMMYFUNCTION("""COMPUTED_VALUE"""),"| 1 P Python % | 3 L CPT % | 4 L PHP-CGM % | 5 P NS % ")</f>
        <v xml:space="preserve">| 1 P Python % | 3 L CPT % | 4 L PHP-CGM % | 5 P NS % </v>
      </c>
      <c r="BF531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31" s="4" t="str">
        <f ca="1">IFERROR(__xludf.DUMMYFUNCTION("""COMPUTED_VALUE"""),"| 1 P PHP-CGM % | 3 L JAVA % | 4 L NS % | 5 P PRO @ ")</f>
        <v xml:space="preserve">| 1 P PHP-CGM % | 3 L JAVA % | 4 L NS % | 5 P PRO @ </v>
      </c>
      <c r="BH531" s="4" t="str">
        <f ca="1">IFERROR(__xludf.DUMMYFUNCTION("""COMPUTED_VALUE"""),"| 1 P Python % | 3 L PHP-CGM % | 4 L NS % | 5 P JAVA % ")</f>
        <v xml:space="preserve">| 1 P Python % | 3 L PHP-CGM % | 4 L NS % | 5 P JAVA % </v>
      </c>
      <c r="BI531" s="4" t="str">
        <f ca="1">IFERROR(__xludf.DUMMYFUNCTION("""COMPUTED_VALUE"""),"| 1 P Python % | 3 L CPT % | 4 L PHP-CGM % | 5 P NS % ")</f>
        <v xml:space="preserve">| 1 P Python % | 3 L CPT % | 4 L PHP-CGM % | 5 P NS % </v>
      </c>
      <c r="BJ531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31" s="4" t="str">
        <f ca="1">IFERROR(__xludf.DUMMYFUNCTION("""COMPUTED_VALUE"""),"| 1 P JAVA % | 3 L CPT % | 4 L JAVA % | 5 L INE @ ")</f>
        <v xml:space="preserve">| 1 P JAVA % | 3 L CPT % | 4 L JAVA % | 5 L INE @ </v>
      </c>
      <c r="BL531" s="4" t="str">
        <f ca="1">IFERROR(__xludf.DUMMYFUNCTION("""COMPUTED_VALUE"""),"| 1 P PHP-CGM % | 3 L JAVA % | 4 L NS % | 5 P PRO @ ")</f>
        <v xml:space="preserve">| 1 P PHP-CGM % | 3 L JAVA % | 4 L NS % | 5 P PRO @ </v>
      </c>
      <c r="BM531" s="4" t="str">
        <f ca="1">IFERROR(__xludf.DUMMYFUNCTION("""COMPUTED_VALUE"""),"| 1 P Python % | 3 L PHP-CGM % | 4 L NS % | 5 P JAVA @ ")</f>
        <v xml:space="preserve">| 1 P Python % | 3 L PHP-CGM % | 4 L NS % | 5 P JAVA @ </v>
      </c>
      <c r="BN531" s="4" t="str">
        <f ca="1">IFERROR(__xludf.DUMMYFUNCTION("""COMPUTED_VALUE"""),"| 1 P Python % | 3 L CPT @ | 4 L PHP-CGM @ | 5 P NS @ ")</f>
        <v xml:space="preserve">| 1 P Python % | 3 L CPT @ | 4 L PHP-CGM @ | 5 P NS @ </v>
      </c>
      <c r="BO531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31" s="4" t="str">
        <f ca="1">IFERROR(__xludf.DUMMYFUNCTION("""COMPUTED_VALUE"""),"| 1 P JAVA @ | 3 L CPT @ | 4 L JAVA @ | 5 L INE @ ")</f>
        <v xml:space="preserve">| 1 P JAVA @ | 3 L CPT @ | 4 L JAVA @ | 5 L INE @ </v>
      </c>
      <c r="BQ531" s="4" t="str">
        <f ca="1">IFERROR(__xludf.DUMMYFUNCTION("""COMPUTED_VALUE"""),"| 4 L NS @ | 5 P JAVA % ")</f>
        <v xml:space="preserve">| 4 L NS @ | 5 P JAVA % </v>
      </c>
      <c r="BR531" s="4"/>
      <c r="BS531" s="4"/>
      <c r="BT531" s="4" t="str">
        <f ca="1">IFERROR(__xludf.DUMMYFUNCTION("""COMPUTED_VALUE"""),"| 1 P JAVA % | 3 L CPT % | 4 L JAVA % ")</f>
        <v xml:space="preserve">| 1 P JAVA % | 3 L CPT % | 4 L JAVA % </v>
      </c>
      <c r="BU531" s="4" t="str">
        <f ca="1">IFERROR(__xludf.DUMMYFUNCTION("""COMPUTED_VALUE"""),"| 1 P PHP-CGM % | 4 L NS % | 3 L JAVA % ")</f>
        <v xml:space="preserve">| 1 P PHP-CGM % | 4 L NS % | 3 L JAVA % </v>
      </c>
      <c r="BV531" s="4" t="str">
        <f ca="1">IFERROR(__xludf.DUMMYFUNCTION("""COMPUTED_VALUE"""),"| 1 P JAVA % | 3 L CPT % | 4 L JAVA % ")</f>
        <v xml:space="preserve">| 1 P JAVA % | 3 L CPT % | 4 L JAVA % </v>
      </c>
      <c r="BW531" s="4" t="str">
        <f ca="1">IFERROR(__xludf.DUMMYFUNCTION("""COMPUTED_VALUE"""),"| 1 P PHP-CGM % | 3 L JAVA % | 4 L NS % ")</f>
        <v xml:space="preserve">| 1 P PHP-CGM % | 3 L JAVA % | 4 L NS % </v>
      </c>
      <c r="BX531" s="4" t="str">
        <f ca="1">IFERROR(__xludf.DUMMYFUNCTION("""COMPUTED_VALUE"""),"| 1 P Python % | 3 L PHP-CGM % | 4 L NS % | 5 P JAVA % ")</f>
        <v xml:space="preserve">| 1 P Python % | 3 L PHP-CGM % | 4 L NS % | 5 P JAVA % </v>
      </c>
      <c r="BY531" s="4" t="str">
        <f ca="1">IFERROR(__xludf.DUMMYFUNCTION("""COMPUTED_VALUE"""),"| 1 P Python % | 3 L CPT % | 4 L PHP-CGM % | 5 P NS @ ")</f>
        <v xml:space="preserve">| 1 P Python % | 3 L CPT % | 4 L PHP-CGM % | 5 P NS @ </v>
      </c>
      <c r="BZ531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CA531" s="4" t="str">
        <f ca="1">IFERROR(__xludf.DUMMYFUNCTION("""COMPUTED_VALUE"""),"| 1 P JAVA % | 3 L CPT % | 4 L JAVA % | 5 L INE % ")</f>
        <v xml:space="preserve">| 1 P JAVA % | 3 L CPT % | 4 L JAVA % | 5 L INE % </v>
      </c>
      <c r="CB531" s="4" t="str">
        <f ca="1">IFERROR(__xludf.DUMMYFUNCTION("""COMPUTED_VALUE"""),"| 1 P PHP-CGM % | 3 L JAVA % | 4 L NS % | 5 P PRO @ ")</f>
        <v xml:space="preserve">| 1 P PHP-CGM % | 3 L JAVA % | 4 L NS % | 5 P PRO @ </v>
      </c>
      <c r="CC531" s="4" t="str">
        <f ca="1">IFERROR(__xludf.DUMMYFUNCTION("""COMPUTED_VALUE"""),"| 1 P Python % | 3 L PHP-CGM % | 4 L NS % | 5 P JAVA % ")</f>
        <v xml:space="preserve">| 1 P Python % | 3 L PHP-CGM % | 4 L NS % | 5 P JAVA % </v>
      </c>
      <c r="CD531" s="4" t="str">
        <f ca="1">IFERROR(__xludf.DUMMYFUNCTION("""COMPUTED_VALUE"""),"| 1 P Python % | 3 L CPT % | 4 L PHP-CGM % | 5 P NS % ")</f>
        <v xml:space="preserve">| 1 P Python % | 3 L CPT % | 4 L PHP-CGM % | 5 P NS % </v>
      </c>
      <c r="CE531" s="4" t="str">
        <f ca="1">IFERROR(__xludf.DUMMYFUNCTION("""COMPUTED_VALUE"""),"| 1 P CPT % | 3 L PHP-CGM @ | 4 L JAVA % | 5 L NS % | 6 L CPT % ")</f>
        <v xml:space="preserve">| 1 P CPT % | 3 L PHP-CGM @ | 4 L JAVA % | 5 L NS % | 6 L CPT % </v>
      </c>
      <c r="CF531" s="4" t="str">
        <f ca="1">IFERROR(__xludf.DUMMYFUNCTION("""COMPUTED_VALUE"""),"| 1 P JAVA % | 3 L CPT % | 4 L JAVA % | 5 L INE @ ")</f>
        <v xml:space="preserve">| 1 P JAVA % | 3 L CPT % | 4 L JAVA % | 5 L INE @ </v>
      </c>
      <c r="CG531" s="4" t="str">
        <f ca="1">IFERROR(__xludf.DUMMYFUNCTION("""COMPUTED_VALUE"""),"| 1 P PHP-CGM % | 4 L NS % ")</f>
        <v xml:space="preserve">| 1 P PHP-CGM % | 4 L NS % </v>
      </c>
      <c r="CH531" s="4" t="str">
        <f ca="1">IFERROR(__xludf.DUMMYFUNCTION("""COMPUTED_VALUE"""),"| 3 L PHP-CGM @ | 4 L NS @ ")</f>
        <v xml:space="preserve">| 3 L PHP-CGM @ | 4 L NS @ </v>
      </c>
      <c r="CI531" s="4" t="str">
        <f ca="1">IFERROR(__xludf.DUMMYFUNCTION("""COMPUTED_VALUE"""),"| 1 P Python @ | 5 P NS % ")</f>
        <v xml:space="preserve">| 1 P Python @ | 5 P NS % </v>
      </c>
      <c r="CJ531" s="4" t="str">
        <f ca="1">IFERROR(__xludf.DUMMYFUNCTION("""COMPUTED_VALUE"""),"| 4 L JAVA % | 1 P CPT % ")</f>
        <v xml:space="preserve">| 4 L JAVA % | 1 P CPT % </v>
      </c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</row>
    <row r="532" spans="1:102" ht="12.5" x14ac:dyDescent="0.25">
      <c r="A532" s="3">
        <f ca="1">IFERROR(__xludf.DUMMYFUNCTION("""COMPUTED_VALUE"""),3)</f>
        <v>3</v>
      </c>
      <c r="B532" s="3" t="str">
        <f ca="1">IFERROR(__xludf.DUMMYFUNCTION("""COMPUTED_VALUE"""),"ITC")</f>
        <v>ITC</v>
      </c>
      <c r="C532" s="32" t="str">
        <f ca="1">IFERROR(__xludf.DUMMYFUNCTION("""COMPUTED_VALUE"""),"23171371129")</f>
        <v>23171371129</v>
      </c>
      <c r="D532" s="4" t="str">
        <f ca="1">IFERROR(__xludf.DUMMYFUNCTION("""COMPUTED_VALUE"""),"PRAJAPATI MEGH HIMANSHU")</f>
        <v>PRAJAPATI MEGH HIMANSHU</v>
      </c>
      <c r="E532" s="3" t="str">
        <f ca="1">IFERROR(__xludf.DUMMYFUNCTION("""COMPUTED_VALUE"""),"SDP&amp;KKP - Mor")</f>
        <v>SDP&amp;KKP - Mor</v>
      </c>
      <c r="F532" s="3">
        <f ca="1">IFERROR(__xludf.DUMMYFUNCTION("""COMPUTED_VALUE"""),7779028702)</f>
        <v>7779028702</v>
      </c>
      <c r="G532" s="3">
        <f ca="1">IFERROR(__xludf.DUMMYFUNCTION("""COMPUTED_VALUE"""),9662039670)</f>
        <v>9662039670</v>
      </c>
      <c r="H532" s="33">
        <f ca="1">IFERROR(__xludf.DUMMYFUNCTION("""COMPUTED_VALUE"""),0.738775510204081)</f>
        <v>0.73877551020408105</v>
      </c>
      <c r="I532" s="25">
        <f ca="1">IFERROR(__xludf.DUMMYFUNCTION("""COMPUTED_VALUE"""),0.722222222222222)</f>
        <v>0.72222222222222199</v>
      </c>
      <c r="J532" s="25">
        <f ca="1">IFERROR(__xludf.DUMMYFUNCTION("""COMPUTED_VALUE"""),0.666666666666666)</f>
        <v>0.66666666666666596</v>
      </c>
      <c r="K532" s="25">
        <f ca="1">IFERROR(__xludf.DUMMYFUNCTION("""COMPUTED_VALUE"""),0.75)</f>
        <v>0.75</v>
      </c>
      <c r="L532" s="25">
        <f ca="1">IFERROR(__xludf.DUMMYFUNCTION("""COMPUTED_VALUE"""),0.846153846153846)</f>
        <v>0.84615384615384603</v>
      </c>
      <c r="M532" s="25">
        <f ca="1">IFERROR(__xludf.DUMMYFUNCTION("""COMPUTED_VALUE"""),0.75)</f>
        <v>0.75</v>
      </c>
      <c r="N532" s="25">
        <f ca="1">IFERROR(__xludf.DUMMYFUNCTION("""COMPUTED_VALUE"""),0.846153846153846)</f>
        <v>0.84615384615384603</v>
      </c>
      <c r="O532" s="25">
        <f ca="1">IFERROR(__xludf.DUMMYFUNCTION("""COMPUTED_VALUE"""),0.783783783783783)</f>
        <v>0.78378378378378299</v>
      </c>
      <c r="P532" s="25">
        <f ca="1">IFERROR(__xludf.DUMMYFUNCTION("""COMPUTED_VALUE"""),0.76)</f>
        <v>0.76</v>
      </c>
      <c r="Q532" s="25">
        <f ca="1">IFERROR(__xludf.DUMMYFUNCTION("""COMPUTED_VALUE"""),0)</f>
        <v>0</v>
      </c>
      <c r="R532" s="25">
        <f ca="1">IFERROR(__xludf.DUMMYFUNCTION("""COMPUTED_VALUE"""),0.913043478260869)</f>
        <v>0.91304347826086896</v>
      </c>
      <c r="S532" s="25">
        <f ca="1">IFERROR(__xludf.DUMMYFUNCTION("""COMPUTED_VALUE"""),0)</f>
        <v>0</v>
      </c>
      <c r="T532" s="25">
        <f ca="1">IFERROR(__xludf.DUMMYFUNCTION("""COMPUTED_VALUE"""),0.2)</f>
        <v>0.2</v>
      </c>
      <c r="U532" s="25">
        <f ca="1">IFERROR(__xludf.DUMMYFUNCTION("""COMPUTED_VALUE"""),0.375)</f>
        <v>0.375</v>
      </c>
      <c r="V532" s="25">
        <f ca="1">IFERROR(__xludf.DUMMYFUNCTION("""COMPUTED_VALUE"""),0)</f>
        <v>0</v>
      </c>
      <c r="W532" s="4"/>
      <c r="X532" s="4" t="str">
        <f ca="1">IFERROR(__xludf.DUMMYFUNCTION("""COMPUTED_VALUE"""),"| 1 P JAVA % | 3 L CPT % | 4 L JAVA % ")</f>
        <v xml:space="preserve">| 1 P JAVA % | 3 L CPT % | 4 L JAVA % </v>
      </c>
      <c r="Y532" s="4" t="str">
        <f ca="1">IFERROR(__xludf.DUMMYFUNCTION("""COMPUTED_VALUE"""),"| 1 P PHP-CGM % | 3 L JAVA % | 4 L NS % | 5 P PRO @ ")</f>
        <v xml:space="preserve">| 1 P PHP-CGM % | 3 L JAVA % | 4 L NS % | 5 P PRO @ </v>
      </c>
      <c r="Z532" s="4" t="str">
        <f ca="1">IFERROR(__xludf.DUMMYFUNCTION("""COMPUTED_VALUE"""),"| 1 P Python % | 3 L PHP-CGM % | 4 L NS % | 5 P JAVA @ ")</f>
        <v xml:space="preserve">| 1 P Python % | 3 L PHP-CGM % | 4 L NS % | 5 P JAVA @ </v>
      </c>
      <c r="AA532" s="4" t="str">
        <f ca="1">IFERROR(__xludf.DUMMYFUNCTION("""COMPUTED_VALUE"""),"| 1 P Python % | 3 L CPT % | 5 P NS % ")</f>
        <v xml:space="preserve">| 1 P Python % | 3 L CPT % | 5 P NS % </v>
      </c>
      <c r="AB532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32" s="4" t="str">
        <f ca="1">IFERROR(__xludf.DUMMYFUNCTION("""COMPUTED_VALUE"""),"| 1 P JAVA % | 3 L CPT @ | 4 L JAVA % ")</f>
        <v xml:space="preserve">| 1 P JAVA % | 3 L CPT @ | 4 L JAVA % </v>
      </c>
      <c r="AD532" s="4" t="str">
        <f ca="1">IFERROR(__xludf.DUMMYFUNCTION("""COMPUTED_VALUE"""),"| 1 P PHP-CGM @ | 3 L JAVA @ | 4 L NS @ | 5 P PRO @ ")</f>
        <v xml:space="preserve">| 1 P PHP-CGM @ | 3 L JAVA @ | 4 L NS @ | 5 P PRO @ </v>
      </c>
      <c r="AE532" s="4" t="str">
        <f ca="1">IFERROR(__xludf.DUMMYFUNCTION("""COMPUTED_VALUE"""),"| 1 P Python % | 3 L PHP-CGM % | 4 L NS % | 5 P JAVA % ")</f>
        <v xml:space="preserve">| 1 P Python % | 3 L PHP-CGM % | 4 L NS % | 5 P JAVA % </v>
      </c>
      <c r="AF532" s="4" t="str">
        <f ca="1">IFERROR(__xludf.DUMMYFUNCTION("""COMPUTED_VALUE"""),"| 1 P Python % | 3 L CPT % | 4 L PHP-CGM % | 5 P NS % ")</f>
        <v xml:space="preserve">| 1 P Python % | 3 L CPT % | 4 L PHP-CGM % | 5 P NS % </v>
      </c>
      <c r="AG532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32" s="4" t="str">
        <f ca="1">IFERROR(__xludf.DUMMYFUNCTION("""COMPUTED_VALUE"""),"| 1 P Python % | 3 L CPT % | 4 L PHP-CGM % | 5 P NS % ")</f>
        <v xml:space="preserve">| 1 P Python % | 3 L CPT % | 4 L PHP-CGM % | 5 P NS % </v>
      </c>
      <c r="AI532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32" s="4" t="str">
        <f ca="1">IFERROR(__xludf.DUMMYFUNCTION("""COMPUTED_VALUE"""),"| 1 P JAVA % | 3 L CPT @ | 4 L JAVA @ ")</f>
        <v xml:space="preserve">| 1 P JAVA % | 3 L CPT @ | 4 L JAVA @ </v>
      </c>
      <c r="AK532" s="4" t="str">
        <f ca="1">IFERROR(__xludf.DUMMYFUNCTION("""COMPUTED_VALUE"""),"| 1 P PHP-CGM % | 4 L NS % | 3 L JAVA % | 5 P PRO @ ")</f>
        <v xml:space="preserve">| 1 P PHP-CGM % | 4 L NS % | 3 L JAVA % | 5 P PRO @ </v>
      </c>
      <c r="AL532" s="4" t="str">
        <f ca="1">IFERROR(__xludf.DUMMYFUNCTION("""COMPUTED_VALUE"""),"| 1 P Python % | 3 L PHP-CGM % | 4 L NS % | 5 P JAVA @ ")</f>
        <v xml:space="preserve">| 1 P Python % | 3 L PHP-CGM % | 4 L NS % | 5 P JAVA @ </v>
      </c>
      <c r="AM532" s="4" t="str">
        <f ca="1">IFERROR(__xludf.DUMMYFUNCTION("""COMPUTED_VALUE"""),"| 1 P Python % | 3 L CPT % | 4 L PHP-CGM @ | 5 P NS @ ")</f>
        <v xml:space="preserve">| 1 P Python % | 3 L CPT % | 4 L PHP-CGM @ | 5 P NS @ </v>
      </c>
      <c r="AN532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32" s="4" t="str">
        <f ca="1">IFERROR(__xludf.DUMMYFUNCTION("""COMPUTED_VALUE"""),"| 1 P JAVA % | 3 L CPT % | 4 L JAVA % | 5 L INE % ")</f>
        <v xml:space="preserve">| 1 P JAVA % | 3 L CPT % | 4 L JAVA % | 5 L INE % </v>
      </c>
      <c r="AP532" s="4" t="str">
        <f ca="1">IFERROR(__xludf.DUMMYFUNCTION("""COMPUTED_VALUE"""),"| 1 P PHP-CGM % | 3 L JAVA % | 4 L NS % | 5 P PRO % ")</f>
        <v xml:space="preserve">| 1 P PHP-CGM % | 3 L JAVA % | 4 L NS % | 5 P PRO % </v>
      </c>
      <c r="AQ532" s="4" t="str">
        <f ca="1">IFERROR(__xludf.DUMMYFUNCTION("""COMPUTED_VALUE"""),"| 1 P Python % | 3 L PHP-CGM % | 4 L NS % | 5 P JAVA % ")</f>
        <v xml:space="preserve">| 1 P Python % | 3 L PHP-CGM % | 4 L NS % | 5 P JAVA % </v>
      </c>
      <c r="AR532" s="4" t="str">
        <f ca="1">IFERROR(__xludf.DUMMYFUNCTION("""COMPUTED_VALUE"""),"| 1 P Python % | 3 L CPT % | 5 P NS % ")</f>
        <v xml:space="preserve">| 1 P Python % | 3 L CPT % | 5 P NS % </v>
      </c>
      <c r="AS532" s="4" t="str">
        <f ca="1">IFERROR(__xludf.DUMMYFUNCTION("""COMPUTED_VALUE"""),"| 1 P JAVA % | 3 L CPT % | 4 L JAVA % | 5 L INE @ ")</f>
        <v xml:space="preserve">| 1 P JAVA % | 3 L CPT % | 4 L JAVA % | 5 L INE @ </v>
      </c>
      <c r="AT532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2" s="4" t="str">
        <f ca="1">IFERROR(__xludf.DUMMYFUNCTION("""COMPUTED_VALUE"""),"| 1 P Python % | 3 L PHP-CGM % | 4 L NS % | 5 P JAVA % ")</f>
        <v xml:space="preserve">| 1 P Python % | 3 L PHP-CGM % | 4 L NS % | 5 P JAVA % </v>
      </c>
      <c r="AV532" s="4" t="str">
        <f ca="1">IFERROR(__xludf.DUMMYFUNCTION("""COMPUTED_VALUE"""),"| 1 P Python % | 3 L CPT % | 4 L PHP-CGM % | 5 P NS % ")</f>
        <v xml:space="preserve">| 1 P Python % | 3 L CPT % | 4 L PHP-CGM % | 5 P NS % </v>
      </c>
      <c r="AW532" s="4" t="str">
        <f ca="1">IFERROR(__xludf.DUMMYFUNCTION("""COMPUTED_VALUE"""),"| 1 P CPT % | 3 L PHP-CGM % | 4 L JAVA % | 5 L NS @ | 5 L CPT @ ")</f>
        <v xml:space="preserve">| 1 P CPT % | 3 L PHP-CGM % | 4 L JAVA % | 5 L NS @ | 5 L CPT @ </v>
      </c>
      <c r="AX532" s="4" t="str">
        <f ca="1">IFERROR(__xludf.DUMMYFUNCTION("""COMPUTED_VALUE"""),"| 1 P JAVA @ | 3 L CPT @ | 4 L JAVA @ | 5 L INE @ ")</f>
        <v xml:space="preserve">| 1 P JAVA @ | 3 L CPT @ | 4 L JAVA @ | 5 L INE @ </v>
      </c>
      <c r="AY532" s="4" t="str">
        <f ca="1">IFERROR(__xludf.DUMMYFUNCTION("""COMPUTED_VALUE"""),"| 1 P PHP-CGM % | 3 L JAVA % | 4 L NS % | 5 P PRO @ ")</f>
        <v xml:space="preserve">| 1 P PHP-CGM % | 3 L JAVA % | 4 L NS % | 5 P PRO @ </v>
      </c>
      <c r="AZ532" s="4" t="str">
        <f ca="1">IFERROR(__xludf.DUMMYFUNCTION("""COMPUTED_VALUE"""),"| 1 P Python % | 3 L CPT % | 4 L PHP-CGM % | 5 P NS % ")</f>
        <v xml:space="preserve">| 1 P Python % | 3 L CPT % | 4 L PHP-CGM % | 5 P NS % </v>
      </c>
      <c r="BA532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32" s="4" t="str">
        <f ca="1">IFERROR(__xludf.DUMMYFUNCTION("""COMPUTED_VALUE"""),"| 1 P JAVA % | 3 L CPT % | 4 L JAVA % | 5 L INE % ")</f>
        <v xml:space="preserve">| 1 P JAVA % | 3 L CPT % | 4 L JAVA % | 5 L INE % </v>
      </c>
      <c r="BC532" s="4" t="str">
        <f ca="1">IFERROR(__xludf.DUMMYFUNCTION("""COMPUTED_VALUE"""),"| 1 P PHP-CGM % | 3 L JAVA % | 4 L NS % | 5 P PRO @ ")</f>
        <v xml:space="preserve">| 1 P PHP-CGM % | 3 L JAVA % | 4 L NS % | 5 P PRO @ </v>
      </c>
      <c r="BD532" s="4" t="str">
        <f ca="1">IFERROR(__xludf.DUMMYFUNCTION("""COMPUTED_VALUE"""),"| 1 P Python % | 4 L NS %  | 3 L PHP-CGM % | 5 P JAVA % ")</f>
        <v xml:space="preserve">| 1 P Python % | 4 L NS %  | 3 L PHP-CGM % | 5 P JAVA % </v>
      </c>
      <c r="BE532" s="4" t="str">
        <f ca="1">IFERROR(__xludf.DUMMYFUNCTION("""COMPUTED_VALUE"""),"| 1 P Python % | 3 L CPT % | 4 L PHP-CGM % | 5 P NS % ")</f>
        <v xml:space="preserve">| 1 P Python % | 3 L CPT % | 4 L PHP-CGM % | 5 P NS % </v>
      </c>
      <c r="BF532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32" s="4" t="str">
        <f ca="1">IFERROR(__xludf.DUMMYFUNCTION("""COMPUTED_VALUE"""),"| 1 P PHP-CGM % | 3 L JAVA % | 4 L NS % | 5 P PRO @ ")</f>
        <v xml:space="preserve">| 1 P PHP-CGM % | 3 L JAVA % | 4 L NS % | 5 P PRO @ </v>
      </c>
      <c r="BH532" s="4" t="str">
        <f ca="1">IFERROR(__xludf.DUMMYFUNCTION("""COMPUTED_VALUE"""),"| 1 P Python % | 3 L PHP-CGM % | 4 L NS % | 5 P JAVA % ")</f>
        <v xml:space="preserve">| 1 P Python % | 3 L PHP-CGM % | 4 L NS % | 5 P JAVA % </v>
      </c>
      <c r="BI532" s="4" t="str">
        <f ca="1">IFERROR(__xludf.DUMMYFUNCTION("""COMPUTED_VALUE"""),"| 1 P Python % | 3 L CPT % | 4 L PHP-CGM % | 5 P NS % ")</f>
        <v xml:space="preserve">| 1 P Python % | 3 L CPT % | 4 L PHP-CGM % | 5 P NS % </v>
      </c>
      <c r="BJ532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32" s="4" t="str">
        <f ca="1">IFERROR(__xludf.DUMMYFUNCTION("""COMPUTED_VALUE"""),"| 1 P JAVA @ | 3 L CPT @ | 4 L JAVA @ | 5 L INE @ ")</f>
        <v xml:space="preserve">| 1 P JAVA @ | 3 L CPT @ | 4 L JAVA @ | 5 L INE @ </v>
      </c>
      <c r="BL532" s="4" t="str">
        <f ca="1">IFERROR(__xludf.DUMMYFUNCTION("""COMPUTED_VALUE"""),"| 1 P PHP-CGM @ | 3 L JAVA @ | 4 L NS @ | 5 P PRO @ ")</f>
        <v xml:space="preserve">| 1 P PHP-CGM @ | 3 L JAVA @ | 4 L NS @ | 5 P PRO @ </v>
      </c>
      <c r="BM532" s="4" t="str">
        <f ca="1">IFERROR(__xludf.DUMMYFUNCTION("""COMPUTED_VALUE"""),"| 1 P Python % | 3 L PHP-CGM % | 4 L NS % | 5 P JAVA @ ")</f>
        <v xml:space="preserve">| 1 P Python % | 3 L PHP-CGM % | 4 L NS % | 5 P JAVA @ </v>
      </c>
      <c r="BN532" s="4" t="str">
        <f ca="1">IFERROR(__xludf.DUMMYFUNCTION("""COMPUTED_VALUE"""),"| 1 P Python % | 3 L CPT @ | 4 L PHP-CGM @ | 5 P NS % ")</f>
        <v xml:space="preserve">| 1 P Python % | 3 L CPT @ | 4 L PHP-CGM @ | 5 P NS % </v>
      </c>
      <c r="BO532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32" s="4" t="str">
        <f ca="1">IFERROR(__xludf.DUMMYFUNCTION("""COMPUTED_VALUE"""),"| 1 P JAVA % | 3 L CPT % | 4 L JAVA % | 5 L INE @ ")</f>
        <v xml:space="preserve">| 1 P JAVA % | 3 L CPT % | 4 L JAVA % | 5 L INE @ </v>
      </c>
      <c r="BQ532" s="4" t="str">
        <f ca="1">IFERROR(__xludf.DUMMYFUNCTION("""COMPUTED_VALUE"""),"| 4 L NS @ | 5 P JAVA % ")</f>
        <v xml:space="preserve">| 4 L NS @ | 5 P JAVA % </v>
      </c>
      <c r="BR532" s="4"/>
      <c r="BS532" s="4"/>
      <c r="BT532" s="4" t="str">
        <f ca="1">IFERROR(__xludf.DUMMYFUNCTION("""COMPUTED_VALUE"""),"| 1 P JAVA % | 3 L CPT % | 4 L JAVA % ")</f>
        <v xml:space="preserve">| 1 P JAVA % | 3 L CPT % | 4 L JAVA % </v>
      </c>
      <c r="BU532" s="4" t="str">
        <f ca="1">IFERROR(__xludf.DUMMYFUNCTION("""COMPUTED_VALUE"""),"| 1 P PHP-CGM % | 4 L NS % | 3 L JAVA % ")</f>
        <v xml:space="preserve">| 1 P PHP-CGM % | 4 L NS % | 3 L JAVA % </v>
      </c>
      <c r="BV532" s="4" t="str">
        <f ca="1">IFERROR(__xludf.DUMMYFUNCTION("""COMPUTED_VALUE"""),"| 1 P JAVA % | 3 L CPT % | 4 L JAVA % ")</f>
        <v xml:space="preserve">| 1 P JAVA % | 3 L CPT % | 4 L JAVA % </v>
      </c>
      <c r="BW532" s="4" t="str">
        <f ca="1">IFERROR(__xludf.DUMMYFUNCTION("""COMPUTED_VALUE"""),"| 1 P PHP-CGM % | 3 L JAVA % | 4 L NS % ")</f>
        <v xml:space="preserve">| 1 P PHP-CGM % | 3 L JAVA % | 4 L NS % </v>
      </c>
      <c r="BX532" s="4" t="str">
        <f ca="1">IFERROR(__xludf.DUMMYFUNCTION("""COMPUTED_VALUE"""),"| 1 P Python % | 3 L PHP-CGM % | 4 L NS % | 5 P JAVA % ")</f>
        <v xml:space="preserve">| 1 P Python % | 3 L PHP-CGM % | 4 L NS % | 5 P JAVA % </v>
      </c>
      <c r="BY532" s="4" t="str">
        <f ca="1">IFERROR(__xludf.DUMMYFUNCTION("""COMPUTED_VALUE"""),"| 1 P Python @ | 3 L CPT @ | 4 L PHP-CGM @ | 5 P NS @ ")</f>
        <v xml:space="preserve">| 1 P Python @ | 3 L CPT @ | 4 L PHP-CGM @ | 5 P NS @ </v>
      </c>
      <c r="BZ532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CA532" s="4" t="str">
        <f ca="1">IFERROR(__xludf.DUMMYFUNCTION("""COMPUTED_VALUE"""),"| 1 P JAVA % | 3 L CPT % | 4 L JAVA % | 5 L INE % ")</f>
        <v xml:space="preserve">| 1 P JAVA % | 3 L CPT % | 4 L JAVA % | 5 L INE % </v>
      </c>
      <c r="CB532" s="4" t="str">
        <f ca="1">IFERROR(__xludf.DUMMYFUNCTION("""COMPUTED_VALUE"""),"| 1 P PHP-CGM % | 3 L JAVA % | 4 L NS % | 5 P PRO @ ")</f>
        <v xml:space="preserve">| 1 P PHP-CGM % | 3 L JAVA % | 4 L NS % | 5 P PRO @ </v>
      </c>
      <c r="CC532" s="4" t="str">
        <f ca="1">IFERROR(__xludf.DUMMYFUNCTION("""COMPUTED_VALUE"""),"| 1 P Python % | 3 L PHP-CGM % | 4 L NS % | 5 P JAVA % ")</f>
        <v xml:space="preserve">| 1 P Python % | 3 L PHP-CGM % | 4 L NS % | 5 P JAVA % </v>
      </c>
      <c r="CD532" s="4" t="str">
        <f ca="1">IFERROR(__xludf.DUMMYFUNCTION("""COMPUTED_VALUE"""),"| 1 P Python % | 3 L CPT % | 4 L PHP-CGM % | 5 P NS % ")</f>
        <v xml:space="preserve">| 1 P Python % | 3 L CPT % | 4 L PHP-CGM % | 5 P NS % </v>
      </c>
      <c r="CE532" s="4" t="str">
        <f ca="1">IFERROR(__xludf.DUMMYFUNCTION("""COMPUTED_VALUE"""),"| 1 P CPT % | 3 L PHP-CGM @ | 4 L JAVA % | 5 L NS % | 6 L CPT % ")</f>
        <v xml:space="preserve">| 1 P CPT % | 3 L PHP-CGM @ | 4 L JAVA % | 5 L NS % | 6 L CPT % </v>
      </c>
      <c r="CF532" s="4" t="str">
        <f ca="1">IFERROR(__xludf.DUMMYFUNCTION("""COMPUTED_VALUE"""),"| 1 P JAVA % | 3 L CPT % | 4 L JAVA % | 5 L INE @ ")</f>
        <v xml:space="preserve">| 1 P JAVA % | 3 L CPT % | 4 L JAVA % | 5 L INE @ </v>
      </c>
      <c r="CG532" s="4" t="str">
        <f ca="1">IFERROR(__xludf.DUMMYFUNCTION("""COMPUTED_VALUE"""),"| 1 P PHP-CGM % | 4 L NS % ")</f>
        <v xml:space="preserve">| 1 P PHP-CGM % | 4 L NS % </v>
      </c>
      <c r="CH532" s="4" t="str">
        <f ca="1">IFERROR(__xludf.DUMMYFUNCTION("""COMPUTED_VALUE"""),"| 3 L PHP-CGM @ | 4 L NS @ ")</f>
        <v xml:space="preserve">| 3 L PHP-CGM @ | 4 L NS @ </v>
      </c>
      <c r="CI532" s="4" t="str">
        <f ca="1">IFERROR(__xludf.DUMMYFUNCTION("""COMPUTED_VALUE"""),"| 1 P Python @ | 5 P NS % ")</f>
        <v xml:space="preserve">| 1 P Python @ | 5 P NS % </v>
      </c>
      <c r="CJ532" s="4" t="str">
        <f ca="1">IFERROR(__xludf.DUMMYFUNCTION("""COMPUTED_VALUE"""),"| 4 L JAVA % | 1 P CPT % ")</f>
        <v xml:space="preserve">| 4 L JAVA % | 1 P CPT % </v>
      </c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</row>
    <row r="533" spans="1:102" ht="12.5" x14ac:dyDescent="0.25">
      <c r="A533" s="3">
        <f ca="1">IFERROR(__xludf.DUMMYFUNCTION("""COMPUTED_VALUE"""),3)</f>
        <v>3</v>
      </c>
      <c r="B533" s="3" t="str">
        <f ca="1">IFERROR(__xludf.DUMMYFUNCTION("""COMPUTED_VALUE"""),"ITC")</f>
        <v>ITC</v>
      </c>
      <c r="C533" s="32" t="str">
        <f ca="1">IFERROR(__xludf.DUMMYFUNCTION("""COMPUTED_VALUE"""),"23171371130")</f>
        <v>23171371130</v>
      </c>
      <c r="D533" s="4" t="str">
        <f ca="1">IFERROR(__xludf.DUMMYFUNCTION("""COMPUTED_VALUE"""),"PRAJAPATI MIHIRKUMAR JAGADISHKUMAR")</f>
        <v>PRAJAPATI MIHIRKUMAR JAGADISHKUMAR</v>
      </c>
      <c r="E533" s="3" t="str">
        <f ca="1">IFERROR(__xludf.DUMMYFUNCTION("""COMPUTED_VALUE"""),"SDP&amp;KKP - Mor")</f>
        <v>SDP&amp;KKP - Mor</v>
      </c>
      <c r="F533" s="3">
        <f ca="1">IFERROR(__xludf.DUMMYFUNCTION("""COMPUTED_VALUE"""),9824916669)</f>
        <v>9824916669</v>
      </c>
      <c r="G533" s="3">
        <f ca="1">IFERROR(__xludf.DUMMYFUNCTION("""COMPUTED_VALUE"""),9824916676)</f>
        <v>9824916676</v>
      </c>
      <c r="H533" s="33">
        <f ca="1">IFERROR(__xludf.DUMMYFUNCTION("""COMPUTED_VALUE"""),0.836734693877551)</f>
        <v>0.83673469387755095</v>
      </c>
      <c r="I533" s="25">
        <f ca="1">IFERROR(__xludf.DUMMYFUNCTION("""COMPUTED_VALUE"""),0.833333333333333)</f>
        <v>0.83333333333333304</v>
      </c>
      <c r="J533" s="25">
        <f ca="1">IFERROR(__xludf.DUMMYFUNCTION("""COMPUTED_VALUE"""),0.916666666666666)</f>
        <v>0.91666666666666596</v>
      </c>
      <c r="K533" s="25">
        <f ca="1">IFERROR(__xludf.DUMMYFUNCTION("""COMPUTED_VALUE"""),0.805555555555555)</f>
        <v>0.80555555555555503</v>
      </c>
      <c r="L533" s="25">
        <f ca="1">IFERROR(__xludf.DUMMYFUNCTION("""COMPUTED_VALUE"""),0.846153846153846)</f>
        <v>0.84615384615384603</v>
      </c>
      <c r="M533" s="25">
        <f ca="1">IFERROR(__xludf.DUMMYFUNCTION("""COMPUTED_VALUE"""),0.90625)</f>
        <v>0.90625</v>
      </c>
      <c r="N533" s="25">
        <f ca="1">IFERROR(__xludf.DUMMYFUNCTION("""COMPUTED_VALUE"""),0.846153846153846)</f>
        <v>0.84615384615384603</v>
      </c>
      <c r="O533" s="25">
        <f ca="1">IFERROR(__xludf.DUMMYFUNCTION("""COMPUTED_VALUE"""),0.891891891891891)</f>
        <v>0.891891891891891</v>
      </c>
      <c r="P533" s="25">
        <f ca="1">IFERROR(__xludf.DUMMYFUNCTION("""COMPUTED_VALUE"""),0.88)</f>
        <v>0.88</v>
      </c>
      <c r="Q533" s="25">
        <f ca="1">IFERROR(__xludf.DUMMYFUNCTION("""COMPUTED_VALUE"""),0)</f>
        <v>0</v>
      </c>
      <c r="R533" s="25">
        <f ca="1">IFERROR(__xludf.DUMMYFUNCTION("""COMPUTED_VALUE"""),0.869565217391304)</f>
        <v>0.86956521739130399</v>
      </c>
      <c r="S533" s="25">
        <f ca="1">IFERROR(__xludf.DUMMYFUNCTION("""COMPUTED_VALUE"""),0)</f>
        <v>0</v>
      </c>
      <c r="T533" s="25">
        <f ca="1">IFERROR(__xludf.DUMMYFUNCTION("""COMPUTED_VALUE"""),0.6)</f>
        <v>0.6</v>
      </c>
      <c r="U533" s="25">
        <f ca="1">IFERROR(__xludf.DUMMYFUNCTION("""COMPUTED_VALUE"""),0.375)</f>
        <v>0.375</v>
      </c>
      <c r="V533" s="25">
        <f ca="1">IFERROR(__xludf.DUMMYFUNCTION("""COMPUTED_VALUE"""),0)</f>
        <v>0</v>
      </c>
      <c r="W533" s="4"/>
      <c r="X533" s="4" t="str">
        <f ca="1">IFERROR(__xludf.DUMMYFUNCTION("""COMPUTED_VALUE"""),"| 1 P JAVA % | 3 L CPT % | 4 L JAVA % ")</f>
        <v xml:space="preserve">| 1 P JAVA % | 3 L CPT % | 4 L JAVA % </v>
      </c>
      <c r="Y533" s="4" t="str">
        <f ca="1">IFERROR(__xludf.DUMMYFUNCTION("""COMPUTED_VALUE"""),"| 1 P PHP-CGM % | 3 L JAVA % | 4 L NS % | 5 P PRO % ")</f>
        <v xml:space="preserve">| 1 P PHP-CGM % | 3 L JAVA % | 4 L NS % | 5 P PRO % </v>
      </c>
      <c r="Z533" s="4" t="str">
        <f ca="1">IFERROR(__xludf.DUMMYFUNCTION("""COMPUTED_VALUE"""),"| 1 P Python % | 3 L PHP-CGM % | 4 L NS % | 5 P JAVA % ")</f>
        <v xml:space="preserve">| 1 P Python % | 3 L PHP-CGM % | 4 L NS % | 5 P JAVA % </v>
      </c>
      <c r="AA533" s="4" t="str">
        <f ca="1">IFERROR(__xludf.DUMMYFUNCTION("""COMPUTED_VALUE"""),"| 1 P Python % | 3 L CPT % | 5 P NS % ")</f>
        <v xml:space="preserve">| 1 P Python % | 3 L CPT % | 5 P NS % </v>
      </c>
      <c r="AB533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33" s="4" t="str">
        <f ca="1">IFERROR(__xludf.DUMMYFUNCTION("""COMPUTED_VALUE"""),"| 1 P JAVA % | 3 L CPT @ | 4 L JAVA % ")</f>
        <v xml:space="preserve">| 1 P JAVA % | 3 L CPT @ | 4 L JAVA % </v>
      </c>
      <c r="AD533" s="4" t="str">
        <f ca="1">IFERROR(__xludf.DUMMYFUNCTION("""COMPUTED_VALUE"""),"| 1 P PHP-CGM % | 3 L JAVA % | 4 L NS % | 5 P PRO % ")</f>
        <v xml:space="preserve">| 1 P PHP-CGM % | 3 L JAVA % | 4 L NS % | 5 P PRO % </v>
      </c>
      <c r="AE533" s="4" t="str">
        <f ca="1">IFERROR(__xludf.DUMMYFUNCTION("""COMPUTED_VALUE"""),"| 1 P Python % | 3 L PHP-CGM % | 4 L NS % | 5 P JAVA % ")</f>
        <v xml:space="preserve">| 1 P Python % | 3 L PHP-CGM % | 4 L NS % | 5 P JAVA % </v>
      </c>
      <c r="AF533" s="4" t="str">
        <f ca="1">IFERROR(__xludf.DUMMYFUNCTION("""COMPUTED_VALUE"""),"| 1 P Python % | 3 L CPT % | 4 L PHP-CGM % | 5 P NS % ")</f>
        <v xml:space="preserve">| 1 P Python % | 3 L CPT % | 4 L PHP-CGM % | 5 P NS % </v>
      </c>
      <c r="AG533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33" s="4" t="str">
        <f ca="1">IFERROR(__xludf.DUMMYFUNCTION("""COMPUTED_VALUE"""),"| 1 P Python % | 3 L CPT % | 4 L PHP-CGM % | 5 P NS % ")</f>
        <v xml:space="preserve">| 1 P Python % | 3 L CPT % | 4 L PHP-CGM % | 5 P NS % </v>
      </c>
      <c r="AI533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J533" s="4" t="str">
        <f ca="1">IFERROR(__xludf.DUMMYFUNCTION("""COMPUTED_VALUE"""),"| 1 P JAVA % | 3 L CPT % | 4 L JAVA % ")</f>
        <v xml:space="preserve">| 1 P JAVA % | 3 L CPT % | 4 L JAVA % </v>
      </c>
      <c r="AK533" s="4" t="str">
        <f ca="1">IFERROR(__xludf.DUMMYFUNCTION("""COMPUTED_VALUE"""),"| 1 P PHP-CGM % | 4 L NS % | 3 L JAVA % | 5 P PRO % ")</f>
        <v xml:space="preserve">| 1 P PHP-CGM % | 4 L NS % | 3 L JAVA % | 5 P PRO % </v>
      </c>
      <c r="AL533" s="4" t="str">
        <f ca="1">IFERROR(__xludf.DUMMYFUNCTION("""COMPUTED_VALUE"""),"| 1 P Python % | 3 L PHP-CGM % | 4 L NS % | 5 P JAVA % ")</f>
        <v xml:space="preserve">| 1 P Python % | 3 L PHP-CGM % | 4 L NS % | 5 P JAVA % </v>
      </c>
      <c r="AM533" s="4" t="str">
        <f ca="1">IFERROR(__xludf.DUMMYFUNCTION("""COMPUTED_VALUE"""),"| 1 P Python @ | 3 L CPT % | 4 L PHP-CGM % | 5 P NS % ")</f>
        <v xml:space="preserve">| 1 P Python @ | 3 L CPT % | 4 L PHP-CGM % | 5 P NS % </v>
      </c>
      <c r="AN533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33" s="4" t="str">
        <f ca="1">IFERROR(__xludf.DUMMYFUNCTION("""COMPUTED_VALUE"""),"| 1 P JAVA % | 3 L CPT % | 4 L JAVA % | 5 L INE % ")</f>
        <v xml:space="preserve">| 1 P JAVA % | 3 L CPT % | 4 L JAVA % | 5 L INE % </v>
      </c>
      <c r="AP533" s="4" t="str">
        <f ca="1">IFERROR(__xludf.DUMMYFUNCTION("""COMPUTED_VALUE"""),"| 1 P PHP-CGM % | 3 L JAVA % | 4 L NS % | 5 P PRO % ")</f>
        <v xml:space="preserve">| 1 P PHP-CGM % | 3 L JAVA % | 4 L NS % | 5 P PRO % </v>
      </c>
      <c r="AQ533" s="4" t="str">
        <f ca="1">IFERROR(__xludf.DUMMYFUNCTION("""COMPUTED_VALUE"""),"| 1 P Python % | 3 L PHP-CGM % | 4 L NS % | 5 P JAVA % ")</f>
        <v xml:space="preserve">| 1 P Python % | 3 L PHP-CGM % | 4 L NS % | 5 P JAVA % </v>
      </c>
      <c r="AR533" s="4" t="str">
        <f ca="1">IFERROR(__xludf.DUMMYFUNCTION("""COMPUTED_VALUE"""),"| 1 P Python % | 3 L CPT % | 5 P NS % ")</f>
        <v xml:space="preserve">| 1 P Python % | 3 L CPT % | 5 P NS % </v>
      </c>
      <c r="AS533" s="4" t="str">
        <f ca="1">IFERROR(__xludf.DUMMYFUNCTION("""COMPUTED_VALUE"""),"| 1 P JAVA % | 3 L CPT % | 4 L JAVA % | 5 L INE % ")</f>
        <v xml:space="preserve">| 1 P JAVA % | 3 L CPT % | 4 L JAVA % | 5 L INE % </v>
      </c>
      <c r="AT533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3" s="4" t="str">
        <f ca="1">IFERROR(__xludf.DUMMYFUNCTION("""COMPUTED_VALUE"""),"| 1 P Python % | 3 L PHP-CGM % | 4 L NS % | 5 P JAVA % ")</f>
        <v xml:space="preserve">| 1 P Python % | 3 L PHP-CGM % | 4 L NS % | 5 P JAVA % </v>
      </c>
      <c r="AV533" s="4" t="str">
        <f ca="1">IFERROR(__xludf.DUMMYFUNCTION("""COMPUTED_VALUE"""),"| 1 P Python @ | 3 L CPT @ | 4 L PHP-CGM @ | 5 P NS @ ")</f>
        <v xml:space="preserve">| 1 P Python @ | 3 L CPT @ | 4 L PHP-CGM @ | 5 P NS @ </v>
      </c>
      <c r="AW533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33" s="4" t="str">
        <f ca="1">IFERROR(__xludf.DUMMYFUNCTION("""COMPUTED_VALUE"""),"| 1 P JAVA % | 3 L CPT % | 4 L JAVA % | 5 L INE @ ")</f>
        <v xml:space="preserve">| 1 P JAVA % | 3 L CPT % | 4 L JAVA % | 5 L INE @ </v>
      </c>
      <c r="AY533" s="4" t="str">
        <f ca="1">IFERROR(__xludf.DUMMYFUNCTION("""COMPUTED_VALUE"""),"| 1 P PHP-CGM @ | 3 L JAVA @ | 4 L NS @ | 5 P PRO @ ")</f>
        <v xml:space="preserve">| 1 P PHP-CGM @ | 3 L JAVA @ | 4 L NS @ | 5 P PRO @ </v>
      </c>
      <c r="AZ533" s="4" t="str">
        <f ca="1">IFERROR(__xludf.DUMMYFUNCTION("""COMPUTED_VALUE"""),"| 1 P Python % | 3 L CPT % | 4 L PHP-CGM % | 5 P NS % ")</f>
        <v xml:space="preserve">| 1 P Python % | 3 L CPT % | 4 L PHP-CGM % | 5 P NS % </v>
      </c>
      <c r="BA533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33" s="4" t="str">
        <f ca="1">IFERROR(__xludf.DUMMYFUNCTION("""COMPUTED_VALUE"""),"| 1 P JAVA % | 3 L CPT % | 4 L JAVA % | 5 L INE @ ")</f>
        <v xml:space="preserve">| 1 P JAVA % | 3 L CPT % | 4 L JAVA % | 5 L INE @ </v>
      </c>
      <c r="BC533" s="4" t="str">
        <f ca="1">IFERROR(__xludf.DUMMYFUNCTION("""COMPUTED_VALUE"""),"| 1 P PHP-CGM % | 3 L JAVA % | 4 L NS % | 5 P PRO @ ")</f>
        <v xml:space="preserve">| 1 P PHP-CGM % | 3 L JAVA % | 4 L NS % | 5 P PRO @ </v>
      </c>
      <c r="BD533" s="4" t="str">
        <f ca="1">IFERROR(__xludf.DUMMYFUNCTION("""COMPUTED_VALUE"""),"| 1 P Python % | 4 L NS %  | 3 L PHP-CGM % | 5 P JAVA % ")</f>
        <v xml:space="preserve">| 1 P Python % | 4 L NS %  | 3 L PHP-CGM % | 5 P JAVA % </v>
      </c>
      <c r="BE533" s="4" t="str">
        <f ca="1">IFERROR(__xludf.DUMMYFUNCTION("""COMPUTED_VALUE"""),"| 1 P Python % | 3 L CPT % | 4 L PHP-CGM % | 5 P NS % ")</f>
        <v xml:space="preserve">| 1 P Python % | 3 L CPT % | 4 L PHP-CGM % | 5 P NS % </v>
      </c>
      <c r="BF533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G533" s="4" t="str">
        <f ca="1">IFERROR(__xludf.DUMMYFUNCTION("""COMPUTED_VALUE"""),"| 1 P PHP-CGM % | 3 L JAVA % | 4 L NS % | 5 P PRO @ ")</f>
        <v xml:space="preserve">| 1 P PHP-CGM % | 3 L JAVA % | 4 L NS % | 5 P PRO @ </v>
      </c>
      <c r="BH533" s="4" t="str">
        <f ca="1">IFERROR(__xludf.DUMMYFUNCTION("""COMPUTED_VALUE"""),"| 1 P Python % | 3 L PHP-CGM % | 4 L NS % | 5 P JAVA % ")</f>
        <v xml:space="preserve">| 1 P Python % | 3 L PHP-CGM % | 4 L NS % | 5 P JAVA % </v>
      </c>
      <c r="BI533" s="4" t="str">
        <f ca="1">IFERROR(__xludf.DUMMYFUNCTION("""COMPUTED_VALUE"""),"| 1 P Python % | 3 L CPT % | 4 L PHP-CGM % | 5 P NS % ")</f>
        <v xml:space="preserve">| 1 P Python % | 3 L CPT % | 4 L PHP-CGM % | 5 P NS % </v>
      </c>
      <c r="BJ533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K533" s="4" t="str">
        <f ca="1">IFERROR(__xludf.DUMMYFUNCTION("""COMPUTED_VALUE"""),"| 1 P JAVA % | 3 L CPT % | 4 L JAVA % | 5 L INE @ ")</f>
        <v xml:space="preserve">| 1 P JAVA % | 3 L CPT % | 4 L JAVA % | 5 L INE @ </v>
      </c>
      <c r="BL533" s="4" t="str">
        <f ca="1">IFERROR(__xludf.DUMMYFUNCTION("""COMPUTED_VALUE"""),"| 1 P PHP-CGM % | 3 L JAVA % | 4 L NS % | 5 P PRO @ ")</f>
        <v xml:space="preserve">| 1 P PHP-CGM % | 3 L JAVA % | 4 L NS % | 5 P PRO @ </v>
      </c>
      <c r="BM533" s="4" t="str">
        <f ca="1">IFERROR(__xludf.DUMMYFUNCTION("""COMPUTED_VALUE"""),"| 1 P Python % | 3 L PHP-CGM % | 4 L NS % | 5 P JAVA % ")</f>
        <v xml:space="preserve">| 1 P Python % | 3 L PHP-CGM % | 4 L NS % | 5 P JAVA % </v>
      </c>
      <c r="BN533" s="4" t="str">
        <f ca="1">IFERROR(__xludf.DUMMYFUNCTION("""COMPUTED_VALUE"""),"| 1 P Python % | 3 L CPT % | 4 L PHP-CGM % | 5 P NS % ")</f>
        <v xml:space="preserve">| 1 P Python % | 3 L CPT % | 4 L PHP-CGM % | 5 P NS % </v>
      </c>
      <c r="BO533" s="4" t="str">
        <f ca="1">IFERROR(__xludf.DUMMYFUNCTION("""COMPUTED_VALUE"""),"| 1 P CPT % | 3 L PHP-CGM % | 4 L JAVA % | 5 L NS @ | 6 L CPT % ")</f>
        <v xml:space="preserve">| 1 P CPT % | 3 L PHP-CGM % | 4 L JAVA % | 5 L NS @ | 6 L CPT % </v>
      </c>
      <c r="BP533" s="4" t="str">
        <f ca="1">IFERROR(__xludf.DUMMYFUNCTION("""COMPUTED_VALUE"""),"| 1 P JAVA % | 3 L CPT % | 4 L JAVA % | 5 L INE @ ")</f>
        <v xml:space="preserve">| 1 P JAVA % | 3 L CPT % | 4 L JAVA % | 5 L INE @ </v>
      </c>
      <c r="BQ533" s="4" t="str">
        <f ca="1">IFERROR(__xludf.DUMMYFUNCTION("""COMPUTED_VALUE"""),"| 4 L NS % | 5 P JAVA % ")</f>
        <v xml:space="preserve">| 4 L NS % | 5 P JAVA % </v>
      </c>
      <c r="BR533" s="4"/>
      <c r="BS533" s="4"/>
      <c r="BT533" s="4" t="str">
        <f ca="1">IFERROR(__xludf.DUMMYFUNCTION("""COMPUTED_VALUE"""),"| 1 P JAVA % | 3 L CPT % | 4 L JAVA % ")</f>
        <v xml:space="preserve">| 1 P JAVA % | 3 L CPT % | 4 L JAVA % </v>
      </c>
      <c r="BU533" s="4" t="str">
        <f ca="1">IFERROR(__xludf.DUMMYFUNCTION("""COMPUTED_VALUE"""),"| 1 P PHP-CGM % | 4 L NS % | 3 L JAVA % ")</f>
        <v xml:space="preserve">| 1 P PHP-CGM % | 4 L NS % | 3 L JAVA % </v>
      </c>
      <c r="BV533" s="4" t="str">
        <f ca="1">IFERROR(__xludf.DUMMYFUNCTION("""COMPUTED_VALUE"""),"| 1 P JAVA @ | 3 L CPT @ | 4 L JAVA @ ")</f>
        <v xml:space="preserve">| 1 P JAVA @ | 3 L CPT @ | 4 L JAVA @ </v>
      </c>
      <c r="BW533" s="4" t="str">
        <f ca="1">IFERROR(__xludf.DUMMYFUNCTION("""COMPUTED_VALUE"""),"| 1 P PHP-CGM @ | 3 L JAVA @ | 4 L NS @ ")</f>
        <v xml:space="preserve">| 1 P PHP-CGM @ | 3 L JAVA @ | 4 L NS @ </v>
      </c>
      <c r="BX533" s="4" t="str">
        <f ca="1">IFERROR(__xludf.DUMMYFUNCTION("""COMPUTED_VALUE"""),"| 1 P Python @ | 3 L PHP-CGM @ | 4 L NS @ | 5 P JAVA @ ")</f>
        <v xml:space="preserve">| 1 P Python @ | 3 L PHP-CGM @ | 4 L NS @ | 5 P JAVA @ </v>
      </c>
      <c r="BY533" s="4" t="str">
        <f ca="1">IFERROR(__xludf.DUMMYFUNCTION("""COMPUTED_VALUE"""),"| 1 P Python % | 3 L CPT % | 4 L PHP-CGM % | 5 P NS @ ")</f>
        <v xml:space="preserve">| 1 P Python % | 3 L CPT % | 4 L PHP-CGM % | 5 P NS @ </v>
      </c>
      <c r="BZ533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CA533" s="4" t="str">
        <f ca="1">IFERROR(__xludf.DUMMYFUNCTION("""COMPUTED_VALUE"""),"| 1 P JAVA % | 3 L CPT % | 4 L JAVA % | 5 L INE % ")</f>
        <v xml:space="preserve">| 1 P JAVA % | 3 L CPT % | 4 L JAVA % | 5 L INE % </v>
      </c>
      <c r="CB533" s="4" t="str">
        <f ca="1">IFERROR(__xludf.DUMMYFUNCTION("""COMPUTED_VALUE"""),"| 1 P PHP-CGM % | 3 L JAVA % | 4 L NS % | 5 P PRO % ")</f>
        <v xml:space="preserve">| 1 P PHP-CGM % | 3 L JAVA % | 4 L NS % | 5 P PRO % </v>
      </c>
      <c r="CC533" s="4" t="str">
        <f ca="1">IFERROR(__xludf.DUMMYFUNCTION("""COMPUTED_VALUE"""),"| 1 P Python % | 3 L PHP-CGM % | 4 L NS % | 5 P JAVA % ")</f>
        <v xml:space="preserve">| 1 P Python % | 3 L PHP-CGM % | 4 L NS % | 5 P JAVA % </v>
      </c>
      <c r="CD533" s="4" t="str">
        <f ca="1">IFERROR(__xludf.DUMMYFUNCTION("""COMPUTED_VALUE"""),"| 1 P Python % | 3 L CPT % | 4 L PHP-CGM % | 5 P NS % ")</f>
        <v xml:space="preserve">| 1 P Python % | 3 L CPT % | 4 L PHP-CGM % | 5 P NS % </v>
      </c>
      <c r="CE533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CF533" s="4" t="str">
        <f ca="1">IFERROR(__xludf.DUMMYFUNCTION("""COMPUTED_VALUE"""),"| 1 P JAVA % | 3 L CPT % | 4 L JAVA % | 5 L INE @ ")</f>
        <v xml:space="preserve">| 1 P JAVA % | 3 L CPT % | 4 L JAVA % | 5 L INE @ </v>
      </c>
      <c r="CG533" s="4" t="str">
        <f ca="1">IFERROR(__xludf.DUMMYFUNCTION("""COMPUTED_VALUE"""),"| 1 P PHP-CGM % | 4 L NS % ")</f>
        <v xml:space="preserve">| 1 P PHP-CGM % | 4 L NS % </v>
      </c>
      <c r="CH533" s="4" t="str">
        <f ca="1">IFERROR(__xludf.DUMMYFUNCTION("""COMPUTED_VALUE"""),"| 3 L PHP-CGM % | 4 L NS % ")</f>
        <v xml:space="preserve">| 3 L PHP-CGM % | 4 L NS % </v>
      </c>
      <c r="CI533" s="4" t="str">
        <f ca="1">IFERROR(__xludf.DUMMYFUNCTION("""COMPUTED_VALUE"""),"| 1 P Python % | 5 P NS % ")</f>
        <v xml:space="preserve">| 1 P Python % | 5 P NS % </v>
      </c>
      <c r="CJ533" s="4" t="str">
        <f ca="1">IFERROR(__xludf.DUMMYFUNCTION("""COMPUTED_VALUE"""),"| 4 L JAVA % | 1 P CPT % ")</f>
        <v xml:space="preserve">| 4 L JAVA % | 1 P CPT % </v>
      </c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</row>
    <row r="534" spans="1:102" ht="12.5" x14ac:dyDescent="0.25">
      <c r="A534" s="3">
        <f ca="1">IFERROR(__xludf.DUMMYFUNCTION("""COMPUTED_VALUE"""),3)</f>
        <v>3</v>
      </c>
      <c r="B534" s="3" t="str">
        <f ca="1">IFERROR(__xludf.DUMMYFUNCTION("""COMPUTED_VALUE"""),"ITC")</f>
        <v>ITC</v>
      </c>
      <c r="C534" s="32" t="str">
        <f ca="1">IFERROR(__xludf.DUMMYFUNCTION("""COMPUTED_VALUE"""),"23171371131")</f>
        <v>23171371131</v>
      </c>
      <c r="D534" s="4" t="str">
        <f ca="1">IFERROR(__xludf.DUMMYFUNCTION("""COMPUTED_VALUE"""),"PRAJAPATI PARIMAL SHAILESHBHAI")</f>
        <v>PRAJAPATI PARIMAL SHAILESHBHAI</v>
      </c>
      <c r="E534" s="3" t="str">
        <f ca="1">IFERROR(__xludf.DUMMYFUNCTION("""COMPUTED_VALUE"""),"SDP&amp;KKP - Mor")</f>
        <v>SDP&amp;KKP - Mor</v>
      </c>
      <c r="F534" s="3">
        <f ca="1">IFERROR(__xludf.DUMMYFUNCTION("""COMPUTED_VALUE"""),6354478034)</f>
        <v>6354478034</v>
      </c>
      <c r="G534" s="3">
        <f ca="1">IFERROR(__xludf.DUMMYFUNCTION("""COMPUTED_VALUE"""),9099746828)</f>
        <v>9099746828</v>
      </c>
      <c r="H534" s="33">
        <f ca="1">IFERROR(__xludf.DUMMYFUNCTION("""COMPUTED_VALUE"""),0.285714285714285)</f>
        <v>0.28571428571428498</v>
      </c>
      <c r="I534" s="25">
        <f ca="1">IFERROR(__xludf.DUMMYFUNCTION("""COMPUTED_VALUE"""),0.194444444444444)</f>
        <v>0.194444444444444</v>
      </c>
      <c r="J534" s="25">
        <f ca="1">IFERROR(__xludf.DUMMYFUNCTION("""COMPUTED_VALUE"""),0.25)</f>
        <v>0.25</v>
      </c>
      <c r="K534" s="25">
        <f ca="1">IFERROR(__xludf.DUMMYFUNCTION("""COMPUTED_VALUE"""),0.277777777777777)</f>
        <v>0.27777777777777701</v>
      </c>
      <c r="L534" s="25">
        <f ca="1">IFERROR(__xludf.DUMMYFUNCTION("""COMPUTED_VALUE"""),0.307692307692307)</f>
        <v>0.30769230769230699</v>
      </c>
      <c r="M534" s="25">
        <f ca="1">IFERROR(__xludf.DUMMYFUNCTION("""COMPUTED_VALUE"""),0.28125)</f>
        <v>0.28125</v>
      </c>
      <c r="N534" s="25">
        <f ca="1">IFERROR(__xludf.DUMMYFUNCTION("""COMPUTED_VALUE"""),0.307692307692307)</f>
        <v>0.30769230769230699</v>
      </c>
      <c r="O534" s="25">
        <f ca="1">IFERROR(__xludf.DUMMYFUNCTION("""COMPUTED_VALUE"""),0.297297297297297)</f>
        <v>0.29729729729729698</v>
      </c>
      <c r="P534" s="25">
        <f ca="1">IFERROR(__xludf.DUMMYFUNCTION("""COMPUTED_VALUE"""),0.44)</f>
        <v>0.44</v>
      </c>
      <c r="Q534" s="25">
        <f ca="1">IFERROR(__xludf.DUMMYFUNCTION("""COMPUTED_VALUE"""),0)</f>
        <v>0</v>
      </c>
      <c r="R534" s="25">
        <f ca="1">IFERROR(__xludf.DUMMYFUNCTION("""COMPUTED_VALUE"""),0.347826086956521)</f>
        <v>0.34782608695652101</v>
      </c>
      <c r="S534" s="25">
        <f ca="1">IFERROR(__xludf.DUMMYFUNCTION("""COMPUTED_VALUE"""),0)</f>
        <v>0</v>
      </c>
      <c r="T534" s="25">
        <f ca="1">IFERROR(__xludf.DUMMYFUNCTION("""COMPUTED_VALUE"""),0.2)</f>
        <v>0.2</v>
      </c>
      <c r="U534" s="25">
        <f ca="1">IFERROR(__xludf.DUMMYFUNCTION("""COMPUTED_VALUE"""),0.125)</f>
        <v>0.125</v>
      </c>
      <c r="V534" s="25">
        <f ca="1">IFERROR(__xludf.DUMMYFUNCTION("""COMPUTED_VALUE"""),0)</f>
        <v>0</v>
      </c>
      <c r="W534" s="4"/>
      <c r="X534" s="4" t="str">
        <f ca="1">IFERROR(__xludf.DUMMYFUNCTION("""COMPUTED_VALUE"""),"| 1 P JAVA @ | 3 L CPT @ | 4 L JAVA @ ")</f>
        <v xml:space="preserve">| 1 P JAVA @ | 3 L CPT @ | 4 L JAVA @ </v>
      </c>
      <c r="Y534" s="4" t="str">
        <f ca="1">IFERROR(__xludf.DUMMYFUNCTION("""COMPUTED_VALUE"""),"| 1 P PHP-CGM @ | 3 L JAVA @ | 4 L NS @ | 5 P PRO @ ")</f>
        <v xml:space="preserve">| 1 P PHP-CGM @ | 3 L JAVA @ | 4 L NS @ | 5 P PRO @ </v>
      </c>
      <c r="Z534" s="4" t="str">
        <f ca="1">IFERROR(__xludf.DUMMYFUNCTION("""COMPUTED_VALUE"""),"| 1 P Python % | 3 L PHP-CGM % | 4 L NS % | 5 P JAVA @ ")</f>
        <v xml:space="preserve">| 1 P Python % | 3 L PHP-CGM % | 4 L NS % | 5 P JAVA @ </v>
      </c>
      <c r="AA534" s="4" t="str">
        <f ca="1">IFERROR(__xludf.DUMMYFUNCTION("""COMPUTED_VALUE"""),"| 1 P Python @ | 3 L CPT @ | 5 P NS @ ")</f>
        <v xml:space="preserve">| 1 P Python @ | 3 L CPT @ | 5 P NS @ </v>
      </c>
      <c r="AB534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C534" s="4" t="str">
        <f ca="1">IFERROR(__xludf.DUMMYFUNCTION("""COMPUTED_VALUE"""),"| 1 P JAVA % | 3 L CPT @ | 4 L JAVA % ")</f>
        <v xml:space="preserve">| 1 P JAVA % | 3 L CPT @ | 4 L JAVA % </v>
      </c>
      <c r="AD534" s="4" t="str">
        <f ca="1">IFERROR(__xludf.DUMMYFUNCTION("""COMPUTED_VALUE"""),"| 1 P PHP-CGM @ | 3 L JAVA % | 4 L NS % | 5 P PRO % ")</f>
        <v xml:space="preserve">| 1 P PHP-CGM @ | 3 L JAVA % | 4 L NS % | 5 P PRO % </v>
      </c>
      <c r="AE534" s="4" t="str">
        <f ca="1">IFERROR(__xludf.DUMMYFUNCTION("""COMPUTED_VALUE"""),"| 1 P Python % | 3 L PHP-CGM % | 4 L NS % | 5 P JAVA % ")</f>
        <v xml:space="preserve">| 1 P Python % | 3 L PHP-CGM % | 4 L NS % | 5 P JAVA % </v>
      </c>
      <c r="AF534" s="4" t="str">
        <f ca="1">IFERROR(__xludf.DUMMYFUNCTION("""COMPUTED_VALUE"""),"| 1 P Python % | 3 L CPT @ | 4 L PHP-CGM @ | 5 P NS @ ")</f>
        <v xml:space="preserve">| 1 P Python % | 3 L CPT @ | 4 L PHP-CGM @ | 5 P NS @ </v>
      </c>
      <c r="AG534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34" s="4" t="str">
        <f ca="1">IFERROR(__xludf.DUMMYFUNCTION("""COMPUTED_VALUE"""),"| 1 P Python % | 3 L CPT % | 4 L PHP-CGM % | 5 P NS % ")</f>
        <v xml:space="preserve">| 1 P Python % | 3 L CPT % | 4 L PHP-CGM % | 5 P NS % </v>
      </c>
      <c r="AI534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J534" s="4" t="str">
        <f ca="1">IFERROR(__xludf.DUMMYFUNCTION("""COMPUTED_VALUE"""),"| 1 P JAVA % | 3 L CPT % | 4 L JAVA % ")</f>
        <v xml:space="preserve">| 1 P JAVA % | 3 L CPT % | 4 L JAVA % </v>
      </c>
      <c r="AK534" s="4" t="str">
        <f ca="1">IFERROR(__xludf.DUMMYFUNCTION("""COMPUTED_VALUE"""),"| 1 P PHP-CGM @ | 4 L NS @ | 3 L JAVA @ | 5 P PRO @ ")</f>
        <v xml:space="preserve">| 1 P PHP-CGM @ | 4 L NS @ | 3 L JAVA @ | 5 P PRO @ </v>
      </c>
      <c r="AL534" s="4" t="str">
        <f ca="1">IFERROR(__xludf.DUMMYFUNCTION("""COMPUTED_VALUE"""),"| 1 P Python % | 3 L PHP-CGM % | 4 L NS % | 5 P JAVA % ")</f>
        <v xml:space="preserve">| 1 P Python % | 3 L PHP-CGM % | 4 L NS % | 5 P JAVA % </v>
      </c>
      <c r="AM534" s="4" t="str">
        <f ca="1">IFERROR(__xludf.DUMMYFUNCTION("""COMPUTED_VALUE"""),"| 1 P Python @ | 3 L CPT @ | 4 L PHP-CGM @ | 5 P NS @ ")</f>
        <v xml:space="preserve">| 1 P Python @ | 3 L CPT @ | 4 L PHP-CGM @ | 5 P NS @ </v>
      </c>
      <c r="AN534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34" s="4" t="str">
        <f ca="1">IFERROR(__xludf.DUMMYFUNCTION("""COMPUTED_VALUE"""),"| 1 P JAVA @ | 3 L CPT @ | 4 L JAVA @ | 5 L INE @ ")</f>
        <v xml:space="preserve">| 1 P JAVA @ | 3 L CPT @ | 4 L JAVA @ | 5 L INE @ </v>
      </c>
      <c r="AP534" s="4" t="str">
        <f ca="1">IFERROR(__xludf.DUMMYFUNCTION("""COMPUTED_VALUE"""),"| 1 P PHP-CGM @ | 3 L JAVA @ | 4 L NS @ | 5 P PRO @ ")</f>
        <v xml:space="preserve">| 1 P PHP-CGM @ | 3 L JAVA @ | 4 L NS @ | 5 P PRO @ </v>
      </c>
      <c r="AQ534" s="4" t="str">
        <f ca="1">IFERROR(__xludf.DUMMYFUNCTION("""COMPUTED_VALUE"""),"| 1 P Python @ | 3 L PHP-CGM @ | 4 L NS @ | 5 P JAVA @ ")</f>
        <v xml:space="preserve">| 1 P Python @ | 3 L PHP-CGM @ | 4 L NS @ | 5 P JAVA @ </v>
      </c>
      <c r="AR534" s="4" t="str">
        <f ca="1">IFERROR(__xludf.DUMMYFUNCTION("""COMPUTED_VALUE"""),"| 1 P Python @ | 3 L CPT @ | 5 P NS % ")</f>
        <v xml:space="preserve">| 1 P Python @ | 3 L CPT @ | 5 P NS % </v>
      </c>
      <c r="AS534" s="4" t="str">
        <f ca="1">IFERROR(__xludf.DUMMYFUNCTION("""COMPUTED_VALUE"""),"| 1 P JAVA @ | 3 L CPT @ | 4 L JAVA @ | 5 L INE @ ")</f>
        <v xml:space="preserve">| 1 P JAVA @ | 3 L CPT @ | 4 L JAVA @ | 5 L INE @ </v>
      </c>
      <c r="AT534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4" s="4" t="str">
        <f ca="1">IFERROR(__xludf.DUMMYFUNCTION("""COMPUTED_VALUE"""),"| 1 P Python @ | 3 L PHP-CGM @ | 4 L NS @ | 5 P JAVA @ ")</f>
        <v xml:space="preserve">| 1 P Python @ | 3 L PHP-CGM @ | 4 L NS @ | 5 P JAVA @ </v>
      </c>
      <c r="AV534" s="4" t="str">
        <f ca="1">IFERROR(__xludf.DUMMYFUNCTION("""COMPUTED_VALUE"""),"| 1 P Python % | 3 L CPT % | 4 L PHP-CGM % | 5 P NS % ")</f>
        <v xml:space="preserve">| 1 P Python % | 3 L CPT % | 4 L PHP-CGM % | 5 P NS % </v>
      </c>
      <c r="AW534" s="4" t="str">
        <f ca="1">IFERROR(__xludf.DUMMYFUNCTION("""COMPUTED_VALUE"""),"| 1 P CPT @ | 3 L PHP-CGM @ | 4 L JAVA @ | 5 L NS @ | 5 L CPT @ ")</f>
        <v xml:space="preserve">| 1 P CPT @ | 3 L PHP-CGM @ | 4 L JAVA @ | 5 L NS @ | 5 L CPT @ </v>
      </c>
      <c r="AX534" s="4" t="str">
        <f ca="1">IFERROR(__xludf.DUMMYFUNCTION("""COMPUTED_VALUE"""),"| 1 P JAVA % | 3 L CPT % | 4 L JAVA % | 5 L INE @ ")</f>
        <v xml:space="preserve">| 1 P JAVA % | 3 L CPT % | 4 L JAVA % | 5 L INE @ </v>
      </c>
      <c r="AY534" s="4" t="str">
        <f ca="1">IFERROR(__xludf.DUMMYFUNCTION("""COMPUTED_VALUE"""),"| 1 P PHP-CGM % | 3 L JAVA % | 4 L NS % | 5 P PRO @ ")</f>
        <v xml:space="preserve">| 1 P PHP-CGM % | 3 L JAVA % | 4 L NS % | 5 P PRO @ </v>
      </c>
      <c r="AZ534" s="4" t="str">
        <f ca="1">IFERROR(__xludf.DUMMYFUNCTION("""COMPUTED_VALUE"""),"| 1 P Python @ | 3 L CPT @ | 4 L PHP-CGM @ | 5 P NS @ ")</f>
        <v xml:space="preserve">| 1 P Python @ | 3 L CPT @ | 4 L PHP-CGM @ | 5 P NS @ </v>
      </c>
      <c r="BA53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B534" s="4" t="str">
        <f ca="1">IFERROR(__xludf.DUMMYFUNCTION("""COMPUTED_VALUE"""),"| 1 P JAVA @ | 3 L CPT @ | 4 L JAVA @ | 5 L INE @ ")</f>
        <v xml:space="preserve">| 1 P JAVA @ | 3 L CPT @ | 4 L JAVA @ | 5 L INE @ </v>
      </c>
      <c r="BC534" s="4" t="str">
        <f ca="1">IFERROR(__xludf.DUMMYFUNCTION("""COMPUTED_VALUE"""),"| 1 P PHP-CGM @ | 3 L JAVA @ | 4 L NS @ | 5 P PRO @ ")</f>
        <v xml:space="preserve">| 1 P PHP-CGM @ | 3 L JAVA @ | 4 L NS @ | 5 P PRO @ </v>
      </c>
      <c r="BD534" s="4" t="str">
        <f ca="1">IFERROR(__xludf.DUMMYFUNCTION("""COMPUTED_VALUE"""),"| 1 P Python % | 4 L NS %  | 3 L PHP-CGM % | 5 P JAVA % ")</f>
        <v xml:space="preserve">| 1 P Python % | 4 L NS %  | 3 L PHP-CGM % | 5 P JAVA % </v>
      </c>
      <c r="BE534" s="4" t="str">
        <f ca="1">IFERROR(__xludf.DUMMYFUNCTION("""COMPUTED_VALUE"""),"| 1 P Python @ | 3 L CPT @ | 4 L PHP-CGM @ | 5 P NS @ ")</f>
        <v xml:space="preserve">| 1 P Python @ | 3 L CPT @ | 4 L PHP-CGM @ | 5 P NS @ </v>
      </c>
      <c r="BF534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G534" s="4" t="str">
        <f ca="1">IFERROR(__xludf.DUMMYFUNCTION("""COMPUTED_VALUE"""),"| 1 P PHP-CGM @ | 3 L JAVA @ | 4 L NS @ | 5 P PRO @ ")</f>
        <v xml:space="preserve">| 1 P PHP-CGM @ | 3 L JAVA @ | 4 L NS @ | 5 P PRO @ </v>
      </c>
      <c r="BH534" s="4" t="str">
        <f ca="1">IFERROR(__xludf.DUMMYFUNCTION("""COMPUTED_VALUE"""),"| 1 P Python @ | 3 L PHP-CGM @ | 4 L NS @ | 5 P JAVA % ")</f>
        <v xml:space="preserve">| 1 P Python @ | 3 L PHP-CGM @ | 4 L NS @ | 5 P JAVA % </v>
      </c>
      <c r="BI534" s="4" t="str">
        <f ca="1">IFERROR(__xludf.DUMMYFUNCTION("""COMPUTED_VALUE"""),"| 1 P Python @ | 3 L CPT @ | 4 L PHP-CGM @ | 5 P NS @ ")</f>
        <v xml:space="preserve">| 1 P Python @ | 3 L CPT @ | 4 L PHP-CGM @ | 5 P NS @ </v>
      </c>
      <c r="BJ53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K534" s="4" t="str">
        <f ca="1">IFERROR(__xludf.DUMMYFUNCTION("""COMPUTED_VALUE"""),"| 1 P JAVA @ | 3 L CPT @ | 4 L JAVA @ | 5 L INE @ ")</f>
        <v xml:space="preserve">| 1 P JAVA @ | 3 L CPT @ | 4 L JAVA @ | 5 L INE @ </v>
      </c>
      <c r="BL534" s="4" t="str">
        <f ca="1">IFERROR(__xludf.DUMMYFUNCTION("""COMPUTED_VALUE"""),"| 1 P PHP-CGM @ | 3 L JAVA @ | 4 L NS @ | 5 P PRO @ ")</f>
        <v xml:space="preserve">| 1 P PHP-CGM @ | 3 L JAVA @ | 4 L NS @ | 5 P PRO @ </v>
      </c>
      <c r="BM534" s="4" t="str">
        <f ca="1">IFERROR(__xludf.DUMMYFUNCTION("""COMPUTED_VALUE"""),"| 1 P Python @ | 3 L PHP-CGM @ | 4 L NS @ | 5 P JAVA @ ")</f>
        <v xml:space="preserve">| 1 P Python @ | 3 L PHP-CGM @ | 4 L NS @ | 5 P JAVA @ </v>
      </c>
      <c r="BN534" s="4" t="str">
        <f ca="1">IFERROR(__xludf.DUMMYFUNCTION("""COMPUTED_VALUE"""),"| 1 P Python @ | 3 L CPT @ | 4 L PHP-CGM @ | 5 P NS @ ")</f>
        <v xml:space="preserve">| 1 P Python @ | 3 L CPT @ | 4 L PHP-CGM @ | 5 P NS @ </v>
      </c>
      <c r="BO534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34" s="4" t="str">
        <f ca="1">IFERROR(__xludf.DUMMYFUNCTION("""COMPUTED_VALUE"""),"| 1 P JAVA @ | 3 L CPT @ | 4 L JAVA @ | 5 L INE @ ")</f>
        <v xml:space="preserve">| 1 P JAVA @ | 3 L CPT @ | 4 L JAVA @ | 5 L INE @ </v>
      </c>
      <c r="BQ534" s="4" t="str">
        <f ca="1">IFERROR(__xludf.DUMMYFUNCTION("""COMPUTED_VALUE"""),"| 4 L NS @ | 5 P JAVA % ")</f>
        <v xml:space="preserve">| 4 L NS @ | 5 P JAVA % </v>
      </c>
      <c r="BR534" s="4"/>
      <c r="BS534" s="4"/>
      <c r="BT534" s="4" t="str">
        <f ca="1">IFERROR(__xludf.DUMMYFUNCTION("""COMPUTED_VALUE"""),"| 1 P JAVA @ | 3 L CPT @ | 4 L JAVA @ ")</f>
        <v xml:space="preserve">| 1 P JAVA @ | 3 L CPT @ | 4 L JAVA @ </v>
      </c>
      <c r="BU534" s="4" t="str">
        <f ca="1">IFERROR(__xludf.DUMMYFUNCTION("""COMPUTED_VALUE"""),"| 1 P PHP-CGM @ | 4 L NS @ | 3 L JAVA @ ")</f>
        <v xml:space="preserve">| 1 P PHP-CGM @ | 4 L NS @ | 3 L JAVA @ </v>
      </c>
      <c r="BV534" s="4" t="str">
        <f ca="1">IFERROR(__xludf.DUMMYFUNCTION("""COMPUTED_VALUE"""),"| 1 P JAVA @ | 3 L CPT @ | 4 L JAVA @ ")</f>
        <v xml:space="preserve">| 1 P JAVA @ | 3 L CPT @ | 4 L JAVA @ </v>
      </c>
      <c r="BW534" s="4" t="str">
        <f ca="1">IFERROR(__xludf.DUMMYFUNCTION("""COMPUTED_VALUE"""),"| 1 P PHP-CGM @ | 3 L JAVA @ | 4 L NS @ ")</f>
        <v xml:space="preserve">| 1 P PHP-CGM @ | 3 L JAVA @ | 4 L NS @ </v>
      </c>
      <c r="BX534" s="4" t="str">
        <f ca="1">IFERROR(__xludf.DUMMYFUNCTION("""COMPUTED_VALUE"""),"| 1 P Python @ | 3 L PHP-CGM @ | 4 L NS @ | 5 P JAVA @ ")</f>
        <v xml:space="preserve">| 1 P Python @ | 3 L PHP-CGM @ | 4 L NS @ | 5 P JAVA @ </v>
      </c>
      <c r="BY534" s="4" t="str">
        <f ca="1">IFERROR(__xludf.DUMMYFUNCTION("""COMPUTED_VALUE"""),"| 1 P Python @ | 3 L CPT @ | 4 L PHP-CGM @ | 5 P NS @ ")</f>
        <v xml:space="preserve">| 1 P Python @ | 3 L CPT @ | 4 L PHP-CGM @ | 5 P NS @ </v>
      </c>
      <c r="BZ53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34" s="4" t="str">
        <f ca="1">IFERROR(__xludf.DUMMYFUNCTION("""COMPUTED_VALUE"""),"| 1 P JAVA % | 3 L CPT % | 4 L JAVA % | 5 L INE % ")</f>
        <v xml:space="preserve">| 1 P JAVA % | 3 L CPT % | 4 L JAVA % | 5 L INE % </v>
      </c>
      <c r="CB534" s="4" t="str">
        <f ca="1">IFERROR(__xludf.DUMMYFUNCTION("""COMPUTED_VALUE"""),"| 1 P PHP-CGM % | 3 L JAVA % | 4 L NS % | 5 P PRO @ ")</f>
        <v xml:space="preserve">| 1 P PHP-CGM % | 3 L JAVA % | 4 L NS % | 5 P PRO @ </v>
      </c>
      <c r="CC534" s="4" t="str">
        <f ca="1">IFERROR(__xludf.DUMMYFUNCTION("""COMPUTED_VALUE"""),"| 1 P Python % | 3 L PHP-CGM % | 4 L NS % | 5 P JAVA % ")</f>
        <v xml:space="preserve">| 1 P Python % | 3 L PHP-CGM % | 4 L NS % | 5 P JAVA % </v>
      </c>
      <c r="CD534" s="4" t="str">
        <f ca="1">IFERROR(__xludf.DUMMYFUNCTION("""COMPUTED_VALUE"""),"| 1 P Python @ | 3 L CPT @ | 4 L PHP-CGM @ | 5 P NS @ ")</f>
        <v xml:space="preserve">| 1 P Python @ | 3 L CPT @ | 4 L PHP-CGM @ | 5 P NS @ </v>
      </c>
      <c r="CE53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34" s="4" t="str">
        <f ca="1">IFERROR(__xludf.DUMMYFUNCTION("""COMPUTED_VALUE"""),"| 1 P JAVA % | 3 L CPT @ | 4 L JAVA @ | 5 L INE @ ")</f>
        <v xml:space="preserve">| 1 P JAVA % | 3 L CPT @ | 4 L JAVA @ | 5 L INE @ </v>
      </c>
      <c r="CG534" s="4" t="str">
        <f ca="1">IFERROR(__xludf.DUMMYFUNCTION("""COMPUTED_VALUE"""),"| 1 P PHP-CGM % | 4 L NS @ ")</f>
        <v xml:space="preserve">| 1 P PHP-CGM % | 4 L NS @ </v>
      </c>
      <c r="CH534" s="4" t="str">
        <f ca="1">IFERROR(__xludf.DUMMYFUNCTION("""COMPUTED_VALUE"""),"| 3 L PHP-CGM @ | 4 L NS @ ")</f>
        <v xml:space="preserve">| 3 L PHP-CGM @ | 4 L NS @ </v>
      </c>
      <c r="CI534" s="4" t="str">
        <f ca="1">IFERROR(__xludf.DUMMYFUNCTION("""COMPUTED_VALUE"""),"| 1 P Python @ | 5 P NS % ")</f>
        <v xml:space="preserve">| 1 P Python @ | 5 P NS % </v>
      </c>
      <c r="CJ534" s="4" t="str">
        <f ca="1">IFERROR(__xludf.DUMMYFUNCTION("""COMPUTED_VALUE"""),"| 4 L JAVA % | 1 P CPT % ")</f>
        <v xml:space="preserve">| 4 L JAVA % | 1 P CPT % </v>
      </c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</row>
    <row r="535" spans="1:102" ht="12.5" x14ac:dyDescent="0.25">
      <c r="A535" s="3">
        <f ca="1">IFERROR(__xludf.DUMMYFUNCTION("""COMPUTED_VALUE"""),3)</f>
        <v>3</v>
      </c>
      <c r="B535" s="3" t="str">
        <f ca="1">IFERROR(__xludf.DUMMYFUNCTION("""COMPUTED_VALUE"""),"ITC")</f>
        <v>ITC</v>
      </c>
      <c r="C535" s="32" t="str">
        <f ca="1">IFERROR(__xludf.DUMMYFUNCTION("""COMPUTED_VALUE"""),"23171371133")</f>
        <v>23171371133</v>
      </c>
      <c r="D535" s="4" t="str">
        <f ca="1">IFERROR(__xludf.DUMMYFUNCTION("""COMPUTED_VALUE"""),"PRAJAPATI PRINCY VIKRAMKUMAR")</f>
        <v>PRAJAPATI PRINCY VIKRAMKUMAR</v>
      </c>
      <c r="E535" s="3" t="str">
        <f ca="1">IFERROR(__xludf.DUMMYFUNCTION("""COMPUTED_VALUE"""),"SDP&amp;KKP - Mor")</f>
        <v>SDP&amp;KKP - Mor</v>
      </c>
      <c r="F535" s="3">
        <f ca="1">IFERROR(__xludf.DUMMYFUNCTION("""COMPUTED_VALUE"""),9586546777)</f>
        <v>9586546777</v>
      </c>
      <c r="G535" s="3">
        <f ca="1">IFERROR(__xludf.DUMMYFUNCTION("""COMPUTED_VALUE"""),9426622381)</f>
        <v>9426622381</v>
      </c>
      <c r="H535" s="33">
        <f ca="1">IFERROR(__xludf.DUMMYFUNCTION("""COMPUTED_VALUE"""),0.73469387755102)</f>
        <v>0.73469387755102</v>
      </c>
      <c r="I535" s="25">
        <f ca="1">IFERROR(__xludf.DUMMYFUNCTION("""COMPUTED_VALUE"""),0.777777777777777)</f>
        <v>0.77777777777777701</v>
      </c>
      <c r="J535" s="25">
        <f ca="1">IFERROR(__xludf.DUMMYFUNCTION("""COMPUTED_VALUE"""),0.5)</f>
        <v>0.5</v>
      </c>
      <c r="K535" s="25">
        <f ca="1">IFERROR(__xludf.DUMMYFUNCTION("""COMPUTED_VALUE"""),0.666666666666666)</f>
        <v>0.66666666666666596</v>
      </c>
      <c r="L535" s="25">
        <f ca="1">IFERROR(__xludf.DUMMYFUNCTION("""COMPUTED_VALUE"""),0.615384615384615)</f>
        <v>0.61538461538461497</v>
      </c>
      <c r="M535" s="25">
        <f ca="1">IFERROR(__xludf.DUMMYFUNCTION("""COMPUTED_VALUE"""),0.65625)</f>
        <v>0.65625</v>
      </c>
      <c r="N535" s="25">
        <f ca="1">IFERROR(__xludf.DUMMYFUNCTION("""COMPUTED_VALUE"""),0.769230769230769)</f>
        <v>0.76923076923076905</v>
      </c>
      <c r="O535" s="25">
        <f ca="1">IFERROR(__xludf.DUMMYFUNCTION("""COMPUTED_VALUE"""),0.783783783783783)</f>
        <v>0.78378378378378299</v>
      </c>
      <c r="P535" s="25">
        <f ca="1">IFERROR(__xludf.DUMMYFUNCTION("""COMPUTED_VALUE"""),0.88)</f>
        <v>0.88</v>
      </c>
      <c r="Q535" s="25">
        <f ca="1">IFERROR(__xludf.DUMMYFUNCTION("""COMPUTED_VALUE"""),0)</f>
        <v>0</v>
      </c>
      <c r="R535" s="25">
        <f ca="1">IFERROR(__xludf.DUMMYFUNCTION("""COMPUTED_VALUE"""),0.782608695652174)</f>
        <v>0.78260869565217395</v>
      </c>
      <c r="S535" s="25">
        <f ca="1">IFERROR(__xludf.DUMMYFUNCTION("""COMPUTED_VALUE"""),0)</f>
        <v>0</v>
      </c>
      <c r="T535" s="25">
        <f ca="1">IFERROR(__xludf.DUMMYFUNCTION("""COMPUTED_VALUE"""),0.7)</f>
        <v>0.7</v>
      </c>
      <c r="U535" s="25">
        <f ca="1">IFERROR(__xludf.DUMMYFUNCTION("""COMPUTED_VALUE"""),0.875)</f>
        <v>0.875</v>
      </c>
      <c r="V535" s="25">
        <f ca="1">IFERROR(__xludf.DUMMYFUNCTION("""COMPUTED_VALUE"""),0)</f>
        <v>0</v>
      </c>
      <c r="W535" s="4"/>
      <c r="X535" s="4" t="str">
        <f ca="1">IFERROR(__xludf.DUMMYFUNCTION("""COMPUTED_VALUE"""),"| 1 P JAVA % | 3 L CPT % | 4 L JAVA % ")</f>
        <v xml:space="preserve">| 1 P JAVA % | 3 L CPT % | 4 L JAVA % </v>
      </c>
      <c r="Y535" s="4" t="str">
        <f ca="1">IFERROR(__xludf.DUMMYFUNCTION("""COMPUTED_VALUE"""),"| 1 P PHP-CGM % | 3 L JAVA % | 4 L NS % | 5 P PRO % ")</f>
        <v xml:space="preserve">| 1 P PHP-CGM % | 3 L JAVA % | 4 L NS % | 5 P PRO % </v>
      </c>
      <c r="Z535" s="4" t="str">
        <f ca="1">IFERROR(__xludf.DUMMYFUNCTION("""COMPUTED_VALUE"""),"| 1 P Python % | 3 L PHP-CGM % | 4 L NS % | 5 P JAVA % ")</f>
        <v xml:space="preserve">| 1 P Python % | 3 L PHP-CGM % | 4 L NS % | 5 P JAVA % </v>
      </c>
      <c r="AA535" s="4" t="str">
        <f ca="1">IFERROR(__xludf.DUMMYFUNCTION("""COMPUTED_VALUE"""),"| 1 P Python % | 3 L CPT % | 5 P NS % ")</f>
        <v xml:space="preserve">| 1 P Python % | 3 L CPT % | 5 P NS % </v>
      </c>
      <c r="AB535" s="4" t="str">
        <f ca="1">IFERROR(__xludf.DUMMYFUNCTION("""COMPUTED_VALUE"""),"| 1 P CPT @ | 3 L PHP-CGM @ | 4 L JAVA % | 5 L CPT @ | 6 L NS @ ")</f>
        <v xml:space="preserve">| 1 P CPT @ | 3 L PHP-CGM @ | 4 L JAVA % | 5 L CPT @ | 6 L NS @ </v>
      </c>
      <c r="AC535" s="4" t="str">
        <f ca="1">IFERROR(__xludf.DUMMYFUNCTION("""COMPUTED_VALUE"""),"| 1 P JAVA % | 3 L CPT % | 4 L JAVA % ")</f>
        <v xml:space="preserve">| 1 P JAVA % | 3 L CPT % | 4 L JAVA % </v>
      </c>
      <c r="AD535" s="4" t="str">
        <f ca="1">IFERROR(__xludf.DUMMYFUNCTION("""COMPUTED_VALUE"""),"| 1 P PHP-CGM % | 3 L JAVA % | 4 L NS % | 5 P PRO % ")</f>
        <v xml:space="preserve">| 1 P PHP-CGM % | 3 L JAVA % | 4 L NS % | 5 P PRO % </v>
      </c>
      <c r="AE535" s="4" t="str">
        <f ca="1">IFERROR(__xludf.DUMMYFUNCTION("""COMPUTED_VALUE"""),"| 1 P Python % | 3 L PHP-CGM % | 4 L NS % | 5 P JAVA % ")</f>
        <v xml:space="preserve">| 1 P Python % | 3 L PHP-CGM % | 4 L NS % | 5 P JAVA % </v>
      </c>
      <c r="AF535" s="4" t="str">
        <f ca="1">IFERROR(__xludf.DUMMYFUNCTION("""COMPUTED_VALUE"""),"| 1 P Python % | 3 L CPT % | 4 L PHP-CGM % | 5 P NS % ")</f>
        <v xml:space="preserve">| 1 P Python % | 3 L CPT % | 4 L PHP-CGM % | 5 P NS % </v>
      </c>
      <c r="AG535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35" s="4" t="str">
        <f ca="1">IFERROR(__xludf.DUMMYFUNCTION("""COMPUTED_VALUE"""),"| 1 P Python % | 3 L CPT % | 4 L PHP-CGM % | 5 P NS % ")</f>
        <v xml:space="preserve">| 1 P Python % | 3 L CPT % | 4 L PHP-CGM % | 5 P NS % </v>
      </c>
      <c r="AI535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J535" s="4" t="str">
        <f ca="1">IFERROR(__xludf.DUMMYFUNCTION("""COMPUTED_VALUE"""),"| 1 P JAVA % | 3 L CPT % | 4 L JAVA % ")</f>
        <v xml:space="preserve">| 1 P JAVA % | 3 L CPT % | 4 L JAVA % </v>
      </c>
      <c r="AK535" s="4" t="str">
        <f ca="1">IFERROR(__xludf.DUMMYFUNCTION("""COMPUTED_VALUE"""),"| 1 P PHP-CGM % | 4 L NS % | 3 L JAVA % | 5 P PRO % ")</f>
        <v xml:space="preserve">| 1 P PHP-CGM % | 4 L NS % | 3 L JAVA % | 5 P PRO % </v>
      </c>
      <c r="AL535" s="4" t="str">
        <f ca="1">IFERROR(__xludf.DUMMYFUNCTION("""COMPUTED_VALUE"""),"| 1 P Python % | 3 L PHP-CGM % | 4 L NS % | 5 P JAVA % ")</f>
        <v xml:space="preserve">| 1 P Python % | 3 L PHP-CGM % | 4 L NS % | 5 P JAVA % </v>
      </c>
      <c r="AM535" s="4" t="str">
        <f ca="1">IFERROR(__xludf.DUMMYFUNCTION("""COMPUTED_VALUE"""),"| 1 P Python % | 3 L CPT % | 4 L PHP-CGM % | 5 P NS % ")</f>
        <v xml:space="preserve">| 1 P Python % | 3 L CPT % | 4 L PHP-CGM % | 5 P NS % </v>
      </c>
      <c r="AN535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O535" s="4" t="str">
        <f ca="1">IFERROR(__xludf.DUMMYFUNCTION("""COMPUTED_VALUE"""),"| 1 P JAVA % | 3 L CPT % | 4 L JAVA % | 5 L INE % ")</f>
        <v xml:space="preserve">| 1 P JAVA % | 3 L CPT % | 4 L JAVA % | 5 L INE % </v>
      </c>
      <c r="AP535" s="4" t="str">
        <f ca="1">IFERROR(__xludf.DUMMYFUNCTION("""COMPUTED_VALUE"""),"| 1 P PHP-CGM % | 3 L JAVA % | 4 L NS % | 5 P PRO % ")</f>
        <v xml:space="preserve">| 1 P PHP-CGM % | 3 L JAVA % | 4 L NS % | 5 P PRO % </v>
      </c>
      <c r="AQ535" s="4" t="str">
        <f ca="1">IFERROR(__xludf.DUMMYFUNCTION("""COMPUTED_VALUE"""),"| 1 P Python % | 3 L PHP-CGM % | 4 L NS % | 5 P JAVA % ")</f>
        <v xml:space="preserve">| 1 P Python % | 3 L PHP-CGM % | 4 L NS % | 5 P JAVA % </v>
      </c>
      <c r="AR535" s="4" t="str">
        <f ca="1">IFERROR(__xludf.DUMMYFUNCTION("""COMPUTED_VALUE"""),"| 1 P Python % | 3 L CPT % | 5 P NS @ ")</f>
        <v xml:space="preserve">| 1 P Python % | 3 L CPT % | 5 P NS @ </v>
      </c>
      <c r="AS535" s="4" t="str">
        <f ca="1">IFERROR(__xludf.DUMMYFUNCTION("""COMPUTED_VALUE"""),"| 1 P JAVA % | 3 L CPT % | 4 L JAVA % | 5 L INE % ")</f>
        <v xml:space="preserve">| 1 P JAVA % | 3 L CPT % | 4 L JAVA % | 5 L INE % </v>
      </c>
      <c r="AT535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5" s="4" t="str">
        <f ca="1">IFERROR(__xludf.DUMMYFUNCTION("""COMPUTED_VALUE"""),"| 1 P Python % | 3 L PHP-CGM % | 4 L NS % | 5 P JAVA % ")</f>
        <v xml:space="preserve">| 1 P Python % | 3 L PHP-CGM % | 4 L NS % | 5 P JAVA % </v>
      </c>
      <c r="AV535" s="4" t="str">
        <f ca="1">IFERROR(__xludf.DUMMYFUNCTION("""COMPUTED_VALUE"""),"| 1 P Python % | 3 L CPT % | 4 L PHP-CGM % | 5 P NS % ")</f>
        <v xml:space="preserve">| 1 P Python % | 3 L CPT % | 4 L PHP-CGM % | 5 P NS % </v>
      </c>
      <c r="AW535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35" s="4" t="str">
        <f ca="1">IFERROR(__xludf.DUMMYFUNCTION("""COMPUTED_VALUE"""),"| 1 P JAVA % | 3 L CPT % | 4 L JAVA % | 5 L INE % ")</f>
        <v xml:space="preserve">| 1 P JAVA % | 3 L CPT % | 4 L JAVA % | 5 L INE % </v>
      </c>
      <c r="AY535" s="4" t="str">
        <f ca="1">IFERROR(__xludf.DUMMYFUNCTION("""COMPUTED_VALUE"""),"| 1 P PHP-CGM % | 3 L JAVA % | 4 L NS % | 5 P PRO @ ")</f>
        <v xml:space="preserve">| 1 P PHP-CGM % | 3 L JAVA % | 4 L NS % | 5 P PRO @ </v>
      </c>
      <c r="AZ535" s="4" t="str">
        <f ca="1">IFERROR(__xludf.DUMMYFUNCTION("""COMPUTED_VALUE"""),"| 1 P Python % | 3 L CPT % | 4 L PHP-CGM % | 5 P NS % ")</f>
        <v xml:space="preserve">| 1 P Python % | 3 L CPT % | 4 L PHP-CGM % | 5 P NS % </v>
      </c>
      <c r="BA535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35" s="4" t="str">
        <f ca="1">IFERROR(__xludf.DUMMYFUNCTION("""COMPUTED_VALUE"""),"| 1 P JAVA % | 3 L CPT % | 4 L JAVA % | 5 L INE % ")</f>
        <v xml:space="preserve">| 1 P JAVA % | 3 L CPT % | 4 L JAVA % | 5 L INE % </v>
      </c>
      <c r="BC535" s="4" t="str">
        <f ca="1">IFERROR(__xludf.DUMMYFUNCTION("""COMPUTED_VALUE"""),"| 1 P PHP-CGM % | 3 L JAVA % | 4 L NS @ | 5 P PRO % ")</f>
        <v xml:space="preserve">| 1 P PHP-CGM % | 3 L JAVA % | 4 L NS @ | 5 P PRO % </v>
      </c>
      <c r="BD535" s="4" t="str">
        <f ca="1">IFERROR(__xludf.DUMMYFUNCTION("""COMPUTED_VALUE"""),"| 1 P Python % | 4 L NS %  | 3 L PHP-CGM % | 5 P JAVA % ")</f>
        <v xml:space="preserve">| 1 P Python % | 4 L NS %  | 3 L PHP-CGM % | 5 P JAVA % </v>
      </c>
      <c r="BE535" s="4" t="str">
        <f ca="1">IFERROR(__xludf.DUMMYFUNCTION("""COMPUTED_VALUE"""),"| 1 P Python % | 3 L CPT @ | 4 L PHP-CGM % | 5 P NS % ")</f>
        <v xml:space="preserve">| 1 P Python % | 3 L CPT @ | 4 L PHP-CGM % | 5 P NS % </v>
      </c>
      <c r="BF535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G535" s="4" t="str">
        <f ca="1">IFERROR(__xludf.DUMMYFUNCTION("""COMPUTED_VALUE"""),"| 1 P PHP-CGM % | 3 L JAVA % | 4 L NS % | 5 P PRO @ ")</f>
        <v xml:space="preserve">| 1 P PHP-CGM % | 3 L JAVA % | 4 L NS % | 5 P PRO @ </v>
      </c>
      <c r="BH535" s="4" t="str">
        <f ca="1">IFERROR(__xludf.DUMMYFUNCTION("""COMPUTED_VALUE"""),"| 1 P Python % | 3 L PHP-CGM % | 4 L NS % | 5 P JAVA % ")</f>
        <v xml:space="preserve">| 1 P Python % | 3 L PHP-CGM % | 4 L NS % | 5 P JAVA % </v>
      </c>
      <c r="BI535" s="4" t="str">
        <f ca="1">IFERROR(__xludf.DUMMYFUNCTION("""COMPUTED_VALUE"""),"| 1 P Python @ | 3 L CPT % | 4 L PHP-CGM % | 5 P NS % ")</f>
        <v xml:space="preserve">| 1 P Python @ | 3 L CPT % | 4 L PHP-CGM % | 5 P NS % </v>
      </c>
      <c r="BJ535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K535" s="4" t="str">
        <f ca="1">IFERROR(__xludf.DUMMYFUNCTION("""COMPUTED_VALUE"""),"| 1 P JAVA % | 3 L CPT % | 4 L JAVA % | 5 L INE % ")</f>
        <v xml:space="preserve">| 1 P JAVA % | 3 L CPT % | 4 L JAVA % | 5 L INE % </v>
      </c>
      <c r="BL535" s="4" t="str">
        <f ca="1">IFERROR(__xludf.DUMMYFUNCTION("""COMPUTED_VALUE"""),"| 1 P PHP-CGM @ | 3 L JAVA @ | 4 L NS @ | 5 P PRO @ ")</f>
        <v xml:space="preserve">| 1 P PHP-CGM @ | 3 L JAVA @ | 4 L NS @ | 5 P PRO @ </v>
      </c>
      <c r="BM535" s="4" t="str">
        <f ca="1">IFERROR(__xludf.DUMMYFUNCTION("""COMPUTED_VALUE"""),"| 1 P Python @ | 3 L PHP-CGM @ | 4 L NS @ | 5 P JAVA @ ")</f>
        <v xml:space="preserve">| 1 P Python @ | 3 L PHP-CGM @ | 4 L NS @ | 5 P JAVA @ </v>
      </c>
      <c r="BN535" s="4" t="str">
        <f ca="1">IFERROR(__xludf.DUMMYFUNCTION("""COMPUTED_VALUE"""),"| 1 P Python @ | 3 L CPT @ | 4 L PHP-CGM @ | 5 P NS @ ")</f>
        <v xml:space="preserve">| 1 P Python @ | 3 L CPT @ | 4 L PHP-CGM @ | 5 P NS @ </v>
      </c>
      <c r="BO535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35" s="4" t="str">
        <f ca="1">IFERROR(__xludf.DUMMYFUNCTION("""COMPUTED_VALUE"""),"| 1 P JAVA % | 3 L CPT % | 4 L JAVA % | 5 L INE % ")</f>
        <v xml:space="preserve">| 1 P JAVA % | 3 L CPT % | 4 L JAVA % | 5 L INE % </v>
      </c>
      <c r="BQ535" s="4" t="str">
        <f ca="1">IFERROR(__xludf.DUMMYFUNCTION("""COMPUTED_VALUE"""),"| 4 L NS % | 5 P JAVA % ")</f>
        <v xml:space="preserve">| 4 L NS % | 5 P JAVA % </v>
      </c>
      <c r="BR535" s="4"/>
      <c r="BS535" s="4"/>
      <c r="BT535" s="4" t="str">
        <f ca="1">IFERROR(__xludf.DUMMYFUNCTION("""COMPUTED_VALUE"""),"| 1 P JAVA % | 3 L CPT % | 4 L JAVA % ")</f>
        <v xml:space="preserve">| 1 P JAVA % | 3 L CPT % | 4 L JAVA % </v>
      </c>
      <c r="BU535" s="4" t="str">
        <f ca="1">IFERROR(__xludf.DUMMYFUNCTION("""COMPUTED_VALUE"""),"| 1 P PHP-CGM @ | 4 L NS @ | 3 L JAVA @ ")</f>
        <v xml:space="preserve">| 1 P PHP-CGM @ | 4 L NS @ | 3 L JAVA @ </v>
      </c>
      <c r="BV535" s="4" t="str">
        <f ca="1">IFERROR(__xludf.DUMMYFUNCTION("""COMPUTED_VALUE"""),"| 1 P JAVA % | 3 L CPT % | 4 L JAVA % ")</f>
        <v xml:space="preserve">| 1 P JAVA % | 3 L CPT % | 4 L JAVA % </v>
      </c>
      <c r="BW535" s="4" t="str">
        <f ca="1">IFERROR(__xludf.DUMMYFUNCTION("""COMPUTED_VALUE"""),"| 1 P PHP-CGM @ | 3 L JAVA @ | 4 L NS @ ")</f>
        <v xml:space="preserve">| 1 P PHP-CGM @ | 3 L JAVA @ | 4 L NS @ </v>
      </c>
      <c r="BX535" s="4" t="str">
        <f ca="1">IFERROR(__xludf.DUMMYFUNCTION("""COMPUTED_VALUE"""),"| 1 P Python % | 3 L PHP-CGM % | 4 L NS % | 5 P JAVA % ")</f>
        <v xml:space="preserve">| 1 P Python % | 3 L PHP-CGM % | 4 L NS % | 5 P JAVA % </v>
      </c>
      <c r="BY535" s="4" t="str">
        <f ca="1">IFERROR(__xludf.DUMMYFUNCTION("""COMPUTED_VALUE"""),"| 1 P Python % | 3 L CPT % | 4 L PHP-CGM % | 5 P NS @ ")</f>
        <v xml:space="preserve">| 1 P Python % | 3 L CPT % | 4 L PHP-CGM % | 5 P NS @ </v>
      </c>
      <c r="BZ535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35" s="4" t="str">
        <f ca="1">IFERROR(__xludf.DUMMYFUNCTION("""COMPUTED_VALUE"""),"| 1 P JAVA % | 3 L CPT % | 4 L JAVA % | 5 L INE % ")</f>
        <v xml:space="preserve">| 1 P JAVA % | 3 L CPT % | 4 L JAVA % | 5 L INE % </v>
      </c>
      <c r="CB535" s="4" t="str">
        <f ca="1">IFERROR(__xludf.DUMMYFUNCTION("""COMPUTED_VALUE"""),"| 1 P PHP-CGM % | 3 L JAVA % | 4 L NS % | 5 P PRO % ")</f>
        <v xml:space="preserve">| 1 P PHP-CGM % | 3 L JAVA % | 4 L NS % | 5 P PRO % </v>
      </c>
      <c r="CC535" s="4" t="str">
        <f ca="1">IFERROR(__xludf.DUMMYFUNCTION("""COMPUTED_VALUE"""),"| 1 P Python % | 3 L PHP-CGM @ | 4 L NS @ | 5 P JAVA @ ")</f>
        <v xml:space="preserve">| 1 P Python % | 3 L PHP-CGM @ | 4 L NS @ | 5 P JAVA @ </v>
      </c>
      <c r="CD535" s="4" t="str">
        <f ca="1">IFERROR(__xludf.DUMMYFUNCTION("""COMPUTED_VALUE"""),"| 1 P Python @ | 3 L CPT @ | 4 L PHP-CGM @ | 5 P NS @ ")</f>
        <v xml:space="preserve">| 1 P Python @ | 3 L CPT @ | 4 L PHP-CGM @ | 5 P NS @ </v>
      </c>
      <c r="CE535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35" s="4" t="str">
        <f ca="1">IFERROR(__xludf.DUMMYFUNCTION("""COMPUTED_VALUE"""),"| 1 P JAVA % | 3 L CPT % | 4 L JAVA % | 5 L INE @ ")</f>
        <v xml:space="preserve">| 1 P JAVA % | 3 L CPT % | 4 L JAVA % | 5 L INE @ </v>
      </c>
      <c r="CG535" s="4" t="str">
        <f ca="1">IFERROR(__xludf.DUMMYFUNCTION("""COMPUTED_VALUE"""),"| 1 P PHP-CGM % | 4 L NS % ")</f>
        <v xml:space="preserve">| 1 P PHP-CGM % | 4 L NS % </v>
      </c>
      <c r="CH535" s="4" t="str">
        <f ca="1">IFERROR(__xludf.DUMMYFUNCTION("""COMPUTED_VALUE"""),"| 3 L PHP-CGM @ | 4 L NS % ")</f>
        <v xml:space="preserve">| 3 L PHP-CGM @ | 4 L NS % </v>
      </c>
      <c r="CI535" s="4" t="str">
        <f ca="1">IFERROR(__xludf.DUMMYFUNCTION("""COMPUTED_VALUE"""),"| 1 P Python @ | 5 P NS @ ")</f>
        <v xml:space="preserve">| 1 P Python @ | 5 P NS @ </v>
      </c>
      <c r="CJ535" s="4" t="str">
        <f ca="1">IFERROR(__xludf.DUMMYFUNCTION("""COMPUTED_VALUE"""),"| 4 L JAVA % | 1 P CPT @ ")</f>
        <v xml:space="preserve">| 4 L JAVA % | 1 P CPT @ </v>
      </c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</row>
    <row r="536" spans="1:102" ht="12.5" x14ac:dyDescent="0.25">
      <c r="A536" s="3">
        <f ca="1">IFERROR(__xludf.DUMMYFUNCTION("""COMPUTED_VALUE"""),3)</f>
        <v>3</v>
      </c>
      <c r="B536" s="3" t="str">
        <f ca="1">IFERROR(__xludf.DUMMYFUNCTION("""COMPUTED_VALUE"""),"ITC")</f>
        <v>ITC</v>
      </c>
      <c r="C536" s="32" t="str">
        <f ca="1">IFERROR(__xludf.DUMMYFUNCTION("""COMPUTED_VALUE"""),"23171371134")</f>
        <v>23171371134</v>
      </c>
      <c r="D536" s="4" t="str">
        <f ca="1">IFERROR(__xludf.DUMMYFUNCTION("""COMPUTED_VALUE"""),"PRAJAPATI TIRTH DASHRATHBHAI")</f>
        <v>PRAJAPATI TIRTH DASHRATHBHAI</v>
      </c>
      <c r="E536" s="3" t="str">
        <f ca="1">IFERROR(__xludf.DUMMYFUNCTION("""COMPUTED_VALUE"""),"SDP&amp;KKP - Mor")</f>
        <v>SDP&amp;KKP - Mor</v>
      </c>
      <c r="F536" s="3">
        <f ca="1">IFERROR(__xludf.DUMMYFUNCTION("""COMPUTED_VALUE"""),8200818902)</f>
        <v>8200818902</v>
      </c>
      <c r="G536" s="3">
        <f ca="1">IFERROR(__xludf.DUMMYFUNCTION("""COMPUTED_VALUE"""),7990142891)</f>
        <v>7990142891</v>
      </c>
      <c r="H536" s="33">
        <f ca="1">IFERROR(__xludf.DUMMYFUNCTION("""COMPUTED_VALUE"""),0.677551020408163)</f>
        <v>0.67755102040816295</v>
      </c>
      <c r="I536" s="25">
        <f ca="1">IFERROR(__xludf.DUMMYFUNCTION("""COMPUTED_VALUE"""),0.638888888888888)</f>
        <v>0.63888888888888795</v>
      </c>
      <c r="J536" s="25">
        <f ca="1">IFERROR(__xludf.DUMMYFUNCTION("""COMPUTED_VALUE"""),0.583333333333333)</f>
        <v>0.58333333333333304</v>
      </c>
      <c r="K536" s="25">
        <f ca="1">IFERROR(__xludf.DUMMYFUNCTION("""COMPUTED_VALUE"""),0.666666666666666)</f>
        <v>0.66666666666666596</v>
      </c>
      <c r="L536" s="25">
        <f ca="1">IFERROR(__xludf.DUMMYFUNCTION("""COMPUTED_VALUE"""),0.615384615384615)</f>
        <v>0.61538461538461497</v>
      </c>
      <c r="M536" s="25">
        <f ca="1">IFERROR(__xludf.DUMMYFUNCTION("""COMPUTED_VALUE"""),0.65625)</f>
        <v>0.65625</v>
      </c>
      <c r="N536" s="25">
        <f ca="1">IFERROR(__xludf.DUMMYFUNCTION("""COMPUTED_VALUE"""),0.769230769230769)</f>
        <v>0.76923076923076905</v>
      </c>
      <c r="O536" s="25">
        <f ca="1">IFERROR(__xludf.DUMMYFUNCTION("""COMPUTED_VALUE"""),0.729729729729729)</f>
        <v>0.72972972972972905</v>
      </c>
      <c r="P536" s="25">
        <f ca="1">IFERROR(__xludf.DUMMYFUNCTION("""COMPUTED_VALUE"""),0.72)</f>
        <v>0.72</v>
      </c>
      <c r="Q536" s="25">
        <f ca="1">IFERROR(__xludf.DUMMYFUNCTION("""COMPUTED_VALUE"""),0)</f>
        <v>0</v>
      </c>
      <c r="R536" s="25">
        <f ca="1">IFERROR(__xludf.DUMMYFUNCTION("""COMPUTED_VALUE"""),0.869565217391304)</f>
        <v>0.86956521739130399</v>
      </c>
      <c r="S536" s="25">
        <f ca="1">IFERROR(__xludf.DUMMYFUNCTION("""COMPUTED_VALUE"""),0)</f>
        <v>0</v>
      </c>
      <c r="T536" s="25">
        <f ca="1">IFERROR(__xludf.DUMMYFUNCTION("""COMPUTED_VALUE"""),0.6)</f>
        <v>0.6</v>
      </c>
      <c r="U536" s="25">
        <f ca="1">IFERROR(__xludf.DUMMYFUNCTION("""COMPUTED_VALUE"""),0.25)</f>
        <v>0.25</v>
      </c>
      <c r="V536" s="25">
        <f ca="1">IFERROR(__xludf.DUMMYFUNCTION("""COMPUTED_VALUE"""),0)</f>
        <v>0</v>
      </c>
      <c r="W536" s="4"/>
      <c r="X536" s="4" t="str">
        <f ca="1">IFERROR(__xludf.DUMMYFUNCTION("""COMPUTED_VALUE"""),"| 1 P JAVA @ | 3 L CPT @ | 4 L JAVA @ ")</f>
        <v xml:space="preserve">| 1 P JAVA @ | 3 L CPT @ | 4 L JAVA @ </v>
      </c>
      <c r="Y536" s="4" t="str">
        <f ca="1">IFERROR(__xludf.DUMMYFUNCTION("""COMPUTED_VALUE"""),"| 1 P PHP-CGM % | 3 L JAVA % | 4 L NS % | 5 P PRO % ")</f>
        <v xml:space="preserve">| 1 P PHP-CGM % | 3 L JAVA % | 4 L NS % | 5 P PRO % </v>
      </c>
      <c r="Z536" s="4" t="str">
        <f ca="1">IFERROR(__xludf.DUMMYFUNCTION("""COMPUTED_VALUE"""),"| 1 P Python % | 3 L PHP-CGM % | 4 L NS % | 5 P JAVA @ ")</f>
        <v xml:space="preserve">| 1 P Python % | 3 L PHP-CGM % | 4 L NS % | 5 P JAVA @ </v>
      </c>
      <c r="AA536" s="4" t="str">
        <f ca="1">IFERROR(__xludf.DUMMYFUNCTION("""COMPUTED_VALUE"""),"| 1 P Python % | 3 L CPT % | 5 P NS @ ")</f>
        <v xml:space="preserve">| 1 P Python % | 3 L CPT % | 5 P NS @ </v>
      </c>
      <c r="AB536" s="4" t="str">
        <f ca="1">IFERROR(__xludf.DUMMYFUNCTION("""COMPUTED_VALUE"""),"| 1 P CPT @ | 3 L PHP-CGM @ | 4 L JAVA % | 5 L CPT @ | 6 L NS @ ")</f>
        <v xml:space="preserve">| 1 P CPT @ | 3 L PHP-CGM @ | 4 L JAVA % | 5 L CPT @ | 6 L NS @ </v>
      </c>
      <c r="AC536" s="4" t="str">
        <f ca="1">IFERROR(__xludf.DUMMYFUNCTION("""COMPUTED_VALUE"""),"| 1 P JAVA % | 3 L CPT % | 4 L JAVA % ")</f>
        <v xml:space="preserve">| 1 P JAVA % | 3 L CPT % | 4 L JAVA % </v>
      </c>
      <c r="AD536" s="4" t="str">
        <f ca="1">IFERROR(__xludf.DUMMYFUNCTION("""COMPUTED_VALUE"""),"| 1 P PHP-CGM % | 3 L JAVA % | 4 L NS % | 5 P PRO % ")</f>
        <v xml:space="preserve">| 1 P PHP-CGM % | 3 L JAVA % | 4 L NS % | 5 P PRO % </v>
      </c>
      <c r="AE536" s="4" t="str">
        <f ca="1">IFERROR(__xludf.DUMMYFUNCTION("""COMPUTED_VALUE"""),"| 1 P Python % | 3 L PHP-CGM % | 4 L NS % | 5 P JAVA % ")</f>
        <v xml:space="preserve">| 1 P Python % | 3 L PHP-CGM % | 4 L NS % | 5 P JAVA % </v>
      </c>
      <c r="AF536" s="4" t="str">
        <f ca="1">IFERROR(__xludf.DUMMYFUNCTION("""COMPUTED_VALUE"""),"| 1 P Python % | 3 L CPT % | 4 L PHP-CGM % | 5 P NS % ")</f>
        <v xml:space="preserve">| 1 P Python % | 3 L CPT % | 4 L PHP-CGM % | 5 P NS % </v>
      </c>
      <c r="AG536" s="4" t="str">
        <f ca="1">IFERROR(__xludf.DUMMYFUNCTION("""COMPUTED_VALUE"""),"| 1 P CPT % | 3 L PHP-CGM % | 4 L JAVA % | 5 L CPT @ | 6 L NS % ")</f>
        <v xml:space="preserve">| 1 P CPT % | 3 L PHP-CGM % | 4 L JAVA % | 5 L CPT @ | 6 L NS % </v>
      </c>
      <c r="AH536" s="4" t="str">
        <f ca="1">IFERROR(__xludf.DUMMYFUNCTION("""COMPUTED_VALUE"""),"| 1 P Python @ | 3 L CPT @ | 4 L PHP-CGM @ | 5 P NS @ ")</f>
        <v xml:space="preserve">| 1 P Python @ | 3 L CPT @ | 4 L PHP-CGM @ | 5 P NS @ </v>
      </c>
      <c r="AI536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J536" s="4" t="str">
        <f ca="1">IFERROR(__xludf.DUMMYFUNCTION("""COMPUTED_VALUE"""),"| 1 P JAVA % | 3 L CPT % | 4 L JAVA % ")</f>
        <v xml:space="preserve">| 1 P JAVA % | 3 L CPT % | 4 L JAVA % </v>
      </c>
      <c r="AK536" s="4" t="str">
        <f ca="1">IFERROR(__xludf.DUMMYFUNCTION("""COMPUTED_VALUE"""),"| 1 P PHP-CGM @ | 4 L NS @ | 3 L JAVA @ | 5 P PRO @ ")</f>
        <v xml:space="preserve">| 1 P PHP-CGM @ | 4 L NS @ | 3 L JAVA @ | 5 P PRO @ </v>
      </c>
      <c r="AL536" s="4" t="str">
        <f ca="1">IFERROR(__xludf.DUMMYFUNCTION("""COMPUTED_VALUE"""),"| 1 P Python % | 3 L PHP-CGM % | 4 L NS % | 5 P JAVA % ")</f>
        <v xml:space="preserve">| 1 P Python % | 3 L PHP-CGM % | 4 L NS % | 5 P JAVA % </v>
      </c>
      <c r="AM536" s="4" t="str">
        <f ca="1">IFERROR(__xludf.DUMMYFUNCTION("""COMPUTED_VALUE"""),"| 1 P Python % | 3 L CPT @ | 4 L PHP-CGM @ | 5 P NS @ ")</f>
        <v xml:space="preserve">| 1 P Python % | 3 L CPT @ | 4 L PHP-CGM @ | 5 P NS @ </v>
      </c>
      <c r="AN536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36" s="4" t="str">
        <f ca="1">IFERROR(__xludf.DUMMYFUNCTION("""COMPUTED_VALUE"""),"| 1 P JAVA % | 3 L CPT % | 4 L JAVA % | 5 L INE @ ")</f>
        <v xml:space="preserve">| 1 P JAVA % | 3 L CPT % | 4 L JAVA % | 5 L INE @ </v>
      </c>
      <c r="AP536" s="4" t="str">
        <f ca="1">IFERROR(__xludf.DUMMYFUNCTION("""COMPUTED_VALUE"""),"| 1 P PHP-CGM % | 3 L JAVA % | 4 L NS % | 5 P PRO % ")</f>
        <v xml:space="preserve">| 1 P PHP-CGM % | 3 L JAVA % | 4 L NS % | 5 P PRO % </v>
      </c>
      <c r="AQ536" s="4" t="str">
        <f ca="1">IFERROR(__xludf.DUMMYFUNCTION("""COMPUTED_VALUE"""),"| 1 P Python % | 3 L PHP-CGM % | 4 L NS % | 5 P JAVA % ")</f>
        <v xml:space="preserve">| 1 P Python % | 3 L PHP-CGM % | 4 L NS % | 5 P JAVA % </v>
      </c>
      <c r="AR536" s="4" t="str">
        <f ca="1">IFERROR(__xludf.DUMMYFUNCTION("""COMPUTED_VALUE"""),"| 1 P Python % | 3 L CPT % | 5 P NS % ")</f>
        <v xml:space="preserve">| 1 P Python % | 3 L CPT % | 5 P NS % </v>
      </c>
      <c r="AS536" s="4" t="str">
        <f ca="1">IFERROR(__xludf.DUMMYFUNCTION("""COMPUTED_VALUE"""),"| 1 P JAVA % | 3 L CPT % | 4 L JAVA % | 5 L INE % ")</f>
        <v xml:space="preserve">| 1 P JAVA % | 3 L CPT % | 4 L JAVA % | 5 L INE % </v>
      </c>
      <c r="AT536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6" s="4" t="str">
        <f ca="1">IFERROR(__xludf.DUMMYFUNCTION("""COMPUTED_VALUE"""),"| 1 P Python % | 3 L PHP-CGM % | 4 L NS % | 5 P JAVA % ")</f>
        <v xml:space="preserve">| 1 P Python % | 3 L PHP-CGM % | 4 L NS % | 5 P JAVA % </v>
      </c>
      <c r="AV536" s="4" t="str">
        <f ca="1">IFERROR(__xludf.DUMMYFUNCTION("""COMPUTED_VALUE"""),"| 1 P Python % | 3 L CPT % | 4 L PHP-CGM % | 5 P NS % ")</f>
        <v xml:space="preserve">| 1 P Python % | 3 L CPT % | 4 L PHP-CGM % | 5 P NS % </v>
      </c>
      <c r="AW536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36" s="4" t="str">
        <f ca="1">IFERROR(__xludf.DUMMYFUNCTION("""COMPUTED_VALUE"""),"| 1 P JAVA @ | 3 L CPT @ | 4 L JAVA @ | 5 L INE @ ")</f>
        <v xml:space="preserve">| 1 P JAVA @ | 3 L CPT @ | 4 L JAVA @ | 5 L INE @ </v>
      </c>
      <c r="AY536" s="4" t="str">
        <f ca="1">IFERROR(__xludf.DUMMYFUNCTION("""COMPUTED_VALUE"""),"| 1 P PHP-CGM % | 3 L JAVA % | 4 L NS % | 5 P PRO % ")</f>
        <v xml:space="preserve">| 1 P PHP-CGM % | 3 L JAVA % | 4 L NS % | 5 P PRO % </v>
      </c>
      <c r="AZ536" s="4" t="str">
        <f ca="1">IFERROR(__xludf.DUMMYFUNCTION("""COMPUTED_VALUE"""),"| 1 P Python % | 3 L CPT % | 4 L PHP-CGM % | 5 P NS % ")</f>
        <v xml:space="preserve">| 1 P Python % | 3 L CPT % | 4 L PHP-CGM % | 5 P NS % </v>
      </c>
      <c r="BA536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B536" s="4" t="str">
        <f ca="1">IFERROR(__xludf.DUMMYFUNCTION("""COMPUTED_VALUE"""),"| 1 P JAVA % | 3 L CPT % | 4 L JAVA % | 5 L INE @ ")</f>
        <v xml:space="preserve">| 1 P JAVA % | 3 L CPT % | 4 L JAVA % | 5 L INE @ </v>
      </c>
      <c r="BC536" s="4" t="str">
        <f ca="1">IFERROR(__xludf.DUMMYFUNCTION("""COMPUTED_VALUE"""),"| 1 P PHP-CGM % | 3 L JAVA % | 4 L NS % | 5 P PRO @ ")</f>
        <v xml:space="preserve">| 1 P PHP-CGM % | 3 L JAVA % | 4 L NS % | 5 P PRO @ </v>
      </c>
      <c r="BD536" s="4" t="str">
        <f ca="1">IFERROR(__xludf.DUMMYFUNCTION("""COMPUTED_VALUE"""),"| 1 P Python % | 4 L NS %  | 3 L PHP-CGM % | 5 P JAVA % ")</f>
        <v xml:space="preserve">| 1 P Python % | 4 L NS %  | 3 L PHP-CGM % | 5 P JAVA % </v>
      </c>
      <c r="BE536" s="4" t="str">
        <f ca="1">IFERROR(__xludf.DUMMYFUNCTION("""COMPUTED_VALUE"""),"| 1 P Python @ | 3 L CPT @ | 4 L PHP-CGM @ | 5 P NS @ ")</f>
        <v xml:space="preserve">| 1 P Python @ | 3 L CPT @ | 4 L PHP-CGM @ | 5 P NS @ </v>
      </c>
      <c r="BF536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36" s="4" t="str">
        <f ca="1">IFERROR(__xludf.DUMMYFUNCTION("""COMPUTED_VALUE"""),"| 1 P PHP-CGM @ | 3 L JAVA @ | 4 L NS @ | 5 P PRO @ ")</f>
        <v xml:space="preserve">| 1 P PHP-CGM @ | 3 L JAVA @ | 4 L NS @ | 5 P PRO @ </v>
      </c>
      <c r="BH536" s="4" t="str">
        <f ca="1">IFERROR(__xludf.DUMMYFUNCTION("""COMPUTED_VALUE"""),"| 1 P Python % | 3 L PHP-CGM % | 4 L NS % | 5 P JAVA % ")</f>
        <v xml:space="preserve">| 1 P Python % | 3 L PHP-CGM % | 4 L NS % | 5 P JAVA % </v>
      </c>
      <c r="BI536" s="4" t="str">
        <f ca="1">IFERROR(__xludf.DUMMYFUNCTION("""COMPUTED_VALUE"""),"| 1 P Python % | 3 L CPT % | 4 L PHP-CGM % | 5 P NS % ")</f>
        <v xml:space="preserve">| 1 P Python % | 3 L CPT % | 4 L PHP-CGM % | 5 P NS % </v>
      </c>
      <c r="BJ536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36" s="4" t="str">
        <f ca="1">IFERROR(__xludf.DUMMYFUNCTION("""COMPUTED_VALUE"""),"| 1 P JAVA @ | 3 L CPT @ | 4 L JAVA @ | 5 L INE @ ")</f>
        <v xml:space="preserve">| 1 P JAVA @ | 3 L CPT @ | 4 L JAVA @ | 5 L INE @ </v>
      </c>
      <c r="BL536" s="4" t="str">
        <f ca="1">IFERROR(__xludf.DUMMYFUNCTION("""COMPUTED_VALUE"""),"| 1 P PHP-CGM @ | 3 L JAVA @ | 4 L NS @ | 5 P PRO @ ")</f>
        <v xml:space="preserve">| 1 P PHP-CGM @ | 3 L JAVA @ | 4 L NS @ | 5 P PRO @ </v>
      </c>
      <c r="BM536" s="4" t="str">
        <f ca="1">IFERROR(__xludf.DUMMYFUNCTION("""COMPUTED_VALUE"""),"| 1 P Python % | 3 L PHP-CGM @ | 4 L NS @ | 5 P JAVA @ ")</f>
        <v xml:space="preserve">| 1 P Python % | 3 L PHP-CGM @ | 4 L NS @ | 5 P JAVA @ </v>
      </c>
      <c r="BN536" s="4" t="str">
        <f ca="1">IFERROR(__xludf.DUMMYFUNCTION("""COMPUTED_VALUE"""),"| 1 P Python @ | 3 L CPT @ | 4 L PHP-CGM @ | 5 P NS @ ")</f>
        <v xml:space="preserve">| 1 P Python @ | 3 L CPT @ | 4 L PHP-CGM @ | 5 P NS @ </v>
      </c>
      <c r="BO536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36" s="4" t="str">
        <f ca="1">IFERROR(__xludf.DUMMYFUNCTION("""COMPUTED_VALUE"""),"| 1 P JAVA % | 3 L CPT % | 4 L JAVA % | 5 L INE % ")</f>
        <v xml:space="preserve">| 1 P JAVA % | 3 L CPT % | 4 L JAVA % | 5 L INE % </v>
      </c>
      <c r="BQ536" s="4" t="str">
        <f ca="1">IFERROR(__xludf.DUMMYFUNCTION("""COMPUTED_VALUE"""),"| 4 L NS @ | 5 P JAVA % ")</f>
        <v xml:space="preserve">| 4 L NS @ | 5 P JAVA % </v>
      </c>
      <c r="BR536" s="4"/>
      <c r="BS536" s="4"/>
      <c r="BT536" s="4" t="str">
        <f ca="1">IFERROR(__xludf.DUMMYFUNCTION("""COMPUTED_VALUE"""),"| 1 P JAVA % | 3 L CPT % | 4 L JAVA % ")</f>
        <v xml:space="preserve">| 1 P JAVA % | 3 L CPT % | 4 L JAVA % </v>
      </c>
      <c r="BU536" s="4" t="str">
        <f ca="1">IFERROR(__xludf.DUMMYFUNCTION("""COMPUTED_VALUE"""),"| 1 P PHP-CGM % | 4 L NS % | 3 L JAVA % ")</f>
        <v xml:space="preserve">| 1 P PHP-CGM % | 4 L NS % | 3 L JAVA % </v>
      </c>
      <c r="BV536" s="4" t="str">
        <f ca="1">IFERROR(__xludf.DUMMYFUNCTION("""COMPUTED_VALUE"""),"| 1 P JAVA % | 3 L CPT % | 4 L JAVA % ")</f>
        <v xml:space="preserve">| 1 P JAVA % | 3 L CPT % | 4 L JAVA % </v>
      </c>
      <c r="BW536" s="4" t="str">
        <f ca="1">IFERROR(__xludf.DUMMYFUNCTION("""COMPUTED_VALUE"""),"| 1 P PHP-CGM % | 3 L JAVA % | 4 L NS % ")</f>
        <v xml:space="preserve">| 1 P PHP-CGM % | 3 L JAVA % | 4 L NS % </v>
      </c>
      <c r="BX536" s="4" t="str">
        <f ca="1">IFERROR(__xludf.DUMMYFUNCTION("""COMPUTED_VALUE"""),"| 1 P Python % | 3 L PHP-CGM % | 4 L NS % | 5 P JAVA % ")</f>
        <v xml:space="preserve">| 1 P Python % | 3 L PHP-CGM % | 4 L NS % | 5 P JAVA % </v>
      </c>
      <c r="BY536" s="4" t="str">
        <f ca="1">IFERROR(__xludf.DUMMYFUNCTION("""COMPUTED_VALUE"""),"| 1 P Python % | 3 L CPT % | 4 L PHP-CGM % | 5 P NS % ")</f>
        <v xml:space="preserve">| 1 P Python % | 3 L CPT % | 4 L PHP-CGM % | 5 P NS % </v>
      </c>
      <c r="BZ536" s="4" t="str">
        <f ca="1">IFERROR(__xludf.DUMMYFUNCTION("""COMPUTED_VALUE"""),"| 1 P CPT % | 3 L PHP-CGM % | 4 L JAVA % | 5 L NS % | 6 L CPT @ ")</f>
        <v xml:space="preserve">| 1 P CPT % | 3 L PHP-CGM % | 4 L JAVA % | 5 L NS % | 6 L CPT @ </v>
      </c>
      <c r="CA536" s="4" t="str">
        <f ca="1">IFERROR(__xludf.DUMMYFUNCTION("""COMPUTED_VALUE"""),"| 1 P JAVA % | 3 L CPT % | 4 L JAVA % | 5 L INE @ ")</f>
        <v xml:space="preserve">| 1 P JAVA % | 3 L CPT % | 4 L JAVA % | 5 L INE @ </v>
      </c>
      <c r="CB536" s="4" t="str">
        <f ca="1">IFERROR(__xludf.DUMMYFUNCTION("""COMPUTED_VALUE"""),"| 1 P PHP-CGM % | 3 L JAVA % | 4 L NS % | 5 P PRO % ")</f>
        <v xml:space="preserve">| 1 P PHP-CGM % | 3 L JAVA % | 4 L NS % | 5 P PRO % </v>
      </c>
      <c r="CC536" s="4" t="str">
        <f ca="1">IFERROR(__xludf.DUMMYFUNCTION("""COMPUTED_VALUE"""),"| 1 P Python % | 3 L PHP-CGM % | 4 L NS % | 5 P JAVA @ ")</f>
        <v xml:space="preserve">| 1 P Python % | 3 L PHP-CGM % | 4 L NS % | 5 P JAVA @ </v>
      </c>
      <c r="CD536" s="4" t="str">
        <f ca="1">IFERROR(__xludf.DUMMYFUNCTION("""COMPUTED_VALUE"""),"| 1 P Python % | 3 L CPT % | 4 L PHP-CGM % | 5 P NS % ")</f>
        <v xml:space="preserve">| 1 P Python % | 3 L CPT % | 4 L PHP-CGM % | 5 P NS % </v>
      </c>
      <c r="CE536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CF536" s="4" t="str">
        <f ca="1">IFERROR(__xludf.DUMMYFUNCTION("""COMPUTED_VALUE"""),"| 1 P JAVA % | 3 L CPT % | 4 L JAVA % | 5 L INE @ ")</f>
        <v xml:space="preserve">| 1 P JAVA % | 3 L CPT % | 4 L JAVA % | 5 L INE @ </v>
      </c>
      <c r="CG536" s="4" t="str">
        <f ca="1">IFERROR(__xludf.DUMMYFUNCTION("""COMPUTED_VALUE"""),"| 1 P PHP-CGM % | 4 L NS @ ")</f>
        <v xml:space="preserve">| 1 P PHP-CGM % | 4 L NS @ </v>
      </c>
      <c r="CH536" s="4" t="str">
        <f ca="1">IFERROR(__xludf.DUMMYFUNCTION("""COMPUTED_VALUE"""),"| 3 L PHP-CGM @ | 4 L NS @ ")</f>
        <v xml:space="preserve">| 3 L PHP-CGM @ | 4 L NS @ </v>
      </c>
      <c r="CI536" s="4" t="str">
        <f ca="1">IFERROR(__xludf.DUMMYFUNCTION("""COMPUTED_VALUE"""),"| 1 P Python % | 5 P NS % ")</f>
        <v xml:space="preserve">| 1 P Python % | 5 P NS % </v>
      </c>
      <c r="CJ536" s="4" t="str">
        <f ca="1">IFERROR(__xludf.DUMMYFUNCTION("""COMPUTED_VALUE"""),"| 4 L JAVA % | 1 P CPT % ")</f>
        <v xml:space="preserve">| 4 L JAVA % | 1 P CPT % </v>
      </c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</row>
    <row r="537" spans="1:102" ht="12.5" x14ac:dyDescent="0.25">
      <c r="A537" s="3">
        <f ca="1">IFERROR(__xludf.DUMMYFUNCTION("""COMPUTED_VALUE"""),3)</f>
        <v>3</v>
      </c>
      <c r="B537" s="3" t="str">
        <f ca="1">IFERROR(__xludf.DUMMYFUNCTION("""COMPUTED_VALUE"""),"ITC")</f>
        <v>ITC</v>
      </c>
      <c r="C537" s="32" t="str">
        <f ca="1">IFERROR(__xludf.DUMMYFUNCTION("""COMPUTED_VALUE"""),"23171371135")</f>
        <v>23171371135</v>
      </c>
      <c r="D537" s="4" t="str">
        <f ca="1">IFERROR(__xludf.DUMMYFUNCTION("""COMPUTED_VALUE"""),"PRAJAPATI YASH AMITKUMAR")</f>
        <v>PRAJAPATI YASH AMITKUMAR</v>
      </c>
      <c r="E537" s="3" t="str">
        <f ca="1">IFERROR(__xludf.DUMMYFUNCTION("""COMPUTED_VALUE"""),"SDP&amp;KKP - Mor")</f>
        <v>SDP&amp;KKP - Mor</v>
      </c>
      <c r="F537" s="3">
        <f ca="1">IFERROR(__xludf.DUMMYFUNCTION("""COMPUTED_VALUE"""),7043971717)</f>
        <v>7043971717</v>
      </c>
      <c r="G537" s="3">
        <f ca="1">IFERROR(__xludf.DUMMYFUNCTION("""COMPUTED_VALUE"""),9712031200)</f>
        <v>9712031200</v>
      </c>
      <c r="H537" s="33">
        <f ca="1">IFERROR(__xludf.DUMMYFUNCTION("""COMPUTED_VALUE"""),0.763265306122449)</f>
        <v>0.76326530612244903</v>
      </c>
      <c r="I537" s="25">
        <f ca="1">IFERROR(__xludf.DUMMYFUNCTION("""COMPUTED_VALUE"""),0.75)</f>
        <v>0.75</v>
      </c>
      <c r="J537" s="25">
        <f ca="1">IFERROR(__xludf.DUMMYFUNCTION("""COMPUTED_VALUE"""),0.833333333333333)</f>
        <v>0.83333333333333304</v>
      </c>
      <c r="K537" s="25">
        <f ca="1">IFERROR(__xludf.DUMMYFUNCTION("""COMPUTED_VALUE"""),0.666666666666666)</f>
        <v>0.66666666666666596</v>
      </c>
      <c r="L537" s="25">
        <f ca="1">IFERROR(__xludf.DUMMYFUNCTION("""COMPUTED_VALUE"""),0.769230769230769)</f>
        <v>0.76923076923076905</v>
      </c>
      <c r="M537" s="25">
        <f ca="1">IFERROR(__xludf.DUMMYFUNCTION("""COMPUTED_VALUE"""),0.625)</f>
        <v>0.625</v>
      </c>
      <c r="N537" s="25">
        <f ca="1">IFERROR(__xludf.DUMMYFUNCTION("""COMPUTED_VALUE"""),1)</f>
        <v>1</v>
      </c>
      <c r="O537" s="25">
        <f ca="1">IFERROR(__xludf.DUMMYFUNCTION("""COMPUTED_VALUE"""),0.729729729729729)</f>
        <v>0.72972972972972905</v>
      </c>
      <c r="P537" s="25">
        <f ca="1">IFERROR(__xludf.DUMMYFUNCTION("""COMPUTED_VALUE"""),0.88)</f>
        <v>0.88</v>
      </c>
      <c r="Q537" s="25">
        <f ca="1">IFERROR(__xludf.DUMMYFUNCTION("""COMPUTED_VALUE"""),0)</f>
        <v>0</v>
      </c>
      <c r="R537" s="25">
        <f ca="1">IFERROR(__xludf.DUMMYFUNCTION("""COMPUTED_VALUE"""),0.869565217391304)</f>
        <v>0.86956521739130399</v>
      </c>
      <c r="S537" s="25">
        <f ca="1">IFERROR(__xludf.DUMMYFUNCTION("""COMPUTED_VALUE"""),0)</f>
        <v>0</v>
      </c>
      <c r="T537" s="25">
        <f ca="1">IFERROR(__xludf.DUMMYFUNCTION("""COMPUTED_VALUE"""),0.9)</f>
        <v>0.9</v>
      </c>
      <c r="U537" s="25">
        <f ca="1">IFERROR(__xludf.DUMMYFUNCTION("""COMPUTED_VALUE"""),0.625)</f>
        <v>0.625</v>
      </c>
      <c r="V537" s="25">
        <f ca="1">IFERROR(__xludf.DUMMYFUNCTION("""COMPUTED_VALUE"""),0)</f>
        <v>0</v>
      </c>
      <c r="W537" s="4"/>
      <c r="X537" s="4" t="str">
        <f ca="1">IFERROR(__xludf.DUMMYFUNCTION("""COMPUTED_VALUE"""),"| 1 P JAVA % | 3 L CPT % | 4 L JAVA % ")</f>
        <v xml:space="preserve">| 1 P JAVA % | 3 L CPT % | 4 L JAVA % </v>
      </c>
      <c r="Y537" s="4" t="str">
        <f ca="1">IFERROR(__xludf.DUMMYFUNCTION("""COMPUTED_VALUE"""),"| 1 P PHP-CGM % | 3 L JAVA % | 4 L NS % | 5 P PRO % ")</f>
        <v xml:space="preserve">| 1 P PHP-CGM % | 3 L JAVA % | 4 L NS % | 5 P PRO % </v>
      </c>
      <c r="Z537" s="4" t="str">
        <f ca="1">IFERROR(__xludf.DUMMYFUNCTION("""COMPUTED_VALUE"""),"| 1 P Python % | 3 L PHP-CGM % | 4 L NS % | 5 P JAVA % ")</f>
        <v xml:space="preserve">| 1 P Python % | 3 L PHP-CGM % | 4 L NS % | 5 P JAVA % </v>
      </c>
      <c r="AA537" s="4" t="str">
        <f ca="1">IFERROR(__xludf.DUMMYFUNCTION("""COMPUTED_VALUE"""),"| 1 P Python % | 3 L CPT % | 5 P NS % ")</f>
        <v xml:space="preserve">| 1 P Python % | 3 L CPT % | 5 P NS % </v>
      </c>
      <c r="AB537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37" s="4" t="str">
        <f ca="1">IFERROR(__xludf.DUMMYFUNCTION("""COMPUTED_VALUE"""),"| 1 P JAVA % | 3 L CPT % | 4 L JAVA % ")</f>
        <v xml:space="preserve">| 1 P JAVA % | 3 L CPT % | 4 L JAVA % </v>
      </c>
      <c r="AD537" s="4" t="str">
        <f ca="1">IFERROR(__xludf.DUMMYFUNCTION("""COMPUTED_VALUE"""),"| 1 P PHP-CGM % | 3 L JAVA % | 4 L NS % | 5 P PRO % ")</f>
        <v xml:space="preserve">| 1 P PHP-CGM % | 3 L JAVA % | 4 L NS % | 5 P PRO % </v>
      </c>
      <c r="AE537" s="4" t="str">
        <f ca="1">IFERROR(__xludf.DUMMYFUNCTION("""COMPUTED_VALUE"""),"| 1 P Python % | 3 L PHP-CGM % | 4 L NS % | 5 P JAVA % ")</f>
        <v xml:space="preserve">| 1 P Python % | 3 L PHP-CGM % | 4 L NS % | 5 P JAVA % </v>
      </c>
      <c r="AF537" s="4" t="str">
        <f ca="1">IFERROR(__xludf.DUMMYFUNCTION("""COMPUTED_VALUE"""),"| 1 P Python % | 3 L CPT % | 4 L PHP-CGM % | 5 P NS % ")</f>
        <v xml:space="preserve">| 1 P Python % | 3 L CPT % | 4 L PHP-CGM % | 5 P NS % </v>
      </c>
      <c r="AG537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37" s="4" t="str">
        <f ca="1">IFERROR(__xludf.DUMMYFUNCTION("""COMPUTED_VALUE"""),"| 1 P Python % | 3 L CPT % | 4 L PHP-CGM % | 5 P NS % ")</f>
        <v xml:space="preserve">| 1 P Python % | 3 L CPT % | 4 L PHP-CGM % | 5 P NS % </v>
      </c>
      <c r="AI537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37" s="4" t="str">
        <f ca="1">IFERROR(__xludf.DUMMYFUNCTION("""COMPUTED_VALUE"""),"| 1 P JAVA % | 3 L CPT % | 4 L JAVA % ")</f>
        <v xml:space="preserve">| 1 P JAVA % | 3 L CPT % | 4 L JAVA % </v>
      </c>
      <c r="AK537" s="4" t="str">
        <f ca="1">IFERROR(__xludf.DUMMYFUNCTION("""COMPUTED_VALUE"""),"| 1 P PHP-CGM % | 4 L NS % | 3 L JAVA % | 5 P PRO % ")</f>
        <v xml:space="preserve">| 1 P PHP-CGM % | 4 L NS % | 3 L JAVA % | 5 P PRO % </v>
      </c>
      <c r="AL537" s="4" t="str">
        <f ca="1">IFERROR(__xludf.DUMMYFUNCTION("""COMPUTED_VALUE"""),"| 1 P Python % | 3 L PHP-CGM % | 4 L NS % | 5 P JAVA % ")</f>
        <v xml:space="preserve">| 1 P Python % | 3 L PHP-CGM % | 4 L NS % | 5 P JAVA % </v>
      </c>
      <c r="AM537" s="4" t="str">
        <f ca="1">IFERROR(__xludf.DUMMYFUNCTION("""COMPUTED_VALUE"""),"| 1 P Python % | 3 L CPT % | 4 L PHP-CGM @ | 5 P NS @ ")</f>
        <v xml:space="preserve">| 1 P Python % | 3 L CPT % | 4 L PHP-CGM @ | 5 P NS @ </v>
      </c>
      <c r="AN537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37" s="4" t="str">
        <f ca="1">IFERROR(__xludf.DUMMYFUNCTION("""COMPUTED_VALUE"""),"| 1 P JAVA % | 3 L CPT % | 4 L JAVA % | 5 L INE % ")</f>
        <v xml:space="preserve">| 1 P JAVA % | 3 L CPT % | 4 L JAVA % | 5 L INE % </v>
      </c>
      <c r="AP537" s="4" t="str">
        <f ca="1">IFERROR(__xludf.DUMMYFUNCTION("""COMPUTED_VALUE"""),"| 1 P PHP-CGM % | 3 L JAVA % | 4 L NS % | 5 P PRO % ")</f>
        <v xml:space="preserve">| 1 P PHP-CGM % | 3 L JAVA % | 4 L NS % | 5 P PRO % </v>
      </c>
      <c r="AQ537" s="4" t="str">
        <f ca="1">IFERROR(__xludf.DUMMYFUNCTION("""COMPUTED_VALUE"""),"| 1 P Python @ | 3 L PHP-CGM @ | 4 L NS @ | 5 P JAVA @ ")</f>
        <v xml:space="preserve">| 1 P Python @ | 3 L PHP-CGM @ | 4 L NS @ | 5 P JAVA @ </v>
      </c>
      <c r="AR537" s="4" t="str">
        <f ca="1">IFERROR(__xludf.DUMMYFUNCTION("""COMPUTED_VALUE"""),"| 1 P Python % | 3 L CPT % | 5 P NS % ")</f>
        <v xml:space="preserve">| 1 P Python % | 3 L CPT % | 5 P NS % </v>
      </c>
      <c r="AS537" s="4" t="str">
        <f ca="1">IFERROR(__xludf.DUMMYFUNCTION("""COMPUTED_VALUE"""),"| 1 P JAVA % | 3 L CPT % | 4 L JAVA % | 5 L INE % ")</f>
        <v xml:space="preserve">| 1 P JAVA % | 3 L CPT % | 4 L JAVA % | 5 L INE % </v>
      </c>
      <c r="AT537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7" s="4" t="str">
        <f ca="1">IFERROR(__xludf.DUMMYFUNCTION("""COMPUTED_VALUE"""),"| 1 P Python % | 3 L PHP-CGM % | 4 L NS % | 5 P JAVA % ")</f>
        <v xml:space="preserve">| 1 P Python % | 3 L PHP-CGM % | 4 L NS % | 5 P JAVA % </v>
      </c>
      <c r="AV537" s="4" t="str">
        <f ca="1">IFERROR(__xludf.DUMMYFUNCTION("""COMPUTED_VALUE"""),"| 1 P Python % | 3 L CPT % | 4 L PHP-CGM % | 5 P NS % ")</f>
        <v xml:space="preserve">| 1 P Python % | 3 L CPT % | 4 L PHP-CGM % | 5 P NS % </v>
      </c>
      <c r="AW537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37" s="4" t="str">
        <f ca="1">IFERROR(__xludf.DUMMYFUNCTION("""COMPUTED_VALUE"""),"| 1 P JAVA % | 3 L CPT % | 4 L JAVA % | 5 L INE @ ")</f>
        <v xml:space="preserve">| 1 P JAVA % | 3 L CPT % | 4 L JAVA % | 5 L INE @ </v>
      </c>
      <c r="AY537" s="4" t="str">
        <f ca="1">IFERROR(__xludf.DUMMYFUNCTION("""COMPUTED_VALUE"""),"| 1 P PHP-CGM % | 3 L JAVA % | 4 L NS % | 5 P PRO % ")</f>
        <v xml:space="preserve">| 1 P PHP-CGM % | 3 L JAVA % | 4 L NS % | 5 P PRO % </v>
      </c>
      <c r="AZ537" s="4" t="str">
        <f ca="1">IFERROR(__xludf.DUMMYFUNCTION("""COMPUTED_VALUE"""),"| 1 P Python % | 3 L CPT % | 4 L PHP-CGM % | 5 P NS % ")</f>
        <v xml:space="preserve">| 1 P Python % | 3 L CPT % | 4 L PHP-CGM % | 5 P NS % </v>
      </c>
      <c r="BA537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37" s="4" t="str">
        <f ca="1">IFERROR(__xludf.DUMMYFUNCTION("""COMPUTED_VALUE"""),"| 1 P JAVA % | 3 L CPT % | 4 L JAVA % | 5 L INE @ ")</f>
        <v xml:space="preserve">| 1 P JAVA % | 3 L CPT % | 4 L JAVA % | 5 L INE @ </v>
      </c>
      <c r="BC537" s="4" t="str">
        <f ca="1">IFERROR(__xludf.DUMMYFUNCTION("""COMPUTED_VALUE"""),"| 1 P PHP-CGM % | 3 L JAVA % | 4 L NS % | 5 P PRO % ")</f>
        <v xml:space="preserve">| 1 P PHP-CGM % | 3 L JAVA % | 4 L NS % | 5 P PRO % </v>
      </c>
      <c r="BD537" s="4" t="str">
        <f ca="1">IFERROR(__xludf.DUMMYFUNCTION("""COMPUTED_VALUE"""),"| 1 P Python % | 4 L NS %  | 3 L PHP-CGM % | 5 P JAVA % ")</f>
        <v xml:space="preserve">| 1 P Python % | 4 L NS %  | 3 L PHP-CGM % | 5 P JAVA % </v>
      </c>
      <c r="BE537" s="4" t="str">
        <f ca="1">IFERROR(__xludf.DUMMYFUNCTION("""COMPUTED_VALUE"""),"| 1 P Python % | 3 L CPT % | 4 L PHP-CGM % | 5 P NS % ")</f>
        <v xml:space="preserve">| 1 P Python % | 3 L CPT % | 4 L PHP-CGM % | 5 P NS % </v>
      </c>
      <c r="BF537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G537" s="4" t="str">
        <f ca="1">IFERROR(__xludf.DUMMYFUNCTION("""COMPUTED_VALUE"""),"| 1 P PHP-CGM % | 3 L JAVA % | 4 L NS % | 5 P PRO % ")</f>
        <v xml:space="preserve">| 1 P PHP-CGM % | 3 L JAVA % | 4 L NS % | 5 P PRO % </v>
      </c>
      <c r="BH537" s="4" t="str">
        <f ca="1">IFERROR(__xludf.DUMMYFUNCTION("""COMPUTED_VALUE"""),"| 1 P Python % | 3 L PHP-CGM % | 4 L NS % | 5 P JAVA % ")</f>
        <v xml:space="preserve">| 1 P Python % | 3 L PHP-CGM % | 4 L NS % | 5 P JAVA % </v>
      </c>
      <c r="BI537" s="4" t="str">
        <f ca="1">IFERROR(__xludf.DUMMYFUNCTION("""COMPUTED_VALUE"""),"| 1 P Python % | 3 L CPT % | 4 L PHP-CGM % | 5 P NS % ")</f>
        <v xml:space="preserve">| 1 P Python % | 3 L CPT % | 4 L PHP-CGM % | 5 P NS % </v>
      </c>
      <c r="BJ537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BK537" s="4" t="str">
        <f ca="1">IFERROR(__xludf.DUMMYFUNCTION("""COMPUTED_VALUE"""),"| 1 P JAVA % | 3 L CPT % | 4 L JAVA % | 5 L INE % ")</f>
        <v xml:space="preserve">| 1 P JAVA % | 3 L CPT % | 4 L JAVA % | 5 L INE % </v>
      </c>
      <c r="BL537" s="4" t="str">
        <f ca="1">IFERROR(__xludf.DUMMYFUNCTION("""COMPUTED_VALUE"""),"| 1 P PHP-CGM % | 3 L JAVA % | 4 L NS @ | 5 P PRO @ ")</f>
        <v xml:space="preserve">| 1 P PHP-CGM % | 3 L JAVA % | 4 L NS @ | 5 P PRO @ </v>
      </c>
      <c r="BM537" s="4" t="str">
        <f ca="1">IFERROR(__xludf.DUMMYFUNCTION("""COMPUTED_VALUE"""),"| 1 P Python % | 3 L PHP-CGM % | 4 L NS % | 5 P JAVA % ")</f>
        <v xml:space="preserve">| 1 P Python % | 3 L PHP-CGM % | 4 L NS % | 5 P JAVA % </v>
      </c>
      <c r="BN537" s="4" t="str">
        <f ca="1">IFERROR(__xludf.DUMMYFUNCTION("""COMPUTED_VALUE"""),"| 1 P Python @ | 3 L CPT @ | 4 L PHP-CGM @ | 5 P NS @ ")</f>
        <v xml:space="preserve">| 1 P Python @ | 3 L CPT @ | 4 L PHP-CGM @ | 5 P NS @ </v>
      </c>
      <c r="BO537" s="4" t="str">
        <f ca="1">IFERROR(__xludf.DUMMYFUNCTION("""COMPUTED_VALUE"""),"| 1 P CPT % | 3 L PHP-CGM @ | 4 L JAVA @ | 5 L NS @ | 6 L CPT % ")</f>
        <v xml:space="preserve">| 1 P CPT % | 3 L PHP-CGM @ | 4 L JAVA @ | 5 L NS @ | 6 L CPT % </v>
      </c>
      <c r="BP537" s="4" t="str">
        <f ca="1">IFERROR(__xludf.DUMMYFUNCTION("""COMPUTED_VALUE"""),"| 1 P JAVA % | 3 L CPT % | 4 L JAVA % | 5 L INE % ")</f>
        <v xml:space="preserve">| 1 P JAVA % | 3 L CPT % | 4 L JAVA % | 5 L INE % </v>
      </c>
      <c r="BQ537" s="4" t="str">
        <f ca="1">IFERROR(__xludf.DUMMYFUNCTION("""COMPUTED_VALUE"""),"| 4 L NS % | 5 P JAVA % ")</f>
        <v xml:space="preserve">| 4 L NS % | 5 P JAVA % </v>
      </c>
      <c r="BR537" s="4"/>
      <c r="BS537" s="4"/>
      <c r="BT537" s="4" t="str">
        <f ca="1">IFERROR(__xludf.DUMMYFUNCTION("""COMPUTED_VALUE"""),"| 1 P JAVA % | 3 L CPT % | 4 L JAVA % ")</f>
        <v xml:space="preserve">| 1 P JAVA % | 3 L CPT % | 4 L JAVA % </v>
      </c>
      <c r="BU537" s="4" t="str">
        <f ca="1">IFERROR(__xludf.DUMMYFUNCTION("""COMPUTED_VALUE"""),"| 1 P PHP-CGM % | 4 L NS @ | 3 L JAVA @ ")</f>
        <v xml:space="preserve">| 1 P PHP-CGM % | 4 L NS @ | 3 L JAVA @ </v>
      </c>
      <c r="BV537" s="4" t="str">
        <f ca="1">IFERROR(__xludf.DUMMYFUNCTION("""COMPUTED_VALUE"""),"| 1 P JAVA % | 3 L CPT @ | 4 L JAVA @ ")</f>
        <v xml:space="preserve">| 1 P JAVA % | 3 L CPT @ | 4 L JAVA @ </v>
      </c>
      <c r="BW537" s="4" t="str">
        <f ca="1">IFERROR(__xludf.DUMMYFUNCTION("""COMPUTED_VALUE"""),"| 1 P PHP-CGM % | 3 L JAVA % | 4 L NS % ")</f>
        <v xml:space="preserve">| 1 P PHP-CGM % | 3 L JAVA % | 4 L NS % </v>
      </c>
      <c r="BX537" s="4" t="str">
        <f ca="1">IFERROR(__xludf.DUMMYFUNCTION("""COMPUTED_VALUE"""),"| 1 P Python % | 3 L PHP-CGM % | 4 L NS % | 5 P JAVA % ")</f>
        <v xml:space="preserve">| 1 P Python % | 3 L PHP-CGM % | 4 L NS % | 5 P JAVA % </v>
      </c>
      <c r="BY537" s="4" t="str">
        <f ca="1">IFERROR(__xludf.DUMMYFUNCTION("""COMPUTED_VALUE"""),"| 1 P Python % | 3 L CPT % | 4 L PHP-CGM % | 5 P NS @ ")</f>
        <v xml:space="preserve">| 1 P Python % | 3 L CPT % | 4 L PHP-CGM % | 5 P NS @ </v>
      </c>
      <c r="BZ537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CA537" s="4" t="str">
        <f ca="1">IFERROR(__xludf.DUMMYFUNCTION("""COMPUTED_VALUE"""),"| 1 P JAVA % | 3 L CPT @ | 4 L JAVA @ | 5 L INE % ")</f>
        <v xml:space="preserve">| 1 P JAVA % | 3 L CPT @ | 4 L JAVA @ | 5 L INE % </v>
      </c>
      <c r="CB537" s="4" t="str">
        <f ca="1">IFERROR(__xludf.DUMMYFUNCTION("""COMPUTED_VALUE"""),"| 1 P PHP-CGM % | 3 L JAVA @ | 4 L NS @ | 5 P PRO % ")</f>
        <v xml:space="preserve">| 1 P PHP-CGM % | 3 L JAVA @ | 4 L NS @ | 5 P PRO % </v>
      </c>
      <c r="CC537" s="4" t="str">
        <f ca="1">IFERROR(__xludf.DUMMYFUNCTION("""COMPUTED_VALUE"""),"| 1 P Python @ | 3 L PHP-CGM @ | 4 L NS @ | 5 P JAVA @ ")</f>
        <v xml:space="preserve">| 1 P Python @ | 3 L PHP-CGM @ | 4 L NS @ | 5 P JAVA @ </v>
      </c>
      <c r="CD537" s="4" t="str">
        <f ca="1">IFERROR(__xludf.DUMMYFUNCTION("""COMPUTED_VALUE"""),"| 1 P Python % | 3 L CPT @ | 4 L PHP-CGM @ | 5 P NS % ")</f>
        <v xml:space="preserve">| 1 P Python % | 3 L CPT @ | 4 L PHP-CGM @ | 5 P NS % </v>
      </c>
      <c r="CE537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37" s="4" t="str">
        <f ca="1">IFERROR(__xludf.DUMMYFUNCTION("""COMPUTED_VALUE"""),"| 1 P JAVA % | 3 L CPT % | 4 L JAVA % | 5 L INE @ ")</f>
        <v xml:space="preserve">| 1 P JAVA % | 3 L CPT % | 4 L JAVA % | 5 L INE @ </v>
      </c>
      <c r="CG537" s="4" t="str">
        <f ca="1">IFERROR(__xludf.DUMMYFUNCTION("""COMPUTED_VALUE"""),"| 1 P PHP-CGM % | 4 L NS % ")</f>
        <v xml:space="preserve">| 1 P PHP-CGM % | 4 L NS % </v>
      </c>
      <c r="CH537" s="4" t="str">
        <f ca="1">IFERROR(__xludf.DUMMYFUNCTION("""COMPUTED_VALUE"""),"| 3 L PHP-CGM @ | 4 L NS @ ")</f>
        <v xml:space="preserve">| 3 L PHP-CGM @ | 4 L NS @ </v>
      </c>
      <c r="CI537" s="4" t="str">
        <f ca="1">IFERROR(__xludf.DUMMYFUNCTION("""COMPUTED_VALUE"""),"| 1 P Python % | 5 P NS % ")</f>
        <v xml:space="preserve">| 1 P Python % | 5 P NS % </v>
      </c>
      <c r="CJ537" s="4" t="str">
        <f ca="1">IFERROR(__xludf.DUMMYFUNCTION("""COMPUTED_VALUE"""),"| 4 L JAVA % | 1 P CPT % ")</f>
        <v xml:space="preserve">| 4 L JAVA % | 1 P CPT % </v>
      </c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</row>
    <row r="538" spans="1:102" ht="12.5" x14ac:dyDescent="0.25">
      <c r="A538" s="3">
        <f ca="1">IFERROR(__xludf.DUMMYFUNCTION("""COMPUTED_VALUE"""),3)</f>
        <v>3</v>
      </c>
      <c r="B538" s="3" t="str">
        <f ca="1">IFERROR(__xludf.DUMMYFUNCTION("""COMPUTED_VALUE"""),"ITC")</f>
        <v>ITC</v>
      </c>
      <c r="C538" s="32" t="str">
        <f ca="1">IFERROR(__xludf.DUMMYFUNCTION("""COMPUTED_VALUE"""),"23171371136")</f>
        <v>23171371136</v>
      </c>
      <c r="D538" s="4" t="str">
        <f ca="1">IFERROR(__xludf.DUMMYFUNCTION("""COMPUTED_VALUE"""),"PRINCE NARENDRABHAI PATEL")</f>
        <v>PRINCE NARENDRABHAI PATEL</v>
      </c>
      <c r="E538" s="3" t="str">
        <f ca="1">IFERROR(__xludf.DUMMYFUNCTION("""COMPUTED_VALUE"""),"SDP&amp;KKP - Mor")</f>
        <v>SDP&amp;KKP - Mor</v>
      </c>
      <c r="F538" s="3">
        <f ca="1">IFERROR(__xludf.DUMMYFUNCTION("""COMPUTED_VALUE"""),9265867335)</f>
        <v>9265867335</v>
      </c>
      <c r="G538" s="3">
        <f ca="1">IFERROR(__xludf.DUMMYFUNCTION("""COMPUTED_VALUE"""),9898986808)</f>
        <v>9898986808</v>
      </c>
      <c r="H538" s="33">
        <f ca="1">IFERROR(__xludf.DUMMYFUNCTION("""COMPUTED_VALUE"""),0.755102040816326)</f>
        <v>0.75510204081632604</v>
      </c>
      <c r="I538" s="25">
        <f ca="1">IFERROR(__xludf.DUMMYFUNCTION("""COMPUTED_VALUE"""),0.694444444444444)</f>
        <v>0.69444444444444398</v>
      </c>
      <c r="J538" s="25">
        <f ca="1">IFERROR(__xludf.DUMMYFUNCTION("""COMPUTED_VALUE"""),0.75)</f>
        <v>0.75</v>
      </c>
      <c r="K538" s="25">
        <f ca="1">IFERROR(__xludf.DUMMYFUNCTION("""COMPUTED_VALUE"""),0.611111111111111)</f>
        <v>0.61111111111111105</v>
      </c>
      <c r="L538" s="25">
        <f ca="1">IFERROR(__xludf.DUMMYFUNCTION("""COMPUTED_VALUE"""),0.769230769230769)</f>
        <v>0.76923076923076905</v>
      </c>
      <c r="M538" s="25">
        <f ca="1">IFERROR(__xludf.DUMMYFUNCTION("""COMPUTED_VALUE"""),0.65625)</f>
        <v>0.65625</v>
      </c>
      <c r="N538" s="25">
        <f ca="1">IFERROR(__xludf.DUMMYFUNCTION("""COMPUTED_VALUE"""),1)</f>
        <v>1</v>
      </c>
      <c r="O538" s="25">
        <f ca="1">IFERROR(__xludf.DUMMYFUNCTION("""COMPUTED_VALUE"""),0.81081081081081)</f>
        <v>0.81081081081080997</v>
      </c>
      <c r="P538" s="25">
        <f ca="1">IFERROR(__xludf.DUMMYFUNCTION("""COMPUTED_VALUE"""),0.84)</f>
        <v>0.84</v>
      </c>
      <c r="Q538" s="25">
        <f ca="1">IFERROR(__xludf.DUMMYFUNCTION("""COMPUTED_VALUE"""),0)</f>
        <v>0</v>
      </c>
      <c r="R538" s="25">
        <f ca="1">IFERROR(__xludf.DUMMYFUNCTION("""COMPUTED_VALUE"""),0.869565217391304)</f>
        <v>0.86956521739130399</v>
      </c>
      <c r="S538" s="25">
        <f ca="1">IFERROR(__xludf.DUMMYFUNCTION("""COMPUTED_VALUE"""),0)</f>
        <v>0</v>
      </c>
      <c r="T538" s="25">
        <f ca="1">IFERROR(__xludf.DUMMYFUNCTION("""COMPUTED_VALUE"""),0.9)</f>
        <v>0.9</v>
      </c>
      <c r="U538" s="25">
        <f ca="1">IFERROR(__xludf.DUMMYFUNCTION("""COMPUTED_VALUE"""),0.625)</f>
        <v>0.625</v>
      </c>
      <c r="V538" s="25">
        <f ca="1">IFERROR(__xludf.DUMMYFUNCTION("""COMPUTED_VALUE"""),0)</f>
        <v>0</v>
      </c>
      <c r="W538" s="4"/>
      <c r="X538" s="4" t="str">
        <f ca="1">IFERROR(__xludf.DUMMYFUNCTION("""COMPUTED_VALUE"""),"| 1 P JAVA % | 3 L CPT % | 4 L JAVA % ")</f>
        <v xml:space="preserve">| 1 P JAVA % | 3 L CPT % | 4 L JAVA % </v>
      </c>
      <c r="Y538" s="4" t="str">
        <f ca="1">IFERROR(__xludf.DUMMYFUNCTION("""COMPUTED_VALUE"""),"| 1 P PHP-CGM % | 3 L JAVA % | 4 L NS % | 5 P PRO % ")</f>
        <v xml:space="preserve">| 1 P PHP-CGM % | 3 L JAVA % | 4 L NS % | 5 P PRO % </v>
      </c>
      <c r="Z538" s="4" t="str">
        <f ca="1">IFERROR(__xludf.DUMMYFUNCTION("""COMPUTED_VALUE"""),"| 1 P Python % | 3 L PHP-CGM % | 4 L NS % | 5 P JAVA % ")</f>
        <v xml:space="preserve">| 1 P Python % | 3 L PHP-CGM % | 4 L NS % | 5 P JAVA % </v>
      </c>
      <c r="AA538" s="4" t="str">
        <f ca="1">IFERROR(__xludf.DUMMYFUNCTION("""COMPUTED_VALUE"""),"| 1 P Python % | 3 L CPT % | 5 P NS % ")</f>
        <v xml:space="preserve">| 1 P Python % | 3 L CPT % | 5 P NS % </v>
      </c>
      <c r="AB538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C538" s="4" t="str">
        <f ca="1">IFERROR(__xludf.DUMMYFUNCTION("""COMPUTED_VALUE"""),"| 1 P JAVA % | 3 L CPT % | 4 L JAVA % ")</f>
        <v xml:space="preserve">| 1 P JAVA % | 3 L CPT % | 4 L JAVA % </v>
      </c>
      <c r="AD538" s="4" t="str">
        <f ca="1">IFERROR(__xludf.DUMMYFUNCTION("""COMPUTED_VALUE"""),"| 1 P PHP-CGM % | 3 L JAVA % | 4 L NS % | 5 P PRO % ")</f>
        <v xml:space="preserve">| 1 P PHP-CGM % | 3 L JAVA % | 4 L NS % | 5 P PRO % </v>
      </c>
      <c r="AE538" s="4" t="str">
        <f ca="1">IFERROR(__xludf.DUMMYFUNCTION("""COMPUTED_VALUE"""),"| 1 P Python % | 3 L PHP-CGM % | 4 L NS % | 5 P JAVA % ")</f>
        <v xml:space="preserve">| 1 P Python % | 3 L PHP-CGM % | 4 L NS % | 5 P JAVA % </v>
      </c>
      <c r="AF538" s="4" t="str">
        <f ca="1">IFERROR(__xludf.DUMMYFUNCTION("""COMPUTED_VALUE"""),"| 1 P Python % | 3 L CPT % | 4 L PHP-CGM % | 5 P NS % ")</f>
        <v xml:space="preserve">| 1 P Python % | 3 L CPT % | 4 L PHP-CGM % | 5 P NS % </v>
      </c>
      <c r="AG538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38" s="4" t="str">
        <f ca="1">IFERROR(__xludf.DUMMYFUNCTION("""COMPUTED_VALUE"""),"| 1 P Python % | 3 L CPT % | 4 L PHP-CGM % | 5 P NS % ")</f>
        <v xml:space="preserve">| 1 P Python % | 3 L CPT % | 4 L PHP-CGM % | 5 P NS % </v>
      </c>
      <c r="AI538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J538" s="4" t="str">
        <f ca="1">IFERROR(__xludf.DUMMYFUNCTION("""COMPUTED_VALUE"""),"| 1 P JAVA % | 3 L CPT % | 4 L JAVA % ")</f>
        <v xml:space="preserve">| 1 P JAVA % | 3 L CPT % | 4 L JAVA % </v>
      </c>
      <c r="AK538" s="4" t="str">
        <f ca="1">IFERROR(__xludf.DUMMYFUNCTION("""COMPUTED_VALUE"""),"| 1 P PHP-CGM % | 4 L NS % | 3 L JAVA % | 5 P PRO % ")</f>
        <v xml:space="preserve">| 1 P PHP-CGM % | 4 L NS % | 3 L JAVA % | 5 P PRO % </v>
      </c>
      <c r="AL538" s="4" t="str">
        <f ca="1">IFERROR(__xludf.DUMMYFUNCTION("""COMPUTED_VALUE"""),"| 1 P Python % | 3 L PHP-CGM % | 4 L NS % | 5 P JAVA % ")</f>
        <v xml:space="preserve">| 1 P Python % | 3 L PHP-CGM % | 4 L NS % | 5 P JAVA % </v>
      </c>
      <c r="AM538" s="4" t="str">
        <f ca="1">IFERROR(__xludf.DUMMYFUNCTION("""COMPUTED_VALUE"""),"| 1 P Python % | 3 L CPT % | 4 L PHP-CGM % | 5 P NS @ ")</f>
        <v xml:space="preserve">| 1 P Python % | 3 L CPT % | 4 L PHP-CGM % | 5 P NS @ </v>
      </c>
      <c r="AN538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38" s="4" t="str">
        <f ca="1">IFERROR(__xludf.DUMMYFUNCTION("""COMPUTED_VALUE"""),"| 1 P JAVA % | 3 L CPT % | 4 L JAVA % | 5 L INE % ")</f>
        <v xml:space="preserve">| 1 P JAVA % | 3 L CPT % | 4 L JAVA % | 5 L INE % </v>
      </c>
      <c r="AP538" s="4" t="str">
        <f ca="1">IFERROR(__xludf.DUMMYFUNCTION("""COMPUTED_VALUE"""),"| 1 P PHP-CGM % | 3 L JAVA % | 4 L NS % | 5 P PRO % ")</f>
        <v xml:space="preserve">| 1 P PHP-CGM % | 3 L JAVA % | 4 L NS % | 5 P PRO % </v>
      </c>
      <c r="AQ538" s="4" t="str">
        <f ca="1">IFERROR(__xludf.DUMMYFUNCTION("""COMPUTED_VALUE"""),"| 1 P Python % | 3 L PHP-CGM % | 4 L NS % | 5 P JAVA % ")</f>
        <v xml:space="preserve">| 1 P Python % | 3 L PHP-CGM % | 4 L NS % | 5 P JAVA % </v>
      </c>
      <c r="AR538" s="4" t="str">
        <f ca="1">IFERROR(__xludf.DUMMYFUNCTION("""COMPUTED_VALUE"""),"| 1 P Python % | 3 L CPT % | 5 P NS % ")</f>
        <v xml:space="preserve">| 1 P Python % | 3 L CPT % | 5 P NS % </v>
      </c>
      <c r="AS538" s="4" t="str">
        <f ca="1">IFERROR(__xludf.DUMMYFUNCTION("""COMPUTED_VALUE"""),"| 1 P JAVA % | 3 L CPT % | 4 L JAVA % | 5 L INE % ")</f>
        <v xml:space="preserve">| 1 P JAVA % | 3 L CPT % | 4 L JAVA % | 5 L INE % </v>
      </c>
      <c r="AT538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38" s="4" t="str">
        <f ca="1">IFERROR(__xludf.DUMMYFUNCTION("""COMPUTED_VALUE"""),"| 1 P Python % | 3 L PHP-CGM % | 4 L NS % | 5 P JAVA % ")</f>
        <v xml:space="preserve">| 1 P Python % | 3 L PHP-CGM % | 4 L NS % | 5 P JAVA % </v>
      </c>
      <c r="AV538" s="4" t="str">
        <f ca="1">IFERROR(__xludf.DUMMYFUNCTION("""COMPUTED_VALUE"""),"| 1 P Python % | 3 L CPT % | 4 L PHP-CGM % | 5 P NS % ")</f>
        <v xml:space="preserve">| 1 P Python % | 3 L CPT % | 4 L PHP-CGM % | 5 P NS % </v>
      </c>
      <c r="AW538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38" s="4" t="str">
        <f ca="1">IFERROR(__xludf.DUMMYFUNCTION("""COMPUTED_VALUE"""),"| 1 P JAVA % | 3 L CPT % | 4 L JAVA % | 5 L INE @ ")</f>
        <v xml:space="preserve">| 1 P JAVA % | 3 L CPT % | 4 L JAVA % | 5 L INE @ </v>
      </c>
      <c r="AY538" s="4" t="str">
        <f ca="1">IFERROR(__xludf.DUMMYFUNCTION("""COMPUTED_VALUE"""),"| 1 P PHP-CGM % | 3 L JAVA % | 4 L NS % | 5 P PRO % ")</f>
        <v xml:space="preserve">| 1 P PHP-CGM % | 3 L JAVA % | 4 L NS % | 5 P PRO % </v>
      </c>
      <c r="AZ538" s="4" t="str">
        <f ca="1">IFERROR(__xludf.DUMMYFUNCTION("""COMPUTED_VALUE"""),"| 1 P Python % | 3 L CPT % | 4 L PHP-CGM % | 5 P NS % ")</f>
        <v xml:space="preserve">| 1 P Python % | 3 L CPT % | 4 L PHP-CGM % | 5 P NS % </v>
      </c>
      <c r="BA538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B538" s="4" t="str">
        <f ca="1">IFERROR(__xludf.DUMMYFUNCTION("""COMPUTED_VALUE"""),"| 1 P JAVA % | 3 L CPT % | 4 L JAVA % | 5 L INE @ ")</f>
        <v xml:space="preserve">| 1 P JAVA % | 3 L CPT % | 4 L JAVA % | 5 L INE @ </v>
      </c>
      <c r="BC538" s="4" t="str">
        <f ca="1">IFERROR(__xludf.DUMMYFUNCTION("""COMPUTED_VALUE"""),"| 1 P PHP-CGM % | 3 L JAVA % | 4 L NS % | 5 P PRO % ")</f>
        <v xml:space="preserve">| 1 P PHP-CGM % | 3 L JAVA % | 4 L NS % | 5 P PRO % </v>
      </c>
      <c r="BD538" s="4" t="str">
        <f ca="1">IFERROR(__xludf.DUMMYFUNCTION("""COMPUTED_VALUE"""),"| 1 P Python % | 4 L NS %  | 3 L PHP-CGM % | 5 P JAVA % ")</f>
        <v xml:space="preserve">| 1 P Python % | 4 L NS %  | 3 L PHP-CGM % | 5 P JAVA % </v>
      </c>
      <c r="BE538" s="4" t="str">
        <f ca="1">IFERROR(__xludf.DUMMYFUNCTION("""COMPUTED_VALUE"""),"| 1 P Python % | 3 L CPT % | 4 L PHP-CGM % | 5 P NS % ")</f>
        <v xml:space="preserve">| 1 P Python % | 3 L CPT % | 4 L PHP-CGM % | 5 P NS % </v>
      </c>
      <c r="BF538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G538" s="4" t="str">
        <f ca="1">IFERROR(__xludf.DUMMYFUNCTION("""COMPUTED_VALUE"""),"| 1 P PHP-CGM % | 3 L JAVA % | 4 L NS % | 5 P PRO % ")</f>
        <v xml:space="preserve">| 1 P PHP-CGM % | 3 L JAVA % | 4 L NS % | 5 P PRO % </v>
      </c>
      <c r="BH538" s="4" t="str">
        <f ca="1">IFERROR(__xludf.DUMMYFUNCTION("""COMPUTED_VALUE"""),"| 1 P Python @ | 3 L PHP-CGM @ | 4 L NS @ | 5 P JAVA @ ")</f>
        <v xml:space="preserve">| 1 P Python @ | 3 L PHP-CGM @ | 4 L NS @ | 5 P JAVA @ </v>
      </c>
      <c r="BI538" s="4" t="str">
        <f ca="1">IFERROR(__xludf.DUMMYFUNCTION("""COMPUTED_VALUE"""),"| 1 P Python % | 3 L CPT % | 4 L PHP-CGM % | 5 P NS % ")</f>
        <v xml:space="preserve">| 1 P Python % | 3 L CPT % | 4 L PHP-CGM % | 5 P NS % </v>
      </c>
      <c r="BJ538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BK538" s="4" t="str">
        <f ca="1">IFERROR(__xludf.DUMMYFUNCTION("""COMPUTED_VALUE"""),"| 1 P JAVA % | 3 L CPT % | 4 L JAVA % | 5 L INE % ")</f>
        <v xml:space="preserve">| 1 P JAVA % | 3 L CPT % | 4 L JAVA % | 5 L INE % </v>
      </c>
      <c r="BL538" s="4" t="str">
        <f ca="1">IFERROR(__xludf.DUMMYFUNCTION("""COMPUTED_VALUE"""),"| 1 P PHP-CGM % | 3 L JAVA % | 4 L NS % | 5 P PRO @ ")</f>
        <v xml:space="preserve">| 1 P PHP-CGM % | 3 L JAVA % | 4 L NS % | 5 P PRO @ </v>
      </c>
      <c r="BM538" s="4" t="str">
        <f ca="1">IFERROR(__xludf.DUMMYFUNCTION("""COMPUTED_VALUE"""),"| 1 P Python % | 3 L PHP-CGM % | 4 L NS % | 5 P JAVA % ")</f>
        <v xml:space="preserve">| 1 P Python % | 3 L PHP-CGM % | 4 L NS % | 5 P JAVA % </v>
      </c>
      <c r="BN538" s="4" t="str">
        <f ca="1">IFERROR(__xludf.DUMMYFUNCTION("""COMPUTED_VALUE"""),"| 1 P Python @ | 3 L CPT @ | 4 L PHP-CGM @ | 5 P NS @ ")</f>
        <v xml:space="preserve">| 1 P Python @ | 3 L CPT @ | 4 L PHP-CGM @ | 5 P NS @ </v>
      </c>
      <c r="BO538" s="4" t="str">
        <f ca="1">IFERROR(__xludf.DUMMYFUNCTION("""COMPUTED_VALUE"""),"| 1 P CPT % | 3 L PHP-CGM @ | 4 L JAVA @ | 5 L NS @ | 6 L CPT % ")</f>
        <v xml:space="preserve">| 1 P CPT % | 3 L PHP-CGM @ | 4 L JAVA @ | 5 L NS @ | 6 L CPT % </v>
      </c>
      <c r="BP538" s="4" t="str">
        <f ca="1">IFERROR(__xludf.DUMMYFUNCTION("""COMPUTED_VALUE"""),"| 1 P JAVA % | 3 L CPT % | 4 L JAVA % | 5 L INE % ")</f>
        <v xml:space="preserve">| 1 P JAVA % | 3 L CPT % | 4 L JAVA % | 5 L INE % </v>
      </c>
      <c r="BQ538" s="4" t="str">
        <f ca="1">IFERROR(__xludf.DUMMYFUNCTION("""COMPUTED_VALUE"""),"| 4 L NS % | 5 P JAVA % ")</f>
        <v xml:space="preserve">| 4 L NS % | 5 P JAVA % </v>
      </c>
      <c r="BR538" s="4"/>
      <c r="BS538" s="4"/>
      <c r="BT538" s="4" t="str">
        <f ca="1">IFERROR(__xludf.DUMMYFUNCTION("""COMPUTED_VALUE"""),"| 1 P JAVA % | 3 L CPT % | 4 L JAVA % ")</f>
        <v xml:space="preserve">| 1 P JAVA % | 3 L CPT % | 4 L JAVA % </v>
      </c>
      <c r="BU538" s="4" t="str">
        <f ca="1">IFERROR(__xludf.DUMMYFUNCTION("""COMPUTED_VALUE"""),"| 1 P PHP-CGM % | 4 L NS % | 3 L JAVA % ")</f>
        <v xml:space="preserve">| 1 P PHP-CGM % | 4 L NS % | 3 L JAVA % </v>
      </c>
      <c r="BV538" s="4" t="str">
        <f ca="1">IFERROR(__xludf.DUMMYFUNCTION("""COMPUTED_VALUE"""),"| 1 P JAVA % | 3 L CPT @ | 4 L JAVA @ ")</f>
        <v xml:space="preserve">| 1 P JAVA % | 3 L CPT @ | 4 L JAVA @ </v>
      </c>
      <c r="BW538" s="4" t="str">
        <f ca="1">IFERROR(__xludf.DUMMYFUNCTION("""COMPUTED_VALUE"""),"| 1 P PHP-CGM % | 3 L JAVA % | 4 L NS % ")</f>
        <v xml:space="preserve">| 1 P PHP-CGM % | 3 L JAVA % | 4 L NS % </v>
      </c>
      <c r="BX538" s="4" t="str">
        <f ca="1">IFERROR(__xludf.DUMMYFUNCTION("""COMPUTED_VALUE"""),"| 1 P Python @ | 3 L PHP-CGM @ | 4 L NS @ | 5 P JAVA @ ")</f>
        <v xml:space="preserve">| 1 P Python @ | 3 L PHP-CGM @ | 4 L NS @ | 5 P JAVA @ </v>
      </c>
      <c r="BY538" s="4" t="str">
        <f ca="1">IFERROR(__xludf.DUMMYFUNCTION("""COMPUTED_VALUE"""),"| 1 P Python % | 3 L CPT % | 4 L PHP-CGM % | 5 P NS @ ")</f>
        <v xml:space="preserve">| 1 P Python % | 3 L CPT % | 4 L PHP-CGM % | 5 P NS @ </v>
      </c>
      <c r="BZ538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CA538" s="4" t="str">
        <f ca="1">IFERROR(__xludf.DUMMYFUNCTION("""COMPUTED_VALUE"""),"| 1 P JAVA % | 3 L CPT % | 4 L JAVA % | 5 L INE % ")</f>
        <v xml:space="preserve">| 1 P JAVA % | 3 L CPT % | 4 L JAVA % | 5 L INE % </v>
      </c>
      <c r="CB538" s="4" t="str">
        <f ca="1">IFERROR(__xludf.DUMMYFUNCTION("""COMPUTED_VALUE"""),"| 1 P PHP-CGM % | 3 L JAVA % | 4 L NS % | 5 P PRO % ")</f>
        <v xml:space="preserve">| 1 P PHP-CGM % | 3 L JAVA % | 4 L NS % | 5 P PRO % </v>
      </c>
      <c r="CC538" s="4" t="str">
        <f ca="1">IFERROR(__xludf.DUMMYFUNCTION("""COMPUTED_VALUE"""),"| 1 P Python % | 3 L PHP-CGM @ | 4 L NS @ | 5 P JAVA @ ")</f>
        <v xml:space="preserve">| 1 P Python % | 3 L PHP-CGM @ | 4 L NS @ | 5 P JAVA @ </v>
      </c>
      <c r="CD538" s="4" t="str">
        <f ca="1">IFERROR(__xludf.DUMMYFUNCTION("""COMPUTED_VALUE"""),"| 1 P Python % | 3 L CPT % | 4 L PHP-CGM % | 5 P NS % ")</f>
        <v xml:space="preserve">| 1 P Python % | 3 L CPT % | 4 L PHP-CGM % | 5 P NS % </v>
      </c>
      <c r="CE538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CF538" s="4" t="str">
        <f ca="1">IFERROR(__xludf.DUMMYFUNCTION("""COMPUTED_VALUE"""),"| 1 P JAVA % | 3 L CPT % | 4 L JAVA % | 5 L INE @ ")</f>
        <v xml:space="preserve">| 1 P JAVA % | 3 L CPT % | 4 L JAVA % | 5 L INE @ </v>
      </c>
      <c r="CG538" s="4" t="str">
        <f ca="1">IFERROR(__xludf.DUMMYFUNCTION("""COMPUTED_VALUE"""),"| 1 P PHP-CGM % | 4 L NS % ")</f>
        <v xml:space="preserve">| 1 P PHP-CGM % | 4 L NS % </v>
      </c>
      <c r="CH538" s="4" t="str">
        <f ca="1">IFERROR(__xludf.DUMMYFUNCTION("""COMPUTED_VALUE"""),"| 3 L PHP-CGM @ | 4 L NS @ ")</f>
        <v xml:space="preserve">| 3 L PHP-CGM @ | 4 L NS @ </v>
      </c>
      <c r="CI538" s="4" t="str">
        <f ca="1">IFERROR(__xludf.DUMMYFUNCTION("""COMPUTED_VALUE"""),"| 1 P Python % | 5 P NS % ")</f>
        <v xml:space="preserve">| 1 P Python % | 5 P NS % </v>
      </c>
      <c r="CJ538" s="4" t="str">
        <f ca="1">IFERROR(__xludf.DUMMYFUNCTION("""COMPUTED_VALUE"""),"| 4 L JAVA % | 1 P CPT % ")</f>
        <v xml:space="preserve">| 4 L JAVA % | 1 P CPT % </v>
      </c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</row>
    <row r="539" spans="1:102" ht="12.5" x14ac:dyDescent="0.25">
      <c r="A539" s="3">
        <f ca="1">IFERROR(__xludf.DUMMYFUNCTION("""COMPUTED_VALUE"""),3)</f>
        <v>3</v>
      </c>
      <c r="B539" s="3" t="str">
        <f ca="1">IFERROR(__xludf.DUMMYFUNCTION("""COMPUTED_VALUE"""),"ITC")</f>
        <v>ITC</v>
      </c>
      <c r="C539" s="32" t="str">
        <f ca="1">IFERROR(__xludf.DUMMYFUNCTION("""COMPUTED_VALUE"""),"23171371137")</f>
        <v>23171371137</v>
      </c>
      <c r="D539" s="4" t="str">
        <f ca="1">IFERROR(__xludf.DUMMYFUNCTION("""COMPUTED_VALUE"""),"PUJARA KUNJ NIKULBHAI")</f>
        <v>PUJARA KUNJ NIKULBHAI</v>
      </c>
      <c r="E539" s="3" t="str">
        <f ca="1">IFERROR(__xludf.DUMMYFUNCTION("""COMPUTED_VALUE"""),"SDP&amp;KKP - Mor")</f>
        <v>SDP&amp;KKP - Mor</v>
      </c>
      <c r="F539" s="3">
        <f ca="1">IFERROR(__xludf.DUMMYFUNCTION("""COMPUTED_VALUE"""),8758112699)</f>
        <v>8758112699</v>
      </c>
      <c r="G539" s="3">
        <f ca="1">IFERROR(__xludf.DUMMYFUNCTION("""COMPUTED_VALUE"""),9726209592)</f>
        <v>9726209592</v>
      </c>
      <c r="H539" s="33">
        <f ca="1">IFERROR(__xludf.DUMMYFUNCTION("""COMPUTED_VALUE"""),0.620408163265306)</f>
        <v>0.62040816326530601</v>
      </c>
      <c r="I539" s="25">
        <f ca="1">IFERROR(__xludf.DUMMYFUNCTION("""COMPUTED_VALUE"""),0.555555555555555)</f>
        <v>0.55555555555555503</v>
      </c>
      <c r="J539" s="25">
        <f ca="1">IFERROR(__xludf.DUMMYFUNCTION("""COMPUTED_VALUE"""),0.75)</f>
        <v>0.75</v>
      </c>
      <c r="K539" s="25">
        <f ca="1">IFERROR(__xludf.DUMMYFUNCTION("""COMPUTED_VALUE"""),0.527777777777777)</f>
        <v>0.52777777777777701</v>
      </c>
      <c r="L539" s="25">
        <f ca="1">IFERROR(__xludf.DUMMYFUNCTION("""COMPUTED_VALUE"""),0.538461538461538)</f>
        <v>0.53846153846153799</v>
      </c>
      <c r="M539" s="25">
        <f ca="1">IFERROR(__xludf.DUMMYFUNCTION("""COMPUTED_VALUE"""),0.625)</f>
        <v>0.625</v>
      </c>
      <c r="N539" s="25">
        <f ca="1">IFERROR(__xludf.DUMMYFUNCTION("""COMPUTED_VALUE"""),0.769230769230769)</f>
        <v>0.76923076923076905</v>
      </c>
      <c r="O539" s="25">
        <f ca="1">IFERROR(__xludf.DUMMYFUNCTION("""COMPUTED_VALUE"""),0.621621621621621)</f>
        <v>0.62162162162162105</v>
      </c>
      <c r="P539" s="25">
        <f ca="1">IFERROR(__xludf.DUMMYFUNCTION("""COMPUTED_VALUE"""),0.64)</f>
        <v>0.64</v>
      </c>
      <c r="Q539" s="25">
        <f ca="1">IFERROR(__xludf.DUMMYFUNCTION("""COMPUTED_VALUE"""),0)</f>
        <v>0</v>
      </c>
      <c r="R539" s="25">
        <f ca="1">IFERROR(__xludf.DUMMYFUNCTION("""COMPUTED_VALUE"""),0.782608695652174)</f>
        <v>0.78260869565217395</v>
      </c>
      <c r="S539" s="25">
        <f ca="1">IFERROR(__xludf.DUMMYFUNCTION("""COMPUTED_VALUE"""),0)</f>
        <v>0</v>
      </c>
      <c r="T539" s="25">
        <f ca="1">IFERROR(__xludf.DUMMYFUNCTION("""COMPUTED_VALUE"""),0.6)</f>
        <v>0.6</v>
      </c>
      <c r="U539" s="25">
        <f ca="1">IFERROR(__xludf.DUMMYFUNCTION("""COMPUTED_VALUE"""),0.5)</f>
        <v>0.5</v>
      </c>
      <c r="V539" s="25">
        <f ca="1">IFERROR(__xludf.DUMMYFUNCTION("""COMPUTED_VALUE"""),0)</f>
        <v>0</v>
      </c>
      <c r="W539" s="4"/>
      <c r="X539" s="4" t="str">
        <f ca="1">IFERROR(__xludf.DUMMYFUNCTION("""COMPUTED_VALUE"""),"| 1 P JAVA % | 3 L CPT % | 4 L JAVA % ")</f>
        <v xml:space="preserve">| 1 P JAVA % | 3 L CPT % | 4 L JAVA % </v>
      </c>
      <c r="Y539" s="4" t="str">
        <f ca="1">IFERROR(__xludf.DUMMYFUNCTION("""COMPUTED_VALUE"""),"| 1 P PHP-CGM % | 3 L JAVA % | 4 L NS % | 5 P PRO % ")</f>
        <v xml:space="preserve">| 1 P PHP-CGM % | 3 L JAVA % | 4 L NS % | 5 P PRO % </v>
      </c>
      <c r="Z539" s="4" t="str">
        <f ca="1">IFERROR(__xludf.DUMMYFUNCTION("""COMPUTED_VALUE"""),"| 1 P Python % | 3 L PHP-CGM % | 4 L NS % | 5 P JAVA % ")</f>
        <v xml:space="preserve">| 1 P Python % | 3 L PHP-CGM % | 4 L NS % | 5 P JAVA % </v>
      </c>
      <c r="AA539" s="4" t="str">
        <f ca="1">IFERROR(__xludf.DUMMYFUNCTION("""COMPUTED_VALUE"""),"| 1 P Python @ | 3 L CPT @ | 5 P NS @ ")</f>
        <v xml:space="preserve">| 1 P Python @ | 3 L CPT @ | 5 P NS @ </v>
      </c>
      <c r="AB539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C539" s="4" t="str">
        <f ca="1">IFERROR(__xludf.DUMMYFUNCTION("""COMPUTED_VALUE"""),"| 1 P JAVA % | 3 L CPT % | 4 L JAVA % ")</f>
        <v xml:space="preserve">| 1 P JAVA % | 3 L CPT % | 4 L JAVA % </v>
      </c>
      <c r="AD539" s="4" t="str">
        <f ca="1">IFERROR(__xludf.DUMMYFUNCTION("""COMPUTED_VALUE"""),"| 1 P PHP-CGM % | 3 L JAVA % | 4 L NS % | 5 P PRO @ ")</f>
        <v xml:space="preserve">| 1 P PHP-CGM % | 3 L JAVA % | 4 L NS % | 5 P PRO @ </v>
      </c>
      <c r="AE539" s="4" t="str">
        <f ca="1">IFERROR(__xludf.DUMMYFUNCTION("""COMPUTED_VALUE"""),"| 1 P Python % | 3 L PHP-CGM % | 4 L NS % | 5 P JAVA @ ")</f>
        <v xml:space="preserve">| 1 P Python % | 3 L PHP-CGM % | 4 L NS % | 5 P JAVA @ </v>
      </c>
      <c r="AF539" s="4" t="str">
        <f ca="1">IFERROR(__xludf.DUMMYFUNCTION("""COMPUTED_VALUE"""),"| 1 P Python % | 3 L CPT % | 4 L PHP-CGM % | 5 P NS @ ")</f>
        <v xml:space="preserve">| 1 P Python % | 3 L CPT % | 4 L PHP-CGM % | 5 P NS @ </v>
      </c>
      <c r="AG539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39" s="4" t="str">
        <f ca="1">IFERROR(__xludf.DUMMYFUNCTION("""COMPUTED_VALUE"""),"| 1 P Python % | 3 L CPT % | 4 L PHP-CGM % | 5 P NS % ")</f>
        <v xml:space="preserve">| 1 P Python % | 3 L CPT % | 4 L PHP-CGM % | 5 P NS % </v>
      </c>
      <c r="AI539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J539" s="4" t="str">
        <f ca="1">IFERROR(__xludf.DUMMYFUNCTION("""COMPUTED_VALUE"""),"| 1 P JAVA % | 3 L CPT % | 4 L JAVA % ")</f>
        <v xml:space="preserve">| 1 P JAVA % | 3 L CPT % | 4 L JAVA % </v>
      </c>
      <c r="AK539" s="4" t="str">
        <f ca="1">IFERROR(__xludf.DUMMYFUNCTION("""COMPUTED_VALUE"""),"| 1 P PHP-CGM % | 4 L NS % | 3 L JAVA % | 5 P PRO % ")</f>
        <v xml:space="preserve">| 1 P PHP-CGM % | 4 L NS % | 3 L JAVA % | 5 P PRO % </v>
      </c>
      <c r="AL539" s="4" t="str">
        <f ca="1">IFERROR(__xludf.DUMMYFUNCTION("""COMPUTED_VALUE"""),"| 1 P Python @ | 3 L PHP-CGM @ | 4 L NS @ | 5 P JAVA @ ")</f>
        <v xml:space="preserve">| 1 P Python @ | 3 L PHP-CGM @ | 4 L NS @ | 5 P JAVA @ </v>
      </c>
      <c r="AM539" s="4" t="str">
        <f ca="1">IFERROR(__xludf.DUMMYFUNCTION("""COMPUTED_VALUE"""),"| 1 P Python % | 3 L CPT % | 4 L PHP-CGM % | 5 P NS @ ")</f>
        <v xml:space="preserve">| 1 P Python % | 3 L CPT % | 4 L PHP-CGM % | 5 P NS @ </v>
      </c>
      <c r="AN539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39" s="4" t="str">
        <f ca="1">IFERROR(__xludf.DUMMYFUNCTION("""COMPUTED_VALUE"""),"| 1 P JAVA @ | 3 L CPT @ | 4 L JAVA @ | 5 L INE @ ")</f>
        <v xml:space="preserve">| 1 P JAVA @ | 3 L CPT @ | 4 L JAVA @ | 5 L INE @ </v>
      </c>
      <c r="AP539" s="4" t="str">
        <f ca="1">IFERROR(__xludf.DUMMYFUNCTION("""COMPUTED_VALUE"""),"| 1 P PHP-CGM % | 3 L JAVA % | 4 L NS % | 5 P PRO % ")</f>
        <v xml:space="preserve">| 1 P PHP-CGM % | 3 L JAVA % | 4 L NS % | 5 P PRO % </v>
      </c>
      <c r="AQ539" s="4" t="str">
        <f ca="1">IFERROR(__xludf.DUMMYFUNCTION("""COMPUTED_VALUE"""),"| 1 P Python @ | 3 L PHP-CGM @ | 4 L NS @ | 5 P JAVA @ ")</f>
        <v xml:space="preserve">| 1 P Python @ | 3 L PHP-CGM @ | 4 L NS @ | 5 P JAVA @ </v>
      </c>
      <c r="AR539" s="4" t="str">
        <f ca="1">IFERROR(__xludf.DUMMYFUNCTION("""COMPUTED_VALUE"""),"| 1 P Python % | 3 L CPT % | 5 P NS % ")</f>
        <v xml:space="preserve">| 1 P Python % | 3 L CPT % | 5 P NS % </v>
      </c>
      <c r="AS539" s="4" t="str">
        <f ca="1">IFERROR(__xludf.DUMMYFUNCTION("""COMPUTED_VALUE"""),"| 1 P JAVA % | 3 L CPT % | 4 L JAVA % | 5 L INE % ")</f>
        <v xml:space="preserve">| 1 P JAVA % | 3 L CPT % | 4 L JAVA % | 5 L INE % </v>
      </c>
      <c r="AT539" s="4" t="str">
        <f ca="1">IFERROR(__xludf.DUMMYFUNCTION("""COMPUTED_VALUE"""),"| 1 P PHP-CGM @ | 3 L JAVA @ | 1 P JAVA @ | 4 L NS @ | 5 P PRO @ ")</f>
        <v xml:space="preserve">| 1 P PHP-CGM @ | 3 L JAVA @ | 1 P JAVA @ | 4 L NS @ | 5 P PRO @ </v>
      </c>
      <c r="AU539" s="4" t="str">
        <f ca="1">IFERROR(__xludf.DUMMYFUNCTION("""COMPUTED_VALUE"""),"| 1 P Python % | 3 L PHP-CGM % | 4 L NS % | 5 P JAVA % ")</f>
        <v xml:space="preserve">| 1 P Python % | 3 L PHP-CGM % | 4 L NS % | 5 P JAVA % </v>
      </c>
      <c r="AV539" s="4" t="str">
        <f ca="1">IFERROR(__xludf.DUMMYFUNCTION("""COMPUTED_VALUE"""),"| 1 P Python % | 3 L CPT % | 4 L PHP-CGM % | 5 P NS % ")</f>
        <v xml:space="preserve">| 1 P Python % | 3 L CPT % | 4 L PHP-CGM % | 5 P NS % </v>
      </c>
      <c r="AW539" s="4" t="str">
        <f ca="1">IFERROR(__xludf.DUMMYFUNCTION("""COMPUTED_VALUE"""),"| 1 P CPT % | 3 L PHP-CGM % | 4 L JAVA % | 5 L NS @ | 5 L CPT @ ")</f>
        <v xml:space="preserve">| 1 P CPT % | 3 L PHP-CGM % | 4 L JAVA % | 5 L NS @ | 5 L CPT @ </v>
      </c>
      <c r="AX539" s="4" t="str">
        <f ca="1">IFERROR(__xludf.DUMMYFUNCTION("""COMPUTED_VALUE"""),"| 1 P JAVA % | 3 L CPT % | 4 L JAVA % | 5 L INE @ ")</f>
        <v xml:space="preserve">| 1 P JAVA % | 3 L CPT % | 4 L JAVA % | 5 L INE @ </v>
      </c>
      <c r="AY539" s="4" t="str">
        <f ca="1">IFERROR(__xludf.DUMMYFUNCTION("""COMPUTED_VALUE"""),"| 1 P PHP-CGM % | 3 L JAVA % | 4 L NS % | 5 P PRO % ")</f>
        <v xml:space="preserve">| 1 P PHP-CGM % | 3 L JAVA % | 4 L NS % | 5 P PRO % </v>
      </c>
      <c r="AZ539" s="4" t="str">
        <f ca="1">IFERROR(__xludf.DUMMYFUNCTION("""COMPUTED_VALUE"""),"| 1 P Python % | 3 L CPT % | 4 L PHP-CGM % | 5 P NS @ ")</f>
        <v xml:space="preserve">| 1 P Python % | 3 L CPT % | 4 L PHP-CGM % | 5 P NS @ </v>
      </c>
      <c r="BA539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B539" s="4" t="str">
        <f ca="1">IFERROR(__xludf.DUMMYFUNCTION("""COMPUTED_VALUE"""),"| 1 P JAVA % | 3 L CPT % | 4 L JAVA % | 5 L INE @ ")</f>
        <v xml:space="preserve">| 1 P JAVA % | 3 L CPT % | 4 L JAVA % | 5 L INE @ </v>
      </c>
      <c r="BC539" s="4" t="str">
        <f ca="1">IFERROR(__xludf.DUMMYFUNCTION("""COMPUTED_VALUE"""),"| 1 P PHP-CGM % | 3 L JAVA % | 4 L NS % | 5 P PRO % ")</f>
        <v xml:space="preserve">| 1 P PHP-CGM % | 3 L JAVA % | 4 L NS % | 5 P PRO % </v>
      </c>
      <c r="BD539" s="4" t="str">
        <f ca="1">IFERROR(__xludf.DUMMYFUNCTION("""COMPUTED_VALUE"""),"| 1 P Python % | 4 L NS %  | 3 L PHP-CGM % | 5 P JAVA % ")</f>
        <v xml:space="preserve">| 1 P Python % | 4 L NS %  | 3 L PHP-CGM % | 5 P JAVA % </v>
      </c>
      <c r="BE539" s="4" t="str">
        <f ca="1">IFERROR(__xludf.DUMMYFUNCTION("""COMPUTED_VALUE"""),"| 1 P Python % | 3 L CPT % | 4 L PHP-CGM % | 5 P NS % ")</f>
        <v xml:space="preserve">| 1 P Python % | 3 L CPT % | 4 L PHP-CGM % | 5 P NS % </v>
      </c>
      <c r="BF539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G539" s="4" t="str">
        <f ca="1">IFERROR(__xludf.DUMMYFUNCTION("""COMPUTED_VALUE"""),"| 1 P PHP-CGM @ | 3 L JAVA @ | 4 L NS @ | 5 P PRO @ ")</f>
        <v xml:space="preserve">| 1 P PHP-CGM @ | 3 L JAVA @ | 4 L NS @ | 5 P PRO @ </v>
      </c>
      <c r="BH539" s="4" t="str">
        <f ca="1">IFERROR(__xludf.DUMMYFUNCTION("""COMPUTED_VALUE"""),"| 1 P Python % | 3 L PHP-CGM % | 4 L NS % | 5 P JAVA @ ")</f>
        <v xml:space="preserve">| 1 P Python % | 3 L PHP-CGM % | 4 L NS % | 5 P JAVA @ </v>
      </c>
      <c r="BI539" s="4" t="str">
        <f ca="1">IFERROR(__xludf.DUMMYFUNCTION("""COMPUTED_VALUE"""),"| 1 P Python % | 3 L CPT % | 4 L PHP-CGM % | 5 P NS % ")</f>
        <v xml:space="preserve">| 1 P Python % | 3 L CPT % | 4 L PHP-CGM % | 5 P NS % </v>
      </c>
      <c r="BJ539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K539" s="4" t="str">
        <f ca="1">IFERROR(__xludf.DUMMYFUNCTION("""COMPUTED_VALUE"""),"| 1 P JAVA % | 3 L CPT % | 4 L JAVA % | 5 L INE % ")</f>
        <v xml:space="preserve">| 1 P JAVA % | 3 L CPT % | 4 L JAVA % | 5 L INE % </v>
      </c>
      <c r="BL539" s="4" t="str">
        <f ca="1">IFERROR(__xludf.DUMMYFUNCTION("""COMPUTED_VALUE"""),"| 1 P PHP-CGM @ | 3 L JAVA @ | 4 L NS @ | 5 P PRO @ ")</f>
        <v xml:space="preserve">| 1 P PHP-CGM @ | 3 L JAVA @ | 4 L NS @ | 5 P PRO @ </v>
      </c>
      <c r="BM539" s="4" t="str">
        <f ca="1">IFERROR(__xludf.DUMMYFUNCTION("""COMPUTED_VALUE"""),"| 1 P Python % | 3 L PHP-CGM % | 4 L NS % | 5 P JAVA @ ")</f>
        <v xml:space="preserve">| 1 P Python % | 3 L PHP-CGM % | 4 L NS % | 5 P JAVA @ </v>
      </c>
      <c r="BN539" s="4" t="str">
        <f ca="1">IFERROR(__xludf.DUMMYFUNCTION("""COMPUTED_VALUE"""),"| 1 P Python @ | 3 L CPT @ | 4 L PHP-CGM @ | 5 P NS @ ")</f>
        <v xml:space="preserve">| 1 P Python @ | 3 L CPT @ | 4 L PHP-CGM @ | 5 P NS @ </v>
      </c>
      <c r="BO539" s="4" t="str">
        <f ca="1">IFERROR(__xludf.DUMMYFUNCTION("""COMPUTED_VALUE"""),"| 1 P CPT % | 3 L PHP-CGM @ | 4 L JAVA @ | 5 L NS @ | 6 L CPT % ")</f>
        <v xml:space="preserve">| 1 P CPT % | 3 L PHP-CGM @ | 4 L JAVA @ | 5 L NS @ | 6 L CPT % </v>
      </c>
      <c r="BP539" s="4" t="str">
        <f ca="1">IFERROR(__xludf.DUMMYFUNCTION("""COMPUTED_VALUE"""),"| 1 P JAVA % | 3 L CPT % | 4 L JAVA % | 5 L INE % ")</f>
        <v xml:space="preserve">| 1 P JAVA % | 3 L CPT % | 4 L JAVA % | 5 L INE % </v>
      </c>
      <c r="BQ539" s="4" t="str">
        <f ca="1">IFERROR(__xludf.DUMMYFUNCTION("""COMPUTED_VALUE"""),"| 4 L NS % | 5 P JAVA % ")</f>
        <v xml:space="preserve">| 4 L NS % | 5 P JAVA % </v>
      </c>
      <c r="BR539" s="4"/>
      <c r="BS539" s="4"/>
      <c r="BT539" s="4" t="str">
        <f ca="1">IFERROR(__xludf.DUMMYFUNCTION("""COMPUTED_VALUE"""),"| 1 P JAVA @ | 3 L CPT @ | 4 L JAVA @ ")</f>
        <v xml:space="preserve">| 1 P JAVA @ | 3 L CPT @ | 4 L JAVA @ </v>
      </c>
      <c r="BU539" s="4" t="str">
        <f ca="1">IFERROR(__xludf.DUMMYFUNCTION("""COMPUTED_VALUE"""),"| 1 P PHP-CGM % | 4 L NS % | 3 L JAVA % ")</f>
        <v xml:space="preserve">| 1 P PHP-CGM % | 4 L NS % | 3 L JAVA % </v>
      </c>
      <c r="BV539" s="4" t="str">
        <f ca="1">IFERROR(__xludf.DUMMYFUNCTION("""COMPUTED_VALUE"""),"| 1 P JAVA % | 3 L CPT @ | 4 L JAVA @ ")</f>
        <v xml:space="preserve">| 1 P JAVA % | 3 L CPT @ | 4 L JAVA @ </v>
      </c>
      <c r="BW539" s="4" t="str">
        <f ca="1">IFERROR(__xludf.DUMMYFUNCTION("""COMPUTED_VALUE"""),"| 1 P PHP-CGM % | 3 L JAVA % | 4 L NS % ")</f>
        <v xml:space="preserve">| 1 P PHP-CGM % | 3 L JAVA % | 4 L NS % </v>
      </c>
      <c r="BX539" s="4" t="str">
        <f ca="1">IFERROR(__xludf.DUMMYFUNCTION("""COMPUTED_VALUE"""),"| 1 P Python % | 3 L PHP-CGM % | 4 L NS % | 5 P JAVA % ")</f>
        <v xml:space="preserve">| 1 P Python % | 3 L PHP-CGM % | 4 L NS % | 5 P JAVA % </v>
      </c>
      <c r="BY539" s="4" t="str">
        <f ca="1">IFERROR(__xludf.DUMMYFUNCTION("""COMPUTED_VALUE"""),"| 1 P Python % | 3 L CPT @ | 4 L PHP-CGM @ | 5 P NS @ ")</f>
        <v xml:space="preserve">| 1 P Python % | 3 L CPT @ | 4 L PHP-CGM @ | 5 P NS @ </v>
      </c>
      <c r="BZ539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CA539" s="4" t="str">
        <f ca="1">IFERROR(__xludf.DUMMYFUNCTION("""COMPUTED_VALUE"""),"| 1 P JAVA % | 3 L CPT @ | 4 L JAVA % | 5 L INE % ")</f>
        <v xml:space="preserve">| 1 P JAVA % | 3 L CPT @ | 4 L JAVA % | 5 L INE % </v>
      </c>
      <c r="CB539" s="4" t="str">
        <f ca="1">IFERROR(__xludf.DUMMYFUNCTION("""COMPUTED_VALUE"""),"| 1 P PHP-CGM % | 3 L JAVA @ | 4 L NS @ | 5 P PRO % ")</f>
        <v xml:space="preserve">| 1 P PHP-CGM % | 3 L JAVA @ | 4 L NS @ | 5 P PRO % </v>
      </c>
      <c r="CC539" s="4" t="str">
        <f ca="1">IFERROR(__xludf.DUMMYFUNCTION("""COMPUTED_VALUE"""),"| 1 P Python @ | 3 L PHP-CGM @ | 4 L NS @ | 5 P JAVA @ ")</f>
        <v xml:space="preserve">| 1 P Python @ | 3 L PHP-CGM @ | 4 L NS @ | 5 P JAVA @ </v>
      </c>
      <c r="CD539" s="4" t="str">
        <f ca="1">IFERROR(__xludf.DUMMYFUNCTION("""COMPUTED_VALUE"""),"| 1 P Python % | 3 L CPT % | 4 L PHP-CGM % | 5 P NS % ")</f>
        <v xml:space="preserve">| 1 P Python % | 3 L CPT % | 4 L PHP-CGM % | 5 P NS % </v>
      </c>
      <c r="CE539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39" s="4" t="str">
        <f ca="1">IFERROR(__xludf.DUMMYFUNCTION("""COMPUTED_VALUE"""),"| 1 P JAVA % | 3 L CPT @ | 4 L JAVA @ | 5 L INE @ ")</f>
        <v xml:space="preserve">| 1 P JAVA % | 3 L CPT @ | 4 L JAVA @ | 5 L INE @ </v>
      </c>
      <c r="CG539" s="4" t="str">
        <f ca="1">IFERROR(__xludf.DUMMYFUNCTION("""COMPUTED_VALUE"""),"| 1 P PHP-CGM % | 4 L NS % ")</f>
        <v xml:space="preserve">| 1 P PHP-CGM % | 4 L NS % </v>
      </c>
      <c r="CH539" s="4" t="str">
        <f ca="1">IFERROR(__xludf.DUMMYFUNCTION("""COMPUTED_VALUE"""),"| 3 L PHP-CGM @ | 4 L NS @ ")</f>
        <v xml:space="preserve">| 3 L PHP-CGM @ | 4 L NS @ </v>
      </c>
      <c r="CI539" s="4" t="str">
        <f ca="1">IFERROR(__xludf.DUMMYFUNCTION("""COMPUTED_VALUE"""),"| 1 P Python % | 5 P NS % ")</f>
        <v xml:space="preserve">| 1 P Python % | 5 P NS % </v>
      </c>
      <c r="CJ539" s="4" t="str">
        <f ca="1">IFERROR(__xludf.DUMMYFUNCTION("""COMPUTED_VALUE"""),"| 4 L JAVA % | 1 P CPT % ")</f>
        <v xml:space="preserve">| 4 L JAVA % | 1 P CPT % </v>
      </c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</row>
    <row r="540" spans="1:102" ht="12.5" x14ac:dyDescent="0.25">
      <c r="A540" s="3">
        <f ca="1">IFERROR(__xludf.DUMMYFUNCTION("""COMPUTED_VALUE"""),3)</f>
        <v>3</v>
      </c>
      <c r="B540" s="3" t="str">
        <f ca="1">IFERROR(__xludf.DUMMYFUNCTION("""COMPUTED_VALUE"""),"ITC")</f>
        <v>ITC</v>
      </c>
      <c r="C540" s="32" t="str">
        <f ca="1">IFERROR(__xludf.DUMMYFUNCTION("""COMPUTED_VALUE"""),"23171371138")</f>
        <v>23171371138</v>
      </c>
      <c r="D540" s="4" t="str">
        <f ca="1">IFERROR(__xludf.DUMMYFUNCTION("""COMPUTED_VALUE"""),"RABARI PRAKASHKUMAR GAJAJI")</f>
        <v>RABARI PRAKASHKUMAR GAJAJI</v>
      </c>
      <c r="E540" s="3" t="str">
        <f ca="1">IFERROR(__xludf.DUMMYFUNCTION("""COMPUTED_VALUE"""),"SDP&amp;KKP - Mor")</f>
        <v>SDP&amp;KKP - Mor</v>
      </c>
      <c r="F540" s="3">
        <f ca="1">IFERROR(__xludf.DUMMYFUNCTION("""COMPUTED_VALUE"""),9426213436)</f>
        <v>9426213436</v>
      </c>
      <c r="G540" s="3">
        <f ca="1">IFERROR(__xludf.DUMMYFUNCTION("""COMPUTED_VALUE"""),9687130486)</f>
        <v>9687130486</v>
      </c>
      <c r="H540" s="33">
        <f ca="1">IFERROR(__xludf.DUMMYFUNCTION("""COMPUTED_VALUE"""),0.277551020408163)</f>
        <v>0.27755102040816299</v>
      </c>
      <c r="I540" s="25">
        <f ca="1">IFERROR(__xludf.DUMMYFUNCTION("""COMPUTED_VALUE"""),0.222222222222222)</f>
        <v>0.22222222222222199</v>
      </c>
      <c r="J540" s="25">
        <f ca="1">IFERROR(__xludf.DUMMYFUNCTION("""COMPUTED_VALUE"""),0.166666666666666)</f>
        <v>0.16666666666666599</v>
      </c>
      <c r="K540" s="25">
        <f ca="1">IFERROR(__xludf.DUMMYFUNCTION("""COMPUTED_VALUE"""),0.277777777777777)</f>
        <v>0.27777777777777701</v>
      </c>
      <c r="L540" s="25">
        <f ca="1">IFERROR(__xludf.DUMMYFUNCTION("""COMPUTED_VALUE"""),0.461538461538461)</f>
        <v>0.46153846153846101</v>
      </c>
      <c r="M540" s="25">
        <f ca="1">IFERROR(__xludf.DUMMYFUNCTION("""COMPUTED_VALUE"""),0.3125)</f>
        <v>0.3125</v>
      </c>
      <c r="N540" s="25">
        <f ca="1">IFERROR(__xludf.DUMMYFUNCTION("""COMPUTED_VALUE"""),0.307692307692307)</f>
        <v>0.30769230769230699</v>
      </c>
      <c r="O540" s="25">
        <f ca="1">IFERROR(__xludf.DUMMYFUNCTION("""COMPUTED_VALUE"""),0.189189189189189)</f>
        <v>0.18918918918918901</v>
      </c>
      <c r="P540" s="25">
        <f ca="1">IFERROR(__xludf.DUMMYFUNCTION("""COMPUTED_VALUE"""),0.36)</f>
        <v>0.36</v>
      </c>
      <c r="Q540" s="25">
        <f ca="1">IFERROR(__xludf.DUMMYFUNCTION("""COMPUTED_VALUE"""),0)</f>
        <v>0</v>
      </c>
      <c r="R540" s="25">
        <f ca="1">IFERROR(__xludf.DUMMYFUNCTION("""COMPUTED_VALUE"""),0.434782608695652)</f>
        <v>0.434782608695652</v>
      </c>
      <c r="S540" s="25">
        <f ca="1">IFERROR(__xludf.DUMMYFUNCTION("""COMPUTED_VALUE"""),0)</f>
        <v>0</v>
      </c>
      <c r="T540" s="25">
        <f ca="1">IFERROR(__xludf.DUMMYFUNCTION("""COMPUTED_VALUE"""),0.1)</f>
        <v>0.1</v>
      </c>
      <c r="U540" s="25">
        <f ca="1">IFERROR(__xludf.DUMMYFUNCTION("""COMPUTED_VALUE"""),0.125)</f>
        <v>0.125</v>
      </c>
      <c r="V540" s="25">
        <f ca="1">IFERROR(__xludf.DUMMYFUNCTION("""COMPUTED_VALUE"""),0)</f>
        <v>0</v>
      </c>
      <c r="W540" s="4"/>
      <c r="X540" s="4" t="str">
        <f ca="1">IFERROR(__xludf.DUMMYFUNCTION("""COMPUTED_VALUE"""),"| 1 P JAVA @ | 3 L CPT @ | 4 L JAVA @ ")</f>
        <v xml:space="preserve">| 1 P JAVA @ | 3 L CPT @ | 4 L JAVA @ </v>
      </c>
      <c r="Y540" s="4" t="str">
        <f ca="1">IFERROR(__xludf.DUMMYFUNCTION("""COMPUTED_VALUE"""),"| 1 P PHP-CGM @ | 3 L JAVA @ | 4 L NS @ | 5 P PRO @ ")</f>
        <v xml:space="preserve">| 1 P PHP-CGM @ | 3 L JAVA @ | 4 L NS @ | 5 P PRO @ </v>
      </c>
      <c r="Z540" s="4" t="str">
        <f ca="1">IFERROR(__xludf.DUMMYFUNCTION("""COMPUTED_VALUE"""),"| 1 P Python % | 3 L PHP-CGM % | 4 L NS % | 5 P JAVA % ")</f>
        <v xml:space="preserve">| 1 P Python % | 3 L PHP-CGM % | 4 L NS % | 5 P JAVA % </v>
      </c>
      <c r="AA540" s="4" t="str">
        <f ca="1">IFERROR(__xludf.DUMMYFUNCTION("""COMPUTED_VALUE"""),"| 1 P Python @ | 3 L CPT @ | 5 P NS @ ")</f>
        <v xml:space="preserve">| 1 P Python @ | 3 L CPT @ | 5 P NS @ </v>
      </c>
      <c r="AB540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C540" s="4" t="str">
        <f ca="1">IFERROR(__xludf.DUMMYFUNCTION("""COMPUTED_VALUE"""),"| 1 P JAVA @ | 3 L CPT % | 4 L JAVA @ ")</f>
        <v xml:space="preserve">| 1 P JAVA @ | 3 L CPT % | 4 L JAVA @ </v>
      </c>
      <c r="AD540" s="4" t="str">
        <f ca="1">IFERROR(__xludf.DUMMYFUNCTION("""COMPUTED_VALUE"""),"| 1 P PHP-CGM % | 3 L JAVA % | 4 L NS % | 5 P PRO % ")</f>
        <v xml:space="preserve">| 1 P PHP-CGM % | 3 L JAVA % | 4 L NS % | 5 P PRO % </v>
      </c>
      <c r="AE540" s="4" t="str">
        <f ca="1">IFERROR(__xludf.DUMMYFUNCTION("""COMPUTED_VALUE"""),"| 1 P Python % | 3 L PHP-CGM % | 4 L NS % | 5 P JAVA % ")</f>
        <v xml:space="preserve">| 1 P Python % | 3 L PHP-CGM % | 4 L NS % | 5 P JAVA % </v>
      </c>
      <c r="AF540" s="4" t="str">
        <f ca="1">IFERROR(__xludf.DUMMYFUNCTION("""COMPUTED_VALUE"""),"| 1 P Python % | 3 L CPT % | 4 L PHP-CGM % | 5 P NS % ")</f>
        <v xml:space="preserve">| 1 P Python % | 3 L CPT % | 4 L PHP-CGM % | 5 P NS % </v>
      </c>
      <c r="AG540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40" s="4" t="str">
        <f ca="1">IFERROR(__xludf.DUMMYFUNCTION("""COMPUTED_VALUE"""),"| 1 P Python % | 3 L CPT % | 4 L PHP-CGM % | 5 P NS % ")</f>
        <v xml:space="preserve">| 1 P Python % | 3 L CPT % | 4 L PHP-CGM % | 5 P NS % </v>
      </c>
      <c r="AI540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J540" s="4" t="str">
        <f ca="1">IFERROR(__xludf.DUMMYFUNCTION("""COMPUTED_VALUE"""),"| 1 P JAVA % | 3 L CPT % | 4 L JAVA % ")</f>
        <v xml:space="preserve">| 1 P JAVA % | 3 L CPT % | 4 L JAVA % </v>
      </c>
      <c r="AK540" s="4" t="str">
        <f ca="1">IFERROR(__xludf.DUMMYFUNCTION("""COMPUTED_VALUE"""),"| 1 P PHP-CGM % | 4 L NS % | 3 L JAVA % | 5 P PRO @ ")</f>
        <v xml:space="preserve">| 1 P PHP-CGM % | 4 L NS % | 3 L JAVA % | 5 P PRO @ </v>
      </c>
      <c r="AL540" s="4" t="str">
        <f ca="1">IFERROR(__xludf.DUMMYFUNCTION("""COMPUTED_VALUE"""),"| 1 P Python % | 3 L PHP-CGM % | 4 L NS % | 5 P JAVA % ")</f>
        <v xml:space="preserve">| 1 P Python % | 3 L PHP-CGM % | 4 L NS % | 5 P JAVA % </v>
      </c>
      <c r="AM540" s="4" t="str">
        <f ca="1">IFERROR(__xludf.DUMMYFUNCTION("""COMPUTED_VALUE"""),"| 1 P Python % | 3 L CPT % | 4 L PHP-CGM % | 5 P NS % ")</f>
        <v xml:space="preserve">| 1 P Python % | 3 L CPT % | 4 L PHP-CGM % | 5 P NS % </v>
      </c>
      <c r="AN540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O540" s="4" t="str">
        <f ca="1">IFERROR(__xludf.DUMMYFUNCTION("""COMPUTED_VALUE"""),"| 1 P JAVA @ | 3 L CPT @ | 4 L JAVA @ | 5 L INE @ ")</f>
        <v xml:space="preserve">| 1 P JAVA @ | 3 L CPT @ | 4 L JAVA @ | 5 L INE @ </v>
      </c>
      <c r="AP540" s="4" t="str">
        <f ca="1">IFERROR(__xludf.DUMMYFUNCTION("""COMPUTED_VALUE"""),"| 1 P PHP-CGM @ | 3 L JAVA @ | 4 L NS @ | 5 P PRO @ ")</f>
        <v xml:space="preserve">| 1 P PHP-CGM @ | 3 L JAVA @ | 4 L NS @ | 5 P PRO @ </v>
      </c>
      <c r="AQ540" s="4" t="str">
        <f ca="1">IFERROR(__xludf.DUMMYFUNCTION("""COMPUTED_VALUE"""),"| 1 P Python @ | 3 L PHP-CGM @ | 4 L NS @ | 5 P JAVA @ ")</f>
        <v xml:space="preserve">| 1 P Python @ | 3 L PHP-CGM @ | 4 L NS @ | 5 P JAVA @ </v>
      </c>
      <c r="AR540" s="4" t="str">
        <f ca="1">IFERROR(__xludf.DUMMYFUNCTION("""COMPUTED_VALUE"""),"| 1 P Python @ | 3 L CPT @ | 5 P NS @ ")</f>
        <v xml:space="preserve">| 1 P Python @ | 3 L CPT @ | 5 P NS @ </v>
      </c>
      <c r="AS540" s="4" t="str">
        <f ca="1">IFERROR(__xludf.DUMMYFUNCTION("""COMPUTED_VALUE"""),"| 1 P JAVA @ | 3 L CPT @ | 4 L JAVA @ | 5 L INE @ ")</f>
        <v xml:space="preserve">| 1 P JAVA @ | 3 L CPT @ | 4 L JAVA @ | 5 L INE @ </v>
      </c>
      <c r="AT540" s="4" t="str">
        <f ca="1">IFERROR(__xludf.DUMMYFUNCTION("""COMPUTED_VALUE"""),"| 1 P PHP-CGM @ | 3 L JAVA @ | 1 P JAVA @ | 4 L NS @ | 5 P PRO @ ")</f>
        <v xml:space="preserve">| 1 P PHP-CGM @ | 3 L JAVA @ | 1 P JAVA @ | 4 L NS @ | 5 P PRO @ </v>
      </c>
      <c r="AU540" s="4" t="str">
        <f ca="1">IFERROR(__xludf.DUMMYFUNCTION("""COMPUTED_VALUE"""),"| 1 P Python @ | 3 L PHP-CGM @ | 4 L NS % | 5 P JAVA @ ")</f>
        <v xml:space="preserve">| 1 P Python @ | 3 L PHP-CGM @ | 4 L NS % | 5 P JAVA @ </v>
      </c>
      <c r="AV540" s="4" t="str">
        <f ca="1">IFERROR(__xludf.DUMMYFUNCTION("""COMPUTED_VALUE"""),"| 1 P Python @ | 3 L CPT @ | 4 L PHP-CGM @ | 5 P NS @ ")</f>
        <v xml:space="preserve">| 1 P Python @ | 3 L CPT @ | 4 L PHP-CGM @ | 5 P NS @ </v>
      </c>
      <c r="AW540" s="4" t="str">
        <f ca="1">IFERROR(__xludf.DUMMYFUNCTION("""COMPUTED_VALUE"""),"| 1 P CPT @ | 3 L PHP-CGM @ | 4 L JAVA @ | 5 L NS @ | 5 L CPT @ ")</f>
        <v xml:space="preserve">| 1 P CPT @ | 3 L PHP-CGM @ | 4 L JAVA @ | 5 L NS @ | 5 L CPT @ </v>
      </c>
      <c r="AX540" s="4" t="str">
        <f ca="1">IFERROR(__xludf.DUMMYFUNCTION("""COMPUTED_VALUE"""),"| 1 P JAVA @ | 3 L CPT @ | 4 L JAVA @ | 5 L INE @ ")</f>
        <v xml:space="preserve">| 1 P JAVA @ | 3 L CPT @ | 4 L JAVA @ | 5 L INE @ </v>
      </c>
      <c r="AY540" s="4" t="str">
        <f ca="1">IFERROR(__xludf.DUMMYFUNCTION("""COMPUTED_VALUE"""),"| 1 P PHP-CGM @ | 3 L JAVA @ | 4 L NS @ | 5 P PRO @ ")</f>
        <v xml:space="preserve">| 1 P PHP-CGM @ | 3 L JAVA @ | 4 L NS @ | 5 P PRO @ </v>
      </c>
      <c r="AZ540" s="4" t="str">
        <f ca="1">IFERROR(__xludf.DUMMYFUNCTION("""COMPUTED_VALUE"""),"| 1 P Python @ | 3 L CPT @ | 4 L PHP-CGM @ | 5 P NS @ ")</f>
        <v xml:space="preserve">| 1 P Python @ | 3 L CPT @ | 4 L PHP-CGM @ | 5 P NS @ </v>
      </c>
      <c r="BA54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B540" s="4" t="str">
        <f ca="1">IFERROR(__xludf.DUMMYFUNCTION("""COMPUTED_VALUE"""),"| 1 P JAVA @ | 3 L CPT @ | 4 L JAVA @ | 5 L INE @ ")</f>
        <v xml:space="preserve">| 1 P JAVA @ | 3 L CPT @ | 4 L JAVA @ | 5 L INE @ </v>
      </c>
      <c r="BC540" s="4" t="str">
        <f ca="1">IFERROR(__xludf.DUMMYFUNCTION("""COMPUTED_VALUE"""),"| 1 P PHP-CGM @ | 3 L JAVA @ | 4 L NS @ | 5 P PRO @ ")</f>
        <v xml:space="preserve">| 1 P PHP-CGM @ | 3 L JAVA @ | 4 L NS @ | 5 P PRO @ </v>
      </c>
      <c r="BD540" s="4" t="str">
        <f ca="1">IFERROR(__xludf.DUMMYFUNCTION("""COMPUTED_VALUE"""),"| 1 P Python % | 4 L NS %  | 3 L PHP-CGM % | 5 P JAVA % ")</f>
        <v xml:space="preserve">| 1 P Python % | 4 L NS %  | 3 L PHP-CGM % | 5 P JAVA % </v>
      </c>
      <c r="BE540" s="4" t="str">
        <f ca="1">IFERROR(__xludf.DUMMYFUNCTION("""COMPUTED_VALUE"""),"| 1 P Python % | 3 L CPT % | 4 L PHP-CGM % | 5 P NS % ")</f>
        <v xml:space="preserve">| 1 P Python % | 3 L CPT % | 4 L PHP-CGM % | 5 P NS % </v>
      </c>
      <c r="BF54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40" s="4" t="str">
        <f ca="1">IFERROR(__xludf.DUMMYFUNCTION("""COMPUTED_VALUE"""),"| 1 P PHP-CGM @ | 3 L JAVA @ | 4 L NS @ | 5 P PRO @ ")</f>
        <v xml:space="preserve">| 1 P PHP-CGM @ | 3 L JAVA @ | 4 L NS @ | 5 P PRO @ </v>
      </c>
      <c r="BH540" s="4" t="str">
        <f ca="1">IFERROR(__xludf.DUMMYFUNCTION("""COMPUTED_VALUE"""),"| 1 P Python @ | 3 L PHP-CGM @ | 4 L NS @ | 5 P JAVA @ ")</f>
        <v xml:space="preserve">| 1 P Python @ | 3 L PHP-CGM @ | 4 L NS @ | 5 P JAVA @ </v>
      </c>
      <c r="BI540" s="4" t="str">
        <f ca="1">IFERROR(__xludf.DUMMYFUNCTION("""COMPUTED_VALUE"""),"| 1 P Python @ | 3 L CPT @ | 4 L PHP-CGM @ | 5 P NS @ ")</f>
        <v xml:space="preserve">| 1 P Python @ | 3 L CPT @ | 4 L PHP-CGM @ | 5 P NS @ </v>
      </c>
      <c r="BJ54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K540" s="4" t="str">
        <f ca="1">IFERROR(__xludf.DUMMYFUNCTION("""COMPUTED_VALUE"""),"| 1 P JAVA @ | 3 L CPT @ | 4 L JAVA @ | 5 L INE @ ")</f>
        <v xml:space="preserve">| 1 P JAVA @ | 3 L CPT @ | 4 L JAVA @ | 5 L INE @ </v>
      </c>
      <c r="BL540" s="4" t="str">
        <f ca="1">IFERROR(__xludf.DUMMYFUNCTION("""COMPUTED_VALUE"""),"| 1 P PHP-CGM @ | 3 L JAVA @ | 4 L NS % | 5 P PRO @ ")</f>
        <v xml:space="preserve">| 1 P PHP-CGM @ | 3 L JAVA @ | 4 L NS % | 5 P PRO @ </v>
      </c>
      <c r="BM540" s="4" t="str">
        <f ca="1">IFERROR(__xludf.DUMMYFUNCTION("""COMPUTED_VALUE"""),"| 1 P Python @ | 3 L PHP-CGM @ | 4 L NS @ | 5 P JAVA @ ")</f>
        <v xml:space="preserve">| 1 P Python @ | 3 L PHP-CGM @ | 4 L NS @ | 5 P JAVA @ </v>
      </c>
      <c r="BN540" s="4" t="str">
        <f ca="1">IFERROR(__xludf.DUMMYFUNCTION("""COMPUTED_VALUE"""),"| 1 P Python @ | 3 L CPT @ | 4 L PHP-CGM @ | 5 P NS @ ")</f>
        <v xml:space="preserve">| 1 P Python @ | 3 L CPT @ | 4 L PHP-CGM @ | 5 P NS @ </v>
      </c>
      <c r="BO540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40" s="4" t="str">
        <f ca="1">IFERROR(__xludf.DUMMYFUNCTION("""COMPUTED_VALUE"""),"| 1 P JAVA @ | 3 L CPT @ | 4 L JAVA @ | 5 L INE @ ")</f>
        <v xml:space="preserve">| 1 P JAVA @ | 3 L CPT @ | 4 L JAVA @ | 5 L INE @ </v>
      </c>
      <c r="BQ540" s="4" t="str">
        <f ca="1">IFERROR(__xludf.DUMMYFUNCTION("""COMPUTED_VALUE"""),"| 4 L NS @ | 5 P JAVA % ")</f>
        <v xml:space="preserve">| 4 L NS @ | 5 P JAVA % </v>
      </c>
      <c r="BR540" s="4"/>
      <c r="BS540" s="4"/>
      <c r="BT540" s="4" t="str">
        <f ca="1">IFERROR(__xludf.DUMMYFUNCTION("""COMPUTED_VALUE"""),"| 1 P JAVA @ | 3 L CPT @ | 4 L JAVA @ ")</f>
        <v xml:space="preserve">| 1 P JAVA @ | 3 L CPT @ | 4 L JAVA @ </v>
      </c>
      <c r="BU540" s="4" t="str">
        <f ca="1">IFERROR(__xludf.DUMMYFUNCTION("""COMPUTED_VALUE"""),"| 1 P PHP-CGM @ | 4 L NS @ | 3 L JAVA @ ")</f>
        <v xml:space="preserve">| 1 P PHP-CGM @ | 4 L NS @ | 3 L JAVA @ </v>
      </c>
      <c r="BV540" s="4" t="str">
        <f ca="1">IFERROR(__xludf.DUMMYFUNCTION("""COMPUTED_VALUE"""),"| 1 P JAVA @ | 3 L CPT @ | 4 L JAVA @ ")</f>
        <v xml:space="preserve">| 1 P JAVA @ | 3 L CPT @ | 4 L JAVA @ </v>
      </c>
      <c r="BW540" s="4" t="str">
        <f ca="1">IFERROR(__xludf.DUMMYFUNCTION("""COMPUTED_VALUE"""),"| 1 P PHP-CGM @ | 3 L JAVA @ | 4 L NS @ ")</f>
        <v xml:space="preserve">| 1 P PHP-CGM @ | 3 L JAVA @ | 4 L NS @ </v>
      </c>
      <c r="BX540" s="4" t="str">
        <f ca="1">IFERROR(__xludf.DUMMYFUNCTION("""COMPUTED_VALUE"""),"| 1 P Python @ | 3 L PHP-CGM @ | 4 L NS @ | 5 P JAVA @ ")</f>
        <v xml:space="preserve">| 1 P Python @ | 3 L PHP-CGM @ | 4 L NS @ | 5 P JAVA @ </v>
      </c>
      <c r="BY540" s="4" t="str">
        <f ca="1">IFERROR(__xludf.DUMMYFUNCTION("""COMPUTED_VALUE"""),"| 1 P Python @ | 3 L CPT @ | 4 L PHP-CGM @ | 5 P NS @ ")</f>
        <v xml:space="preserve">| 1 P Python @ | 3 L CPT @ | 4 L PHP-CGM @ | 5 P NS @ </v>
      </c>
      <c r="BZ54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40" s="4" t="str">
        <f ca="1">IFERROR(__xludf.DUMMYFUNCTION("""COMPUTED_VALUE"""),"| 1 P JAVA % | 3 L CPT % | 4 L JAVA % | 5 L INE % ")</f>
        <v xml:space="preserve">| 1 P JAVA % | 3 L CPT % | 4 L JAVA % | 5 L INE % </v>
      </c>
      <c r="CB540" s="4" t="str">
        <f ca="1">IFERROR(__xludf.DUMMYFUNCTION("""COMPUTED_VALUE"""),"| 1 P PHP-CGM % | 3 L JAVA % | 4 L NS % | 5 P PRO @ ")</f>
        <v xml:space="preserve">| 1 P PHP-CGM % | 3 L JAVA % | 4 L NS % | 5 P PRO @ </v>
      </c>
      <c r="CC540" s="4" t="str">
        <f ca="1">IFERROR(__xludf.DUMMYFUNCTION("""COMPUTED_VALUE"""),"| 1 P Python % | 3 L PHP-CGM % | 4 L NS % | 5 P JAVA % ")</f>
        <v xml:space="preserve">| 1 P Python % | 3 L PHP-CGM % | 4 L NS % | 5 P JAVA % </v>
      </c>
      <c r="CD540" s="4" t="str">
        <f ca="1">IFERROR(__xludf.DUMMYFUNCTION("""COMPUTED_VALUE"""),"| 1 P Python % | 3 L CPT @ | 4 L PHP-CGM @ | 5 P NS % ")</f>
        <v xml:space="preserve">| 1 P Python % | 3 L CPT @ | 4 L PHP-CGM @ | 5 P NS % </v>
      </c>
      <c r="CE540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40" s="4" t="str">
        <f ca="1">IFERROR(__xludf.DUMMYFUNCTION("""COMPUTED_VALUE"""),"| 1 P JAVA % | 3 L CPT @ | 4 L JAVA @ | 5 L INE @ ")</f>
        <v xml:space="preserve">| 1 P JAVA % | 3 L CPT @ | 4 L JAVA @ | 5 L INE @ </v>
      </c>
      <c r="CG540" s="4" t="str">
        <f ca="1">IFERROR(__xludf.DUMMYFUNCTION("""COMPUTED_VALUE"""),"| 1 P PHP-CGM % | 4 L NS @ ")</f>
        <v xml:space="preserve">| 1 P PHP-CGM % | 4 L NS @ </v>
      </c>
      <c r="CH540" s="4" t="str">
        <f ca="1">IFERROR(__xludf.DUMMYFUNCTION("""COMPUTED_VALUE"""),"| 3 L PHP-CGM @ | 4 L NS @ ")</f>
        <v xml:space="preserve">| 3 L PHP-CGM @ | 4 L NS @ </v>
      </c>
      <c r="CI540" s="4" t="str">
        <f ca="1">IFERROR(__xludf.DUMMYFUNCTION("""COMPUTED_VALUE"""),"| 1 P Python @ | 5 P NS % ")</f>
        <v xml:space="preserve">| 1 P Python @ | 5 P NS % </v>
      </c>
      <c r="CJ540" s="4" t="str">
        <f ca="1">IFERROR(__xludf.DUMMYFUNCTION("""COMPUTED_VALUE"""),"| 4 L JAVA % | 1 P CPT % ")</f>
        <v xml:space="preserve">| 4 L JAVA % | 1 P CPT % </v>
      </c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</row>
    <row r="541" spans="1:102" ht="12.5" x14ac:dyDescent="0.25">
      <c r="A541" s="3">
        <f ca="1">IFERROR(__xludf.DUMMYFUNCTION("""COMPUTED_VALUE"""),3)</f>
        <v>3</v>
      </c>
      <c r="B541" s="3" t="str">
        <f ca="1">IFERROR(__xludf.DUMMYFUNCTION("""COMPUTED_VALUE"""),"ITC")</f>
        <v>ITC</v>
      </c>
      <c r="C541" s="32" t="str">
        <f ca="1">IFERROR(__xludf.DUMMYFUNCTION("""COMPUTED_VALUE"""),"23171371139")</f>
        <v>23171371139</v>
      </c>
      <c r="D541" s="4" t="str">
        <f ca="1">IFERROR(__xludf.DUMMYFUNCTION("""COMPUTED_VALUE"""),"RATHOD JAYRAJSINH FULCHANDSINH")</f>
        <v>RATHOD JAYRAJSINH FULCHANDSINH</v>
      </c>
      <c r="E541" s="3" t="str">
        <f ca="1">IFERROR(__xludf.DUMMYFUNCTION("""COMPUTED_VALUE"""),"SDP&amp;KKP - Mor")</f>
        <v>SDP&amp;KKP - Mor</v>
      </c>
      <c r="F541" s="3">
        <f ca="1">IFERROR(__xludf.DUMMYFUNCTION("""COMPUTED_VALUE"""),9377777476)</f>
        <v>9377777476</v>
      </c>
      <c r="G541" s="3">
        <f ca="1">IFERROR(__xludf.DUMMYFUNCTION("""COMPUTED_VALUE"""),9998119119)</f>
        <v>9998119119</v>
      </c>
      <c r="H541" s="33">
        <f ca="1">IFERROR(__xludf.DUMMYFUNCTION("""COMPUTED_VALUE"""),0.220408163265306)</f>
        <v>0.22040816326530599</v>
      </c>
      <c r="I541" s="25">
        <f ca="1">IFERROR(__xludf.DUMMYFUNCTION("""COMPUTED_VALUE"""),0.305555555555555)</f>
        <v>0.30555555555555503</v>
      </c>
      <c r="J541" s="25">
        <f ca="1">IFERROR(__xludf.DUMMYFUNCTION("""COMPUTED_VALUE"""),0)</f>
        <v>0</v>
      </c>
      <c r="K541" s="25">
        <f ca="1">IFERROR(__xludf.DUMMYFUNCTION("""COMPUTED_VALUE"""),0.222222222222222)</f>
        <v>0.22222222222222199</v>
      </c>
      <c r="L541" s="25">
        <f ca="1">IFERROR(__xludf.DUMMYFUNCTION("""COMPUTED_VALUE"""),0.428571428571428)</f>
        <v>0.42857142857142799</v>
      </c>
      <c r="M541" s="25">
        <f ca="1">IFERROR(__xludf.DUMMYFUNCTION("""COMPUTED_VALUE"""),0.40625)</f>
        <v>0.40625</v>
      </c>
      <c r="N541" s="25">
        <f ca="1">IFERROR(__xludf.DUMMYFUNCTION("""COMPUTED_VALUE"""),0)</f>
        <v>0</v>
      </c>
      <c r="O541" s="25">
        <f ca="1">IFERROR(__xludf.DUMMYFUNCTION("""COMPUTED_VALUE"""),0.351351351351351)</f>
        <v>0.35135135135135098</v>
      </c>
      <c r="P541" s="25">
        <f ca="1">IFERROR(__xludf.DUMMYFUNCTION("""COMPUTED_VALUE"""),0.08)</f>
        <v>0.08</v>
      </c>
      <c r="Q541" s="25">
        <f ca="1">IFERROR(__xludf.DUMMYFUNCTION("""COMPUTED_VALUE"""),0)</f>
        <v>0</v>
      </c>
      <c r="R541" s="25">
        <f ca="1">IFERROR(__xludf.DUMMYFUNCTION("""COMPUTED_VALUE"""),0.0454545454545454)</f>
        <v>4.54545454545454E-2</v>
      </c>
      <c r="S541" s="25">
        <f ca="1">IFERROR(__xludf.DUMMYFUNCTION("""COMPUTED_VALUE"""),0)</f>
        <v>0</v>
      </c>
      <c r="T541" s="25">
        <f ca="1">IFERROR(__xludf.DUMMYFUNCTION("""COMPUTED_VALUE"""),0)</f>
        <v>0</v>
      </c>
      <c r="U541" s="25">
        <f ca="1">IFERROR(__xludf.DUMMYFUNCTION("""COMPUTED_VALUE"""),0)</f>
        <v>0</v>
      </c>
      <c r="V541" s="25">
        <f ca="1">IFERROR(__xludf.DUMMYFUNCTION("""COMPUTED_VALUE"""),0)</f>
        <v>0</v>
      </c>
      <c r="W541" s="4"/>
      <c r="X541" s="4" t="str">
        <f ca="1">IFERROR(__xludf.DUMMYFUNCTION("""COMPUTED_VALUE"""),"| 1 P Python % | 3 L CPT % | 4 L JAVA % ")</f>
        <v xml:space="preserve">| 1 P Python % | 3 L CPT % | 4 L JAVA % </v>
      </c>
      <c r="Y541" s="4" t="str">
        <f ca="1">IFERROR(__xludf.DUMMYFUNCTION("""COMPUTED_VALUE"""),"| 1 P JAVA @ | 3 L JAVA % | 4 L NS % | 5 P PRO @ ")</f>
        <v xml:space="preserve">| 1 P JAVA @ | 3 L JAVA % | 4 L NS % | 5 P PRO @ </v>
      </c>
      <c r="Z541" s="4" t="str">
        <f ca="1">IFERROR(__xludf.DUMMYFUNCTION("""COMPUTED_VALUE"""),"| 1 P JAVA @ | 3 L PHP-CGM % | 4 L NS % | 5 P CPT @ ")</f>
        <v xml:space="preserve">| 1 P JAVA @ | 3 L PHP-CGM % | 4 L NS % | 5 P CPT @ </v>
      </c>
      <c r="AA541" s="4" t="str">
        <f ca="1">IFERROR(__xludf.DUMMYFUNCTION("""COMPUTED_VALUE"""),"| 1 P NS % | 3 L CPT % | 5 P NS @ ")</f>
        <v xml:space="preserve">| 1 P NS % | 3 L CPT % | 5 P NS @ </v>
      </c>
      <c r="AB541" s="4" t="str">
        <f ca="1">IFERROR(__xludf.DUMMYFUNCTION("""COMPUTED_VALUE"""),"| 1 P CPT @ | 3 L PHP-CGM % | 4 L JAVA % | 5 L CPT @ | 6 L NS % ")</f>
        <v xml:space="preserve">| 1 P CPT @ | 3 L PHP-CGM % | 4 L JAVA % | 5 L CPT @ | 6 L NS % </v>
      </c>
      <c r="AC541" s="4" t="str">
        <f ca="1">IFERROR(__xludf.DUMMYFUNCTION("""COMPUTED_VALUE"""),"| 1 P JAVA @ | 3 L CPT % | 4 L JAVA % ")</f>
        <v xml:space="preserve">| 1 P JAVA @ | 3 L CPT % | 4 L JAVA % </v>
      </c>
      <c r="AD541" s="4" t="str">
        <f ca="1">IFERROR(__xludf.DUMMYFUNCTION("""COMPUTED_VALUE"""),"| 1 P PHP-CGM @ | 3 L JAVA @ | 4 L NS @ | 5 P PRO @ ")</f>
        <v xml:space="preserve">| 1 P PHP-CGM @ | 3 L JAVA @ | 4 L NS @ | 5 P PRO @ </v>
      </c>
      <c r="AE541" s="4" t="str">
        <f ca="1">IFERROR(__xludf.DUMMYFUNCTION("""COMPUTED_VALUE"""),"| 1 P Python @ | 3 L PHP-CGM % | 4 L NS % | 5 P JAVA % ")</f>
        <v xml:space="preserve">| 1 P Python @ | 3 L PHP-CGM % | 4 L NS % | 5 P JAVA % </v>
      </c>
      <c r="AF541" s="4" t="str">
        <f ca="1">IFERROR(__xludf.DUMMYFUNCTION("""COMPUTED_VALUE"""),"| 1 P Python @ | 3 L CPT % | 4 L PHP-CGM % | 5 P NS @ ")</f>
        <v xml:space="preserve">| 1 P Python @ | 3 L CPT % | 4 L PHP-CGM % | 5 P NS @ </v>
      </c>
      <c r="AG541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41" s="4" t="str">
        <f ca="1">IFERROR(__xludf.DUMMYFUNCTION("""COMPUTED_VALUE"""),"| 1 P Python @ | 3 L CPT % | 4 L PHP-CGM % | 5 P NS % ")</f>
        <v xml:space="preserve">| 1 P Python @ | 3 L CPT % | 4 L PHP-CGM % | 5 P NS % </v>
      </c>
      <c r="AI541" s="4" t="str">
        <f ca="1">IFERROR(__xludf.DUMMYFUNCTION("""COMPUTED_VALUE"""),"| 1 P CPT @ | 3 L PHP-CGM @ | 4 L JAVA % | 5 L CPT % | 6 L NS % ")</f>
        <v xml:space="preserve">| 1 P CPT @ | 3 L PHP-CGM @ | 4 L JAVA % | 5 L CPT % | 6 L NS % </v>
      </c>
      <c r="AJ541" s="4" t="str">
        <f ca="1">IFERROR(__xludf.DUMMYFUNCTION("""COMPUTED_VALUE"""),"| 1 P JAVA @ | 3 L CPT @ | 4 L JAVA % ")</f>
        <v xml:space="preserve">| 1 P JAVA @ | 3 L CPT @ | 4 L JAVA % </v>
      </c>
      <c r="AK541" s="4" t="str">
        <f ca="1">IFERROR(__xludf.DUMMYFUNCTION("""COMPUTED_VALUE"""),"| 1 P PHP-CGM @ | 4 L NS @ | 3 L JAVA @ | 5 P PRO @ ")</f>
        <v xml:space="preserve">| 1 P PHP-CGM @ | 4 L NS @ | 3 L JAVA @ | 5 P PRO @ </v>
      </c>
      <c r="AL541" s="4" t="str">
        <f ca="1">IFERROR(__xludf.DUMMYFUNCTION("""COMPUTED_VALUE"""),"| 1 P Python @ | 3 L PHP-CGM @ | 4 L NS @ | 5 P JAVA @ ")</f>
        <v xml:space="preserve">| 1 P Python @ | 3 L PHP-CGM @ | 4 L NS @ | 5 P JAVA @ </v>
      </c>
      <c r="AM541" s="4" t="str">
        <f ca="1">IFERROR(__xludf.DUMMYFUNCTION("""COMPUTED_VALUE"""),"| 1 P Python @ | 3 L CPT @ | 4 L PHP-CGM @ | 5 P NS @ ")</f>
        <v xml:space="preserve">| 1 P Python @ | 3 L CPT @ | 4 L PHP-CGM @ | 5 P NS @ </v>
      </c>
      <c r="AN541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41" s="4" t="str">
        <f ca="1">IFERROR(__xludf.DUMMYFUNCTION("""COMPUTED_VALUE"""),"| 1 P JAVA @ | 3 L CPT @ | 4 L JAVA @ | 5 L INE @ ")</f>
        <v xml:space="preserve">| 1 P JAVA @ | 3 L CPT @ | 4 L JAVA @ | 5 L INE @ </v>
      </c>
      <c r="AP541" s="4" t="str">
        <f ca="1">IFERROR(__xludf.DUMMYFUNCTION("""COMPUTED_VALUE"""),"| 1 P PHP-CGM @ | 3 L JAVA % | 4 L NS @ | 5 P PRO @ ")</f>
        <v xml:space="preserve">| 1 P PHP-CGM @ | 3 L JAVA % | 4 L NS @ | 5 P PRO @ </v>
      </c>
      <c r="AQ541" s="4" t="str">
        <f ca="1">IFERROR(__xludf.DUMMYFUNCTION("""COMPUTED_VALUE"""),"| 1 P Python @ | 3 L PHP-CGM % | 4 L NS % | 5 P JAVA @ ")</f>
        <v xml:space="preserve">| 1 P Python @ | 3 L PHP-CGM % | 4 L NS % | 5 P JAVA @ </v>
      </c>
      <c r="AR541" s="4" t="str">
        <f ca="1">IFERROR(__xludf.DUMMYFUNCTION("""COMPUTED_VALUE"""),"| 1 P Python @ | 3 L CPT @ | 5 P NS @ ")</f>
        <v xml:space="preserve">| 1 P Python @ | 3 L CPT @ | 5 P NS @ </v>
      </c>
      <c r="AS541" s="4" t="str">
        <f ca="1">IFERROR(__xludf.DUMMYFUNCTION("""COMPUTED_VALUE"""),"| 1 P JAVA @ | 3 L CPT % | 4 L JAVA % | 5 L INE @ ")</f>
        <v xml:space="preserve">| 1 P JAVA @ | 3 L CPT % | 4 L JAVA % | 5 L INE @ </v>
      </c>
      <c r="AT541" s="4" t="str">
        <f ca="1">IFERROR(__xludf.DUMMYFUNCTION("""COMPUTED_VALUE"""),"| 1 P PHP-CGM @ | 3 L JAVA % | 1 P JAVA @ | 4 L NS % | 5 P PRO @ ")</f>
        <v xml:space="preserve">| 1 P PHP-CGM @ | 3 L JAVA % | 1 P JAVA @ | 4 L NS % | 5 P PRO @ </v>
      </c>
      <c r="AU541" s="4" t="str">
        <f ca="1">IFERROR(__xludf.DUMMYFUNCTION("""COMPUTED_VALUE"""),"| 1 P Python @ | 3 L PHP-CGM @ | 4 L NS @ | 5 P JAVA @ ")</f>
        <v xml:space="preserve">| 1 P Python @ | 3 L PHP-CGM @ | 4 L NS @ | 5 P JAVA @ </v>
      </c>
      <c r="AV541" s="4" t="str">
        <f ca="1">IFERROR(__xludf.DUMMYFUNCTION("""COMPUTED_VALUE"""),"| 1 P Python @ | 3 L CPT @ | 4 L PHP-CGM @ | 5 P NS @ ")</f>
        <v xml:space="preserve">| 1 P Python @ | 3 L CPT @ | 4 L PHP-CGM @ | 5 P NS @ </v>
      </c>
      <c r="AW541" s="4" t="str">
        <f ca="1">IFERROR(__xludf.DUMMYFUNCTION("""COMPUTED_VALUE"""),"| 1 P CPT @ | 3 L PHP-CGM % | 4 L JAVA % | 5 L NS @ | 5 L CPT @ ")</f>
        <v xml:space="preserve">| 1 P CPT @ | 3 L PHP-CGM % | 4 L JAVA % | 5 L NS @ | 5 L CPT @ </v>
      </c>
      <c r="AX541" s="4" t="str">
        <f ca="1">IFERROR(__xludf.DUMMYFUNCTION("""COMPUTED_VALUE"""),"| 1 P JAVA @ | 3 L CPT @ | 4 L JAVA @ | 5 L INE @ ")</f>
        <v xml:space="preserve">| 1 P JAVA @ | 3 L CPT @ | 4 L JAVA @ | 5 L INE @ </v>
      </c>
      <c r="AY541" s="4" t="str">
        <f ca="1">IFERROR(__xludf.DUMMYFUNCTION("""COMPUTED_VALUE"""),"| 1 P PHP-CGM @ | 3 L JAVA @ | 4 L NS @ | 5 P PRO @ ")</f>
        <v xml:space="preserve">| 1 P PHP-CGM @ | 3 L JAVA @ | 4 L NS @ | 5 P PRO @ </v>
      </c>
      <c r="AZ541" s="4" t="str">
        <f ca="1">IFERROR(__xludf.DUMMYFUNCTION("""COMPUTED_VALUE"""),"| 1 P Python @ | 3 L CPT @ | 4 L PHP-CGM @ | 5 P NS @ ")</f>
        <v xml:space="preserve">| 1 P Python @ | 3 L CPT @ | 4 L PHP-CGM @ | 5 P NS @ </v>
      </c>
      <c r="BA541" s="4" t="str">
        <f ca="1">IFERROR(__xludf.DUMMYFUNCTION("""COMPUTED_VALUE"""),"| 1 P CPT @ | 3 L PHP-CGM % | 4 L JAVA % | 5 L NS @ | 6 L CPT @ ")</f>
        <v xml:space="preserve">| 1 P CPT @ | 3 L PHP-CGM % | 4 L JAVA % | 5 L NS @ | 6 L CPT @ </v>
      </c>
      <c r="BB541" s="4" t="str">
        <f ca="1">IFERROR(__xludf.DUMMYFUNCTION("""COMPUTED_VALUE"""),"| 1 P JAVA @ | 3 L CPT @ | 4 L JAVA @ | 5 L INE @ ")</f>
        <v xml:space="preserve">| 1 P JAVA @ | 3 L CPT @ | 4 L JAVA @ | 5 L INE @ </v>
      </c>
      <c r="BC541" s="4" t="str">
        <f ca="1">IFERROR(__xludf.DUMMYFUNCTION("""COMPUTED_VALUE"""),"| 1 P PHP-CGM @ | 3 L JAVA @ | 4 L NS @ | 5 P PRO @ ")</f>
        <v xml:space="preserve">| 1 P PHP-CGM @ | 3 L JAVA @ | 4 L NS @ | 5 P PRO @ </v>
      </c>
      <c r="BD541" s="4" t="str">
        <f ca="1">IFERROR(__xludf.DUMMYFUNCTION("""COMPUTED_VALUE"""),"| 1 P Python @ | 4 L NS @  | 3 L PHP-CGM @ | 5 P JAVA @ ")</f>
        <v xml:space="preserve">| 1 P Python @ | 4 L NS @  | 3 L PHP-CGM @ | 5 P JAVA @ </v>
      </c>
      <c r="BE541" s="4" t="str">
        <f ca="1">IFERROR(__xludf.DUMMYFUNCTION("""COMPUTED_VALUE"""),"| 1 P Python @ | 3 L CPT % | 4 L PHP-CGM % | 5 P NS % ")</f>
        <v xml:space="preserve">| 1 P Python @ | 3 L CPT % | 4 L PHP-CGM % | 5 P NS % </v>
      </c>
      <c r="BF541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41" s="4" t="str">
        <f ca="1">IFERROR(__xludf.DUMMYFUNCTION("""COMPUTED_VALUE"""),"| 1 P PHP-CGM @ | 3 L JAVA @ | 4 L NS @ | 5 P PRO @ ")</f>
        <v xml:space="preserve">| 1 P PHP-CGM @ | 3 L JAVA @ | 4 L NS @ | 5 P PRO @ </v>
      </c>
      <c r="BH541" s="4" t="str">
        <f ca="1">IFERROR(__xludf.DUMMYFUNCTION("""COMPUTED_VALUE"""),"| 1 P Python @ | 3 L PHP-CGM % | 4 L NS % | 5 P JAVA @ ")</f>
        <v xml:space="preserve">| 1 P Python @ | 3 L PHP-CGM % | 4 L NS % | 5 P JAVA @ </v>
      </c>
      <c r="BI541" s="4" t="str">
        <f ca="1">IFERROR(__xludf.DUMMYFUNCTION("""COMPUTED_VALUE"""),"| 1 P Python @ | 3 L CPT % | 4 L PHP-CGM % | 5 P NS % ")</f>
        <v xml:space="preserve">| 1 P Python @ | 3 L CPT % | 4 L PHP-CGM % | 5 P NS % </v>
      </c>
      <c r="BJ541" s="4" t="str">
        <f ca="1">IFERROR(__xludf.DUMMYFUNCTION("""COMPUTED_VALUE"""),"| 1 P CPT @ | 3 L PHP-CGM % | 4 L JAVA % | 5 L NS @ | 6 L CPT @ ")</f>
        <v xml:space="preserve">| 1 P CPT @ | 3 L PHP-CGM % | 4 L JAVA % | 5 L NS @ | 6 L CPT @ </v>
      </c>
      <c r="BK541" s="4" t="str">
        <f ca="1">IFERROR(__xludf.DUMMYFUNCTION("""COMPUTED_VALUE"""),"| 1 P JAVA @ | 3 L CPT @ | 4 L JAVA @ | 5 L INE @ ")</f>
        <v xml:space="preserve">| 1 P JAVA @ | 3 L CPT @ | 4 L JAVA @ | 5 L INE @ </v>
      </c>
      <c r="BL541" s="4" t="str">
        <f ca="1">IFERROR(__xludf.DUMMYFUNCTION("""COMPUTED_VALUE"""),"| 1 P PHP-CGM @ | 3 L JAVA @ | 4 L NS @ | 5 P PRO @ ")</f>
        <v xml:space="preserve">| 1 P PHP-CGM @ | 3 L JAVA @ | 4 L NS @ | 5 P PRO @ </v>
      </c>
      <c r="BM541" s="4" t="str">
        <f ca="1">IFERROR(__xludf.DUMMYFUNCTION("""COMPUTED_VALUE"""),"| 1 P Python @ | 3 L PHP-CGM @ | 4 L NS @ | 5 P JAVA @ ")</f>
        <v xml:space="preserve">| 1 P Python @ | 3 L PHP-CGM @ | 4 L NS @ | 5 P JAVA @ </v>
      </c>
      <c r="BN541" s="4" t="str">
        <f ca="1">IFERROR(__xludf.DUMMYFUNCTION("""COMPUTED_VALUE"""),"| 1 P Python @ | 3 L CPT % | 4 L PHP-CGM % | 5 P NS % ")</f>
        <v xml:space="preserve">| 1 P Python @ | 3 L CPT % | 4 L PHP-CGM % | 5 P NS % </v>
      </c>
      <c r="BO541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41" s="4" t="str">
        <f ca="1">IFERROR(__xludf.DUMMYFUNCTION("""COMPUTED_VALUE"""),"| 1 P JAVA @ | 3 L CPT @ | 4 L JAVA @ | 5 L INE @ ")</f>
        <v xml:space="preserve">| 1 P JAVA @ | 3 L CPT @ | 4 L JAVA @ | 5 L INE @ </v>
      </c>
      <c r="BQ541" s="4" t="str">
        <f ca="1">IFERROR(__xludf.DUMMYFUNCTION("""COMPUTED_VALUE"""),"| 4 L NS @ | 5 P JAVA % ")</f>
        <v xml:space="preserve">| 4 L NS @ | 5 P JAVA % </v>
      </c>
      <c r="BR541" s="4"/>
      <c r="BS541" s="4"/>
      <c r="BT541" s="4" t="str">
        <f ca="1">IFERROR(__xludf.DUMMYFUNCTION("""COMPUTED_VALUE"""),"| 1 P JAVA @ | 3 L CPT @ | 4 L JAVA @ ")</f>
        <v xml:space="preserve">| 1 P JAVA @ | 3 L CPT @ | 4 L JAVA @ </v>
      </c>
      <c r="BU541" s="4" t="str">
        <f ca="1">IFERROR(__xludf.DUMMYFUNCTION("""COMPUTED_VALUE"""),"| 1 P PHP-CGM @ | 4 L NS @ | 3 L JAVA @ ")</f>
        <v xml:space="preserve">| 1 P PHP-CGM @ | 4 L NS @ | 3 L JAVA @ </v>
      </c>
      <c r="BV541" s="4" t="str">
        <f ca="1">IFERROR(__xludf.DUMMYFUNCTION("""COMPUTED_VALUE"""),"| 1 P JAVA @ | 3 L CPT @ | 4 L JAVA @ ")</f>
        <v xml:space="preserve">| 1 P JAVA @ | 3 L CPT @ | 4 L JAVA @ </v>
      </c>
      <c r="BW541" s="4" t="str">
        <f ca="1">IFERROR(__xludf.DUMMYFUNCTION("""COMPUTED_VALUE"""),"| 1 P PHP-CGM @ | 3 L JAVA @ | 4 L NS @ ")</f>
        <v xml:space="preserve">| 1 P PHP-CGM @ | 3 L JAVA @ | 4 L NS @ </v>
      </c>
      <c r="BX541" s="4" t="str">
        <f ca="1">IFERROR(__xludf.DUMMYFUNCTION("""COMPUTED_VALUE"""),"| 1 P Python @ | 3 L PHP-CGM @ | 4 L NS @ | 5 P JAVA @ ")</f>
        <v xml:space="preserve">| 1 P Python @ | 3 L PHP-CGM @ | 4 L NS @ | 5 P JAVA @ </v>
      </c>
      <c r="BY541" s="4" t="str">
        <f ca="1">IFERROR(__xludf.DUMMYFUNCTION("""COMPUTED_VALUE"""),"| 1 P Python @ | 3 L CPT @ | 4 L PHP-CGM @ | 5 P NS @ ")</f>
        <v xml:space="preserve">| 1 P Python @ | 3 L CPT @ | 4 L PHP-CGM @ | 5 P NS @ </v>
      </c>
      <c r="BZ541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41" s="4" t="str">
        <f ca="1">IFERROR(__xludf.DUMMYFUNCTION("""COMPUTED_VALUE"""),"| 1 P JAVA @ | 3 L CPT @ | 4 L JAVA @ | 5 L INE @ ")</f>
        <v xml:space="preserve">| 1 P JAVA @ | 3 L CPT @ | 4 L JAVA @ | 5 L INE @ </v>
      </c>
      <c r="CB541" s="4" t="str">
        <f ca="1">IFERROR(__xludf.DUMMYFUNCTION("""COMPUTED_VALUE"""),"| 1 P PHP-CGM @ | 3 L JAVA @ | 4 L NS @ | 5 P PRO @ ")</f>
        <v xml:space="preserve">| 1 P PHP-CGM @ | 3 L JAVA @ | 4 L NS @ | 5 P PRO @ </v>
      </c>
      <c r="CC541" s="4" t="str">
        <f ca="1">IFERROR(__xludf.DUMMYFUNCTION("""COMPUTED_VALUE"""),"| 1 P Python @ | 3 L PHP-CGM @ | 4 L NS @ | 5 P JAVA @ ")</f>
        <v xml:space="preserve">| 1 P Python @ | 3 L PHP-CGM @ | 4 L NS @ | 5 P JAVA @ </v>
      </c>
      <c r="CD541" s="4" t="str">
        <f ca="1">IFERROR(__xludf.DUMMYFUNCTION("""COMPUTED_VALUE"""),"| 1 P Python @ | 3 L CPT @ | 4 L PHP-CGM @ | 5 P NS % ")</f>
        <v xml:space="preserve">| 1 P Python @ | 3 L CPT @ | 4 L PHP-CGM @ | 5 P NS % </v>
      </c>
      <c r="CE541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41" s="4" t="str">
        <f ca="1">IFERROR(__xludf.DUMMYFUNCTION("""COMPUTED_VALUE"""),"| 1 P JAVA @ | 3 L CPT @ | 4 L JAVA @ | 5 L INE @ ")</f>
        <v xml:space="preserve">| 1 P JAVA @ | 3 L CPT @ | 4 L JAVA @ | 5 L INE @ </v>
      </c>
      <c r="CG541" s="4" t="str">
        <f ca="1">IFERROR(__xludf.DUMMYFUNCTION("""COMPUTED_VALUE"""),"| 1 P PHP-CGM @ | 4 L NS @ ")</f>
        <v xml:space="preserve">| 1 P PHP-CGM @ | 4 L NS @ </v>
      </c>
      <c r="CH541" s="4" t="str">
        <f ca="1">IFERROR(__xludf.DUMMYFUNCTION("""COMPUTED_VALUE"""),"| 3 L PHP-CGM @ | 4 L NS @ ")</f>
        <v xml:space="preserve">| 3 L PHP-CGM @ | 4 L NS @ </v>
      </c>
      <c r="CI541" s="4" t="str">
        <f ca="1">IFERROR(__xludf.DUMMYFUNCTION("""COMPUTED_VALUE"""),"| 1 P Python @ | 5 P NS @ ")</f>
        <v xml:space="preserve">| 1 P Python @ | 5 P NS @ </v>
      </c>
      <c r="CJ541" s="4" t="str">
        <f ca="1">IFERROR(__xludf.DUMMYFUNCTION("""COMPUTED_VALUE"""),"| 4 L JAVA % | 1 P CPT @ ")</f>
        <v xml:space="preserve">| 4 L JAVA % | 1 P CPT @ </v>
      </c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</row>
    <row r="542" spans="1:102" ht="12.5" x14ac:dyDescent="0.25">
      <c r="A542" s="3">
        <f ca="1">IFERROR(__xludf.DUMMYFUNCTION("""COMPUTED_VALUE"""),3)</f>
        <v>3</v>
      </c>
      <c r="B542" s="3" t="str">
        <f ca="1">IFERROR(__xludf.DUMMYFUNCTION("""COMPUTED_VALUE"""),"ITC")</f>
        <v>ITC</v>
      </c>
      <c r="C542" s="32" t="str">
        <f ca="1">IFERROR(__xludf.DUMMYFUNCTION("""COMPUTED_VALUE"""),"23171371140")</f>
        <v>23171371140</v>
      </c>
      <c r="D542" s="4" t="str">
        <f ca="1">IFERROR(__xludf.DUMMYFUNCTION("""COMPUTED_VALUE"""),"RAVAL BANSI MUKESHKUMAR")</f>
        <v>RAVAL BANSI MUKESHKUMAR</v>
      </c>
      <c r="E542" s="3" t="str">
        <f ca="1">IFERROR(__xludf.DUMMYFUNCTION("""COMPUTED_VALUE"""),"SDP&amp;KKP - Mor")</f>
        <v>SDP&amp;KKP - Mor</v>
      </c>
      <c r="F542" s="3">
        <f ca="1">IFERROR(__xludf.DUMMYFUNCTION("""COMPUTED_VALUE"""),9054137433)</f>
        <v>9054137433</v>
      </c>
      <c r="G542" s="3">
        <f ca="1">IFERROR(__xludf.DUMMYFUNCTION("""COMPUTED_VALUE"""),9924049685)</f>
        <v>9924049685</v>
      </c>
      <c r="H542" s="33">
        <f ca="1">IFERROR(__xludf.DUMMYFUNCTION("""COMPUTED_VALUE"""),0.759183673469387)</f>
        <v>0.75918367346938698</v>
      </c>
      <c r="I542" s="25">
        <f ca="1">IFERROR(__xludf.DUMMYFUNCTION("""COMPUTED_VALUE"""),0.777777777777777)</f>
        <v>0.77777777777777701</v>
      </c>
      <c r="J542" s="25">
        <f ca="1">IFERROR(__xludf.DUMMYFUNCTION("""COMPUTED_VALUE"""),0.75)</f>
        <v>0.75</v>
      </c>
      <c r="K542" s="25">
        <f ca="1">IFERROR(__xludf.DUMMYFUNCTION("""COMPUTED_VALUE"""),0.694444444444444)</f>
        <v>0.69444444444444398</v>
      </c>
      <c r="L542" s="25">
        <f ca="1">IFERROR(__xludf.DUMMYFUNCTION("""COMPUTED_VALUE"""),0.692307692307692)</f>
        <v>0.69230769230769196</v>
      </c>
      <c r="M542" s="25">
        <f ca="1">IFERROR(__xludf.DUMMYFUNCTION("""COMPUTED_VALUE"""),0.78125)</f>
        <v>0.78125</v>
      </c>
      <c r="N542" s="25">
        <f ca="1">IFERROR(__xludf.DUMMYFUNCTION("""COMPUTED_VALUE"""),0.846153846153846)</f>
        <v>0.84615384615384603</v>
      </c>
      <c r="O542" s="25">
        <f ca="1">IFERROR(__xludf.DUMMYFUNCTION("""COMPUTED_VALUE"""),0.756756756756756)</f>
        <v>0.75675675675675602</v>
      </c>
      <c r="P542" s="25">
        <f ca="1">IFERROR(__xludf.DUMMYFUNCTION("""COMPUTED_VALUE"""),0.76)</f>
        <v>0.76</v>
      </c>
      <c r="Q542" s="25">
        <f ca="1">IFERROR(__xludf.DUMMYFUNCTION("""COMPUTED_VALUE"""),0)</f>
        <v>0</v>
      </c>
      <c r="R542" s="25">
        <f ca="1">IFERROR(__xludf.DUMMYFUNCTION("""COMPUTED_VALUE"""),0.869565217391304)</f>
        <v>0.86956521739130399</v>
      </c>
      <c r="S542" s="25">
        <f ca="1">IFERROR(__xludf.DUMMYFUNCTION("""COMPUTED_VALUE"""),0)</f>
        <v>0</v>
      </c>
      <c r="T542" s="25">
        <f ca="1">IFERROR(__xludf.DUMMYFUNCTION("""COMPUTED_VALUE"""),0.8)</f>
        <v>0.8</v>
      </c>
      <c r="U542" s="25">
        <f ca="1">IFERROR(__xludf.DUMMYFUNCTION("""COMPUTED_VALUE"""),0.5)</f>
        <v>0.5</v>
      </c>
      <c r="V542" s="25">
        <f ca="1">IFERROR(__xludf.DUMMYFUNCTION("""COMPUTED_VALUE"""),0)</f>
        <v>0</v>
      </c>
      <c r="W542" s="4"/>
      <c r="X542" s="4" t="str">
        <f ca="1">IFERROR(__xludf.DUMMYFUNCTION("""COMPUTED_VALUE"""),"| 1 P JAVA % | 3 L CPT % | 4 L JAVA % ")</f>
        <v xml:space="preserve">| 1 P JAVA % | 3 L CPT % | 4 L JAVA % </v>
      </c>
      <c r="Y542" s="4" t="str">
        <f ca="1">IFERROR(__xludf.DUMMYFUNCTION("""COMPUTED_VALUE"""),"| 1 P PHP-CGM % | 3 L JAVA % | 4 L NS % | 5 P PRO % ")</f>
        <v xml:space="preserve">| 1 P PHP-CGM % | 3 L JAVA % | 4 L NS % | 5 P PRO % </v>
      </c>
      <c r="Z542" s="4" t="str">
        <f ca="1">IFERROR(__xludf.DUMMYFUNCTION("""COMPUTED_VALUE"""),"| 1 P Python % | 3 L PHP-CGM % | 4 L NS % | 5 P JAVA % ")</f>
        <v xml:space="preserve">| 1 P Python % | 3 L PHP-CGM % | 4 L NS % | 5 P JAVA % </v>
      </c>
      <c r="AA542" s="4" t="str">
        <f ca="1">IFERROR(__xludf.DUMMYFUNCTION("""COMPUTED_VALUE"""),"| 1 P Python % | 3 L CPT % | 5 P NS % ")</f>
        <v xml:space="preserve">| 1 P Python % | 3 L CPT % | 5 P NS % </v>
      </c>
      <c r="AB542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42" s="4" t="str">
        <f ca="1">IFERROR(__xludf.DUMMYFUNCTION("""COMPUTED_VALUE"""),"| 1 P JAVA % | 3 L CPT % | 4 L JAVA % ")</f>
        <v xml:space="preserve">| 1 P JAVA % | 3 L CPT % | 4 L JAVA % </v>
      </c>
      <c r="AD542" s="4" t="str">
        <f ca="1">IFERROR(__xludf.DUMMYFUNCTION("""COMPUTED_VALUE"""),"| 1 P PHP-CGM % | 3 L JAVA % | 4 L NS % | 5 P PRO % ")</f>
        <v xml:space="preserve">| 1 P PHP-CGM % | 3 L JAVA % | 4 L NS % | 5 P PRO % </v>
      </c>
      <c r="AE542" s="4" t="str">
        <f ca="1">IFERROR(__xludf.DUMMYFUNCTION("""COMPUTED_VALUE"""),"| 1 P Python % | 3 L PHP-CGM % | 4 L NS % | 5 P JAVA % ")</f>
        <v xml:space="preserve">| 1 P Python % | 3 L PHP-CGM % | 4 L NS % | 5 P JAVA % </v>
      </c>
      <c r="AF542" s="4" t="str">
        <f ca="1">IFERROR(__xludf.DUMMYFUNCTION("""COMPUTED_VALUE"""),"| 1 P Python % | 3 L CPT % | 4 L PHP-CGM % | 5 P NS % ")</f>
        <v xml:space="preserve">| 1 P Python % | 3 L CPT % | 4 L PHP-CGM % | 5 P NS % </v>
      </c>
      <c r="AG542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42" s="4" t="str">
        <f ca="1">IFERROR(__xludf.DUMMYFUNCTION("""COMPUTED_VALUE"""),"| 1 P Python % | 3 L CPT % | 4 L PHP-CGM % | 5 P NS % ")</f>
        <v xml:space="preserve">| 1 P Python % | 3 L CPT % | 4 L PHP-CGM % | 5 P NS % </v>
      </c>
      <c r="AI542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J542" s="4" t="str">
        <f ca="1">IFERROR(__xludf.DUMMYFUNCTION("""COMPUTED_VALUE"""),"| 1 P JAVA % | 3 L CPT % | 4 L JAVA % ")</f>
        <v xml:space="preserve">| 1 P JAVA % | 3 L CPT % | 4 L JAVA % </v>
      </c>
      <c r="AK542" s="4" t="str">
        <f ca="1">IFERROR(__xludf.DUMMYFUNCTION("""COMPUTED_VALUE"""),"| 1 P PHP-CGM % | 4 L NS % | 3 L JAVA % | 5 P PRO % ")</f>
        <v xml:space="preserve">| 1 P PHP-CGM % | 4 L NS % | 3 L JAVA % | 5 P PRO % </v>
      </c>
      <c r="AL542" s="4" t="str">
        <f ca="1">IFERROR(__xludf.DUMMYFUNCTION("""COMPUTED_VALUE"""),"| 1 P Python % | 3 L PHP-CGM % | 4 L NS % | 5 P JAVA % ")</f>
        <v xml:space="preserve">| 1 P Python % | 3 L PHP-CGM % | 4 L NS % | 5 P JAVA % </v>
      </c>
      <c r="AM542" s="4" t="str">
        <f ca="1">IFERROR(__xludf.DUMMYFUNCTION("""COMPUTED_VALUE"""),"| 1 P Python % | 3 L CPT % | 4 L PHP-CGM % | 5 P NS % ")</f>
        <v xml:space="preserve">| 1 P Python % | 3 L CPT % | 4 L PHP-CGM % | 5 P NS % </v>
      </c>
      <c r="AN542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O542" s="4" t="str">
        <f ca="1">IFERROR(__xludf.DUMMYFUNCTION("""COMPUTED_VALUE"""),"| 1 P JAVA @ | 3 L CPT @ | 4 L JAVA @ | 5 L INE @ ")</f>
        <v xml:space="preserve">| 1 P JAVA @ | 3 L CPT @ | 4 L JAVA @ | 5 L INE @ </v>
      </c>
      <c r="AP542" s="4" t="str">
        <f ca="1">IFERROR(__xludf.DUMMYFUNCTION("""COMPUTED_VALUE"""),"| 1 P PHP-CGM % | 3 L JAVA % | 4 L NS % | 5 P PRO % ")</f>
        <v xml:space="preserve">| 1 P PHP-CGM % | 3 L JAVA % | 4 L NS % | 5 P PRO % </v>
      </c>
      <c r="AQ542" s="4" t="str">
        <f ca="1">IFERROR(__xludf.DUMMYFUNCTION("""COMPUTED_VALUE"""),"| 1 P Python % | 3 L PHP-CGM % | 4 L NS % | 5 P JAVA % ")</f>
        <v xml:space="preserve">| 1 P Python % | 3 L PHP-CGM % | 4 L NS % | 5 P JAVA % </v>
      </c>
      <c r="AR542" s="4" t="str">
        <f ca="1">IFERROR(__xludf.DUMMYFUNCTION("""COMPUTED_VALUE"""),"| 1 P Python % | 3 L CPT % | 5 P NS @ ")</f>
        <v xml:space="preserve">| 1 P Python % | 3 L CPT % | 5 P NS @ </v>
      </c>
      <c r="AS542" s="4" t="str">
        <f ca="1">IFERROR(__xludf.DUMMYFUNCTION("""COMPUTED_VALUE"""),"| 1 P JAVA @ | 3 L CPT @ | 4 L JAVA @ | 5 L INE @ ")</f>
        <v xml:space="preserve">| 1 P JAVA @ | 3 L CPT @ | 4 L JAVA @ | 5 L INE @ </v>
      </c>
      <c r="AT542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42" s="4" t="str">
        <f ca="1">IFERROR(__xludf.DUMMYFUNCTION("""COMPUTED_VALUE"""),"| 1 P Python % | 3 L PHP-CGM % | 4 L NS % | 5 P JAVA % ")</f>
        <v xml:space="preserve">| 1 P Python % | 3 L PHP-CGM % | 4 L NS % | 5 P JAVA % </v>
      </c>
      <c r="AV542" s="4" t="str">
        <f ca="1">IFERROR(__xludf.DUMMYFUNCTION("""COMPUTED_VALUE"""),"| 1 P Python % | 3 L CPT % | 4 L PHP-CGM % | 5 P NS % ")</f>
        <v xml:space="preserve">| 1 P Python % | 3 L CPT % | 4 L PHP-CGM % | 5 P NS % </v>
      </c>
      <c r="AW542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42" s="4" t="str">
        <f ca="1">IFERROR(__xludf.DUMMYFUNCTION("""COMPUTED_VALUE"""),"| 1 P JAVA % | 3 L CPT % | 4 L JAVA % | 5 L INE % ")</f>
        <v xml:space="preserve">| 1 P JAVA % | 3 L CPT % | 4 L JAVA % | 5 L INE % </v>
      </c>
      <c r="AY542" s="4" t="str">
        <f ca="1">IFERROR(__xludf.DUMMYFUNCTION("""COMPUTED_VALUE"""),"| 1 P PHP-CGM % | 3 L JAVA % | 4 L NS % | 5 P PRO @ ")</f>
        <v xml:space="preserve">| 1 P PHP-CGM % | 3 L JAVA % | 4 L NS % | 5 P PRO @ </v>
      </c>
      <c r="AZ542" s="4" t="str">
        <f ca="1">IFERROR(__xludf.DUMMYFUNCTION("""COMPUTED_VALUE"""),"| 1 P Python % | 3 L CPT % | 4 L PHP-CGM % | 5 P NS % ")</f>
        <v xml:space="preserve">| 1 P Python % | 3 L CPT % | 4 L PHP-CGM % | 5 P NS % </v>
      </c>
      <c r="BA542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42" s="4" t="str">
        <f ca="1">IFERROR(__xludf.DUMMYFUNCTION("""COMPUTED_VALUE"""),"| 1 P JAVA @ | 3 L CPT @ | 4 L JAVA @ | 5 L INE @ ")</f>
        <v xml:space="preserve">| 1 P JAVA @ | 3 L CPT @ | 4 L JAVA @ | 5 L INE @ </v>
      </c>
      <c r="BC542" s="4" t="str">
        <f ca="1">IFERROR(__xludf.DUMMYFUNCTION("""COMPUTED_VALUE"""),"| 1 P PHP-CGM % | 3 L JAVA % | 4 L NS % | 5 P PRO % ")</f>
        <v xml:space="preserve">| 1 P PHP-CGM % | 3 L JAVA % | 4 L NS % | 5 P PRO % </v>
      </c>
      <c r="BD542" s="4" t="str">
        <f ca="1">IFERROR(__xludf.DUMMYFUNCTION("""COMPUTED_VALUE"""),"| 1 P Python % | 4 L NS %  | 3 L PHP-CGM % | 5 P JAVA % ")</f>
        <v xml:space="preserve">| 1 P Python % | 4 L NS %  | 3 L PHP-CGM % | 5 P JAVA % </v>
      </c>
      <c r="BE542" s="4" t="str">
        <f ca="1">IFERROR(__xludf.DUMMYFUNCTION("""COMPUTED_VALUE"""),"| 1 P Python % | 3 L CPT % | 4 L PHP-CGM % | 5 P NS % ")</f>
        <v xml:space="preserve">| 1 P Python % | 3 L CPT % | 4 L PHP-CGM % | 5 P NS % </v>
      </c>
      <c r="BF542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G542" s="4" t="str">
        <f ca="1">IFERROR(__xludf.DUMMYFUNCTION("""COMPUTED_VALUE"""),"| 1 P PHP-CGM @ | 3 L JAVA @ | 4 L NS @ | 5 P PRO @ ")</f>
        <v xml:space="preserve">| 1 P PHP-CGM @ | 3 L JAVA @ | 4 L NS @ | 5 P PRO @ </v>
      </c>
      <c r="BH542" s="4" t="str">
        <f ca="1">IFERROR(__xludf.DUMMYFUNCTION("""COMPUTED_VALUE"""),"| 1 P Python @ | 3 L PHP-CGM @ | 4 L NS @ | 5 P JAVA @ ")</f>
        <v xml:space="preserve">| 1 P Python @ | 3 L PHP-CGM @ | 4 L NS @ | 5 P JAVA @ </v>
      </c>
      <c r="BI542" s="4" t="str">
        <f ca="1">IFERROR(__xludf.DUMMYFUNCTION("""COMPUTED_VALUE"""),"| 1 P Python % | 3 L CPT % | 4 L PHP-CGM % | 5 P NS % ")</f>
        <v xml:space="preserve">| 1 P Python % | 3 L CPT % | 4 L PHP-CGM % | 5 P NS % </v>
      </c>
      <c r="BJ542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K542" s="4" t="str">
        <f ca="1">IFERROR(__xludf.DUMMYFUNCTION("""COMPUTED_VALUE"""),"| 1 P JAVA % | 3 L CPT @ | 4 L JAVA @ | 5 L INE % ")</f>
        <v xml:space="preserve">| 1 P JAVA % | 3 L CPT @ | 4 L JAVA @ | 5 L INE % </v>
      </c>
      <c r="BL542" s="4" t="str">
        <f ca="1">IFERROR(__xludf.DUMMYFUNCTION("""COMPUTED_VALUE"""),"| 1 P PHP-CGM % | 3 L JAVA % | 4 L NS % | 5 P PRO % ")</f>
        <v xml:space="preserve">| 1 P PHP-CGM % | 3 L JAVA % | 4 L NS % | 5 P PRO % </v>
      </c>
      <c r="BM542" s="4" t="str">
        <f ca="1">IFERROR(__xludf.DUMMYFUNCTION("""COMPUTED_VALUE"""),"| 1 P Python % | 3 L PHP-CGM % | 4 L NS @ | 5 P JAVA % ")</f>
        <v xml:space="preserve">| 1 P Python % | 3 L PHP-CGM % | 4 L NS @ | 5 P JAVA % </v>
      </c>
      <c r="BN542" s="4" t="str">
        <f ca="1">IFERROR(__xludf.DUMMYFUNCTION("""COMPUTED_VALUE"""),"| 1 P Python % | 3 L CPT % | 4 L PHP-CGM % | 5 P NS % ")</f>
        <v xml:space="preserve">| 1 P Python % | 3 L CPT % | 4 L PHP-CGM % | 5 P NS % </v>
      </c>
      <c r="BO542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42" s="4" t="str">
        <f ca="1">IFERROR(__xludf.DUMMYFUNCTION("""COMPUTED_VALUE"""),"| 1 P JAVA % | 3 L CPT % | 4 L JAVA % | 5 L INE % ")</f>
        <v xml:space="preserve">| 1 P JAVA % | 3 L CPT % | 4 L JAVA % | 5 L INE % </v>
      </c>
      <c r="BQ542" s="4" t="str">
        <f ca="1">IFERROR(__xludf.DUMMYFUNCTION("""COMPUTED_VALUE"""),"| 4 L NS @ | 5 P JAVA % ")</f>
        <v xml:space="preserve">| 4 L NS @ | 5 P JAVA % </v>
      </c>
      <c r="BR542" s="4"/>
      <c r="BS542" s="4"/>
      <c r="BT542" s="4" t="str">
        <f ca="1">IFERROR(__xludf.DUMMYFUNCTION("""COMPUTED_VALUE"""),"| 1 P JAVA % | 3 L CPT % | 4 L JAVA % ")</f>
        <v xml:space="preserve">| 1 P JAVA % | 3 L CPT % | 4 L JAVA % </v>
      </c>
      <c r="BU542" s="4" t="str">
        <f ca="1">IFERROR(__xludf.DUMMYFUNCTION("""COMPUTED_VALUE"""),"| 1 P PHP-CGM @ | 4 L NS @ | 3 L JAVA @ ")</f>
        <v xml:space="preserve">| 1 P PHP-CGM @ | 4 L NS @ | 3 L JAVA @ </v>
      </c>
      <c r="BV542" s="4" t="str">
        <f ca="1">IFERROR(__xludf.DUMMYFUNCTION("""COMPUTED_VALUE"""),"| 1 P JAVA % | 3 L CPT % | 4 L JAVA % ")</f>
        <v xml:space="preserve">| 1 P JAVA % | 3 L CPT % | 4 L JAVA % </v>
      </c>
      <c r="BW542" s="4" t="str">
        <f ca="1">IFERROR(__xludf.DUMMYFUNCTION("""COMPUTED_VALUE"""),"| 1 P PHP-CGM % | 3 L JAVA % | 4 L NS % ")</f>
        <v xml:space="preserve">| 1 P PHP-CGM % | 3 L JAVA % | 4 L NS % </v>
      </c>
      <c r="BX542" s="4" t="str">
        <f ca="1">IFERROR(__xludf.DUMMYFUNCTION("""COMPUTED_VALUE"""),"| 1 P Python % | 3 L PHP-CGM % | 4 L NS % | 5 P JAVA % ")</f>
        <v xml:space="preserve">| 1 P Python % | 3 L PHP-CGM % | 4 L NS % | 5 P JAVA % </v>
      </c>
      <c r="BY542" s="4" t="str">
        <f ca="1">IFERROR(__xludf.DUMMYFUNCTION("""COMPUTED_VALUE"""),"| 1 P Python % | 3 L CPT % | 4 L PHP-CGM % | 5 P NS @ ")</f>
        <v xml:space="preserve">| 1 P Python % | 3 L CPT % | 4 L PHP-CGM % | 5 P NS @ </v>
      </c>
      <c r="BZ542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CA542" s="4" t="str">
        <f ca="1">IFERROR(__xludf.DUMMYFUNCTION("""COMPUTED_VALUE"""),"| 1 P JAVA % | 3 L CPT % | 4 L JAVA % | 5 L INE % ")</f>
        <v xml:space="preserve">| 1 P JAVA % | 3 L CPT % | 4 L JAVA % | 5 L INE % </v>
      </c>
      <c r="CB542" s="4" t="str">
        <f ca="1">IFERROR(__xludf.DUMMYFUNCTION("""COMPUTED_VALUE"""),"| 1 P PHP-CGM % | 3 L JAVA % | 4 L NS % | 5 P PRO % ")</f>
        <v xml:space="preserve">| 1 P PHP-CGM % | 3 L JAVA % | 4 L NS % | 5 P PRO % </v>
      </c>
      <c r="CC542" s="4" t="str">
        <f ca="1">IFERROR(__xludf.DUMMYFUNCTION("""COMPUTED_VALUE"""),"| 1 P Python % | 3 L PHP-CGM @ | 4 L NS @ | 5 P JAVA @ ")</f>
        <v xml:space="preserve">| 1 P Python % | 3 L PHP-CGM @ | 4 L NS @ | 5 P JAVA @ </v>
      </c>
      <c r="CD542" s="4" t="str">
        <f ca="1">IFERROR(__xludf.DUMMYFUNCTION("""COMPUTED_VALUE"""),"| 1 P Python @ | 3 L CPT @ | 4 L PHP-CGM @ | 5 P NS @ ")</f>
        <v xml:space="preserve">| 1 P Python @ | 3 L CPT @ | 4 L PHP-CGM @ | 5 P NS @ </v>
      </c>
      <c r="CE542" s="4" t="str">
        <f ca="1">IFERROR(__xludf.DUMMYFUNCTION("""COMPUTED_VALUE"""),"| 1 P CPT % | 3 L PHP-CGM @ | 4 L JAVA @ | 5 L NS % | 6 L CPT % ")</f>
        <v xml:space="preserve">| 1 P CPT % | 3 L PHP-CGM @ | 4 L JAVA @ | 5 L NS % | 6 L CPT % </v>
      </c>
      <c r="CF542" s="4" t="str">
        <f ca="1">IFERROR(__xludf.DUMMYFUNCTION("""COMPUTED_VALUE"""),"| 1 P JAVA % | 3 L CPT % | 4 L JAVA % | 5 L INE @ ")</f>
        <v xml:space="preserve">| 1 P JAVA % | 3 L CPT % | 4 L JAVA % | 5 L INE @ </v>
      </c>
      <c r="CG542" s="4" t="str">
        <f ca="1">IFERROR(__xludf.DUMMYFUNCTION("""COMPUTED_VALUE"""),"| 1 P PHP-CGM % | 4 L NS % ")</f>
        <v xml:space="preserve">| 1 P PHP-CGM % | 4 L NS % </v>
      </c>
      <c r="CH542" s="4" t="str">
        <f ca="1">IFERROR(__xludf.DUMMYFUNCTION("""COMPUTED_VALUE"""),"| 3 L PHP-CGM @ | 4 L NS @ ")</f>
        <v xml:space="preserve">| 3 L PHP-CGM @ | 4 L NS @ </v>
      </c>
      <c r="CI542" s="4" t="str">
        <f ca="1">IFERROR(__xludf.DUMMYFUNCTION("""COMPUTED_VALUE"""),"| 1 P Python @ | 5 P NS @ ")</f>
        <v xml:space="preserve">| 1 P Python @ | 5 P NS @ </v>
      </c>
      <c r="CJ542" s="4" t="str">
        <f ca="1">IFERROR(__xludf.DUMMYFUNCTION("""COMPUTED_VALUE"""),"| 4 L JAVA % | 1 P CPT @ ")</f>
        <v xml:space="preserve">| 4 L JAVA % | 1 P CPT @ </v>
      </c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</row>
    <row r="543" spans="1:102" ht="12.5" x14ac:dyDescent="0.25">
      <c r="A543" s="3">
        <f ca="1">IFERROR(__xludf.DUMMYFUNCTION("""COMPUTED_VALUE"""),3)</f>
        <v>3</v>
      </c>
      <c r="B543" s="3" t="str">
        <f ca="1">IFERROR(__xludf.DUMMYFUNCTION("""COMPUTED_VALUE"""),"ITC")</f>
        <v>ITC</v>
      </c>
      <c r="C543" s="32" t="str">
        <f ca="1">IFERROR(__xludf.DUMMYFUNCTION("""COMPUTED_VALUE"""),"23171371141")</f>
        <v>23171371141</v>
      </c>
      <c r="D543" s="4" t="str">
        <f ca="1">IFERROR(__xludf.DUMMYFUNCTION("""COMPUTED_VALUE"""),"RAVAL DHRUVKUMAR VISHNUBHAI")</f>
        <v>RAVAL DHRUVKUMAR VISHNUBHAI</v>
      </c>
      <c r="E543" s="3" t="str">
        <f ca="1">IFERROR(__xludf.DUMMYFUNCTION("""COMPUTED_VALUE"""),"SDP&amp;KKP - Mor")</f>
        <v>SDP&amp;KKP - Mor</v>
      </c>
      <c r="F543" s="3">
        <f ca="1">IFERROR(__xludf.DUMMYFUNCTION("""COMPUTED_VALUE"""),9510039184)</f>
        <v>9510039184</v>
      </c>
      <c r="G543" s="3">
        <f ca="1">IFERROR(__xludf.DUMMYFUNCTION("""COMPUTED_VALUE"""),7621872073)</f>
        <v>7621872073</v>
      </c>
      <c r="H543" s="33">
        <f ca="1">IFERROR(__xludf.DUMMYFUNCTION("""COMPUTED_VALUE"""),0.559183673469387)</f>
        <v>0.55918367346938702</v>
      </c>
      <c r="I543" s="25">
        <f ca="1">IFERROR(__xludf.DUMMYFUNCTION("""COMPUTED_VALUE"""),0.638888888888888)</f>
        <v>0.63888888888888795</v>
      </c>
      <c r="J543" s="25">
        <f ca="1">IFERROR(__xludf.DUMMYFUNCTION("""COMPUTED_VALUE"""),0.666666666666666)</f>
        <v>0.66666666666666596</v>
      </c>
      <c r="K543" s="25">
        <f ca="1">IFERROR(__xludf.DUMMYFUNCTION("""COMPUTED_VALUE"""),0.527777777777777)</f>
        <v>0.52777777777777701</v>
      </c>
      <c r="L543" s="25">
        <f ca="1">IFERROR(__xludf.DUMMYFUNCTION("""COMPUTED_VALUE"""),0.769230769230769)</f>
        <v>0.76923076923076905</v>
      </c>
      <c r="M543" s="25">
        <f ca="1">IFERROR(__xludf.DUMMYFUNCTION("""COMPUTED_VALUE"""),0.59375)</f>
        <v>0.59375</v>
      </c>
      <c r="N543" s="25">
        <f ca="1">IFERROR(__xludf.DUMMYFUNCTION("""COMPUTED_VALUE"""),0.384615384615384)</f>
        <v>0.38461538461538403</v>
      </c>
      <c r="O543" s="25">
        <f ca="1">IFERROR(__xludf.DUMMYFUNCTION("""COMPUTED_VALUE"""),0.54054054054054)</f>
        <v>0.54054054054054002</v>
      </c>
      <c r="P543" s="25">
        <f ca="1">IFERROR(__xludf.DUMMYFUNCTION("""COMPUTED_VALUE"""),0.48)</f>
        <v>0.48</v>
      </c>
      <c r="Q543" s="25">
        <f ca="1">IFERROR(__xludf.DUMMYFUNCTION("""COMPUTED_VALUE"""),0)</f>
        <v>0</v>
      </c>
      <c r="R543" s="25">
        <f ca="1">IFERROR(__xludf.DUMMYFUNCTION("""COMPUTED_VALUE"""),0.652173913043478)</f>
        <v>0.65217391304347805</v>
      </c>
      <c r="S543" s="25">
        <f ca="1">IFERROR(__xludf.DUMMYFUNCTION("""COMPUTED_VALUE"""),0)</f>
        <v>0</v>
      </c>
      <c r="T543" s="25">
        <f ca="1">IFERROR(__xludf.DUMMYFUNCTION("""COMPUTED_VALUE"""),0.4)</f>
        <v>0.4</v>
      </c>
      <c r="U543" s="25">
        <f ca="1">IFERROR(__xludf.DUMMYFUNCTION("""COMPUTED_VALUE"""),0.25)</f>
        <v>0.25</v>
      </c>
      <c r="V543" s="25">
        <f ca="1">IFERROR(__xludf.DUMMYFUNCTION("""COMPUTED_VALUE"""),0)</f>
        <v>0</v>
      </c>
      <c r="W543" s="4"/>
      <c r="X543" s="4" t="str">
        <f ca="1">IFERROR(__xludf.DUMMYFUNCTION("""COMPUTED_VALUE"""),"| 1 P JAVA % | 3 L CPT % | 4 L JAVA % ")</f>
        <v xml:space="preserve">| 1 P JAVA % | 3 L CPT % | 4 L JAVA % </v>
      </c>
      <c r="Y543" s="4" t="str">
        <f ca="1">IFERROR(__xludf.DUMMYFUNCTION("""COMPUTED_VALUE"""),"| 1 P PHP-CGM % | 3 L JAVA % | 4 L NS % | 5 P PRO % ")</f>
        <v xml:space="preserve">| 1 P PHP-CGM % | 3 L JAVA % | 4 L NS % | 5 P PRO % </v>
      </c>
      <c r="Z543" s="4" t="str">
        <f ca="1">IFERROR(__xludf.DUMMYFUNCTION("""COMPUTED_VALUE"""),"| 1 P Python % | 3 L PHP-CGM % | 4 L NS % | 5 P JAVA % ")</f>
        <v xml:space="preserve">| 1 P Python % | 3 L PHP-CGM % | 4 L NS % | 5 P JAVA % </v>
      </c>
      <c r="AA543" s="4" t="str">
        <f ca="1">IFERROR(__xludf.DUMMYFUNCTION("""COMPUTED_VALUE"""),"| 1 P Python % | 3 L CPT % | 5 P NS % ")</f>
        <v xml:space="preserve">| 1 P Python % | 3 L CPT % | 5 P NS % </v>
      </c>
      <c r="AB543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43" s="4" t="str">
        <f ca="1">IFERROR(__xludf.DUMMYFUNCTION("""COMPUTED_VALUE"""),"| 1 P JAVA % | 3 L CPT @ | 4 L JAVA % ")</f>
        <v xml:space="preserve">| 1 P JAVA % | 3 L CPT @ | 4 L JAVA % </v>
      </c>
      <c r="AD543" s="4" t="str">
        <f ca="1">IFERROR(__xludf.DUMMYFUNCTION("""COMPUTED_VALUE"""),"| 1 P PHP-CGM % | 3 L JAVA % | 4 L NS % | 5 P PRO % ")</f>
        <v xml:space="preserve">| 1 P PHP-CGM % | 3 L JAVA % | 4 L NS % | 5 P PRO % </v>
      </c>
      <c r="AE543" s="4" t="str">
        <f ca="1">IFERROR(__xludf.DUMMYFUNCTION("""COMPUTED_VALUE"""),"| 1 P Python @ | 3 L PHP-CGM @ | 4 L NS @ | 5 P JAVA @ ")</f>
        <v xml:space="preserve">| 1 P Python @ | 3 L PHP-CGM @ | 4 L NS @ | 5 P JAVA @ </v>
      </c>
      <c r="AF543" s="4" t="str">
        <f ca="1">IFERROR(__xludf.DUMMYFUNCTION("""COMPUTED_VALUE"""),"| 1 P Python % | 3 L CPT % | 4 L PHP-CGM % | 5 P NS % ")</f>
        <v xml:space="preserve">| 1 P Python % | 3 L CPT % | 4 L PHP-CGM % | 5 P NS % </v>
      </c>
      <c r="AG543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43" s="4" t="str">
        <f ca="1">IFERROR(__xludf.DUMMYFUNCTION("""COMPUTED_VALUE"""),"| 1 P Python % | 3 L CPT % | 4 L PHP-CGM % | 5 P NS % ")</f>
        <v xml:space="preserve">| 1 P Python % | 3 L CPT % | 4 L PHP-CGM % | 5 P NS % </v>
      </c>
      <c r="AI543" s="4" t="str">
        <f ca="1">IFERROR(__xludf.DUMMYFUNCTION("""COMPUTED_VALUE"""),"| 1 P CPT % | 3 L PHP-CGM % | 4 L JAVA % | 5 L CPT @ | 6 L NS % ")</f>
        <v xml:space="preserve">| 1 P CPT % | 3 L PHP-CGM % | 4 L JAVA % | 5 L CPT @ | 6 L NS % </v>
      </c>
      <c r="AJ543" s="4" t="str">
        <f ca="1">IFERROR(__xludf.DUMMYFUNCTION("""COMPUTED_VALUE"""),"| 1 P JAVA % | 3 L CPT % | 4 L JAVA % ")</f>
        <v xml:space="preserve">| 1 P JAVA % | 3 L CPT % | 4 L JAVA % </v>
      </c>
      <c r="AK543" s="4" t="str">
        <f ca="1">IFERROR(__xludf.DUMMYFUNCTION("""COMPUTED_VALUE"""),"| 1 P PHP-CGM % | 4 L NS % | 3 L JAVA % | 5 P PRO % ")</f>
        <v xml:space="preserve">| 1 P PHP-CGM % | 4 L NS % | 3 L JAVA % | 5 P PRO % </v>
      </c>
      <c r="AL543" s="4" t="str">
        <f ca="1">IFERROR(__xludf.DUMMYFUNCTION("""COMPUTED_VALUE"""),"| 1 P Python % | 3 L PHP-CGM @ | 4 L NS @ | 5 P JAVA @ ")</f>
        <v xml:space="preserve">| 1 P Python % | 3 L PHP-CGM @ | 4 L NS @ | 5 P JAVA @ </v>
      </c>
      <c r="AM543" s="4" t="str">
        <f ca="1">IFERROR(__xludf.DUMMYFUNCTION("""COMPUTED_VALUE"""),"| 1 P Python % | 3 L CPT % | 4 L PHP-CGM % | 5 P NS @ ")</f>
        <v xml:space="preserve">| 1 P Python % | 3 L CPT % | 4 L PHP-CGM % | 5 P NS @ </v>
      </c>
      <c r="AN543" s="4" t="str">
        <f ca="1">IFERROR(__xludf.DUMMYFUNCTION("""COMPUTED_VALUE"""),"| 1 P CPT % | 3 L PHP-CGM % | 4 L JAVA % | 5 L CPT @ | 6 L NS % ")</f>
        <v xml:space="preserve">| 1 P CPT % | 3 L PHP-CGM % | 4 L JAVA % | 5 L CPT @ | 6 L NS % </v>
      </c>
      <c r="AO543" s="4" t="str">
        <f ca="1">IFERROR(__xludf.DUMMYFUNCTION("""COMPUTED_VALUE"""),"| 1 P JAVA % | 3 L CPT % | 4 L JAVA % | 5 L INE % ")</f>
        <v xml:space="preserve">| 1 P JAVA % | 3 L CPT % | 4 L JAVA % | 5 L INE % </v>
      </c>
      <c r="AP543" s="4" t="str">
        <f ca="1">IFERROR(__xludf.DUMMYFUNCTION("""COMPUTED_VALUE"""),"| 1 P PHP-CGM % | 3 L JAVA % | 4 L NS % | 5 P PRO % ")</f>
        <v xml:space="preserve">| 1 P PHP-CGM % | 3 L JAVA % | 4 L NS % | 5 P PRO % </v>
      </c>
      <c r="AQ543" s="4" t="str">
        <f ca="1">IFERROR(__xludf.DUMMYFUNCTION("""COMPUTED_VALUE"""),"| 1 P Python % | 3 L PHP-CGM % | 4 L NS % | 5 P JAVA % ")</f>
        <v xml:space="preserve">| 1 P Python % | 3 L PHP-CGM % | 4 L NS % | 5 P JAVA % </v>
      </c>
      <c r="AR543" s="4" t="str">
        <f ca="1">IFERROR(__xludf.DUMMYFUNCTION("""COMPUTED_VALUE"""),"| 1 P Python % | 3 L CPT @ | 5 P NS % ")</f>
        <v xml:space="preserve">| 1 P Python % | 3 L CPT @ | 5 P NS % </v>
      </c>
      <c r="AS543" s="4" t="str">
        <f ca="1">IFERROR(__xludf.DUMMYFUNCTION("""COMPUTED_VALUE"""),"| 1 P JAVA % | 3 L CPT % | 4 L JAVA @ | 5 L INE @ ")</f>
        <v xml:space="preserve">| 1 P JAVA % | 3 L CPT % | 4 L JAVA @ | 5 L INE @ </v>
      </c>
      <c r="AT543" s="4" t="str">
        <f ca="1">IFERROR(__xludf.DUMMYFUNCTION("""COMPUTED_VALUE"""),"| 1 P PHP-CGM @ | 3 L JAVA @ | 1 P JAVA @ | 4 L NS @ | 5 P PRO @ ")</f>
        <v xml:space="preserve">| 1 P PHP-CGM @ | 3 L JAVA @ | 1 P JAVA @ | 4 L NS @ | 5 P PRO @ </v>
      </c>
      <c r="AU543" s="4" t="str">
        <f ca="1">IFERROR(__xludf.DUMMYFUNCTION("""COMPUTED_VALUE"""),"| 1 P Python % | 3 L PHP-CGM % | 4 L NS % | 5 P JAVA @ ")</f>
        <v xml:space="preserve">| 1 P Python % | 3 L PHP-CGM % | 4 L NS % | 5 P JAVA @ </v>
      </c>
      <c r="AV543" s="4" t="str">
        <f ca="1">IFERROR(__xludf.DUMMYFUNCTION("""COMPUTED_VALUE"""),"| 1 P Python % | 3 L CPT @ | 4 L PHP-CGM @ | 5 P NS % ")</f>
        <v xml:space="preserve">| 1 P Python % | 3 L CPT @ | 4 L PHP-CGM @ | 5 P NS % </v>
      </c>
      <c r="AW543" s="4" t="str">
        <f ca="1">IFERROR(__xludf.DUMMYFUNCTION("""COMPUTED_VALUE"""),"| 1 P CPT @ | 3 L PHP-CGM @ | 4 L JAVA % | 5 L NS % | 5 L CPT % ")</f>
        <v xml:space="preserve">| 1 P CPT @ | 3 L PHP-CGM @ | 4 L JAVA % | 5 L NS % | 5 L CPT % </v>
      </c>
      <c r="AX543" s="4" t="str">
        <f ca="1">IFERROR(__xludf.DUMMYFUNCTION("""COMPUTED_VALUE"""),"| 1 P JAVA @ | 3 L CPT % | 4 L JAVA % | 5 L INE % ")</f>
        <v xml:space="preserve">| 1 P JAVA @ | 3 L CPT % | 4 L JAVA % | 5 L INE % </v>
      </c>
      <c r="AY543" s="4" t="str">
        <f ca="1">IFERROR(__xludf.DUMMYFUNCTION("""COMPUTED_VALUE"""),"| 1 P PHP-CGM @ | 3 L JAVA @ | 4 L NS % | 5 P PRO @ ")</f>
        <v xml:space="preserve">| 1 P PHP-CGM @ | 3 L JAVA @ | 4 L NS % | 5 P PRO @ </v>
      </c>
      <c r="AZ543" s="4" t="str">
        <f ca="1">IFERROR(__xludf.DUMMYFUNCTION("""COMPUTED_VALUE"""),"| 1 P Python @ | 3 L CPT % | 4 L PHP-CGM % | 5 P NS @ ")</f>
        <v xml:space="preserve">| 1 P Python @ | 3 L CPT % | 4 L PHP-CGM % | 5 P NS @ </v>
      </c>
      <c r="BA543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43" s="4" t="str">
        <f ca="1">IFERROR(__xludf.DUMMYFUNCTION("""COMPUTED_VALUE"""),"| 1 P JAVA % | 3 L CPT % | 4 L JAVA % | 5 L INE @ ")</f>
        <v xml:space="preserve">| 1 P JAVA % | 3 L CPT % | 4 L JAVA % | 5 L INE @ </v>
      </c>
      <c r="BC543" s="4" t="str">
        <f ca="1">IFERROR(__xludf.DUMMYFUNCTION("""COMPUTED_VALUE"""),"| 1 P PHP-CGM @ | 3 L JAVA @ | 4 L NS @ | 5 P PRO @ ")</f>
        <v xml:space="preserve">| 1 P PHP-CGM @ | 3 L JAVA @ | 4 L NS @ | 5 P PRO @ </v>
      </c>
      <c r="BD543" s="4" t="str">
        <f ca="1">IFERROR(__xludf.DUMMYFUNCTION("""COMPUTED_VALUE"""),"| 1 P Python % | 4 L NS %  | 3 L PHP-CGM % | 5 P JAVA @ ")</f>
        <v xml:space="preserve">| 1 P Python % | 4 L NS %  | 3 L PHP-CGM % | 5 P JAVA @ </v>
      </c>
      <c r="BE543" s="4" t="str">
        <f ca="1">IFERROR(__xludf.DUMMYFUNCTION("""COMPUTED_VALUE"""),"| 1 P Python @ | 3 L CPT % | 4 L PHP-CGM % | 5 P NS % ")</f>
        <v xml:space="preserve">| 1 P Python @ | 3 L CPT % | 4 L PHP-CGM % | 5 P NS % </v>
      </c>
      <c r="BF543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43" s="4" t="str">
        <f ca="1">IFERROR(__xludf.DUMMYFUNCTION("""COMPUTED_VALUE"""),"| 1 P PHP-CGM @ | 3 L JAVA @ | 4 L NS @ | 5 P PRO @ ")</f>
        <v xml:space="preserve">| 1 P PHP-CGM @ | 3 L JAVA @ | 4 L NS @ | 5 P PRO @ </v>
      </c>
      <c r="BH543" s="4" t="str">
        <f ca="1">IFERROR(__xludf.DUMMYFUNCTION("""COMPUTED_VALUE"""),"| 1 P Python % | 3 L PHP-CGM % | 4 L NS % | 5 P JAVA % ")</f>
        <v xml:space="preserve">| 1 P Python % | 3 L PHP-CGM % | 4 L NS % | 5 P JAVA % </v>
      </c>
      <c r="BI543" s="4" t="str">
        <f ca="1">IFERROR(__xludf.DUMMYFUNCTION("""COMPUTED_VALUE"""),"| 1 P Python % | 3 L CPT % | 4 L PHP-CGM % | 5 P NS % ")</f>
        <v xml:space="preserve">| 1 P Python % | 3 L CPT % | 4 L PHP-CGM % | 5 P NS % </v>
      </c>
      <c r="BJ543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43" s="4" t="str">
        <f ca="1">IFERROR(__xludf.DUMMYFUNCTION("""COMPUTED_VALUE"""),"| 1 P JAVA @ | 3 L CPT @ | 4 L JAVA @ | 5 L INE @ ")</f>
        <v xml:space="preserve">| 1 P JAVA @ | 3 L CPT @ | 4 L JAVA @ | 5 L INE @ </v>
      </c>
      <c r="BL543" s="4" t="str">
        <f ca="1">IFERROR(__xludf.DUMMYFUNCTION("""COMPUTED_VALUE"""),"| 1 P PHP-CGM @ | 3 L JAVA @ | 4 L NS @ | 5 P PRO @ ")</f>
        <v xml:space="preserve">| 1 P PHP-CGM @ | 3 L JAVA @ | 4 L NS @ | 5 P PRO @ </v>
      </c>
      <c r="BM543" s="4" t="str">
        <f ca="1">IFERROR(__xludf.DUMMYFUNCTION("""COMPUTED_VALUE"""),"| 1 P Python @ | 3 L PHP-CGM @ | 4 L NS @ | 5 P JAVA @ ")</f>
        <v xml:space="preserve">| 1 P Python @ | 3 L PHP-CGM @ | 4 L NS @ | 5 P JAVA @ </v>
      </c>
      <c r="BN543" s="4" t="str">
        <f ca="1">IFERROR(__xludf.DUMMYFUNCTION("""COMPUTED_VALUE"""),"| 1 P Python @ | 3 L CPT % | 4 L PHP-CGM % | 5 P NS % ")</f>
        <v xml:space="preserve">| 1 P Python @ | 3 L CPT % | 4 L PHP-CGM % | 5 P NS % </v>
      </c>
      <c r="BO543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43" s="4" t="str">
        <f ca="1">IFERROR(__xludf.DUMMYFUNCTION("""COMPUTED_VALUE"""),"| 1 P JAVA @ | 3 L CPT @ | 4 L JAVA @ | 5 L INE @ ")</f>
        <v xml:space="preserve">| 1 P JAVA @ | 3 L CPT @ | 4 L JAVA @ | 5 L INE @ </v>
      </c>
      <c r="BQ543" s="4" t="str">
        <f ca="1">IFERROR(__xludf.DUMMYFUNCTION("""COMPUTED_VALUE"""),"| 4 L NS @ | 5 P JAVA % ")</f>
        <v xml:space="preserve">| 4 L NS @ | 5 P JAVA % </v>
      </c>
      <c r="BR543" s="4"/>
      <c r="BS543" s="4"/>
      <c r="BT543" s="4" t="str">
        <f ca="1">IFERROR(__xludf.DUMMYFUNCTION("""COMPUTED_VALUE"""),"| 1 P JAVA @ | 3 L CPT @ | 4 L JAVA @ ")</f>
        <v xml:space="preserve">| 1 P JAVA @ | 3 L CPT @ | 4 L JAVA @ </v>
      </c>
      <c r="BU543" s="4" t="str">
        <f ca="1">IFERROR(__xludf.DUMMYFUNCTION("""COMPUTED_VALUE"""),"| 1 P PHP-CGM @ | 4 L NS @ | 3 L JAVA @ ")</f>
        <v xml:space="preserve">| 1 P PHP-CGM @ | 4 L NS @ | 3 L JAVA @ </v>
      </c>
      <c r="BV543" s="4" t="str">
        <f ca="1">IFERROR(__xludf.DUMMYFUNCTION("""COMPUTED_VALUE"""),"| 1 P JAVA % | 3 L CPT % | 4 L JAVA % ")</f>
        <v xml:space="preserve">| 1 P JAVA % | 3 L CPT % | 4 L JAVA % </v>
      </c>
      <c r="BW543" s="4" t="str">
        <f ca="1">IFERROR(__xludf.DUMMYFUNCTION("""COMPUTED_VALUE"""),"| 1 P PHP-CGM % | 3 L JAVA @ | 4 L NS % ")</f>
        <v xml:space="preserve">| 1 P PHP-CGM % | 3 L JAVA @ | 4 L NS % </v>
      </c>
      <c r="BX543" s="4" t="str">
        <f ca="1">IFERROR(__xludf.DUMMYFUNCTION("""COMPUTED_VALUE"""),"| 1 P Python @ | 3 L PHP-CGM @ | 4 L NS @ | 5 P JAVA @ ")</f>
        <v xml:space="preserve">| 1 P Python @ | 3 L PHP-CGM @ | 4 L NS @ | 5 P JAVA @ </v>
      </c>
      <c r="BY543" s="4" t="str">
        <f ca="1">IFERROR(__xludf.DUMMYFUNCTION("""COMPUTED_VALUE"""),"| 1 P Python @ | 3 L CPT @ | 4 L PHP-CGM @ | 5 P NS @ ")</f>
        <v xml:space="preserve">| 1 P Python @ | 3 L CPT @ | 4 L PHP-CGM @ | 5 P NS @ </v>
      </c>
      <c r="BZ543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A543" s="4" t="str">
        <f ca="1">IFERROR(__xludf.DUMMYFUNCTION("""COMPUTED_VALUE"""),"| 1 P JAVA @ | 3 L CPT @ | 4 L JAVA @ | 5 L INE @ ")</f>
        <v xml:space="preserve">| 1 P JAVA @ | 3 L CPT @ | 4 L JAVA @ | 5 L INE @ </v>
      </c>
      <c r="CB543" s="4" t="str">
        <f ca="1">IFERROR(__xludf.DUMMYFUNCTION("""COMPUTED_VALUE"""),"| 1 P PHP-CGM @ | 3 L JAVA @ | 4 L NS @ | 5 P PRO @ ")</f>
        <v xml:space="preserve">| 1 P PHP-CGM @ | 3 L JAVA @ | 4 L NS @ | 5 P PRO @ </v>
      </c>
      <c r="CC543" s="4" t="str">
        <f ca="1">IFERROR(__xludf.DUMMYFUNCTION("""COMPUTED_VALUE"""),"| 1 P Python @ | 3 L PHP-CGM @ | 4 L NS @ | 5 P JAVA @ ")</f>
        <v xml:space="preserve">| 1 P Python @ | 3 L PHP-CGM @ | 4 L NS @ | 5 P JAVA @ </v>
      </c>
      <c r="CD543" s="4" t="str">
        <f ca="1">IFERROR(__xludf.DUMMYFUNCTION("""COMPUTED_VALUE"""),"| 1 P Python % | 3 L CPT % | 4 L PHP-CGM % | 5 P NS % ")</f>
        <v xml:space="preserve">| 1 P Python % | 3 L CPT % | 4 L PHP-CGM % | 5 P NS % </v>
      </c>
      <c r="CE543" s="4" t="str">
        <f ca="1">IFERROR(__xludf.DUMMYFUNCTION("""COMPUTED_VALUE"""),"| 1 P CPT % | 3 L PHP-CGM @ | 4 L JAVA @ | 5 L NS @ | 6 L CPT @ ")</f>
        <v xml:space="preserve">| 1 P CPT % | 3 L PHP-CGM @ | 4 L JAVA @ | 5 L NS @ | 6 L CPT @ </v>
      </c>
      <c r="CF543" s="4" t="str">
        <f ca="1">IFERROR(__xludf.DUMMYFUNCTION("""COMPUTED_VALUE"""),"| 1 P JAVA % | 3 L CPT % | 4 L JAVA % | 5 L INE @ ")</f>
        <v xml:space="preserve">| 1 P JAVA % | 3 L CPT % | 4 L JAVA % | 5 L INE @ </v>
      </c>
      <c r="CG543" s="4" t="str">
        <f ca="1">IFERROR(__xludf.DUMMYFUNCTION("""COMPUTED_VALUE"""),"| 1 P PHP-CGM @ | 4 L NS % ")</f>
        <v xml:space="preserve">| 1 P PHP-CGM @ | 4 L NS % </v>
      </c>
      <c r="CH543" s="4" t="str">
        <f ca="1">IFERROR(__xludf.DUMMYFUNCTION("""COMPUTED_VALUE"""),"| 3 L PHP-CGM @ | 4 L NS @ ")</f>
        <v xml:space="preserve">| 3 L PHP-CGM @ | 4 L NS @ </v>
      </c>
      <c r="CI543" s="4" t="str">
        <f ca="1">IFERROR(__xludf.DUMMYFUNCTION("""COMPUTED_VALUE"""),"| 1 P Python % | 5 P NS % ")</f>
        <v xml:space="preserve">| 1 P Python % | 5 P NS % </v>
      </c>
      <c r="CJ543" s="4" t="str">
        <f ca="1">IFERROR(__xludf.DUMMYFUNCTION("""COMPUTED_VALUE"""),"| 4 L JAVA % | 1 P CPT % ")</f>
        <v xml:space="preserve">| 4 L JAVA % | 1 P CPT % </v>
      </c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</row>
    <row r="544" spans="1:102" ht="12.5" x14ac:dyDescent="0.25">
      <c r="A544" s="3">
        <f ca="1">IFERROR(__xludf.DUMMYFUNCTION("""COMPUTED_VALUE"""),3)</f>
        <v>3</v>
      </c>
      <c r="B544" s="3" t="str">
        <f ca="1">IFERROR(__xludf.DUMMYFUNCTION("""COMPUTED_VALUE"""),"ITC")</f>
        <v>ITC</v>
      </c>
      <c r="C544" s="32" t="str">
        <f ca="1">IFERROR(__xludf.DUMMYFUNCTION("""COMPUTED_VALUE"""),"23171371142")</f>
        <v>23171371142</v>
      </c>
      <c r="D544" s="4" t="str">
        <f ca="1">IFERROR(__xludf.DUMMYFUNCTION("""COMPUTED_VALUE"""),"RAVAL KISHANKUMAR BHARATBHAI")</f>
        <v>RAVAL KISHANKUMAR BHARATBHAI</v>
      </c>
      <c r="E544" s="3" t="str">
        <f ca="1">IFERROR(__xludf.DUMMYFUNCTION("""COMPUTED_VALUE"""),"SDP&amp;KKP - Mor")</f>
        <v>SDP&amp;KKP - Mor</v>
      </c>
      <c r="F544" s="3">
        <f ca="1">IFERROR(__xludf.DUMMYFUNCTION("""COMPUTED_VALUE"""),9016530443)</f>
        <v>9016530443</v>
      </c>
      <c r="G544" s="3">
        <f ca="1">IFERROR(__xludf.DUMMYFUNCTION("""COMPUTED_VALUE"""),9723412972)</f>
        <v>9723412972</v>
      </c>
      <c r="H544" s="33">
        <f ca="1">IFERROR(__xludf.DUMMYFUNCTION("""COMPUTED_VALUE"""),0.76734693877551)</f>
        <v>0.76734693877550997</v>
      </c>
      <c r="I544" s="25">
        <f ca="1">IFERROR(__xludf.DUMMYFUNCTION("""COMPUTED_VALUE"""),0.722222222222222)</f>
        <v>0.72222222222222199</v>
      </c>
      <c r="J544" s="25">
        <f ca="1">IFERROR(__xludf.DUMMYFUNCTION("""COMPUTED_VALUE"""),0.916666666666666)</f>
        <v>0.91666666666666596</v>
      </c>
      <c r="K544" s="25">
        <f ca="1">IFERROR(__xludf.DUMMYFUNCTION("""COMPUTED_VALUE"""),0.777777777777777)</f>
        <v>0.77777777777777701</v>
      </c>
      <c r="L544" s="25">
        <f ca="1">IFERROR(__xludf.DUMMYFUNCTION("""COMPUTED_VALUE"""),0.692307692307692)</f>
        <v>0.69230769230769196</v>
      </c>
      <c r="M544" s="25">
        <f ca="1">IFERROR(__xludf.DUMMYFUNCTION("""COMPUTED_VALUE"""),0.84375)</f>
        <v>0.84375</v>
      </c>
      <c r="N544" s="25">
        <f ca="1">IFERROR(__xludf.DUMMYFUNCTION("""COMPUTED_VALUE"""),0.769230769230769)</f>
        <v>0.76923076923076905</v>
      </c>
      <c r="O544" s="25">
        <f ca="1">IFERROR(__xludf.DUMMYFUNCTION("""COMPUTED_VALUE"""),0.837837837837837)</f>
        <v>0.83783783783783705</v>
      </c>
      <c r="P544" s="25">
        <f ca="1">IFERROR(__xludf.DUMMYFUNCTION("""COMPUTED_VALUE"""),0.8)</f>
        <v>0.8</v>
      </c>
      <c r="Q544" s="25">
        <f ca="1">IFERROR(__xludf.DUMMYFUNCTION("""COMPUTED_VALUE"""),0)</f>
        <v>0</v>
      </c>
      <c r="R544" s="25">
        <f ca="1">IFERROR(__xludf.DUMMYFUNCTION("""COMPUTED_VALUE"""),0.782608695652174)</f>
        <v>0.78260869565217395</v>
      </c>
      <c r="S544" s="25">
        <f ca="1">IFERROR(__xludf.DUMMYFUNCTION("""COMPUTED_VALUE"""),0)</f>
        <v>0</v>
      </c>
      <c r="T544" s="25">
        <f ca="1">IFERROR(__xludf.DUMMYFUNCTION("""COMPUTED_VALUE"""),0.6)</f>
        <v>0.6</v>
      </c>
      <c r="U544" s="25">
        <f ca="1">IFERROR(__xludf.DUMMYFUNCTION("""COMPUTED_VALUE"""),0.25)</f>
        <v>0.25</v>
      </c>
      <c r="V544" s="25">
        <f ca="1">IFERROR(__xludf.DUMMYFUNCTION("""COMPUTED_VALUE"""),0)</f>
        <v>0</v>
      </c>
      <c r="W544" s="4"/>
      <c r="X544" s="4" t="str">
        <f ca="1">IFERROR(__xludf.DUMMYFUNCTION("""COMPUTED_VALUE"""),"| 1 P JAVA @ | 3 L CPT @ | 4 L JAVA @ ")</f>
        <v xml:space="preserve">| 1 P JAVA @ | 3 L CPT @ | 4 L JAVA @ </v>
      </c>
      <c r="Y544" s="4" t="str">
        <f ca="1">IFERROR(__xludf.DUMMYFUNCTION("""COMPUTED_VALUE"""),"| 1 P PHP-CGM % | 3 L JAVA % | 4 L NS % | 5 P PRO % ")</f>
        <v xml:space="preserve">| 1 P PHP-CGM % | 3 L JAVA % | 4 L NS % | 5 P PRO % </v>
      </c>
      <c r="Z544" s="4" t="str">
        <f ca="1">IFERROR(__xludf.DUMMYFUNCTION("""COMPUTED_VALUE"""),"| 1 P Python % | 3 L PHP-CGM % | 4 L NS % | 5 P JAVA % ")</f>
        <v xml:space="preserve">| 1 P Python % | 3 L PHP-CGM % | 4 L NS % | 5 P JAVA % </v>
      </c>
      <c r="AA544" s="4" t="str">
        <f ca="1">IFERROR(__xludf.DUMMYFUNCTION("""COMPUTED_VALUE"""),"| 1 P Python % | 3 L CPT % | 5 P NS % ")</f>
        <v xml:space="preserve">| 1 P Python % | 3 L CPT % | 5 P NS % </v>
      </c>
      <c r="AB544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C544" s="4" t="str">
        <f ca="1">IFERROR(__xludf.DUMMYFUNCTION("""COMPUTED_VALUE"""),"| 1 P JAVA @ | 3 L CPT @ | 4 L JAVA @ ")</f>
        <v xml:space="preserve">| 1 P JAVA @ | 3 L CPT @ | 4 L JAVA @ </v>
      </c>
      <c r="AD544" s="4" t="str">
        <f ca="1">IFERROR(__xludf.DUMMYFUNCTION("""COMPUTED_VALUE"""),"| 1 P PHP-CGM % | 3 L JAVA % | 4 L NS % | 5 P PRO % ")</f>
        <v xml:space="preserve">| 1 P PHP-CGM % | 3 L JAVA % | 4 L NS % | 5 P PRO % </v>
      </c>
      <c r="AE544" s="4" t="str">
        <f ca="1">IFERROR(__xludf.DUMMYFUNCTION("""COMPUTED_VALUE"""),"| 1 P Python % | 3 L PHP-CGM % | 4 L NS % | 5 P JAVA % ")</f>
        <v xml:space="preserve">| 1 P Python % | 3 L PHP-CGM % | 4 L NS % | 5 P JAVA % </v>
      </c>
      <c r="AF544" s="4" t="str">
        <f ca="1">IFERROR(__xludf.DUMMYFUNCTION("""COMPUTED_VALUE"""),"| 1 P Python % | 3 L CPT % | 4 L PHP-CGM % | 5 P NS % ")</f>
        <v xml:space="preserve">| 1 P Python % | 3 L CPT % | 4 L PHP-CGM % | 5 P NS % </v>
      </c>
      <c r="AG544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H544" s="4" t="str">
        <f ca="1">IFERROR(__xludf.DUMMYFUNCTION("""COMPUTED_VALUE"""),"| 1 P Python % | 3 L CPT % | 4 L PHP-CGM % | 5 P NS % ")</f>
        <v xml:space="preserve">| 1 P Python % | 3 L CPT % | 4 L PHP-CGM % | 5 P NS % </v>
      </c>
      <c r="AI544" s="4" t="str">
        <f ca="1">IFERROR(__xludf.DUMMYFUNCTION("""COMPUTED_VALUE"""),"| 1 P CPT % | 3 L PHP-CGM % | 4 L JAVA % | 5 L CPT @ | 6 L NS % ")</f>
        <v xml:space="preserve">| 1 P CPT % | 3 L PHP-CGM % | 4 L JAVA % | 5 L CPT @ | 6 L NS % </v>
      </c>
      <c r="AJ544" s="4" t="str">
        <f ca="1">IFERROR(__xludf.DUMMYFUNCTION("""COMPUTED_VALUE"""),"| 1 P JAVA % | 3 L CPT % | 4 L JAVA % ")</f>
        <v xml:space="preserve">| 1 P JAVA % | 3 L CPT % | 4 L JAVA % </v>
      </c>
      <c r="AK544" s="4" t="str">
        <f ca="1">IFERROR(__xludf.DUMMYFUNCTION("""COMPUTED_VALUE"""),"| 1 P PHP-CGM @ | 4 L NS @ | 3 L JAVA @ | 5 P PRO @ ")</f>
        <v xml:space="preserve">| 1 P PHP-CGM @ | 4 L NS @ | 3 L JAVA @ | 5 P PRO @ </v>
      </c>
      <c r="AL544" s="4" t="str">
        <f ca="1">IFERROR(__xludf.DUMMYFUNCTION("""COMPUTED_VALUE"""),"| 1 P Python % | 3 L PHP-CGM % | 4 L NS % | 5 P JAVA % ")</f>
        <v xml:space="preserve">| 1 P Python % | 3 L PHP-CGM % | 4 L NS % | 5 P JAVA % </v>
      </c>
      <c r="AM544" s="4" t="str">
        <f ca="1">IFERROR(__xludf.DUMMYFUNCTION("""COMPUTED_VALUE"""),"| 1 P Python % | 3 L CPT % | 4 L PHP-CGM % | 5 P NS % ")</f>
        <v xml:space="preserve">| 1 P Python % | 3 L CPT % | 4 L PHP-CGM % | 5 P NS % </v>
      </c>
      <c r="AN544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44" s="4" t="str">
        <f ca="1">IFERROR(__xludf.DUMMYFUNCTION("""COMPUTED_VALUE"""),"| 1 P JAVA % | 3 L CPT % | 4 L JAVA % | 5 L INE % ")</f>
        <v xml:space="preserve">| 1 P JAVA % | 3 L CPT % | 4 L JAVA % | 5 L INE % </v>
      </c>
      <c r="AP544" s="4" t="str">
        <f ca="1">IFERROR(__xludf.DUMMYFUNCTION("""COMPUTED_VALUE"""),"| 1 P PHP-CGM % | 3 L JAVA % | 4 L NS % | 5 P PRO % ")</f>
        <v xml:space="preserve">| 1 P PHP-CGM % | 3 L JAVA % | 4 L NS % | 5 P PRO % </v>
      </c>
      <c r="AQ544" s="4" t="str">
        <f ca="1">IFERROR(__xludf.DUMMYFUNCTION("""COMPUTED_VALUE"""),"| 1 P Python % | 3 L PHP-CGM % | 4 L NS % | 5 P JAVA % ")</f>
        <v xml:space="preserve">| 1 P Python % | 3 L PHP-CGM % | 4 L NS % | 5 P JAVA % </v>
      </c>
      <c r="AR544" s="4" t="str">
        <f ca="1">IFERROR(__xludf.DUMMYFUNCTION("""COMPUTED_VALUE"""),"| 1 P Python % | 3 L CPT % | 5 P NS @ ")</f>
        <v xml:space="preserve">| 1 P Python % | 3 L CPT % | 5 P NS @ </v>
      </c>
      <c r="AS544" s="4" t="str">
        <f ca="1">IFERROR(__xludf.DUMMYFUNCTION("""COMPUTED_VALUE"""),"| 1 P JAVA @ | 3 L CPT @ | 4 L JAVA % | 5 L INE @ ")</f>
        <v xml:space="preserve">| 1 P JAVA @ | 3 L CPT @ | 4 L JAVA % | 5 L INE @ </v>
      </c>
      <c r="AT544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44" s="4" t="str">
        <f ca="1">IFERROR(__xludf.DUMMYFUNCTION("""COMPUTED_VALUE"""),"| 1 P Python % | 3 L PHP-CGM % | 4 L NS % | 5 P JAVA % ")</f>
        <v xml:space="preserve">| 1 P Python % | 3 L PHP-CGM % | 4 L NS % | 5 P JAVA % </v>
      </c>
      <c r="AV544" s="4" t="str">
        <f ca="1">IFERROR(__xludf.DUMMYFUNCTION("""COMPUTED_VALUE"""),"| 1 P Python % | 3 L CPT % | 4 L PHP-CGM % | 5 P NS % ")</f>
        <v xml:space="preserve">| 1 P Python % | 3 L CPT % | 4 L PHP-CGM % | 5 P NS % </v>
      </c>
      <c r="AW544" s="4" t="str">
        <f ca="1">IFERROR(__xludf.DUMMYFUNCTION("""COMPUTED_VALUE"""),"| 1 P CPT % | 3 L PHP-CGM % | 4 L JAVA % | 5 L NS % | 5 L CPT % ")</f>
        <v xml:space="preserve">| 1 P CPT % | 3 L PHP-CGM % | 4 L JAVA % | 5 L NS % | 5 L CPT % </v>
      </c>
      <c r="AX544" s="4" t="str">
        <f ca="1">IFERROR(__xludf.DUMMYFUNCTION("""COMPUTED_VALUE"""),"| 1 P JAVA % | 3 L CPT % | 4 L JAVA % | 5 L INE @ ")</f>
        <v xml:space="preserve">| 1 P JAVA % | 3 L CPT % | 4 L JAVA % | 5 L INE @ </v>
      </c>
      <c r="AY544" s="4" t="str">
        <f ca="1">IFERROR(__xludf.DUMMYFUNCTION("""COMPUTED_VALUE"""),"| 1 P PHP-CGM @ | 3 L JAVA @ | 4 L NS @ | 5 P PRO @ ")</f>
        <v xml:space="preserve">| 1 P PHP-CGM @ | 3 L JAVA @ | 4 L NS @ | 5 P PRO @ </v>
      </c>
      <c r="AZ544" s="4" t="str">
        <f ca="1">IFERROR(__xludf.DUMMYFUNCTION("""COMPUTED_VALUE"""),"| 1 P Python % | 3 L CPT % | 4 L PHP-CGM % | 5 P NS % ")</f>
        <v xml:space="preserve">| 1 P Python % | 3 L CPT % | 4 L PHP-CGM % | 5 P NS % </v>
      </c>
      <c r="BA544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B544" s="4" t="str">
        <f ca="1">IFERROR(__xludf.DUMMYFUNCTION("""COMPUTED_VALUE"""),"| 1 P JAVA % | 3 L CPT % | 4 L JAVA % | 5 L INE @ ")</f>
        <v xml:space="preserve">| 1 P JAVA % | 3 L CPT % | 4 L JAVA % | 5 L INE @ </v>
      </c>
      <c r="BC544" s="4" t="str">
        <f ca="1">IFERROR(__xludf.DUMMYFUNCTION("""COMPUTED_VALUE"""),"| 1 P PHP-CGM % | 3 L JAVA % | 4 L NS % | 5 P PRO % ")</f>
        <v xml:space="preserve">| 1 P PHP-CGM % | 3 L JAVA % | 4 L NS % | 5 P PRO % </v>
      </c>
      <c r="BD544" s="4" t="str">
        <f ca="1">IFERROR(__xludf.DUMMYFUNCTION("""COMPUTED_VALUE"""),"| 1 P Python % | 4 L NS %  | 3 L PHP-CGM % | 5 P JAVA % ")</f>
        <v xml:space="preserve">| 1 P Python % | 4 L NS %  | 3 L PHP-CGM % | 5 P JAVA % </v>
      </c>
      <c r="BE544" s="4" t="str">
        <f ca="1">IFERROR(__xludf.DUMMYFUNCTION("""COMPUTED_VALUE"""),"| 1 P Python % | 3 L CPT % | 4 L PHP-CGM % | 5 P NS % ")</f>
        <v xml:space="preserve">| 1 P Python % | 3 L CPT % | 4 L PHP-CGM % | 5 P NS % </v>
      </c>
      <c r="BF544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44" s="4" t="str">
        <f ca="1">IFERROR(__xludf.DUMMYFUNCTION("""COMPUTED_VALUE"""),"| 1 P PHP-CGM % | 3 L JAVA % | 4 L NS % | 5 P PRO @ ")</f>
        <v xml:space="preserve">| 1 P PHP-CGM % | 3 L JAVA % | 4 L NS % | 5 P PRO @ </v>
      </c>
      <c r="BH544" s="4" t="str">
        <f ca="1">IFERROR(__xludf.DUMMYFUNCTION("""COMPUTED_VALUE"""),"| 1 P Python % | 3 L PHP-CGM % | 4 L NS % | 5 P JAVA % ")</f>
        <v xml:space="preserve">| 1 P Python % | 3 L PHP-CGM % | 4 L NS % | 5 P JAVA % </v>
      </c>
      <c r="BI544" s="4" t="str">
        <f ca="1">IFERROR(__xludf.DUMMYFUNCTION("""COMPUTED_VALUE"""),"| 1 P Python % | 3 L CPT % | 4 L PHP-CGM % | 5 P NS % ")</f>
        <v xml:space="preserve">| 1 P Python % | 3 L CPT % | 4 L PHP-CGM % | 5 P NS % </v>
      </c>
      <c r="BJ544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K544" s="4" t="str">
        <f ca="1">IFERROR(__xludf.DUMMYFUNCTION("""COMPUTED_VALUE"""),"| 1 P JAVA % | 3 L CPT % | 4 L JAVA % | 5 L INE @ ")</f>
        <v xml:space="preserve">| 1 P JAVA % | 3 L CPT % | 4 L JAVA % | 5 L INE @ </v>
      </c>
      <c r="BL544" s="4" t="str">
        <f ca="1">IFERROR(__xludf.DUMMYFUNCTION("""COMPUTED_VALUE"""),"| 1 P PHP-CGM % | 3 L JAVA % | 4 L NS % | 5 P PRO @ ")</f>
        <v xml:space="preserve">| 1 P PHP-CGM % | 3 L JAVA % | 4 L NS % | 5 P PRO @ </v>
      </c>
      <c r="BM544" s="4" t="str">
        <f ca="1">IFERROR(__xludf.DUMMYFUNCTION("""COMPUTED_VALUE"""),"| 1 P Python @ | 3 L PHP-CGM @ | 4 L NS @ | 5 P JAVA @ ")</f>
        <v xml:space="preserve">| 1 P Python @ | 3 L PHP-CGM @ | 4 L NS @ | 5 P JAVA @ </v>
      </c>
      <c r="BN544" s="4" t="str">
        <f ca="1">IFERROR(__xludf.DUMMYFUNCTION("""COMPUTED_VALUE"""),"| 1 P Python @ | 3 L CPT @ | 4 L PHP-CGM @ | 5 P NS @ ")</f>
        <v xml:space="preserve">| 1 P Python @ | 3 L CPT @ | 4 L PHP-CGM @ | 5 P NS @ </v>
      </c>
      <c r="BO544" s="4" t="str">
        <f ca="1">IFERROR(__xludf.DUMMYFUNCTION("""COMPUTED_VALUE"""),"| 1 P CPT % | 3 L PHP-CGM % | 4 L JAVA % | 5 L NS @ | 6 L CPT % ")</f>
        <v xml:space="preserve">| 1 P CPT % | 3 L PHP-CGM % | 4 L JAVA % | 5 L NS @ | 6 L CPT % </v>
      </c>
      <c r="BP544" s="4" t="str">
        <f ca="1">IFERROR(__xludf.DUMMYFUNCTION("""COMPUTED_VALUE"""),"| 1 P JAVA % | 3 L CPT % | 4 L JAVA % | 5 L INE @ ")</f>
        <v xml:space="preserve">| 1 P JAVA % | 3 L CPT % | 4 L JAVA % | 5 L INE @ </v>
      </c>
      <c r="BQ544" s="4" t="str">
        <f ca="1">IFERROR(__xludf.DUMMYFUNCTION("""COMPUTED_VALUE"""),"| 4 L NS @ | 5 P JAVA % ")</f>
        <v xml:space="preserve">| 4 L NS @ | 5 P JAVA % </v>
      </c>
      <c r="BR544" s="4"/>
      <c r="BS544" s="4"/>
      <c r="BT544" s="4" t="str">
        <f ca="1">IFERROR(__xludf.DUMMYFUNCTION("""COMPUTED_VALUE"""),"| 1 P JAVA % | 3 L CPT % | 4 L JAVA % ")</f>
        <v xml:space="preserve">| 1 P JAVA % | 3 L CPT % | 4 L JAVA % </v>
      </c>
      <c r="BU544" s="4" t="str">
        <f ca="1">IFERROR(__xludf.DUMMYFUNCTION("""COMPUTED_VALUE"""),"| 1 P PHP-CGM % | 4 L NS % | 3 L JAVA % ")</f>
        <v xml:space="preserve">| 1 P PHP-CGM % | 4 L NS % | 3 L JAVA % </v>
      </c>
      <c r="BV544" s="4" t="str">
        <f ca="1">IFERROR(__xludf.DUMMYFUNCTION("""COMPUTED_VALUE"""),"| 1 P JAVA % | 3 L CPT % | 4 L JAVA % ")</f>
        <v xml:space="preserve">| 1 P JAVA % | 3 L CPT % | 4 L JAVA % </v>
      </c>
      <c r="BW544" s="4" t="str">
        <f ca="1">IFERROR(__xludf.DUMMYFUNCTION("""COMPUTED_VALUE"""),"| 1 P PHP-CGM @ | 3 L JAVA @ | 4 L NS @ ")</f>
        <v xml:space="preserve">| 1 P PHP-CGM @ | 3 L JAVA @ | 4 L NS @ </v>
      </c>
      <c r="BX544" s="4" t="str">
        <f ca="1">IFERROR(__xludf.DUMMYFUNCTION("""COMPUTED_VALUE"""),"| 1 P Python % | 3 L PHP-CGM % | 4 L NS % | 5 P JAVA % ")</f>
        <v xml:space="preserve">| 1 P Python % | 3 L PHP-CGM % | 4 L NS % | 5 P JAVA % </v>
      </c>
      <c r="BY544" s="4" t="str">
        <f ca="1">IFERROR(__xludf.DUMMYFUNCTION("""COMPUTED_VALUE"""),"| 1 P Python @ | 3 L CPT @ | 4 L PHP-CGM @ | 5 P NS @ ")</f>
        <v xml:space="preserve">| 1 P Python @ | 3 L CPT @ | 4 L PHP-CGM @ | 5 P NS @ </v>
      </c>
      <c r="BZ544" s="4" t="str">
        <f ca="1">IFERROR(__xludf.DUMMYFUNCTION("""COMPUTED_VALUE"""),"| 1 P CPT % | 3 L PHP-CGM % | 4 L JAVA % | 5 L NS % | 6 L CPT @ ")</f>
        <v xml:space="preserve">| 1 P CPT % | 3 L PHP-CGM % | 4 L JAVA % | 5 L NS % | 6 L CPT @ </v>
      </c>
      <c r="CA544" s="4" t="str">
        <f ca="1">IFERROR(__xludf.DUMMYFUNCTION("""COMPUTED_VALUE"""),"| 1 P JAVA % | 3 L CPT % | 4 L JAVA % | 5 L INE % ")</f>
        <v xml:space="preserve">| 1 P JAVA % | 3 L CPT % | 4 L JAVA % | 5 L INE % </v>
      </c>
      <c r="CB544" s="4" t="str">
        <f ca="1">IFERROR(__xludf.DUMMYFUNCTION("""COMPUTED_VALUE"""),"| 1 P PHP-CGM % | 3 L JAVA % | 4 L NS % | 5 P PRO % ")</f>
        <v xml:space="preserve">| 1 P PHP-CGM % | 3 L JAVA % | 4 L NS % | 5 P PRO % </v>
      </c>
      <c r="CC544" s="4" t="str">
        <f ca="1">IFERROR(__xludf.DUMMYFUNCTION("""COMPUTED_VALUE"""),"| 1 P Python % | 3 L PHP-CGM % | 4 L NS % | 5 P JAVA % ")</f>
        <v xml:space="preserve">| 1 P Python % | 3 L PHP-CGM % | 4 L NS % | 5 P JAVA % </v>
      </c>
      <c r="CD544" s="4" t="str">
        <f ca="1">IFERROR(__xludf.DUMMYFUNCTION("""COMPUTED_VALUE"""),"| 1 P Python @ | 3 L CPT @ | 4 L PHP-CGM @ | 5 P NS @ ")</f>
        <v xml:space="preserve">| 1 P Python @ | 3 L CPT @ | 4 L PHP-CGM @ | 5 P NS @ </v>
      </c>
      <c r="CE544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CF544" s="4" t="str">
        <f ca="1">IFERROR(__xludf.DUMMYFUNCTION("""COMPUTED_VALUE"""),"| 1 P JAVA % | 3 L CPT % | 4 L JAVA % | 5 L INE @ ")</f>
        <v xml:space="preserve">| 1 P JAVA % | 3 L CPT % | 4 L JAVA % | 5 L INE @ </v>
      </c>
      <c r="CG544" s="4" t="str">
        <f ca="1">IFERROR(__xludf.DUMMYFUNCTION("""COMPUTED_VALUE"""),"| 1 P PHP-CGM % | 4 L NS % ")</f>
        <v xml:space="preserve">| 1 P PHP-CGM % | 4 L NS % </v>
      </c>
      <c r="CH544" s="4" t="str">
        <f ca="1">IFERROR(__xludf.DUMMYFUNCTION("""COMPUTED_VALUE"""),"| 3 L PHP-CGM % | 4 L NS % ")</f>
        <v xml:space="preserve">| 3 L PHP-CGM % | 4 L NS % </v>
      </c>
      <c r="CI544" s="4" t="str">
        <f ca="1">IFERROR(__xludf.DUMMYFUNCTION("""COMPUTED_VALUE"""),"| 1 P Python @ | 5 P NS % ")</f>
        <v xml:space="preserve">| 1 P Python @ | 5 P NS % </v>
      </c>
      <c r="CJ544" s="4" t="str">
        <f ca="1">IFERROR(__xludf.DUMMYFUNCTION("""COMPUTED_VALUE"""),"| 4 L JAVA % | 1 P CPT % ")</f>
        <v xml:space="preserve">| 4 L JAVA % | 1 P CPT % </v>
      </c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</row>
    <row r="545" spans="1:102" ht="12.5" x14ac:dyDescent="0.25">
      <c r="A545" s="3">
        <f ca="1">IFERROR(__xludf.DUMMYFUNCTION("""COMPUTED_VALUE"""),3)</f>
        <v>3</v>
      </c>
      <c r="B545" s="3" t="str">
        <f ca="1">IFERROR(__xludf.DUMMYFUNCTION("""COMPUTED_VALUE"""),"ITC")</f>
        <v>ITC</v>
      </c>
      <c r="C545" s="32" t="str">
        <f ca="1">IFERROR(__xludf.DUMMYFUNCTION("""COMPUTED_VALUE"""),"23171371143")</f>
        <v>23171371143</v>
      </c>
      <c r="D545" s="4" t="str">
        <f ca="1">IFERROR(__xludf.DUMMYFUNCTION("""COMPUTED_VALUE"""),"RAVAL MEET SURESHBHAI")</f>
        <v>RAVAL MEET SURESHBHAI</v>
      </c>
      <c r="E545" s="3" t="str">
        <f ca="1">IFERROR(__xludf.DUMMYFUNCTION("""COMPUTED_VALUE"""),"SDP&amp;KKP - Mor")</f>
        <v>SDP&amp;KKP - Mor</v>
      </c>
      <c r="F545" s="3">
        <f ca="1">IFERROR(__xludf.DUMMYFUNCTION("""COMPUTED_VALUE"""),9638187424)</f>
        <v>9638187424</v>
      </c>
      <c r="G545" s="3">
        <f ca="1">IFERROR(__xludf.DUMMYFUNCTION("""COMPUTED_VALUE"""),9879235980)</f>
        <v>9879235980</v>
      </c>
      <c r="H545" s="33">
        <f ca="1">IFERROR(__xludf.DUMMYFUNCTION("""COMPUTED_VALUE"""),0.26938775510204)</f>
        <v>0.26938775510203999</v>
      </c>
      <c r="I545" s="25">
        <f ca="1">IFERROR(__xludf.DUMMYFUNCTION("""COMPUTED_VALUE"""),0.305555555555555)</f>
        <v>0.30555555555555503</v>
      </c>
      <c r="J545" s="25">
        <f ca="1">IFERROR(__xludf.DUMMYFUNCTION("""COMPUTED_VALUE"""),0)</f>
        <v>0</v>
      </c>
      <c r="K545" s="25">
        <f ca="1">IFERROR(__xludf.DUMMYFUNCTION("""COMPUTED_VALUE"""),0.388888888888888)</f>
        <v>0.38888888888888801</v>
      </c>
      <c r="L545" s="25">
        <f ca="1">IFERROR(__xludf.DUMMYFUNCTION("""COMPUTED_VALUE"""),0.461538461538461)</f>
        <v>0.46153846153846101</v>
      </c>
      <c r="M545" s="25">
        <f ca="1">IFERROR(__xludf.DUMMYFUNCTION("""COMPUTED_VALUE"""),0.46875)</f>
        <v>0.46875</v>
      </c>
      <c r="N545" s="25">
        <f ca="1">IFERROR(__xludf.DUMMYFUNCTION("""COMPUTED_VALUE"""),0.0769230769230769)</f>
        <v>7.69230769230769E-2</v>
      </c>
      <c r="O545" s="25">
        <f ca="1">IFERROR(__xludf.DUMMYFUNCTION("""COMPUTED_VALUE"""),0.351351351351351)</f>
        <v>0.35135135135135098</v>
      </c>
      <c r="P545" s="25">
        <f ca="1">IFERROR(__xludf.DUMMYFUNCTION("""COMPUTED_VALUE"""),0.08)</f>
        <v>0.08</v>
      </c>
      <c r="Q545" s="25">
        <f ca="1">IFERROR(__xludf.DUMMYFUNCTION("""COMPUTED_VALUE"""),0)</f>
        <v>0</v>
      </c>
      <c r="R545" s="25">
        <f ca="1">IFERROR(__xludf.DUMMYFUNCTION("""COMPUTED_VALUE"""),0.0434782608695652)</f>
        <v>4.3478260869565202E-2</v>
      </c>
      <c r="S545" s="25">
        <f ca="1">IFERROR(__xludf.DUMMYFUNCTION("""COMPUTED_VALUE"""),0)</f>
        <v>0</v>
      </c>
      <c r="T545" s="25">
        <f ca="1">IFERROR(__xludf.DUMMYFUNCTION("""COMPUTED_VALUE"""),0.2)</f>
        <v>0.2</v>
      </c>
      <c r="U545" s="25">
        <f ca="1">IFERROR(__xludf.DUMMYFUNCTION("""COMPUTED_VALUE"""),0.125)</f>
        <v>0.125</v>
      </c>
      <c r="V545" s="25">
        <f ca="1">IFERROR(__xludf.DUMMYFUNCTION("""COMPUTED_VALUE"""),0)</f>
        <v>0</v>
      </c>
      <c r="W545" s="4"/>
      <c r="X545" s="4" t="str">
        <f ca="1">IFERROR(__xludf.DUMMYFUNCTION("""COMPUTED_VALUE"""),"| 1 P JAVA @ | 3 L CPT % | 4 L JAVA % ")</f>
        <v xml:space="preserve">| 1 P JAVA @ | 3 L CPT % | 4 L JAVA % </v>
      </c>
      <c r="Y545" s="4" t="str">
        <f ca="1">IFERROR(__xludf.DUMMYFUNCTION("""COMPUTED_VALUE"""),"| 1 P PHP-CGM @ | 3 L JAVA @ | 4 L NS @ | 5 P PRO @ ")</f>
        <v xml:space="preserve">| 1 P PHP-CGM @ | 3 L JAVA @ | 4 L NS @ | 5 P PRO @ </v>
      </c>
      <c r="Z545" s="4" t="str">
        <f ca="1">IFERROR(__xludf.DUMMYFUNCTION("""COMPUTED_VALUE"""),"| 1 P Python % | 3 L PHP-CGM % | 4 L NS % | 5 P JAVA % ")</f>
        <v xml:space="preserve">| 1 P Python % | 3 L PHP-CGM % | 4 L NS % | 5 P JAVA % </v>
      </c>
      <c r="AA545" s="4" t="str">
        <f ca="1">IFERROR(__xludf.DUMMYFUNCTION("""COMPUTED_VALUE"""),"| 1 P Python @ | 3 L CPT % | 5 P NS % ")</f>
        <v xml:space="preserve">| 1 P Python @ | 3 L CPT % | 5 P NS % </v>
      </c>
      <c r="AB545" s="4" t="str">
        <f ca="1">IFERROR(__xludf.DUMMYFUNCTION("""COMPUTED_VALUE"""),"| 1 P CPT @ | 3 L PHP-CGM % | 4 L JAVA % | 5 L CPT % | 6 L NS % ")</f>
        <v xml:space="preserve">| 1 P CPT @ | 3 L PHP-CGM % | 4 L JAVA % | 5 L CPT % | 6 L NS % </v>
      </c>
      <c r="AC545" s="4" t="str">
        <f ca="1">IFERROR(__xludf.DUMMYFUNCTION("""COMPUTED_VALUE"""),"| 1 P JAVA @ | 3 L CPT % | 4 L JAVA % ")</f>
        <v xml:space="preserve">| 1 P JAVA @ | 3 L CPT % | 4 L JAVA % </v>
      </c>
      <c r="AD545" s="4" t="str">
        <f ca="1">IFERROR(__xludf.DUMMYFUNCTION("""COMPUTED_VALUE"""),"| 1 P PHP-CGM @ | 3 L JAVA % | 4 L NS % | 5 P PRO % ")</f>
        <v xml:space="preserve">| 1 P PHP-CGM @ | 3 L JAVA % | 4 L NS % | 5 P PRO % </v>
      </c>
      <c r="AE545" s="4" t="str">
        <f ca="1">IFERROR(__xludf.DUMMYFUNCTION("""COMPUTED_VALUE"""),"| 1 P Python @ | 3 L PHP-CGM % | 4 L NS % | 5 P JAVA @ ")</f>
        <v xml:space="preserve">| 1 P Python @ | 3 L PHP-CGM % | 4 L NS % | 5 P JAVA @ </v>
      </c>
      <c r="AF545" s="4" t="str">
        <f ca="1">IFERROR(__xludf.DUMMYFUNCTION("""COMPUTED_VALUE"""),"| 1 P Python @ | 3 L CPT % | 4 L PHP-CGM % | 5 P NS % ")</f>
        <v xml:space="preserve">| 1 P Python @ | 3 L CPT % | 4 L PHP-CGM % | 5 P NS % </v>
      </c>
      <c r="AG545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45" s="4" t="str">
        <f ca="1">IFERROR(__xludf.DUMMYFUNCTION("""COMPUTED_VALUE"""),"| 1 P Python @ | 3 L CPT % | 4 L PHP-CGM % | 5 P NS % ")</f>
        <v xml:space="preserve">| 1 P Python @ | 3 L CPT % | 4 L PHP-CGM % | 5 P NS % </v>
      </c>
      <c r="AI545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J545" s="4" t="str">
        <f ca="1">IFERROR(__xludf.DUMMYFUNCTION("""COMPUTED_VALUE"""),"| 1 P JAVA @ | 3 L CPT @ | 4 L JAVA % ")</f>
        <v xml:space="preserve">| 1 P JAVA @ | 3 L CPT @ | 4 L JAVA % </v>
      </c>
      <c r="AK545" s="4" t="str">
        <f ca="1">IFERROR(__xludf.DUMMYFUNCTION("""COMPUTED_VALUE"""),"| 1 P PHP-CGM @ | 4 L NS @ | 3 L JAVA @ | 5 P PRO @ ")</f>
        <v xml:space="preserve">| 1 P PHP-CGM @ | 4 L NS @ | 3 L JAVA @ | 5 P PRO @ </v>
      </c>
      <c r="AL545" s="4" t="str">
        <f ca="1">IFERROR(__xludf.DUMMYFUNCTION("""COMPUTED_VALUE"""),"| 1 P Python @ | 3 L PHP-CGM @ | 4 L NS @ | 5 P JAVA @ ")</f>
        <v xml:space="preserve">| 1 P Python @ | 3 L PHP-CGM @ | 4 L NS @ | 5 P JAVA @ </v>
      </c>
      <c r="AM545" s="4" t="str">
        <f ca="1">IFERROR(__xludf.DUMMYFUNCTION("""COMPUTED_VALUE"""),"| 1 P Python @ | 3 L CPT @ | 4 L PHP-CGM @ | 5 P NS @ ")</f>
        <v xml:space="preserve">| 1 P Python @ | 3 L CPT @ | 4 L PHP-CGM @ | 5 P NS @ </v>
      </c>
      <c r="AN545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O545" s="4" t="str">
        <f ca="1">IFERROR(__xludf.DUMMYFUNCTION("""COMPUTED_VALUE"""),"| 1 P JAVA @ | 3 L CPT @ | 4 L JAVA @ | 5 L INE @ ")</f>
        <v xml:space="preserve">| 1 P JAVA @ | 3 L CPT @ | 4 L JAVA @ | 5 L INE @ </v>
      </c>
      <c r="AP545" s="4" t="str">
        <f ca="1">IFERROR(__xludf.DUMMYFUNCTION("""COMPUTED_VALUE"""),"| 1 P PHP-CGM @ | 3 L JAVA @ | 4 L NS @ | 5 P PRO @ ")</f>
        <v xml:space="preserve">| 1 P PHP-CGM @ | 3 L JAVA @ | 4 L NS @ | 5 P PRO @ </v>
      </c>
      <c r="AQ545" s="4" t="str">
        <f ca="1">IFERROR(__xludf.DUMMYFUNCTION("""COMPUTED_VALUE"""),"| 1 P Python @ | 3 L PHP-CGM % | 4 L NS % | 5 P JAVA @ ")</f>
        <v xml:space="preserve">| 1 P Python @ | 3 L PHP-CGM % | 4 L NS % | 5 P JAVA @ </v>
      </c>
      <c r="AR545" s="4" t="str">
        <f ca="1">IFERROR(__xludf.DUMMYFUNCTION("""COMPUTED_VALUE"""),"| 1 P Python @ | 3 L CPT @ | 5 P NS % ")</f>
        <v xml:space="preserve">| 1 P Python @ | 3 L CPT @ | 5 P NS % </v>
      </c>
      <c r="AS545" s="4" t="str">
        <f ca="1">IFERROR(__xludf.DUMMYFUNCTION("""COMPUTED_VALUE"""),"| 1 P JAVA @ | 3 L CPT @ | 4 L JAVA @ | 5 L INE @ ")</f>
        <v xml:space="preserve">| 1 P JAVA @ | 3 L CPT @ | 4 L JAVA @ | 5 L INE @ </v>
      </c>
      <c r="AT545" s="4" t="str">
        <f ca="1">IFERROR(__xludf.DUMMYFUNCTION("""COMPUTED_VALUE"""),"| 1 P PHP-CGM @ | 3 L JAVA @ | 1 P JAVA @ | 4 L NS % | 5 P PRO @ ")</f>
        <v xml:space="preserve">| 1 P PHP-CGM @ | 3 L JAVA @ | 1 P JAVA @ | 4 L NS % | 5 P PRO @ </v>
      </c>
      <c r="AU545" s="4" t="str">
        <f ca="1">IFERROR(__xludf.DUMMYFUNCTION("""COMPUTED_VALUE"""),"| 1 P Python @ | 3 L PHP-CGM % | 4 L NS % | 5 P JAVA @ ")</f>
        <v xml:space="preserve">| 1 P Python @ | 3 L PHP-CGM % | 4 L NS % | 5 P JAVA @ </v>
      </c>
      <c r="AV545" s="4" t="str">
        <f ca="1">IFERROR(__xludf.DUMMYFUNCTION("""COMPUTED_VALUE"""),"| 1 P Python @ | 3 L CPT @ | 4 L PHP-CGM % | 5 P NS @ ")</f>
        <v xml:space="preserve">| 1 P Python @ | 3 L CPT @ | 4 L PHP-CGM % | 5 P NS @ </v>
      </c>
      <c r="AW545" s="4" t="str">
        <f ca="1">IFERROR(__xludf.DUMMYFUNCTION("""COMPUTED_VALUE"""),"| 1 P CPT @ | 3 L PHP-CGM % | 4 L JAVA % | 5 L NS % | 5 L CPT @ ")</f>
        <v xml:space="preserve">| 1 P CPT @ | 3 L PHP-CGM % | 4 L JAVA % | 5 L NS % | 5 L CPT @ </v>
      </c>
      <c r="AX545" s="4" t="str">
        <f ca="1">IFERROR(__xludf.DUMMYFUNCTION("""COMPUTED_VALUE"""),"| 1 P JAVA @ | 3 L CPT @ | 4 L JAVA @ | 5 L INE @ ")</f>
        <v xml:space="preserve">| 1 P JAVA @ | 3 L CPT @ | 4 L JAVA @ | 5 L INE @ </v>
      </c>
      <c r="AY545" s="4" t="str">
        <f ca="1">IFERROR(__xludf.DUMMYFUNCTION("""COMPUTED_VALUE"""),"| 1 P PHP-CGM % | 3 L JAVA @ | 4 L NS @ | 5 P PRO @ ")</f>
        <v xml:space="preserve">| 1 P PHP-CGM % | 3 L JAVA @ | 4 L NS @ | 5 P PRO @ </v>
      </c>
      <c r="AZ545" s="4" t="str">
        <f ca="1">IFERROR(__xludf.DUMMYFUNCTION("""COMPUTED_VALUE"""),"| 1 P Python @ | 3 L CPT % | 4 L PHP-CGM % | 5 P NS % ")</f>
        <v xml:space="preserve">| 1 P Python @ | 3 L CPT % | 4 L PHP-CGM % | 5 P NS % </v>
      </c>
      <c r="BA545" s="4" t="str">
        <f ca="1">IFERROR(__xludf.DUMMYFUNCTION("""COMPUTED_VALUE"""),"| 1 P CPT @ | 3 L PHP-CGM % | 4 L JAVA % | 5 L NS @ | 6 L CPT @ ")</f>
        <v xml:space="preserve">| 1 P CPT @ | 3 L PHP-CGM % | 4 L JAVA % | 5 L NS @ | 6 L CPT @ </v>
      </c>
      <c r="BB545" s="4" t="str">
        <f ca="1">IFERROR(__xludf.DUMMYFUNCTION("""COMPUTED_VALUE"""),"| 1 P JAVA @ | 3 L CPT @ | 4 L JAVA % | 5 L INE % ")</f>
        <v xml:space="preserve">| 1 P JAVA @ | 3 L CPT @ | 4 L JAVA % | 5 L INE % </v>
      </c>
      <c r="BC545" s="4" t="str">
        <f ca="1">IFERROR(__xludf.DUMMYFUNCTION("""COMPUTED_VALUE"""),"| 1 P PHP-CGM @ | 3 L JAVA % | 4 L NS % | 5 P PRO % ")</f>
        <v xml:space="preserve">| 1 P PHP-CGM @ | 3 L JAVA % | 4 L NS % | 5 P PRO % </v>
      </c>
      <c r="BD545" s="4" t="str">
        <f ca="1">IFERROR(__xludf.DUMMYFUNCTION("""COMPUTED_VALUE"""),"| 1 P Python @ | 4 L NS @  | 3 L PHP-CGM @ | 5 P JAVA @ ")</f>
        <v xml:space="preserve">| 1 P Python @ | 4 L NS @  | 3 L PHP-CGM @ | 5 P JAVA @ </v>
      </c>
      <c r="BE545" s="4" t="str">
        <f ca="1">IFERROR(__xludf.DUMMYFUNCTION("""COMPUTED_VALUE"""),"| 1 P Python @ | 3 L CPT @ | 4 L PHP-CGM @ | 5 P NS @ ")</f>
        <v xml:space="preserve">| 1 P Python @ | 3 L CPT @ | 4 L PHP-CGM @ | 5 P NS @ </v>
      </c>
      <c r="BF545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45" s="4" t="str">
        <f ca="1">IFERROR(__xludf.DUMMYFUNCTION("""COMPUTED_VALUE"""),"| 1 P PHP-CGM @ | 3 L JAVA @ | 4 L NS @ | 5 P PRO @ ")</f>
        <v xml:space="preserve">| 1 P PHP-CGM @ | 3 L JAVA @ | 4 L NS @ | 5 P PRO @ </v>
      </c>
      <c r="BH545" s="4" t="str">
        <f ca="1">IFERROR(__xludf.DUMMYFUNCTION("""COMPUTED_VALUE"""),"| 1 P Python @ | 3 L PHP-CGM % | 4 L NS % | 5 P JAVA @ ")</f>
        <v xml:space="preserve">| 1 P Python @ | 3 L PHP-CGM % | 4 L NS % | 5 P JAVA @ </v>
      </c>
      <c r="BI545" s="4" t="str">
        <f ca="1">IFERROR(__xludf.DUMMYFUNCTION("""COMPUTED_VALUE"""),"| 1 P Python @ | 3 L CPT @ | 4 L PHP-CGM @ | 5 P NS % ")</f>
        <v xml:space="preserve">| 1 P Python @ | 3 L CPT @ | 4 L PHP-CGM @ | 5 P NS % </v>
      </c>
      <c r="BJ545" s="4" t="str">
        <f ca="1">IFERROR(__xludf.DUMMYFUNCTION("""COMPUTED_VALUE"""),"| 1 P CPT @ | 3 L PHP-CGM @ | 4 L JAVA @ | 5 L NS % | 6 L CPT @ ")</f>
        <v xml:space="preserve">| 1 P CPT @ | 3 L PHP-CGM @ | 4 L JAVA @ | 5 L NS % | 6 L CPT @ </v>
      </c>
      <c r="BK545" s="4" t="str">
        <f ca="1">IFERROR(__xludf.DUMMYFUNCTION("""COMPUTED_VALUE"""),"| 1 P JAVA @ | 3 L CPT @ | 4 L JAVA @ | 5 L INE @ ")</f>
        <v xml:space="preserve">| 1 P JAVA @ | 3 L CPT @ | 4 L JAVA @ | 5 L INE @ </v>
      </c>
      <c r="BL545" s="4" t="str">
        <f ca="1">IFERROR(__xludf.DUMMYFUNCTION("""COMPUTED_VALUE"""),"| 1 P PHP-CGM @ | 3 L JAVA @ | 4 L NS @ | 5 P PRO @ ")</f>
        <v xml:space="preserve">| 1 P PHP-CGM @ | 3 L JAVA @ | 4 L NS @ | 5 P PRO @ </v>
      </c>
      <c r="BM545" s="4" t="str">
        <f ca="1">IFERROR(__xludf.DUMMYFUNCTION("""COMPUTED_VALUE"""),"| 1 P Python @ | 3 L PHP-CGM @ | 4 L NS @ | 5 P JAVA @ ")</f>
        <v xml:space="preserve">| 1 P Python @ | 3 L PHP-CGM @ | 4 L NS @ | 5 P JAVA @ </v>
      </c>
      <c r="BN545" s="4" t="str">
        <f ca="1">IFERROR(__xludf.DUMMYFUNCTION("""COMPUTED_VALUE"""),"| 1 P Python @ | 3 L CPT @ | 4 L PHP-CGM @ | 5 P NS @ ")</f>
        <v xml:space="preserve">| 1 P Python @ | 3 L CPT @ | 4 L PHP-CGM @ | 5 P NS @ </v>
      </c>
      <c r="BO545" s="4" t="str">
        <f ca="1">IFERROR(__xludf.DUMMYFUNCTION("""COMPUTED_VALUE"""),"| 1 P CPT @ | 3 L PHP-CGM @ | 4 L JAVA @ | 5 L NS @ | 6 L CPT % ")</f>
        <v xml:space="preserve">| 1 P CPT @ | 3 L PHP-CGM @ | 4 L JAVA @ | 5 L NS @ | 6 L CPT % </v>
      </c>
      <c r="BP545" s="4" t="str">
        <f ca="1">IFERROR(__xludf.DUMMYFUNCTION("""COMPUTED_VALUE"""),"| 1 P JAVA @ | 3 L CPT @ | 4 L JAVA @ | 5 L INE @ ")</f>
        <v xml:space="preserve">| 1 P JAVA @ | 3 L CPT @ | 4 L JAVA @ | 5 L INE @ </v>
      </c>
      <c r="BQ545" s="4" t="str">
        <f ca="1">IFERROR(__xludf.DUMMYFUNCTION("""COMPUTED_VALUE"""),"| 4 L NS @ | 5 P JAVA % ")</f>
        <v xml:space="preserve">| 4 L NS @ | 5 P JAVA % </v>
      </c>
      <c r="BR545" s="4"/>
      <c r="BS545" s="4"/>
      <c r="BT545" s="4" t="str">
        <f ca="1">IFERROR(__xludf.DUMMYFUNCTION("""COMPUTED_VALUE"""),"| 1 P JAVA @ | 3 L CPT @ | 4 L JAVA @ ")</f>
        <v xml:space="preserve">| 1 P JAVA @ | 3 L CPT @ | 4 L JAVA @ </v>
      </c>
      <c r="BU545" s="4" t="str">
        <f ca="1">IFERROR(__xludf.DUMMYFUNCTION("""COMPUTED_VALUE"""),"| 1 P PHP-CGM @ | 4 L NS @ | 3 L JAVA @ ")</f>
        <v xml:space="preserve">| 1 P PHP-CGM @ | 4 L NS @ | 3 L JAVA @ </v>
      </c>
      <c r="BV545" s="4" t="str">
        <f ca="1">IFERROR(__xludf.DUMMYFUNCTION("""COMPUTED_VALUE"""),"| 1 P JAVA @ | 3 L CPT @ | 4 L JAVA @ ")</f>
        <v xml:space="preserve">| 1 P JAVA @ | 3 L CPT @ | 4 L JAVA @ </v>
      </c>
      <c r="BW545" s="4" t="str">
        <f ca="1">IFERROR(__xludf.DUMMYFUNCTION("""COMPUTED_VALUE"""),"| 1 P PHP-CGM @ | 3 L JAVA % | 4 L NS % ")</f>
        <v xml:space="preserve">| 1 P PHP-CGM @ | 3 L JAVA % | 4 L NS % </v>
      </c>
      <c r="BX545" s="4" t="str">
        <f ca="1">IFERROR(__xludf.DUMMYFUNCTION("""COMPUTED_VALUE"""),"| 1 P Python @ | 3 L PHP-CGM @ | 4 L NS @ | 5 P JAVA @ ")</f>
        <v xml:space="preserve">| 1 P Python @ | 3 L PHP-CGM @ | 4 L NS @ | 5 P JAVA @ </v>
      </c>
      <c r="BY545" s="4" t="str">
        <f ca="1">IFERROR(__xludf.DUMMYFUNCTION("""COMPUTED_VALUE"""),"| 1 P Python @ | 3 L CPT @ | 4 L PHP-CGM @ | 5 P NS @ ")</f>
        <v xml:space="preserve">| 1 P Python @ | 3 L CPT @ | 4 L PHP-CGM @ | 5 P NS @ </v>
      </c>
      <c r="BZ545" s="4" t="str">
        <f ca="1">IFERROR(__xludf.DUMMYFUNCTION("""COMPUTED_VALUE"""),"| 1 P CPT @ | 3 L PHP-CGM % | 4 L JAVA % | 5 L NS % | 6 L CPT % ")</f>
        <v xml:space="preserve">| 1 P CPT @ | 3 L PHP-CGM % | 4 L JAVA % | 5 L NS % | 6 L CPT % </v>
      </c>
      <c r="CA545" s="4" t="str">
        <f ca="1">IFERROR(__xludf.DUMMYFUNCTION("""COMPUTED_VALUE"""),"| 1 P JAVA @ | 3 L CPT @ | 4 L JAVA @ | 5 L INE @ ")</f>
        <v xml:space="preserve">| 1 P JAVA @ | 3 L CPT @ | 4 L JAVA @ | 5 L INE @ </v>
      </c>
      <c r="CB545" s="4" t="str">
        <f ca="1">IFERROR(__xludf.DUMMYFUNCTION("""COMPUTED_VALUE"""),"| 1 P PHP-CGM @ | 3 L JAVA @ | 4 L NS @ | 5 P PRO @ ")</f>
        <v xml:space="preserve">| 1 P PHP-CGM @ | 3 L JAVA @ | 4 L NS @ | 5 P PRO @ </v>
      </c>
      <c r="CC545" s="4" t="str">
        <f ca="1">IFERROR(__xludf.DUMMYFUNCTION("""COMPUTED_VALUE"""),"| 1 P Python @ | 3 L PHP-CGM % | 4 L NS % | 5 P JAVA @ ")</f>
        <v xml:space="preserve">| 1 P Python @ | 3 L PHP-CGM % | 4 L NS % | 5 P JAVA @ </v>
      </c>
      <c r="CD545" s="4" t="str">
        <f ca="1">IFERROR(__xludf.DUMMYFUNCTION("""COMPUTED_VALUE"""),"| 1 P Python @ | 3 L CPT % | 4 L PHP-CGM % | 5 P NS @ ")</f>
        <v xml:space="preserve">| 1 P Python @ | 3 L CPT % | 4 L PHP-CGM % | 5 P NS @ </v>
      </c>
      <c r="CE545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CF545" s="4" t="str">
        <f ca="1">IFERROR(__xludf.DUMMYFUNCTION("""COMPUTED_VALUE"""),"| 1 P JAVA @ | 3 L CPT % | 4 L JAVA % | 5 L INE @ ")</f>
        <v xml:space="preserve">| 1 P JAVA @ | 3 L CPT % | 4 L JAVA % | 5 L INE @ </v>
      </c>
      <c r="CG545" s="4" t="str">
        <f ca="1">IFERROR(__xludf.DUMMYFUNCTION("""COMPUTED_VALUE"""),"| 1 P PHP-CGM @ | 4 L NS @ ")</f>
        <v xml:space="preserve">| 1 P PHP-CGM @ | 4 L NS @ </v>
      </c>
      <c r="CH545" s="4" t="str">
        <f ca="1">IFERROR(__xludf.DUMMYFUNCTION("""COMPUTED_VALUE"""),"| 3 L PHP-CGM @ | 4 L NS @ ")</f>
        <v xml:space="preserve">| 3 L PHP-CGM @ | 4 L NS @ </v>
      </c>
      <c r="CI545" s="4" t="str">
        <f ca="1">IFERROR(__xludf.DUMMYFUNCTION("""COMPUTED_VALUE"""),"| 1 P Python @ | 5 P NS @ ")</f>
        <v xml:space="preserve">| 1 P Python @ | 5 P NS @ </v>
      </c>
      <c r="CJ545" s="4" t="str">
        <f ca="1">IFERROR(__xludf.DUMMYFUNCTION("""COMPUTED_VALUE"""),"| 4 L JAVA % | 1 P CPT @ ")</f>
        <v xml:space="preserve">| 4 L JAVA % | 1 P CPT @ </v>
      </c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</row>
    <row r="546" spans="1:102" ht="12.5" x14ac:dyDescent="0.25">
      <c r="A546" s="3">
        <f ca="1">IFERROR(__xludf.DUMMYFUNCTION("""COMPUTED_VALUE"""),3)</f>
        <v>3</v>
      </c>
      <c r="B546" s="3" t="str">
        <f ca="1">IFERROR(__xludf.DUMMYFUNCTION("""COMPUTED_VALUE"""),"ITC")</f>
        <v>ITC</v>
      </c>
      <c r="C546" s="32" t="str">
        <f ca="1">IFERROR(__xludf.DUMMYFUNCTION("""COMPUTED_VALUE"""),"23171371144")</f>
        <v>23171371144</v>
      </c>
      <c r="D546" s="4" t="str">
        <f ca="1">IFERROR(__xludf.DUMMYFUNCTION("""COMPUTED_VALUE"""),"RAVAL NEEL GHANSHYAMBHAI")</f>
        <v>RAVAL NEEL GHANSHYAMBHAI</v>
      </c>
      <c r="E546" s="3" t="str">
        <f ca="1">IFERROR(__xludf.DUMMYFUNCTION("""COMPUTED_VALUE"""),"SDP&amp;KKP - Mor")</f>
        <v>SDP&amp;KKP - Mor</v>
      </c>
      <c r="F546" s="3">
        <f ca="1">IFERROR(__xludf.DUMMYFUNCTION("""COMPUTED_VALUE"""),8980041008)</f>
        <v>8980041008</v>
      </c>
      <c r="G546" s="3">
        <f ca="1">IFERROR(__xludf.DUMMYFUNCTION("""COMPUTED_VALUE"""),9925516033)</f>
        <v>9925516033</v>
      </c>
      <c r="H546" s="33">
        <f ca="1">IFERROR(__xludf.DUMMYFUNCTION("""COMPUTED_VALUE"""),0.759183673469387)</f>
        <v>0.75918367346938698</v>
      </c>
      <c r="I546" s="25">
        <f ca="1">IFERROR(__xludf.DUMMYFUNCTION("""COMPUTED_VALUE"""),0.777777777777777)</f>
        <v>0.77777777777777701</v>
      </c>
      <c r="J546" s="25">
        <f ca="1">IFERROR(__xludf.DUMMYFUNCTION("""COMPUTED_VALUE"""),0.833333333333333)</f>
        <v>0.83333333333333304</v>
      </c>
      <c r="K546" s="25">
        <f ca="1">IFERROR(__xludf.DUMMYFUNCTION("""COMPUTED_VALUE"""),0.75)</f>
        <v>0.75</v>
      </c>
      <c r="L546" s="25">
        <f ca="1">IFERROR(__xludf.DUMMYFUNCTION("""COMPUTED_VALUE"""),0.692307692307692)</f>
        <v>0.69230769230769196</v>
      </c>
      <c r="M546" s="25">
        <f ca="1">IFERROR(__xludf.DUMMYFUNCTION("""COMPUTED_VALUE"""),0.84375)</f>
        <v>0.84375</v>
      </c>
      <c r="N546" s="25">
        <f ca="1">IFERROR(__xludf.DUMMYFUNCTION("""COMPUTED_VALUE"""),0.769230769230769)</f>
        <v>0.76923076923076905</v>
      </c>
      <c r="O546" s="25">
        <f ca="1">IFERROR(__xludf.DUMMYFUNCTION("""COMPUTED_VALUE"""),0.837837837837837)</f>
        <v>0.83783783783783705</v>
      </c>
      <c r="P546" s="25">
        <f ca="1">IFERROR(__xludf.DUMMYFUNCTION("""COMPUTED_VALUE"""),0.68)</f>
        <v>0.68</v>
      </c>
      <c r="Q546" s="25">
        <f ca="1">IFERROR(__xludf.DUMMYFUNCTION("""COMPUTED_VALUE"""),0)</f>
        <v>0</v>
      </c>
      <c r="R546" s="25">
        <f ca="1">IFERROR(__xludf.DUMMYFUNCTION("""COMPUTED_VALUE"""),0.826086956521739)</f>
        <v>0.82608695652173902</v>
      </c>
      <c r="S546" s="25">
        <f ca="1">IFERROR(__xludf.DUMMYFUNCTION("""COMPUTED_VALUE"""),0)</f>
        <v>0</v>
      </c>
      <c r="T546" s="25">
        <f ca="1">IFERROR(__xludf.DUMMYFUNCTION("""COMPUTED_VALUE"""),0.5)</f>
        <v>0.5</v>
      </c>
      <c r="U546" s="25">
        <f ca="1">IFERROR(__xludf.DUMMYFUNCTION("""COMPUTED_VALUE"""),0.375)</f>
        <v>0.375</v>
      </c>
      <c r="V546" s="25">
        <f ca="1">IFERROR(__xludf.DUMMYFUNCTION("""COMPUTED_VALUE"""),0)</f>
        <v>0</v>
      </c>
      <c r="W546" s="4"/>
      <c r="X546" s="4" t="str">
        <f ca="1">IFERROR(__xludf.DUMMYFUNCTION("""COMPUTED_VALUE"""),"| 1 P JAVA % | 3 L CPT % | 4 L JAVA % ")</f>
        <v xml:space="preserve">| 1 P JAVA % | 3 L CPT % | 4 L JAVA % </v>
      </c>
      <c r="Y546" s="4" t="str">
        <f ca="1">IFERROR(__xludf.DUMMYFUNCTION("""COMPUTED_VALUE"""),"| 1 P PHP-CGM % | 3 L JAVA % | 4 L NS % | 5 P PRO % ")</f>
        <v xml:space="preserve">| 1 P PHP-CGM % | 3 L JAVA % | 4 L NS % | 5 P PRO % </v>
      </c>
      <c r="Z546" s="4" t="str">
        <f ca="1">IFERROR(__xludf.DUMMYFUNCTION("""COMPUTED_VALUE"""),"| 1 P Python % | 3 L PHP-CGM % | 4 L NS % | 5 P JAVA @ ")</f>
        <v xml:space="preserve">| 1 P Python % | 3 L PHP-CGM % | 4 L NS % | 5 P JAVA @ </v>
      </c>
      <c r="AA546" s="4" t="str">
        <f ca="1">IFERROR(__xludf.DUMMYFUNCTION("""COMPUTED_VALUE"""),"| 1 P Python % | 3 L CPT % | 5 P NS % ")</f>
        <v xml:space="preserve">| 1 P Python % | 3 L CPT % | 5 P NS % </v>
      </c>
      <c r="AB546" s="4" t="str">
        <f ca="1">IFERROR(__xludf.DUMMYFUNCTION("""COMPUTED_VALUE"""),"| 1 P CPT % | 3 L PHP-CGM % | 4 L JAVA % | 5 L CPT @ | 6 L NS @ ")</f>
        <v xml:space="preserve">| 1 P CPT % | 3 L PHP-CGM % | 4 L JAVA % | 5 L CPT @ | 6 L NS @ </v>
      </c>
      <c r="AC546" s="4" t="str">
        <f ca="1">IFERROR(__xludf.DUMMYFUNCTION("""COMPUTED_VALUE"""),"| 1 P JAVA % | 3 L CPT % | 4 L JAVA % ")</f>
        <v xml:space="preserve">| 1 P JAVA % | 3 L CPT % | 4 L JAVA % </v>
      </c>
      <c r="AD546" s="4" t="str">
        <f ca="1">IFERROR(__xludf.DUMMYFUNCTION("""COMPUTED_VALUE"""),"| 1 P PHP-CGM % | 3 L JAVA % | 4 L NS % | 5 P PRO % ")</f>
        <v xml:space="preserve">| 1 P PHP-CGM % | 3 L JAVA % | 4 L NS % | 5 P PRO % </v>
      </c>
      <c r="AE546" s="4" t="str">
        <f ca="1">IFERROR(__xludf.DUMMYFUNCTION("""COMPUTED_VALUE"""),"| 1 P Python % | 3 L PHP-CGM % | 4 L NS % | 5 P JAVA % ")</f>
        <v xml:space="preserve">| 1 P Python % | 3 L PHP-CGM % | 4 L NS % | 5 P JAVA % </v>
      </c>
      <c r="AF546" s="4" t="str">
        <f ca="1">IFERROR(__xludf.DUMMYFUNCTION("""COMPUTED_VALUE"""),"| 1 P Python % | 3 L CPT % | 4 L PHP-CGM % | 5 P NS % ")</f>
        <v xml:space="preserve">| 1 P Python % | 3 L CPT % | 4 L PHP-CGM % | 5 P NS % </v>
      </c>
      <c r="AG546" s="4" t="str">
        <f ca="1">IFERROR(__xludf.DUMMYFUNCTION("""COMPUTED_VALUE"""),"| 1 P CPT @ | 3 L PHP-CGM @ | 4 L JAVA @ | 5 L CPT @ | 6 L NS @ ")</f>
        <v xml:space="preserve">| 1 P CPT @ | 3 L PHP-CGM @ | 4 L JAVA @ | 5 L CPT @ | 6 L NS @ </v>
      </c>
      <c r="AH546" s="4" t="str">
        <f ca="1">IFERROR(__xludf.DUMMYFUNCTION("""COMPUTED_VALUE"""),"| 1 P Python % | 3 L CPT % | 4 L PHP-CGM % | 5 P NS % ")</f>
        <v xml:space="preserve">| 1 P Python % | 3 L CPT % | 4 L PHP-CGM % | 5 P NS % </v>
      </c>
      <c r="AI546" s="4" t="str">
        <f ca="1">IFERROR(__xludf.DUMMYFUNCTION("""COMPUTED_VALUE"""),"| 1 P CPT % | 3 L PHP-CGM % | 4 L JAVA % | 5 L CPT @ | 6 L NS % ")</f>
        <v xml:space="preserve">| 1 P CPT % | 3 L PHP-CGM % | 4 L JAVA % | 5 L CPT @ | 6 L NS % </v>
      </c>
      <c r="AJ546" s="4" t="str">
        <f ca="1">IFERROR(__xludf.DUMMYFUNCTION("""COMPUTED_VALUE"""),"| 1 P JAVA % | 3 L CPT % | 4 L JAVA % ")</f>
        <v xml:space="preserve">| 1 P JAVA % | 3 L CPT % | 4 L JAVA % </v>
      </c>
      <c r="AK546" s="4" t="str">
        <f ca="1">IFERROR(__xludf.DUMMYFUNCTION("""COMPUTED_VALUE"""),"| 1 P PHP-CGM % | 4 L NS % | 3 L JAVA % | 5 P PRO @ ")</f>
        <v xml:space="preserve">| 1 P PHP-CGM % | 4 L NS % | 3 L JAVA % | 5 P PRO @ </v>
      </c>
      <c r="AL546" s="4" t="str">
        <f ca="1">IFERROR(__xludf.DUMMYFUNCTION("""COMPUTED_VALUE"""),"| 1 P Python % | 3 L PHP-CGM % | 4 L NS % | 5 P JAVA @ ")</f>
        <v xml:space="preserve">| 1 P Python % | 3 L PHP-CGM % | 4 L NS % | 5 P JAVA @ </v>
      </c>
      <c r="AM546" s="4" t="str">
        <f ca="1">IFERROR(__xludf.DUMMYFUNCTION("""COMPUTED_VALUE"""),"| 1 P Python % | 3 L CPT % | 4 L PHP-CGM % | 5 P NS @ ")</f>
        <v xml:space="preserve">| 1 P Python % | 3 L CPT % | 4 L PHP-CGM % | 5 P NS @ </v>
      </c>
      <c r="AN546" s="4" t="str">
        <f ca="1">IFERROR(__xludf.DUMMYFUNCTION("""COMPUTED_VALUE"""),"| 1 P CPT % | 3 L PHP-CGM % | 4 L JAVA % | 5 L CPT % | 6 L NS % ")</f>
        <v xml:space="preserve">| 1 P CPT % | 3 L PHP-CGM % | 4 L JAVA % | 5 L CPT % | 6 L NS % </v>
      </c>
      <c r="AO546" s="4" t="str">
        <f ca="1">IFERROR(__xludf.DUMMYFUNCTION("""COMPUTED_VALUE"""),"| 1 P JAVA % | 3 L CPT % | 4 L JAVA % | 5 L INE % ")</f>
        <v xml:space="preserve">| 1 P JAVA % | 3 L CPT % | 4 L JAVA % | 5 L INE % </v>
      </c>
      <c r="AP546" s="4" t="str">
        <f ca="1">IFERROR(__xludf.DUMMYFUNCTION("""COMPUTED_VALUE"""),"| 1 P PHP-CGM % | 3 L JAVA % | 4 L NS % | 5 P PRO % ")</f>
        <v xml:space="preserve">| 1 P PHP-CGM % | 3 L JAVA % | 4 L NS % | 5 P PRO % </v>
      </c>
      <c r="AQ546" s="4" t="str">
        <f ca="1">IFERROR(__xludf.DUMMYFUNCTION("""COMPUTED_VALUE"""),"| 1 P Python % | 3 L PHP-CGM % | 4 L NS % | 5 P JAVA % ")</f>
        <v xml:space="preserve">| 1 P Python % | 3 L PHP-CGM % | 4 L NS % | 5 P JAVA % </v>
      </c>
      <c r="AR546" s="4" t="str">
        <f ca="1">IFERROR(__xludf.DUMMYFUNCTION("""COMPUTED_VALUE"""),"| 1 P Python % | 3 L CPT % | 5 P NS @ ")</f>
        <v xml:space="preserve">| 1 P Python % | 3 L CPT % | 5 P NS @ </v>
      </c>
      <c r="AS546" s="4" t="str">
        <f ca="1">IFERROR(__xludf.DUMMYFUNCTION("""COMPUTED_VALUE"""),"| 1 P JAVA % | 3 L CPT % | 4 L JAVA % | 5 L INE % ")</f>
        <v xml:space="preserve">| 1 P JAVA % | 3 L CPT % | 4 L JAVA % | 5 L INE % </v>
      </c>
      <c r="AT546" s="4" t="str">
        <f ca="1">IFERROR(__xludf.DUMMYFUNCTION("""COMPUTED_VALUE"""),"| 1 P PHP-CGM % | 3 L JAVA % | 1 P JAVA @ | 4 L NS % | 5 P PRO % ")</f>
        <v xml:space="preserve">| 1 P PHP-CGM % | 3 L JAVA % | 1 P JAVA @ | 4 L NS % | 5 P PRO % </v>
      </c>
      <c r="AU546" s="4" t="str">
        <f ca="1">IFERROR(__xludf.DUMMYFUNCTION("""COMPUTED_VALUE"""),"| 1 P Python % | 3 L PHP-CGM % | 4 L NS % | 5 P JAVA @ ")</f>
        <v xml:space="preserve">| 1 P Python % | 3 L PHP-CGM % | 4 L NS % | 5 P JAVA @ </v>
      </c>
      <c r="AV546" s="4" t="str">
        <f ca="1">IFERROR(__xludf.DUMMYFUNCTION("""COMPUTED_VALUE"""),"| 1 P Python % | 3 L CPT % | 4 L PHP-CGM % | 5 P NS % ")</f>
        <v xml:space="preserve">| 1 P Python % | 3 L CPT % | 4 L PHP-CGM % | 5 P NS % </v>
      </c>
      <c r="AW546" s="4" t="str">
        <f ca="1">IFERROR(__xludf.DUMMYFUNCTION("""COMPUTED_VALUE"""),"| 1 P CPT % | 3 L PHP-CGM % | 4 L JAVA % | 5 L NS @ | 5 L CPT @ ")</f>
        <v xml:space="preserve">| 1 P CPT % | 3 L PHP-CGM % | 4 L JAVA % | 5 L NS @ | 5 L CPT @ </v>
      </c>
      <c r="AX546" s="4" t="str">
        <f ca="1">IFERROR(__xludf.DUMMYFUNCTION("""COMPUTED_VALUE"""),"| 1 P JAVA % | 3 L CPT % | 4 L JAVA % | 5 L INE @ ")</f>
        <v xml:space="preserve">| 1 P JAVA % | 3 L CPT % | 4 L JAVA % | 5 L INE @ </v>
      </c>
      <c r="AY546" s="4" t="str">
        <f ca="1">IFERROR(__xludf.DUMMYFUNCTION("""COMPUTED_VALUE"""),"| 1 P PHP-CGM % | 3 L JAVA % | 4 L NS % | 5 P PRO @ ")</f>
        <v xml:space="preserve">| 1 P PHP-CGM % | 3 L JAVA % | 4 L NS % | 5 P PRO @ </v>
      </c>
      <c r="AZ546" s="4" t="str">
        <f ca="1">IFERROR(__xludf.DUMMYFUNCTION("""COMPUTED_VALUE"""),"| 1 P Python % | 3 L CPT % | 4 L PHP-CGM % | 5 P NS % ")</f>
        <v xml:space="preserve">| 1 P Python % | 3 L CPT % | 4 L PHP-CGM % | 5 P NS % </v>
      </c>
      <c r="BA546" s="4" t="str">
        <f ca="1">IFERROR(__xludf.DUMMYFUNCTION("""COMPUTED_VALUE"""),"| 1 P CPT % | 3 L PHP-CGM % | 4 L JAVA % | 5 L NS @ | 6 L CPT @ ")</f>
        <v xml:space="preserve">| 1 P CPT % | 3 L PHP-CGM % | 4 L JAVA % | 5 L NS @ | 6 L CPT @ </v>
      </c>
      <c r="BB546" s="4" t="str">
        <f ca="1">IFERROR(__xludf.DUMMYFUNCTION("""COMPUTED_VALUE"""),"| 1 P JAVA @ | 3 L CPT @ | 4 L JAVA @ | 5 L INE @ ")</f>
        <v xml:space="preserve">| 1 P JAVA @ | 3 L CPT @ | 4 L JAVA @ | 5 L INE @ </v>
      </c>
      <c r="BC546" s="4" t="str">
        <f ca="1">IFERROR(__xludf.DUMMYFUNCTION("""COMPUTED_VALUE"""),"| 1 P PHP-CGM @ | 3 L JAVA @ | 4 L NS @ | 5 P PRO @ ")</f>
        <v xml:space="preserve">| 1 P PHP-CGM @ | 3 L JAVA @ | 4 L NS @ | 5 P PRO @ </v>
      </c>
      <c r="BD546" s="4" t="str">
        <f ca="1">IFERROR(__xludf.DUMMYFUNCTION("""COMPUTED_VALUE"""),"| 1 P Python @ | 4 L NS @  | 3 L PHP-CGM @ | 5 P JAVA @ ")</f>
        <v xml:space="preserve">| 1 P Python @ | 4 L NS @  | 3 L PHP-CGM @ | 5 P JAVA @ </v>
      </c>
      <c r="BE546" s="4" t="str">
        <f ca="1">IFERROR(__xludf.DUMMYFUNCTION("""COMPUTED_VALUE"""),"| 1 P Python % | 3 L CPT % | 4 L PHP-CGM % | 5 P NS % ")</f>
        <v xml:space="preserve">| 1 P Python % | 3 L CPT % | 4 L PHP-CGM % | 5 P NS % </v>
      </c>
      <c r="BF546" s="4" t="str">
        <f ca="1">IFERROR(__xludf.DUMMYFUNCTION("""COMPUTED_VALUE"""),"| 1 P CPT @ | 3 L PHP-CGM @ | 4 L JAVA @ | 5 L NS @ | 6 L CPT @ ")</f>
        <v xml:space="preserve">| 1 P CPT @ | 3 L PHP-CGM @ | 4 L JAVA @ | 5 L NS @ | 6 L CPT @ </v>
      </c>
      <c r="BG546" s="4" t="str">
        <f ca="1">IFERROR(__xludf.DUMMYFUNCTION("""COMPUTED_VALUE"""),"| 1 P PHP-CGM % | 3 L JAVA % | 4 L NS % | 5 P PRO @ ")</f>
        <v xml:space="preserve">| 1 P PHP-CGM % | 3 L JAVA % | 4 L NS % | 5 P PRO @ </v>
      </c>
      <c r="BH546" s="4" t="str">
        <f ca="1">IFERROR(__xludf.DUMMYFUNCTION("""COMPUTED_VALUE"""),"| 1 P Python % | 3 L PHP-CGM % | 4 L NS % | 5 P JAVA % ")</f>
        <v xml:space="preserve">| 1 P Python % | 3 L PHP-CGM % | 4 L NS % | 5 P JAVA % </v>
      </c>
      <c r="BI546" s="4" t="str">
        <f ca="1">IFERROR(__xludf.DUMMYFUNCTION("""COMPUTED_VALUE"""),"| 1 P Python % | 3 L CPT % | 4 L PHP-CGM % | 5 P NS % ")</f>
        <v xml:space="preserve">| 1 P Python % | 3 L CPT % | 4 L PHP-CGM % | 5 P NS % </v>
      </c>
      <c r="BJ546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K546" s="4" t="str">
        <f ca="1">IFERROR(__xludf.DUMMYFUNCTION("""COMPUTED_VALUE"""),"| 1 P JAVA % | 3 L CPT % | 4 L JAVA % | 5 L INE @ ")</f>
        <v xml:space="preserve">| 1 P JAVA % | 3 L CPT % | 4 L JAVA % | 5 L INE @ </v>
      </c>
      <c r="BL546" s="4" t="str">
        <f ca="1">IFERROR(__xludf.DUMMYFUNCTION("""COMPUTED_VALUE"""),"| 1 P PHP-CGM % | 3 L JAVA % | 4 L NS % | 5 P PRO @ ")</f>
        <v xml:space="preserve">| 1 P PHP-CGM % | 3 L JAVA % | 4 L NS % | 5 P PRO @ </v>
      </c>
      <c r="BM546" s="4" t="str">
        <f ca="1">IFERROR(__xludf.DUMMYFUNCTION("""COMPUTED_VALUE"""),"| 1 P Python @ | 3 L PHP-CGM @ | 4 L NS @ | 5 P JAVA @ ")</f>
        <v xml:space="preserve">| 1 P Python @ | 3 L PHP-CGM @ | 4 L NS @ | 5 P JAVA @ </v>
      </c>
      <c r="BN546" s="4" t="str">
        <f ca="1">IFERROR(__xludf.DUMMYFUNCTION("""COMPUTED_VALUE"""),"| 1 P Python % | 3 L CPT % | 4 L PHP-CGM % | 5 P NS % ")</f>
        <v xml:space="preserve">| 1 P Python % | 3 L CPT % | 4 L PHP-CGM % | 5 P NS % </v>
      </c>
      <c r="BO546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BP546" s="4" t="str">
        <f ca="1">IFERROR(__xludf.DUMMYFUNCTION("""COMPUTED_VALUE"""),"| 1 P JAVA % | 3 L CPT % | 4 L JAVA % | 5 L INE @ ")</f>
        <v xml:space="preserve">| 1 P JAVA % | 3 L CPT % | 4 L JAVA % | 5 L INE @ </v>
      </c>
      <c r="BQ546" s="4" t="str">
        <f ca="1">IFERROR(__xludf.DUMMYFUNCTION("""COMPUTED_VALUE"""),"| 4 L NS % | 5 P JAVA % ")</f>
        <v xml:space="preserve">| 4 L NS % | 5 P JAVA % </v>
      </c>
      <c r="BR546" s="4"/>
      <c r="BS546" s="4"/>
      <c r="BT546" s="4" t="str">
        <f ca="1">IFERROR(__xludf.DUMMYFUNCTION("""COMPUTED_VALUE"""),"| 1 P JAVA % | 3 L CPT % | 4 L JAVA % ")</f>
        <v xml:space="preserve">| 1 P JAVA % | 3 L CPT % | 4 L JAVA % </v>
      </c>
      <c r="BU546" s="4" t="str">
        <f ca="1">IFERROR(__xludf.DUMMYFUNCTION("""COMPUTED_VALUE"""),"| 1 P PHP-CGM @ | 4 L NS @ | 3 L JAVA @ ")</f>
        <v xml:space="preserve">| 1 P PHP-CGM @ | 4 L NS @ | 3 L JAVA @ </v>
      </c>
      <c r="BV546" s="4" t="str">
        <f ca="1">IFERROR(__xludf.DUMMYFUNCTION("""COMPUTED_VALUE"""),"| 1 P JAVA % | 3 L CPT % | 4 L JAVA % ")</f>
        <v xml:space="preserve">| 1 P JAVA % | 3 L CPT % | 4 L JAVA % </v>
      </c>
      <c r="BW546" s="4" t="str">
        <f ca="1">IFERROR(__xludf.DUMMYFUNCTION("""COMPUTED_VALUE"""),"| 1 P PHP-CGM @ | 3 L JAVA @ | 4 L NS % ")</f>
        <v xml:space="preserve">| 1 P PHP-CGM @ | 3 L JAVA @ | 4 L NS % </v>
      </c>
      <c r="BX546" s="4" t="str">
        <f ca="1">IFERROR(__xludf.DUMMYFUNCTION("""COMPUTED_VALUE"""),"| 1 P Python % | 3 L PHP-CGM % | 4 L NS % | 5 P JAVA % ")</f>
        <v xml:space="preserve">| 1 P Python % | 3 L PHP-CGM % | 4 L NS % | 5 P JAVA % </v>
      </c>
      <c r="BY546" s="4" t="str">
        <f ca="1">IFERROR(__xludf.DUMMYFUNCTION("""COMPUTED_VALUE"""),"| 1 P Python % | 3 L CPT % | 4 L PHP-CGM % | 5 P NS @ ")</f>
        <v xml:space="preserve">| 1 P Python % | 3 L CPT % | 4 L PHP-CGM % | 5 P NS @ </v>
      </c>
      <c r="BZ546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CA546" s="4" t="str">
        <f ca="1">IFERROR(__xludf.DUMMYFUNCTION("""COMPUTED_VALUE"""),"| 1 P JAVA % | 3 L CPT % | 4 L JAVA % | 5 L INE % ")</f>
        <v xml:space="preserve">| 1 P JAVA % | 3 L CPT % | 4 L JAVA % | 5 L INE % </v>
      </c>
      <c r="CB546" s="4" t="str">
        <f ca="1">IFERROR(__xludf.DUMMYFUNCTION("""COMPUTED_VALUE"""),"| 1 P PHP-CGM % | 3 L JAVA % | 4 L NS % | 5 P PRO % ")</f>
        <v xml:space="preserve">| 1 P PHP-CGM % | 3 L JAVA % | 4 L NS % | 5 P PRO % </v>
      </c>
      <c r="CC546" s="4" t="str">
        <f ca="1">IFERROR(__xludf.DUMMYFUNCTION("""COMPUTED_VALUE"""),"| 1 P Python % | 3 L PHP-CGM % | 4 L NS % | 5 P JAVA @ ")</f>
        <v xml:space="preserve">| 1 P Python % | 3 L PHP-CGM % | 4 L NS % | 5 P JAVA @ </v>
      </c>
      <c r="CD546" s="4" t="str">
        <f ca="1">IFERROR(__xludf.DUMMYFUNCTION("""COMPUTED_VALUE"""),"| 1 P Python @ | 3 L CPT @ | 4 L PHP-CGM @ | 5 P NS @ ")</f>
        <v xml:space="preserve">| 1 P Python @ | 3 L CPT @ | 4 L PHP-CGM @ | 5 P NS @ </v>
      </c>
      <c r="CE546" s="4" t="str">
        <f ca="1">IFERROR(__xludf.DUMMYFUNCTION("""COMPUTED_VALUE"""),"| 1 P CPT % | 3 L PHP-CGM % | 4 L JAVA % | 5 L NS % | 6 L CPT % ")</f>
        <v xml:space="preserve">| 1 P CPT % | 3 L PHP-CGM % | 4 L JAVA % | 5 L NS % | 6 L CPT % </v>
      </c>
      <c r="CF546" s="4" t="str">
        <f ca="1">IFERROR(__xludf.DUMMYFUNCTION("""COMPUTED_VALUE"""),"| 1 P JAVA % | 3 L CPT % | 4 L JAVA % | 5 L INE @ ")</f>
        <v xml:space="preserve">| 1 P JAVA % | 3 L CPT % | 4 L JAVA % | 5 L INE @ </v>
      </c>
      <c r="CG546" s="4" t="str">
        <f ca="1">IFERROR(__xludf.DUMMYFUNCTION("""COMPUTED_VALUE"""),"| 1 P PHP-CGM % | 4 L NS % ")</f>
        <v xml:space="preserve">| 1 P PHP-CGM % | 4 L NS % </v>
      </c>
      <c r="CH546" s="4" t="str">
        <f ca="1">IFERROR(__xludf.DUMMYFUNCTION("""COMPUTED_VALUE"""),"| 3 L PHP-CGM % | 4 L NS % ")</f>
        <v xml:space="preserve">| 3 L PHP-CGM % | 4 L NS % </v>
      </c>
      <c r="CI546" s="4" t="str">
        <f ca="1">IFERROR(__xludf.DUMMYFUNCTION("""COMPUTED_VALUE"""),"| 1 P Python @ | 5 P NS % ")</f>
        <v xml:space="preserve">| 1 P Python @ | 5 P NS % </v>
      </c>
      <c r="CJ546" s="4" t="str">
        <f ca="1">IFERROR(__xludf.DUMMYFUNCTION("""COMPUTED_VALUE"""),"| 4 L JAVA % | 1 P CPT % ")</f>
        <v xml:space="preserve">| 4 L JAVA % | 1 P CPT % </v>
      </c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</row>
    <row r="547" spans="1:102" ht="12.5" x14ac:dyDescent="0.25">
      <c r="A547" s="3">
        <f ca="1">IFERROR(__xludf.DUMMYFUNCTION("""COMPUTED_VALUE"""),4)</f>
        <v>4</v>
      </c>
      <c r="B547" s="3" t="str">
        <f ca="1">IFERROR(__xludf.DUMMYFUNCTION("""COMPUTED_VALUE"""),"ITC")</f>
        <v>ITC</v>
      </c>
      <c r="C547" s="32" t="str">
        <f ca="1">IFERROR(__xludf.DUMMYFUNCTION("""COMPUTED_VALUE"""),"23171371145")</f>
        <v>23171371145</v>
      </c>
      <c r="D547" s="4" t="str">
        <f ca="1">IFERROR(__xludf.DUMMYFUNCTION("""COMPUTED_VALUE"""),"RAVAL RUDRA NILESHBHAI")</f>
        <v>RAVAL RUDRA NILESHBHAI</v>
      </c>
      <c r="E547" s="3" t="str">
        <f ca="1">IFERROR(__xludf.DUMMYFUNCTION("""COMPUTED_VALUE"""),"SDP&amp;KKP - Mor")</f>
        <v>SDP&amp;KKP - Mor</v>
      </c>
      <c r="F547" s="3">
        <f ca="1">IFERROR(__xludf.DUMMYFUNCTION("""COMPUTED_VALUE"""),9723571240)</f>
        <v>9723571240</v>
      </c>
      <c r="G547" s="3">
        <f ca="1">IFERROR(__xludf.DUMMYFUNCTION("""COMPUTED_VALUE"""),9427866412)</f>
        <v>9427866412</v>
      </c>
      <c r="H547" s="33">
        <f ca="1">IFERROR(__xludf.DUMMYFUNCTION("""COMPUTED_VALUE"""),0.870292887029288)</f>
        <v>0.87029288702928798</v>
      </c>
      <c r="I547" s="25">
        <f ca="1">IFERROR(__xludf.DUMMYFUNCTION("""COMPUTED_VALUE"""),0.833333333333333)</f>
        <v>0.83333333333333304</v>
      </c>
      <c r="J547" s="25">
        <f ca="1">IFERROR(__xludf.DUMMYFUNCTION("""COMPUTED_VALUE"""),1)</f>
        <v>1</v>
      </c>
      <c r="K547" s="25">
        <f ca="1">IFERROR(__xludf.DUMMYFUNCTION("""COMPUTED_VALUE"""),0.888888888888888)</f>
        <v>0.88888888888888795</v>
      </c>
      <c r="L547" s="25">
        <f ca="1">IFERROR(__xludf.DUMMYFUNCTION("""COMPUTED_VALUE"""),0.923076923076923)</f>
        <v>0.92307692307692302</v>
      </c>
      <c r="M547" s="25">
        <f ca="1">IFERROR(__xludf.DUMMYFUNCTION("""COMPUTED_VALUE"""),0.90625)</f>
        <v>0.90625</v>
      </c>
      <c r="N547" s="25">
        <f ca="1">IFERROR(__xludf.DUMMYFUNCTION("""COMPUTED_VALUE"""),0.909090909090909)</f>
        <v>0.90909090909090895</v>
      </c>
      <c r="O547" s="25">
        <f ca="1">IFERROR(__xludf.DUMMYFUNCTION("""COMPUTED_VALUE"""),0.918918918918919)</f>
        <v>0.91891891891891897</v>
      </c>
      <c r="P547" s="25">
        <f ca="1">IFERROR(__xludf.DUMMYFUNCTION("""COMPUTED_VALUE"""),0.75)</f>
        <v>0.75</v>
      </c>
      <c r="Q547" s="25">
        <f ca="1">IFERROR(__xludf.DUMMYFUNCTION("""COMPUTED_VALUE"""),0)</f>
        <v>0</v>
      </c>
      <c r="R547" s="25">
        <f ca="1">IFERROR(__xludf.DUMMYFUNCTION("""COMPUTED_VALUE"""),0.85)</f>
        <v>0.85</v>
      </c>
      <c r="S547" s="25">
        <f ca="1">IFERROR(__xludf.DUMMYFUNCTION("""COMPUTED_VALUE"""),0)</f>
        <v>0</v>
      </c>
      <c r="T547" s="25">
        <f ca="1">IFERROR(__xludf.DUMMYFUNCTION("""COMPUTED_VALUE"""),0.818181818181818)</f>
        <v>0.81818181818181801</v>
      </c>
      <c r="U547" s="25">
        <f ca="1">IFERROR(__xludf.DUMMYFUNCTION("""COMPUTED_VALUE"""),0.75)</f>
        <v>0.75</v>
      </c>
      <c r="V547" s="25">
        <f ca="1">IFERROR(__xludf.DUMMYFUNCTION("""COMPUTED_VALUE"""),0)</f>
        <v>0</v>
      </c>
      <c r="W547" s="4"/>
      <c r="X547" s="4" t="str">
        <f ca="1">IFERROR(__xludf.DUMMYFUNCTION("""COMPUTED_VALUE"""),"| 1 P JAVA @ | 3 L CPT @ | 4 L JAVA @ ")</f>
        <v xml:space="preserve">| 1 P JAVA @ | 3 L CPT @ | 4 L JAVA @ </v>
      </c>
      <c r="Y547" s="4" t="str">
        <f ca="1">IFERROR(__xludf.DUMMYFUNCTION("""COMPUTED_VALUE"""),"| 1 P PHP-CGM % | 3 L JAVA % | 4 L NS % | 5 P PRO % ")</f>
        <v xml:space="preserve">| 1 P PHP-CGM % | 3 L JAVA % | 4 L NS % | 5 P PRO % </v>
      </c>
      <c r="Z547" s="4" t="str">
        <f ca="1">IFERROR(__xludf.DUMMYFUNCTION("""COMPUTED_VALUE"""),"| 1 P Python % | 3 L PHP-CGM % | 4 L NS % | 5 P JAVA % ")</f>
        <v xml:space="preserve">| 1 P Python % | 3 L PHP-CGM % | 4 L NS % | 5 P JAVA % </v>
      </c>
      <c r="AA547" s="4" t="str">
        <f ca="1">IFERROR(__xludf.DUMMYFUNCTION("""COMPUTED_VALUE"""),"| 1 P Python % | 3 L CPT % | 5 P JAVA @ ")</f>
        <v xml:space="preserve">| 1 P Python % | 3 L CPT % | 5 P JAVA @ </v>
      </c>
      <c r="AB547" s="4" t="str">
        <f ca="1">IFERROR(__xludf.DUMMYFUNCTION("""COMPUTED_VALUE"""),"| 1 P PRO @ | 3 L PHP-CGM % | 4 L JAVA % | 5 L CPT % | 6 L NS % ")</f>
        <v xml:space="preserve">| 1 P PRO @ | 3 L PHP-CGM % | 4 L JAVA % | 5 L CPT % | 6 L NS % </v>
      </c>
      <c r="AC547" s="4" t="str">
        <f ca="1">IFERROR(__xludf.DUMMYFUNCTION("""COMPUTED_VALUE"""),"| 1 P NS @ | 3 L CPT @ | 4 L JAVA @ ")</f>
        <v xml:space="preserve">| 1 P NS @ | 3 L CPT @ | 4 L JAVA @ </v>
      </c>
      <c r="AD547" s="4" t="str">
        <f ca="1">IFERROR(__xludf.DUMMYFUNCTION("""COMPUTED_VALUE"""),"| 1 P CPT % | 3 L JAVA % | 4 L NS % | 5 P PRO % ")</f>
        <v xml:space="preserve">| 1 P CPT % | 3 L JAVA % | 4 L NS % | 5 P PRO % </v>
      </c>
      <c r="AE547" s="4" t="str">
        <f ca="1">IFERROR(__xludf.DUMMYFUNCTION("""COMPUTED_VALUE"""),"| 1 P PHP-CGM % | 3 L PHP-CGM % | 4 L NS % ")</f>
        <v xml:space="preserve">| 1 P PHP-CGM % | 3 L PHP-CGM % | 4 L NS % </v>
      </c>
      <c r="AF547" s="4" t="str">
        <f ca="1">IFERROR(__xludf.DUMMYFUNCTION("""COMPUTED_VALUE"""),"| 1 P JAVA % | 3 L CPT % | 4 L PHP-CGM % | 5 P JAVA % ")</f>
        <v xml:space="preserve">| 1 P JAVA % | 3 L CPT % | 4 L PHP-CGM % | 5 P JAVA % </v>
      </c>
      <c r="AG547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47" s="4" t="str">
        <f ca="1">IFERROR(__xludf.DUMMYFUNCTION("""COMPUTED_VALUE"""),"| 1 P JAVA % | 3 L CPT % | 4 L PHP-CGM % | 5 P JAVA % ")</f>
        <v xml:space="preserve">| 1 P JAVA % | 3 L CPT % | 4 L PHP-CGM % | 5 P JAVA % </v>
      </c>
      <c r="AI547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47" s="4" t="str">
        <f ca="1">IFERROR(__xludf.DUMMYFUNCTION("""COMPUTED_VALUE"""),"| 1 P NS % | 3 L CPT % | 4 L JAVA % ")</f>
        <v xml:space="preserve">| 1 P NS % | 3 L CPT % | 4 L JAVA % </v>
      </c>
      <c r="AK547" s="4" t="str">
        <f ca="1">IFERROR(__xludf.DUMMYFUNCTION("""COMPUTED_VALUE"""),"| 1 P CPT % | 4 L NS % | 3 L JAVA % | 5 P PRO % ")</f>
        <v xml:space="preserve">| 1 P CPT % | 4 L NS % | 3 L JAVA % | 5 P PRO % </v>
      </c>
      <c r="AL547" s="4" t="str">
        <f ca="1">IFERROR(__xludf.DUMMYFUNCTION("""COMPUTED_VALUE"""),"| 1 P PHP-CGM % | 3 L PHP-CGM % | 4 L NS % | 5 P Python @ ")</f>
        <v xml:space="preserve">| 1 P PHP-CGM % | 3 L PHP-CGM % | 4 L NS % | 5 P Python @ </v>
      </c>
      <c r="AM547" s="4" t="str">
        <f ca="1">IFERROR(__xludf.DUMMYFUNCTION("""COMPUTED_VALUE"""),"| 1 P JAVA % | 3 L CPT % | 4 L PHP-CGM % | 5 P JAVA @ ")</f>
        <v xml:space="preserve">| 1 P JAVA % | 3 L CPT % | 4 L PHP-CGM % | 5 P JAVA @ </v>
      </c>
      <c r="AN547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47" s="4" t="str">
        <f ca="1">IFERROR(__xludf.DUMMYFUNCTION("""COMPUTED_VALUE"""),"| 1 P NS % | 3 L CPT % | 4 L JAVA % | 5 L INE % ")</f>
        <v xml:space="preserve">| 1 P NS % | 3 L CPT % | 4 L JAVA % | 5 L INE % </v>
      </c>
      <c r="AP547" s="4" t="str">
        <f ca="1">IFERROR(__xludf.DUMMYFUNCTION("""COMPUTED_VALUE"""),"| 1 P CPT % | 3 L JAVA % | 4 L NS % | 5 P PRO % ")</f>
        <v xml:space="preserve">| 1 P CPT % | 3 L JAVA % | 4 L NS % | 5 P PRO % </v>
      </c>
      <c r="AQ547" s="4" t="str">
        <f ca="1">IFERROR(__xludf.DUMMYFUNCTION("""COMPUTED_VALUE"""),"| 1 P PHP-CGM @ | 3 L PHP-CGM @ | 4 L NS @ | 5 P Python @ ")</f>
        <v xml:space="preserve">| 1 P PHP-CGM @ | 3 L PHP-CGM @ | 4 L NS @ | 5 P Python @ </v>
      </c>
      <c r="AR547" s="4" t="str">
        <f ca="1">IFERROR(__xludf.DUMMYFUNCTION("""COMPUTED_VALUE"""),"| 1 P JAVA % | 3 L CPT % | 5 P NS % | 5 P JAVA % ")</f>
        <v xml:space="preserve">| 1 P JAVA % | 3 L CPT % | 5 P NS % | 5 P JAVA % </v>
      </c>
      <c r="AS547" s="4" t="str">
        <f ca="1">IFERROR(__xludf.DUMMYFUNCTION("""COMPUTED_VALUE"""),"| 1 P NS % | 3 L CPT % | 4 L JAVA % | 5 L INE % ")</f>
        <v xml:space="preserve">| 1 P NS % | 3 L CPT % | 4 L JAVA % | 5 L INE % </v>
      </c>
      <c r="AT547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47" s="4" t="str">
        <f ca="1">IFERROR(__xludf.DUMMYFUNCTION("""COMPUTED_VALUE"""),"| 1 P PHP-CGM % | 3 L PHP-CGM % | 4 L NS % | 5 P Python % ")</f>
        <v xml:space="preserve">| 1 P PHP-CGM % | 3 L PHP-CGM % | 4 L NS % | 5 P Python % </v>
      </c>
      <c r="AV547" s="4" t="str">
        <f ca="1">IFERROR(__xludf.DUMMYFUNCTION("""COMPUTED_VALUE"""),"| 1 P JAVA % | 3 L CPT % | 4 L PHP-CGM % | 5 P JAVA % ")</f>
        <v xml:space="preserve">| 1 P JAVA % | 3 L CPT % | 4 L PHP-CGM % | 5 P JAVA % </v>
      </c>
      <c r="AW547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47" s="4" t="str">
        <f ca="1">IFERROR(__xludf.DUMMYFUNCTION("""COMPUTED_VALUE"""),"| 1 P NS % | 3 L CPT % | 4 L JAVA % | 5 L INE % ")</f>
        <v xml:space="preserve">| 1 P NS % | 3 L CPT % | 4 L JAVA % | 5 L INE % </v>
      </c>
      <c r="AY547" s="4" t="str">
        <f ca="1">IFERROR(__xludf.DUMMYFUNCTION("""COMPUTED_VALUE"""),"| 1 P CPT % | 3 L JAVA % | 4 L NS % | 5 P PRO % ")</f>
        <v xml:space="preserve">| 1 P CPT % | 3 L JAVA % | 4 L NS % | 5 P PRO % </v>
      </c>
      <c r="AZ547" s="4" t="str">
        <f ca="1">IFERROR(__xludf.DUMMYFUNCTION("""COMPUTED_VALUE"""),"| 1 P JAVA % | 3 L CPT % | 4 L PHP-CGM % | 5 P JAVA % ")</f>
        <v xml:space="preserve">| 1 P JAVA % | 3 L CPT % | 4 L PHP-CGM % | 5 P JAVA % </v>
      </c>
      <c r="BA547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47" s="4" t="str">
        <f ca="1">IFERROR(__xludf.DUMMYFUNCTION("""COMPUTED_VALUE"""),"| 1 P NS % | 3 L CPT % | 4 L JAVA % | 5 L INE % ")</f>
        <v xml:space="preserve">| 1 P NS % | 3 L CPT % | 4 L JAVA % | 5 L INE % </v>
      </c>
      <c r="BC547" s="4" t="str">
        <f ca="1">IFERROR(__xludf.DUMMYFUNCTION("""COMPUTED_VALUE"""),"| 1 P CPT % | 3 L JAVA % | 4 L NS % | 5 P PRO % ")</f>
        <v xml:space="preserve">| 1 P CPT % | 3 L JAVA % | 4 L NS % | 5 P PRO % </v>
      </c>
      <c r="BD547" s="4" t="str">
        <f ca="1">IFERROR(__xludf.DUMMYFUNCTION("""COMPUTED_VALUE"""),"| 1 P PHP-CGM % | 4 L NS %  | 3 L PHP-CGM % | 5 P Python % ")</f>
        <v xml:space="preserve">| 1 P PHP-CGM % | 4 L NS %  | 3 L PHP-CGM % | 5 P Python % </v>
      </c>
      <c r="BE547" s="4" t="str">
        <f ca="1">IFERROR(__xludf.DUMMYFUNCTION("""COMPUTED_VALUE"""),"| 1 P JAVA @ | 3 L CPT @ | 4 L PHP-CGM @ | 5 P JAVA @ ")</f>
        <v xml:space="preserve">| 1 P JAVA @ | 3 L CPT @ | 4 L PHP-CGM @ | 5 P JAVA @ </v>
      </c>
      <c r="BF547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47" s="4" t="str">
        <f ca="1">IFERROR(__xludf.DUMMYFUNCTION("""COMPUTED_VALUE"""),"| 3 L JAVA % | 4 L NS % | 5 P PRO % ")</f>
        <v xml:space="preserve">| 3 L JAVA % | 4 L NS % | 5 P PRO % </v>
      </c>
      <c r="BH547" s="4" t="str">
        <f ca="1">IFERROR(__xludf.DUMMYFUNCTION("""COMPUTED_VALUE"""),"| 1 P PHP-CGM % | 3 L PHP-CGM % | 4 L NS % | 5 P Python % ")</f>
        <v xml:space="preserve">| 1 P PHP-CGM % | 3 L PHP-CGM % | 4 L NS % | 5 P Python % </v>
      </c>
      <c r="BI547" s="4" t="str">
        <f ca="1">IFERROR(__xludf.DUMMYFUNCTION("""COMPUTED_VALUE"""),"| 1 P JAVA % | 3 L CPT % | 4 L PHP-CGM % | 5 P JAVA % ")</f>
        <v xml:space="preserve">| 1 P JAVA % | 3 L CPT % | 4 L PHP-CGM % | 5 P JAVA % </v>
      </c>
      <c r="BJ547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47" s="4" t="str">
        <f ca="1">IFERROR(__xludf.DUMMYFUNCTION("""COMPUTED_VALUE"""),"| 1 P NS % | 3 L CPT % | 4 L JAVA % | 5 L INE % ")</f>
        <v xml:space="preserve">| 1 P NS % | 3 L CPT % | 4 L JAVA % | 5 L INE % </v>
      </c>
      <c r="BL547" s="4" t="str">
        <f ca="1">IFERROR(__xludf.DUMMYFUNCTION("""COMPUTED_VALUE"""),"| 1 P CPT % | 3 L JAVA % | 4 L NS % | 5 P PRO @ ")</f>
        <v xml:space="preserve">| 1 P CPT % | 3 L JAVA % | 4 L NS % | 5 P PRO @ </v>
      </c>
      <c r="BM547" s="4" t="str">
        <f ca="1">IFERROR(__xludf.DUMMYFUNCTION("""COMPUTED_VALUE"""),"| 1 P PHP-CGM % | 3 L PHP-CGM % | 4 L NS % | 5 P Python % ")</f>
        <v xml:space="preserve">| 1 P PHP-CGM % | 3 L PHP-CGM % | 4 L NS % | 5 P Python % </v>
      </c>
      <c r="BN547" s="4" t="str">
        <f ca="1">IFERROR(__xludf.DUMMYFUNCTION("""COMPUTED_VALUE"""),"| 1 P JAVA % | 3 L CPT % | 4 L PHP-CGM % ")</f>
        <v xml:space="preserve">| 1 P JAVA % | 3 L CPT % | 4 L PHP-CGM % </v>
      </c>
      <c r="BO547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P547" s="4" t="str">
        <f ca="1">IFERROR(__xludf.DUMMYFUNCTION("""COMPUTED_VALUE"""),"| 1 P NS % | 3 L CPT % | 4 L JAVA % | 5 L INE @ ")</f>
        <v xml:space="preserve">| 1 P NS % | 3 L CPT % | 4 L JAVA % | 5 L INE @ </v>
      </c>
      <c r="BQ547" s="4" t="str">
        <f ca="1">IFERROR(__xludf.DUMMYFUNCTION("""COMPUTED_VALUE"""),"| 4 L NS % ")</f>
        <v xml:space="preserve">| 4 L NS % </v>
      </c>
      <c r="BR547" s="4"/>
      <c r="BS547" s="4"/>
      <c r="BT547" s="4" t="str">
        <f ca="1">IFERROR(__xludf.DUMMYFUNCTION("""COMPUTED_VALUE"""),"| 1 P NS % | 3 L CPT % | 4 L JAVA % ")</f>
        <v xml:space="preserve">| 1 P NS % | 3 L CPT % | 4 L JAVA % </v>
      </c>
      <c r="BU547" s="4" t="str">
        <f ca="1">IFERROR(__xludf.DUMMYFUNCTION("""COMPUTED_VALUE"""),"| 1 P CPT % | 4 L NS % | 3 L JAVA % ")</f>
        <v xml:space="preserve">| 1 P CPT % | 4 L NS % | 3 L JAVA % </v>
      </c>
      <c r="BV547" s="4" t="str">
        <f ca="1">IFERROR(__xludf.DUMMYFUNCTION("""COMPUTED_VALUE"""),"| 1 P NS % | 3 L CPT % | 4 L JAVA % ")</f>
        <v xml:space="preserve">| 1 P NS % | 3 L CPT % | 4 L JAVA % </v>
      </c>
      <c r="BW547" s="4" t="str">
        <f ca="1">IFERROR(__xludf.DUMMYFUNCTION("""COMPUTED_VALUE"""),"| 1 P CPT % | 3 L JAVA % | 4 L NS % ")</f>
        <v xml:space="preserve">| 1 P CPT % | 3 L JAVA % | 4 L NS % </v>
      </c>
      <c r="BX547" s="4" t="str">
        <f ca="1">IFERROR(__xludf.DUMMYFUNCTION("""COMPUTED_VALUE"""),"| 1 P PHP-CGM % | 3 L PHP-CGM % | 4 L NS % | 5 P Python % ")</f>
        <v xml:space="preserve">| 1 P PHP-CGM % | 3 L PHP-CGM % | 4 L NS % | 5 P Python % </v>
      </c>
      <c r="BY547" s="4" t="str">
        <f ca="1">IFERROR(__xludf.DUMMYFUNCTION("""COMPUTED_VALUE"""),"| 1 P JAVA % | 3 L CPT % | 4 L PHP-CGM % | 5 P JAVA % ")</f>
        <v xml:space="preserve">| 1 P JAVA % | 3 L CPT % | 4 L PHP-CGM % | 5 P JAVA % </v>
      </c>
      <c r="BZ547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CA547" s="4" t="str">
        <f ca="1">IFERROR(__xludf.DUMMYFUNCTION("""COMPUTED_VALUE"""),"| 1 P NS % | 3 L CPT % | 4 L JAVA % | 5 L INE % ")</f>
        <v xml:space="preserve">| 1 P NS % | 3 L CPT % | 4 L JAVA % | 5 L INE % </v>
      </c>
      <c r="CB547" s="4" t="str">
        <f ca="1">IFERROR(__xludf.DUMMYFUNCTION("""COMPUTED_VALUE"""),"| 1 P CPT % | 3 L JAVA % | 4 L NS % | 5 P PRO % ")</f>
        <v xml:space="preserve">| 1 P CPT % | 3 L JAVA % | 4 L NS % | 5 P PRO % </v>
      </c>
      <c r="CC547" s="4" t="str">
        <f ca="1">IFERROR(__xludf.DUMMYFUNCTION("""COMPUTED_VALUE"""),"| 1 P PHP-CGM % | 3 L PHP-CGM % | 4 L NS % | 5 P Python % ")</f>
        <v xml:space="preserve">| 1 P PHP-CGM % | 3 L PHP-CGM % | 4 L NS % | 5 P Python % </v>
      </c>
      <c r="CD547" s="4" t="str">
        <f ca="1">IFERROR(__xludf.DUMMYFUNCTION("""COMPUTED_VALUE"""),"| 1 P JAVA % | 3 L CPT % | 4 L PHP-CGM % ")</f>
        <v xml:space="preserve">| 1 P JAVA % | 3 L CPT % | 4 L PHP-CGM % </v>
      </c>
      <c r="CE547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F547" s="4" t="str">
        <f ca="1">IFERROR(__xludf.DUMMYFUNCTION("""COMPUTED_VALUE"""),"| 1 P NS % | 3 L CPT % | 4 L JAVA % | 5 L INE @ ")</f>
        <v xml:space="preserve">| 1 P NS % | 3 L CPT % | 4 L JAVA % | 5 L INE @ </v>
      </c>
      <c r="CG547" s="4" t="str">
        <f ca="1">IFERROR(__xludf.DUMMYFUNCTION("""COMPUTED_VALUE"""),"| 1 P CPT % | 4 L NS % ")</f>
        <v xml:space="preserve">| 1 P CPT % | 4 L NS % </v>
      </c>
      <c r="CH547" s="4" t="str">
        <f ca="1">IFERROR(__xludf.DUMMYFUNCTION("""COMPUTED_VALUE"""),"| 1 P PHP-CGM % | 3 L PHP-CGM % | 4 L NS % ")</f>
        <v xml:space="preserve">| 1 P PHP-CGM % | 3 L PHP-CGM % | 4 L NS % </v>
      </c>
      <c r="CI547" s="4"/>
      <c r="CJ547" s="4" t="str">
        <f ca="1">IFERROR(__xludf.DUMMYFUNCTION("""COMPUTED_VALUE"""),"| 4 L JAVA % ")</f>
        <v xml:space="preserve">| 4 L JAVA % </v>
      </c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</row>
    <row r="548" spans="1:102" ht="12.5" x14ac:dyDescent="0.25">
      <c r="A548" s="3">
        <f ca="1">IFERROR(__xludf.DUMMYFUNCTION("""COMPUTED_VALUE"""),4)</f>
        <v>4</v>
      </c>
      <c r="B548" s="3" t="str">
        <f ca="1">IFERROR(__xludf.DUMMYFUNCTION("""COMPUTED_VALUE"""),"ITC")</f>
        <v>ITC</v>
      </c>
      <c r="C548" s="32" t="str">
        <f ca="1">IFERROR(__xludf.DUMMYFUNCTION("""COMPUTED_VALUE"""),"23171371146")</f>
        <v>23171371146</v>
      </c>
      <c r="D548" s="4" t="str">
        <f ca="1">IFERROR(__xludf.DUMMYFUNCTION("""COMPUTED_VALUE"""),"RAVAL SUMIT KHODABHAI")</f>
        <v>RAVAL SUMIT KHODABHAI</v>
      </c>
      <c r="E548" s="3" t="str">
        <f ca="1">IFERROR(__xludf.DUMMYFUNCTION("""COMPUTED_VALUE"""),"SDP&amp;KKP - Mor")</f>
        <v>SDP&amp;KKP - Mor</v>
      </c>
      <c r="F548" s="3">
        <f ca="1">IFERROR(__xludf.DUMMYFUNCTION("""COMPUTED_VALUE"""),9265433207)</f>
        <v>9265433207</v>
      </c>
      <c r="G548" s="3">
        <f ca="1">IFERROR(__xludf.DUMMYFUNCTION("""COMPUTED_VALUE"""),9925561050)</f>
        <v>9925561050</v>
      </c>
      <c r="H548" s="33">
        <f ca="1">IFERROR(__xludf.DUMMYFUNCTION("""COMPUTED_VALUE"""),0.823529411764705)</f>
        <v>0.82352941176470495</v>
      </c>
      <c r="I548" s="25">
        <f ca="1">IFERROR(__xludf.DUMMYFUNCTION("""COMPUTED_VALUE"""),0.833333333333333)</f>
        <v>0.83333333333333304</v>
      </c>
      <c r="J548" s="25">
        <f ca="1">IFERROR(__xludf.DUMMYFUNCTION("""COMPUTED_VALUE"""),0.818181818181818)</f>
        <v>0.81818181818181801</v>
      </c>
      <c r="K548" s="25">
        <f ca="1">IFERROR(__xludf.DUMMYFUNCTION("""COMPUTED_VALUE"""),0.805555555555555)</f>
        <v>0.80555555555555503</v>
      </c>
      <c r="L548" s="25">
        <f ca="1">IFERROR(__xludf.DUMMYFUNCTION("""COMPUTED_VALUE"""),0.916666666666666)</f>
        <v>0.91666666666666596</v>
      </c>
      <c r="M548" s="25">
        <f ca="1">IFERROR(__xludf.DUMMYFUNCTION("""COMPUTED_VALUE"""),0.875)</f>
        <v>0.875</v>
      </c>
      <c r="N548" s="25">
        <f ca="1">IFERROR(__xludf.DUMMYFUNCTION("""COMPUTED_VALUE"""),0.909090909090909)</f>
        <v>0.90909090909090895</v>
      </c>
      <c r="O548" s="25">
        <f ca="1">IFERROR(__xludf.DUMMYFUNCTION("""COMPUTED_VALUE"""),0.864864864864864)</f>
        <v>0.86486486486486402</v>
      </c>
      <c r="P548" s="25">
        <f ca="1">IFERROR(__xludf.DUMMYFUNCTION("""COMPUTED_VALUE"""),0.833333333333333)</f>
        <v>0.83333333333333304</v>
      </c>
      <c r="Q548" s="25">
        <f ca="1">IFERROR(__xludf.DUMMYFUNCTION("""COMPUTED_VALUE"""),0)</f>
        <v>0</v>
      </c>
      <c r="R548" s="25">
        <f ca="1">IFERROR(__xludf.DUMMYFUNCTION("""COMPUTED_VALUE"""),0.8)</f>
        <v>0.8</v>
      </c>
      <c r="S548" s="25">
        <f ca="1">IFERROR(__xludf.DUMMYFUNCTION("""COMPUTED_VALUE"""),0)</f>
        <v>0</v>
      </c>
      <c r="T548" s="25">
        <f ca="1">IFERROR(__xludf.DUMMYFUNCTION("""COMPUTED_VALUE"""),0.545454545454545)</f>
        <v>0.54545454545454497</v>
      </c>
      <c r="U548" s="25">
        <f ca="1">IFERROR(__xludf.DUMMYFUNCTION("""COMPUTED_VALUE"""),0.625)</f>
        <v>0.625</v>
      </c>
      <c r="V548" s="25">
        <f ca="1">IFERROR(__xludf.DUMMYFUNCTION("""COMPUTED_VALUE"""),0)</f>
        <v>0</v>
      </c>
      <c r="W548" s="4"/>
      <c r="X548" s="4" t="str">
        <f ca="1">IFERROR(__xludf.DUMMYFUNCTION("""COMPUTED_VALUE"""),"| 1 P JAVA % | 3 L CPT % | 4 L JAVA % ")</f>
        <v xml:space="preserve">| 1 P JAVA % | 3 L CPT % | 4 L JAVA % </v>
      </c>
      <c r="Y548" s="4" t="str">
        <f ca="1">IFERROR(__xludf.DUMMYFUNCTION("""COMPUTED_VALUE"""),"| 1 P PHP-CGM % | 3 L JAVA % | 4 L NS % | 5 P PRO % ")</f>
        <v xml:space="preserve">| 1 P PHP-CGM % | 3 L JAVA % | 4 L NS % | 5 P PRO % </v>
      </c>
      <c r="Z548" s="4" t="str">
        <f ca="1">IFERROR(__xludf.DUMMYFUNCTION("""COMPUTED_VALUE"""),"| 1 P Python % | 3 L PHP-CGM % | 4 L NS % | 5 P JAVA % ")</f>
        <v xml:space="preserve">| 1 P Python % | 3 L PHP-CGM % | 4 L NS % | 5 P JAVA % </v>
      </c>
      <c r="AA548" s="4" t="str">
        <f ca="1">IFERROR(__xludf.DUMMYFUNCTION("""COMPUTED_VALUE"""),"| 1 P Python % | 3 L CPT % | 5 P JAVA @ ")</f>
        <v xml:space="preserve">| 1 P Python % | 3 L CPT % | 5 P JAVA @ </v>
      </c>
      <c r="AB548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48" s="4" t="str">
        <f ca="1">IFERROR(__xludf.DUMMYFUNCTION("""COMPUTED_VALUE"""),"| 1 P NS % | 3 L CPT % | 4 L JAVA % ")</f>
        <v xml:space="preserve">| 1 P NS % | 3 L CPT % | 4 L JAVA % </v>
      </c>
      <c r="AD548" s="4" t="str">
        <f ca="1">IFERROR(__xludf.DUMMYFUNCTION("""COMPUTED_VALUE"""),"| 1 P CPT % | 3 L JAVA % | 4 L NS % | 5 P PRO % ")</f>
        <v xml:space="preserve">| 1 P CPT % | 3 L JAVA % | 4 L NS % | 5 P PRO % </v>
      </c>
      <c r="AE548" s="4" t="str">
        <f ca="1">IFERROR(__xludf.DUMMYFUNCTION("""COMPUTED_VALUE"""),"| 1 P PHP-CGM % | 3 L PHP-CGM % | 4 L NS % ")</f>
        <v xml:space="preserve">| 1 P PHP-CGM % | 3 L PHP-CGM % | 4 L NS % </v>
      </c>
      <c r="AF548" s="4" t="str">
        <f ca="1">IFERROR(__xludf.DUMMYFUNCTION("""COMPUTED_VALUE"""),"| 1 P JAVA % | 3 L CPT % | 4 L PHP-CGM % | 5 P JAVA % ")</f>
        <v xml:space="preserve">| 1 P JAVA % | 3 L CPT % | 4 L PHP-CGM % | 5 P JAVA % </v>
      </c>
      <c r="AG548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48" s="4" t="str">
        <f ca="1">IFERROR(__xludf.DUMMYFUNCTION("""COMPUTED_VALUE"""),"| 1 P JAVA % | 3 L CPT % | 4 L PHP-CGM % | 5 P JAVA % ")</f>
        <v xml:space="preserve">| 1 P JAVA % | 3 L CPT % | 4 L PHP-CGM % | 5 P JAVA % </v>
      </c>
      <c r="AI548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J548" s="4" t="str">
        <f ca="1">IFERROR(__xludf.DUMMYFUNCTION("""COMPUTED_VALUE"""),"| 1 P NS % | 3 L CPT % | 4 L JAVA % ")</f>
        <v xml:space="preserve">| 1 P NS % | 3 L CPT % | 4 L JAVA % </v>
      </c>
      <c r="AK548" s="4" t="str">
        <f ca="1">IFERROR(__xludf.DUMMYFUNCTION("""COMPUTED_VALUE"""),"| 1 P CPT % | 4 L NS % | 3 L JAVA % | 5 P PRO @ ")</f>
        <v xml:space="preserve">| 1 P CPT % | 4 L NS % | 3 L JAVA % | 5 P PRO @ </v>
      </c>
      <c r="AL548" s="4" t="str">
        <f ca="1">IFERROR(__xludf.DUMMYFUNCTION("""COMPUTED_VALUE"""),"| 1 P PHP-CGM % | 3 L PHP-CGM % | 4 L NS % | 5 P Python % ")</f>
        <v xml:space="preserve">| 1 P PHP-CGM % | 3 L PHP-CGM % | 4 L NS % | 5 P Python % </v>
      </c>
      <c r="AM548" s="4" t="str">
        <f ca="1">IFERROR(__xludf.DUMMYFUNCTION("""COMPUTED_VALUE"""),"| 1 P JAVA % | 3 L CPT % | 4 L PHP-CGM % | 5 P JAVA @ ")</f>
        <v xml:space="preserve">| 1 P JAVA % | 3 L CPT % | 4 L PHP-CGM % | 5 P JAVA @ </v>
      </c>
      <c r="AN548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48" s="4" t="str">
        <f ca="1">IFERROR(__xludf.DUMMYFUNCTION("""COMPUTED_VALUE"""),"| 1 P NS % | 3 L CPT % | 4 L JAVA % | 5 L INE % ")</f>
        <v xml:space="preserve">| 1 P NS % | 3 L CPT % | 4 L JAVA % | 5 L INE % </v>
      </c>
      <c r="AP548" s="4" t="str">
        <f ca="1">IFERROR(__xludf.DUMMYFUNCTION("""COMPUTED_VALUE"""),"| 1 P CPT @ | 3 L JAVA @ | 4 L NS @ | 5 P PRO @ ")</f>
        <v xml:space="preserve">| 1 P CPT @ | 3 L JAVA @ | 4 L NS @ | 5 P PRO @ </v>
      </c>
      <c r="AQ548" s="4" t="str">
        <f ca="1">IFERROR(__xludf.DUMMYFUNCTION("""COMPUTED_VALUE"""),"| 1 P PHP-CGM % | 3 L PHP-CGM % | 4 L NS % | 5 P Python @ ")</f>
        <v xml:space="preserve">| 1 P PHP-CGM % | 3 L PHP-CGM % | 4 L NS % | 5 P Python @ </v>
      </c>
      <c r="AR548" s="4" t="str">
        <f ca="1">IFERROR(__xludf.DUMMYFUNCTION("""COMPUTED_VALUE"""),"| 1 P JAVA % | 3 L CPT % | 5 P JAVA % ")</f>
        <v xml:space="preserve">| 1 P JAVA % | 3 L CPT % | 5 P JAVA % </v>
      </c>
      <c r="AS548" s="4" t="str">
        <f ca="1">IFERROR(__xludf.DUMMYFUNCTION("""COMPUTED_VALUE"""),"| 1 P NS % | 3 L CPT % | 4 L JAVA % | 5 L INE % ")</f>
        <v xml:space="preserve">| 1 P NS % | 3 L CPT % | 4 L JAVA % | 5 L INE % </v>
      </c>
      <c r="AT548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48" s="4" t="str">
        <f ca="1">IFERROR(__xludf.DUMMYFUNCTION("""COMPUTED_VALUE"""),"| 1 P PHP-CGM % | 3 L PHP-CGM % | 4 L NS % | 5 P Python % ")</f>
        <v xml:space="preserve">| 1 P PHP-CGM % | 3 L PHP-CGM % | 4 L NS % | 5 P Python % </v>
      </c>
      <c r="AV548" s="4" t="str">
        <f ca="1">IFERROR(__xludf.DUMMYFUNCTION("""COMPUTED_VALUE"""),"| 1 P JAVA % | 3 L CPT % | 4 L PHP-CGM % | 5 P JAVA % ")</f>
        <v xml:space="preserve">| 1 P JAVA % | 3 L CPT % | 4 L PHP-CGM % | 5 P JAVA % </v>
      </c>
      <c r="AW548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48" s="4" t="str">
        <f ca="1">IFERROR(__xludf.DUMMYFUNCTION("""COMPUTED_VALUE"""),"| 1 P NS % | 3 L CPT % | 4 L JAVA % | 5 L INE % ")</f>
        <v xml:space="preserve">| 1 P NS % | 3 L CPT % | 4 L JAVA % | 5 L INE % </v>
      </c>
      <c r="AY548" s="4" t="str">
        <f ca="1">IFERROR(__xludf.DUMMYFUNCTION("""COMPUTED_VALUE"""),"| 1 P CPT % | 3 L JAVA % | 4 L NS % | 5 P PRO % ")</f>
        <v xml:space="preserve">| 1 P CPT % | 3 L JAVA % | 4 L NS % | 5 P PRO % </v>
      </c>
      <c r="AZ548" s="4" t="str">
        <f ca="1">IFERROR(__xludf.DUMMYFUNCTION("""COMPUTED_VALUE"""),"| 1 P JAVA % | 3 L CPT % | 4 L PHP-CGM % | 5 P JAVA % ")</f>
        <v xml:space="preserve">| 1 P JAVA % | 3 L CPT % | 4 L PHP-CGM % | 5 P JAVA % </v>
      </c>
      <c r="BA548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48" s="4" t="str">
        <f ca="1">IFERROR(__xludf.DUMMYFUNCTION("""COMPUTED_VALUE"""),"| 1 P NS % | 3 L CPT % | 4 L JAVA % | 5 L INE @ ")</f>
        <v xml:space="preserve">| 1 P NS % | 3 L CPT % | 4 L JAVA % | 5 L INE @ </v>
      </c>
      <c r="BC548" s="4" t="str">
        <f ca="1">IFERROR(__xludf.DUMMYFUNCTION("""COMPUTED_VALUE"""),"| 1 P CPT % | 3 L JAVA % | 4 L NS % | 5 P PRO % ")</f>
        <v xml:space="preserve">| 1 P CPT % | 3 L JAVA % | 4 L NS % | 5 P PRO % </v>
      </c>
      <c r="BD548" s="4" t="str">
        <f ca="1">IFERROR(__xludf.DUMMYFUNCTION("""COMPUTED_VALUE"""),"| 1 P PHP-CGM % | 4 L NS %  | 3 L PHP-CGM % | 5 P Python % ")</f>
        <v xml:space="preserve">| 1 P PHP-CGM % | 4 L NS %  | 3 L PHP-CGM % | 5 P Python % </v>
      </c>
      <c r="BE548" s="4" t="str">
        <f ca="1">IFERROR(__xludf.DUMMYFUNCTION("""COMPUTED_VALUE"""),"| 1 P JAVA % | 3 L CPT % | 4 L PHP-CGM % | 5 P JAVA % ")</f>
        <v xml:space="preserve">| 1 P JAVA % | 3 L CPT % | 4 L PHP-CGM % | 5 P JAVA % </v>
      </c>
      <c r="BF548" s="4" t="str">
        <f ca="1">IFERROR(__xludf.DUMMYFUNCTION("""COMPUTED_VALUE"""),"| 1 P Python % | 3 L PHP-CGM % | 4 L JAVA % | 5 L NS % | 6 L CPT @ ")</f>
        <v xml:space="preserve">| 1 P Python % | 3 L PHP-CGM % | 4 L JAVA % | 5 L NS % | 6 L CPT @ </v>
      </c>
      <c r="BG548" s="4" t="str">
        <f ca="1">IFERROR(__xludf.DUMMYFUNCTION("""COMPUTED_VALUE"""),"| 3 L JAVA % | 4 L NS % | 5 P PRO @ ")</f>
        <v xml:space="preserve">| 3 L JAVA % | 4 L NS % | 5 P PRO @ </v>
      </c>
      <c r="BH548" s="4" t="str">
        <f ca="1">IFERROR(__xludf.DUMMYFUNCTION("""COMPUTED_VALUE"""),"| 1 P PHP-CGM % | 3 L PHP-CGM % | 4 L NS % | 5 P Python % ")</f>
        <v xml:space="preserve">| 1 P PHP-CGM % | 3 L PHP-CGM % | 4 L NS % | 5 P Python % </v>
      </c>
      <c r="BI548" s="4" t="str">
        <f ca="1">IFERROR(__xludf.DUMMYFUNCTION("""COMPUTED_VALUE"""),"| 1 P JAVA % | 3 L CPT % | 4 L PHP-CGM % | 5 P JAVA % ")</f>
        <v xml:space="preserve">| 1 P JAVA % | 3 L CPT % | 4 L PHP-CGM % | 5 P JAVA % </v>
      </c>
      <c r="BJ548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K548" s="4" t="str">
        <f ca="1">IFERROR(__xludf.DUMMYFUNCTION("""COMPUTED_VALUE"""),"| 1 P NS % | 3 L CPT % | 4 L JAVA % | 5 L INE @ ")</f>
        <v xml:space="preserve">| 1 P NS % | 3 L CPT % | 4 L JAVA % | 5 L INE @ </v>
      </c>
      <c r="BL548" s="4" t="str">
        <f ca="1">IFERROR(__xludf.DUMMYFUNCTION("""COMPUTED_VALUE"""),"| 1 P CPT % | 3 L JAVA % | 4 L NS % | 5 P PRO @ ")</f>
        <v xml:space="preserve">| 1 P CPT % | 3 L JAVA % | 4 L NS % | 5 P PRO @ </v>
      </c>
      <c r="BM548" s="4" t="str">
        <f ca="1">IFERROR(__xludf.DUMMYFUNCTION("""COMPUTED_VALUE"""),"| 1 P PHP-CGM @ | 3 L PHP-CGM @ | 4 L NS @ | 5 P Python @ ")</f>
        <v xml:space="preserve">| 1 P PHP-CGM @ | 3 L PHP-CGM @ | 4 L NS @ | 5 P Python @ </v>
      </c>
      <c r="BN548" s="4" t="str">
        <f ca="1">IFERROR(__xludf.DUMMYFUNCTION("""COMPUTED_VALUE"""),"| 1 P JAVA @ | 3 L CPT @ | 4 L PHP-CGM @ ")</f>
        <v xml:space="preserve">| 1 P JAVA @ | 3 L CPT @ | 4 L PHP-CGM @ </v>
      </c>
      <c r="BO548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48" s="4" t="str">
        <f ca="1">IFERROR(__xludf.DUMMYFUNCTION("""COMPUTED_VALUE"""),"| 1 P NS % | 3 L CPT % | 4 L JAVA % | 5 L INE % ")</f>
        <v xml:space="preserve">| 1 P NS % | 3 L CPT % | 4 L JAVA % | 5 L INE % </v>
      </c>
      <c r="BQ548" s="4" t="str">
        <f ca="1">IFERROR(__xludf.DUMMYFUNCTION("""COMPUTED_VALUE"""),"| 4 L NS % ")</f>
        <v xml:space="preserve">| 4 L NS % </v>
      </c>
      <c r="BR548" s="4"/>
      <c r="BS548" s="4"/>
      <c r="BT548" s="4" t="str">
        <f ca="1">IFERROR(__xludf.DUMMYFUNCTION("""COMPUTED_VALUE"""),"| 1 P NS @ | 3 L CPT @ | 4 L JAVA @ ")</f>
        <v xml:space="preserve">| 1 P NS @ | 3 L CPT @ | 4 L JAVA @ </v>
      </c>
      <c r="BU548" s="4" t="str">
        <f ca="1">IFERROR(__xludf.DUMMYFUNCTION("""COMPUTED_VALUE"""),"| 1 P CPT @ | 4 L NS @ | 3 L JAVA @ ")</f>
        <v xml:space="preserve">| 1 P CPT @ | 4 L NS @ | 3 L JAVA @ </v>
      </c>
      <c r="BV548" s="4" t="str">
        <f ca="1">IFERROR(__xludf.DUMMYFUNCTION("""COMPUTED_VALUE"""),"| 1 P NS % | 3 L CPT % | 4 L JAVA % ")</f>
        <v xml:space="preserve">| 1 P NS % | 3 L CPT % | 4 L JAVA % </v>
      </c>
      <c r="BW548" s="4" t="str">
        <f ca="1">IFERROR(__xludf.DUMMYFUNCTION("""COMPUTED_VALUE"""),"| 1 P CPT % | 3 L JAVA % | 4 L NS % ")</f>
        <v xml:space="preserve">| 1 P CPT % | 3 L JAVA % | 4 L NS % </v>
      </c>
      <c r="BX548" s="4" t="str">
        <f ca="1">IFERROR(__xludf.DUMMYFUNCTION("""COMPUTED_VALUE"""),"| 1 P PHP-CGM % | 3 L PHP-CGM % | 4 L NS % | 5 P Python % ")</f>
        <v xml:space="preserve">| 1 P PHP-CGM % | 3 L PHP-CGM % | 4 L NS % | 5 P Python % </v>
      </c>
      <c r="BY548" s="4" t="str">
        <f ca="1">IFERROR(__xludf.DUMMYFUNCTION("""COMPUTED_VALUE"""),"| 1 P JAVA % | 3 L CPT % | 4 L PHP-CGM % | 5 P JAVA % ")</f>
        <v xml:space="preserve">| 1 P JAVA % | 3 L CPT % | 4 L PHP-CGM % | 5 P JAVA % </v>
      </c>
      <c r="BZ548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A548" s="4" t="str">
        <f ca="1">IFERROR(__xludf.DUMMYFUNCTION("""COMPUTED_VALUE"""),"| 1 P NS % | 3 L CPT % | 4 L JAVA % | 5 L INE % ")</f>
        <v xml:space="preserve">| 1 P NS % | 3 L CPT % | 4 L JAVA % | 5 L INE % </v>
      </c>
      <c r="CB548" s="4" t="str">
        <f ca="1">IFERROR(__xludf.DUMMYFUNCTION("""COMPUTED_VALUE"""),"| 1 P CPT % | 3 L JAVA % | 4 L NS % | 5 P PRO @ ")</f>
        <v xml:space="preserve">| 1 P CPT % | 3 L JAVA % | 4 L NS % | 5 P PRO @ </v>
      </c>
      <c r="CC548" s="4" t="str">
        <f ca="1">IFERROR(__xludf.DUMMYFUNCTION("""COMPUTED_VALUE"""),"| 1 P PHP-CGM % | 3 L PHP-CGM % | 4 L NS % | 5 P Python % ")</f>
        <v xml:space="preserve">| 1 P PHP-CGM % | 3 L PHP-CGM % | 4 L NS % | 5 P Python % </v>
      </c>
      <c r="CD548" s="4" t="str">
        <f ca="1">IFERROR(__xludf.DUMMYFUNCTION("""COMPUTED_VALUE"""),"| 1 P JAVA % | 3 L CPT % | 4 L PHP-CGM % ")</f>
        <v xml:space="preserve">| 1 P JAVA % | 3 L CPT % | 4 L PHP-CGM % </v>
      </c>
      <c r="CE548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48" s="4" t="str">
        <f ca="1">IFERROR(__xludf.DUMMYFUNCTION("""COMPUTED_VALUE"""),"| 1 P NS % | 3 L CPT % | 4 L JAVA % | 5 L INE @ ")</f>
        <v xml:space="preserve">| 1 P NS % | 3 L CPT % | 4 L JAVA % | 5 L INE @ </v>
      </c>
      <c r="CG548" s="4" t="str">
        <f ca="1">IFERROR(__xludf.DUMMYFUNCTION("""COMPUTED_VALUE"""),"| 1 P CPT % | 4 L NS % ")</f>
        <v xml:space="preserve">| 1 P CPT % | 4 L NS % </v>
      </c>
      <c r="CH548" s="4" t="str">
        <f ca="1">IFERROR(__xludf.DUMMYFUNCTION("""COMPUTED_VALUE"""),"| 1 P PHP-CGM % | 3 L PHP-CGM % | 4 L NS % ")</f>
        <v xml:space="preserve">| 1 P PHP-CGM % | 3 L PHP-CGM % | 4 L NS % </v>
      </c>
      <c r="CI548" s="4"/>
      <c r="CJ548" s="4" t="str">
        <f ca="1">IFERROR(__xludf.DUMMYFUNCTION("""COMPUTED_VALUE"""),"| 4 L JAVA % ")</f>
        <v xml:space="preserve">| 4 L JAVA % </v>
      </c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</row>
    <row r="549" spans="1:102" ht="12.5" x14ac:dyDescent="0.25">
      <c r="A549" s="3">
        <f ca="1">IFERROR(__xludf.DUMMYFUNCTION("""COMPUTED_VALUE"""),4)</f>
        <v>4</v>
      </c>
      <c r="B549" s="3" t="str">
        <f ca="1">IFERROR(__xludf.DUMMYFUNCTION("""COMPUTED_VALUE"""),"ITC")</f>
        <v>ITC</v>
      </c>
      <c r="C549" s="32" t="str">
        <f ca="1">IFERROR(__xludf.DUMMYFUNCTION("""COMPUTED_VALUE"""),"23171371147")</f>
        <v>23171371147</v>
      </c>
      <c r="D549" s="4" t="str">
        <f ca="1">IFERROR(__xludf.DUMMYFUNCTION("""COMPUTED_VALUE"""),"RAVAL VISHALKUMAR ROHITBHAI")</f>
        <v>RAVAL VISHALKUMAR ROHITBHAI</v>
      </c>
      <c r="E549" s="3" t="str">
        <f ca="1">IFERROR(__xludf.DUMMYFUNCTION("""COMPUTED_VALUE"""),"SDP&amp;KKP - Mor")</f>
        <v>SDP&amp;KKP - Mor</v>
      </c>
      <c r="F549" s="3">
        <f ca="1">IFERROR(__xludf.DUMMYFUNCTION("""COMPUTED_VALUE"""),8160927843)</f>
        <v>8160927843</v>
      </c>
      <c r="G549" s="3">
        <f ca="1">IFERROR(__xludf.DUMMYFUNCTION("""COMPUTED_VALUE"""),9909818834)</f>
        <v>9909818834</v>
      </c>
      <c r="H549" s="33">
        <f ca="1">IFERROR(__xludf.DUMMYFUNCTION("""COMPUTED_VALUE"""),0.840336134453781)</f>
        <v>0.84033613445378097</v>
      </c>
      <c r="I549" s="25">
        <f ca="1">IFERROR(__xludf.DUMMYFUNCTION("""COMPUTED_VALUE"""),0.833333333333333)</f>
        <v>0.83333333333333304</v>
      </c>
      <c r="J549" s="25">
        <f ca="1">IFERROR(__xludf.DUMMYFUNCTION("""COMPUTED_VALUE"""),1)</f>
        <v>1</v>
      </c>
      <c r="K549" s="25">
        <f ca="1">IFERROR(__xludf.DUMMYFUNCTION("""COMPUTED_VALUE"""),0.861111111111111)</f>
        <v>0.86111111111111105</v>
      </c>
      <c r="L549" s="25">
        <f ca="1">IFERROR(__xludf.DUMMYFUNCTION("""COMPUTED_VALUE"""),0.833333333333333)</f>
        <v>0.83333333333333304</v>
      </c>
      <c r="M549" s="25">
        <f ca="1">IFERROR(__xludf.DUMMYFUNCTION("""COMPUTED_VALUE"""),0.84375)</f>
        <v>0.84375</v>
      </c>
      <c r="N549" s="25">
        <f ca="1">IFERROR(__xludf.DUMMYFUNCTION("""COMPUTED_VALUE"""),0.818181818181818)</f>
        <v>0.81818181818181801</v>
      </c>
      <c r="O549" s="25">
        <f ca="1">IFERROR(__xludf.DUMMYFUNCTION("""COMPUTED_VALUE"""),0.864864864864864)</f>
        <v>0.86486486486486402</v>
      </c>
      <c r="P549" s="25">
        <f ca="1">IFERROR(__xludf.DUMMYFUNCTION("""COMPUTED_VALUE"""),0.791666666666666)</f>
        <v>0.79166666666666596</v>
      </c>
      <c r="Q549" s="25">
        <f ca="1">IFERROR(__xludf.DUMMYFUNCTION("""COMPUTED_VALUE"""),0)</f>
        <v>0</v>
      </c>
      <c r="R549" s="25">
        <f ca="1">IFERROR(__xludf.DUMMYFUNCTION("""COMPUTED_VALUE"""),0.95)</f>
        <v>0.95</v>
      </c>
      <c r="S549" s="25">
        <f ca="1">IFERROR(__xludf.DUMMYFUNCTION("""COMPUTED_VALUE"""),0)</f>
        <v>0</v>
      </c>
      <c r="T549" s="25">
        <f ca="1">IFERROR(__xludf.DUMMYFUNCTION("""COMPUTED_VALUE"""),0.636363636363636)</f>
        <v>0.63636363636363602</v>
      </c>
      <c r="U549" s="25">
        <f ca="1">IFERROR(__xludf.DUMMYFUNCTION("""COMPUTED_VALUE"""),0.625)</f>
        <v>0.625</v>
      </c>
      <c r="V549" s="25">
        <f ca="1">IFERROR(__xludf.DUMMYFUNCTION("""COMPUTED_VALUE"""),0)</f>
        <v>0</v>
      </c>
      <c r="W549" s="4"/>
      <c r="X549" s="4" t="str">
        <f ca="1">IFERROR(__xludf.DUMMYFUNCTION("""COMPUTED_VALUE"""),"| 1 P JAVA @ | 3 L CPT @ | 4 L JAVA @ ")</f>
        <v xml:space="preserve">| 1 P JAVA @ | 3 L CPT @ | 4 L JAVA @ </v>
      </c>
      <c r="Y549" s="4" t="str">
        <f ca="1">IFERROR(__xludf.DUMMYFUNCTION("""COMPUTED_VALUE"""),"| 1 P PHP-CGM @ | 3 L JAVA @ | 4 L NS @ | 5 P PRO @ ")</f>
        <v xml:space="preserve">| 1 P PHP-CGM @ | 3 L JAVA @ | 4 L NS @ | 5 P PRO @ </v>
      </c>
      <c r="Z549" s="4" t="str">
        <f ca="1">IFERROR(__xludf.DUMMYFUNCTION("""COMPUTED_VALUE"""),"| 1 P Python % | 3 L PHP-CGM % | 4 L NS % | 5 P JAVA @ ")</f>
        <v xml:space="preserve">| 1 P Python % | 3 L PHP-CGM % | 4 L NS % | 5 P JAVA @ </v>
      </c>
      <c r="AA549" s="4" t="str">
        <f ca="1">IFERROR(__xludf.DUMMYFUNCTION("""COMPUTED_VALUE"""),"| 1 P Python % | 3 L CPT % | 5 P JAVA @ ")</f>
        <v xml:space="preserve">| 1 P Python % | 3 L CPT % | 5 P JAVA @ </v>
      </c>
      <c r="AB549" s="4" t="str">
        <f ca="1">IFERROR(__xludf.DUMMYFUNCTION("""COMPUTED_VALUE"""),"| 1 P PRO @ | 3 L PHP-CGM % | 4 L JAVA % | 5 L CPT @ | 6 L NS @ ")</f>
        <v xml:space="preserve">| 1 P PRO @ | 3 L PHP-CGM % | 4 L JAVA % | 5 L CPT @ | 6 L NS @ </v>
      </c>
      <c r="AC549" s="4" t="str">
        <f ca="1">IFERROR(__xludf.DUMMYFUNCTION("""COMPUTED_VALUE"""),"| 1 P NS % | 3 L CPT % | 4 L JAVA % ")</f>
        <v xml:space="preserve">| 1 P NS % | 3 L CPT % | 4 L JAVA % </v>
      </c>
      <c r="AD549" s="4" t="str">
        <f ca="1">IFERROR(__xludf.DUMMYFUNCTION("""COMPUTED_VALUE"""),"| 1 P CPT % | 3 L JAVA % | 4 L NS % | 5 P PRO % ")</f>
        <v xml:space="preserve">| 1 P CPT % | 3 L JAVA % | 4 L NS % | 5 P PRO % </v>
      </c>
      <c r="AE549" s="4" t="str">
        <f ca="1">IFERROR(__xludf.DUMMYFUNCTION("""COMPUTED_VALUE"""),"| 1 P PHP-CGM % | 3 L PHP-CGM @ | 4 L NS % ")</f>
        <v xml:space="preserve">| 1 P PHP-CGM % | 3 L PHP-CGM @ | 4 L NS % </v>
      </c>
      <c r="AF549" s="4" t="str">
        <f ca="1">IFERROR(__xludf.DUMMYFUNCTION("""COMPUTED_VALUE"""),"| 1 P JAVA % | 3 L CPT % | 4 L PHP-CGM % | 5 P JAVA % ")</f>
        <v xml:space="preserve">| 1 P JAVA % | 3 L CPT % | 4 L PHP-CGM % | 5 P JAVA % </v>
      </c>
      <c r="AG549" s="4" t="str">
        <f ca="1">IFERROR(__xludf.DUMMYFUNCTION("""COMPUTED_VALUE"""),"| 1 P Python % | 3 L PHP-CGM @ | 4 L JAVA % | 5 L CPT % | 6 L NS % ")</f>
        <v xml:space="preserve">| 1 P Python % | 3 L PHP-CGM @ | 4 L JAVA % | 5 L CPT % | 6 L NS % </v>
      </c>
      <c r="AH549" s="4" t="str">
        <f ca="1">IFERROR(__xludf.DUMMYFUNCTION("""COMPUTED_VALUE"""),"| 1 P JAVA % | 3 L CPT % | 4 L PHP-CGM @ | 5 P JAVA % ")</f>
        <v xml:space="preserve">| 1 P JAVA % | 3 L CPT % | 4 L PHP-CGM @ | 5 P JAVA % </v>
      </c>
      <c r="AI549" s="4" t="str">
        <f ca="1">IFERROR(__xludf.DUMMYFUNCTION("""COMPUTED_VALUE"""),"| 1 P Python % | 3 L PHP-CGM % | 4 L JAVA % | 5 L CPT @ | 6 L NS % ")</f>
        <v xml:space="preserve">| 1 P Python % | 3 L PHP-CGM % | 4 L JAVA % | 5 L CPT @ | 6 L NS % </v>
      </c>
      <c r="AJ549" s="4" t="str">
        <f ca="1">IFERROR(__xludf.DUMMYFUNCTION("""COMPUTED_VALUE"""),"| 1 P NS @ | 3 L CPT @ | 4 L JAVA @ ")</f>
        <v xml:space="preserve">| 1 P NS @ | 3 L CPT @ | 4 L JAVA @ </v>
      </c>
      <c r="AK549" s="4" t="str">
        <f ca="1">IFERROR(__xludf.DUMMYFUNCTION("""COMPUTED_VALUE"""),"| 1 P CPT % | 4 L NS % | 3 L JAVA % | 5 P PRO % ")</f>
        <v xml:space="preserve">| 1 P CPT % | 4 L NS % | 3 L JAVA % | 5 P PRO % </v>
      </c>
      <c r="AL549" s="4" t="str">
        <f ca="1">IFERROR(__xludf.DUMMYFUNCTION("""COMPUTED_VALUE"""),"| 1 P PHP-CGM % | 3 L PHP-CGM % | 4 L NS % | 5 P Python % ")</f>
        <v xml:space="preserve">| 1 P PHP-CGM % | 3 L PHP-CGM % | 4 L NS % | 5 P Python % </v>
      </c>
      <c r="AM549" s="4" t="str">
        <f ca="1">IFERROR(__xludf.DUMMYFUNCTION("""COMPUTED_VALUE"""),"| 1 P JAVA % | 3 L CPT % | 4 L PHP-CGM % | 5 P JAVA % ")</f>
        <v xml:space="preserve">| 1 P JAVA % | 3 L CPT % | 4 L PHP-CGM % | 5 P JAVA % </v>
      </c>
      <c r="AN549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49" s="4" t="str">
        <f ca="1">IFERROR(__xludf.DUMMYFUNCTION("""COMPUTED_VALUE"""),"| 1 P NS % | 3 L CPT % | 4 L JAVA % | 5 L INE % ")</f>
        <v xml:space="preserve">| 1 P NS % | 3 L CPT % | 4 L JAVA % | 5 L INE % </v>
      </c>
      <c r="AP549" s="4" t="str">
        <f ca="1">IFERROR(__xludf.DUMMYFUNCTION("""COMPUTED_VALUE"""),"| 1 P CPT % | 3 L JAVA % | 4 L NS % | 5 P PRO % ")</f>
        <v xml:space="preserve">| 1 P CPT % | 3 L JAVA % | 4 L NS % | 5 P PRO % </v>
      </c>
      <c r="AQ549" s="4" t="str">
        <f ca="1">IFERROR(__xludf.DUMMYFUNCTION("""COMPUTED_VALUE"""),"| 1 P PHP-CGM % | 3 L PHP-CGM % | 4 L NS % | 5 P Python % ")</f>
        <v xml:space="preserve">| 1 P PHP-CGM % | 3 L PHP-CGM % | 4 L NS % | 5 P Python % </v>
      </c>
      <c r="AR549" s="4" t="str">
        <f ca="1">IFERROR(__xludf.DUMMYFUNCTION("""COMPUTED_VALUE"""),"| 1 P JAVA % | 3 L CPT % | 5 P JAVA % ")</f>
        <v xml:space="preserve">| 1 P JAVA % | 3 L CPT % | 5 P JAVA % </v>
      </c>
      <c r="AS549" s="4" t="str">
        <f ca="1">IFERROR(__xludf.DUMMYFUNCTION("""COMPUTED_VALUE"""),"| 1 P NS % | 3 L CPT % | 4 L JAVA % | 5 L INE % ")</f>
        <v xml:space="preserve">| 1 P NS % | 3 L CPT % | 4 L JAVA % | 5 L INE % </v>
      </c>
      <c r="AT549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49" s="4" t="str">
        <f ca="1">IFERROR(__xludf.DUMMYFUNCTION("""COMPUTED_VALUE"""),"| 1 P PHP-CGM % | 3 L PHP-CGM % | 4 L NS % | 5 P Python % ")</f>
        <v xml:space="preserve">| 1 P PHP-CGM % | 3 L PHP-CGM % | 4 L NS % | 5 P Python % </v>
      </c>
      <c r="AV549" s="4" t="str">
        <f ca="1">IFERROR(__xludf.DUMMYFUNCTION("""COMPUTED_VALUE"""),"| 1 P JAVA % | 3 L CPT % | 4 L PHP-CGM % | 5 P JAVA % ")</f>
        <v xml:space="preserve">| 1 P JAVA % | 3 L CPT % | 4 L PHP-CGM % | 5 P JAVA % </v>
      </c>
      <c r="AW549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49" s="4" t="str">
        <f ca="1">IFERROR(__xludf.DUMMYFUNCTION("""COMPUTED_VALUE"""),"| 1 P NS % | 3 L CPT % | 4 L JAVA % | 5 L INE % ")</f>
        <v xml:space="preserve">| 1 P NS % | 3 L CPT % | 4 L JAVA % | 5 L INE % </v>
      </c>
      <c r="AY549" s="4" t="str">
        <f ca="1">IFERROR(__xludf.DUMMYFUNCTION("""COMPUTED_VALUE"""),"| 1 P CPT % | 3 L JAVA % | 4 L NS % | 5 P PRO % ")</f>
        <v xml:space="preserve">| 1 P CPT % | 3 L JAVA % | 4 L NS % | 5 P PRO % </v>
      </c>
      <c r="AZ549" s="4" t="str">
        <f ca="1">IFERROR(__xludf.DUMMYFUNCTION("""COMPUTED_VALUE"""),"| 1 P JAVA % | 3 L CPT % | 4 L PHP-CGM % | 5 P JAVA % ")</f>
        <v xml:space="preserve">| 1 P JAVA % | 3 L CPT % | 4 L PHP-CGM % | 5 P JAVA % </v>
      </c>
      <c r="BA549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49" s="4" t="str">
        <f ca="1">IFERROR(__xludf.DUMMYFUNCTION("""COMPUTED_VALUE"""),"| 1 P NS % | 3 L CPT % | 4 L JAVA % | 5 L INE @ ")</f>
        <v xml:space="preserve">| 1 P NS % | 3 L CPT % | 4 L JAVA % | 5 L INE @ </v>
      </c>
      <c r="BC549" s="4" t="str">
        <f ca="1">IFERROR(__xludf.DUMMYFUNCTION("""COMPUTED_VALUE"""),"| 1 P CPT % | 3 L JAVA % | 4 L NS % | 5 P PRO % ")</f>
        <v xml:space="preserve">| 1 P CPT % | 3 L JAVA % | 4 L NS % | 5 P PRO % </v>
      </c>
      <c r="BD549" s="4" t="str">
        <f ca="1">IFERROR(__xludf.DUMMYFUNCTION("""COMPUTED_VALUE"""),"| 1 P PHP-CGM % | 4 L NS %  | 3 L PHP-CGM % | 5 P Python % ")</f>
        <v xml:space="preserve">| 1 P PHP-CGM % | 4 L NS %  | 3 L PHP-CGM % | 5 P Python % </v>
      </c>
      <c r="BE549" s="4" t="str">
        <f ca="1">IFERROR(__xludf.DUMMYFUNCTION("""COMPUTED_VALUE"""),"| 1 P JAVA % | 3 L CPT % | 4 L PHP-CGM % | 5 P JAVA % ")</f>
        <v xml:space="preserve">| 1 P JAVA % | 3 L CPT % | 4 L PHP-CGM % | 5 P JAVA % </v>
      </c>
      <c r="BF549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49" s="4" t="str">
        <f ca="1">IFERROR(__xludf.DUMMYFUNCTION("""COMPUTED_VALUE"""),"| 3 L JAVA @ | 4 L NS % | 5 P PRO @ ")</f>
        <v xml:space="preserve">| 3 L JAVA @ | 4 L NS % | 5 P PRO @ </v>
      </c>
      <c r="BH549" s="4" t="str">
        <f ca="1">IFERROR(__xludf.DUMMYFUNCTION("""COMPUTED_VALUE"""),"| 1 P PHP-CGM % | 3 L PHP-CGM % | 4 L NS % | 5 P Python % ")</f>
        <v xml:space="preserve">| 1 P PHP-CGM % | 3 L PHP-CGM % | 4 L NS % | 5 P Python % </v>
      </c>
      <c r="BI549" s="4" t="str">
        <f ca="1">IFERROR(__xludf.DUMMYFUNCTION("""COMPUTED_VALUE"""),"| 1 P JAVA % | 3 L CPT % | 4 L PHP-CGM % | 5 P JAVA % ")</f>
        <v xml:space="preserve">| 1 P JAVA % | 3 L CPT % | 4 L PHP-CGM % | 5 P JAVA % </v>
      </c>
      <c r="BJ549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K549" s="4" t="str">
        <f ca="1">IFERROR(__xludf.DUMMYFUNCTION("""COMPUTED_VALUE"""),"| 1 P NS % | 3 L CPT % | 4 L JAVA % | 5 L INE @ ")</f>
        <v xml:space="preserve">| 1 P NS % | 3 L CPT % | 4 L JAVA % | 5 L INE @ </v>
      </c>
      <c r="BL549" s="4" t="str">
        <f ca="1">IFERROR(__xludf.DUMMYFUNCTION("""COMPUTED_VALUE"""),"| 1 P CPT % | 3 L JAVA % | 4 L NS % | 5 P PRO @ ")</f>
        <v xml:space="preserve">| 1 P CPT % | 3 L JAVA % | 4 L NS % | 5 P PRO @ </v>
      </c>
      <c r="BM549" s="4" t="str">
        <f ca="1">IFERROR(__xludf.DUMMYFUNCTION("""COMPUTED_VALUE"""),"| 1 P PHP-CGM @ | 3 L PHP-CGM @ | 4 L NS @ | 5 P Python @ ")</f>
        <v xml:space="preserve">| 1 P PHP-CGM @ | 3 L PHP-CGM @ | 4 L NS @ | 5 P Python @ </v>
      </c>
      <c r="BN549" s="4" t="str">
        <f ca="1">IFERROR(__xludf.DUMMYFUNCTION("""COMPUTED_VALUE"""),"| 1 P JAVA @ | 3 L CPT @ | 4 L PHP-CGM @ ")</f>
        <v xml:space="preserve">| 1 P JAVA @ | 3 L CPT @ | 4 L PHP-CGM @ </v>
      </c>
      <c r="BO549" s="4" t="str">
        <f ca="1">IFERROR(__xludf.DUMMYFUNCTION("""COMPUTED_VALUE"""),"| 1 P Python % | 3 L PHP-CGM % | 4 L JAVA % | 5 L NS @ | 6 L CPT % ")</f>
        <v xml:space="preserve">| 1 P Python % | 3 L PHP-CGM % | 4 L JAVA % | 5 L NS @ | 6 L CPT % </v>
      </c>
      <c r="BP549" s="4" t="str">
        <f ca="1">IFERROR(__xludf.DUMMYFUNCTION("""COMPUTED_VALUE"""),"| 1 P NS % | 3 L CPT % | 4 L JAVA % | 5 L INE % ")</f>
        <v xml:space="preserve">| 1 P NS % | 3 L CPT % | 4 L JAVA % | 5 L INE % </v>
      </c>
      <c r="BQ549" s="4" t="str">
        <f ca="1">IFERROR(__xludf.DUMMYFUNCTION("""COMPUTED_VALUE"""),"| 4 L NS @ ")</f>
        <v xml:space="preserve">| 4 L NS @ </v>
      </c>
      <c r="BR549" s="4"/>
      <c r="BS549" s="4"/>
      <c r="BT549" s="4" t="str">
        <f ca="1">IFERROR(__xludf.DUMMYFUNCTION("""COMPUTED_VALUE"""),"| 1 P NS @ | 3 L CPT @ | 4 L JAVA @ ")</f>
        <v xml:space="preserve">| 1 P NS @ | 3 L CPT @ | 4 L JAVA @ </v>
      </c>
      <c r="BU549" s="4" t="str">
        <f ca="1">IFERROR(__xludf.DUMMYFUNCTION("""COMPUTED_VALUE"""),"| 1 P CPT % | 4 L NS % | 3 L JAVA % ")</f>
        <v xml:space="preserve">| 1 P CPT % | 4 L NS % | 3 L JAVA % </v>
      </c>
      <c r="BV549" s="4" t="str">
        <f ca="1">IFERROR(__xludf.DUMMYFUNCTION("""COMPUTED_VALUE"""),"| 1 P NS % | 3 L CPT % | 4 L JAVA % ")</f>
        <v xml:space="preserve">| 1 P NS % | 3 L CPT % | 4 L JAVA % </v>
      </c>
      <c r="BW549" s="4" t="str">
        <f ca="1">IFERROR(__xludf.DUMMYFUNCTION("""COMPUTED_VALUE"""),"| 1 P CPT % | 3 L JAVA % | 4 L NS % ")</f>
        <v xml:space="preserve">| 1 P CPT % | 3 L JAVA % | 4 L NS % </v>
      </c>
      <c r="BX549" s="4" t="str">
        <f ca="1">IFERROR(__xludf.DUMMYFUNCTION("""COMPUTED_VALUE"""),"| 1 P PHP-CGM % | 3 L PHP-CGM % | 4 L NS % | 5 P Python % ")</f>
        <v xml:space="preserve">| 1 P PHP-CGM % | 3 L PHP-CGM % | 4 L NS % | 5 P Python % </v>
      </c>
      <c r="BY549" s="4" t="str">
        <f ca="1">IFERROR(__xludf.DUMMYFUNCTION("""COMPUTED_VALUE"""),"| 1 P JAVA % | 3 L CPT % | 4 L PHP-CGM % | 5 P JAVA % ")</f>
        <v xml:space="preserve">| 1 P JAVA % | 3 L CPT % | 4 L PHP-CGM % | 5 P JAVA % </v>
      </c>
      <c r="BZ549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A549" s="4" t="str">
        <f ca="1">IFERROR(__xludf.DUMMYFUNCTION("""COMPUTED_VALUE"""),"| 1 P NS % | 3 L CPT % | 4 L JAVA % | 5 L INE % ")</f>
        <v xml:space="preserve">| 1 P NS % | 3 L CPT % | 4 L JAVA % | 5 L INE % </v>
      </c>
      <c r="CB549" s="4" t="str">
        <f ca="1">IFERROR(__xludf.DUMMYFUNCTION("""COMPUTED_VALUE"""),"| 1 P CPT % | 3 L JAVA % | 4 L NS % | 5 P PRO % ")</f>
        <v xml:space="preserve">| 1 P CPT % | 3 L JAVA % | 4 L NS % | 5 P PRO % </v>
      </c>
      <c r="CC549" s="4" t="str">
        <f ca="1">IFERROR(__xludf.DUMMYFUNCTION("""COMPUTED_VALUE"""),"| 1 P PHP-CGM % | 3 L PHP-CGM % | 4 L NS % | 5 P Python % ")</f>
        <v xml:space="preserve">| 1 P PHP-CGM % | 3 L PHP-CGM % | 4 L NS % | 5 P Python % </v>
      </c>
      <c r="CD549" s="4" t="str">
        <f ca="1">IFERROR(__xludf.DUMMYFUNCTION("""COMPUTED_VALUE"""),"| 1 P JAVA % | 3 L CPT % | 4 L PHP-CGM % ")</f>
        <v xml:space="preserve">| 1 P JAVA % | 3 L CPT % | 4 L PHP-CGM % </v>
      </c>
      <c r="CE549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F549" s="4" t="str">
        <f ca="1">IFERROR(__xludf.DUMMYFUNCTION("""COMPUTED_VALUE"""),"| 1 P NS % | 3 L CPT % | 4 L JAVA % | 5 L INE @ ")</f>
        <v xml:space="preserve">| 1 P NS % | 3 L CPT % | 4 L JAVA % | 5 L INE @ </v>
      </c>
      <c r="CG549" s="4" t="str">
        <f ca="1">IFERROR(__xludf.DUMMYFUNCTION("""COMPUTED_VALUE"""),"| 1 P CPT % | 4 L NS % ")</f>
        <v xml:space="preserve">| 1 P CPT % | 4 L NS % </v>
      </c>
      <c r="CH549" s="4" t="str">
        <f ca="1">IFERROR(__xludf.DUMMYFUNCTION("""COMPUTED_VALUE"""),"| 1 P PHP-CGM % | 3 L PHP-CGM % | 4 L NS % ")</f>
        <v xml:space="preserve">| 1 P PHP-CGM % | 3 L PHP-CGM % | 4 L NS % </v>
      </c>
      <c r="CI549" s="4"/>
      <c r="CJ549" s="4" t="str">
        <f ca="1">IFERROR(__xludf.DUMMYFUNCTION("""COMPUTED_VALUE"""),"| 4 L JAVA % ")</f>
        <v xml:space="preserve">| 4 L JAVA % </v>
      </c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</row>
    <row r="550" spans="1:102" ht="12.5" x14ac:dyDescent="0.25">
      <c r="A550" s="3">
        <f ca="1">IFERROR(__xludf.DUMMYFUNCTION("""COMPUTED_VALUE"""),4)</f>
        <v>4</v>
      </c>
      <c r="B550" s="3" t="str">
        <f ca="1">IFERROR(__xludf.DUMMYFUNCTION("""COMPUTED_VALUE"""),"ITC")</f>
        <v>ITC</v>
      </c>
      <c r="C550" s="32" t="str">
        <f ca="1">IFERROR(__xludf.DUMMYFUNCTION("""COMPUTED_VALUE"""),"23171371148")</f>
        <v>23171371148</v>
      </c>
      <c r="D550" s="4" t="str">
        <f ca="1">IFERROR(__xludf.DUMMYFUNCTION("""COMPUTED_VALUE"""),"RAVAL YASH RAJUBHAI")</f>
        <v>RAVAL YASH RAJUBHAI</v>
      </c>
      <c r="E550" s="3" t="str">
        <f ca="1">IFERROR(__xludf.DUMMYFUNCTION("""COMPUTED_VALUE"""),"SDP&amp;KKP - Mor")</f>
        <v>SDP&amp;KKP - Mor</v>
      </c>
      <c r="F550" s="3">
        <f ca="1">IFERROR(__xludf.DUMMYFUNCTION("""COMPUTED_VALUE"""),9426028490)</f>
        <v>9426028490</v>
      </c>
      <c r="G550" s="3">
        <f ca="1">IFERROR(__xludf.DUMMYFUNCTION("""COMPUTED_VALUE"""),9727712905)</f>
        <v>9727712905</v>
      </c>
      <c r="H550" s="33">
        <f ca="1">IFERROR(__xludf.DUMMYFUNCTION("""COMPUTED_VALUE"""),0.852320675105485)</f>
        <v>0.85232067510548504</v>
      </c>
      <c r="I550" s="25">
        <f ca="1">IFERROR(__xludf.DUMMYFUNCTION("""COMPUTED_VALUE"""),0.861111111111111)</f>
        <v>0.86111111111111105</v>
      </c>
      <c r="J550" s="25">
        <f ca="1">IFERROR(__xludf.DUMMYFUNCTION("""COMPUTED_VALUE"""),0.916666666666666)</f>
        <v>0.91666666666666596</v>
      </c>
      <c r="K550" s="25">
        <f ca="1">IFERROR(__xludf.DUMMYFUNCTION("""COMPUTED_VALUE"""),0.833333333333333)</f>
        <v>0.83333333333333304</v>
      </c>
      <c r="L550" s="25">
        <f ca="1">IFERROR(__xludf.DUMMYFUNCTION("""COMPUTED_VALUE"""),0.857142857142857)</f>
        <v>0.85714285714285698</v>
      </c>
      <c r="M550" s="25">
        <f ca="1">IFERROR(__xludf.DUMMYFUNCTION("""COMPUTED_VALUE"""),0.875)</f>
        <v>0.875</v>
      </c>
      <c r="N550" s="25">
        <f ca="1">IFERROR(__xludf.DUMMYFUNCTION("""COMPUTED_VALUE"""),0.9)</f>
        <v>0.9</v>
      </c>
      <c r="O550" s="25">
        <f ca="1">IFERROR(__xludf.DUMMYFUNCTION("""COMPUTED_VALUE"""),0.891891891891891)</f>
        <v>0.891891891891891</v>
      </c>
      <c r="P550" s="25">
        <f ca="1">IFERROR(__xludf.DUMMYFUNCTION("""COMPUTED_VALUE"""),0.863636363636363)</f>
        <v>0.86363636363636298</v>
      </c>
      <c r="Q550" s="25">
        <f ca="1">IFERROR(__xludf.DUMMYFUNCTION("""COMPUTED_VALUE"""),0)</f>
        <v>0</v>
      </c>
      <c r="R550" s="25">
        <f ca="1">IFERROR(__xludf.DUMMYFUNCTION("""COMPUTED_VALUE"""),0.842105263157894)</f>
        <v>0.84210526315789402</v>
      </c>
      <c r="S550" s="25">
        <f ca="1">IFERROR(__xludf.DUMMYFUNCTION("""COMPUTED_VALUE"""),0)</f>
        <v>0</v>
      </c>
      <c r="T550" s="25">
        <f ca="1">IFERROR(__xludf.DUMMYFUNCTION("""COMPUTED_VALUE"""),0.818181818181818)</f>
        <v>0.81818181818181801</v>
      </c>
      <c r="U550" s="25">
        <f ca="1">IFERROR(__xludf.DUMMYFUNCTION("""COMPUTED_VALUE"""),0.5)</f>
        <v>0.5</v>
      </c>
      <c r="V550" s="25">
        <f ca="1">IFERROR(__xludf.DUMMYFUNCTION("""COMPUTED_VALUE"""),0)</f>
        <v>0</v>
      </c>
      <c r="W550" s="4"/>
      <c r="X550" s="4" t="str">
        <f ca="1">IFERROR(__xludf.DUMMYFUNCTION("""COMPUTED_VALUE"""),"| 1 P NS % | 3 L CPT % | 4 L JAVA % ")</f>
        <v xml:space="preserve">| 1 P NS % | 3 L CPT % | 4 L JAVA % </v>
      </c>
      <c r="Y550" s="4" t="str">
        <f ca="1">IFERROR(__xludf.DUMMYFUNCTION("""COMPUTED_VALUE"""),"| 1 P CPT % | 3 L JAVA % | 4 L NS % | 5 P PRO % ")</f>
        <v xml:space="preserve">| 1 P CPT % | 3 L JAVA % | 4 L NS % | 5 P PRO % </v>
      </c>
      <c r="Z550" s="4" t="str">
        <f ca="1">IFERROR(__xludf.DUMMYFUNCTION("""COMPUTED_VALUE"""),"| 3 L PHP-CGM % | 4 L NS % | 5 P Python % ")</f>
        <v xml:space="preserve">| 3 L PHP-CGM % | 4 L NS % | 5 P Python % </v>
      </c>
      <c r="AA550" s="4" t="str">
        <f ca="1">IFERROR(__xludf.DUMMYFUNCTION("""COMPUTED_VALUE"""),"| 1 P NS % | 3 L CPT % | 5 P JAVA % ")</f>
        <v xml:space="preserve">| 1 P NS % | 3 L CPT % | 5 P JAVA % </v>
      </c>
      <c r="AB550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0" s="4" t="str">
        <f ca="1">IFERROR(__xludf.DUMMYFUNCTION("""COMPUTED_VALUE"""),"| 1 P NS @ | 3 L CPT @ | 4 L JAVA @ ")</f>
        <v xml:space="preserve">| 1 P NS @ | 3 L CPT @ | 4 L JAVA @ </v>
      </c>
      <c r="AD550" s="4" t="str">
        <f ca="1">IFERROR(__xludf.DUMMYFUNCTION("""COMPUTED_VALUE"""),"| 1 P CPT % | 3 L JAVA % | 4 L NS % | 5 P PRO % ")</f>
        <v xml:space="preserve">| 1 P CPT % | 3 L JAVA % | 4 L NS % | 5 P PRO % </v>
      </c>
      <c r="AE550" s="4" t="str">
        <f ca="1">IFERROR(__xludf.DUMMYFUNCTION("""COMPUTED_VALUE"""),"| 1 P PHP-CGM % | 3 L PHP-CGM % | 4 L NS % ")</f>
        <v xml:space="preserve">| 1 P PHP-CGM % | 3 L PHP-CGM % | 4 L NS % </v>
      </c>
      <c r="AF550" s="4" t="str">
        <f ca="1">IFERROR(__xludf.DUMMYFUNCTION("""COMPUTED_VALUE"""),"| 1 P JAVA % | 3 L CPT % | 4 L PHP-CGM % | 5 P JAVA % ")</f>
        <v xml:space="preserve">| 1 P JAVA % | 3 L CPT % | 4 L PHP-CGM % | 5 P JAVA % </v>
      </c>
      <c r="AG550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50" s="4" t="str">
        <f ca="1">IFERROR(__xludf.DUMMYFUNCTION("""COMPUTED_VALUE"""),"| 1 P JAVA % | 3 L CPT % | 4 L PHP-CGM % | 5 P JAVA % ")</f>
        <v xml:space="preserve">| 1 P JAVA % | 3 L CPT % | 4 L PHP-CGM % | 5 P JAVA % </v>
      </c>
      <c r="AI550" s="4" t="str">
        <f ca="1">IFERROR(__xludf.DUMMYFUNCTION("""COMPUTED_VALUE"""),"| 1 P Python % | 3 L PHP-CGM % | 4 L JAVA % | 5 L CPT @ | 6 L NS % ")</f>
        <v xml:space="preserve">| 1 P Python % | 3 L PHP-CGM % | 4 L JAVA % | 5 L CPT @ | 6 L NS % </v>
      </c>
      <c r="AJ550" s="4" t="str">
        <f ca="1">IFERROR(__xludf.DUMMYFUNCTION("""COMPUTED_VALUE"""),"| 1 P NS % | 3 L CPT % | 4 L JAVA % ")</f>
        <v xml:space="preserve">| 1 P NS % | 3 L CPT % | 4 L JAVA % </v>
      </c>
      <c r="AK550" s="4" t="str">
        <f ca="1">IFERROR(__xludf.DUMMYFUNCTION("""COMPUTED_VALUE"""),"| 1 P CPT % | 4 L NS % | 3 L JAVA % | 5 P PRO % ")</f>
        <v xml:space="preserve">| 1 P CPT % | 4 L NS % | 3 L JAVA % | 5 P PRO % </v>
      </c>
      <c r="AL550" s="4" t="str">
        <f ca="1">IFERROR(__xludf.DUMMYFUNCTION("""COMPUTED_VALUE"""),"| 1 P PHP-CGM % | 3 L PHP-CGM % | 4 L NS % | 5 P Python % ")</f>
        <v xml:space="preserve">| 1 P PHP-CGM % | 3 L PHP-CGM % | 4 L NS % | 5 P Python % </v>
      </c>
      <c r="AM550" s="4" t="str">
        <f ca="1">IFERROR(__xludf.DUMMYFUNCTION("""COMPUTED_VALUE"""),"| 1 P JAVA % | 3 L CPT % | 4 L PHP-CGM % | 5 P JAVA % ")</f>
        <v xml:space="preserve">| 1 P JAVA % | 3 L CPT % | 4 L PHP-CGM % | 5 P JAVA % </v>
      </c>
      <c r="AN550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50" s="4" t="str">
        <f ca="1">IFERROR(__xludf.DUMMYFUNCTION("""COMPUTED_VALUE"""),"| 1 P NS % | 3 L CPT % | 4 L JAVA % | 5 L INE % ")</f>
        <v xml:space="preserve">| 1 P NS % | 3 L CPT % | 4 L JAVA % | 5 L INE % </v>
      </c>
      <c r="AP550" s="4" t="str">
        <f ca="1">IFERROR(__xludf.DUMMYFUNCTION("""COMPUTED_VALUE"""),"| 1 P CPT % | 3 L JAVA % | 4 L NS % | 5 P PRO % ")</f>
        <v xml:space="preserve">| 1 P CPT % | 3 L JAVA % | 4 L NS % | 5 P PRO % </v>
      </c>
      <c r="AQ550" s="4" t="str">
        <f ca="1">IFERROR(__xludf.DUMMYFUNCTION("""COMPUTED_VALUE"""),"| 1 P PHP-CGM % | 3 L PHP-CGM % | 4 L NS % | 5 P Python % ")</f>
        <v xml:space="preserve">| 1 P PHP-CGM % | 3 L PHP-CGM % | 4 L NS % | 5 P Python % </v>
      </c>
      <c r="AR550" s="4" t="str">
        <f ca="1">IFERROR(__xludf.DUMMYFUNCTION("""COMPUTED_VALUE"""),"| 1 P JAVA % | 3 L CPT % | 5 P JAVA % ")</f>
        <v xml:space="preserve">| 1 P JAVA % | 3 L CPT % | 5 P JAVA % </v>
      </c>
      <c r="AS550" s="4" t="str">
        <f ca="1">IFERROR(__xludf.DUMMYFUNCTION("""COMPUTED_VALUE"""),"| 1 P NS % | 3 L CPT % | 4 L JAVA % | 5 L INE % ")</f>
        <v xml:space="preserve">| 1 P NS % | 3 L CPT % | 4 L JAVA % | 5 L INE % </v>
      </c>
      <c r="AT550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50" s="4" t="str">
        <f ca="1">IFERROR(__xludf.DUMMYFUNCTION("""COMPUTED_VALUE"""),"| 1 P PHP-CGM % | 3 L PHP-CGM % | 4 L NS % | 5 P Python % ")</f>
        <v xml:space="preserve">| 1 P PHP-CGM % | 3 L PHP-CGM % | 4 L NS % | 5 P Python % </v>
      </c>
      <c r="AV550" s="4" t="str">
        <f ca="1">IFERROR(__xludf.DUMMYFUNCTION("""COMPUTED_VALUE"""),"| 1 P JAVA % | 3 L CPT % | 4 L PHP-CGM % | 5 P JAVA % ")</f>
        <v xml:space="preserve">| 1 P JAVA % | 3 L CPT % | 4 L PHP-CGM % | 5 P JAVA % </v>
      </c>
      <c r="AW550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50" s="4" t="str">
        <f ca="1">IFERROR(__xludf.DUMMYFUNCTION("""COMPUTED_VALUE"""),"| 1 P NS % | 3 L CPT % | 4 L JAVA % | 5 L INE % ")</f>
        <v xml:space="preserve">| 1 P NS % | 3 L CPT % | 4 L JAVA % | 5 L INE % </v>
      </c>
      <c r="AY550" s="4" t="str">
        <f ca="1">IFERROR(__xludf.DUMMYFUNCTION("""COMPUTED_VALUE"""),"| 1 P CPT % | 3 L JAVA % | 4 L NS % | 5 P PRO % ")</f>
        <v xml:space="preserve">| 1 P CPT % | 3 L JAVA % | 4 L NS % | 5 P PRO % </v>
      </c>
      <c r="AZ550" s="4" t="str">
        <f ca="1">IFERROR(__xludf.DUMMYFUNCTION("""COMPUTED_VALUE"""),"| 1 P JAVA % | 3 L CPT % | 4 L PHP-CGM % | 5 P JAVA % ")</f>
        <v xml:space="preserve">| 1 P JAVA % | 3 L CPT % | 4 L PHP-CGM % | 5 P JAVA % </v>
      </c>
      <c r="BA550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50" s="4" t="str">
        <f ca="1">IFERROR(__xludf.DUMMYFUNCTION("""COMPUTED_VALUE"""),"| 1 P NS % | 3 L CPT % | 4 L JAVA % | 5 L INE @ ")</f>
        <v xml:space="preserve">| 1 P NS % | 3 L CPT % | 4 L JAVA % | 5 L INE @ </v>
      </c>
      <c r="BC550" s="4" t="str">
        <f ca="1">IFERROR(__xludf.DUMMYFUNCTION("""COMPUTED_VALUE"""),"| 1 P CPT % | 3 L JAVA % | 4 L NS % | 5 P PRO % ")</f>
        <v xml:space="preserve">| 1 P CPT % | 3 L JAVA % | 4 L NS % | 5 P PRO % </v>
      </c>
      <c r="BD550" s="4" t="str">
        <f ca="1">IFERROR(__xludf.DUMMYFUNCTION("""COMPUTED_VALUE"""),"| 1 P PHP-CGM % | 4 L NS %  | 3 L PHP-CGM % | 5 P Python % ")</f>
        <v xml:space="preserve">| 1 P PHP-CGM % | 4 L NS %  | 3 L PHP-CGM % | 5 P Python % </v>
      </c>
      <c r="BE550" s="4" t="str">
        <f ca="1">IFERROR(__xludf.DUMMYFUNCTION("""COMPUTED_VALUE"""),"| 1 P JAVA % | 3 L CPT % | 4 L PHP-CGM % | 5 P JAVA % ")</f>
        <v xml:space="preserve">| 1 P JAVA % | 3 L CPT % | 4 L PHP-CGM % | 5 P JAVA % </v>
      </c>
      <c r="BF550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50" s="4" t="str">
        <f ca="1">IFERROR(__xludf.DUMMYFUNCTION("""COMPUTED_VALUE"""),"| 3 L JAVA % | 4 L NS % | 5 P PRO @ ")</f>
        <v xml:space="preserve">| 3 L JAVA % | 4 L NS % | 5 P PRO @ </v>
      </c>
      <c r="BH550" s="4" t="str">
        <f ca="1">IFERROR(__xludf.DUMMYFUNCTION("""COMPUTED_VALUE"""),"| 1 P PHP-CGM % | 3 L PHP-CGM % | 4 L NS % | 5 P Python % ")</f>
        <v xml:space="preserve">| 1 P PHP-CGM % | 3 L PHP-CGM % | 4 L NS % | 5 P Python % </v>
      </c>
      <c r="BI550" s="4" t="str">
        <f ca="1">IFERROR(__xludf.DUMMYFUNCTION("""COMPUTED_VALUE"""),"| 1 P JAVA % | 3 L CPT % | 4 L PHP-CGM % | 5 P JAVA % ")</f>
        <v xml:space="preserve">| 1 P JAVA % | 3 L CPT % | 4 L PHP-CGM % | 5 P JAVA % </v>
      </c>
      <c r="BJ550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K550" s="4" t="str">
        <f ca="1">IFERROR(__xludf.DUMMYFUNCTION("""COMPUTED_VALUE"""),"| 1 P NS @ | 3 L CPT % | 4 L JAVA % | 5 L INE @ ")</f>
        <v xml:space="preserve">| 1 P NS @ | 3 L CPT % | 4 L JAVA % | 5 L INE @ </v>
      </c>
      <c r="BL550" s="4" t="str">
        <f ca="1">IFERROR(__xludf.DUMMYFUNCTION("""COMPUTED_VALUE"""),"| 1 P CPT % | 3 L JAVA % | 4 L NS % | 5 P PRO @ ")</f>
        <v xml:space="preserve">| 1 P CPT % | 3 L JAVA % | 4 L NS % | 5 P PRO @ </v>
      </c>
      <c r="BM550" s="4" t="str">
        <f ca="1">IFERROR(__xludf.DUMMYFUNCTION("""COMPUTED_VALUE"""),"| 1 P PHP-CGM @ | 3 L PHP-CGM @ | 4 L NS @ | 5 P Python @ ")</f>
        <v xml:space="preserve">| 1 P PHP-CGM @ | 3 L PHP-CGM @ | 4 L NS @ | 5 P Python @ </v>
      </c>
      <c r="BN550" s="4" t="str">
        <f ca="1">IFERROR(__xludf.DUMMYFUNCTION("""COMPUTED_VALUE"""),"| 1 P JAVA @ | 3 L CPT @ | 4 L PHP-CGM @ ")</f>
        <v xml:space="preserve">| 1 P JAVA @ | 3 L CPT @ | 4 L PHP-CGM @ </v>
      </c>
      <c r="BO550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0" s="4" t="str">
        <f ca="1">IFERROR(__xludf.DUMMYFUNCTION("""COMPUTED_VALUE"""),"| 1 P NS % | 3 L CPT % | 4 L JAVA % | 5 L INE @ ")</f>
        <v xml:space="preserve">| 1 P NS % | 3 L CPT % | 4 L JAVA % | 5 L INE @ </v>
      </c>
      <c r="BQ550" s="4" t="str">
        <f ca="1">IFERROR(__xludf.DUMMYFUNCTION("""COMPUTED_VALUE"""),"| 4 L NS @ ")</f>
        <v xml:space="preserve">| 4 L NS @ </v>
      </c>
      <c r="BR550" s="4"/>
      <c r="BS550" s="4"/>
      <c r="BT550" s="4" t="str">
        <f ca="1">IFERROR(__xludf.DUMMYFUNCTION("""COMPUTED_VALUE"""),"| 1 P NS % | 3 L CPT % | 4 L JAVA % ")</f>
        <v xml:space="preserve">| 1 P NS % | 3 L CPT % | 4 L JAVA % </v>
      </c>
      <c r="BU550" s="4" t="str">
        <f ca="1">IFERROR(__xludf.DUMMYFUNCTION("""COMPUTED_VALUE"""),"| 1 P CPT % | 4 L NS % | 3 L JAVA % ")</f>
        <v xml:space="preserve">| 1 P CPT % | 4 L NS % | 3 L JAVA % </v>
      </c>
      <c r="BV550" s="4" t="str">
        <f ca="1">IFERROR(__xludf.DUMMYFUNCTION("""COMPUTED_VALUE"""),"| 1 P NS % | 3 L CPT % | 4 L JAVA % ")</f>
        <v xml:space="preserve">| 1 P NS % | 3 L CPT % | 4 L JAVA % </v>
      </c>
      <c r="BW550" s="4" t="str">
        <f ca="1">IFERROR(__xludf.DUMMYFUNCTION("""COMPUTED_VALUE"""),"| 1 P CPT @ | 3 L JAVA @ | 4 L NS @ ")</f>
        <v xml:space="preserve">| 1 P CPT @ | 3 L JAVA @ | 4 L NS @ </v>
      </c>
      <c r="BX550" s="4" t="str">
        <f ca="1">IFERROR(__xludf.DUMMYFUNCTION("""COMPUTED_VALUE"""),"| 1 P PHP-CGM % | 3 L PHP-CGM % | 4 L NS % | 5 P Python % ")</f>
        <v xml:space="preserve">| 1 P PHP-CGM % | 3 L PHP-CGM % | 4 L NS % | 5 P Python % </v>
      </c>
      <c r="BY550" s="4" t="str">
        <f ca="1">IFERROR(__xludf.DUMMYFUNCTION("""COMPUTED_VALUE"""),"| 1 P JAVA % | 3 L CPT % | 4 L PHP-CGM % | 5 P JAVA @ ")</f>
        <v xml:space="preserve">| 1 P JAVA % | 3 L CPT % | 4 L PHP-CGM % | 5 P JAVA @ </v>
      </c>
      <c r="BZ550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A550" s="4" t="str">
        <f ca="1">IFERROR(__xludf.DUMMYFUNCTION("""COMPUTED_VALUE"""),"| 1 P NS % | 3 L CPT % | 4 L JAVA % | 5 L INE % ")</f>
        <v xml:space="preserve">| 1 P NS % | 3 L CPT % | 4 L JAVA % | 5 L INE % </v>
      </c>
      <c r="CB550" s="4" t="str">
        <f ca="1">IFERROR(__xludf.DUMMYFUNCTION("""COMPUTED_VALUE"""),"| 1 P CPT % | 3 L JAVA % | 4 L NS % | 5 P PRO % ")</f>
        <v xml:space="preserve">| 1 P CPT % | 3 L JAVA % | 4 L NS % | 5 P PRO % </v>
      </c>
      <c r="CC550" s="4" t="str">
        <f ca="1">IFERROR(__xludf.DUMMYFUNCTION("""COMPUTED_VALUE"""),"| 1 P PHP-CGM % | 3 L PHP-CGM % | 4 L NS % | 5 P Python % ")</f>
        <v xml:space="preserve">| 1 P PHP-CGM % | 3 L PHP-CGM % | 4 L NS % | 5 P Python % </v>
      </c>
      <c r="CD550" s="4" t="str">
        <f ca="1">IFERROR(__xludf.DUMMYFUNCTION("""COMPUTED_VALUE"""),"| 1 P JAVA % | 3 L CPT % | 4 L PHP-CGM % ")</f>
        <v xml:space="preserve">| 1 P JAVA % | 3 L CPT % | 4 L PHP-CGM % </v>
      </c>
      <c r="CE550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50" s="4" t="str">
        <f ca="1">IFERROR(__xludf.DUMMYFUNCTION("""COMPUTED_VALUE"""),"| 1 P NS % | 3 L CPT % | 4 L JAVA % | 5 L INE @ ")</f>
        <v xml:space="preserve">| 1 P NS % | 3 L CPT % | 4 L JAVA % | 5 L INE @ </v>
      </c>
      <c r="CG550" s="4" t="str">
        <f ca="1">IFERROR(__xludf.DUMMYFUNCTION("""COMPUTED_VALUE"""),"| 1 P CPT % | 4 L NS % ")</f>
        <v xml:space="preserve">| 1 P CPT % | 4 L NS % </v>
      </c>
      <c r="CH550" s="4" t="str">
        <f ca="1">IFERROR(__xludf.DUMMYFUNCTION("""COMPUTED_VALUE"""),"| 1 P PHP-CGM % | 3 L PHP-CGM % | 4 L NS % ")</f>
        <v xml:space="preserve">| 1 P PHP-CGM % | 3 L PHP-CGM % | 4 L NS % </v>
      </c>
      <c r="CI550" s="4"/>
      <c r="CJ550" s="4" t="str">
        <f ca="1">IFERROR(__xludf.DUMMYFUNCTION("""COMPUTED_VALUE"""),"| 4 L JAVA % ")</f>
        <v xml:space="preserve">| 4 L JAVA % </v>
      </c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</row>
    <row r="551" spans="1:102" ht="12.5" x14ac:dyDescent="0.25">
      <c r="A551" s="3">
        <f ca="1">IFERROR(__xludf.DUMMYFUNCTION("""COMPUTED_VALUE"""),4)</f>
        <v>4</v>
      </c>
      <c r="B551" s="3" t="str">
        <f ca="1">IFERROR(__xludf.DUMMYFUNCTION("""COMPUTED_VALUE"""),"ITC")</f>
        <v>ITC</v>
      </c>
      <c r="C551" s="32" t="str">
        <f ca="1">IFERROR(__xludf.DUMMYFUNCTION("""COMPUTED_VALUE"""),"23171371149")</f>
        <v>23171371149</v>
      </c>
      <c r="D551" s="4" t="str">
        <f ca="1">IFERROR(__xludf.DUMMYFUNCTION("""COMPUTED_VALUE"""),"RUTURAJSINH RATHOD")</f>
        <v>RUTURAJSINH RATHOD</v>
      </c>
      <c r="E551" s="3" t="str">
        <f ca="1">IFERROR(__xludf.DUMMYFUNCTION("""COMPUTED_VALUE"""),"SDP&amp;KKP - Mor")</f>
        <v>SDP&amp;KKP - Mor</v>
      </c>
      <c r="F551" s="3">
        <f ca="1">IFERROR(__xludf.DUMMYFUNCTION("""COMPUTED_VALUE"""),9313460601)</f>
        <v>9313460601</v>
      </c>
      <c r="G551" s="3">
        <f ca="1">IFERROR(__xludf.DUMMYFUNCTION("""COMPUTED_VALUE"""),9924200393)</f>
        <v>9924200393</v>
      </c>
      <c r="H551" s="33">
        <f ca="1">IFERROR(__xludf.DUMMYFUNCTION("""COMPUTED_VALUE"""),0.569620253164557)</f>
        <v>0.569620253164557</v>
      </c>
      <c r="I551" s="25">
        <f ca="1">IFERROR(__xludf.DUMMYFUNCTION("""COMPUTED_VALUE"""),0.611111111111111)</f>
        <v>0.61111111111111105</v>
      </c>
      <c r="J551" s="25">
        <f ca="1">IFERROR(__xludf.DUMMYFUNCTION("""COMPUTED_VALUE"""),0.583333333333333)</f>
        <v>0.58333333333333304</v>
      </c>
      <c r="K551" s="25">
        <f ca="1">IFERROR(__xludf.DUMMYFUNCTION("""COMPUTED_VALUE"""),0.527777777777777)</f>
        <v>0.52777777777777701</v>
      </c>
      <c r="L551" s="25">
        <f ca="1">IFERROR(__xludf.DUMMYFUNCTION("""COMPUTED_VALUE"""),0.571428571428571)</f>
        <v>0.57142857142857095</v>
      </c>
      <c r="M551" s="25">
        <f ca="1">IFERROR(__xludf.DUMMYFUNCTION("""COMPUTED_VALUE"""),0.5625)</f>
        <v>0.5625</v>
      </c>
      <c r="N551" s="25">
        <f ca="1">IFERROR(__xludf.DUMMYFUNCTION("""COMPUTED_VALUE"""),0.5)</f>
        <v>0.5</v>
      </c>
      <c r="O551" s="25">
        <f ca="1">IFERROR(__xludf.DUMMYFUNCTION("""COMPUTED_VALUE"""),0.702702702702702)</f>
        <v>0.70270270270270196</v>
      </c>
      <c r="P551" s="25">
        <f ca="1">IFERROR(__xludf.DUMMYFUNCTION("""COMPUTED_VALUE"""),0.454545454545454)</f>
        <v>0.45454545454545398</v>
      </c>
      <c r="Q551" s="25">
        <f ca="1">IFERROR(__xludf.DUMMYFUNCTION("""COMPUTED_VALUE"""),0)</f>
        <v>0</v>
      </c>
      <c r="R551" s="25">
        <f ca="1">IFERROR(__xludf.DUMMYFUNCTION("""COMPUTED_VALUE"""),0.526315789473684)</f>
        <v>0.52631578947368396</v>
      </c>
      <c r="S551" s="25">
        <f ca="1">IFERROR(__xludf.DUMMYFUNCTION("""COMPUTED_VALUE"""),0)</f>
        <v>0</v>
      </c>
      <c r="T551" s="25">
        <f ca="1">IFERROR(__xludf.DUMMYFUNCTION("""COMPUTED_VALUE"""),0.454545454545454)</f>
        <v>0.45454545454545398</v>
      </c>
      <c r="U551" s="25">
        <f ca="1">IFERROR(__xludf.DUMMYFUNCTION("""COMPUTED_VALUE"""),0.625)</f>
        <v>0.625</v>
      </c>
      <c r="V551" s="25">
        <f ca="1">IFERROR(__xludf.DUMMYFUNCTION("""COMPUTED_VALUE"""),0)</f>
        <v>0</v>
      </c>
      <c r="W551" s="4"/>
      <c r="X551" s="4" t="str">
        <f ca="1">IFERROR(__xludf.DUMMYFUNCTION("""COMPUTED_VALUE"""),"| 1 P NS % | 3 L CPT % | 4 L JAVA % ")</f>
        <v xml:space="preserve">| 1 P NS % | 3 L CPT % | 4 L JAVA % </v>
      </c>
      <c r="Y551" s="4" t="str">
        <f ca="1">IFERROR(__xludf.DUMMYFUNCTION("""COMPUTED_VALUE"""),"| 1 P CPT % | 3 L JAVA % | 4 L NS % | 5 P PRO % ")</f>
        <v xml:space="preserve">| 1 P CPT % | 3 L JAVA % | 4 L NS % | 5 P PRO % </v>
      </c>
      <c r="Z551" s="4" t="str">
        <f ca="1">IFERROR(__xludf.DUMMYFUNCTION("""COMPUTED_VALUE"""),"| 3 L PHP-CGM % | 4 L NS % | 5 P Python % ")</f>
        <v xml:space="preserve">| 3 L PHP-CGM % | 4 L NS % | 5 P Python % </v>
      </c>
      <c r="AA551" s="4" t="str">
        <f ca="1">IFERROR(__xludf.DUMMYFUNCTION("""COMPUTED_VALUE"""),"| 1 P NS % | 3 L CPT % | 5 P JAVA % ")</f>
        <v xml:space="preserve">| 1 P NS % | 3 L CPT % | 5 P JAVA % </v>
      </c>
      <c r="AB551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1" s="4" t="str">
        <f ca="1">IFERROR(__xludf.DUMMYFUNCTION("""COMPUTED_VALUE"""),"| 1 P NS @ | 3 L CPT % | 4 L JAVA % ")</f>
        <v xml:space="preserve">| 1 P NS @ | 3 L CPT % | 4 L JAVA % </v>
      </c>
      <c r="AD551" s="4" t="str">
        <f ca="1">IFERROR(__xludf.DUMMYFUNCTION("""COMPUTED_VALUE"""),"| 1 P CPT % | 3 L JAVA % | 4 L NS % | 5 P PRO % ")</f>
        <v xml:space="preserve">| 1 P CPT % | 3 L JAVA % | 4 L NS % | 5 P PRO % </v>
      </c>
      <c r="AE551" s="4" t="str">
        <f ca="1">IFERROR(__xludf.DUMMYFUNCTION("""COMPUTED_VALUE"""),"| 1 P PHP-CGM % | 3 L PHP-CGM % | 4 L NS % ")</f>
        <v xml:space="preserve">| 1 P PHP-CGM % | 3 L PHP-CGM % | 4 L NS % </v>
      </c>
      <c r="AF551" s="4" t="str">
        <f ca="1">IFERROR(__xludf.DUMMYFUNCTION("""COMPUTED_VALUE"""),"| 1 P JAVA % | 3 L CPT % | 4 L PHP-CGM % | 5 P JAVA % ")</f>
        <v xml:space="preserve">| 1 P JAVA % | 3 L CPT % | 4 L PHP-CGM % | 5 P JAVA % </v>
      </c>
      <c r="AG551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51" s="4" t="str">
        <f ca="1">IFERROR(__xludf.DUMMYFUNCTION("""COMPUTED_VALUE"""),"| 1 P JAVA % | 3 L CPT % | 4 L PHP-CGM % | 5 P JAVA % ")</f>
        <v xml:space="preserve">| 1 P JAVA % | 3 L CPT % | 4 L PHP-CGM % | 5 P JAVA % </v>
      </c>
      <c r="AI551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51" s="4" t="str">
        <f ca="1">IFERROR(__xludf.DUMMYFUNCTION("""COMPUTED_VALUE"""),"| 1 P NS % | 3 L CPT % | 4 L JAVA % ")</f>
        <v xml:space="preserve">| 1 P NS % | 3 L CPT % | 4 L JAVA % </v>
      </c>
      <c r="AK551" s="4" t="str">
        <f ca="1">IFERROR(__xludf.DUMMYFUNCTION("""COMPUTED_VALUE"""),"| 1 P CPT % | 4 L NS % | 3 L JAVA % | 5 P PRO % ")</f>
        <v xml:space="preserve">| 1 P CPT % | 4 L NS % | 3 L JAVA % | 5 P PRO % </v>
      </c>
      <c r="AL551" s="4" t="str">
        <f ca="1">IFERROR(__xludf.DUMMYFUNCTION("""COMPUTED_VALUE"""),"| 1 P PHP-CGM % | 3 L PHP-CGM % | 4 L NS @ | 5 P Python % ")</f>
        <v xml:space="preserve">| 1 P PHP-CGM % | 3 L PHP-CGM % | 4 L NS @ | 5 P Python % </v>
      </c>
      <c r="AM551" s="4" t="str">
        <f ca="1">IFERROR(__xludf.DUMMYFUNCTION("""COMPUTED_VALUE"""),"| 1 P JAVA % | 3 L CPT % | 4 L PHP-CGM % | 5 P JAVA % ")</f>
        <v xml:space="preserve">| 1 P JAVA % | 3 L CPT % | 4 L PHP-CGM % | 5 P JAVA % </v>
      </c>
      <c r="AN551" s="4" t="str">
        <f ca="1">IFERROR(__xludf.DUMMYFUNCTION("""COMPUTED_VALUE"""),"| 1 P Python % | 3 L PHP-CGM % | 4 L JAVA % | 5 L CPT % | 6 L NS @ ")</f>
        <v xml:space="preserve">| 1 P Python % | 3 L PHP-CGM % | 4 L JAVA % | 5 L CPT % | 6 L NS @ </v>
      </c>
      <c r="AO551" s="4" t="str">
        <f ca="1">IFERROR(__xludf.DUMMYFUNCTION("""COMPUTED_VALUE"""),"| 1 P NS @ | 3 L CPT @ | 4 L JAVA @ | 5 L INE @ ")</f>
        <v xml:space="preserve">| 1 P NS @ | 3 L CPT @ | 4 L JAVA @ | 5 L INE @ </v>
      </c>
      <c r="AP551" s="4" t="str">
        <f ca="1">IFERROR(__xludf.DUMMYFUNCTION("""COMPUTED_VALUE"""),"| 1 P CPT @ | 3 L JAVA @ | 4 L NS @ | 5 P PRO @ ")</f>
        <v xml:space="preserve">| 1 P CPT @ | 3 L JAVA @ | 4 L NS @ | 5 P PRO @ </v>
      </c>
      <c r="AQ551" s="4" t="str">
        <f ca="1">IFERROR(__xludf.DUMMYFUNCTION("""COMPUTED_VALUE"""),"| 1 P PHP-CGM @ | 3 L PHP-CGM @ | 4 L NS @ | 5 P Python @ ")</f>
        <v xml:space="preserve">| 1 P PHP-CGM @ | 3 L PHP-CGM @ | 4 L NS @ | 5 P Python @ </v>
      </c>
      <c r="AR551" s="4" t="str">
        <f ca="1">IFERROR(__xludf.DUMMYFUNCTION("""COMPUTED_VALUE"""),"| 1 P JAVA @ | 3 L CPT @ | 5 P JAVA @ ")</f>
        <v xml:space="preserve">| 1 P JAVA @ | 3 L CPT @ | 5 P JAVA @ </v>
      </c>
      <c r="AS551" s="4" t="str">
        <f ca="1">IFERROR(__xludf.DUMMYFUNCTION("""COMPUTED_VALUE"""),"| 1 P NS % | 3 L CPT % | 4 L JAVA % | 5 L INE % ")</f>
        <v xml:space="preserve">| 1 P NS % | 3 L CPT % | 4 L JAVA % | 5 L INE % </v>
      </c>
      <c r="AT551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51" s="4" t="str">
        <f ca="1">IFERROR(__xludf.DUMMYFUNCTION("""COMPUTED_VALUE"""),"| 1 P PHP-CGM % | 3 L PHP-CGM % | 4 L NS % | 5 P Python % ")</f>
        <v xml:space="preserve">| 1 P PHP-CGM % | 3 L PHP-CGM % | 4 L NS % | 5 P Python % </v>
      </c>
      <c r="AV551" s="4" t="str">
        <f ca="1">IFERROR(__xludf.DUMMYFUNCTION("""COMPUTED_VALUE"""),"| 1 P JAVA @ | 3 L CPT @ | 4 L PHP-CGM @ | 5 P JAVA @ ")</f>
        <v xml:space="preserve">| 1 P JAVA @ | 3 L CPT @ | 4 L PHP-CGM @ | 5 P JAVA @ </v>
      </c>
      <c r="AW551" s="4" t="str">
        <f ca="1">IFERROR(__xludf.DUMMYFUNCTION("""COMPUTED_VALUE"""),"| 1 P Python @ | 3 L PHP-CGM % | 4 L JAVA % | 5 L NS % | 5 L CPT % ")</f>
        <v xml:space="preserve">| 1 P Python @ | 3 L PHP-CGM % | 4 L JAVA % | 5 L NS % | 5 L CPT % </v>
      </c>
      <c r="AX551" s="4" t="str">
        <f ca="1">IFERROR(__xludf.DUMMYFUNCTION("""COMPUTED_VALUE"""),"| 1 P NS @ | 3 L CPT % | 4 L JAVA % | 5 L INE % ")</f>
        <v xml:space="preserve">| 1 P NS @ | 3 L CPT % | 4 L JAVA % | 5 L INE % </v>
      </c>
      <c r="AY551" s="4" t="str">
        <f ca="1">IFERROR(__xludf.DUMMYFUNCTION("""COMPUTED_VALUE"""),"| 1 P CPT % | 3 L JAVA % | 4 L NS % | 5 P PRO @ ")</f>
        <v xml:space="preserve">| 1 P CPT % | 3 L JAVA % | 4 L NS % | 5 P PRO @ </v>
      </c>
      <c r="AZ551" s="4" t="str">
        <f ca="1">IFERROR(__xludf.DUMMYFUNCTION("""COMPUTED_VALUE"""),"| 1 P JAVA @ | 3 L CPT @ | 4 L PHP-CGM @ | 5 P JAVA @ ")</f>
        <v xml:space="preserve">| 1 P JAVA @ | 3 L CPT @ | 4 L PHP-CGM @ | 5 P JAVA @ </v>
      </c>
      <c r="BA551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51" s="4" t="str">
        <f ca="1">IFERROR(__xludf.DUMMYFUNCTION("""COMPUTED_VALUE"""),"| 1 P NS % | 3 L CPT % | 4 L JAVA % | 5 L INE @ ")</f>
        <v xml:space="preserve">| 1 P NS % | 3 L CPT % | 4 L JAVA % | 5 L INE @ </v>
      </c>
      <c r="BC551" s="4" t="str">
        <f ca="1">IFERROR(__xludf.DUMMYFUNCTION("""COMPUTED_VALUE"""),"| 1 P CPT % | 3 L JAVA % | 4 L NS % | 5 P PRO @ ")</f>
        <v xml:space="preserve">| 1 P CPT % | 3 L JAVA % | 4 L NS % | 5 P PRO @ </v>
      </c>
      <c r="BD551" s="4" t="str">
        <f ca="1">IFERROR(__xludf.DUMMYFUNCTION("""COMPUTED_VALUE"""),"| 1 P PHP-CGM @ | 4 L NS %  | 3 L PHP-CGM % | 5 P Python % ")</f>
        <v xml:space="preserve">| 1 P PHP-CGM @ | 4 L NS %  | 3 L PHP-CGM % | 5 P Python % </v>
      </c>
      <c r="BE551" s="4" t="str">
        <f ca="1">IFERROR(__xludf.DUMMYFUNCTION("""COMPUTED_VALUE"""),"| 1 P JAVA @ | 3 L CPT @ | 4 L PHP-CGM @ | 5 P JAVA % ")</f>
        <v xml:space="preserve">| 1 P JAVA @ | 3 L CPT @ | 4 L PHP-CGM @ | 5 P JAVA % </v>
      </c>
      <c r="BF551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51" s="4" t="str">
        <f ca="1">IFERROR(__xludf.DUMMYFUNCTION("""COMPUTED_VALUE"""),"| 3 L JAVA % | 4 L NS @ | 5 P PRO @ ")</f>
        <v xml:space="preserve">| 3 L JAVA % | 4 L NS @ | 5 P PRO @ </v>
      </c>
      <c r="BH551" s="4" t="str">
        <f ca="1">IFERROR(__xludf.DUMMYFUNCTION("""COMPUTED_VALUE"""),"| 1 P PHP-CGM % | 3 L PHP-CGM % | 4 L NS % | 5 P Python % ")</f>
        <v xml:space="preserve">| 1 P PHP-CGM % | 3 L PHP-CGM % | 4 L NS % | 5 P Python % </v>
      </c>
      <c r="BI551" s="4" t="str">
        <f ca="1">IFERROR(__xludf.DUMMYFUNCTION("""COMPUTED_VALUE"""),"| 1 P JAVA % | 3 L CPT % | 4 L PHP-CGM % | 5 P JAVA % ")</f>
        <v xml:space="preserve">| 1 P JAVA % | 3 L CPT % | 4 L PHP-CGM % | 5 P JAVA % </v>
      </c>
      <c r="BJ551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K551" s="4" t="str">
        <f ca="1">IFERROR(__xludf.DUMMYFUNCTION("""COMPUTED_VALUE"""),"| 1 P NS @ | 3 L CPT @ | 4 L JAVA @ | 5 L INE @ ")</f>
        <v xml:space="preserve">| 1 P NS @ | 3 L CPT @ | 4 L JAVA @ | 5 L INE @ </v>
      </c>
      <c r="BL551" s="4" t="str">
        <f ca="1">IFERROR(__xludf.DUMMYFUNCTION("""COMPUTED_VALUE"""),"| 1 P CPT @ | 3 L JAVA @ | 4 L NS @ | 5 P PRO @ ")</f>
        <v xml:space="preserve">| 1 P CPT @ | 3 L JAVA @ | 4 L NS @ | 5 P PRO @ </v>
      </c>
      <c r="BM551" s="4" t="str">
        <f ca="1">IFERROR(__xludf.DUMMYFUNCTION("""COMPUTED_VALUE"""),"| 1 P PHP-CGM @ | 3 L PHP-CGM @ | 4 L NS @ | 5 P Python @ ")</f>
        <v xml:space="preserve">| 1 P PHP-CGM @ | 3 L PHP-CGM @ | 4 L NS @ | 5 P Python @ </v>
      </c>
      <c r="BN551" s="4" t="str">
        <f ca="1">IFERROR(__xludf.DUMMYFUNCTION("""COMPUTED_VALUE"""),"| 1 P JAVA @ | 3 L CPT @ | 4 L PHP-CGM @ ")</f>
        <v xml:space="preserve">| 1 P JAVA @ | 3 L CPT @ | 4 L PHP-CGM @ </v>
      </c>
      <c r="BO551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1" s="4" t="str">
        <f ca="1">IFERROR(__xludf.DUMMYFUNCTION("""COMPUTED_VALUE"""),"| 1 P NS % | 3 L CPT % | 4 L JAVA % | 5 L INE % ")</f>
        <v xml:space="preserve">| 1 P NS % | 3 L CPT % | 4 L JAVA % | 5 L INE % </v>
      </c>
      <c r="BQ551" s="4" t="str">
        <f ca="1">IFERROR(__xludf.DUMMYFUNCTION("""COMPUTED_VALUE"""),"| 4 L NS % ")</f>
        <v xml:space="preserve">| 4 L NS % </v>
      </c>
      <c r="BR551" s="4"/>
      <c r="BS551" s="4"/>
      <c r="BT551" s="4" t="str">
        <f ca="1">IFERROR(__xludf.DUMMYFUNCTION("""COMPUTED_VALUE"""),"| 1 P NS % | 3 L CPT % | 4 L JAVA % ")</f>
        <v xml:space="preserve">| 1 P NS % | 3 L CPT % | 4 L JAVA % </v>
      </c>
      <c r="BU551" s="4" t="str">
        <f ca="1">IFERROR(__xludf.DUMMYFUNCTION("""COMPUTED_VALUE"""),"| 1 P CPT @ | 4 L NS @ | 3 L JAVA @ ")</f>
        <v xml:space="preserve">| 1 P CPT @ | 4 L NS @ | 3 L JAVA @ </v>
      </c>
      <c r="BV551" s="4" t="str">
        <f ca="1">IFERROR(__xludf.DUMMYFUNCTION("""COMPUTED_VALUE"""),"| 1 P NS @ | 3 L CPT @ | 4 L JAVA @ ")</f>
        <v xml:space="preserve">| 1 P NS @ | 3 L CPT @ | 4 L JAVA @ </v>
      </c>
      <c r="BW551" s="4" t="str">
        <f ca="1">IFERROR(__xludf.DUMMYFUNCTION("""COMPUTED_VALUE"""),"| 1 P CPT @ | 3 L JAVA @ | 4 L NS @ ")</f>
        <v xml:space="preserve">| 1 P CPT @ | 3 L JAVA @ | 4 L NS @ </v>
      </c>
      <c r="BX551" s="4" t="str">
        <f ca="1">IFERROR(__xludf.DUMMYFUNCTION("""COMPUTED_VALUE"""),"| 1 P PHP-CGM @ | 3 L PHP-CGM @ | 4 L NS @ | 5 P Python @ ")</f>
        <v xml:space="preserve">| 1 P PHP-CGM @ | 3 L PHP-CGM @ | 4 L NS @ | 5 P Python @ </v>
      </c>
      <c r="BY551" s="4" t="str">
        <f ca="1">IFERROR(__xludf.DUMMYFUNCTION("""COMPUTED_VALUE"""),"| 1 P JAVA @ | 3 L CPT @ | 4 L PHP-CGM @ | 5 P JAVA @ ")</f>
        <v xml:space="preserve">| 1 P JAVA @ | 3 L CPT @ | 4 L PHP-CGM @ | 5 P JAVA @ </v>
      </c>
      <c r="BZ551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51" s="4" t="str">
        <f ca="1">IFERROR(__xludf.DUMMYFUNCTION("""COMPUTED_VALUE"""),"| 1 P NS @ | 3 L CPT @ | 4 L JAVA @ | 5 L INE % ")</f>
        <v xml:space="preserve">| 1 P NS @ | 3 L CPT @ | 4 L JAVA @ | 5 L INE % </v>
      </c>
      <c r="CB551" s="4" t="str">
        <f ca="1">IFERROR(__xludf.DUMMYFUNCTION("""COMPUTED_VALUE"""),"| 1 P CPT @ | 3 L JAVA % | 4 L NS % | 5 P PRO @ ")</f>
        <v xml:space="preserve">| 1 P CPT @ | 3 L JAVA % | 4 L NS % | 5 P PRO @ </v>
      </c>
      <c r="CC551" s="4" t="str">
        <f ca="1">IFERROR(__xludf.DUMMYFUNCTION("""COMPUTED_VALUE"""),"| 1 P PHP-CGM @ | 3 L PHP-CGM @ | 4 L NS @ | 5 P Python @ ")</f>
        <v xml:space="preserve">| 1 P PHP-CGM @ | 3 L PHP-CGM @ | 4 L NS @ | 5 P Python @ </v>
      </c>
      <c r="CD551" s="4" t="str">
        <f ca="1">IFERROR(__xludf.DUMMYFUNCTION("""COMPUTED_VALUE"""),"| 1 P JAVA @ | 3 L CPT @ | 4 L PHP-CGM @ ")</f>
        <v xml:space="preserve">| 1 P JAVA @ | 3 L CPT @ | 4 L PHP-CGM @ </v>
      </c>
      <c r="CE551" s="4" t="str">
        <f ca="1">IFERROR(__xludf.DUMMYFUNCTION("""COMPUTED_VALUE"""),"| 1 P Python @ | 3 L PHP-CGM % | 4 L JAVA % | 5 L NS % | 6 L CPT % ")</f>
        <v xml:space="preserve">| 1 P Python @ | 3 L PHP-CGM % | 4 L JAVA % | 5 L NS % | 6 L CPT % </v>
      </c>
      <c r="CF551" s="4" t="str">
        <f ca="1">IFERROR(__xludf.DUMMYFUNCTION("""COMPUTED_VALUE"""),"| 1 P NS % | 3 L CPT % | 4 L JAVA % | 5 L INE % ")</f>
        <v xml:space="preserve">| 1 P NS % | 3 L CPT % | 4 L JAVA % | 5 L INE % </v>
      </c>
      <c r="CG551" s="4" t="str">
        <f ca="1">IFERROR(__xludf.DUMMYFUNCTION("""COMPUTED_VALUE"""),"| 1 P CPT % | 4 L NS @ ")</f>
        <v xml:space="preserve">| 1 P CPT % | 4 L NS @ </v>
      </c>
      <c r="CH551" s="4" t="str">
        <f ca="1">IFERROR(__xludf.DUMMYFUNCTION("""COMPUTED_VALUE"""),"| 1 P PHP-CGM % | 3 L PHP-CGM @ | 4 L NS @ ")</f>
        <v xml:space="preserve">| 1 P PHP-CGM % | 3 L PHP-CGM @ | 4 L NS @ </v>
      </c>
      <c r="CI551" s="4"/>
      <c r="CJ551" s="4" t="str">
        <f ca="1">IFERROR(__xludf.DUMMYFUNCTION("""COMPUTED_VALUE"""),"| 4 L JAVA % ")</f>
        <v xml:space="preserve">| 4 L JAVA % </v>
      </c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</row>
    <row r="552" spans="1:102" ht="12.5" x14ac:dyDescent="0.25">
      <c r="A552" s="3">
        <f ca="1">IFERROR(__xludf.DUMMYFUNCTION("""COMPUTED_VALUE"""),4)</f>
        <v>4</v>
      </c>
      <c r="B552" s="3" t="str">
        <f ca="1">IFERROR(__xludf.DUMMYFUNCTION("""COMPUTED_VALUE"""),"ITC")</f>
        <v>ITC</v>
      </c>
      <c r="C552" s="32" t="str">
        <f ca="1">IFERROR(__xludf.DUMMYFUNCTION("""COMPUTED_VALUE"""),"23171371150")</f>
        <v>23171371150</v>
      </c>
      <c r="D552" s="4" t="str">
        <f ca="1">IFERROR(__xludf.DUMMYFUNCTION("""COMPUTED_VALUE"""),"SATHVARA DHRUV MUKESHKUMAR")</f>
        <v>SATHVARA DHRUV MUKESHKUMAR</v>
      </c>
      <c r="E552" s="3" t="str">
        <f ca="1">IFERROR(__xludf.DUMMYFUNCTION("""COMPUTED_VALUE"""),"SDP&amp;KKP - Mor")</f>
        <v>SDP&amp;KKP - Mor</v>
      </c>
      <c r="F552" s="3">
        <f ca="1">IFERROR(__xludf.DUMMYFUNCTION("""COMPUTED_VALUE"""),7862010581)</f>
        <v>7862010581</v>
      </c>
      <c r="G552" s="3">
        <f ca="1">IFERROR(__xludf.DUMMYFUNCTION("""COMPUTED_VALUE"""),9265268398)</f>
        <v>9265268398</v>
      </c>
      <c r="H552" s="33">
        <f ca="1">IFERROR(__xludf.DUMMYFUNCTION("""COMPUTED_VALUE"""),0.827004219409282)</f>
        <v>0.82700421940928204</v>
      </c>
      <c r="I552" s="25">
        <f ca="1">IFERROR(__xludf.DUMMYFUNCTION("""COMPUTED_VALUE"""),0.805555555555555)</f>
        <v>0.80555555555555503</v>
      </c>
      <c r="J552" s="25">
        <f ca="1">IFERROR(__xludf.DUMMYFUNCTION("""COMPUTED_VALUE"""),0.916666666666666)</f>
        <v>0.91666666666666596</v>
      </c>
      <c r="K552" s="25">
        <f ca="1">IFERROR(__xludf.DUMMYFUNCTION("""COMPUTED_VALUE"""),0.75)</f>
        <v>0.75</v>
      </c>
      <c r="L552" s="25">
        <f ca="1">IFERROR(__xludf.DUMMYFUNCTION("""COMPUTED_VALUE"""),0.928571428571428)</f>
        <v>0.92857142857142805</v>
      </c>
      <c r="M552" s="25">
        <f ca="1">IFERROR(__xludf.DUMMYFUNCTION("""COMPUTED_VALUE"""),0.8125)</f>
        <v>0.8125</v>
      </c>
      <c r="N552" s="25">
        <f ca="1">IFERROR(__xludf.DUMMYFUNCTION("""COMPUTED_VALUE"""),0.9)</f>
        <v>0.9</v>
      </c>
      <c r="O552" s="25">
        <f ca="1">IFERROR(__xludf.DUMMYFUNCTION("""COMPUTED_VALUE"""),0.837837837837837)</f>
        <v>0.83783783783783705</v>
      </c>
      <c r="P552" s="25">
        <f ca="1">IFERROR(__xludf.DUMMYFUNCTION("""COMPUTED_VALUE"""),0.818181818181818)</f>
        <v>0.81818181818181801</v>
      </c>
      <c r="Q552" s="25">
        <f ca="1">IFERROR(__xludf.DUMMYFUNCTION("""COMPUTED_VALUE"""),0)</f>
        <v>0</v>
      </c>
      <c r="R552" s="25">
        <f ca="1">IFERROR(__xludf.DUMMYFUNCTION("""COMPUTED_VALUE"""),0.842105263157894)</f>
        <v>0.84210526315789402</v>
      </c>
      <c r="S552" s="25">
        <f ca="1">IFERROR(__xludf.DUMMYFUNCTION("""COMPUTED_VALUE"""),0)</f>
        <v>0</v>
      </c>
      <c r="T552" s="25">
        <f ca="1">IFERROR(__xludf.DUMMYFUNCTION("""COMPUTED_VALUE"""),0.909090909090909)</f>
        <v>0.90909090909090895</v>
      </c>
      <c r="U552" s="25">
        <f ca="1">IFERROR(__xludf.DUMMYFUNCTION("""COMPUTED_VALUE"""),0.75)</f>
        <v>0.75</v>
      </c>
      <c r="V552" s="25">
        <f ca="1">IFERROR(__xludf.DUMMYFUNCTION("""COMPUTED_VALUE"""),0)</f>
        <v>0</v>
      </c>
      <c r="W552" s="4"/>
      <c r="X552" s="4" t="str">
        <f ca="1">IFERROR(__xludf.DUMMYFUNCTION("""COMPUTED_VALUE"""),"| 1 P NS % | 3 L CPT % | 4 L JAVA % ")</f>
        <v xml:space="preserve">| 1 P NS % | 3 L CPT % | 4 L JAVA % </v>
      </c>
      <c r="Y552" s="4" t="str">
        <f ca="1">IFERROR(__xludf.DUMMYFUNCTION("""COMPUTED_VALUE"""),"| 1 P CPT @ | 3 L JAVA % | 4 L NS % | 5 P PRO % ")</f>
        <v xml:space="preserve">| 1 P CPT @ | 3 L JAVA % | 4 L NS % | 5 P PRO % </v>
      </c>
      <c r="Z552" s="4" t="str">
        <f ca="1">IFERROR(__xludf.DUMMYFUNCTION("""COMPUTED_VALUE"""),"| 3 L PHP-CGM % | 4 L NS % | 5 P Python % ")</f>
        <v xml:space="preserve">| 3 L PHP-CGM % | 4 L NS % | 5 P Python % </v>
      </c>
      <c r="AA552" s="4" t="str">
        <f ca="1">IFERROR(__xludf.DUMMYFUNCTION("""COMPUTED_VALUE"""),"| 1 P NS % | 3 L CPT @ | 5 P JAVA @ ")</f>
        <v xml:space="preserve">| 1 P NS % | 3 L CPT @ | 5 P JAVA @ </v>
      </c>
      <c r="AB552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2" s="4" t="str">
        <f ca="1">IFERROR(__xludf.DUMMYFUNCTION("""COMPUTED_VALUE"""),"| 1 P NS % | 3 L CPT % | 4 L JAVA % ")</f>
        <v xml:space="preserve">| 1 P NS % | 3 L CPT % | 4 L JAVA % </v>
      </c>
      <c r="AD552" s="4" t="str">
        <f ca="1">IFERROR(__xludf.DUMMYFUNCTION("""COMPUTED_VALUE"""),"| 1 P CPT % | 3 L JAVA % | 4 L NS % | 5 P PRO % ")</f>
        <v xml:space="preserve">| 1 P CPT % | 3 L JAVA % | 4 L NS % | 5 P PRO % </v>
      </c>
      <c r="AE552" s="4" t="str">
        <f ca="1">IFERROR(__xludf.DUMMYFUNCTION("""COMPUTED_VALUE"""),"| 1 P PHP-CGM % | 3 L PHP-CGM % | 4 L NS % ")</f>
        <v xml:space="preserve">| 1 P PHP-CGM % | 3 L PHP-CGM % | 4 L NS % </v>
      </c>
      <c r="AF552" s="4" t="str">
        <f ca="1">IFERROR(__xludf.DUMMYFUNCTION("""COMPUTED_VALUE"""),"| 1 P JAVA % | 3 L CPT % | 4 L PHP-CGM % | 5 P JAVA % ")</f>
        <v xml:space="preserve">| 1 P JAVA % | 3 L CPT % | 4 L PHP-CGM % | 5 P JAVA % </v>
      </c>
      <c r="AG552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52" s="4" t="str">
        <f ca="1">IFERROR(__xludf.DUMMYFUNCTION("""COMPUTED_VALUE"""),"| 1 P JAVA % | 3 L CPT % | 4 L PHP-CGM % | 5 P JAVA % ")</f>
        <v xml:space="preserve">| 1 P JAVA % | 3 L CPT % | 4 L PHP-CGM % | 5 P JAVA % </v>
      </c>
      <c r="AI552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52" s="4" t="str">
        <f ca="1">IFERROR(__xludf.DUMMYFUNCTION("""COMPUTED_VALUE"""),"| 1 P NS % | 3 L CPT % | 4 L JAVA % ")</f>
        <v xml:space="preserve">| 1 P NS % | 3 L CPT % | 4 L JAVA % </v>
      </c>
      <c r="AK552" s="4" t="str">
        <f ca="1">IFERROR(__xludf.DUMMYFUNCTION("""COMPUTED_VALUE"""),"| 1 P CPT % | 4 L NS % | 3 L JAVA % | 5 P PRO % ")</f>
        <v xml:space="preserve">| 1 P CPT % | 4 L NS % | 3 L JAVA % | 5 P PRO % </v>
      </c>
      <c r="AL552" s="4" t="str">
        <f ca="1">IFERROR(__xludf.DUMMYFUNCTION("""COMPUTED_VALUE"""),"| 1 P PHP-CGM % | 3 L PHP-CGM % | 4 L NS % | 5 P Python % ")</f>
        <v xml:space="preserve">| 1 P PHP-CGM % | 3 L PHP-CGM % | 4 L NS % | 5 P Python % </v>
      </c>
      <c r="AM552" s="4" t="str">
        <f ca="1">IFERROR(__xludf.DUMMYFUNCTION("""COMPUTED_VALUE"""),"| 1 P JAVA % | 3 L CPT % | 4 L PHP-CGM % | 5 P JAVA % ")</f>
        <v xml:space="preserve">| 1 P JAVA % | 3 L CPT % | 4 L PHP-CGM % | 5 P JAVA % </v>
      </c>
      <c r="AN552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52" s="4" t="str">
        <f ca="1">IFERROR(__xludf.DUMMYFUNCTION("""COMPUTED_VALUE"""),"| 1 P NS % | 3 L CPT % | 4 L JAVA % | 5 L INE % ")</f>
        <v xml:space="preserve">| 1 P NS % | 3 L CPT % | 4 L JAVA % | 5 L INE % </v>
      </c>
      <c r="AP552" s="4" t="str">
        <f ca="1">IFERROR(__xludf.DUMMYFUNCTION("""COMPUTED_VALUE"""),"| 1 P CPT % | 3 L JAVA % | 4 L NS % | 5 P PRO % ")</f>
        <v xml:space="preserve">| 1 P CPT % | 3 L JAVA % | 4 L NS % | 5 P PRO % </v>
      </c>
      <c r="AQ552" s="4" t="str">
        <f ca="1">IFERROR(__xludf.DUMMYFUNCTION("""COMPUTED_VALUE"""),"| 1 P PHP-CGM % | 3 L PHP-CGM % | 4 L NS % | 5 P Python % ")</f>
        <v xml:space="preserve">| 1 P PHP-CGM % | 3 L PHP-CGM % | 4 L NS % | 5 P Python % </v>
      </c>
      <c r="AR552" s="4" t="str">
        <f ca="1">IFERROR(__xludf.DUMMYFUNCTION("""COMPUTED_VALUE"""),"| 1 P JAVA % | 3 L CPT % | 5 P JAVA % ")</f>
        <v xml:space="preserve">| 1 P JAVA % | 3 L CPT % | 5 P JAVA % </v>
      </c>
      <c r="AS552" s="4" t="str">
        <f ca="1">IFERROR(__xludf.DUMMYFUNCTION("""COMPUTED_VALUE"""),"| 1 P NS @ | 3 L CPT @ | 4 L JAVA @ | 5 L INE @ ")</f>
        <v xml:space="preserve">| 1 P NS @ | 3 L CPT @ | 4 L JAVA @ | 5 L INE @ </v>
      </c>
      <c r="AT552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52" s="4" t="str">
        <f ca="1">IFERROR(__xludf.DUMMYFUNCTION("""COMPUTED_VALUE"""),"| 1 P PHP-CGM % | 3 L PHP-CGM % | 4 L NS % | 5 P Python % ")</f>
        <v xml:space="preserve">| 1 P PHP-CGM % | 3 L PHP-CGM % | 4 L NS % | 5 P Python % </v>
      </c>
      <c r="AV552" s="4" t="str">
        <f ca="1">IFERROR(__xludf.DUMMYFUNCTION("""COMPUTED_VALUE"""),"| 1 P JAVA % | 3 L CPT % | 4 L PHP-CGM % | 5 P JAVA % ")</f>
        <v xml:space="preserve">| 1 P JAVA % | 3 L CPT % | 4 L PHP-CGM % | 5 P JAVA % </v>
      </c>
      <c r="AW552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52" s="4" t="str">
        <f ca="1">IFERROR(__xludf.DUMMYFUNCTION("""COMPUTED_VALUE"""),"| 1 P NS % | 3 L CPT % | 4 L JAVA % | 5 L INE % ")</f>
        <v xml:space="preserve">| 1 P NS % | 3 L CPT % | 4 L JAVA % | 5 L INE % </v>
      </c>
      <c r="AY552" s="4" t="str">
        <f ca="1">IFERROR(__xludf.DUMMYFUNCTION("""COMPUTED_VALUE"""),"| 1 P CPT % | 3 L JAVA % | 4 L NS % | 5 P PRO % ")</f>
        <v xml:space="preserve">| 1 P CPT % | 3 L JAVA % | 4 L NS % | 5 P PRO % </v>
      </c>
      <c r="AZ552" s="4" t="str">
        <f ca="1">IFERROR(__xludf.DUMMYFUNCTION("""COMPUTED_VALUE"""),"| 1 P JAVA % | 3 L CPT % | 4 L PHP-CGM % | 5 P JAVA % ")</f>
        <v xml:space="preserve">| 1 P JAVA % | 3 L CPT % | 4 L PHP-CGM % | 5 P JAVA % </v>
      </c>
      <c r="BA552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52" s="4" t="str">
        <f ca="1">IFERROR(__xludf.DUMMYFUNCTION("""COMPUTED_VALUE"""),"| 1 P NS % | 3 L CPT % | 4 L JAVA % | 5 L INE % ")</f>
        <v xml:space="preserve">| 1 P NS % | 3 L CPT % | 4 L JAVA % | 5 L INE % </v>
      </c>
      <c r="BC552" s="4" t="str">
        <f ca="1">IFERROR(__xludf.DUMMYFUNCTION("""COMPUTED_VALUE"""),"| 1 P CPT % | 3 L JAVA % | 4 L NS % | 5 P PRO % ")</f>
        <v xml:space="preserve">| 1 P CPT % | 3 L JAVA % | 4 L NS % | 5 P PRO % </v>
      </c>
      <c r="BD552" s="4" t="str">
        <f ca="1">IFERROR(__xludf.DUMMYFUNCTION("""COMPUTED_VALUE"""),"| 1 P PHP-CGM % | 4 L NS %  | 3 L PHP-CGM % | 5 P Python % ")</f>
        <v xml:space="preserve">| 1 P PHP-CGM % | 4 L NS %  | 3 L PHP-CGM % | 5 P Python % </v>
      </c>
      <c r="BE552" s="4" t="str">
        <f ca="1">IFERROR(__xludf.DUMMYFUNCTION("""COMPUTED_VALUE"""),"| 1 P JAVA % | 3 L CPT % | 4 L PHP-CGM % | 5 P JAVA % ")</f>
        <v xml:space="preserve">| 1 P JAVA % | 3 L CPT % | 4 L PHP-CGM % | 5 P JAVA % </v>
      </c>
      <c r="BF552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52" s="4" t="str">
        <f ca="1">IFERROR(__xludf.DUMMYFUNCTION("""COMPUTED_VALUE"""),"| 3 L JAVA @ | 4 L NS @ | 5 P PRO @ ")</f>
        <v xml:space="preserve">| 3 L JAVA @ | 4 L NS @ | 5 P PRO @ </v>
      </c>
      <c r="BH552" s="4" t="str">
        <f ca="1">IFERROR(__xludf.DUMMYFUNCTION("""COMPUTED_VALUE"""),"| 1 P PHP-CGM @ | 3 L PHP-CGM @ | 4 L NS @ | 5 P Python @ ")</f>
        <v xml:space="preserve">| 1 P PHP-CGM @ | 3 L PHP-CGM @ | 4 L NS @ | 5 P Python @ </v>
      </c>
      <c r="BI552" s="4" t="str">
        <f ca="1">IFERROR(__xludf.DUMMYFUNCTION("""COMPUTED_VALUE"""),"| 1 P JAVA @ | 3 L CPT @ | 4 L PHP-CGM @ | 5 P JAVA @ ")</f>
        <v xml:space="preserve">| 1 P JAVA @ | 3 L CPT @ | 4 L PHP-CGM @ | 5 P JAVA @ </v>
      </c>
      <c r="BJ552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52" s="4" t="str">
        <f ca="1">IFERROR(__xludf.DUMMYFUNCTION("""COMPUTED_VALUE"""),"| 1 P NS % | 3 L CPT % | 4 L JAVA % | 5 L INE % ")</f>
        <v xml:space="preserve">| 1 P NS % | 3 L CPT % | 4 L JAVA % | 5 L INE % </v>
      </c>
      <c r="BL552" s="4" t="str">
        <f ca="1">IFERROR(__xludf.DUMMYFUNCTION("""COMPUTED_VALUE"""),"| 1 P CPT % | 3 L JAVA % | 4 L NS % | 5 P PRO % ")</f>
        <v xml:space="preserve">| 1 P CPT % | 3 L JAVA % | 4 L NS % | 5 P PRO % </v>
      </c>
      <c r="BM552" s="4" t="str">
        <f ca="1">IFERROR(__xludf.DUMMYFUNCTION("""COMPUTED_VALUE"""),"| 1 P PHP-CGM % | 3 L PHP-CGM % | 4 L NS % | 5 P Python % ")</f>
        <v xml:space="preserve">| 1 P PHP-CGM % | 3 L PHP-CGM % | 4 L NS % | 5 P Python % </v>
      </c>
      <c r="BN552" s="4" t="str">
        <f ca="1">IFERROR(__xludf.DUMMYFUNCTION("""COMPUTED_VALUE"""),"| 1 P JAVA % | 3 L CPT % | 4 L PHP-CGM % ")</f>
        <v xml:space="preserve">| 1 P JAVA % | 3 L CPT % | 4 L PHP-CGM % </v>
      </c>
      <c r="BO552" s="4" t="str">
        <f ca="1">IFERROR(__xludf.DUMMYFUNCTION("""COMPUTED_VALUE"""),"| 1 P Python % | 3 L PHP-CGM @ | 4 L JAVA @ | 5 L NS @ | 6 L CPT % ")</f>
        <v xml:space="preserve">| 1 P Python % | 3 L PHP-CGM @ | 4 L JAVA @ | 5 L NS @ | 6 L CPT % </v>
      </c>
      <c r="BP552" s="4" t="str">
        <f ca="1">IFERROR(__xludf.DUMMYFUNCTION("""COMPUTED_VALUE"""),"| 1 P NS % | 3 L CPT % | 4 L JAVA % | 5 L INE % ")</f>
        <v xml:space="preserve">| 1 P NS % | 3 L CPT % | 4 L JAVA % | 5 L INE % </v>
      </c>
      <c r="BQ552" s="4" t="str">
        <f ca="1">IFERROR(__xludf.DUMMYFUNCTION("""COMPUTED_VALUE"""),"| 4 L NS @ ")</f>
        <v xml:space="preserve">| 4 L NS @ </v>
      </c>
      <c r="BR552" s="4"/>
      <c r="BS552" s="4"/>
      <c r="BT552" s="4" t="str">
        <f ca="1">IFERROR(__xludf.DUMMYFUNCTION("""COMPUTED_VALUE"""),"| 1 P NS % | 3 L CPT % | 4 L JAVA % ")</f>
        <v xml:space="preserve">| 1 P NS % | 3 L CPT % | 4 L JAVA % </v>
      </c>
      <c r="BU552" s="4" t="str">
        <f ca="1">IFERROR(__xludf.DUMMYFUNCTION("""COMPUTED_VALUE"""),"| 1 P CPT % | 4 L NS % | 3 L JAVA % ")</f>
        <v xml:space="preserve">| 1 P CPT % | 4 L NS % | 3 L JAVA % </v>
      </c>
      <c r="BV552" s="4" t="str">
        <f ca="1">IFERROR(__xludf.DUMMYFUNCTION("""COMPUTED_VALUE"""),"| 1 P NS % | 3 L CPT % | 4 L JAVA % ")</f>
        <v xml:space="preserve">| 1 P NS % | 3 L CPT % | 4 L JAVA % </v>
      </c>
      <c r="BW552" s="4" t="str">
        <f ca="1">IFERROR(__xludf.DUMMYFUNCTION("""COMPUTED_VALUE"""),"| 1 P CPT % | 3 L JAVA % | 4 L NS % ")</f>
        <v xml:space="preserve">| 1 P CPT % | 3 L JAVA % | 4 L NS % </v>
      </c>
      <c r="BX552" s="4" t="str">
        <f ca="1">IFERROR(__xludf.DUMMYFUNCTION("""COMPUTED_VALUE"""),"| 1 P PHP-CGM % | 3 L PHP-CGM % | 4 L NS % | 5 P Python % ")</f>
        <v xml:space="preserve">| 1 P PHP-CGM % | 3 L PHP-CGM % | 4 L NS % | 5 P Python % </v>
      </c>
      <c r="BY552" s="4" t="str">
        <f ca="1">IFERROR(__xludf.DUMMYFUNCTION("""COMPUTED_VALUE"""),"| 1 P JAVA % | 3 L CPT % | 4 L PHP-CGM % | 5 P JAVA % ")</f>
        <v xml:space="preserve">| 1 P JAVA % | 3 L CPT % | 4 L PHP-CGM % | 5 P JAVA % </v>
      </c>
      <c r="BZ552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A552" s="4" t="str">
        <f ca="1">IFERROR(__xludf.DUMMYFUNCTION("""COMPUTED_VALUE"""),"| 1 P NS % | 3 L CPT % | 4 L JAVA % | 5 L INE % ")</f>
        <v xml:space="preserve">| 1 P NS % | 3 L CPT % | 4 L JAVA % | 5 L INE % </v>
      </c>
      <c r="CB552" s="4" t="str">
        <f ca="1">IFERROR(__xludf.DUMMYFUNCTION("""COMPUTED_VALUE"""),"| 1 P CPT % | 3 L JAVA % | 4 L NS % | 5 P PRO % ")</f>
        <v xml:space="preserve">| 1 P CPT % | 3 L JAVA % | 4 L NS % | 5 P PRO % </v>
      </c>
      <c r="CC552" s="4" t="str">
        <f ca="1">IFERROR(__xludf.DUMMYFUNCTION("""COMPUTED_VALUE"""),"| 1 P PHP-CGM % | 3 L PHP-CGM % | 4 L NS % | 5 P Python % ")</f>
        <v xml:space="preserve">| 1 P PHP-CGM % | 3 L PHP-CGM % | 4 L NS % | 5 P Python % </v>
      </c>
      <c r="CD552" s="4" t="str">
        <f ca="1">IFERROR(__xludf.DUMMYFUNCTION("""COMPUTED_VALUE"""),"| 1 P JAVA % | 3 L CPT % | 4 L PHP-CGM % ")</f>
        <v xml:space="preserve">| 1 P JAVA % | 3 L CPT % | 4 L PHP-CGM % </v>
      </c>
      <c r="CE552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52" s="4" t="str">
        <f ca="1">IFERROR(__xludf.DUMMYFUNCTION("""COMPUTED_VALUE"""),"| 1 P NS % | 3 L CPT @ | 4 L JAVA @ | 5 L INE @ ")</f>
        <v xml:space="preserve">| 1 P NS % | 3 L CPT @ | 4 L JAVA @ | 5 L INE @ </v>
      </c>
      <c r="CG552" s="4" t="str">
        <f ca="1">IFERROR(__xludf.DUMMYFUNCTION("""COMPUTED_VALUE"""),"| 1 P CPT % | 4 L NS @ ")</f>
        <v xml:space="preserve">| 1 P CPT % | 4 L NS @ </v>
      </c>
      <c r="CH552" s="4" t="str">
        <f ca="1">IFERROR(__xludf.DUMMYFUNCTION("""COMPUTED_VALUE"""),"| 1 P PHP-CGM % | 3 L PHP-CGM @ | 4 L NS @ ")</f>
        <v xml:space="preserve">| 1 P PHP-CGM % | 3 L PHP-CGM @ | 4 L NS @ </v>
      </c>
      <c r="CI552" s="4"/>
      <c r="CJ552" s="4" t="str">
        <f ca="1">IFERROR(__xludf.DUMMYFUNCTION("""COMPUTED_VALUE"""),"| 4 L JAVA % ")</f>
        <v xml:space="preserve">| 4 L JAVA % </v>
      </c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</row>
    <row r="553" spans="1:102" ht="12.5" x14ac:dyDescent="0.25">
      <c r="A553" s="3">
        <f ca="1">IFERROR(__xludf.DUMMYFUNCTION("""COMPUTED_VALUE"""),4)</f>
        <v>4</v>
      </c>
      <c r="B553" s="3" t="str">
        <f ca="1">IFERROR(__xludf.DUMMYFUNCTION("""COMPUTED_VALUE"""),"ITC")</f>
        <v>ITC</v>
      </c>
      <c r="C553" s="32" t="str">
        <f ca="1">IFERROR(__xludf.DUMMYFUNCTION("""COMPUTED_VALUE"""),"23171371151")</f>
        <v>23171371151</v>
      </c>
      <c r="D553" s="4" t="str">
        <f ca="1">IFERROR(__xludf.DUMMYFUNCTION("""COMPUTED_VALUE"""),"SAXENA KUSH BHARATBHAI")</f>
        <v>SAXENA KUSH BHARATBHAI</v>
      </c>
      <c r="E553" s="3" t="str">
        <f ca="1">IFERROR(__xludf.DUMMYFUNCTION("""COMPUTED_VALUE"""),"SDP&amp;KKP - Mor")</f>
        <v>SDP&amp;KKP - Mor</v>
      </c>
      <c r="F553" s="3">
        <f ca="1">IFERROR(__xludf.DUMMYFUNCTION("""COMPUTED_VALUE"""),7016999908)</f>
        <v>7016999908</v>
      </c>
      <c r="G553" s="3">
        <f ca="1">IFERROR(__xludf.DUMMYFUNCTION("""COMPUTED_VALUE"""),9428518026)</f>
        <v>9428518026</v>
      </c>
      <c r="H553" s="33">
        <f ca="1">IFERROR(__xludf.DUMMYFUNCTION("""COMPUTED_VALUE"""),0.666666666666666)</f>
        <v>0.66666666666666596</v>
      </c>
      <c r="I553" s="25">
        <f ca="1">IFERROR(__xludf.DUMMYFUNCTION("""COMPUTED_VALUE"""),0.666666666666666)</f>
        <v>0.66666666666666596</v>
      </c>
      <c r="J553" s="25">
        <f ca="1">IFERROR(__xludf.DUMMYFUNCTION("""COMPUTED_VALUE"""),0.583333333333333)</f>
        <v>0.58333333333333304</v>
      </c>
      <c r="K553" s="25">
        <f ca="1">IFERROR(__xludf.DUMMYFUNCTION("""COMPUTED_VALUE"""),0.638888888888888)</f>
        <v>0.63888888888888795</v>
      </c>
      <c r="L553" s="25">
        <f ca="1">IFERROR(__xludf.DUMMYFUNCTION("""COMPUTED_VALUE"""),0.714285714285714)</f>
        <v>0.71428571428571397</v>
      </c>
      <c r="M553" s="25">
        <f ca="1">IFERROR(__xludf.DUMMYFUNCTION("""COMPUTED_VALUE"""),0.65625)</f>
        <v>0.65625</v>
      </c>
      <c r="N553" s="25">
        <f ca="1">IFERROR(__xludf.DUMMYFUNCTION("""COMPUTED_VALUE"""),0.8)</f>
        <v>0.8</v>
      </c>
      <c r="O553" s="25">
        <f ca="1">IFERROR(__xludf.DUMMYFUNCTION("""COMPUTED_VALUE"""),0.675675675675675)</f>
        <v>0.67567567567567499</v>
      </c>
      <c r="P553" s="25">
        <f ca="1">IFERROR(__xludf.DUMMYFUNCTION("""COMPUTED_VALUE"""),0.727272727272727)</f>
        <v>0.72727272727272696</v>
      </c>
      <c r="Q553" s="25">
        <f ca="1">IFERROR(__xludf.DUMMYFUNCTION("""COMPUTED_VALUE"""),0)</f>
        <v>0</v>
      </c>
      <c r="R553" s="25">
        <f ca="1">IFERROR(__xludf.DUMMYFUNCTION("""COMPUTED_VALUE"""),0.578947368421052)</f>
        <v>0.57894736842105199</v>
      </c>
      <c r="S553" s="25">
        <f ca="1">IFERROR(__xludf.DUMMYFUNCTION("""COMPUTED_VALUE"""),0)</f>
        <v>0</v>
      </c>
      <c r="T553" s="25">
        <f ca="1">IFERROR(__xludf.DUMMYFUNCTION("""COMPUTED_VALUE"""),0.818181818181818)</f>
        <v>0.81818181818181801</v>
      </c>
      <c r="U553" s="25">
        <f ca="1">IFERROR(__xludf.DUMMYFUNCTION("""COMPUTED_VALUE"""),0.5)</f>
        <v>0.5</v>
      </c>
      <c r="V553" s="25">
        <f ca="1">IFERROR(__xludf.DUMMYFUNCTION("""COMPUTED_VALUE"""),0)</f>
        <v>0</v>
      </c>
      <c r="W553" s="4"/>
      <c r="X553" s="4" t="str">
        <f ca="1">IFERROR(__xludf.DUMMYFUNCTION("""COMPUTED_VALUE"""),"| 1 P NS @ | 3 L CPT @ | 4 L JAVA @ ")</f>
        <v xml:space="preserve">| 1 P NS @ | 3 L CPT @ | 4 L JAVA @ </v>
      </c>
      <c r="Y553" s="4" t="str">
        <f ca="1">IFERROR(__xludf.DUMMYFUNCTION("""COMPUTED_VALUE"""),"| 1 P CPT % | 3 L JAVA % | 4 L NS % | 5 P PRO % ")</f>
        <v xml:space="preserve">| 1 P CPT % | 3 L JAVA % | 4 L NS % | 5 P PRO % </v>
      </c>
      <c r="Z553" s="4" t="str">
        <f ca="1">IFERROR(__xludf.DUMMYFUNCTION("""COMPUTED_VALUE"""),"| 3 L PHP-CGM % | 4 L NS % | 5 P Python % ")</f>
        <v xml:space="preserve">| 3 L PHP-CGM % | 4 L NS % | 5 P Python % </v>
      </c>
      <c r="AA553" s="4" t="str">
        <f ca="1">IFERROR(__xludf.DUMMYFUNCTION("""COMPUTED_VALUE"""),"| 1 P NS % | 3 L CPT % | 5 P JAVA % ")</f>
        <v xml:space="preserve">| 1 P NS % | 3 L CPT % | 5 P JAVA % </v>
      </c>
      <c r="AB553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3" s="4" t="str">
        <f ca="1">IFERROR(__xludf.DUMMYFUNCTION("""COMPUTED_VALUE"""),"| 1 P NS @ | 3 L CPT @ | 4 L JAVA @ ")</f>
        <v xml:space="preserve">| 1 P NS @ | 3 L CPT @ | 4 L JAVA @ </v>
      </c>
      <c r="AD553" s="4" t="str">
        <f ca="1">IFERROR(__xludf.DUMMYFUNCTION("""COMPUTED_VALUE"""),"| 1 P CPT % | 3 L JAVA % | 4 L NS % | 5 P PRO % ")</f>
        <v xml:space="preserve">| 1 P CPT % | 3 L JAVA % | 4 L NS % | 5 P PRO % </v>
      </c>
      <c r="AE553" s="4" t="str">
        <f ca="1">IFERROR(__xludf.DUMMYFUNCTION("""COMPUTED_VALUE"""),"| 1 P PHP-CGM % | 3 L PHP-CGM % | 4 L NS % ")</f>
        <v xml:space="preserve">| 1 P PHP-CGM % | 3 L PHP-CGM % | 4 L NS % </v>
      </c>
      <c r="AF553" s="4" t="str">
        <f ca="1">IFERROR(__xludf.DUMMYFUNCTION("""COMPUTED_VALUE"""),"| 1 P JAVA % | 3 L CPT % | 4 L PHP-CGM % | 5 P JAVA % ")</f>
        <v xml:space="preserve">| 1 P JAVA % | 3 L CPT % | 4 L PHP-CGM % | 5 P JAVA % </v>
      </c>
      <c r="AG553" s="4" t="str">
        <f ca="1">IFERROR(__xludf.DUMMYFUNCTION("""COMPUTED_VALUE"""),"| 1 P Python % | 3 L PHP-CGM @ | 4 L JAVA @ | 5 L CPT @ | 6 L NS @ ")</f>
        <v xml:space="preserve">| 1 P Python % | 3 L PHP-CGM @ | 4 L JAVA @ | 5 L CPT @ | 6 L NS @ </v>
      </c>
      <c r="AH553" s="4" t="str">
        <f ca="1">IFERROR(__xludf.DUMMYFUNCTION("""COMPUTED_VALUE"""),"| 1 P JAVA @ | 3 L CPT @ | 4 L PHP-CGM @ | 5 P JAVA @ ")</f>
        <v xml:space="preserve">| 1 P JAVA @ | 3 L CPT @ | 4 L PHP-CGM @ | 5 P JAVA @ </v>
      </c>
      <c r="AI553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53" s="4" t="str">
        <f ca="1">IFERROR(__xludf.DUMMYFUNCTION("""COMPUTED_VALUE"""),"| 1 P NS % | 3 L CPT % | 4 L JAVA % ")</f>
        <v xml:space="preserve">| 1 P NS % | 3 L CPT % | 4 L JAVA % </v>
      </c>
      <c r="AK553" s="4" t="str">
        <f ca="1">IFERROR(__xludf.DUMMYFUNCTION("""COMPUTED_VALUE"""),"| 1 P CPT % | 4 L NS % | 3 L JAVA % | 5 P PRO % ")</f>
        <v xml:space="preserve">| 1 P CPT % | 4 L NS % | 3 L JAVA % | 5 P PRO % </v>
      </c>
      <c r="AL553" s="4" t="str">
        <f ca="1">IFERROR(__xludf.DUMMYFUNCTION("""COMPUTED_VALUE"""),"| 1 P PHP-CGM % | 3 L PHP-CGM % | 4 L NS % | 5 P Python % ")</f>
        <v xml:space="preserve">| 1 P PHP-CGM % | 3 L PHP-CGM % | 4 L NS % | 5 P Python % </v>
      </c>
      <c r="AM553" s="4" t="str">
        <f ca="1">IFERROR(__xludf.DUMMYFUNCTION("""COMPUTED_VALUE"""),"| 1 P JAVA % | 3 L CPT % | 4 L PHP-CGM % | 5 P JAVA % ")</f>
        <v xml:space="preserve">| 1 P JAVA % | 3 L CPT % | 4 L PHP-CGM % | 5 P JAVA % </v>
      </c>
      <c r="AN553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53" s="4" t="str">
        <f ca="1">IFERROR(__xludf.DUMMYFUNCTION("""COMPUTED_VALUE"""),"| 1 P NS % | 3 L CPT % | 4 L JAVA % | 5 L INE % ")</f>
        <v xml:space="preserve">| 1 P NS % | 3 L CPT % | 4 L JAVA % | 5 L INE % </v>
      </c>
      <c r="AP553" s="4" t="str">
        <f ca="1">IFERROR(__xludf.DUMMYFUNCTION("""COMPUTED_VALUE"""),"| 1 P CPT @ | 3 L JAVA % | 4 L NS % | 5 P PRO % ")</f>
        <v xml:space="preserve">| 1 P CPT @ | 3 L JAVA % | 4 L NS % | 5 P PRO % </v>
      </c>
      <c r="AQ553" s="4" t="str">
        <f ca="1">IFERROR(__xludf.DUMMYFUNCTION("""COMPUTED_VALUE"""),"| 1 P PHP-CGM % | 3 L PHP-CGM % | 4 L NS % | 5 P Python % ")</f>
        <v xml:space="preserve">| 1 P PHP-CGM % | 3 L PHP-CGM % | 4 L NS % | 5 P Python % </v>
      </c>
      <c r="AR553" s="4" t="str">
        <f ca="1">IFERROR(__xludf.DUMMYFUNCTION("""COMPUTED_VALUE"""),"| 1 P JAVA % | 3 L CPT % | 5 P JAVA % ")</f>
        <v xml:space="preserve">| 1 P JAVA % | 3 L CPT % | 5 P JAVA % </v>
      </c>
      <c r="AS553" s="4" t="str">
        <f ca="1">IFERROR(__xludf.DUMMYFUNCTION("""COMPUTED_VALUE"""),"| 1 P NS % | 3 L CPT % | 4 L JAVA % | 5 L INE % ")</f>
        <v xml:space="preserve">| 1 P NS % | 3 L CPT % | 4 L JAVA % | 5 L INE % </v>
      </c>
      <c r="AT553" s="4" t="str">
        <f ca="1">IFERROR(__xludf.DUMMYFUNCTION("""COMPUTED_VALUE"""),"| 1 P CPT @ | 3 L JAVA % | 1 P JAVA @ | 4 L NS % | 5 P PRO % ")</f>
        <v xml:space="preserve">| 1 P CPT @ | 3 L JAVA % | 1 P JAVA @ | 4 L NS % | 5 P PRO % </v>
      </c>
      <c r="AU553" s="4" t="str">
        <f ca="1">IFERROR(__xludf.DUMMYFUNCTION("""COMPUTED_VALUE"""),"| 1 P PHP-CGM % | 3 L PHP-CGM % | 4 L NS % | 5 P Python % ")</f>
        <v xml:space="preserve">| 1 P PHP-CGM % | 3 L PHP-CGM % | 4 L NS % | 5 P Python % </v>
      </c>
      <c r="AV553" s="4" t="str">
        <f ca="1">IFERROR(__xludf.DUMMYFUNCTION("""COMPUTED_VALUE"""),"| 1 P JAVA % | 3 L CPT % | 4 L PHP-CGM % | 5 P JAVA % ")</f>
        <v xml:space="preserve">| 1 P JAVA % | 3 L CPT % | 4 L PHP-CGM % | 5 P JAVA % </v>
      </c>
      <c r="AW553" s="4" t="str">
        <f ca="1">IFERROR(__xludf.DUMMYFUNCTION("""COMPUTED_VALUE"""),"| 1 P Python @ | 3 L PHP-CGM @ | 4 L JAVA @ | 5 L NS @ | 5 L CPT @ ")</f>
        <v xml:space="preserve">| 1 P Python @ | 3 L PHP-CGM @ | 4 L JAVA @ | 5 L NS @ | 5 L CPT @ </v>
      </c>
      <c r="AX553" s="4" t="str">
        <f ca="1">IFERROR(__xludf.DUMMYFUNCTION("""COMPUTED_VALUE"""),"| 1 P NS % | 3 L CPT % | 4 L JAVA % | 5 L INE % ")</f>
        <v xml:space="preserve">| 1 P NS % | 3 L CPT % | 4 L JAVA % | 5 L INE % </v>
      </c>
      <c r="AY553" s="4" t="str">
        <f ca="1">IFERROR(__xludf.DUMMYFUNCTION("""COMPUTED_VALUE"""),"| 1 P CPT % | 3 L JAVA % | 4 L NS % | 5 P PRO % ")</f>
        <v xml:space="preserve">| 1 P CPT % | 3 L JAVA % | 4 L NS % | 5 P PRO % </v>
      </c>
      <c r="AZ553" s="4" t="str">
        <f ca="1">IFERROR(__xludf.DUMMYFUNCTION("""COMPUTED_VALUE"""),"| 1 P JAVA % | 3 L CPT % | 4 L PHP-CGM % | 5 P JAVA % ")</f>
        <v xml:space="preserve">| 1 P JAVA % | 3 L CPT % | 4 L PHP-CGM % | 5 P JAVA % </v>
      </c>
      <c r="BA553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53" s="4" t="str">
        <f ca="1">IFERROR(__xludf.DUMMYFUNCTION("""COMPUTED_VALUE"""),"| 1 P NS % | 3 L CPT % | 4 L JAVA % | 5 L INE @ ")</f>
        <v xml:space="preserve">| 1 P NS % | 3 L CPT % | 4 L JAVA % | 5 L INE @ </v>
      </c>
      <c r="BC553" s="4" t="str">
        <f ca="1">IFERROR(__xludf.DUMMYFUNCTION("""COMPUTED_VALUE"""),"| 1 P CPT % | 3 L JAVA % | 4 L NS % | 5 P PRO % ")</f>
        <v xml:space="preserve">| 1 P CPT % | 3 L JAVA % | 4 L NS % | 5 P PRO % </v>
      </c>
      <c r="BD553" s="4" t="str">
        <f ca="1">IFERROR(__xludf.DUMMYFUNCTION("""COMPUTED_VALUE"""),"| 1 P PHP-CGM % | 4 L NS %  | 3 L PHP-CGM % | 5 P Python % ")</f>
        <v xml:space="preserve">| 1 P PHP-CGM % | 4 L NS %  | 3 L PHP-CGM % | 5 P Python % </v>
      </c>
      <c r="BE553" s="4" t="str">
        <f ca="1">IFERROR(__xludf.DUMMYFUNCTION("""COMPUTED_VALUE"""),"| 1 P JAVA % | 3 L CPT % | 4 L PHP-CGM % | 5 P JAVA % ")</f>
        <v xml:space="preserve">| 1 P JAVA % | 3 L CPT % | 4 L PHP-CGM % | 5 P JAVA % </v>
      </c>
      <c r="BF553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53" s="4" t="str">
        <f ca="1">IFERROR(__xludf.DUMMYFUNCTION("""COMPUTED_VALUE"""),"| 3 L JAVA % | 4 L NS % | 5 P PRO @ ")</f>
        <v xml:space="preserve">| 3 L JAVA % | 4 L NS % | 5 P PRO @ </v>
      </c>
      <c r="BH553" s="4" t="str">
        <f ca="1">IFERROR(__xludf.DUMMYFUNCTION("""COMPUTED_VALUE"""),"| 1 P PHP-CGM @ | 3 L PHP-CGM @ | 4 L NS @ | 5 P Python @ ")</f>
        <v xml:space="preserve">| 1 P PHP-CGM @ | 3 L PHP-CGM @ | 4 L NS @ | 5 P Python @ </v>
      </c>
      <c r="BI553" s="4" t="str">
        <f ca="1">IFERROR(__xludf.DUMMYFUNCTION("""COMPUTED_VALUE"""),"| 1 P JAVA % | 3 L CPT % | 4 L PHP-CGM % | 5 P JAVA % ")</f>
        <v xml:space="preserve">| 1 P JAVA % | 3 L CPT % | 4 L PHP-CGM % | 5 P JAVA % </v>
      </c>
      <c r="BJ553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K553" s="4" t="str">
        <f ca="1">IFERROR(__xludf.DUMMYFUNCTION("""COMPUTED_VALUE"""),"| 1 P NS @ | 3 L CPT % | 4 L JAVA % | 5 L INE @ ")</f>
        <v xml:space="preserve">| 1 P NS @ | 3 L CPT % | 4 L JAVA % | 5 L INE @ </v>
      </c>
      <c r="BL553" s="4" t="str">
        <f ca="1">IFERROR(__xludf.DUMMYFUNCTION("""COMPUTED_VALUE"""),"| 1 P CPT @ | 3 L JAVA @ | 4 L NS @ | 5 P PRO @ ")</f>
        <v xml:space="preserve">| 1 P CPT @ | 3 L JAVA @ | 4 L NS @ | 5 P PRO @ </v>
      </c>
      <c r="BM553" s="4" t="str">
        <f ca="1">IFERROR(__xludf.DUMMYFUNCTION("""COMPUTED_VALUE"""),"| 1 P PHP-CGM @ | 3 L PHP-CGM @ | 4 L NS @ | 5 P Python @ ")</f>
        <v xml:space="preserve">| 1 P PHP-CGM @ | 3 L PHP-CGM @ | 4 L NS @ | 5 P Python @ </v>
      </c>
      <c r="BN553" s="4" t="str">
        <f ca="1">IFERROR(__xludf.DUMMYFUNCTION("""COMPUTED_VALUE"""),"| 1 P JAVA @ | 3 L CPT @ | 4 L PHP-CGM @ ")</f>
        <v xml:space="preserve">| 1 P JAVA @ | 3 L CPT @ | 4 L PHP-CGM @ </v>
      </c>
      <c r="BO553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3" s="4" t="str">
        <f ca="1">IFERROR(__xludf.DUMMYFUNCTION("""COMPUTED_VALUE"""),"| 1 P NS % | 3 L CPT % | 4 L JAVA % | 5 L INE @ ")</f>
        <v xml:space="preserve">| 1 P NS % | 3 L CPT % | 4 L JAVA % | 5 L INE @ </v>
      </c>
      <c r="BQ553" s="4" t="str">
        <f ca="1">IFERROR(__xludf.DUMMYFUNCTION("""COMPUTED_VALUE"""),"| 4 L NS @ ")</f>
        <v xml:space="preserve">| 4 L NS @ </v>
      </c>
      <c r="BR553" s="4"/>
      <c r="BS553" s="4"/>
      <c r="BT553" s="4" t="str">
        <f ca="1">IFERROR(__xludf.DUMMYFUNCTION("""COMPUTED_VALUE"""),"| 1 P NS @ | 3 L CPT @ | 4 L JAVA @ ")</f>
        <v xml:space="preserve">| 1 P NS @ | 3 L CPT @ | 4 L JAVA @ </v>
      </c>
      <c r="BU553" s="4" t="str">
        <f ca="1">IFERROR(__xludf.DUMMYFUNCTION("""COMPUTED_VALUE"""),"| 1 P CPT @ | 4 L NS @ | 3 L JAVA @ ")</f>
        <v xml:space="preserve">| 1 P CPT @ | 4 L NS @ | 3 L JAVA @ </v>
      </c>
      <c r="BV553" s="4" t="str">
        <f ca="1">IFERROR(__xludf.DUMMYFUNCTION("""COMPUTED_VALUE"""),"| 1 P NS % | 3 L CPT % | 4 L JAVA % ")</f>
        <v xml:space="preserve">| 1 P NS % | 3 L CPT % | 4 L JAVA % </v>
      </c>
      <c r="BW553" s="4" t="str">
        <f ca="1">IFERROR(__xludf.DUMMYFUNCTION("""COMPUTED_VALUE"""),"| 1 P CPT @ | 3 L JAVA @ | 4 L NS @ ")</f>
        <v xml:space="preserve">| 1 P CPT @ | 3 L JAVA @ | 4 L NS @ </v>
      </c>
      <c r="BX553" s="4" t="str">
        <f ca="1">IFERROR(__xludf.DUMMYFUNCTION("""COMPUTED_VALUE"""),"| 1 P PHP-CGM % | 3 L PHP-CGM % | 4 L NS % | 5 P Python @ ")</f>
        <v xml:space="preserve">| 1 P PHP-CGM % | 3 L PHP-CGM % | 4 L NS % | 5 P Python @ </v>
      </c>
      <c r="BY553" s="4" t="str">
        <f ca="1">IFERROR(__xludf.DUMMYFUNCTION("""COMPUTED_VALUE"""),"| 1 P JAVA @ | 3 L CPT @ | 4 L PHP-CGM @ | 5 P JAVA @ ")</f>
        <v xml:space="preserve">| 1 P JAVA @ | 3 L CPT @ | 4 L PHP-CGM @ | 5 P JAVA @ </v>
      </c>
      <c r="BZ55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53" s="4" t="str">
        <f ca="1">IFERROR(__xludf.DUMMYFUNCTION("""COMPUTED_VALUE"""),"| 1 P NS % | 3 L CPT % | 4 L JAVA % | 5 L INE % ")</f>
        <v xml:space="preserve">| 1 P NS % | 3 L CPT % | 4 L JAVA % | 5 L INE % </v>
      </c>
      <c r="CB553" s="4" t="str">
        <f ca="1">IFERROR(__xludf.DUMMYFUNCTION("""COMPUTED_VALUE"""),"| 1 P CPT % | 3 L JAVA % | 4 L NS % | 5 P PRO % ")</f>
        <v xml:space="preserve">| 1 P CPT % | 3 L JAVA % | 4 L NS % | 5 P PRO % </v>
      </c>
      <c r="CC553" s="4" t="str">
        <f ca="1">IFERROR(__xludf.DUMMYFUNCTION("""COMPUTED_VALUE"""),"| 1 P PHP-CGM % | 3 L PHP-CGM % | 4 L NS % | 5 P Python % ")</f>
        <v xml:space="preserve">| 1 P PHP-CGM % | 3 L PHP-CGM % | 4 L NS % | 5 P Python % </v>
      </c>
      <c r="CD553" s="4" t="str">
        <f ca="1">IFERROR(__xludf.DUMMYFUNCTION("""COMPUTED_VALUE"""),"| 1 P JAVA % | 3 L CPT % | 4 L PHP-CGM % ")</f>
        <v xml:space="preserve">| 1 P JAVA % | 3 L CPT % | 4 L PHP-CGM % </v>
      </c>
      <c r="CE55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53" s="4" t="str">
        <f ca="1">IFERROR(__xludf.DUMMYFUNCTION("""COMPUTED_VALUE"""),"| 1 P NS % | 3 L CPT % | 4 L JAVA % | 5 L INE @ ")</f>
        <v xml:space="preserve">| 1 P NS % | 3 L CPT % | 4 L JAVA % | 5 L INE @ </v>
      </c>
      <c r="CG553" s="4" t="str">
        <f ca="1">IFERROR(__xludf.DUMMYFUNCTION("""COMPUTED_VALUE"""),"| 1 P CPT % | 4 L NS % ")</f>
        <v xml:space="preserve">| 1 P CPT % | 4 L NS % </v>
      </c>
      <c r="CH553" s="4" t="str">
        <f ca="1">IFERROR(__xludf.DUMMYFUNCTION("""COMPUTED_VALUE"""),"| 1 P PHP-CGM % | 3 L PHP-CGM % | 4 L NS % ")</f>
        <v xml:space="preserve">| 1 P PHP-CGM % | 3 L PHP-CGM % | 4 L NS % </v>
      </c>
      <c r="CI553" s="4"/>
      <c r="CJ553" s="4" t="str">
        <f ca="1">IFERROR(__xludf.DUMMYFUNCTION("""COMPUTED_VALUE"""),"| 4 L JAVA % ")</f>
        <v xml:space="preserve">| 4 L JAVA % </v>
      </c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</row>
    <row r="554" spans="1:102" ht="12.5" x14ac:dyDescent="0.25">
      <c r="A554" s="3">
        <f ca="1">IFERROR(__xludf.DUMMYFUNCTION("""COMPUTED_VALUE"""),4)</f>
        <v>4</v>
      </c>
      <c r="B554" s="3" t="str">
        <f ca="1">IFERROR(__xludf.DUMMYFUNCTION("""COMPUTED_VALUE"""),"ITC")</f>
        <v>ITC</v>
      </c>
      <c r="C554" s="32" t="str">
        <f ca="1">IFERROR(__xludf.DUMMYFUNCTION("""COMPUTED_VALUE"""),"23171371152")</f>
        <v>23171371152</v>
      </c>
      <c r="D554" s="4" t="str">
        <f ca="1">IFERROR(__xludf.DUMMYFUNCTION("""COMPUTED_VALUE"""),"SHARMA NIVANGI JIGNESHBHAI")</f>
        <v>SHARMA NIVANGI JIGNESHBHAI</v>
      </c>
      <c r="E554" s="3" t="str">
        <f ca="1">IFERROR(__xludf.DUMMYFUNCTION("""COMPUTED_VALUE"""),"SDP&amp;KKP - Mor")</f>
        <v>SDP&amp;KKP - Mor</v>
      </c>
      <c r="F554" s="3">
        <f ca="1">IFERROR(__xludf.DUMMYFUNCTION("""COMPUTED_VALUE"""),9426894888)</f>
        <v>9426894888</v>
      </c>
      <c r="G554" s="3">
        <f ca="1">IFERROR(__xludf.DUMMYFUNCTION("""COMPUTED_VALUE"""),9426894888)</f>
        <v>9426894888</v>
      </c>
      <c r="H554" s="33">
        <f ca="1">IFERROR(__xludf.DUMMYFUNCTION("""COMPUTED_VALUE"""),0.396624472573839)</f>
        <v>0.39662447257383898</v>
      </c>
      <c r="I554" s="25">
        <f ca="1">IFERROR(__xludf.DUMMYFUNCTION("""COMPUTED_VALUE"""),0.361111111111111)</f>
        <v>0.36111111111111099</v>
      </c>
      <c r="J554" s="25">
        <f ca="1">IFERROR(__xludf.DUMMYFUNCTION("""COMPUTED_VALUE"""),0.416666666666666)</f>
        <v>0.41666666666666602</v>
      </c>
      <c r="K554" s="25">
        <f ca="1">IFERROR(__xludf.DUMMYFUNCTION("""COMPUTED_VALUE"""),0.333333333333333)</f>
        <v>0.33333333333333298</v>
      </c>
      <c r="L554" s="25">
        <f ca="1">IFERROR(__xludf.DUMMYFUNCTION("""COMPUTED_VALUE"""),0.642857142857142)</f>
        <v>0.64285714285714202</v>
      </c>
      <c r="M554" s="25">
        <f ca="1">IFERROR(__xludf.DUMMYFUNCTION("""COMPUTED_VALUE"""),0.4375)</f>
        <v>0.4375</v>
      </c>
      <c r="N554" s="25">
        <f ca="1">IFERROR(__xludf.DUMMYFUNCTION("""COMPUTED_VALUE"""),0.7)</f>
        <v>0.7</v>
      </c>
      <c r="O554" s="25">
        <f ca="1">IFERROR(__xludf.DUMMYFUNCTION("""COMPUTED_VALUE"""),0.54054054054054)</f>
        <v>0.54054054054054002</v>
      </c>
      <c r="P554" s="25">
        <f ca="1">IFERROR(__xludf.DUMMYFUNCTION("""COMPUTED_VALUE"""),0.181818181818181)</f>
        <v>0.18181818181818099</v>
      </c>
      <c r="Q554" s="25">
        <f ca="1">IFERROR(__xludf.DUMMYFUNCTION("""COMPUTED_VALUE"""),0)</f>
        <v>0</v>
      </c>
      <c r="R554" s="25">
        <f ca="1">IFERROR(__xludf.DUMMYFUNCTION("""COMPUTED_VALUE"""),0.368421052631578)</f>
        <v>0.36842105263157798</v>
      </c>
      <c r="S554" s="25">
        <f ca="1">IFERROR(__xludf.DUMMYFUNCTION("""COMPUTED_VALUE"""),0)</f>
        <v>0</v>
      </c>
      <c r="T554" s="25">
        <f ca="1">IFERROR(__xludf.DUMMYFUNCTION("""COMPUTED_VALUE"""),0.181818181818181)</f>
        <v>0.18181818181818099</v>
      </c>
      <c r="U554" s="25">
        <f ca="1">IFERROR(__xludf.DUMMYFUNCTION("""COMPUTED_VALUE"""),0.125)</f>
        <v>0.125</v>
      </c>
      <c r="V554" s="25">
        <f ca="1">IFERROR(__xludf.DUMMYFUNCTION("""COMPUTED_VALUE"""),0)</f>
        <v>0</v>
      </c>
      <c r="W554" s="4"/>
      <c r="X554" s="4" t="str">
        <f ca="1">IFERROR(__xludf.DUMMYFUNCTION("""COMPUTED_VALUE"""),"| 1 P NS @ | 3 L CPT @ | 4 L JAVA @ ")</f>
        <v xml:space="preserve">| 1 P NS @ | 3 L CPT @ | 4 L JAVA @ </v>
      </c>
      <c r="Y554" s="4" t="str">
        <f ca="1">IFERROR(__xludf.DUMMYFUNCTION("""COMPUTED_VALUE"""),"| 1 P CPT % | 3 L JAVA % | 4 L NS % | 5 P PRO @ ")</f>
        <v xml:space="preserve">| 1 P CPT % | 3 L JAVA % | 4 L NS % | 5 P PRO @ </v>
      </c>
      <c r="Z554" s="4" t="str">
        <f ca="1">IFERROR(__xludf.DUMMYFUNCTION("""COMPUTED_VALUE"""),"| 3 L PHP-CGM @ | 4 L NS @ | 5 P Python @ ")</f>
        <v xml:space="preserve">| 3 L PHP-CGM @ | 4 L NS @ | 5 P Python @ </v>
      </c>
      <c r="AA554" s="4" t="str">
        <f ca="1">IFERROR(__xludf.DUMMYFUNCTION("""COMPUTED_VALUE"""),"| 1 P NS % | 3 L CPT % | 5 P JAVA @ ")</f>
        <v xml:space="preserve">| 1 P NS % | 3 L CPT % | 5 P JAVA @ </v>
      </c>
      <c r="AB554" s="4" t="str">
        <f ca="1">IFERROR(__xludf.DUMMYFUNCTION("""COMPUTED_VALUE"""),"| 1 P PRO % | 3 L PHP-CGM % | 4 L JAVA % | 5 L CPT @ | 6 L NS @ ")</f>
        <v xml:space="preserve">| 1 P PRO % | 3 L PHP-CGM % | 4 L JAVA % | 5 L CPT @ | 6 L NS @ </v>
      </c>
      <c r="AC554" s="4" t="str">
        <f ca="1">IFERROR(__xludf.DUMMYFUNCTION("""COMPUTED_VALUE"""),"| 1 P NS % | 3 L CPT % | 4 L JAVA % ")</f>
        <v xml:space="preserve">| 1 P NS % | 3 L CPT % | 4 L JAVA % </v>
      </c>
      <c r="AD554" s="4" t="str">
        <f ca="1">IFERROR(__xludf.DUMMYFUNCTION("""COMPUTED_VALUE"""),"| 1 P CPT % | 3 L JAVA % | 4 L NS % | 5 P PRO @ ")</f>
        <v xml:space="preserve">| 1 P CPT % | 3 L JAVA % | 4 L NS % | 5 P PRO @ </v>
      </c>
      <c r="AE554" s="4" t="str">
        <f ca="1">IFERROR(__xludf.DUMMYFUNCTION("""COMPUTED_VALUE"""),"| 1 P PHP-CGM % | 3 L PHP-CGM % | 4 L NS % ")</f>
        <v xml:space="preserve">| 1 P PHP-CGM % | 3 L PHP-CGM % | 4 L NS % </v>
      </c>
      <c r="AF554" s="4" t="str">
        <f ca="1">IFERROR(__xludf.DUMMYFUNCTION("""COMPUTED_VALUE"""),"| 1 P JAVA @ | 3 L CPT @ | 4 L PHP-CGM @ | 5 P JAVA @ ")</f>
        <v xml:space="preserve">| 1 P JAVA @ | 3 L CPT @ | 4 L PHP-CGM @ | 5 P JAVA @ </v>
      </c>
      <c r="AG554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H554" s="4" t="str">
        <f ca="1">IFERROR(__xludf.DUMMYFUNCTION("""COMPUTED_VALUE"""),"| 1 P JAVA % | 3 L CPT @ | 4 L PHP-CGM @ | 5 P JAVA @ ")</f>
        <v xml:space="preserve">| 1 P JAVA % | 3 L CPT @ | 4 L PHP-CGM @ | 5 P JAVA @ </v>
      </c>
      <c r="AI554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54" s="4" t="str">
        <f ca="1">IFERROR(__xludf.DUMMYFUNCTION("""COMPUTED_VALUE"""),"| 1 P NS % | 3 L CPT % | 4 L JAVA % ")</f>
        <v xml:space="preserve">| 1 P NS % | 3 L CPT % | 4 L JAVA % </v>
      </c>
      <c r="AK554" s="4" t="str">
        <f ca="1">IFERROR(__xludf.DUMMYFUNCTION("""COMPUTED_VALUE"""),"| 1 P CPT % | 4 L NS % | 3 L JAVA % | 5 P PRO @ ")</f>
        <v xml:space="preserve">| 1 P CPT % | 4 L NS % | 3 L JAVA % | 5 P PRO @ </v>
      </c>
      <c r="AL554" s="4" t="str">
        <f ca="1">IFERROR(__xludf.DUMMYFUNCTION("""COMPUTED_VALUE"""),"| 1 P PHP-CGM % | 3 L PHP-CGM % | 4 L NS % | 5 P Python % ")</f>
        <v xml:space="preserve">| 1 P PHP-CGM % | 3 L PHP-CGM % | 4 L NS % | 5 P Python % </v>
      </c>
      <c r="AM554" s="4" t="str">
        <f ca="1">IFERROR(__xludf.DUMMYFUNCTION("""COMPUTED_VALUE"""),"| 1 P JAVA @ | 3 L CPT @ | 4 L PHP-CGM @ | 5 P JAVA @ ")</f>
        <v xml:space="preserve">| 1 P JAVA @ | 3 L CPT @ | 4 L PHP-CGM @ | 5 P JAVA @ </v>
      </c>
      <c r="AN554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54" s="4" t="str">
        <f ca="1">IFERROR(__xludf.DUMMYFUNCTION("""COMPUTED_VALUE"""),"| 1 P NS @ | 3 L CPT @ | 4 L JAVA @ | 5 L INE @ ")</f>
        <v xml:space="preserve">| 1 P NS @ | 3 L CPT @ | 4 L JAVA @ | 5 L INE @ </v>
      </c>
      <c r="AP554" s="4" t="str">
        <f ca="1">IFERROR(__xludf.DUMMYFUNCTION("""COMPUTED_VALUE"""),"| 1 P CPT @ | 3 L JAVA @ | 4 L NS @ | 5 P PRO @ ")</f>
        <v xml:space="preserve">| 1 P CPT @ | 3 L JAVA @ | 4 L NS @ | 5 P PRO @ </v>
      </c>
      <c r="AQ554" s="4" t="str">
        <f ca="1">IFERROR(__xludf.DUMMYFUNCTION("""COMPUTED_VALUE"""),"| 1 P PHP-CGM @ | 3 L PHP-CGM @ | 4 L NS @ | 5 P Python @ ")</f>
        <v xml:space="preserve">| 1 P PHP-CGM @ | 3 L PHP-CGM @ | 4 L NS @ | 5 P Python @ </v>
      </c>
      <c r="AR554" s="4" t="str">
        <f ca="1">IFERROR(__xludf.DUMMYFUNCTION("""COMPUTED_VALUE"""),"| 1 P JAVA % | 3 L CPT % | 5 P JAVA @ ")</f>
        <v xml:space="preserve">| 1 P JAVA % | 3 L CPT % | 5 P JAVA @ </v>
      </c>
      <c r="AS554" s="4" t="str">
        <f ca="1">IFERROR(__xludf.DUMMYFUNCTION("""COMPUTED_VALUE"""),"| 1 P NS @ | 3 L CPT @ | 4 L JAVA @ | 5 L INE @ ")</f>
        <v xml:space="preserve">| 1 P NS @ | 3 L CPT @ | 4 L JAVA @ | 5 L INE @ </v>
      </c>
      <c r="AT554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54" s="4" t="str">
        <f ca="1">IFERROR(__xludf.DUMMYFUNCTION("""COMPUTED_VALUE"""),"| 1 P PHP-CGM @ | 3 L PHP-CGM @ | 4 L NS @ | 5 P Python @ ")</f>
        <v xml:space="preserve">| 1 P PHP-CGM @ | 3 L PHP-CGM @ | 4 L NS @ | 5 P Python @ </v>
      </c>
      <c r="AV554" s="4" t="str">
        <f ca="1">IFERROR(__xludf.DUMMYFUNCTION("""COMPUTED_VALUE"""),"| 1 P JAVA @ | 3 L CPT @ | 4 L PHP-CGM @ | 5 P JAVA @ ")</f>
        <v xml:space="preserve">| 1 P JAVA @ | 3 L CPT @ | 4 L PHP-CGM @ | 5 P JAVA @ </v>
      </c>
      <c r="AW554" s="4" t="str">
        <f ca="1">IFERROR(__xludf.DUMMYFUNCTION("""COMPUTED_VALUE"""),"| 1 P Python % | 3 L PHP-CGM % | 4 L JAVA % | 5 L NS @ | 5 L CPT @ ")</f>
        <v xml:space="preserve">| 1 P Python % | 3 L PHP-CGM % | 4 L JAVA % | 5 L NS @ | 5 L CPT @ </v>
      </c>
      <c r="AX554" s="4" t="str">
        <f ca="1">IFERROR(__xludf.DUMMYFUNCTION("""COMPUTED_VALUE"""),"| 1 P NS % | 3 L CPT % | 4 L JAVA % | 5 L INE @ ")</f>
        <v xml:space="preserve">| 1 P NS % | 3 L CPT % | 4 L JAVA % | 5 L INE @ </v>
      </c>
      <c r="AY554" s="4" t="str">
        <f ca="1">IFERROR(__xludf.DUMMYFUNCTION("""COMPUTED_VALUE"""),"| 1 P CPT @ | 3 L JAVA @ | 4 L NS @ | 5 P PRO @ ")</f>
        <v xml:space="preserve">| 1 P CPT @ | 3 L JAVA @ | 4 L NS @ | 5 P PRO @ </v>
      </c>
      <c r="AZ554" s="4" t="str">
        <f ca="1">IFERROR(__xludf.DUMMYFUNCTION("""COMPUTED_VALUE"""),"| 1 P JAVA @ | 3 L CPT @ | 4 L PHP-CGM @ | 5 P JAVA @ ")</f>
        <v xml:space="preserve">| 1 P JAVA @ | 3 L CPT @ | 4 L PHP-CGM @ | 5 P JAVA @ </v>
      </c>
      <c r="BA554" s="4" t="str">
        <f ca="1">IFERROR(__xludf.DUMMYFUNCTION("""COMPUTED_VALUE"""),"| 1 P Python % | 3 L PHP-CGM @ | 4 L JAVA @ | 5 L NS @ | 6 L CPT @ ")</f>
        <v xml:space="preserve">| 1 P Python % | 3 L PHP-CGM @ | 4 L JAVA @ | 5 L NS @ | 6 L CPT @ </v>
      </c>
      <c r="BB554" s="4" t="str">
        <f ca="1">IFERROR(__xludf.DUMMYFUNCTION("""COMPUTED_VALUE"""),"| 1 P NS % | 3 L CPT % | 4 L JAVA % | 5 L INE @ ")</f>
        <v xml:space="preserve">| 1 P NS % | 3 L CPT % | 4 L JAVA % | 5 L INE @ </v>
      </c>
      <c r="BC554" s="4" t="str">
        <f ca="1">IFERROR(__xludf.DUMMYFUNCTION("""COMPUTED_VALUE"""),"| 1 P CPT @ | 3 L JAVA @ | 4 L NS @ | 5 P PRO % ")</f>
        <v xml:space="preserve">| 1 P CPT @ | 3 L JAVA @ | 4 L NS @ | 5 P PRO % </v>
      </c>
      <c r="BD554" s="4" t="str">
        <f ca="1">IFERROR(__xludf.DUMMYFUNCTION("""COMPUTED_VALUE"""),"| 1 P PHP-CGM % | 4 L NS %  | 3 L PHP-CGM % | 5 P Python @ ")</f>
        <v xml:space="preserve">| 1 P PHP-CGM % | 4 L NS %  | 3 L PHP-CGM % | 5 P Python @ </v>
      </c>
      <c r="BE554" s="4" t="str">
        <f ca="1">IFERROR(__xludf.DUMMYFUNCTION("""COMPUTED_VALUE"""),"| 1 P JAVA @ | 3 L CPT @ | 4 L PHP-CGM @ | 5 P JAVA @ ")</f>
        <v xml:space="preserve">| 1 P JAVA @ | 3 L CPT @ | 4 L PHP-CGM @ | 5 P JAVA @ </v>
      </c>
      <c r="BF554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54" s="4" t="str">
        <f ca="1">IFERROR(__xludf.DUMMYFUNCTION("""COMPUTED_VALUE"""),"| 3 L JAVA @ | 4 L NS @ | 5 P PRO @ ")</f>
        <v xml:space="preserve">| 3 L JAVA @ | 4 L NS @ | 5 P PRO @ </v>
      </c>
      <c r="BH554" s="4" t="str">
        <f ca="1">IFERROR(__xludf.DUMMYFUNCTION("""COMPUTED_VALUE"""),"| 1 P PHP-CGM @ | 3 L PHP-CGM @ | 4 L NS @ | 5 P Python @ ")</f>
        <v xml:space="preserve">| 1 P PHP-CGM @ | 3 L PHP-CGM @ | 4 L NS @ | 5 P Python @ </v>
      </c>
      <c r="BI554" s="4" t="str">
        <f ca="1">IFERROR(__xludf.DUMMYFUNCTION("""COMPUTED_VALUE"""),"| 1 P JAVA @ | 3 L CPT @ | 4 L PHP-CGM @ | 5 P JAVA @ ")</f>
        <v xml:space="preserve">| 1 P JAVA @ | 3 L CPT @ | 4 L PHP-CGM @ | 5 P JAVA @ </v>
      </c>
      <c r="BJ554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54" s="4" t="str">
        <f ca="1">IFERROR(__xludf.DUMMYFUNCTION("""COMPUTED_VALUE"""),"| 1 P NS @ | 3 L CPT @ | 4 L JAVA @ | 5 L INE @ ")</f>
        <v xml:space="preserve">| 1 P NS @ | 3 L CPT @ | 4 L JAVA @ | 5 L INE @ </v>
      </c>
      <c r="BL554" s="4" t="str">
        <f ca="1">IFERROR(__xludf.DUMMYFUNCTION("""COMPUTED_VALUE"""),"| 1 P CPT @ | 3 L JAVA @ | 4 L NS @ | 5 P PRO @ ")</f>
        <v xml:space="preserve">| 1 P CPT @ | 3 L JAVA @ | 4 L NS @ | 5 P PRO @ </v>
      </c>
      <c r="BM554" s="4" t="str">
        <f ca="1">IFERROR(__xludf.DUMMYFUNCTION("""COMPUTED_VALUE"""),"| 1 P PHP-CGM % | 3 L PHP-CGM % | 4 L NS % | 5 P Python @ ")</f>
        <v xml:space="preserve">| 1 P PHP-CGM % | 3 L PHP-CGM % | 4 L NS % | 5 P Python @ </v>
      </c>
      <c r="BN554" s="4" t="str">
        <f ca="1">IFERROR(__xludf.DUMMYFUNCTION("""COMPUTED_VALUE"""),"| 1 P JAVA @ | 3 L CPT @ | 4 L PHP-CGM @ ")</f>
        <v xml:space="preserve">| 1 P JAVA @ | 3 L CPT @ | 4 L PHP-CGM @ </v>
      </c>
      <c r="BO554" s="4" t="str">
        <f ca="1">IFERROR(__xludf.DUMMYFUNCTION("""COMPUTED_VALUE"""),"| 1 P Python % | 3 L PHP-CGM % | 4 L JAVA % | 5 L NS @ | 6 L CPT % ")</f>
        <v xml:space="preserve">| 1 P Python % | 3 L PHP-CGM % | 4 L JAVA % | 5 L NS @ | 6 L CPT % </v>
      </c>
      <c r="BP554" s="4" t="str">
        <f ca="1">IFERROR(__xludf.DUMMYFUNCTION("""COMPUTED_VALUE"""),"| 1 P NS % | 3 L CPT % | 4 L JAVA % | 5 L INE @ ")</f>
        <v xml:space="preserve">| 1 P NS % | 3 L CPT % | 4 L JAVA % | 5 L INE @ </v>
      </c>
      <c r="BQ554" s="4" t="str">
        <f ca="1">IFERROR(__xludf.DUMMYFUNCTION("""COMPUTED_VALUE"""),"| 4 L NS @ ")</f>
        <v xml:space="preserve">| 4 L NS @ </v>
      </c>
      <c r="BR554" s="4"/>
      <c r="BS554" s="4"/>
      <c r="BT554" s="4" t="str">
        <f ca="1">IFERROR(__xludf.DUMMYFUNCTION("""COMPUTED_VALUE"""),"| 1 P NS % | 3 L CPT % | 4 L JAVA % ")</f>
        <v xml:space="preserve">| 1 P NS % | 3 L CPT % | 4 L JAVA % </v>
      </c>
      <c r="BU554" s="4" t="str">
        <f ca="1">IFERROR(__xludf.DUMMYFUNCTION("""COMPUTED_VALUE"""),"| 1 P CPT @ | 4 L NS @ | 3 L JAVA @ ")</f>
        <v xml:space="preserve">| 1 P CPT @ | 4 L NS @ | 3 L JAVA @ </v>
      </c>
      <c r="BV554" s="4" t="str">
        <f ca="1">IFERROR(__xludf.DUMMYFUNCTION("""COMPUTED_VALUE"""),"| 1 P NS @ | 3 L CPT @ | 4 L JAVA @ ")</f>
        <v xml:space="preserve">| 1 P NS @ | 3 L CPT @ | 4 L JAVA @ </v>
      </c>
      <c r="BW554" s="4" t="str">
        <f ca="1">IFERROR(__xludf.DUMMYFUNCTION("""COMPUTED_VALUE"""),"| 1 P CPT @ | 3 L JAVA @ | 4 L NS @ ")</f>
        <v xml:space="preserve">| 1 P CPT @ | 3 L JAVA @ | 4 L NS @ </v>
      </c>
      <c r="BX554" s="4" t="str">
        <f ca="1">IFERROR(__xludf.DUMMYFUNCTION("""COMPUTED_VALUE"""),"| 1 P PHP-CGM % | 3 L PHP-CGM % | 4 L NS % | 5 P Python @ ")</f>
        <v xml:space="preserve">| 1 P PHP-CGM % | 3 L PHP-CGM % | 4 L NS % | 5 P Python @ </v>
      </c>
      <c r="BY554" s="4" t="str">
        <f ca="1">IFERROR(__xludf.DUMMYFUNCTION("""COMPUTED_VALUE"""),"| 1 P JAVA % | 3 L CPT % | 4 L PHP-CGM @ | 5 P JAVA @ ")</f>
        <v xml:space="preserve">| 1 P JAVA % | 3 L CPT % | 4 L PHP-CGM @ | 5 P JAVA @ </v>
      </c>
      <c r="BZ554" s="4" t="str">
        <f ca="1">IFERROR(__xludf.DUMMYFUNCTION("""COMPUTED_VALUE"""),"| 1 P Python @ | 3 L PHP-CGM % | 4 L JAVA % | 5 L NS @ | 6 L CPT @ ")</f>
        <v xml:space="preserve">| 1 P Python @ | 3 L PHP-CGM % | 4 L JAVA % | 5 L NS @ | 6 L CPT @ </v>
      </c>
      <c r="CA554" s="4" t="str">
        <f ca="1">IFERROR(__xludf.DUMMYFUNCTION("""COMPUTED_VALUE"""),"| 1 P NS % | 3 L CPT % | 4 L JAVA % | 5 L INE % ")</f>
        <v xml:space="preserve">| 1 P NS % | 3 L CPT % | 4 L JAVA % | 5 L INE % </v>
      </c>
      <c r="CB554" s="4" t="str">
        <f ca="1">IFERROR(__xludf.DUMMYFUNCTION("""COMPUTED_VALUE"""),"| 1 P CPT % | 3 L JAVA % | 4 L NS % | 5 P PRO @ ")</f>
        <v xml:space="preserve">| 1 P CPT % | 3 L JAVA % | 4 L NS % | 5 P PRO @ </v>
      </c>
      <c r="CC554" s="4" t="str">
        <f ca="1">IFERROR(__xludf.DUMMYFUNCTION("""COMPUTED_VALUE"""),"| 1 P PHP-CGM % | 3 L PHP-CGM @ | 4 L NS @ | 5 P Python @ ")</f>
        <v xml:space="preserve">| 1 P PHP-CGM % | 3 L PHP-CGM @ | 4 L NS @ | 5 P Python @ </v>
      </c>
      <c r="CD554" s="4" t="str">
        <f ca="1">IFERROR(__xludf.DUMMYFUNCTION("""COMPUTED_VALUE"""),"| 1 P JAVA % | 3 L CPT % | 4 L PHP-CGM % ")</f>
        <v xml:space="preserve">| 1 P JAVA % | 3 L CPT % | 4 L PHP-CGM % </v>
      </c>
      <c r="CE554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F554" s="4" t="str">
        <f ca="1">IFERROR(__xludf.DUMMYFUNCTION("""COMPUTED_VALUE"""),"| 1 P NS % | 3 L CPT @ | 4 L JAVA @ | 5 L INE @ ")</f>
        <v xml:space="preserve">| 1 P NS % | 3 L CPT @ | 4 L JAVA @ | 5 L INE @ </v>
      </c>
      <c r="CG554" s="4" t="str">
        <f ca="1">IFERROR(__xludf.DUMMYFUNCTION("""COMPUTED_VALUE"""),"| 1 P CPT @ | 4 L NS @ ")</f>
        <v xml:space="preserve">| 1 P CPT @ | 4 L NS @ </v>
      </c>
      <c r="CH554" s="4" t="str">
        <f ca="1">IFERROR(__xludf.DUMMYFUNCTION("""COMPUTED_VALUE"""),"| 1 P PHP-CGM % | 3 L PHP-CGM % | 4 L NS % ")</f>
        <v xml:space="preserve">| 1 P PHP-CGM % | 3 L PHP-CGM % | 4 L NS % </v>
      </c>
      <c r="CI554" s="4"/>
      <c r="CJ554" s="4" t="str">
        <f ca="1">IFERROR(__xludf.DUMMYFUNCTION("""COMPUTED_VALUE"""),"| 4 L JAVA % ")</f>
        <v xml:space="preserve">| 4 L JAVA % </v>
      </c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</row>
    <row r="555" spans="1:102" ht="12.5" x14ac:dyDescent="0.25">
      <c r="A555" s="3">
        <f ca="1">IFERROR(__xludf.DUMMYFUNCTION("""COMPUTED_VALUE"""),4)</f>
        <v>4</v>
      </c>
      <c r="B555" s="3" t="str">
        <f ca="1">IFERROR(__xludf.DUMMYFUNCTION("""COMPUTED_VALUE"""),"ITC")</f>
        <v>ITC</v>
      </c>
      <c r="C555" s="32" t="str">
        <f ca="1">IFERROR(__xludf.DUMMYFUNCTION("""COMPUTED_VALUE"""),"23171371154")</f>
        <v>23171371154</v>
      </c>
      <c r="D555" s="4" t="str">
        <f ca="1">IFERROR(__xludf.DUMMYFUNCTION("""COMPUTED_VALUE"""),"SOLANKI KEVAL NARESHBHAI")</f>
        <v>SOLANKI KEVAL NARESHBHAI</v>
      </c>
      <c r="E555" s="3" t="str">
        <f ca="1">IFERROR(__xludf.DUMMYFUNCTION("""COMPUTED_VALUE"""),"SDP&amp;KKP - Mor")</f>
        <v>SDP&amp;KKP - Mor</v>
      </c>
      <c r="F555" s="3">
        <f ca="1">IFERROR(__xludf.DUMMYFUNCTION("""COMPUTED_VALUE"""),9429000906)</f>
        <v>9429000906</v>
      </c>
      <c r="G555" s="3">
        <f ca="1">IFERROR(__xludf.DUMMYFUNCTION("""COMPUTED_VALUE"""),9429000906)</f>
        <v>9429000906</v>
      </c>
      <c r="H555" s="33">
        <f ca="1">IFERROR(__xludf.DUMMYFUNCTION("""COMPUTED_VALUE"""),0.248945147679324)</f>
        <v>0.24894514767932399</v>
      </c>
      <c r="I555" s="25">
        <f ca="1">IFERROR(__xludf.DUMMYFUNCTION("""COMPUTED_VALUE"""),0.333333333333333)</f>
        <v>0.33333333333333298</v>
      </c>
      <c r="J555" s="25">
        <f ca="1">IFERROR(__xludf.DUMMYFUNCTION("""COMPUTED_VALUE"""),0.0833333333333333)</f>
        <v>8.3333333333333301E-2</v>
      </c>
      <c r="K555" s="25">
        <f ca="1">IFERROR(__xludf.DUMMYFUNCTION("""COMPUTED_VALUE"""),0.194444444444444)</f>
        <v>0.194444444444444</v>
      </c>
      <c r="L555" s="25">
        <f ca="1">IFERROR(__xludf.DUMMYFUNCTION("""COMPUTED_VALUE"""),0.285714285714285)</f>
        <v>0.28571428571428498</v>
      </c>
      <c r="M555" s="25">
        <f ca="1">IFERROR(__xludf.DUMMYFUNCTION("""COMPUTED_VALUE"""),0.25)</f>
        <v>0.25</v>
      </c>
      <c r="N555" s="25">
        <f ca="1">IFERROR(__xludf.DUMMYFUNCTION("""COMPUTED_VALUE"""),0.2)</f>
        <v>0.2</v>
      </c>
      <c r="O555" s="25">
        <f ca="1">IFERROR(__xludf.DUMMYFUNCTION("""COMPUTED_VALUE"""),0.189189189189189)</f>
        <v>0.18918918918918901</v>
      </c>
      <c r="P555" s="25">
        <f ca="1">IFERROR(__xludf.DUMMYFUNCTION("""COMPUTED_VALUE"""),0.454545454545454)</f>
        <v>0.45454545454545398</v>
      </c>
      <c r="Q555" s="25">
        <f ca="1">IFERROR(__xludf.DUMMYFUNCTION("""COMPUTED_VALUE"""),0)</f>
        <v>0</v>
      </c>
      <c r="R555" s="25">
        <f ca="1">IFERROR(__xludf.DUMMYFUNCTION("""COMPUTED_VALUE"""),0.157894736842105)</f>
        <v>0.157894736842105</v>
      </c>
      <c r="S555" s="25">
        <f ca="1">IFERROR(__xludf.DUMMYFUNCTION("""COMPUTED_VALUE"""),0)</f>
        <v>0</v>
      </c>
      <c r="T555" s="25">
        <f ca="1">IFERROR(__xludf.DUMMYFUNCTION("""COMPUTED_VALUE"""),0.272727272727272)</f>
        <v>0.27272727272727199</v>
      </c>
      <c r="U555" s="25">
        <f ca="1">IFERROR(__xludf.DUMMYFUNCTION("""COMPUTED_VALUE"""),0.25)</f>
        <v>0.25</v>
      </c>
      <c r="V555" s="25">
        <f ca="1">IFERROR(__xludf.DUMMYFUNCTION("""COMPUTED_VALUE"""),0)</f>
        <v>0</v>
      </c>
      <c r="W555" s="4"/>
      <c r="X555" s="4" t="str">
        <f ca="1">IFERROR(__xludf.DUMMYFUNCTION("""COMPUTED_VALUE"""),"| 1 P NS % | 3 L CPT % | 4 L JAVA % ")</f>
        <v xml:space="preserve">| 1 P NS % | 3 L CPT % | 4 L JAVA % </v>
      </c>
      <c r="Y555" s="4" t="str">
        <f ca="1">IFERROR(__xludf.DUMMYFUNCTION("""COMPUTED_VALUE"""),"| 1 P CPT @ | 3 L JAVA @ | 4 L NS @ | 5 P PRO @ ")</f>
        <v xml:space="preserve">| 1 P CPT @ | 3 L JAVA @ | 4 L NS @ | 5 P PRO @ </v>
      </c>
      <c r="Z555" s="4" t="str">
        <f ca="1">IFERROR(__xludf.DUMMYFUNCTION("""COMPUTED_VALUE"""),"| 3 L PHP-CGM % | 4 L NS % | 5 P Python % ")</f>
        <v xml:space="preserve">| 3 L PHP-CGM % | 4 L NS % | 5 P Python % </v>
      </c>
      <c r="AA555" s="4" t="str">
        <f ca="1">IFERROR(__xludf.DUMMYFUNCTION("""COMPUTED_VALUE"""),"| 1 P NS @ | 3 L CPT @ | 5 P JAVA @ ")</f>
        <v xml:space="preserve">| 1 P NS @ | 3 L CPT @ | 5 P JAVA @ </v>
      </c>
      <c r="AB555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5" s="4" t="str">
        <f ca="1">IFERROR(__xludf.DUMMYFUNCTION("""COMPUTED_VALUE"""),"| 1 P NS @ | 3 L CPT @ | 4 L JAVA @ ")</f>
        <v xml:space="preserve">| 1 P NS @ | 3 L CPT @ | 4 L JAVA @ </v>
      </c>
      <c r="AD555" s="4" t="str">
        <f ca="1">IFERROR(__xludf.DUMMYFUNCTION("""COMPUTED_VALUE"""),"| 1 P CPT % | 3 L JAVA % | 4 L NS % | 5 P PRO % ")</f>
        <v xml:space="preserve">| 1 P CPT % | 3 L JAVA % | 4 L NS % | 5 P PRO % </v>
      </c>
      <c r="AE555" s="4" t="str">
        <f ca="1">IFERROR(__xludf.DUMMYFUNCTION("""COMPUTED_VALUE"""),"| 1 P PHP-CGM % | 3 L PHP-CGM % | 4 L NS % ")</f>
        <v xml:space="preserve">| 1 P PHP-CGM % | 3 L PHP-CGM % | 4 L NS % </v>
      </c>
      <c r="AF555" s="4" t="str">
        <f ca="1">IFERROR(__xludf.DUMMYFUNCTION("""COMPUTED_VALUE"""),"| 1 P JAVA @ | 3 L CPT @ | 4 L PHP-CGM @ | 5 P JAVA @ ")</f>
        <v xml:space="preserve">| 1 P JAVA @ | 3 L CPT @ | 4 L PHP-CGM @ | 5 P JAVA @ </v>
      </c>
      <c r="AG555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H555" s="4" t="str">
        <f ca="1">IFERROR(__xludf.DUMMYFUNCTION("""COMPUTED_VALUE"""),"| 1 P JAVA % | 3 L CPT % | 4 L PHP-CGM % | 5 P JAVA % ")</f>
        <v xml:space="preserve">| 1 P JAVA % | 3 L CPT % | 4 L PHP-CGM % | 5 P JAVA % </v>
      </c>
      <c r="AI555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55" s="4" t="str">
        <f ca="1">IFERROR(__xludf.DUMMYFUNCTION("""COMPUTED_VALUE"""),"| 1 P NS @ | 3 L CPT @ | 4 L JAVA @ ")</f>
        <v xml:space="preserve">| 1 P NS @ | 3 L CPT @ | 4 L JAVA @ </v>
      </c>
      <c r="AK555" s="4" t="str">
        <f ca="1">IFERROR(__xludf.DUMMYFUNCTION("""COMPUTED_VALUE"""),"| 1 P CPT @ | 4 L NS @ | 3 L JAVA @ | 5 P PRO @ ")</f>
        <v xml:space="preserve">| 1 P CPT @ | 4 L NS @ | 3 L JAVA @ | 5 P PRO @ </v>
      </c>
      <c r="AL555" s="4" t="str">
        <f ca="1">IFERROR(__xludf.DUMMYFUNCTION("""COMPUTED_VALUE"""),"| 1 P PHP-CGM @ | 3 L PHP-CGM @ | 4 L NS @ | 5 P Python @ ")</f>
        <v xml:space="preserve">| 1 P PHP-CGM @ | 3 L PHP-CGM @ | 4 L NS @ | 5 P Python @ </v>
      </c>
      <c r="AM555" s="4" t="str">
        <f ca="1">IFERROR(__xludf.DUMMYFUNCTION("""COMPUTED_VALUE"""),"| 1 P JAVA % | 3 L CPT % | 4 L PHP-CGM % | 5 P JAVA % ")</f>
        <v xml:space="preserve">| 1 P JAVA % | 3 L CPT % | 4 L PHP-CGM % | 5 P JAVA % </v>
      </c>
      <c r="AN555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55" s="4" t="str">
        <f ca="1">IFERROR(__xludf.DUMMYFUNCTION("""COMPUTED_VALUE"""),"| 1 P NS % | 3 L CPT % | 4 L JAVA % | 5 L INE % ")</f>
        <v xml:space="preserve">| 1 P NS % | 3 L CPT % | 4 L JAVA % | 5 L INE % </v>
      </c>
      <c r="AP555" s="4" t="str">
        <f ca="1">IFERROR(__xludf.DUMMYFUNCTION("""COMPUTED_VALUE"""),"| 1 P CPT @ | 3 L JAVA @ | 4 L NS @ | 5 P PRO @ ")</f>
        <v xml:space="preserve">| 1 P CPT @ | 3 L JAVA @ | 4 L NS @ | 5 P PRO @ </v>
      </c>
      <c r="AQ555" s="4" t="str">
        <f ca="1">IFERROR(__xludf.DUMMYFUNCTION("""COMPUTED_VALUE"""),"| 1 P PHP-CGM @ | 3 L PHP-CGM @ | 4 L NS @ | 5 P Python @ ")</f>
        <v xml:space="preserve">| 1 P PHP-CGM @ | 3 L PHP-CGM @ | 4 L NS @ | 5 P Python @ </v>
      </c>
      <c r="AR555" s="4" t="str">
        <f ca="1">IFERROR(__xludf.DUMMYFUNCTION("""COMPUTED_VALUE"""),"| 1 P JAVA % | 3 L CPT % | 5 P JAVA % ")</f>
        <v xml:space="preserve">| 1 P JAVA % | 3 L CPT % | 5 P JAVA % </v>
      </c>
      <c r="AS555" s="4" t="str">
        <f ca="1">IFERROR(__xludf.DUMMYFUNCTION("""COMPUTED_VALUE"""),"| 1 P NS @ | 3 L CPT @ | 4 L JAVA @ | 5 L INE @ ")</f>
        <v xml:space="preserve">| 1 P NS @ | 3 L CPT @ | 4 L JAVA @ | 5 L INE @ </v>
      </c>
      <c r="AT555" s="4" t="str">
        <f ca="1">IFERROR(__xludf.DUMMYFUNCTION("""COMPUTED_VALUE"""),"| 1 P CPT @ | 3 L JAVA @ | 1 P JAVA @ | 4 L NS @ | 5 P PRO @ ")</f>
        <v xml:space="preserve">| 1 P CPT @ | 3 L JAVA @ | 1 P JAVA @ | 4 L NS @ | 5 P PRO @ </v>
      </c>
      <c r="AU555" s="4" t="str">
        <f ca="1">IFERROR(__xludf.DUMMYFUNCTION("""COMPUTED_VALUE"""),"| 1 P PHP-CGM @ | 3 L PHP-CGM @ | 4 L NS @ | 5 P Python @ ")</f>
        <v xml:space="preserve">| 1 P PHP-CGM @ | 3 L PHP-CGM @ | 4 L NS @ | 5 P Python @ </v>
      </c>
      <c r="AV555" s="4" t="str">
        <f ca="1">IFERROR(__xludf.DUMMYFUNCTION("""COMPUTED_VALUE"""),"| 1 P JAVA % | 3 L CPT % | 4 L PHP-CGM % | 5 P JAVA % ")</f>
        <v xml:space="preserve">| 1 P JAVA % | 3 L CPT % | 4 L PHP-CGM % | 5 P JAVA % </v>
      </c>
      <c r="AW555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55" s="4" t="str">
        <f ca="1">IFERROR(__xludf.DUMMYFUNCTION("""COMPUTED_VALUE"""),"| 1 P NS @ | 3 L CPT @ | 4 L JAVA @ | 5 L INE @ ")</f>
        <v xml:space="preserve">| 1 P NS @ | 3 L CPT @ | 4 L JAVA @ | 5 L INE @ </v>
      </c>
      <c r="AY555" s="4" t="str">
        <f ca="1">IFERROR(__xludf.DUMMYFUNCTION("""COMPUTED_VALUE"""),"| 1 P CPT @ | 3 L JAVA @ | 4 L NS @ | 5 P PRO @ ")</f>
        <v xml:space="preserve">| 1 P CPT @ | 3 L JAVA @ | 4 L NS @ | 5 P PRO @ </v>
      </c>
      <c r="AZ555" s="4" t="str">
        <f ca="1">IFERROR(__xludf.DUMMYFUNCTION("""COMPUTED_VALUE"""),"| 1 P JAVA @ | 3 L CPT @ | 4 L PHP-CGM @ | 5 P JAVA @ ")</f>
        <v xml:space="preserve">| 1 P JAVA @ | 3 L CPT @ | 4 L PHP-CGM @ | 5 P JAVA @ </v>
      </c>
      <c r="BA555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55" s="4" t="str">
        <f ca="1">IFERROR(__xludf.DUMMYFUNCTION("""COMPUTED_VALUE"""),"| 1 P NS % | 3 L CPT % | 4 L JAVA % | 5 L INE @ ")</f>
        <v xml:space="preserve">| 1 P NS % | 3 L CPT % | 4 L JAVA % | 5 L INE @ </v>
      </c>
      <c r="BC555" s="4" t="str">
        <f ca="1">IFERROR(__xludf.DUMMYFUNCTION("""COMPUTED_VALUE"""),"| 1 P CPT @ | 3 L JAVA @ | 4 L NS @ | 5 P PRO % ")</f>
        <v xml:space="preserve">| 1 P CPT @ | 3 L JAVA @ | 4 L NS @ | 5 P PRO % </v>
      </c>
      <c r="BD555" s="4" t="str">
        <f ca="1">IFERROR(__xludf.DUMMYFUNCTION("""COMPUTED_VALUE"""),"| 1 P PHP-CGM @ | 4 L NS @  | 3 L PHP-CGM @ | 5 P Python @ ")</f>
        <v xml:space="preserve">| 1 P PHP-CGM @ | 4 L NS @  | 3 L PHP-CGM @ | 5 P Python @ </v>
      </c>
      <c r="BE555" s="4" t="str">
        <f ca="1">IFERROR(__xludf.DUMMYFUNCTION("""COMPUTED_VALUE"""),"| 1 P JAVA % | 3 L CPT % | 4 L PHP-CGM % | 5 P JAVA % ")</f>
        <v xml:space="preserve">| 1 P JAVA % | 3 L CPT % | 4 L PHP-CGM % | 5 P JAVA % </v>
      </c>
      <c r="BF555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G555" s="4" t="str">
        <f ca="1">IFERROR(__xludf.DUMMYFUNCTION("""COMPUTED_VALUE"""),"| 3 L JAVA @ | 4 L NS @ | 5 P PRO @ ")</f>
        <v xml:space="preserve">| 3 L JAVA @ | 4 L NS @ | 5 P PRO @ </v>
      </c>
      <c r="BH555" s="4" t="str">
        <f ca="1">IFERROR(__xludf.DUMMYFUNCTION("""COMPUTED_VALUE"""),"| 1 P PHP-CGM @ | 3 L PHP-CGM @ | 4 L NS @ | 5 P Python @ ")</f>
        <v xml:space="preserve">| 1 P PHP-CGM @ | 3 L PHP-CGM @ | 4 L NS @ | 5 P Python @ </v>
      </c>
      <c r="BI555" s="4" t="str">
        <f ca="1">IFERROR(__xludf.DUMMYFUNCTION("""COMPUTED_VALUE"""),"| 1 P JAVA @ | 3 L CPT @ | 4 L PHP-CGM @ | 5 P JAVA @ ")</f>
        <v xml:space="preserve">| 1 P JAVA @ | 3 L CPT @ | 4 L PHP-CGM @ | 5 P JAVA @ </v>
      </c>
      <c r="BJ555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55" s="4" t="str">
        <f ca="1">IFERROR(__xludf.DUMMYFUNCTION("""COMPUTED_VALUE"""),"| 1 P NS @ | 3 L CPT @ | 4 L JAVA @ | 5 L INE @ ")</f>
        <v xml:space="preserve">| 1 P NS @ | 3 L CPT @ | 4 L JAVA @ | 5 L INE @ </v>
      </c>
      <c r="BL555" s="4" t="str">
        <f ca="1">IFERROR(__xludf.DUMMYFUNCTION("""COMPUTED_VALUE"""),"| 1 P CPT @ | 3 L JAVA @ | 4 L NS @ | 5 P PRO @ ")</f>
        <v xml:space="preserve">| 1 P CPT @ | 3 L JAVA @ | 4 L NS @ | 5 P PRO @ </v>
      </c>
      <c r="BM555" s="4" t="str">
        <f ca="1">IFERROR(__xludf.DUMMYFUNCTION("""COMPUTED_VALUE"""),"| 1 P PHP-CGM @ | 3 L PHP-CGM @ | 4 L NS @ | 5 P Python @ ")</f>
        <v xml:space="preserve">| 1 P PHP-CGM @ | 3 L PHP-CGM @ | 4 L NS @ | 5 P Python @ </v>
      </c>
      <c r="BN555" s="4" t="str">
        <f ca="1">IFERROR(__xludf.DUMMYFUNCTION("""COMPUTED_VALUE"""),"| 1 P JAVA @ | 3 L CPT @ | 4 L PHP-CGM @ ")</f>
        <v xml:space="preserve">| 1 P JAVA @ | 3 L CPT @ | 4 L PHP-CGM @ </v>
      </c>
      <c r="BO555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5" s="4" t="str">
        <f ca="1">IFERROR(__xludf.DUMMYFUNCTION("""COMPUTED_VALUE"""),"| 1 P NS @ | 3 L CPT @ | 4 L JAVA @ | 5 L INE @ ")</f>
        <v xml:space="preserve">| 1 P NS @ | 3 L CPT @ | 4 L JAVA @ | 5 L INE @ </v>
      </c>
      <c r="BQ555" s="4" t="str">
        <f ca="1">IFERROR(__xludf.DUMMYFUNCTION("""COMPUTED_VALUE"""),"| 4 L NS % ")</f>
        <v xml:space="preserve">| 4 L NS % </v>
      </c>
      <c r="BR555" s="4"/>
      <c r="BS555" s="4"/>
      <c r="BT555" s="4" t="str">
        <f ca="1">IFERROR(__xludf.DUMMYFUNCTION("""COMPUTED_VALUE"""),"| 1 P NS @ | 3 L CPT @ | 4 L JAVA @ ")</f>
        <v xml:space="preserve">| 1 P NS @ | 3 L CPT @ | 4 L JAVA @ </v>
      </c>
      <c r="BU555" s="4" t="str">
        <f ca="1">IFERROR(__xludf.DUMMYFUNCTION("""COMPUTED_VALUE"""),"| 1 P CPT @ | 4 L NS @ | 3 L JAVA @ ")</f>
        <v xml:space="preserve">| 1 P CPT @ | 4 L NS @ | 3 L JAVA @ </v>
      </c>
      <c r="BV555" s="4" t="str">
        <f ca="1">IFERROR(__xludf.DUMMYFUNCTION("""COMPUTED_VALUE"""),"| 1 P NS @ | 3 L CPT @ | 4 L JAVA @ ")</f>
        <v xml:space="preserve">| 1 P NS @ | 3 L CPT @ | 4 L JAVA @ </v>
      </c>
      <c r="BW555" s="4" t="str">
        <f ca="1">IFERROR(__xludf.DUMMYFUNCTION("""COMPUTED_VALUE"""),"| 1 P CPT @ | 3 L JAVA @ | 4 L NS @ ")</f>
        <v xml:space="preserve">| 1 P CPT @ | 3 L JAVA @ | 4 L NS @ </v>
      </c>
      <c r="BX555" s="4" t="str">
        <f ca="1">IFERROR(__xludf.DUMMYFUNCTION("""COMPUTED_VALUE"""),"| 1 P PHP-CGM @ | 3 L PHP-CGM @ | 4 L NS @ | 5 P Python @ ")</f>
        <v xml:space="preserve">| 1 P PHP-CGM @ | 3 L PHP-CGM @ | 4 L NS @ | 5 P Python @ </v>
      </c>
      <c r="BY555" s="4" t="str">
        <f ca="1">IFERROR(__xludf.DUMMYFUNCTION("""COMPUTED_VALUE"""),"| 1 P JAVA @ | 3 L CPT @ | 4 L PHP-CGM @ | 5 P JAVA @ ")</f>
        <v xml:space="preserve">| 1 P JAVA @ | 3 L CPT @ | 4 L PHP-CGM @ | 5 P JAVA @ </v>
      </c>
      <c r="BZ555" s="4" t="str">
        <f ca="1">IFERROR(__xludf.DUMMYFUNCTION("""COMPUTED_VALUE"""),"| 1 P Python % | 3 L PHP-CGM @ | 4 L JAVA @ | 5 L NS @ | 6 L CPT @ ")</f>
        <v xml:space="preserve">| 1 P Python % | 3 L PHP-CGM @ | 4 L JAVA @ | 5 L NS @ | 6 L CPT @ </v>
      </c>
      <c r="CA555" s="4" t="str">
        <f ca="1">IFERROR(__xludf.DUMMYFUNCTION("""COMPUTED_VALUE"""),"| 1 P NS @ | 3 L CPT @ | 4 L JAVA @ | 5 L INE % ")</f>
        <v xml:space="preserve">| 1 P NS @ | 3 L CPT @ | 4 L JAVA @ | 5 L INE % </v>
      </c>
      <c r="CB555" s="4" t="str">
        <f ca="1">IFERROR(__xludf.DUMMYFUNCTION("""COMPUTED_VALUE"""),"| 1 P CPT @ | 3 L JAVA @ | 4 L NS @ | 5 P PRO @ ")</f>
        <v xml:space="preserve">| 1 P CPT @ | 3 L JAVA @ | 4 L NS @ | 5 P PRO @ </v>
      </c>
      <c r="CC555" s="4" t="str">
        <f ca="1">IFERROR(__xludf.DUMMYFUNCTION("""COMPUTED_VALUE"""),"| 1 P PHP-CGM @ | 3 L PHP-CGM @ | 4 L NS @ | 5 P Python @ ")</f>
        <v xml:space="preserve">| 1 P PHP-CGM @ | 3 L PHP-CGM @ | 4 L NS @ | 5 P Python @ </v>
      </c>
      <c r="CD555" s="4" t="str">
        <f ca="1">IFERROR(__xludf.DUMMYFUNCTION("""COMPUTED_VALUE"""),"| 1 P JAVA @ | 3 L CPT @ | 4 L PHP-CGM @ ")</f>
        <v xml:space="preserve">| 1 P JAVA @ | 3 L CPT @ | 4 L PHP-CGM @ </v>
      </c>
      <c r="CE555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55" s="4" t="str">
        <f ca="1">IFERROR(__xludf.DUMMYFUNCTION("""COMPUTED_VALUE"""),"| 1 P NS % | 3 L CPT % | 4 L JAVA @ | 5 L INE @ ")</f>
        <v xml:space="preserve">| 1 P NS % | 3 L CPT % | 4 L JAVA @ | 5 L INE @ </v>
      </c>
      <c r="CG555" s="4" t="str">
        <f ca="1">IFERROR(__xludf.DUMMYFUNCTION("""COMPUTED_VALUE"""),"| 1 P CPT @ | 4 L NS % ")</f>
        <v xml:space="preserve">| 1 P CPT @ | 4 L NS % </v>
      </c>
      <c r="CH555" s="4" t="str">
        <f ca="1">IFERROR(__xludf.DUMMYFUNCTION("""COMPUTED_VALUE"""),"| 1 P PHP-CGM % | 3 L PHP-CGM @ | 4 L NS @ ")</f>
        <v xml:space="preserve">| 1 P PHP-CGM % | 3 L PHP-CGM @ | 4 L NS @ </v>
      </c>
      <c r="CI555" s="4"/>
      <c r="CJ555" s="4" t="str">
        <f ca="1">IFERROR(__xludf.DUMMYFUNCTION("""COMPUTED_VALUE"""),"| 4 L JAVA % ")</f>
        <v xml:space="preserve">| 4 L JAVA % </v>
      </c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</row>
    <row r="556" spans="1:102" ht="12.5" x14ac:dyDescent="0.25">
      <c r="A556" s="3">
        <f ca="1">IFERROR(__xludf.DUMMYFUNCTION("""COMPUTED_VALUE"""),4)</f>
        <v>4</v>
      </c>
      <c r="B556" s="3" t="str">
        <f ca="1">IFERROR(__xludf.DUMMYFUNCTION("""COMPUTED_VALUE"""),"ITC")</f>
        <v>ITC</v>
      </c>
      <c r="C556" s="32" t="str">
        <f ca="1">IFERROR(__xludf.DUMMYFUNCTION("""COMPUTED_VALUE"""),"23171371155")</f>
        <v>23171371155</v>
      </c>
      <c r="D556" s="4" t="str">
        <f ca="1">IFERROR(__xludf.DUMMYFUNCTION("""COMPUTED_VALUE"""),"SOLANKI VISHESH KHODABHAI")</f>
        <v>SOLANKI VISHESH KHODABHAI</v>
      </c>
      <c r="E556" s="3" t="str">
        <f ca="1">IFERROR(__xludf.DUMMYFUNCTION("""COMPUTED_VALUE"""),"SDP&amp;KKP - Mor")</f>
        <v>SDP&amp;KKP - Mor</v>
      </c>
      <c r="F556" s="3">
        <f ca="1">IFERROR(__xludf.DUMMYFUNCTION("""COMPUTED_VALUE"""),9265906820)</f>
        <v>9265906820</v>
      </c>
      <c r="G556" s="3">
        <f ca="1">IFERROR(__xludf.DUMMYFUNCTION("""COMPUTED_VALUE"""),8780286976)</f>
        <v>8780286976</v>
      </c>
      <c r="H556" s="33">
        <f ca="1">IFERROR(__xludf.DUMMYFUNCTION("""COMPUTED_VALUE"""),0.620253164556962)</f>
        <v>0.620253164556962</v>
      </c>
      <c r="I556" s="25">
        <f ca="1">IFERROR(__xludf.DUMMYFUNCTION("""COMPUTED_VALUE"""),0.555555555555555)</f>
        <v>0.55555555555555503</v>
      </c>
      <c r="J556" s="25">
        <f ca="1">IFERROR(__xludf.DUMMYFUNCTION("""COMPUTED_VALUE"""),0.666666666666666)</f>
        <v>0.66666666666666596</v>
      </c>
      <c r="K556" s="25">
        <f ca="1">IFERROR(__xludf.DUMMYFUNCTION("""COMPUTED_VALUE"""),0.555555555555555)</f>
        <v>0.55555555555555503</v>
      </c>
      <c r="L556" s="25">
        <f ca="1">IFERROR(__xludf.DUMMYFUNCTION("""COMPUTED_VALUE"""),0.642857142857142)</f>
        <v>0.64285714285714202</v>
      </c>
      <c r="M556" s="25">
        <f ca="1">IFERROR(__xludf.DUMMYFUNCTION("""COMPUTED_VALUE"""),0.71875)</f>
        <v>0.71875</v>
      </c>
      <c r="N556" s="25">
        <f ca="1">IFERROR(__xludf.DUMMYFUNCTION("""COMPUTED_VALUE"""),0.7)</f>
        <v>0.7</v>
      </c>
      <c r="O556" s="25">
        <f ca="1">IFERROR(__xludf.DUMMYFUNCTION("""COMPUTED_VALUE"""),0.675675675675675)</f>
        <v>0.67567567567567499</v>
      </c>
      <c r="P556" s="25">
        <f ca="1">IFERROR(__xludf.DUMMYFUNCTION("""COMPUTED_VALUE"""),0.681818181818181)</f>
        <v>0.68181818181818099</v>
      </c>
      <c r="Q556" s="25">
        <f ca="1">IFERROR(__xludf.DUMMYFUNCTION("""COMPUTED_VALUE"""),0)</f>
        <v>0</v>
      </c>
      <c r="R556" s="25">
        <f ca="1">IFERROR(__xludf.DUMMYFUNCTION("""COMPUTED_VALUE"""),0.578947368421052)</f>
        <v>0.57894736842105199</v>
      </c>
      <c r="S556" s="25">
        <f ca="1">IFERROR(__xludf.DUMMYFUNCTION("""COMPUTED_VALUE"""),0)</f>
        <v>0</v>
      </c>
      <c r="T556" s="25">
        <f ca="1">IFERROR(__xludf.DUMMYFUNCTION("""COMPUTED_VALUE"""),0.545454545454545)</f>
        <v>0.54545454545454497</v>
      </c>
      <c r="U556" s="25">
        <f ca="1">IFERROR(__xludf.DUMMYFUNCTION("""COMPUTED_VALUE"""),0.375)</f>
        <v>0.375</v>
      </c>
      <c r="V556" s="25">
        <f ca="1">IFERROR(__xludf.DUMMYFUNCTION("""COMPUTED_VALUE"""),0)</f>
        <v>0</v>
      </c>
      <c r="W556" s="4"/>
      <c r="X556" s="4" t="str">
        <f ca="1">IFERROR(__xludf.DUMMYFUNCTION("""COMPUTED_VALUE"""),"| 1 P NS % | 3 L CPT % | 4 L JAVA % ")</f>
        <v xml:space="preserve">| 1 P NS % | 3 L CPT % | 4 L JAVA % </v>
      </c>
      <c r="Y556" s="4" t="str">
        <f ca="1">IFERROR(__xludf.DUMMYFUNCTION("""COMPUTED_VALUE"""),"| 1 P CPT % | 3 L JAVA % | 4 L NS % | 5 P PRO % ")</f>
        <v xml:space="preserve">| 1 P CPT % | 3 L JAVA % | 4 L NS % | 5 P PRO % </v>
      </c>
      <c r="Z556" s="4" t="str">
        <f ca="1">IFERROR(__xludf.DUMMYFUNCTION("""COMPUTED_VALUE"""),"| 3 L PHP-CGM % | 4 L NS % | 5 P Python @ ")</f>
        <v xml:space="preserve">| 3 L PHP-CGM % | 4 L NS % | 5 P Python @ </v>
      </c>
      <c r="AA556" s="4" t="str">
        <f ca="1">IFERROR(__xludf.DUMMYFUNCTION("""COMPUTED_VALUE"""),"| 1 P NS @ | 3 L CPT @ | 5 P JAVA @ ")</f>
        <v xml:space="preserve">| 1 P NS @ | 3 L CPT @ | 5 P JAVA @ </v>
      </c>
      <c r="AB556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6" s="4" t="str">
        <f ca="1">IFERROR(__xludf.DUMMYFUNCTION("""COMPUTED_VALUE"""),"| 1 P NS % | 3 L CPT % | 4 L JAVA % ")</f>
        <v xml:space="preserve">| 1 P NS % | 3 L CPT % | 4 L JAVA % </v>
      </c>
      <c r="AD556" s="4" t="str">
        <f ca="1">IFERROR(__xludf.DUMMYFUNCTION("""COMPUTED_VALUE"""),"| 1 P CPT % | 3 L JAVA % | 4 L NS % | 5 P PRO % ")</f>
        <v xml:space="preserve">| 1 P CPT % | 3 L JAVA % | 4 L NS % | 5 P PRO % </v>
      </c>
      <c r="AE556" s="4" t="str">
        <f ca="1">IFERROR(__xludf.DUMMYFUNCTION("""COMPUTED_VALUE"""),"| 1 P PHP-CGM @ | 3 L PHP-CGM @ | 4 L NS @ ")</f>
        <v xml:space="preserve">| 1 P PHP-CGM @ | 3 L PHP-CGM @ | 4 L NS @ </v>
      </c>
      <c r="AF556" s="4" t="str">
        <f ca="1">IFERROR(__xludf.DUMMYFUNCTION("""COMPUTED_VALUE"""),"| 1 P JAVA % | 3 L CPT % | 4 L PHP-CGM % | 5 P JAVA @ ")</f>
        <v xml:space="preserve">| 1 P JAVA % | 3 L CPT % | 4 L PHP-CGM % | 5 P JAVA @ </v>
      </c>
      <c r="AG556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56" s="4" t="str">
        <f ca="1">IFERROR(__xludf.DUMMYFUNCTION("""COMPUTED_VALUE"""),"| 1 P JAVA % | 3 L CPT @ | 4 L PHP-CGM % | 5 P JAVA % ")</f>
        <v xml:space="preserve">| 1 P JAVA % | 3 L CPT @ | 4 L PHP-CGM % | 5 P JAVA % </v>
      </c>
      <c r="AI556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J556" s="4" t="str">
        <f ca="1">IFERROR(__xludf.DUMMYFUNCTION("""COMPUTED_VALUE"""),"| 1 P NS % | 3 L CPT % | 4 L JAVA % ")</f>
        <v xml:space="preserve">| 1 P NS % | 3 L CPT % | 4 L JAVA % </v>
      </c>
      <c r="AK556" s="4" t="str">
        <f ca="1">IFERROR(__xludf.DUMMYFUNCTION("""COMPUTED_VALUE"""),"| 1 P CPT % | 4 L NS % | 3 L JAVA % | 5 P PRO @ ")</f>
        <v xml:space="preserve">| 1 P CPT % | 4 L NS % | 3 L JAVA % | 5 P PRO @ </v>
      </c>
      <c r="AL556" s="4" t="str">
        <f ca="1">IFERROR(__xludf.DUMMYFUNCTION("""COMPUTED_VALUE"""),"| 1 P PHP-CGM % | 3 L PHP-CGM % | 4 L NS % | 5 P Python % ")</f>
        <v xml:space="preserve">| 1 P PHP-CGM % | 3 L PHP-CGM % | 4 L NS % | 5 P Python % </v>
      </c>
      <c r="AM556" s="4" t="str">
        <f ca="1">IFERROR(__xludf.DUMMYFUNCTION("""COMPUTED_VALUE"""),"| 1 P JAVA % | 3 L CPT % | 4 L PHP-CGM % | 5 P JAVA @ ")</f>
        <v xml:space="preserve">| 1 P JAVA % | 3 L CPT % | 4 L PHP-CGM % | 5 P JAVA @ </v>
      </c>
      <c r="AN556" s="4" t="str">
        <f ca="1">IFERROR(__xludf.DUMMYFUNCTION("""COMPUTED_VALUE"""),"| 1 P Python % | 3 L PHP-CGM % | 4 L JAVA % | 5 L CPT % | 6 L NS @ ")</f>
        <v xml:space="preserve">| 1 P Python % | 3 L PHP-CGM % | 4 L JAVA % | 5 L CPT % | 6 L NS @ </v>
      </c>
      <c r="AO556" s="4" t="str">
        <f ca="1">IFERROR(__xludf.DUMMYFUNCTION("""COMPUTED_VALUE"""),"| 1 P NS @ | 3 L CPT @ | 4 L JAVA @ | 5 L INE @ ")</f>
        <v xml:space="preserve">| 1 P NS @ | 3 L CPT @ | 4 L JAVA @ | 5 L INE @ </v>
      </c>
      <c r="AP556" s="4" t="str">
        <f ca="1">IFERROR(__xludf.DUMMYFUNCTION("""COMPUTED_VALUE"""),"| 1 P CPT % | 3 L JAVA % | 4 L NS % | 5 P PRO @ ")</f>
        <v xml:space="preserve">| 1 P CPT % | 3 L JAVA % | 4 L NS % | 5 P PRO @ </v>
      </c>
      <c r="AQ556" s="4" t="str">
        <f ca="1">IFERROR(__xludf.DUMMYFUNCTION("""COMPUTED_VALUE"""),"| 1 P PHP-CGM % | 3 L PHP-CGM % | 4 L NS % | 5 P Python @ ")</f>
        <v xml:space="preserve">| 1 P PHP-CGM % | 3 L PHP-CGM % | 4 L NS % | 5 P Python @ </v>
      </c>
      <c r="AR556" s="4" t="str">
        <f ca="1">IFERROR(__xludf.DUMMYFUNCTION("""COMPUTED_VALUE"""),"| 1 P JAVA % | 3 L CPT @ | 5 P JAVA @ ")</f>
        <v xml:space="preserve">| 1 P JAVA % | 3 L CPT @ | 5 P JAVA @ </v>
      </c>
      <c r="AS556" s="4" t="str">
        <f ca="1">IFERROR(__xludf.DUMMYFUNCTION("""COMPUTED_VALUE"""),"| 1 P NS % | 3 L CPT % | 4 L JAVA % | 5 L INE % ")</f>
        <v xml:space="preserve">| 1 P NS % | 3 L CPT % | 4 L JAVA % | 5 L INE % </v>
      </c>
      <c r="AT556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56" s="4" t="str">
        <f ca="1">IFERROR(__xludf.DUMMYFUNCTION("""COMPUTED_VALUE"""),"| 1 P PHP-CGM % | 3 L PHP-CGM % | 4 L NS % | 5 P Python % ")</f>
        <v xml:space="preserve">| 1 P PHP-CGM % | 3 L PHP-CGM % | 4 L NS % | 5 P Python % </v>
      </c>
      <c r="AV556" s="4" t="str">
        <f ca="1">IFERROR(__xludf.DUMMYFUNCTION("""COMPUTED_VALUE"""),"| 1 P JAVA % | 3 L CPT % | 4 L PHP-CGM % | 5 P JAVA % ")</f>
        <v xml:space="preserve">| 1 P JAVA % | 3 L CPT % | 4 L PHP-CGM % | 5 P JAVA % </v>
      </c>
      <c r="AW556" s="4" t="str">
        <f ca="1">IFERROR(__xludf.DUMMYFUNCTION("""COMPUTED_VALUE"""),"| 1 P Python % | 3 L PHP-CGM % | 4 L JAVA % | 5 L NS @ | 5 L CPT % ")</f>
        <v xml:space="preserve">| 1 P Python % | 3 L PHP-CGM % | 4 L JAVA % | 5 L NS @ | 5 L CPT % </v>
      </c>
      <c r="AX556" s="4" t="str">
        <f ca="1">IFERROR(__xludf.DUMMYFUNCTION("""COMPUTED_VALUE"""),"| 1 P NS @ | 3 L CPT @ | 4 L JAVA @ | 5 L INE @ ")</f>
        <v xml:space="preserve">| 1 P NS @ | 3 L CPT @ | 4 L JAVA @ | 5 L INE @ </v>
      </c>
      <c r="AY556" s="4" t="str">
        <f ca="1">IFERROR(__xludf.DUMMYFUNCTION("""COMPUTED_VALUE"""),"| 1 P CPT % | 3 L JAVA % | 4 L NS % | 5 P PRO % ")</f>
        <v xml:space="preserve">| 1 P CPT % | 3 L JAVA % | 4 L NS % | 5 P PRO % </v>
      </c>
      <c r="AZ556" s="4" t="str">
        <f ca="1">IFERROR(__xludf.DUMMYFUNCTION("""COMPUTED_VALUE"""),"| 1 P JAVA % | 3 L CPT % | 4 L PHP-CGM % | 5 P JAVA % ")</f>
        <v xml:space="preserve">| 1 P JAVA % | 3 L CPT % | 4 L PHP-CGM % | 5 P JAVA % </v>
      </c>
      <c r="BA556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B556" s="4" t="str">
        <f ca="1">IFERROR(__xludf.DUMMYFUNCTION("""COMPUTED_VALUE"""),"| 1 P NS % | 3 L CPT % | 4 L JAVA % | 5 L INE @ ")</f>
        <v xml:space="preserve">| 1 P NS % | 3 L CPT % | 4 L JAVA % | 5 L INE @ </v>
      </c>
      <c r="BC556" s="4" t="str">
        <f ca="1">IFERROR(__xludf.DUMMYFUNCTION("""COMPUTED_VALUE"""),"| 1 P CPT @ | 3 L JAVA @ | 4 L NS @ | 5 P PRO % ")</f>
        <v xml:space="preserve">| 1 P CPT @ | 3 L JAVA @ | 4 L NS @ | 5 P PRO % </v>
      </c>
      <c r="BD556" s="4" t="str">
        <f ca="1">IFERROR(__xludf.DUMMYFUNCTION("""COMPUTED_VALUE"""),"| 1 P PHP-CGM % | 4 L NS %  | 3 L PHP-CGM % | 5 P Python % ")</f>
        <v xml:space="preserve">| 1 P PHP-CGM % | 4 L NS %  | 3 L PHP-CGM % | 5 P Python % </v>
      </c>
      <c r="BE556" s="4" t="str">
        <f ca="1">IFERROR(__xludf.DUMMYFUNCTION("""COMPUTED_VALUE"""),"| 1 P JAVA % | 3 L CPT % | 4 L PHP-CGM % | 5 P JAVA % ")</f>
        <v xml:space="preserve">| 1 P JAVA % | 3 L CPT % | 4 L PHP-CGM % | 5 P JAVA % </v>
      </c>
      <c r="BF556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G556" s="4" t="str">
        <f ca="1">IFERROR(__xludf.DUMMYFUNCTION("""COMPUTED_VALUE"""),"| 3 L JAVA % | 4 L NS % | 5 P PRO @ ")</f>
        <v xml:space="preserve">| 3 L JAVA % | 4 L NS % | 5 P PRO @ </v>
      </c>
      <c r="BH556" s="4" t="str">
        <f ca="1">IFERROR(__xludf.DUMMYFUNCTION("""COMPUTED_VALUE"""),"| 1 P PHP-CGM % | 3 L PHP-CGM % | 4 L NS % | 5 P Python % ")</f>
        <v xml:space="preserve">| 1 P PHP-CGM % | 3 L PHP-CGM % | 4 L NS % | 5 P Python % </v>
      </c>
      <c r="BI556" s="4" t="str">
        <f ca="1">IFERROR(__xludf.DUMMYFUNCTION("""COMPUTED_VALUE"""),"| 1 P JAVA % | 3 L CPT % | 4 L PHP-CGM % | 5 P JAVA % ")</f>
        <v xml:space="preserve">| 1 P JAVA % | 3 L CPT % | 4 L PHP-CGM % | 5 P JAVA % </v>
      </c>
      <c r="BJ556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K556" s="4" t="str">
        <f ca="1">IFERROR(__xludf.DUMMYFUNCTION("""COMPUTED_VALUE"""),"| 1 P NS % | 3 L CPT @ | 4 L JAVA % | 5 L INE @ ")</f>
        <v xml:space="preserve">| 1 P NS % | 3 L CPT @ | 4 L JAVA % | 5 L INE @ </v>
      </c>
      <c r="BL556" s="4" t="str">
        <f ca="1">IFERROR(__xludf.DUMMYFUNCTION("""COMPUTED_VALUE"""),"| 1 P CPT @ | 3 L JAVA @ | 4 L NS @ | 5 P PRO @ ")</f>
        <v xml:space="preserve">| 1 P CPT @ | 3 L JAVA @ | 4 L NS @ | 5 P PRO @ </v>
      </c>
      <c r="BM556" s="4" t="str">
        <f ca="1">IFERROR(__xludf.DUMMYFUNCTION("""COMPUTED_VALUE"""),"| 1 P PHP-CGM @ | 3 L PHP-CGM @ | 4 L NS @ | 5 P Python @ ")</f>
        <v xml:space="preserve">| 1 P PHP-CGM @ | 3 L PHP-CGM @ | 4 L NS @ | 5 P Python @ </v>
      </c>
      <c r="BN556" s="4" t="str">
        <f ca="1">IFERROR(__xludf.DUMMYFUNCTION("""COMPUTED_VALUE"""),"| 1 P JAVA @ | 3 L CPT @ | 4 L PHP-CGM @ ")</f>
        <v xml:space="preserve">| 1 P JAVA @ | 3 L CPT @ | 4 L PHP-CGM @ </v>
      </c>
      <c r="BO556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6" s="4" t="str">
        <f ca="1">IFERROR(__xludf.DUMMYFUNCTION("""COMPUTED_VALUE"""),"| 1 P NS % | 3 L CPT % | 4 L JAVA % | 5 L INE % ")</f>
        <v xml:space="preserve">| 1 P NS % | 3 L CPT % | 4 L JAVA % | 5 L INE % </v>
      </c>
      <c r="BQ556" s="4" t="str">
        <f ca="1">IFERROR(__xludf.DUMMYFUNCTION("""COMPUTED_VALUE"""),"| 4 L NS % ")</f>
        <v xml:space="preserve">| 4 L NS % </v>
      </c>
      <c r="BR556" s="4"/>
      <c r="BS556" s="4"/>
      <c r="BT556" s="4" t="str">
        <f ca="1">IFERROR(__xludf.DUMMYFUNCTION("""COMPUTED_VALUE"""),"| 1 P NS @ | 3 L CPT @ | 4 L JAVA @ ")</f>
        <v xml:space="preserve">| 1 P NS @ | 3 L CPT @ | 4 L JAVA @ </v>
      </c>
      <c r="BU556" s="4" t="str">
        <f ca="1">IFERROR(__xludf.DUMMYFUNCTION("""COMPUTED_VALUE"""),"| 1 P CPT @ | 4 L NS @ | 3 L JAVA @ ")</f>
        <v xml:space="preserve">| 1 P CPT @ | 4 L NS @ | 3 L JAVA @ </v>
      </c>
      <c r="BV556" s="4" t="str">
        <f ca="1">IFERROR(__xludf.DUMMYFUNCTION("""COMPUTED_VALUE"""),"| 1 P NS @ | 3 L CPT @ | 4 L JAVA @ ")</f>
        <v xml:space="preserve">| 1 P NS @ | 3 L CPT @ | 4 L JAVA @ </v>
      </c>
      <c r="BW556" s="4" t="str">
        <f ca="1">IFERROR(__xludf.DUMMYFUNCTION("""COMPUTED_VALUE"""),"| 1 P CPT % | 3 L JAVA % | 4 L NS % ")</f>
        <v xml:space="preserve">| 1 P CPT % | 3 L JAVA % | 4 L NS % </v>
      </c>
      <c r="BX556" s="4" t="str">
        <f ca="1">IFERROR(__xludf.DUMMYFUNCTION("""COMPUTED_VALUE"""),"| 1 P PHP-CGM @ | 3 L PHP-CGM @ | 4 L NS @ | 5 P Python @ ")</f>
        <v xml:space="preserve">| 1 P PHP-CGM @ | 3 L PHP-CGM @ | 4 L NS @ | 5 P Python @ </v>
      </c>
      <c r="BY556" s="4" t="str">
        <f ca="1">IFERROR(__xludf.DUMMYFUNCTION("""COMPUTED_VALUE"""),"| 1 P JAVA % | 3 L CPT % | 4 L PHP-CGM % | 5 P JAVA % ")</f>
        <v xml:space="preserve">| 1 P JAVA % | 3 L CPT % | 4 L PHP-CGM % | 5 P JAVA % </v>
      </c>
      <c r="BZ556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56" s="4" t="str">
        <f ca="1">IFERROR(__xludf.DUMMYFUNCTION("""COMPUTED_VALUE"""),"| 1 P NS % | 3 L CPT % | 4 L JAVA % | 5 L INE % ")</f>
        <v xml:space="preserve">| 1 P NS % | 3 L CPT % | 4 L JAVA % | 5 L INE % </v>
      </c>
      <c r="CB556" s="4" t="str">
        <f ca="1">IFERROR(__xludf.DUMMYFUNCTION("""COMPUTED_VALUE"""),"| 1 P CPT @ | 3 L JAVA @ | 4 L NS @ | 5 P PRO @ ")</f>
        <v xml:space="preserve">| 1 P CPT @ | 3 L JAVA @ | 4 L NS @ | 5 P PRO @ </v>
      </c>
      <c r="CC556" s="4" t="str">
        <f ca="1">IFERROR(__xludf.DUMMYFUNCTION("""COMPUTED_VALUE"""),"| 1 P PHP-CGM % | 3 L PHP-CGM % | 4 L NS % | 5 P Python % ")</f>
        <v xml:space="preserve">| 1 P PHP-CGM % | 3 L PHP-CGM % | 4 L NS % | 5 P Python % </v>
      </c>
      <c r="CD556" s="4" t="str">
        <f ca="1">IFERROR(__xludf.DUMMYFUNCTION("""COMPUTED_VALUE"""),"| 1 P JAVA @ | 3 L CPT @ | 4 L PHP-CGM @ ")</f>
        <v xml:space="preserve">| 1 P JAVA @ | 3 L CPT @ | 4 L PHP-CGM @ </v>
      </c>
      <c r="CE556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56" s="4" t="str">
        <f ca="1">IFERROR(__xludf.DUMMYFUNCTION("""COMPUTED_VALUE"""),"| 1 P NS % | 3 L CPT % | 4 L JAVA % | 5 L INE @ ")</f>
        <v xml:space="preserve">| 1 P NS % | 3 L CPT % | 4 L JAVA % | 5 L INE @ </v>
      </c>
      <c r="CG556" s="4" t="str">
        <f ca="1">IFERROR(__xludf.DUMMYFUNCTION("""COMPUTED_VALUE"""),"| 1 P CPT % | 4 L NS % ")</f>
        <v xml:space="preserve">| 1 P CPT % | 4 L NS % </v>
      </c>
      <c r="CH556" s="4" t="str">
        <f ca="1">IFERROR(__xludf.DUMMYFUNCTION("""COMPUTED_VALUE"""),"| 1 P PHP-CGM % | 3 L PHP-CGM % | 4 L NS % ")</f>
        <v xml:space="preserve">| 1 P PHP-CGM % | 3 L PHP-CGM % | 4 L NS % </v>
      </c>
      <c r="CI556" s="4"/>
      <c r="CJ556" s="4" t="str">
        <f ca="1">IFERROR(__xludf.DUMMYFUNCTION("""COMPUTED_VALUE"""),"| 4 L JAVA % ")</f>
        <v xml:space="preserve">| 4 L JAVA % </v>
      </c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</row>
    <row r="557" spans="1:102" ht="12.5" x14ac:dyDescent="0.25">
      <c r="A557" s="3">
        <f ca="1">IFERROR(__xludf.DUMMYFUNCTION("""COMPUTED_VALUE"""),4)</f>
        <v>4</v>
      </c>
      <c r="B557" s="3" t="str">
        <f ca="1">IFERROR(__xludf.DUMMYFUNCTION("""COMPUTED_VALUE"""),"ITC")</f>
        <v>ITC</v>
      </c>
      <c r="C557" s="32" t="str">
        <f ca="1">IFERROR(__xludf.DUMMYFUNCTION("""COMPUTED_VALUE"""),"23171371156")</f>
        <v>23171371156</v>
      </c>
      <c r="D557" s="4" t="str">
        <f ca="1">IFERROR(__xludf.DUMMYFUNCTION("""COMPUTED_VALUE"""),"SONI MOKSH ALPESHKUMAR")</f>
        <v>SONI MOKSH ALPESHKUMAR</v>
      </c>
      <c r="E557" s="3" t="str">
        <f ca="1">IFERROR(__xludf.DUMMYFUNCTION("""COMPUTED_VALUE"""),"SDP&amp;KKP - Mor")</f>
        <v>SDP&amp;KKP - Mor</v>
      </c>
      <c r="F557" s="3">
        <f ca="1">IFERROR(__xludf.DUMMYFUNCTION("""COMPUTED_VALUE"""),6351002765)</f>
        <v>6351002765</v>
      </c>
      <c r="G557" s="3">
        <f ca="1">IFERROR(__xludf.DUMMYFUNCTION("""COMPUTED_VALUE"""),9428313145)</f>
        <v>9428313145</v>
      </c>
      <c r="H557" s="33">
        <f ca="1">IFERROR(__xludf.DUMMYFUNCTION("""COMPUTED_VALUE"""),0.599156118143459)</f>
        <v>0.59915611814345904</v>
      </c>
      <c r="I557" s="25">
        <f ca="1">IFERROR(__xludf.DUMMYFUNCTION("""COMPUTED_VALUE"""),0.555555555555555)</f>
        <v>0.55555555555555503</v>
      </c>
      <c r="J557" s="25">
        <f ca="1">IFERROR(__xludf.DUMMYFUNCTION("""COMPUTED_VALUE"""),0.833333333333333)</f>
        <v>0.83333333333333304</v>
      </c>
      <c r="K557" s="25">
        <f ca="1">IFERROR(__xludf.DUMMYFUNCTION("""COMPUTED_VALUE"""),0.638888888888888)</f>
        <v>0.63888888888888795</v>
      </c>
      <c r="L557" s="25">
        <f ca="1">IFERROR(__xludf.DUMMYFUNCTION("""COMPUTED_VALUE"""),0.428571428571428)</f>
        <v>0.42857142857142799</v>
      </c>
      <c r="M557" s="25">
        <f ca="1">IFERROR(__xludf.DUMMYFUNCTION("""COMPUTED_VALUE"""),0.625)</f>
        <v>0.625</v>
      </c>
      <c r="N557" s="25">
        <f ca="1">IFERROR(__xludf.DUMMYFUNCTION("""COMPUTED_VALUE"""),0.8)</f>
        <v>0.8</v>
      </c>
      <c r="O557" s="25">
        <f ca="1">IFERROR(__xludf.DUMMYFUNCTION("""COMPUTED_VALUE"""),0.567567567567567)</f>
        <v>0.56756756756756699</v>
      </c>
      <c r="P557" s="25">
        <f ca="1">IFERROR(__xludf.DUMMYFUNCTION("""COMPUTED_VALUE"""),0.636363636363636)</f>
        <v>0.63636363636363602</v>
      </c>
      <c r="Q557" s="25">
        <f ca="1">IFERROR(__xludf.DUMMYFUNCTION("""COMPUTED_VALUE"""),0)</f>
        <v>0</v>
      </c>
      <c r="R557" s="25">
        <f ca="1">IFERROR(__xludf.DUMMYFUNCTION("""COMPUTED_VALUE"""),0.473684210526315)</f>
        <v>0.47368421052631499</v>
      </c>
      <c r="S557" s="25">
        <f ca="1">IFERROR(__xludf.DUMMYFUNCTION("""COMPUTED_VALUE"""),0)</f>
        <v>0</v>
      </c>
      <c r="T557" s="25">
        <f ca="1">IFERROR(__xludf.DUMMYFUNCTION("""COMPUTED_VALUE"""),0.545454545454545)</f>
        <v>0.54545454545454497</v>
      </c>
      <c r="U557" s="25">
        <f ca="1">IFERROR(__xludf.DUMMYFUNCTION("""COMPUTED_VALUE"""),0.625)</f>
        <v>0.625</v>
      </c>
      <c r="V557" s="25">
        <f ca="1">IFERROR(__xludf.DUMMYFUNCTION("""COMPUTED_VALUE"""),0)</f>
        <v>0</v>
      </c>
      <c r="W557" s="4"/>
      <c r="X557" s="4" t="str">
        <f ca="1">IFERROR(__xludf.DUMMYFUNCTION("""COMPUTED_VALUE"""),"| 1 P NS @ | 3 L CPT @ | 4 L JAVA @ ")</f>
        <v xml:space="preserve">| 1 P NS @ | 3 L CPT @ | 4 L JAVA @ </v>
      </c>
      <c r="Y557" s="4" t="str">
        <f ca="1">IFERROR(__xludf.DUMMYFUNCTION("""COMPUTED_VALUE"""),"| 1 P CPT % | 3 L JAVA % | 4 L NS % | 5 P PRO @ ")</f>
        <v xml:space="preserve">| 1 P CPT % | 3 L JAVA % | 4 L NS % | 5 P PRO @ </v>
      </c>
      <c r="Z557" s="4" t="str">
        <f ca="1">IFERROR(__xludf.DUMMYFUNCTION("""COMPUTED_VALUE"""),"| 3 L PHP-CGM % | 4 L NS % | 5 P Python % ")</f>
        <v xml:space="preserve">| 3 L PHP-CGM % | 4 L NS % | 5 P Python % </v>
      </c>
      <c r="AA557" s="4" t="str">
        <f ca="1">IFERROR(__xludf.DUMMYFUNCTION("""COMPUTED_VALUE"""),"| 1 P NS % | 3 L CPT % | 5 P JAVA % ")</f>
        <v xml:space="preserve">| 1 P NS % | 3 L CPT % | 5 P JAVA % </v>
      </c>
      <c r="AB557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7" s="4" t="str">
        <f ca="1">IFERROR(__xludf.DUMMYFUNCTION("""COMPUTED_VALUE"""),"| 1 P NS % | 3 L CPT % | 4 L JAVA % ")</f>
        <v xml:space="preserve">| 1 P NS % | 3 L CPT % | 4 L JAVA % </v>
      </c>
      <c r="AD557" s="4" t="str">
        <f ca="1">IFERROR(__xludf.DUMMYFUNCTION("""COMPUTED_VALUE"""),"| 1 P CPT % | 3 L JAVA % | 4 L NS % | 5 P PRO % ")</f>
        <v xml:space="preserve">| 1 P CPT % | 3 L JAVA % | 4 L NS % | 5 P PRO % </v>
      </c>
      <c r="AE557" s="4" t="str">
        <f ca="1">IFERROR(__xludf.DUMMYFUNCTION("""COMPUTED_VALUE"""),"| 1 P PHP-CGM % | 3 L PHP-CGM % | 4 L NS % ")</f>
        <v xml:space="preserve">| 1 P PHP-CGM % | 3 L PHP-CGM % | 4 L NS % </v>
      </c>
      <c r="AF557" s="4" t="str">
        <f ca="1">IFERROR(__xludf.DUMMYFUNCTION("""COMPUTED_VALUE"""),"| 1 P JAVA % | 3 L CPT % | 4 L PHP-CGM % | 5 P JAVA % ")</f>
        <v xml:space="preserve">| 1 P JAVA % | 3 L CPT % | 4 L PHP-CGM % | 5 P JAVA % </v>
      </c>
      <c r="AG557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57" s="4" t="str">
        <f ca="1">IFERROR(__xludf.DUMMYFUNCTION("""COMPUTED_VALUE"""),"| 1 P JAVA % | 3 L CPT @ | 4 L PHP-CGM % | 5 P JAVA @ ")</f>
        <v xml:space="preserve">| 1 P JAVA % | 3 L CPT @ | 4 L PHP-CGM % | 5 P JAVA @ </v>
      </c>
      <c r="AI557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57" s="4" t="str">
        <f ca="1">IFERROR(__xludf.DUMMYFUNCTION("""COMPUTED_VALUE"""),"| 1 P NS % | 3 L CPT % | 4 L JAVA % ")</f>
        <v xml:space="preserve">| 1 P NS % | 3 L CPT % | 4 L JAVA % </v>
      </c>
      <c r="AK557" s="4" t="str">
        <f ca="1">IFERROR(__xludf.DUMMYFUNCTION("""COMPUTED_VALUE"""),"| 1 P CPT % | 4 L NS % | 3 L JAVA % | 5 P PRO % ")</f>
        <v xml:space="preserve">| 1 P CPT % | 4 L NS % | 3 L JAVA % | 5 P PRO % </v>
      </c>
      <c r="AL557" s="4" t="str">
        <f ca="1">IFERROR(__xludf.DUMMYFUNCTION("""COMPUTED_VALUE"""),"| 1 P PHP-CGM % | 3 L PHP-CGM % | 4 L NS % | 5 P Python % ")</f>
        <v xml:space="preserve">| 1 P PHP-CGM % | 3 L PHP-CGM % | 4 L NS % | 5 P Python % </v>
      </c>
      <c r="AM557" s="4" t="str">
        <f ca="1">IFERROR(__xludf.DUMMYFUNCTION("""COMPUTED_VALUE"""),"| 1 P JAVA % | 3 L CPT % | 4 L PHP-CGM % | 5 P JAVA % ")</f>
        <v xml:space="preserve">| 1 P JAVA % | 3 L CPT % | 4 L PHP-CGM % | 5 P JAVA % </v>
      </c>
      <c r="AN557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57" s="4" t="str">
        <f ca="1">IFERROR(__xludf.DUMMYFUNCTION("""COMPUTED_VALUE"""),"| 1 P NS @ | 3 L CPT @ | 4 L JAVA @ | 5 L INE @ ")</f>
        <v xml:space="preserve">| 1 P NS @ | 3 L CPT @ | 4 L JAVA @ | 5 L INE @ </v>
      </c>
      <c r="AP557" s="4" t="str">
        <f ca="1">IFERROR(__xludf.DUMMYFUNCTION("""COMPUTED_VALUE"""),"| 1 P CPT % | 3 L JAVA % | 4 L NS % | 5 P PRO @ ")</f>
        <v xml:space="preserve">| 1 P CPT % | 3 L JAVA % | 4 L NS % | 5 P PRO @ </v>
      </c>
      <c r="AQ557" s="4" t="str">
        <f ca="1">IFERROR(__xludf.DUMMYFUNCTION("""COMPUTED_VALUE"""),"| 1 P PHP-CGM % | 3 L PHP-CGM % | 4 L NS % | 5 P Python % ")</f>
        <v xml:space="preserve">| 1 P PHP-CGM % | 3 L PHP-CGM % | 4 L NS % | 5 P Python % </v>
      </c>
      <c r="AR557" s="4" t="str">
        <f ca="1">IFERROR(__xludf.DUMMYFUNCTION("""COMPUTED_VALUE"""),"| 1 P JAVA % | 3 L CPT @ | 5 P JAVA @ ")</f>
        <v xml:space="preserve">| 1 P JAVA % | 3 L CPT @ | 5 P JAVA @ </v>
      </c>
      <c r="AS557" s="4" t="str">
        <f ca="1">IFERROR(__xludf.DUMMYFUNCTION("""COMPUTED_VALUE"""),"| 1 P NS % | 3 L CPT % | 4 L JAVA % | 5 L INE % ")</f>
        <v xml:space="preserve">| 1 P NS % | 3 L CPT % | 4 L JAVA % | 5 L INE % </v>
      </c>
      <c r="AT557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57" s="4" t="str">
        <f ca="1">IFERROR(__xludf.DUMMYFUNCTION("""COMPUTED_VALUE"""),"| 1 P PHP-CGM % | 3 L PHP-CGM % | 4 L NS % | 5 P Python % ")</f>
        <v xml:space="preserve">| 1 P PHP-CGM % | 3 L PHP-CGM % | 4 L NS % | 5 P Python % </v>
      </c>
      <c r="AV557" s="4" t="str">
        <f ca="1">IFERROR(__xludf.DUMMYFUNCTION("""COMPUTED_VALUE"""),"| 1 P JAVA % | 3 L CPT % | 4 L PHP-CGM % | 5 P JAVA @ ")</f>
        <v xml:space="preserve">| 1 P JAVA % | 3 L CPT % | 4 L PHP-CGM % | 5 P JAVA @ </v>
      </c>
      <c r="AW557" s="4" t="str">
        <f ca="1">IFERROR(__xludf.DUMMYFUNCTION("""COMPUTED_VALUE"""),"| 1 P Python % | 3 L PHP-CGM % | 4 L JAVA @ | 5 L NS % | 5 L CPT % ")</f>
        <v xml:space="preserve">| 1 P Python % | 3 L PHP-CGM % | 4 L JAVA @ | 5 L NS % | 5 L CPT % </v>
      </c>
      <c r="AX557" s="4" t="str">
        <f ca="1">IFERROR(__xludf.DUMMYFUNCTION("""COMPUTED_VALUE"""),"| 1 P NS % | 3 L CPT % | 4 L JAVA % | 5 L INE % ")</f>
        <v xml:space="preserve">| 1 P NS % | 3 L CPT % | 4 L JAVA % | 5 L INE % </v>
      </c>
      <c r="AY557" s="4" t="str">
        <f ca="1">IFERROR(__xludf.DUMMYFUNCTION("""COMPUTED_VALUE"""),"| 1 P CPT % | 3 L JAVA % | 4 L NS % | 5 P PRO @ ")</f>
        <v xml:space="preserve">| 1 P CPT % | 3 L JAVA % | 4 L NS % | 5 P PRO @ </v>
      </c>
      <c r="AZ557" s="4" t="str">
        <f ca="1">IFERROR(__xludf.DUMMYFUNCTION("""COMPUTED_VALUE"""),"| 1 P JAVA % | 3 L CPT % | 4 L PHP-CGM % | 5 P JAVA @ ")</f>
        <v xml:space="preserve">| 1 P JAVA % | 3 L CPT % | 4 L PHP-CGM % | 5 P JAVA @ </v>
      </c>
      <c r="BA557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57" s="4" t="str">
        <f ca="1">IFERROR(__xludf.DUMMYFUNCTION("""COMPUTED_VALUE"""),"| 1 P NS @ | 3 L CPT @ | 4 L JAVA @ | 5 L INE % ")</f>
        <v xml:space="preserve">| 1 P NS @ | 3 L CPT @ | 4 L JAVA @ | 5 L INE % </v>
      </c>
      <c r="BC557" s="4" t="str">
        <f ca="1">IFERROR(__xludf.DUMMYFUNCTION("""COMPUTED_VALUE"""),"| 1 P CPT % | 3 L JAVA % | 4 L NS % | 5 P PRO % ")</f>
        <v xml:space="preserve">| 1 P CPT % | 3 L JAVA % | 4 L NS % | 5 P PRO % </v>
      </c>
      <c r="BD557" s="4" t="str">
        <f ca="1">IFERROR(__xludf.DUMMYFUNCTION("""COMPUTED_VALUE"""),"| 1 P PHP-CGM % | 4 L NS %  | 3 L PHP-CGM % | 5 P Python @ ")</f>
        <v xml:space="preserve">| 1 P PHP-CGM % | 4 L NS %  | 3 L PHP-CGM % | 5 P Python @ </v>
      </c>
      <c r="BE557" s="4" t="str">
        <f ca="1">IFERROR(__xludf.DUMMYFUNCTION("""COMPUTED_VALUE"""),"| 1 P JAVA % | 3 L CPT % | 4 L PHP-CGM % | 5 P JAVA % ")</f>
        <v xml:space="preserve">| 1 P JAVA % | 3 L CPT % | 4 L PHP-CGM % | 5 P JAVA % </v>
      </c>
      <c r="BF557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57" s="4" t="str">
        <f ca="1">IFERROR(__xludf.DUMMYFUNCTION("""COMPUTED_VALUE"""),"| 3 L JAVA % | 4 L NS % | 5 P PRO % ")</f>
        <v xml:space="preserve">| 3 L JAVA % | 4 L NS % | 5 P PRO % </v>
      </c>
      <c r="BH557" s="4" t="str">
        <f ca="1">IFERROR(__xludf.DUMMYFUNCTION("""COMPUTED_VALUE"""),"| 1 P PHP-CGM % | 3 L PHP-CGM % | 4 L NS % | 5 P Python % ")</f>
        <v xml:space="preserve">| 1 P PHP-CGM % | 3 L PHP-CGM % | 4 L NS % | 5 P Python % </v>
      </c>
      <c r="BI557" s="4" t="str">
        <f ca="1">IFERROR(__xludf.DUMMYFUNCTION("""COMPUTED_VALUE"""),"| 1 P JAVA % | 3 L CPT % | 4 L PHP-CGM % | 5 P JAVA @ ")</f>
        <v xml:space="preserve">| 1 P JAVA % | 3 L CPT % | 4 L PHP-CGM % | 5 P JAVA @ </v>
      </c>
      <c r="BJ557" s="4" t="str">
        <f ca="1">IFERROR(__xludf.DUMMYFUNCTION("""COMPUTED_VALUE"""),"| 1 P Python @ | 3 L PHP-CGM @ | 4 L JAVA @ | 5 L NS % | 6 L CPT % ")</f>
        <v xml:space="preserve">| 1 P Python @ | 3 L PHP-CGM @ | 4 L JAVA @ | 5 L NS % | 6 L CPT % </v>
      </c>
      <c r="BK557" s="4" t="str">
        <f ca="1">IFERROR(__xludf.DUMMYFUNCTION("""COMPUTED_VALUE"""),"| 1 P NS @ | 3 L CPT @ | 4 L JAVA @ | 5 L INE @ ")</f>
        <v xml:space="preserve">| 1 P NS @ | 3 L CPT @ | 4 L JAVA @ | 5 L INE @ </v>
      </c>
      <c r="BL557" s="4" t="str">
        <f ca="1">IFERROR(__xludf.DUMMYFUNCTION("""COMPUTED_VALUE"""),"| 1 P CPT % | 3 L JAVA % | 4 L NS @ | 5 P PRO @ ")</f>
        <v xml:space="preserve">| 1 P CPT % | 3 L JAVA % | 4 L NS @ | 5 P PRO @ </v>
      </c>
      <c r="BM557" s="4" t="str">
        <f ca="1">IFERROR(__xludf.DUMMYFUNCTION("""COMPUTED_VALUE"""),"| 1 P PHP-CGM @ | 3 L PHP-CGM @ | 4 L NS @ | 5 P Python @ ")</f>
        <v xml:space="preserve">| 1 P PHP-CGM @ | 3 L PHP-CGM @ | 4 L NS @ | 5 P Python @ </v>
      </c>
      <c r="BN557" s="4" t="str">
        <f ca="1">IFERROR(__xludf.DUMMYFUNCTION("""COMPUTED_VALUE"""),"| 1 P JAVA @ | 3 L CPT @ | 4 L PHP-CGM @ ")</f>
        <v xml:space="preserve">| 1 P JAVA @ | 3 L CPT @ | 4 L PHP-CGM @ </v>
      </c>
      <c r="BO557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7" s="4" t="str">
        <f ca="1">IFERROR(__xludf.DUMMYFUNCTION("""COMPUTED_VALUE"""),"| 1 P NS @ | 3 L CPT @ | 4 L JAVA @ | 5 L INE @ ")</f>
        <v xml:space="preserve">| 1 P NS @ | 3 L CPT @ | 4 L JAVA @ | 5 L INE @ </v>
      </c>
      <c r="BQ557" s="4" t="str">
        <f ca="1">IFERROR(__xludf.DUMMYFUNCTION("""COMPUTED_VALUE"""),"| 4 L NS % ")</f>
        <v xml:space="preserve">| 4 L NS % </v>
      </c>
      <c r="BR557" s="4"/>
      <c r="BS557" s="4"/>
      <c r="BT557" s="4" t="str">
        <f ca="1">IFERROR(__xludf.DUMMYFUNCTION("""COMPUTED_VALUE"""),"| 1 P NS @ | 3 L CPT @ | 4 L JAVA @ ")</f>
        <v xml:space="preserve">| 1 P NS @ | 3 L CPT @ | 4 L JAVA @ </v>
      </c>
      <c r="BU557" s="4" t="str">
        <f ca="1">IFERROR(__xludf.DUMMYFUNCTION("""COMPUTED_VALUE"""),"| 1 P CPT @ | 4 L NS @ | 3 L JAVA @ ")</f>
        <v xml:space="preserve">| 1 P CPT @ | 4 L NS @ | 3 L JAVA @ </v>
      </c>
      <c r="BV557" s="4" t="str">
        <f ca="1">IFERROR(__xludf.DUMMYFUNCTION("""COMPUTED_VALUE"""),"| 1 P NS @ | 3 L CPT @ | 4 L JAVA @ ")</f>
        <v xml:space="preserve">| 1 P NS @ | 3 L CPT @ | 4 L JAVA @ </v>
      </c>
      <c r="BW557" s="4" t="str">
        <f ca="1">IFERROR(__xludf.DUMMYFUNCTION("""COMPUTED_VALUE"""),"| 1 P CPT @ | 3 L JAVA @ | 4 L NS @ ")</f>
        <v xml:space="preserve">| 1 P CPT @ | 3 L JAVA @ | 4 L NS @ </v>
      </c>
      <c r="BX557" s="4" t="str">
        <f ca="1">IFERROR(__xludf.DUMMYFUNCTION("""COMPUTED_VALUE"""),"| 1 P PHP-CGM @ | 3 L PHP-CGM @ | 4 L NS @ | 5 P Python @ ")</f>
        <v xml:space="preserve">| 1 P PHP-CGM @ | 3 L PHP-CGM @ | 4 L NS @ | 5 P Python @ </v>
      </c>
      <c r="BY557" s="4" t="str">
        <f ca="1">IFERROR(__xludf.DUMMYFUNCTION("""COMPUTED_VALUE"""),"| 1 P JAVA @ | 3 L CPT @ | 4 L PHP-CGM @ | 5 P JAVA % ")</f>
        <v xml:space="preserve">| 1 P JAVA @ | 3 L CPT @ | 4 L PHP-CGM @ | 5 P JAVA % </v>
      </c>
      <c r="BZ557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CA557" s="4" t="str">
        <f ca="1">IFERROR(__xludf.DUMMYFUNCTION("""COMPUTED_VALUE"""),"| 1 P NS @ | 3 L CPT % | 4 L JAVA % | 5 L INE % ")</f>
        <v xml:space="preserve">| 1 P NS @ | 3 L CPT % | 4 L JAVA % | 5 L INE % </v>
      </c>
      <c r="CB557" s="4" t="str">
        <f ca="1">IFERROR(__xludf.DUMMYFUNCTION("""COMPUTED_VALUE"""),"| 1 P CPT % | 3 L JAVA % | 4 L NS % | 5 P PRO @ ")</f>
        <v xml:space="preserve">| 1 P CPT % | 3 L JAVA % | 4 L NS % | 5 P PRO @ </v>
      </c>
      <c r="CC557" s="4" t="str">
        <f ca="1">IFERROR(__xludf.DUMMYFUNCTION("""COMPUTED_VALUE"""),"| 1 P PHP-CGM % | 3 L PHP-CGM @ | 4 L NS @ | 5 P Python @ ")</f>
        <v xml:space="preserve">| 1 P PHP-CGM % | 3 L PHP-CGM @ | 4 L NS @ | 5 P Python @ </v>
      </c>
      <c r="CD557" s="4" t="str">
        <f ca="1">IFERROR(__xludf.DUMMYFUNCTION("""COMPUTED_VALUE"""),"| 1 P JAVA % | 3 L CPT % | 4 L PHP-CGM @ ")</f>
        <v xml:space="preserve">| 1 P JAVA % | 3 L CPT % | 4 L PHP-CGM @ </v>
      </c>
      <c r="CE557" s="4" t="str">
        <f ca="1">IFERROR(__xludf.DUMMYFUNCTION("""COMPUTED_VALUE"""),"| 1 P Python @ | 3 L PHP-CGM @ | 4 L JAVA @ | 5 L NS % | 6 L CPT % ")</f>
        <v xml:space="preserve">| 1 P Python @ | 3 L PHP-CGM @ | 4 L JAVA @ | 5 L NS % | 6 L CPT % </v>
      </c>
      <c r="CF557" s="4" t="str">
        <f ca="1">IFERROR(__xludf.DUMMYFUNCTION("""COMPUTED_VALUE"""),"| 1 P NS % | 3 L CPT % | 4 L JAVA % | 5 L INE % ")</f>
        <v xml:space="preserve">| 1 P NS % | 3 L CPT % | 4 L JAVA % | 5 L INE % </v>
      </c>
      <c r="CG557" s="4" t="str">
        <f ca="1">IFERROR(__xludf.DUMMYFUNCTION("""COMPUTED_VALUE"""),"| 1 P CPT % | 4 L NS @ ")</f>
        <v xml:space="preserve">| 1 P CPT % | 4 L NS @ </v>
      </c>
      <c r="CH557" s="4" t="str">
        <f ca="1">IFERROR(__xludf.DUMMYFUNCTION("""COMPUTED_VALUE"""),"| 1 P PHP-CGM % | 3 L PHP-CGM % | 4 L NS % ")</f>
        <v xml:space="preserve">| 1 P PHP-CGM % | 3 L PHP-CGM % | 4 L NS % </v>
      </c>
      <c r="CI557" s="4"/>
      <c r="CJ557" s="4" t="str">
        <f ca="1">IFERROR(__xludf.DUMMYFUNCTION("""COMPUTED_VALUE"""),"| 4 L JAVA % ")</f>
        <v xml:space="preserve">| 4 L JAVA % </v>
      </c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</row>
    <row r="558" spans="1:102" ht="12.5" x14ac:dyDescent="0.25">
      <c r="A558" s="3">
        <f ca="1">IFERROR(__xludf.DUMMYFUNCTION("""COMPUTED_VALUE"""),4)</f>
        <v>4</v>
      </c>
      <c r="B558" s="3" t="str">
        <f ca="1">IFERROR(__xludf.DUMMYFUNCTION("""COMPUTED_VALUE"""),"ITC")</f>
        <v>ITC</v>
      </c>
      <c r="C558" s="32" t="str">
        <f ca="1">IFERROR(__xludf.DUMMYFUNCTION("""COMPUTED_VALUE"""),"23171371157")</f>
        <v>23171371157</v>
      </c>
      <c r="D558" s="4" t="str">
        <f ca="1">IFERROR(__xludf.DUMMYFUNCTION("""COMPUTED_VALUE"""),"SONI PURVANSHUKUMAR KETANKUMAR")</f>
        <v>SONI PURVANSHUKUMAR KETANKUMAR</v>
      </c>
      <c r="E558" s="3" t="str">
        <f ca="1">IFERROR(__xludf.DUMMYFUNCTION("""COMPUTED_VALUE"""),"SDP&amp;KKP - Mor")</f>
        <v>SDP&amp;KKP - Mor</v>
      </c>
      <c r="F558" s="3">
        <f ca="1">IFERROR(__xludf.DUMMYFUNCTION("""COMPUTED_VALUE"""),9265881903)</f>
        <v>9265881903</v>
      </c>
      <c r="G558" s="3">
        <f ca="1">IFERROR(__xludf.DUMMYFUNCTION("""COMPUTED_VALUE"""),9624269116)</f>
        <v>9624269116</v>
      </c>
      <c r="H558" s="33">
        <f ca="1">IFERROR(__xludf.DUMMYFUNCTION("""COMPUTED_VALUE"""),0.658227848101265)</f>
        <v>0.658227848101265</v>
      </c>
      <c r="I558" s="25">
        <f ca="1">IFERROR(__xludf.DUMMYFUNCTION("""COMPUTED_VALUE"""),0.722222222222222)</f>
        <v>0.72222222222222199</v>
      </c>
      <c r="J558" s="25">
        <f ca="1">IFERROR(__xludf.DUMMYFUNCTION("""COMPUTED_VALUE"""),0.666666666666666)</f>
        <v>0.66666666666666596</v>
      </c>
      <c r="K558" s="25">
        <f ca="1">IFERROR(__xludf.DUMMYFUNCTION("""COMPUTED_VALUE"""),0.75)</f>
        <v>0.75</v>
      </c>
      <c r="L558" s="25">
        <f ca="1">IFERROR(__xludf.DUMMYFUNCTION("""COMPUTED_VALUE"""),0.642857142857142)</f>
        <v>0.64285714285714202</v>
      </c>
      <c r="M558" s="25">
        <f ca="1">IFERROR(__xludf.DUMMYFUNCTION("""COMPUTED_VALUE"""),0.6875)</f>
        <v>0.6875</v>
      </c>
      <c r="N558" s="25">
        <f ca="1">IFERROR(__xludf.DUMMYFUNCTION("""COMPUTED_VALUE"""),0.6)</f>
        <v>0.6</v>
      </c>
      <c r="O558" s="25">
        <f ca="1">IFERROR(__xludf.DUMMYFUNCTION("""COMPUTED_VALUE"""),0.621621621621621)</f>
        <v>0.62162162162162105</v>
      </c>
      <c r="P558" s="25">
        <f ca="1">IFERROR(__xludf.DUMMYFUNCTION("""COMPUTED_VALUE"""),0.454545454545454)</f>
        <v>0.45454545454545398</v>
      </c>
      <c r="Q558" s="25">
        <f ca="1">IFERROR(__xludf.DUMMYFUNCTION("""COMPUTED_VALUE"""),0)</f>
        <v>0</v>
      </c>
      <c r="R558" s="25">
        <f ca="1">IFERROR(__xludf.DUMMYFUNCTION("""COMPUTED_VALUE"""),0.631578947368421)</f>
        <v>0.63157894736842102</v>
      </c>
      <c r="S558" s="25">
        <f ca="1">IFERROR(__xludf.DUMMYFUNCTION("""COMPUTED_VALUE"""),0)</f>
        <v>0</v>
      </c>
      <c r="T558" s="25">
        <f ca="1">IFERROR(__xludf.DUMMYFUNCTION("""COMPUTED_VALUE"""),0.727272727272727)</f>
        <v>0.72727272727272696</v>
      </c>
      <c r="U558" s="25">
        <f ca="1">IFERROR(__xludf.DUMMYFUNCTION("""COMPUTED_VALUE"""),0.625)</f>
        <v>0.625</v>
      </c>
      <c r="V558" s="25">
        <f ca="1">IFERROR(__xludf.DUMMYFUNCTION("""COMPUTED_VALUE"""),0)</f>
        <v>0</v>
      </c>
      <c r="W558" s="4"/>
      <c r="X558" s="4" t="str">
        <f ca="1">IFERROR(__xludf.DUMMYFUNCTION("""COMPUTED_VALUE"""),"| 1 P NS % | 3 L CPT % | 4 L JAVA % ")</f>
        <v xml:space="preserve">| 1 P NS % | 3 L CPT % | 4 L JAVA % </v>
      </c>
      <c r="Y558" s="4" t="str">
        <f ca="1">IFERROR(__xludf.DUMMYFUNCTION("""COMPUTED_VALUE"""),"| 1 P CPT @ | 3 L JAVA @ | 4 L NS @ | 5 P PRO @ ")</f>
        <v xml:space="preserve">| 1 P CPT @ | 3 L JAVA @ | 4 L NS @ | 5 P PRO @ </v>
      </c>
      <c r="Z558" s="4" t="str">
        <f ca="1">IFERROR(__xludf.DUMMYFUNCTION("""COMPUTED_VALUE"""),"| 3 L PHP-CGM % | 4 L NS % | 5 P Python % ")</f>
        <v xml:space="preserve">| 3 L PHP-CGM % | 4 L NS % | 5 P Python % </v>
      </c>
      <c r="AA558" s="4" t="str">
        <f ca="1">IFERROR(__xludf.DUMMYFUNCTION("""COMPUTED_VALUE"""),"| 1 P NS % | 3 L CPT % | 5 P JAVA % ")</f>
        <v xml:space="preserve">| 1 P NS % | 3 L CPT % | 5 P JAVA % </v>
      </c>
      <c r="AB558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8" s="4" t="str">
        <f ca="1">IFERROR(__xludf.DUMMYFUNCTION("""COMPUTED_VALUE"""),"| 1 P NS % | 3 L CPT % | 4 L JAVA % ")</f>
        <v xml:space="preserve">| 1 P NS % | 3 L CPT % | 4 L JAVA % </v>
      </c>
      <c r="AD558" s="4" t="str">
        <f ca="1">IFERROR(__xludf.DUMMYFUNCTION("""COMPUTED_VALUE"""),"| 1 P CPT @ | 3 L JAVA % | 4 L NS % | 5 P PRO % ")</f>
        <v xml:space="preserve">| 1 P CPT @ | 3 L JAVA % | 4 L NS % | 5 P PRO % </v>
      </c>
      <c r="AE558" s="4" t="str">
        <f ca="1">IFERROR(__xludf.DUMMYFUNCTION("""COMPUTED_VALUE"""),"| 1 P PHP-CGM @ | 3 L PHP-CGM % | 4 L NS % ")</f>
        <v xml:space="preserve">| 1 P PHP-CGM @ | 3 L PHP-CGM % | 4 L NS % </v>
      </c>
      <c r="AF558" s="4" t="str">
        <f ca="1">IFERROR(__xludf.DUMMYFUNCTION("""COMPUTED_VALUE"""),"| 1 P JAVA % | 3 L CPT % | 4 L PHP-CGM % | 5 P JAVA @ ")</f>
        <v xml:space="preserve">| 1 P JAVA % | 3 L CPT % | 4 L PHP-CGM % | 5 P JAVA @ </v>
      </c>
      <c r="AG558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58" s="4" t="str">
        <f ca="1">IFERROR(__xludf.DUMMYFUNCTION("""COMPUTED_VALUE"""),"| 1 P JAVA @ | 3 L CPT % | 4 L PHP-CGM @ | 5 P JAVA @ ")</f>
        <v xml:space="preserve">| 1 P JAVA @ | 3 L CPT % | 4 L PHP-CGM @ | 5 P JAVA @ </v>
      </c>
      <c r="AI558" s="4" t="str">
        <f ca="1">IFERROR(__xludf.DUMMYFUNCTION("""COMPUTED_VALUE"""),"| 1 P Python % | 3 L PHP-CGM @ | 4 L JAVA @ | 5 L CPT % | 6 L NS % ")</f>
        <v xml:space="preserve">| 1 P Python % | 3 L PHP-CGM @ | 4 L JAVA @ | 5 L CPT % | 6 L NS % </v>
      </c>
      <c r="AJ558" s="4" t="str">
        <f ca="1">IFERROR(__xludf.DUMMYFUNCTION("""COMPUTED_VALUE"""),"| 1 P NS % | 3 L CPT % | 4 L JAVA @ ")</f>
        <v xml:space="preserve">| 1 P NS % | 3 L CPT % | 4 L JAVA @ </v>
      </c>
      <c r="AK558" s="4" t="str">
        <f ca="1">IFERROR(__xludf.DUMMYFUNCTION("""COMPUTED_VALUE"""),"| 1 P CPT % | 4 L NS % | 3 L JAVA % | 5 P PRO % ")</f>
        <v xml:space="preserve">| 1 P CPT % | 4 L NS % | 3 L JAVA % | 5 P PRO % </v>
      </c>
      <c r="AL558" s="4" t="str">
        <f ca="1">IFERROR(__xludf.DUMMYFUNCTION("""COMPUTED_VALUE"""),"| 1 P PHP-CGM % | 3 L PHP-CGM % | 4 L NS % | 5 P Python % ")</f>
        <v xml:space="preserve">| 1 P PHP-CGM % | 3 L PHP-CGM % | 4 L NS % | 5 P Python % </v>
      </c>
      <c r="AM558" s="4" t="str">
        <f ca="1">IFERROR(__xludf.DUMMYFUNCTION("""COMPUTED_VALUE"""),"| 1 P JAVA % | 3 L CPT % | 4 L PHP-CGM % | 5 P JAVA % ")</f>
        <v xml:space="preserve">| 1 P JAVA % | 3 L CPT % | 4 L PHP-CGM % | 5 P JAVA % </v>
      </c>
      <c r="AN558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58" s="4" t="str">
        <f ca="1">IFERROR(__xludf.DUMMYFUNCTION("""COMPUTED_VALUE"""),"| 1 P NS @ | 3 L CPT @ | 4 L JAVA @ | 5 L INE @ ")</f>
        <v xml:space="preserve">| 1 P NS @ | 3 L CPT @ | 4 L JAVA @ | 5 L INE @ </v>
      </c>
      <c r="AP558" s="4" t="str">
        <f ca="1">IFERROR(__xludf.DUMMYFUNCTION("""COMPUTED_VALUE"""),"| 1 P CPT % | 3 L JAVA % | 4 L NS % | 5 P PRO % ")</f>
        <v xml:space="preserve">| 1 P CPT % | 3 L JAVA % | 4 L NS % | 5 P PRO % </v>
      </c>
      <c r="AQ558" s="4" t="str">
        <f ca="1">IFERROR(__xludf.DUMMYFUNCTION("""COMPUTED_VALUE"""),"| 1 P PHP-CGM % | 3 L PHP-CGM % | 4 L NS % | 5 P Python % ")</f>
        <v xml:space="preserve">| 1 P PHP-CGM % | 3 L PHP-CGM % | 4 L NS % | 5 P Python % </v>
      </c>
      <c r="AR558" s="4" t="str">
        <f ca="1">IFERROR(__xludf.DUMMYFUNCTION("""COMPUTED_VALUE"""),"| 1 P JAVA @ | 3 L CPT @ | 5 P JAVA @ ")</f>
        <v xml:space="preserve">| 1 P JAVA @ | 3 L CPT @ | 5 P JAVA @ </v>
      </c>
      <c r="AS558" s="4" t="str">
        <f ca="1">IFERROR(__xludf.DUMMYFUNCTION("""COMPUTED_VALUE"""),"| 1 P NS % | 3 L CPT % | 4 L JAVA % | 5 L INE @ ")</f>
        <v xml:space="preserve">| 1 P NS % | 3 L CPT % | 4 L JAVA % | 5 L INE @ </v>
      </c>
      <c r="AT558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58" s="4" t="str">
        <f ca="1">IFERROR(__xludf.DUMMYFUNCTION("""COMPUTED_VALUE"""),"| 1 P PHP-CGM @ | 3 L PHP-CGM % | 4 L NS % | 5 P Python % ")</f>
        <v xml:space="preserve">| 1 P PHP-CGM @ | 3 L PHP-CGM % | 4 L NS % | 5 P Python % </v>
      </c>
      <c r="AV558" s="4" t="str">
        <f ca="1">IFERROR(__xludf.DUMMYFUNCTION("""COMPUTED_VALUE"""),"| 1 P JAVA @ | 3 L CPT @ | 4 L PHP-CGM @ | 5 P JAVA @ ")</f>
        <v xml:space="preserve">| 1 P JAVA @ | 3 L CPT @ | 4 L PHP-CGM @ | 5 P JAVA @ </v>
      </c>
      <c r="AW558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58" s="4" t="str">
        <f ca="1">IFERROR(__xludf.DUMMYFUNCTION("""COMPUTED_VALUE"""),"| 1 P NS @ | 3 L CPT % | 4 L JAVA @ | 5 L INE % ")</f>
        <v xml:space="preserve">| 1 P NS @ | 3 L CPT % | 4 L JAVA @ | 5 L INE % </v>
      </c>
      <c r="AY558" s="4" t="str">
        <f ca="1">IFERROR(__xludf.DUMMYFUNCTION("""COMPUTED_VALUE"""),"| 1 P CPT @ | 3 L JAVA % | 4 L NS % | 5 P PRO % ")</f>
        <v xml:space="preserve">| 1 P CPT @ | 3 L JAVA % | 4 L NS % | 5 P PRO % </v>
      </c>
      <c r="AZ558" s="4" t="str">
        <f ca="1">IFERROR(__xludf.DUMMYFUNCTION("""COMPUTED_VALUE"""),"| 1 P JAVA % | 3 L CPT % | 4 L PHP-CGM % | 5 P JAVA % ")</f>
        <v xml:space="preserve">| 1 P JAVA % | 3 L CPT % | 4 L PHP-CGM % | 5 P JAVA % </v>
      </c>
      <c r="BA558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58" s="4" t="str">
        <f ca="1">IFERROR(__xludf.DUMMYFUNCTION("""COMPUTED_VALUE"""),"| 1 P NS % | 3 L CPT % | 4 L JAVA % | 5 L INE % ")</f>
        <v xml:space="preserve">| 1 P NS % | 3 L CPT % | 4 L JAVA % | 5 L INE % </v>
      </c>
      <c r="BC558" s="4" t="str">
        <f ca="1">IFERROR(__xludf.DUMMYFUNCTION("""COMPUTED_VALUE"""),"| 1 P CPT % | 3 L JAVA % | 4 L NS % | 5 P PRO % ")</f>
        <v xml:space="preserve">| 1 P CPT % | 3 L JAVA % | 4 L NS % | 5 P PRO % </v>
      </c>
      <c r="BD558" s="4" t="str">
        <f ca="1">IFERROR(__xludf.DUMMYFUNCTION("""COMPUTED_VALUE"""),"| 1 P PHP-CGM % | 4 L NS %  | 3 L PHP-CGM % | 5 P Python @ ")</f>
        <v xml:space="preserve">| 1 P PHP-CGM % | 4 L NS %  | 3 L PHP-CGM % | 5 P Python @ </v>
      </c>
      <c r="BE558" s="4" t="str">
        <f ca="1">IFERROR(__xludf.DUMMYFUNCTION("""COMPUTED_VALUE"""),"| 1 P JAVA @ | 3 L CPT % | 4 L PHP-CGM % | 5 P JAVA % ")</f>
        <v xml:space="preserve">| 1 P JAVA @ | 3 L CPT % | 4 L PHP-CGM % | 5 P JAVA % </v>
      </c>
      <c r="BF558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58" s="4" t="str">
        <f ca="1">IFERROR(__xludf.DUMMYFUNCTION("""COMPUTED_VALUE"""),"| 3 L JAVA % | 4 L NS % | 5 P PRO % ")</f>
        <v xml:space="preserve">| 3 L JAVA % | 4 L NS % | 5 P PRO % </v>
      </c>
      <c r="BH558" s="4" t="str">
        <f ca="1">IFERROR(__xludf.DUMMYFUNCTION("""COMPUTED_VALUE"""),"| 1 P PHP-CGM % | 3 L PHP-CGM % | 4 L NS % | 5 P Python % ")</f>
        <v xml:space="preserve">| 1 P PHP-CGM % | 3 L PHP-CGM % | 4 L NS % | 5 P Python % </v>
      </c>
      <c r="BI558" s="4" t="str">
        <f ca="1">IFERROR(__xludf.DUMMYFUNCTION("""COMPUTED_VALUE"""),"| 1 P JAVA % | 3 L CPT % | 4 L PHP-CGM % | 5 P JAVA @ ")</f>
        <v xml:space="preserve">| 1 P JAVA % | 3 L CPT % | 4 L PHP-CGM % | 5 P JAVA @ </v>
      </c>
      <c r="BJ558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58" s="4" t="str">
        <f ca="1">IFERROR(__xludf.DUMMYFUNCTION("""COMPUTED_VALUE"""),"| 1 P NS @ | 3 L CPT @ | 4 L JAVA @ | 5 L INE @ ")</f>
        <v xml:space="preserve">| 1 P NS @ | 3 L CPT @ | 4 L JAVA @ | 5 L INE @ </v>
      </c>
      <c r="BL558" s="4" t="str">
        <f ca="1">IFERROR(__xludf.DUMMYFUNCTION("""COMPUTED_VALUE"""),"| 1 P CPT @ | 3 L JAVA @ | 4 L NS @ | 5 P PRO @ ")</f>
        <v xml:space="preserve">| 1 P CPT @ | 3 L JAVA @ | 4 L NS @ | 5 P PRO @ </v>
      </c>
      <c r="BM558" s="4" t="str">
        <f ca="1">IFERROR(__xludf.DUMMYFUNCTION("""COMPUTED_VALUE"""),"| 1 P PHP-CGM @ | 3 L PHP-CGM % | 4 L NS % | 5 P Python % ")</f>
        <v xml:space="preserve">| 1 P PHP-CGM @ | 3 L PHP-CGM % | 4 L NS % | 5 P Python % </v>
      </c>
      <c r="BN558" s="4" t="str">
        <f ca="1">IFERROR(__xludf.DUMMYFUNCTION("""COMPUTED_VALUE"""),"| 1 P JAVA @ | 3 L CPT @ | 4 L PHP-CGM @ ")</f>
        <v xml:space="preserve">| 1 P JAVA @ | 3 L CPT @ | 4 L PHP-CGM @ </v>
      </c>
      <c r="BO558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8" s="4" t="str">
        <f ca="1">IFERROR(__xludf.DUMMYFUNCTION("""COMPUTED_VALUE"""),"| 1 P NS @ | 3 L CPT % | 4 L JAVA % | 5 L INE % ")</f>
        <v xml:space="preserve">| 1 P NS @ | 3 L CPT % | 4 L JAVA % | 5 L INE % </v>
      </c>
      <c r="BQ558" s="4" t="str">
        <f ca="1">IFERROR(__xludf.DUMMYFUNCTION("""COMPUTED_VALUE"""),"| 4 L NS % ")</f>
        <v xml:space="preserve">| 4 L NS % </v>
      </c>
      <c r="BR558" s="4"/>
      <c r="BS558" s="4"/>
      <c r="BT558" s="4" t="str">
        <f ca="1">IFERROR(__xludf.DUMMYFUNCTION("""COMPUTED_VALUE"""),"| 1 P NS % | 3 L CPT % | 4 L JAVA % ")</f>
        <v xml:space="preserve">| 1 P NS % | 3 L CPT % | 4 L JAVA % </v>
      </c>
      <c r="BU558" s="4" t="str">
        <f ca="1">IFERROR(__xludf.DUMMYFUNCTION("""COMPUTED_VALUE"""),"| 1 P CPT % | 4 L NS % | 3 L JAVA % ")</f>
        <v xml:space="preserve">| 1 P CPT % | 4 L NS % | 3 L JAVA % </v>
      </c>
      <c r="BV558" s="4" t="str">
        <f ca="1">IFERROR(__xludf.DUMMYFUNCTION("""COMPUTED_VALUE"""),"| 1 P NS % | 3 L CPT % | 4 L JAVA @ ")</f>
        <v xml:space="preserve">| 1 P NS % | 3 L CPT % | 4 L JAVA @ </v>
      </c>
      <c r="BW558" s="4" t="str">
        <f ca="1">IFERROR(__xludf.DUMMYFUNCTION("""COMPUTED_VALUE"""),"| 1 P CPT % | 3 L JAVA % | 4 L NS % ")</f>
        <v xml:space="preserve">| 1 P CPT % | 3 L JAVA % | 4 L NS % </v>
      </c>
      <c r="BX558" s="4" t="str">
        <f ca="1">IFERROR(__xludf.DUMMYFUNCTION("""COMPUTED_VALUE"""),"| 1 P PHP-CGM % | 3 L PHP-CGM % | 4 L NS % | 5 P Python % ")</f>
        <v xml:space="preserve">| 1 P PHP-CGM % | 3 L PHP-CGM % | 4 L NS % | 5 P Python % </v>
      </c>
      <c r="BY558" s="4" t="str">
        <f ca="1">IFERROR(__xludf.DUMMYFUNCTION("""COMPUTED_VALUE"""),"| 1 P JAVA % | 3 L CPT % | 4 L PHP-CGM % | 5 P JAVA @ ")</f>
        <v xml:space="preserve">| 1 P JAVA % | 3 L CPT % | 4 L PHP-CGM % | 5 P JAVA @ </v>
      </c>
      <c r="BZ558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CA558" s="4" t="str">
        <f ca="1">IFERROR(__xludf.DUMMYFUNCTION("""COMPUTED_VALUE"""),"| 1 P NS @ | 3 L CPT @ | 4 L JAVA @ | 5 L INE % ")</f>
        <v xml:space="preserve">| 1 P NS @ | 3 L CPT @ | 4 L JAVA @ | 5 L INE % </v>
      </c>
      <c r="CB558" s="4" t="str">
        <f ca="1">IFERROR(__xludf.DUMMYFUNCTION("""COMPUTED_VALUE"""),"| 1 P CPT % | 3 L JAVA % | 4 L NS % | 5 P PRO @ ")</f>
        <v xml:space="preserve">| 1 P CPT % | 3 L JAVA % | 4 L NS % | 5 P PRO @ </v>
      </c>
      <c r="CC558" s="4" t="str">
        <f ca="1">IFERROR(__xludf.DUMMYFUNCTION("""COMPUTED_VALUE"""),"| 1 P PHP-CGM @ | 3 L PHP-CGM @ | 4 L NS @ | 5 P Python @ ")</f>
        <v xml:space="preserve">| 1 P PHP-CGM @ | 3 L PHP-CGM @ | 4 L NS @ | 5 P Python @ </v>
      </c>
      <c r="CD558" s="4" t="str">
        <f ca="1">IFERROR(__xludf.DUMMYFUNCTION("""COMPUTED_VALUE"""),"| 1 P JAVA % | 3 L CPT % | 4 L PHP-CGM % ")</f>
        <v xml:space="preserve">| 1 P JAVA % | 3 L CPT % | 4 L PHP-CGM % </v>
      </c>
      <c r="CE558" s="4" t="str">
        <f ca="1">IFERROR(__xludf.DUMMYFUNCTION("""COMPUTED_VALUE"""),"| 1 P Python @ | 3 L PHP-CGM @ | 4 L JAVA @ | 5 L NS % | 6 L CPT % ")</f>
        <v xml:space="preserve">| 1 P Python @ | 3 L PHP-CGM @ | 4 L JAVA @ | 5 L NS % | 6 L CPT % </v>
      </c>
      <c r="CF558" s="4" t="str">
        <f ca="1">IFERROR(__xludf.DUMMYFUNCTION("""COMPUTED_VALUE"""),"| 1 P NS % | 3 L CPT % | 4 L JAVA % | 5 L INE % ")</f>
        <v xml:space="preserve">| 1 P NS % | 3 L CPT % | 4 L JAVA % | 5 L INE % </v>
      </c>
      <c r="CG558" s="4" t="str">
        <f ca="1">IFERROR(__xludf.DUMMYFUNCTION("""COMPUTED_VALUE"""),"| 1 P CPT % | 4 L NS @ ")</f>
        <v xml:space="preserve">| 1 P CPT % | 4 L NS @ </v>
      </c>
      <c r="CH558" s="4" t="str">
        <f ca="1">IFERROR(__xludf.DUMMYFUNCTION("""COMPUTED_VALUE"""),"| 1 P PHP-CGM % | 3 L PHP-CGM % | 4 L NS % ")</f>
        <v xml:space="preserve">| 1 P PHP-CGM % | 3 L PHP-CGM % | 4 L NS % </v>
      </c>
      <c r="CI558" s="4"/>
      <c r="CJ558" s="4" t="str">
        <f ca="1">IFERROR(__xludf.DUMMYFUNCTION("""COMPUTED_VALUE"""),"| 4 L JAVA % ")</f>
        <v xml:space="preserve">| 4 L JAVA % </v>
      </c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</row>
    <row r="559" spans="1:102" ht="12.5" x14ac:dyDescent="0.25">
      <c r="A559" s="3">
        <f ca="1">IFERROR(__xludf.DUMMYFUNCTION("""COMPUTED_VALUE"""),4)</f>
        <v>4</v>
      </c>
      <c r="B559" s="3" t="str">
        <f ca="1">IFERROR(__xludf.DUMMYFUNCTION("""COMPUTED_VALUE"""),"ITC")</f>
        <v>ITC</v>
      </c>
      <c r="C559" s="32" t="str">
        <f ca="1">IFERROR(__xludf.DUMMYFUNCTION("""COMPUTED_VALUE"""),"23171371159")</f>
        <v>23171371159</v>
      </c>
      <c r="D559" s="4" t="str">
        <f ca="1">IFERROR(__xludf.DUMMYFUNCTION("""COMPUTED_VALUE"""),"THAKKAR AADI KAMLESHKUMAR")</f>
        <v>THAKKAR AADI KAMLESHKUMAR</v>
      </c>
      <c r="E559" s="3" t="str">
        <f ca="1">IFERROR(__xludf.DUMMYFUNCTION("""COMPUTED_VALUE"""),"SDP&amp;KKP - Mor")</f>
        <v>SDP&amp;KKP - Mor</v>
      </c>
      <c r="F559" s="3">
        <f ca="1">IFERROR(__xludf.DUMMYFUNCTION("""COMPUTED_VALUE"""),8320503164)</f>
        <v>8320503164</v>
      </c>
      <c r="G559" s="3">
        <f ca="1">IFERROR(__xludf.DUMMYFUNCTION("""COMPUTED_VALUE"""),7041518515)</f>
        <v>7041518515</v>
      </c>
      <c r="H559" s="33">
        <f ca="1">IFERROR(__xludf.DUMMYFUNCTION("""COMPUTED_VALUE"""),0.459915611814346)</f>
        <v>0.45991561181434598</v>
      </c>
      <c r="I559" s="25">
        <f ca="1">IFERROR(__xludf.DUMMYFUNCTION("""COMPUTED_VALUE"""),0.472222222222222)</f>
        <v>0.47222222222222199</v>
      </c>
      <c r="J559" s="25">
        <f ca="1">IFERROR(__xludf.DUMMYFUNCTION("""COMPUTED_VALUE"""),0.666666666666666)</f>
        <v>0.66666666666666596</v>
      </c>
      <c r="K559" s="25">
        <f ca="1">IFERROR(__xludf.DUMMYFUNCTION("""COMPUTED_VALUE"""),0.5)</f>
        <v>0.5</v>
      </c>
      <c r="L559" s="25">
        <f ca="1">IFERROR(__xludf.DUMMYFUNCTION("""COMPUTED_VALUE"""),0.5)</f>
        <v>0.5</v>
      </c>
      <c r="M559" s="25">
        <f ca="1">IFERROR(__xludf.DUMMYFUNCTION("""COMPUTED_VALUE"""),0.5)</f>
        <v>0.5</v>
      </c>
      <c r="N559" s="25">
        <f ca="1">IFERROR(__xludf.DUMMYFUNCTION("""COMPUTED_VALUE"""),0.5)</f>
        <v>0.5</v>
      </c>
      <c r="O559" s="25">
        <f ca="1">IFERROR(__xludf.DUMMYFUNCTION("""COMPUTED_VALUE"""),0.459459459459459)</f>
        <v>0.45945945945945899</v>
      </c>
      <c r="P559" s="25">
        <f ca="1">IFERROR(__xludf.DUMMYFUNCTION("""COMPUTED_VALUE"""),0.318181818181818)</f>
        <v>0.31818181818181801</v>
      </c>
      <c r="Q559" s="25">
        <f ca="1">IFERROR(__xludf.DUMMYFUNCTION("""COMPUTED_VALUE"""),0)</f>
        <v>0</v>
      </c>
      <c r="R559" s="25">
        <f ca="1">IFERROR(__xludf.DUMMYFUNCTION("""COMPUTED_VALUE"""),0.578947368421052)</f>
        <v>0.57894736842105199</v>
      </c>
      <c r="S559" s="25">
        <f ca="1">IFERROR(__xludf.DUMMYFUNCTION("""COMPUTED_VALUE"""),0)</f>
        <v>0</v>
      </c>
      <c r="T559" s="25">
        <f ca="1">IFERROR(__xludf.DUMMYFUNCTION("""COMPUTED_VALUE"""),0.181818181818181)</f>
        <v>0.18181818181818099</v>
      </c>
      <c r="U559" s="25">
        <f ca="1">IFERROR(__xludf.DUMMYFUNCTION("""COMPUTED_VALUE"""),0.125)</f>
        <v>0.125</v>
      </c>
      <c r="V559" s="25">
        <f ca="1">IFERROR(__xludf.DUMMYFUNCTION("""COMPUTED_VALUE"""),0)</f>
        <v>0</v>
      </c>
      <c r="W559" s="4"/>
      <c r="X559" s="4" t="str">
        <f ca="1">IFERROR(__xludf.DUMMYFUNCTION("""COMPUTED_VALUE"""),"| 1 P NS @ | 3 L CPT @ | 4 L JAVA @ ")</f>
        <v xml:space="preserve">| 1 P NS @ | 3 L CPT @ | 4 L JAVA @ </v>
      </c>
      <c r="Y559" s="4" t="str">
        <f ca="1">IFERROR(__xludf.DUMMYFUNCTION("""COMPUTED_VALUE"""),"| 1 P CPT @ | 3 L JAVA @ | 4 L NS @ | 5 P PRO @ ")</f>
        <v xml:space="preserve">| 1 P CPT @ | 3 L JAVA @ | 4 L NS @ | 5 P PRO @ </v>
      </c>
      <c r="Z559" s="4" t="str">
        <f ca="1">IFERROR(__xludf.DUMMYFUNCTION("""COMPUTED_VALUE"""),"| 3 L PHP-CGM % | 4 L NS % | 5 P Python % ")</f>
        <v xml:space="preserve">| 3 L PHP-CGM % | 4 L NS % | 5 P Python % </v>
      </c>
      <c r="AA559" s="4" t="str">
        <f ca="1">IFERROR(__xludf.DUMMYFUNCTION("""COMPUTED_VALUE"""),"| 1 P NS % | 3 L CPT % | 5 P JAVA % ")</f>
        <v xml:space="preserve">| 1 P NS % | 3 L CPT % | 5 P JAVA % </v>
      </c>
      <c r="AB559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59" s="4" t="str">
        <f ca="1">IFERROR(__xludf.DUMMYFUNCTION("""COMPUTED_VALUE"""),"| 1 P NS % | 3 L CPT % | 4 L JAVA % ")</f>
        <v xml:space="preserve">| 1 P NS % | 3 L CPT % | 4 L JAVA % </v>
      </c>
      <c r="AD559" s="4" t="str">
        <f ca="1">IFERROR(__xludf.DUMMYFUNCTION("""COMPUTED_VALUE"""),"| 1 P CPT % | 3 L JAVA % | 4 L NS % | 5 P PRO % ")</f>
        <v xml:space="preserve">| 1 P CPT % | 3 L JAVA % | 4 L NS % | 5 P PRO % </v>
      </c>
      <c r="AE559" s="4" t="str">
        <f ca="1">IFERROR(__xludf.DUMMYFUNCTION("""COMPUTED_VALUE"""),"| 1 P PHP-CGM % | 3 L PHP-CGM % | 4 L NS % ")</f>
        <v xml:space="preserve">| 1 P PHP-CGM % | 3 L PHP-CGM % | 4 L NS % </v>
      </c>
      <c r="AF559" s="4" t="str">
        <f ca="1">IFERROR(__xludf.DUMMYFUNCTION("""COMPUTED_VALUE"""),"| 1 P JAVA @ | 3 L CPT @ | 4 L PHP-CGM @ | 5 P JAVA @ ")</f>
        <v xml:space="preserve">| 1 P JAVA @ | 3 L CPT @ | 4 L PHP-CGM @ | 5 P JAVA @ </v>
      </c>
      <c r="AG559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59" s="4" t="str">
        <f ca="1">IFERROR(__xludf.DUMMYFUNCTION("""COMPUTED_VALUE"""),"| 1 P JAVA % | 3 L CPT % | 4 L PHP-CGM % | 5 P JAVA @ ")</f>
        <v xml:space="preserve">| 1 P JAVA % | 3 L CPT % | 4 L PHP-CGM % | 5 P JAVA @ </v>
      </c>
      <c r="AI559" s="4" t="str">
        <f ca="1">IFERROR(__xludf.DUMMYFUNCTION("""COMPUTED_VALUE"""),"| 1 P Python % | 3 L PHP-CGM @ | 4 L JAVA @ | 5 L CPT % | 6 L NS % ")</f>
        <v xml:space="preserve">| 1 P Python % | 3 L PHP-CGM @ | 4 L JAVA @ | 5 L CPT % | 6 L NS % </v>
      </c>
      <c r="AJ559" s="4" t="str">
        <f ca="1">IFERROR(__xludf.DUMMYFUNCTION("""COMPUTED_VALUE"""),"| 1 P NS % | 3 L CPT % | 4 L JAVA % ")</f>
        <v xml:space="preserve">| 1 P NS % | 3 L CPT % | 4 L JAVA % </v>
      </c>
      <c r="AK559" s="4" t="str">
        <f ca="1">IFERROR(__xludf.DUMMYFUNCTION("""COMPUTED_VALUE"""),"| 1 P CPT % | 4 L NS % | 3 L JAVA % | 5 P PRO @ ")</f>
        <v xml:space="preserve">| 1 P CPT % | 4 L NS % | 3 L JAVA % | 5 P PRO @ </v>
      </c>
      <c r="AL559" s="4" t="str">
        <f ca="1">IFERROR(__xludf.DUMMYFUNCTION("""COMPUTED_VALUE"""),"| 1 P PHP-CGM % | 3 L PHP-CGM % | 4 L NS % | 5 P Python % ")</f>
        <v xml:space="preserve">| 1 P PHP-CGM % | 3 L PHP-CGM % | 4 L NS % | 5 P Python % </v>
      </c>
      <c r="AM559" s="4" t="str">
        <f ca="1">IFERROR(__xludf.DUMMYFUNCTION("""COMPUTED_VALUE"""),"| 1 P JAVA @ | 3 L CPT % | 4 L PHP-CGM @ | 5 P JAVA @ ")</f>
        <v xml:space="preserve">| 1 P JAVA @ | 3 L CPT % | 4 L PHP-CGM @ | 5 P JAVA @ </v>
      </c>
      <c r="AN559" s="4" t="str">
        <f ca="1">IFERROR(__xludf.DUMMYFUNCTION("""COMPUTED_VALUE"""),"| 1 P Python % | 3 L PHP-CGM @ | 4 L JAVA @ | 5 L CPT @ | 6 L NS @ ")</f>
        <v xml:space="preserve">| 1 P Python % | 3 L PHP-CGM @ | 4 L JAVA @ | 5 L CPT @ | 6 L NS @ </v>
      </c>
      <c r="AO559" s="4" t="str">
        <f ca="1">IFERROR(__xludf.DUMMYFUNCTION("""COMPUTED_VALUE"""),"| 1 P NS @ | 3 L CPT @ | 4 L JAVA @ | 5 L INE @ ")</f>
        <v xml:space="preserve">| 1 P NS @ | 3 L CPT @ | 4 L JAVA @ | 5 L INE @ </v>
      </c>
      <c r="AP559" s="4" t="str">
        <f ca="1">IFERROR(__xludf.DUMMYFUNCTION("""COMPUTED_VALUE"""),"| 1 P CPT @ | 3 L JAVA @ | 4 L NS @ | 5 P PRO @ ")</f>
        <v xml:space="preserve">| 1 P CPT @ | 3 L JAVA @ | 4 L NS @ | 5 P PRO @ </v>
      </c>
      <c r="AQ559" s="4" t="str">
        <f ca="1">IFERROR(__xludf.DUMMYFUNCTION("""COMPUTED_VALUE"""),"| 1 P PHP-CGM @ | 3 L PHP-CGM @ | 4 L NS @ | 5 P Python @ ")</f>
        <v xml:space="preserve">| 1 P PHP-CGM @ | 3 L PHP-CGM @ | 4 L NS @ | 5 P Python @ </v>
      </c>
      <c r="AR559" s="4" t="str">
        <f ca="1">IFERROR(__xludf.DUMMYFUNCTION("""COMPUTED_VALUE"""),"| 1 P JAVA @ | 3 L CPT @ | 5 P JAVA @ ")</f>
        <v xml:space="preserve">| 1 P JAVA @ | 3 L CPT @ | 5 P JAVA @ </v>
      </c>
      <c r="AS559" s="4" t="str">
        <f ca="1">IFERROR(__xludf.DUMMYFUNCTION("""COMPUTED_VALUE"""),"| 1 P NS @ | 3 L CPT @ | 4 L JAVA @ | 5 L INE @ ")</f>
        <v xml:space="preserve">| 1 P NS @ | 3 L CPT @ | 4 L JAVA @ | 5 L INE @ </v>
      </c>
      <c r="AT559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59" s="4" t="str">
        <f ca="1">IFERROR(__xludf.DUMMYFUNCTION("""COMPUTED_VALUE"""),"| 1 P PHP-CGM @ | 3 L PHP-CGM @ | 4 L NS @ | 5 P Python @ ")</f>
        <v xml:space="preserve">| 1 P PHP-CGM @ | 3 L PHP-CGM @ | 4 L NS @ | 5 P Python @ </v>
      </c>
      <c r="AV559" s="4" t="str">
        <f ca="1">IFERROR(__xludf.DUMMYFUNCTION("""COMPUTED_VALUE"""),"| 1 P JAVA % | 3 L CPT % | 4 L PHP-CGM % | 5 P JAVA @ ")</f>
        <v xml:space="preserve">| 1 P JAVA % | 3 L CPT % | 4 L PHP-CGM % | 5 P JAVA @ </v>
      </c>
      <c r="AW559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59" s="4" t="str">
        <f ca="1">IFERROR(__xludf.DUMMYFUNCTION("""COMPUTED_VALUE"""),"| 1 P NS % | 3 L CPT % | 4 L JAVA % | 5 L INE @ ")</f>
        <v xml:space="preserve">| 1 P NS % | 3 L CPT % | 4 L JAVA % | 5 L INE @ </v>
      </c>
      <c r="AY559" s="4" t="str">
        <f ca="1">IFERROR(__xludf.DUMMYFUNCTION("""COMPUTED_VALUE"""),"| 1 P CPT % | 3 L JAVA % | 4 L NS % | 5 P PRO @ ")</f>
        <v xml:space="preserve">| 1 P CPT % | 3 L JAVA % | 4 L NS % | 5 P PRO @ </v>
      </c>
      <c r="AZ559" s="4" t="str">
        <f ca="1">IFERROR(__xludf.DUMMYFUNCTION("""COMPUTED_VALUE"""),"| 1 P JAVA % | 3 L CPT % | 4 L PHP-CGM % | 5 P JAVA @ ")</f>
        <v xml:space="preserve">| 1 P JAVA % | 3 L CPT % | 4 L PHP-CGM % | 5 P JAVA @ </v>
      </c>
      <c r="BA559" s="4" t="str">
        <f ca="1">IFERROR(__xludf.DUMMYFUNCTION("""COMPUTED_VALUE"""),"| 1 P Python % | 3 L PHP-CGM % | 4 L JAVA @ | 5 L NS @ | 6 L CPT @ ")</f>
        <v xml:space="preserve">| 1 P Python % | 3 L PHP-CGM % | 4 L JAVA @ | 5 L NS @ | 6 L CPT @ </v>
      </c>
      <c r="BB559" s="4" t="str">
        <f ca="1">IFERROR(__xludf.DUMMYFUNCTION("""COMPUTED_VALUE"""),"| 1 P NS @ | 3 L CPT @ | 4 L JAVA @ | 5 L INE @ ")</f>
        <v xml:space="preserve">| 1 P NS @ | 3 L CPT @ | 4 L JAVA @ | 5 L INE @ </v>
      </c>
      <c r="BC559" s="4" t="str">
        <f ca="1">IFERROR(__xludf.DUMMYFUNCTION("""COMPUTED_VALUE"""),"| 1 P CPT % | 3 L JAVA % | 4 L NS % | 5 P PRO @ ")</f>
        <v xml:space="preserve">| 1 P CPT % | 3 L JAVA % | 4 L NS % | 5 P PRO @ </v>
      </c>
      <c r="BD559" s="4" t="str">
        <f ca="1">IFERROR(__xludf.DUMMYFUNCTION("""COMPUTED_VALUE"""),"| 1 P PHP-CGM % | 4 L NS %  | 3 L PHP-CGM % | 5 P Python @ ")</f>
        <v xml:space="preserve">| 1 P PHP-CGM % | 4 L NS %  | 3 L PHP-CGM % | 5 P Python @ </v>
      </c>
      <c r="BE559" s="4" t="str">
        <f ca="1">IFERROR(__xludf.DUMMYFUNCTION("""COMPUTED_VALUE"""),"| 1 P JAVA % | 3 L CPT % | 4 L PHP-CGM % | 5 P JAVA @ ")</f>
        <v xml:space="preserve">| 1 P JAVA % | 3 L CPT % | 4 L PHP-CGM % | 5 P JAVA @ </v>
      </c>
      <c r="BF559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59" s="4" t="str">
        <f ca="1">IFERROR(__xludf.DUMMYFUNCTION("""COMPUTED_VALUE"""),"| 3 L JAVA % | 4 L NS % | 5 P PRO @ ")</f>
        <v xml:space="preserve">| 3 L JAVA % | 4 L NS % | 5 P PRO @ </v>
      </c>
      <c r="BH559" s="4" t="str">
        <f ca="1">IFERROR(__xludf.DUMMYFUNCTION("""COMPUTED_VALUE"""),"| 1 P PHP-CGM % | 3 L PHP-CGM % | 4 L NS % | 5 P Python @ ")</f>
        <v xml:space="preserve">| 1 P PHP-CGM % | 3 L PHP-CGM % | 4 L NS % | 5 P Python @ </v>
      </c>
      <c r="BI559" s="4" t="str">
        <f ca="1">IFERROR(__xludf.DUMMYFUNCTION("""COMPUTED_VALUE"""),"| 1 P JAVA @ | 3 L CPT @ | 4 L PHP-CGM @ | 5 P JAVA @ ")</f>
        <v xml:space="preserve">| 1 P JAVA @ | 3 L CPT @ | 4 L PHP-CGM @ | 5 P JAVA @ </v>
      </c>
      <c r="BJ559" s="4" t="str">
        <f ca="1">IFERROR(__xludf.DUMMYFUNCTION("""COMPUTED_VALUE"""),"| 1 P Python % | 3 L PHP-CGM @ | 4 L JAVA @ | 5 L NS @ | 6 L CPT @ ")</f>
        <v xml:space="preserve">| 1 P Python % | 3 L PHP-CGM @ | 4 L JAVA @ | 5 L NS @ | 6 L CPT @ </v>
      </c>
      <c r="BK559" s="4" t="str">
        <f ca="1">IFERROR(__xludf.DUMMYFUNCTION("""COMPUTED_VALUE"""),"| 1 P NS @ | 3 L CPT @ | 4 L JAVA @ | 5 L INE @ ")</f>
        <v xml:space="preserve">| 1 P NS @ | 3 L CPT @ | 4 L JAVA @ | 5 L INE @ </v>
      </c>
      <c r="BL559" s="4" t="str">
        <f ca="1">IFERROR(__xludf.DUMMYFUNCTION("""COMPUTED_VALUE"""),"| 1 P CPT % | 3 L JAVA % | 4 L NS % | 5 P PRO @ ")</f>
        <v xml:space="preserve">| 1 P CPT % | 3 L JAVA % | 4 L NS % | 5 P PRO @ </v>
      </c>
      <c r="BM559" s="4" t="str">
        <f ca="1">IFERROR(__xludf.DUMMYFUNCTION("""COMPUTED_VALUE"""),"| 1 P PHP-CGM @ | 3 L PHP-CGM @ | 4 L NS @ | 5 P Python @ ")</f>
        <v xml:space="preserve">| 1 P PHP-CGM @ | 3 L PHP-CGM @ | 4 L NS @ | 5 P Python @ </v>
      </c>
      <c r="BN559" s="4" t="str">
        <f ca="1">IFERROR(__xludf.DUMMYFUNCTION("""COMPUTED_VALUE"""),"| 1 P JAVA % | 3 L CPT % | 4 L PHP-CGM % ")</f>
        <v xml:space="preserve">| 1 P JAVA % | 3 L CPT % | 4 L PHP-CGM % </v>
      </c>
      <c r="BO559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59" s="4" t="str">
        <f ca="1">IFERROR(__xludf.DUMMYFUNCTION("""COMPUTED_VALUE"""),"| 1 P NS @ | 3 L CPT @ | 4 L JAVA @ | 5 L INE @ ")</f>
        <v xml:space="preserve">| 1 P NS @ | 3 L CPT @ | 4 L JAVA @ | 5 L INE @ </v>
      </c>
      <c r="BQ559" s="4" t="str">
        <f ca="1">IFERROR(__xludf.DUMMYFUNCTION("""COMPUTED_VALUE"""),"| 4 L NS % ")</f>
        <v xml:space="preserve">| 4 L NS % </v>
      </c>
      <c r="BR559" s="4"/>
      <c r="BS559" s="4"/>
      <c r="BT559" s="4" t="str">
        <f ca="1">IFERROR(__xludf.DUMMYFUNCTION("""COMPUTED_VALUE"""),"| 1 P NS @ | 3 L CPT @ | 4 L JAVA @ ")</f>
        <v xml:space="preserve">| 1 P NS @ | 3 L CPT @ | 4 L JAVA @ </v>
      </c>
      <c r="BU559" s="4" t="str">
        <f ca="1">IFERROR(__xludf.DUMMYFUNCTION("""COMPUTED_VALUE"""),"| 1 P CPT @ | 4 L NS @ | 3 L JAVA @ ")</f>
        <v xml:space="preserve">| 1 P CPT @ | 4 L NS @ | 3 L JAVA @ </v>
      </c>
      <c r="BV559" s="4" t="str">
        <f ca="1">IFERROR(__xludf.DUMMYFUNCTION("""COMPUTED_VALUE"""),"| 1 P NS % | 3 L CPT % | 4 L JAVA @ ")</f>
        <v xml:space="preserve">| 1 P NS % | 3 L CPT % | 4 L JAVA @ </v>
      </c>
      <c r="BW559" s="4" t="str">
        <f ca="1">IFERROR(__xludf.DUMMYFUNCTION("""COMPUTED_VALUE"""),"| 1 P CPT % | 3 L JAVA % | 4 L NS % ")</f>
        <v xml:space="preserve">| 1 P CPT % | 3 L JAVA % | 4 L NS % </v>
      </c>
      <c r="BX559" s="4" t="str">
        <f ca="1">IFERROR(__xludf.DUMMYFUNCTION("""COMPUTED_VALUE"""),"| 1 P PHP-CGM @ | 3 L PHP-CGM @ | 4 L NS @ | 5 P Python @ ")</f>
        <v xml:space="preserve">| 1 P PHP-CGM @ | 3 L PHP-CGM @ | 4 L NS @ | 5 P Python @ </v>
      </c>
      <c r="BY559" s="4" t="str">
        <f ca="1">IFERROR(__xludf.DUMMYFUNCTION("""COMPUTED_VALUE"""),"| 1 P JAVA @ | 3 L CPT @ | 4 L PHP-CGM @ | 5 P JAVA @ ")</f>
        <v xml:space="preserve">| 1 P JAVA @ | 3 L CPT @ | 4 L PHP-CGM @ | 5 P JAVA @ </v>
      </c>
      <c r="BZ559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59" s="4" t="str">
        <f ca="1">IFERROR(__xludf.DUMMYFUNCTION("""COMPUTED_VALUE"""),"| 1 P NS % | 3 L CPT % | 4 L JAVA % | 5 L INE % ")</f>
        <v xml:space="preserve">| 1 P NS % | 3 L CPT % | 4 L JAVA % | 5 L INE % </v>
      </c>
      <c r="CB559" s="4" t="str">
        <f ca="1">IFERROR(__xludf.DUMMYFUNCTION("""COMPUTED_VALUE"""),"| 1 P CPT @ | 3 L JAVA @ | 4 L NS @ | 5 P PRO @ ")</f>
        <v xml:space="preserve">| 1 P CPT @ | 3 L JAVA @ | 4 L NS @ | 5 P PRO @ </v>
      </c>
      <c r="CC559" s="4" t="str">
        <f ca="1">IFERROR(__xludf.DUMMYFUNCTION("""COMPUTED_VALUE"""),"| 1 P PHP-CGM @ | 3 L PHP-CGM @ | 4 L NS @ | 5 P Python % ")</f>
        <v xml:space="preserve">| 1 P PHP-CGM @ | 3 L PHP-CGM @ | 4 L NS @ | 5 P Python % </v>
      </c>
      <c r="CD559" s="4" t="str">
        <f ca="1">IFERROR(__xludf.DUMMYFUNCTION("""COMPUTED_VALUE"""),"| 1 P JAVA % | 3 L CPT @ | 4 L PHP-CGM % ")</f>
        <v xml:space="preserve">| 1 P JAVA % | 3 L CPT @ | 4 L PHP-CGM % </v>
      </c>
      <c r="CE559" s="4" t="str">
        <f ca="1">IFERROR(__xludf.DUMMYFUNCTION("""COMPUTED_VALUE"""),"| 1 P Python % | 3 L PHP-CGM @ | 4 L JAVA @ | 5 L NS @ | 6 L CPT @ ")</f>
        <v xml:space="preserve">| 1 P Python % | 3 L PHP-CGM @ | 4 L JAVA @ | 5 L NS @ | 6 L CPT @ </v>
      </c>
      <c r="CF559" s="4" t="str">
        <f ca="1">IFERROR(__xludf.DUMMYFUNCTION("""COMPUTED_VALUE"""),"| 1 P NS % | 3 L CPT @ | 4 L JAVA @ | 5 L INE @ ")</f>
        <v xml:space="preserve">| 1 P NS % | 3 L CPT @ | 4 L JAVA @ | 5 L INE @ </v>
      </c>
      <c r="CG559" s="4" t="str">
        <f ca="1">IFERROR(__xludf.DUMMYFUNCTION("""COMPUTED_VALUE"""),"| 1 P CPT % | 4 L NS @ ")</f>
        <v xml:space="preserve">| 1 P CPT % | 4 L NS @ </v>
      </c>
      <c r="CH559" s="4" t="str">
        <f ca="1">IFERROR(__xludf.DUMMYFUNCTION("""COMPUTED_VALUE"""),"| 1 P PHP-CGM % | 3 L PHP-CGM @ | 4 L NS @ ")</f>
        <v xml:space="preserve">| 1 P PHP-CGM % | 3 L PHP-CGM @ | 4 L NS @ </v>
      </c>
      <c r="CI559" s="4"/>
      <c r="CJ559" s="4" t="str">
        <f ca="1">IFERROR(__xludf.DUMMYFUNCTION("""COMPUTED_VALUE"""),"| 4 L JAVA % ")</f>
        <v xml:space="preserve">| 4 L JAVA % </v>
      </c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</row>
    <row r="560" spans="1:102" ht="12.5" x14ac:dyDescent="0.25">
      <c r="A560" s="3">
        <f ca="1">IFERROR(__xludf.DUMMYFUNCTION("""COMPUTED_VALUE"""),4)</f>
        <v>4</v>
      </c>
      <c r="B560" s="3" t="str">
        <f ca="1">IFERROR(__xludf.DUMMYFUNCTION("""COMPUTED_VALUE"""),"ITC")</f>
        <v>ITC</v>
      </c>
      <c r="C560" s="32" t="str">
        <f ca="1">IFERROR(__xludf.DUMMYFUNCTION("""COMPUTED_VALUE"""),"23171371160")</f>
        <v>23171371160</v>
      </c>
      <c r="D560" s="4" t="str">
        <f ca="1">IFERROR(__xludf.DUMMYFUNCTION("""COMPUTED_VALUE"""),"THAKOR JAYDEEPJI DHARMENDRAJI")</f>
        <v>THAKOR JAYDEEPJI DHARMENDRAJI</v>
      </c>
      <c r="E560" s="3" t="str">
        <f ca="1">IFERROR(__xludf.DUMMYFUNCTION("""COMPUTED_VALUE"""),"SDP&amp;KKP - Mor")</f>
        <v>SDP&amp;KKP - Mor</v>
      </c>
      <c r="F560" s="3">
        <f ca="1">IFERROR(__xludf.DUMMYFUNCTION("""COMPUTED_VALUE"""),7567515707)</f>
        <v>7567515707</v>
      </c>
      <c r="G560" s="3">
        <f ca="1">IFERROR(__xludf.DUMMYFUNCTION("""COMPUTED_VALUE"""),7567515707)</f>
        <v>7567515707</v>
      </c>
      <c r="H560" s="33">
        <f ca="1">IFERROR(__xludf.DUMMYFUNCTION("""COMPUTED_VALUE"""),0.481012658227848)</f>
        <v>0.481012658227848</v>
      </c>
      <c r="I560" s="25">
        <f ca="1">IFERROR(__xludf.DUMMYFUNCTION("""COMPUTED_VALUE"""),0.472222222222222)</f>
        <v>0.47222222222222199</v>
      </c>
      <c r="J560" s="25">
        <f ca="1">IFERROR(__xludf.DUMMYFUNCTION("""COMPUTED_VALUE"""),0.583333333333333)</f>
        <v>0.58333333333333304</v>
      </c>
      <c r="K560" s="25">
        <f ca="1">IFERROR(__xludf.DUMMYFUNCTION("""COMPUTED_VALUE"""),0.472222222222222)</f>
        <v>0.47222222222222199</v>
      </c>
      <c r="L560" s="25">
        <f ca="1">IFERROR(__xludf.DUMMYFUNCTION("""COMPUTED_VALUE"""),0.5)</f>
        <v>0.5</v>
      </c>
      <c r="M560" s="25">
        <f ca="1">IFERROR(__xludf.DUMMYFUNCTION("""COMPUTED_VALUE"""),0.59375)</f>
        <v>0.59375</v>
      </c>
      <c r="N560" s="25">
        <f ca="1">IFERROR(__xludf.DUMMYFUNCTION("""COMPUTED_VALUE"""),0.7)</f>
        <v>0.7</v>
      </c>
      <c r="O560" s="25">
        <f ca="1">IFERROR(__xludf.DUMMYFUNCTION("""COMPUTED_VALUE"""),0.486486486486486)</f>
        <v>0.48648648648648601</v>
      </c>
      <c r="P560" s="25">
        <f ca="1">IFERROR(__xludf.DUMMYFUNCTION("""COMPUTED_VALUE"""),0.409090909090909)</f>
        <v>0.40909090909090901</v>
      </c>
      <c r="Q560" s="25">
        <f ca="1">IFERROR(__xludf.DUMMYFUNCTION("""COMPUTED_VALUE"""),0)</f>
        <v>0</v>
      </c>
      <c r="R560" s="25">
        <f ca="1">IFERROR(__xludf.DUMMYFUNCTION("""COMPUTED_VALUE"""),0.368421052631578)</f>
        <v>0.36842105263157798</v>
      </c>
      <c r="S560" s="25">
        <f ca="1">IFERROR(__xludf.DUMMYFUNCTION("""COMPUTED_VALUE"""),0)</f>
        <v>0</v>
      </c>
      <c r="T560" s="25">
        <f ca="1">IFERROR(__xludf.DUMMYFUNCTION("""COMPUTED_VALUE"""),0.272727272727272)</f>
        <v>0.27272727272727199</v>
      </c>
      <c r="U560" s="25">
        <f ca="1">IFERROR(__xludf.DUMMYFUNCTION("""COMPUTED_VALUE"""),0.375)</f>
        <v>0.375</v>
      </c>
      <c r="V560" s="25">
        <f ca="1">IFERROR(__xludf.DUMMYFUNCTION("""COMPUTED_VALUE"""),0)</f>
        <v>0</v>
      </c>
      <c r="W560" s="4"/>
      <c r="X560" s="4" t="str">
        <f ca="1">IFERROR(__xludf.DUMMYFUNCTION("""COMPUTED_VALUE"""),"| 1 P NS @ | 3 L CPT @ | 4 L JAVA @ ")</f>
        <v xml:space="preserve">| 1 P NS @ | 3 L CPT @ | 4 L JAVA @ </v>
      </c>
      <c r="Y560" s="4" t="str">
        <f ca="1">IFERROR(__xludf.DUMMYFUNCTION("""COMPUTED_VALUE"""),"| 1 P CPT % | 3 L JAVA % | 4 L NS % | 5 P PRO @ ")</f>
        <v xml:space="preserve">| 1 P CPT % | 3 L JAVA % | 4 L NS % | 5 P PRO @ </v>
      </c>
      <c r="Z560" s="4" t="str">
        <f ca="1">IFERROR(__xludf.DUMMYFUNCTION("""COMPUTED_VALUE"""),"| 3 L PHP-CGM @ | 4 L NS @ | 5 P Python @ ")</f>
        <v xml:space="preserve">| 3 L PHP-CGM @ | 4 L NS @ | 5 P Python @ </v>
      </c>
      <c r="AA560" s="4" t="str">
        <f ca="1">IFERROR(__xludf.DUMMYFUNCTION("""COMPUTED_VALUE"""),"| 1 P NS @ | 3 L CPT @ | 5 P JAVA @ ")</f>
        <v xml:space="preserve">| 1 P NS @ | 3 L CPT @ | 5 P JAVA @ </v>
      </c>
      <c r="AB560" s="4" t="str">
        <f ca="1">IFERROR(__xludf.DUMMYFUNCTION("""COMPUTED_VALUE"""),"| 1 P PRO @ | 3 L PHP-CGM @ | 4 L JAVA @ | 5 L CPT @ | 6 L NS @ ")</f>
        <v xml:space="preserve">| 1 P PRO @ | 3 L PHP-CGM @ | 4 L JAVA @ | 5 L CPT @ | 6 L NS @ </v>
      </c>
      <c r="AC560" s="4" t="str">
        <f ca="1">IFERROR(__xludf.DUMMYFUNCTION("""COMPUTED_VALUE"""),"| 1 P NS % | 3 L CPT % | 4 L JAVA % ")</f>
        <v xml:space="preserve">| 1 P NS % | 3 L CPT % | 4 L JAVA % </v>
      </c>
      <c r="AD560" s="4" t="str">
        <f ca="1">IFERROR(__xludf.DUMMYFUNCTION("""COMPUTED_VALUE"""),"| 1 P CPT % | 3 L JAVA % | 4 L NS % | 5 P PRO % ")</f>
        <v xml:space="preserve">| 1 P CPT % | 3 L JAVA % | 4 L NS % | 5 P PRO % </v>
      </c>
      <c r="AE560" s="4" t="str">
        <f ca="1">IFERROR(__xludf.DUMMYFUNCTION("""COMPUTED_VALUE"""),"| 1 P PHP-CGM % | 3 L PHP-CGM % | 4 L NS % ")</f>
        <v xml:space="preserve">| 1 P PHP-CGM % | 3 L PHP-CGM % | 4 L NS % </v>
      </c>
      <c r="AF560" s="4" t="str">
        <f ca="1">IFERROR(__xludf.DUMMYFUNCTION("""COMPUTED_VALUE"""),"| 1 P JAVA % | 3 L CPT % | 4 L PHP-CGM % | 5 P JAVA @ ")</f>
        <v xml:space="preserve">| 1 P JAVA % | 3 L CPT % | 4 L PHP-CGM % | 5 P JAVA @ </v>
      </c>
      <c r="AG560" s="4" t="str">
        <f ca="1">IFERROR(__xludf.DUMMYFUNCTION("""COMPUTED_VALUE"""),"| 1 P Python @ | 3 L PHP-CGM % | 4 L JAVA @ | 5 L CPT @ | 6 L NS @ ")</f>
        <v xml:space="preserve">| 1 P Python @ | 3 L PHP-CGM % | 4 L JAVA @ | 5 L CPT @ | 6 L NS @ </v>
      </c>
      <c r="AH560" s="4" t="str">
        <f ca="1">IFERROR(__xludf.DUMMYFUNCTION("""COMPUTED_VALUE"""),"| 1 P JAVA % | 3 L CPT % | 4 L PHP-CGM % | 5 P JAVA % ")</f>
        <v xml:space="preserve">| 1 P JAVA % | 3 L CPT % | 4 L PHP-CGM % | 5 P JAVA % </v>
      </c>
      <c r="AI560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J560" s="4" t="str">
        <f ca="1">IFERROR(__xludf.DUMMYFUNCTION("""COMPUTED_VALUE"""),"| 1 P NS % | 3 L CPT % | 4 L JAVA % ")</f>
        <v xml:space="preserve">| 1 P NS % | 3 L CPT % | 4 L JAVA % </v>
      </c>
      <c r="AK560" s="4" t="str">
        <f ca="1">IFERROR(__xludf.DUMMYFUNCTION("""COMPUTED_VALUE"""),"| 1 P CPT % | 4 L NS % | 3 L JAVA % | 5 P PRO @ ")</f>
        <v xml:space="preserve">| 1 P CPT % | 4 L NS % | 3 L JAVA % | 5 P PRO @ </v>
      </c>
      <c r="AL560" s="4" t="str">
        <f ca="1">IFERROR(__xludf.DUMMYFUNCTION("""COMPUTED_VALUE"""),"| 1 P PHP-CGM % | 3 L PHP-CGM % | 4 L NS % | 5 P Python @ ")</f>
        <v xml:space="preserve">| 1 P PHP-CGM % | 3 L PHP-CGM % | 4 L NS % | 5 P Python @ </v>
      </c>
      <c r="AM560" s="4" t="str">
        <f ca="1">IFERROR(__xludf.DUMMYFUNCTION("""COMPUTED_VALUE"""),"| 1 P JAVA @ | 3 L CPT @ | 4 L PHP-CGM @ | 5 P JAVA @ ")</f>
        <v xml:space="preserve">| 1 P JAVA @ | 3 L CPT @ | 4 L PHP-CGM @ | 5 P JAVA @ </v>
      </c>
      <c r="AN560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60" s="4" t="str">
        <f ca="1">IFERROR(__xludf.DUMMYFUNCTION("""COMPUTED_VALUE"""),"| 1 P NS % | 3 L CPT % | 4 L JAVA % | 5 L INE @ ")</f>
        <v xml:space="preserve">| 1 P NS % | 3 L CPT % | 4 L JAVA % | 5 L INE @ </v>
      </c>
      <c r="AP560" s="4" t="str">
        <f ca="1">IFERROR(__xludf.DUMMYFUNCTION("""COMPUTED_VALUE"""),"| 1 P CPT % | 3 L JAVA % | 4 L NS % | 5 P PRO @ ")</f>
        <v xml:space="preserve">| 1 P CPT % | 3 L JAVA % | 4 L NS % | 5 P PRO @ </v>
      </c>
      <c r="AQ560" s="4" t="str">
        <f ca="1">IFERROR(__xludf.DUMMYFUNCTION("""COMPUTED_VALUE"""),"| 1 P PHP-CGM @ | 3 L PHP-CGM @ | 4 L NS @ | 5 P Python @ ")</f>
        <v xml:space="preserve">| 1 P PHP-CGM @ | 3 L PHP-CGM @ | 4 L NS @ | 5 P Python @ </v>
      </c>
      <c r="AR560" s="4" t="str">
        <f ca="1">IFERROR(__xludf.DUMMYFUNCTION("""COMPUTED_VALUE"""),"| 1 P JAVA % | 3 L CPT % | 5 P JAVA @ ")</f>
        <v xml:space="preserve">| 1 P JAVA % | 3 L CPT % | 5 P JAVA @ </v>
      </c>
      <c r="AS560" s="4" t="str">
        <f ca="1">IFERROR(__xludf.DUMMYFUNCTION("""COMPUTED_VALUE"""),"| 1 P NS % | 3 L CPT % | 4 L JAVA @ | 5 L INE % ")</f>
        <v xml:space="preserve">| 1 P NS % | 3 L CPT % | 4 L JAVA @ | 5 L INE % </v>
      </c>
      <c r="AT560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60" s="4" t="str">
        <f ca="1">IFERROR(__xludf.DUMMYFUNCTION("""COMPUTED_VALUE"""),"| 1 P PHP-CGM % | 3 L PHP-CGM % | 4 L NS % | 5 P Python % ")</f>
        <v xml:space="preserve">| 1 P PHP-CGM % | 3 L PHP-CGM % | 4 L NS % | 5 P Python % </v>
      </c>
      <c r="AV560" s="4" t="str">
        <f ca="1">IFERROR(__xludf.DUMMYFUNCTION("""COMPUTED_VALUE"""),"| 1 P JAVA @ | 3 L CPT @ | 4 L PHP-CGM @ | 5 P JAVA @ ")</f>
        <v xml:space="preserve">| 1 P JAVA @ | 3 L CPT @ | 4 L PHP-CGM @ | 5 P JAVA @ </v>
      </c>
      <c r="AW560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60" s="4" t="str">
        <f ca="1">IFERROR(__xludf.DUMMYFUNCTION("""COMPUTED_VALUE"""),"| 1 P NS % | 3 L CPT % | 4 L JAVA % | 5 L INE @ ")</f>
        <v xml:space="preserve">| 1 P NS % | 3 L CPT % | 4 L JAVA % | 5 L INE @ </v>
      </c>
      <c r="AY560" s="4" t="str">
        <f ca="1">IFERROR(__xludf.DUMMYFUNCTION("""COMPUTED_VALUE"""),"| 1 P CPT % | 3 L JAVA % | 4 L NS % | 5 P PRO % ")</f>
        <v xml:space="preserve">| 1 P CPT % | 3 L JAVA % | 4 L NS % | 5 P PRO % </v>
      </c>
      <c r="AZ560" s="4" t="str">
        <f ca="1">IFERROR(__xludf.DUMMYFUNCTION("""COMPUTED_VALUE"""),"| 1 P JAVA % | 3 L CPT % | 4 L PHP-CGM % | 5 P JAVA @ ")</f>
        <v xml:space="preserve">| 1 P JAVA % | 3 L CPT % | 4 L PHP-CGM % | 5 P JAVA @ </v>
      </c>
      <c r="BA560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60" s="4" t="str">
        <f ca="1">IFERROR(__xludf.DUMMYFUNCTION("""COMPUTED_VALUE"""),"| 1 P NS % | 3 L CPT % | 4 L JAVA % | 5 L INE % ")</f>
        <v xml:space="preserve">| 1 P NS % | 3 L CPT % | 4 L JAVA % | 5 L INE % </v>
      </c>
      <c r="BC560" s="4" t="str">
        <f ca="1">IFERROR(__xludf.DUMMYFUNCTION("""COMPUTED_VALUE"""),"| 1 P CPT @ | 3 L JAVA @ | 4 L NS @ | 5 P PRO @ ")</f>
        <v xml:space="preserve">| 1 P CPT @ | 3 L JAVA @ | 4 L NS @ | 5 P PRO @ </v>
      </c>
      <c r="BD560" s="4" t="str">
        <f ca="1">IFERROR(__xludf.DUMMYFUNCTION("""COMPUTED_VALUE"""),"| 1 P PHP-CGM % | 4 L NS %  | 3 L PHP-CGM % | 5 P Python @ ")</f>
        <v xml:space="preserve">| 1 P PHP-CGM % | 4 L NS %  | 3 L PHP-CGM % | 5 P Python @ </v>
      </c>
      <c r="BE560" s="4" t="str">
        <f ca="1">IFERROR(__xludf.DUMMYFUNCTION("""COMPUTED_VALUE"""),"| 1 P JAVA @ | 3 L CPT @ | 4 L PHP-CGM @ | 5 P JAVA @ ")</f>
        <v xml:space="preserve">| 1 P JAVA @ | 3 L CPT @ | 4 L PHP-CGM @ | 5 P JAVA @ </v>
      </c>
      <c r="BF560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60" s="4" t="str">
        <f ca="1">IFERROR(__xludf.DUMMYFUNCTION("""COMPUTED_VALUE"""),"| 3 L JAVA % | 4 L NS % | 5 P PRO @ ")</f>
        <v xml:space="preserve">| 3 L JAVA % | 4 L NS % | 5 P PRO @ </v>
      </c>
      <c r="BH560" s="4" t="str">
        <f ca="1">IFERROR(__xludf.DUMMYFUNCTION("""COMPUTED_VALUE"""),"| 1 P PHP-CGM % | 3 L PHP-CGM % | 4 L NS % | 5 P Python % ")</f>
        <v xml:space="preserve">| 1 P PHP-CGM % | 3 L PHP-CGM % | 4 L NS % | 5 P Python % </v>
      </c>
      <c r="BI560" s="4" t="str">
        <f ca="1">IFERROR(__xludf.DUMMYFUNCTION("""COMPUTED_VALUE"""),"| 1 P JAVA % | 3 L CPT % | 4 L PHP-CGM % | 5 P JAVA % ")</f>
        <v xml:space="preserve">| 1 P JAVA % | 3 L CPT % | 4 L PHP-CGM % | 5 P JAVA % </v>
      </c>
      <c r="BJ560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0" s="4" t="str">
        <f ca="1">IFERROR(__xludf.DUMMYFUNCTION("""COMPUTED_VALUE"""),"| 1 P NS @ | 3 L CPT @ | 4 L JAVA @ | 5 L INE @ ")</f>
        <v xml:space="preserve">| 1 P NS @ | 3 L CPT @ | 4 L JAVA @ | 5 L INE @ </v>
      </c>
      <c r="BL560" s="4" t="str">
        <f ca="1">IFERROR(__xludf.DUMMYFUNCTION("""COMPUTED_VALUE"""),"| 1 P CPT @ | 3 L JAVA @ | 4 L NS @ | 5 P PRO @ ")</f>
        <v xml:space="preserve">| 1 P CPT @ | 3 L JAVA @ | 4 L NS @ | 5 P PRO @ </v>
      </c>
      <c r="BM560" s="4" t="str">
        <f ca="1">IFERROR(__xludf.DUMMYFUNCTION("""COMPUTED_VALUE"""),"| 1 P PHP-CGM @ | 3 L PHP-CGM @ | 4 L NS @ | 5 P Python @ ")</f>
        <v xml:space="preserve">| 1 P PHP-CGM @ | 3 L PHP-CGM @ | 4 L NS @ | 5 P Python @ </v>
      </c>
      <c r="BN560" s="4" t="str">
        <f ca="1">IFERROR(__xludf.DUMMYFUNCTION("""COMPUTED_VALUE"""),"| 1 P JAVA @ | 3 L CPT @ | 4 L PHP-CGM @ ")</f>
        <v xml:space="preserve">| 1 P JAVA @ | 3 L CPT @ | 4 L PHP-CGM @ </v>
      </c>
      <c r="BO560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0" s="4" t="str">
        <f ca="1">IFERROR(__xludf.DUMMYFUNCTION("""COMPUTED_VALUE"""),"| 1 P NS @ | 3 L CPT @ | 4 L JAVA @ | 5 L INE @ ")</f>
        <v xml:space="preserve">| 1 P NS @ | 3 L CPT @ | 4 L JAVA @ | 5 L INE @ </v>
      </c>
      <c r="BQ560" s="4" t="str">
        <f ca="1">IFERROR(__xludf.DUMMYFUNCTION("""COMPUTED_VALUE"""),"| 4 L NS @ ")</f>
        <v xml:space="preserve">| 4 L NS @ </v>
      </c>
      <c r="BR560" s="4"/>
      <c r="BS560" s="4"/>
      <c r="BT560" s="4" t="str">
        <f ca="1">IFERROR(__xludf.DUMMYFUNCTION("""COMPUTED_VALUE"""),"| 1 P NS @ | 3 L CPT @ | 4 L JAVA @ ")</f>
        <v xml:space="preserve">| 1 P NS @ | 3 L CPT @ | 4 L JAVA @ </v>
      </c>
      <c r="BU560" s="4" t="str">
        <f ca="1">IFERROR(__xludf.DUMMYFUNCTION("""COMPUTED_VALUE"""),"| 1 P CPT @ | 4 L NS @ | 3 L JAVA @ ")</f>
        <v xml:space="preserve">| 1 P CPT @ | 4 L NS @ | 3 L JAVA @ </v>
      </c>
      <c r="BV560" s="4" t="str">
        <f ca="1">IFERROR(__xludf.DUMMYFUNCTION("""COMPUTED_VALUE"""),"| 1 P NS @ | 3 L CPT @ | 4 L JAVA @ ")</f>
        <v xml:space="preserve">| 1 P NS @ | 3 L CPT @ | 4 L JAVA @ </v>
      </c>
      <c r="BW560" s="4" t="str">
        <f ca="1">IFERROR(__xludf.DUMMYFUNCTION("""COMPUTED_VALUE"""),"| 1 P CPT @ | 3 L JAVA @ | 4 L NS @ ")</f>
        <v xml:space="preserve">| 1 P CPT @ | 3 L JAVA @ | 4 L NS @ </v>
      </c>
      <c r="BX560" s="4" t="str">
        <f ca="1">IFERROR(__xludf.DUMMYFUNCTION("""COMPUTED_VALUE"""),"| 1 P PHP-CGM % | 3 L PHP-CGM % | 4 L NS % | 5 P Python @ ")</f>
        <v xml:space="preserve">| 1 P PHP-CGM % | 3 L PHP-CGM % | 4 L NS % | 5 P Python @ </v>
      </c>
      <c r="BY560" s="4" t="str">
        <f ca="1">IFERROR(__xludf.DUMMYFUNCTION("""COMPUTED_VALUE"""),"| 1 P JAVA % | 3 L CPT % | 4 L PHP-CGM % | 5 P JAVA @ ")</f>
        <v xml:space="preserve">| 1 P JAVA % | 3 L CPT % | 4 L PHP-CGM % | 5 P JAVA @ </v>
      </c>
      <c r="BZ560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60" s="4" t="str">
        <f ca="1">IFERROR(__xludf.DUMMYFUNCTION("""COMPUTED_VALUE"""),"| 1 P NS @ | 3 L CPT @ | 4 L JAVA @ | 5 L INE % ")</f>
        <v xml:space="preserve">| 1 P NS @ | 3 L CPT @ | 4 L JAVA @ | 5 L INE % </v>
      </c>
      <c r="CB560" s="4" t="str">
        <f ca="1">IFERROR(__xludf.DUMMYFUNCTION("""COMPUTED_VALUE"""),"| 1 P CPT @ | 3 L JAVA @ | 4 L NS @ | 5 P PRO @ ")</f>
        <v xml:space="preserve">| 1 P CPT @ | 3 L JAVA @ | 4 L NS @ | 5 P PRO @ </v>
      </c>
      <c r="CC560" s="4" t="str">
        <f ca="1">IFERROR(__xludf.DUMMYFUNCTION("""COMPUTED_VALUE"""),"| 1 P PHP-CGM % | 3 L PHP-CGM % | 4 L NS % | 5 P Python @ ")</f>
        <v xml:space="preserve">| 1 P PHP-CGM % | 3 L PHP-CGM % | 4 L NS % | 5 P Python @ </v>
      </c>
      <c r="CD560" s="4" t="str">
        <f ca="1">IFERROR(__xludf.DUMMYFUNCTION("""COMPUTED_VALUE"""),"| 1 P JAVA % | 3 L CPT % | 4 L PHP-CGM % ")</f>
        <v xml:space="preserve">| 1 P JAVA % | 3 L CPT % | 4 L PHP-CGM % </v>
      </c>
      <c r="CE560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CF560" s="4" t="str">
        <f ca="1">IFERROR(__xludf.DUMMYFUNCTION("""COMPUTED_VALUE"""),"| 1 P NS % | 3 L CPT @ | 4 L JAVA @ | 5 L INE @ ")</f>
        <v xml:space="preserve">| 1 P NS % | 3 L CPT @ | 4 L JAVA @ | 5 L INE @ </v>
      </c>
      <c r="CG560" s="4" t="str">
        <f ca="1">IFERROR(__xludf.DUMMYFUNCTION("""COMPUTED_VALUE"""),"| 1 P CPT % | 4 L NS @ ")</f>
        <v xml:space="preserve">| 1 P CPT % | 4 L NS @ </v>
      </c>
      <c r="CH560" s="4" t="str">
        <f ca="1">IFERROR(__xludf.DUMMYFUNCTION("""COMPUTED_VALUE"""),"| 1 P PHP-CGM @ | 3 L PHP-CGM @ | 4 L NS @ ")</f>
        <v xml:space="preserve">| 1 P PHP-CGM @ | 3 L PHP-CGM @ | 4 L NS @ </v>
      </c>
      <c r="CI560" s="4"/>
      <c r="CJ560" s="4" t="str">
        <f ca="1">IFERROR(__xludf.DUMMYFUNCTION("""COMPUTED_VALUE"""),"| 4 L JAVA % ")</f>
        <v xml:space="preserve">| 4 L JAVA % </v>
      </c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</row>
    <row r="561" spans="1:102" ht="12.5" x14ac:dyDescent="0.25">
      <c r="A561" s="3">
        <f ca="1">IFERROR(__xludf.DUMMYFUNCTION("""COMPUTED_VALUE"""),4)</f>
        <v>4</v>
      </c>
      <c r="B561" s="3" t="str">
        <f ca="1">IFERROR(__xludf.DUMMYFUNCTION("""COMPUTED_VALUE"""),"ITC")</f>
        <v>ITC</v>
      </c>
      <c r="C561" s="32" t="str">
        <f ca="1">IFERROR(__xludf.DUMMYFUNCTION("""COMPUTED_VALUE"""),"23171371161")</f>
        <v>23171371161</v>
      </c>
      <c r="D561" s="4" t="str">
        <f ca="1">IFERROR(__xludf.DUMMYFUNCTION("""COMPUTED_VALUE"""),"THAKOR KRISH LALAJI")</f>
        <v>THAKOR KRISH LALAJI</v>
      </c>
      <c r="E561" s="3" t="str">
        <f ca="1">IFERROR(__xludf.DUMMYFUNCTION("""COMPUTED_VALUE"""),"SDP&amp;KKP - Mor")</f>
        <v>SDP&amp;KKP - Mor</v>
      </c>
      <c r="F561" s="3">
        <f ca="1">IFERROR(__xludf.DUMMYFUNCTION("""COMPUTED_VALUE"""),9725016106)</f>
        <v>9725016106</v>
      </c>
      <c r="G561" s="3">
        <f ca="1">IFERROR(__xludf.DUMMYFUNCTION("""COMPUTED_VALUE"""),9261124678)</f>
        <v>9261124678</v>
      </c>
      <c r="H561" s="33">
        <f ca="1">IFERROR(__xludf.DUMMYFUNCTION("""COMPUTED_VALUE"""),0.70042194092827)</f>
        <v>0.70042194092827004</v>
      </c>
      <c r="I561" s="25">
        <f ca="1">IFERROR(__xludf.DUMMYFUNCTION("""COMPUTED_VALUE"""),0.611111111111111)</f>
        <v>0.61111111111111105</v>
      </c>
      <c r="J561" s="25">
        <f ca="1">IFERROR(__xludf.DUMMYFUNCTION("""COMPUTED_VALUE"""),0.666666666666666)</f>
        <v>0.66666666666666596</v>
      </c>
      <c r="K561" s="25">
        <f ca="1">IFERROR(__xludf.DUMMYFUNCTION("""COMPUTED_VALUE"""),0.583333333333333)</f>
        <v>0.58333333333333304</v>
      </c>
      <c r="L561" s="25">
        <f ca="1">IFERROR(__xludf.DUMMYFUNCTION("""COMPUTED_VALUE"""),0.714285714285714)</f>
        <v>0.71428571428571397</v>
      </c>
      <c r="M561" s="25">
        <f ca="1">IFERROR(__xludf.DUMMYFUNCTION("""COMPUTED_VALUE"""),0.78125)</f>
        <v>0.78125</v>
      </c>
      <c r="N561" s="25">
        <f ca="1">IFERROR(__xludf.DUMMYFUNCTION("""COMPUTED_VALUE"""),0.9)</f>
        <v>0.9</v>
      </c>
      <c r="O561" s="25">
        <f ca="1">IFERROR(__xludf.DUMMYFUNCTION("""COMPUTED_VALUE"""),0.702702702702702)</f>
        <v>0.70270270270270196</v>
      </c>
      <c r="P561" s="25">
        <f ca="1">IFERROR(__xludf.DUMMYFUNCTION("""COMPUTED_VALUE"""),0.909090909090909)</f>
        <v>0.90909090909090895</v>
      </c>
      <c r="Q561" s="25">
        <f ca="1">IFERROR(__xludf.DUMMYFUNCTION("""COMPUTED_VALUE"""),0)</f>
        <v>0</v>
      </c>
      <c r="R561" s="25">
        <f ca="1">IFERROR(__xludf.DUMMYFUNCTION("""COMPUTED_VALUE"""),0.789473684210526)</f>
        <v>0.78947368421052599</v>
      </c>
      <c r="S561" s="25">
        <f ca="1">IFERROR(__xludf.DUMMYFUNCTION("""COMPUTED_VALUE"""),0)</f>
        <v>0</v>
      </c>
      <c r="T561" s="25">
        <f ca="1">IFERROR(__xludf.DUMMYFUNCTION("""COMPUTED_VALUE"""),0.545454545454545)</f>
        <v>0.54545454545454497</v>
      </c>
      <c r="U561" s="25">
        <f ca="1">IFERROR(__xludf.DUMMYFUNCTION("""COMPUTED_VALUE"""),0.5)</f>
        <v>0.5</v>
      </c>
      <c r="V561" s="25">
        <f ca="1">IFERROR(__xludf.DUMMYFUNCTION("""COMPUTED_VALUE"""),0)</f>
        <v>0</v>
      </c>
      <c r="W561" s="4"/>
      <c r="X561" s="4" t="str">
        <f ca="1">IFERROR(__xludf.DUMMYFUNCTION("""COMPUTED_VALUE"""),"| 1 P NS @ | 3 L CPT @ | 4 L JAVA % ")</f>
        <v xml:space="preserve">| 1 P NS @ | 3 L CPT @ | 4 L JAVA % </v>
      </c>
      <c r="Y561" s="4" t="str">
        <f ca="1">IFERROR(__xludf.DUMMYFUNCTION("""COMPUTED_VALUE"""),"| 1 P CPT @ | 3 L JAVA @ | 4 L NS @ | 5 P PRO @ ")</f>
        <v xml:space="preserve">| 1 P CPT @ | 3 L JAVA @ | 4 L NS @ | 5 P PRO @ </v>
      </c>
      <c r="Z561" s="4" t="str">
        <f ca="1">IFERROR(__xludf.DUMMYFUNCTION("""COMPUTED_VALUE"""),"| 3 L PHP-CGM % | 4 L NS % | 5 P Python % ")</f>
        <v xml:space="preserve">| 3 L PHP-CGM % | 4 L NS % | 5 P Python % </v>
      </c>
      <c r="AA561" s="4" t="str">
        <f ca="1">IFERROR(__xludf.DUMMYFUNCTION("""COMPUTED_VALUE"""),"| 1 P NS % | 3 L CPT % | 5 P JAVA % ")</f>
        <v xml:space="preserve">| 1 P NS % | 3 L CPT % | 5 P JAVA % </v>
      </c>
      <c r="AB561" s="4" t="str">
        <f ca="1">IFERROR(__xludf.DUMMYFUNCTION("""COMPUTED_VALUE"""),"| 1 P PRO @ | 3 L PHP-CGM @ | 4 L JAVA % | 5 L CPT @ | 6 L NS @ ")</f>
        <v xml:space="preserve">| 1 P PRO @ | 3 L PHP-CGM @ | 4 L JAVA % | 5 L CPT @ | 6 L NS @ </v>
      </c>
      <c r="AC561" s="4" t="str">
        <f ca="1">IFERROR(__xludf.DUMMYFUNCTION("""COMPUTED_VALUE"""),"| 1 P NS % | 3 L CPT % | 4 L JAVA % ")</f>
        <v xml:space="preserve">| 1 P NS % | 3 L CPT % | 4 L JAVA % </v>
      </c>
      <c r="AD561" s="4" t="str">
        <f ca="1">IFERROR(__xludf.DUMMYFUNCTION("""COMPUTED_VALUE"""),"| 1 P CPT % | 3 L JAVA % | 4 L NS % | 5 P PRO % ")</f>
        <v xml:space="preserve">| 1 P CPT % | 3 L JAVA % | 4 L NS % | 5 P PRO % </v>
      </c>
      <c r="AE561" s="4" t="str">
        <f ca="1">IFERROR(__xludf.DUMMYFUNCTION("""COMPUTED_VALUE"""),"| 1 P PHP-CGM % | 3 L PHP-CGM % | 4 L NS % ")</f>
        <v xml:space="preserve">| 1 P PHP-CGM % | 3 L PHP-CGM % | 4 L NS % </v>
      </c>
      <c r="AF561" s="4" t="str">
        <f ca="1">IFERROR(__xludf.DUMMYFUNCTION("""COMPUTED_VALUE"""),"| 1 P JAVA % | 3 L CPT % | 4 L PHP-CGM % | 5 P JAVA % ")</f>
        <v xml:space="preserve">| 1 P JAVA % | 3 L CPT % | 4 L PHP-CGM % | 5 P JAVA % </v>
      </c>
      <c r="AG561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H561" s="4" t="str">
        <f ca="1">IFERROR(__xludf.DUMMYFUNCTION("""COMPUTED_VALUE"""),"| 1 P JAVA % | 3 L CPT % | 4 L PHP-CGM % | 5 P JAVA % ")</f>
        <v xml:space="preserve">| 1 P JAVA % | 3 L CPT % | 4 L PHP-CGM % | 5 P JAVA % </v>
      </c>
      <c r="AI561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61" s="4" t="str">
        <f ca="1">IFERROR(__xludf.DUMMYFUNCTION("""COMPUTED_VALUE"""),"| 1 P NS % | 3 L CPT % | 4 L JAVA % ")</f>
        <v xml:space="preserve">| 1 P NS % | 3 L CPT % | 4 L JAVA % </v>
      </c>
      <c r="AK561" s="4" t="str">
        <f ca="1">IFERROR(__xludf.DUMMYFUNCTION("""COMPUTED_VALUE"""),"| 1 P CPT % | 4 L NS % | 3 L JAVA % | 5 P PRO % ")</f>
        <v xml:space="preserve">| 1 P CPT % | 4 L NS % | 3 L JAVA % | 5 P PRO % </v>
      </c>
      <c r="AL561" s="4" t="str">
        <f ca="1">IFERROR(__xludf.DUMMYFUNCTION("""COMPUTED_VALUE"""),"| 1 P PHP-CGM % | 3 L PHP-CGM % | 4 L NS % | 5 P Python % ")</f>
        <v xml:space="preserve">| 1 P PHP-CGM % | 3 L PHP-CGM % | 4 L NS % | 5 P Python % </v>
      </c>
      <c r="AM561" s="4" t="str">
        <f ca="1">IFERROR(__xludf.DUMMYFUNCTION("""COMPUTED_VALUE"""),"| 1 P JAVA % | 3 L CPT % | 4 L PHP-CGM % | 5 P JAVA % ")</f>
        <v xml:space="preserve">| 1 P JAVA % | 3 L CPT % | 4 L PHP-CGM % | 5 P JAVA % </v>
      </c>
      <c r="AN561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O561" s="4" t="str">
        <f ca="1">IFERROR(__xludf.DUMMYFUNCTION("""COMPUTED_VALUE"""),"| 1 P NS @ | 3 L CPT @ | 4 L JAVA @ | 5 L INE @ ")</f>
        <v xml:space="preserve">| 1 P NS @ | 3 L CPT @ | 4 L JAVA @ | 5 L INE @ </v>
      </c>
      <c r="AP561" s="4" t="str">
        <f ca="1">IFERROR(__xludf.DUMMYFUNCTION("""COMPUTED_VALUE"""),"| 1 P CPT @ | 3 L JAVA @ | 4 L NS @ | 5 P PRO @ ")</f>
        <v xml:space="preserve">| 1 P CPT @ | 3 L JAVA @ | 4 L NS @ | 5 P PRO @ </v>
      </c>
      <c r="AQ561" s="4" t="str">
        <f ca="1">IFERROR(__xludf.DUMMYFUNCTION("""COMPUTED_VALUE"""),"| 1 P PHP-CGM % | 3 L PHP-CGM % | 4 L NS % | 5 P Python % ")</f>
        <v xml:space="preserve">| 1 P PHP-CGM % | 3 L PHP-CGM % | 4 L NS % | 5 P Python % </v>
      </c>
      <c r="AR561" s="4" t="str">
        <f ca="1">IFERROR(__xludf.DUMMYFUNCTION("""COMPUTED_VALUE"""),"| 1 P JAVA % | 3 L CPT % | 5 P JAVA % ")</f>
        <v xml:space="preserve">| 1 P JAVA % | 3 L CPT % | 5 P JAVA % </v>
      </c>
      <c r="AS561" s="4" t="str">
        <f ca="1">IFERROR(__xludf.DUMMYFUNCTION("""COMPUTED_VALUE"""),"| 1 P NS % | 3 L CPT % | 4 L JAVA % | 5 L INE % ")</f>
        <v xml:space="preserve">| 1 P NS % | 3 L CPT % | 4 L JAVA % | 5 L INE % </v>
      </c>
      <c r="AT561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61" s="4" t="str">
        <f ca="1">IFERROR(__xludf.DUMMYFUNCTION("""COMPUTED_VALUE"""),"| 1 P PHP-CGM % | 3 L PHP-CGM % | 4 L NS % | 5 P Python % ")</f>
        <v xml:space="preserve">| 1 P PHP-CGM % | 3 L PHP-CGM % | 4 L NS % | 5 P Python % </v>
      </c>
      <c r="AV561" s="4" t="str">
        <f ca="1">IFERROR(__xludf.DUMMYFUNCTION("""COMPUTED_VALUE"""),"| 1 P JAVA @ | 3 L CPT % | 4 L PHP-CGM % | 5 P JAVA % ")</f>
        <v xml:space="preserve">| 1 P JAVA @ | 3 L CPT % | 4 L PHP-CGM % | 5 P JAVA % </v>
      </c>
      <c r="AW561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61" s="4" t="str">
        <f ca="1">IFERROR(__xludf.DUMMYFUNCTION("""COMPUTED_VALUE"""),"| 1 P NS % | 3 L CPT % | 4 L JAVA % | 5 L INE % ")</f>
        <v xml:space="preserve">| 1 P NS % | 3 L CPT % | 4 L JAVA % | 5 L INE % </v>
      </c>
      <c r="AY561" s="4" t="str">
        <f ca="1">IFERROR(__xludf.DUMMYFUNCTION("""COMPUTED_VALUE"""),"| 1 P CPT % | 3 L JAVA % | 4 L NS % | 5 P PRO % ")</f>
        <v xml:space="preserve">| 1 P CPT % | 3 L JAVA % | 4 L NS % | 5 P PRO % </v>
      </c>
      <c r="AZ561" s="4" t="str">
        <f ca="1">IFERROR(__xludf.DUMMYFUNCTION("""COMPUTED_VALUE"""),"| 1 P JAVA % | 3 L CPT % | 4 L PHP-CGM % | 5 P JAVA % ")</f>
        <v xml:space="preserve">| 1 P JAVA % | 3 L CPT % | 4 L PHP-CGM % | 5 P JAVA % </v>
      </c>
      <c r="BA561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B561" s="4" t="str">
        <f ca="1">IFERROR(__xludf.DUMMYFUNCTION("""COMPUTED_VALUE"""),"| 1 P NS % | 3 L CPT % | 4 L JAVA % | 5 L INE % ")</f>
        <v xml:space="preserve">| 1 P NS % | 3 L CPT % | 4 L JAVA % | 5 L INE % </v>
      </c>
      <c r="BC561" s="4" t="str">
        <f ca="1">IFERROR(__xludf.DUMMYFUNCTION("""COMPUTED_VALUE"""),"| 1 P CPT % | 3 L JAVA % | 4 L NS % | 5 P PRO % ")</f>
        <v xml:space="preserve">| 1 P CPT % | 3 L JAVA % | 4 L NS % | 5 P PRO % </v>
      </c>
      <c r="BD561" s="4" t="str">
        <f ca="1">IFERROR(__xludf.DUMMYFUNCTION("""COMPUTED_VALUE"""),"| 1 P PHP-CGM % | 4 L NS %  | 3 L PHP-CGM % | 5 P Python % ")</f>
        <v xml:space="preserve">| 1 P PHP-CGM % | 4 L NS %  | 3 L PHP-CGM % | 5 P Python % </v>
      </c>
      <c r="BE561" s="4" t="str">
        <f ca="1">IFERROR(__xludf.DUMMYFUNCTION("""COMPUTED_VALUE"""),"| 1 P JAVA % | 3 L CPT % | 4 L PHP-CGM % | 5 P JAVA % ")</f>
        <v xml:space="preserve">| 1 P JAVA % | 3 L CPT % | 4 L PHP-CGM % | 5 P JAVA % </v>
      </c>
      <c r="BF561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G561" s="4" t="str">
        <f ca="1">IFERROR(__xludf.DUMMYFUNCTION("""COMPUTED_VALUE"""),"| 3 L JAVA % | 4 L NS % | 5 P PRO @ ")</f>
        <v xml:space="preserve">| 3 L JAVA % | 4 L NS % | 5 P PRO @ </v>
      </c>
      <c r="BH561" s="4" t="str">
        <f ca="1">IFERROR(__xludf.DUMMYFUNCTION("""COMPUTED_VALUE"""),"| 1 P PHP-CGM % | 3 L PHP-CGM % | 4 L NS % | 5 P Python % ")</f>
        <v xml:space="preserve">| 1 P PHP-CGM % | 3 L PHP-CGM % | 4 L NS % | 5 P Python % </v>
      </c>
      <c r="BI561" s="4" t="str">
        <f ca="1">IFERROR(__xludf.DUMMYFUNCTION("""COMPUTED_VALUE"""),"| 1 P JAVA % | 3 L CPT % | 4 L PHP-CGM @ | 5 P JAVA % ")</f>
        <v xml:space="preserve">| 1 P JAVA % | 3 L CPT % | 4 L PHP-CGM @ | 5 P JAVA % </v>
      </c>
      <c r="BJ561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1" s="4" t="str">
        <f ca="1">IFERROR(__xludf.DUMMYFUNCTION("""COMPUTED_VALUE"""),"| 1 P NS @ | 3 L CPT @ | 4 L JAVA @ | 5 L INE @ ")</f>
        <v xml:space="preserve">| 1 P NS @ | 3 L CPT @ | 4 L JAVA @ | 5 L INE @ </v>
      </c>
      <c r="BL561" s="4" t="str">
        <f ca="1">IFERROR(__xludf.DUMMYFUNCTION("""COMPUTED_VALUE"""),"| 1 P CPT @ | 3 L JAVA @ | 4 L NS @ | 5 P PRO @ ")</f>
        <v xml:space="preserve">| 1 P CPT @ | 3 L JAVA @ | 4 L NS @ | 5 P PRO @ </v>
      </c>
      <c r="BM561" s="4" t="str">
        <f ca="1">IFERROR(__xludf.DUMMYFUNCTION("""COMPUTED_VALUE"""),"| 1 P PHP-CGM @ | 3 L PHP-CGM @ | 4 L NS @ | 5 P Python @ ")</f>
        <v xml:space="preserve">| 1 P PHP-CGM @ | 3 L PHP-CGM @ | 4 L NS @ | 5 P Python @ </v>
      </c>
      <c r="BN561" s="4" t="str">
        <f ca="1">IFERROR(__xludf.DUMMYFUNCTION("""COMPUTED_VALUE"""),"| 1 P JAVA % | 3 L CPT % | 4 L PHP-CGM % ")</f>
        <v xml:space="preserve">| 1 P JAVA % | 3 L CPT % | 4 L PHP-CGM % </v>
      </c>
      <c r="BO561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P561" s="4" t="str">
        <f ca="1">IFERROR(__xludf.DUMMYFUNCTION("""COMPUTED_VALUE"""),"| 1 P NS % | 3 L CPT % | 4 L JAVA % | 5 L INE @ ")</f>
        <v xml:space="preserve">| 1 P NS % | 3 L CPT % | 4 L JAVA % | 5 L INE @ </v>
      </c>
      <c r="BQ561" s="4" t="str">
        <f ca="1">IFERROR(__xludf.DUMMYFUNCTION("""COMPUTED_VALUE"""),"| 4 L NS % ")</f>
        <v xml:space="preserve">| 4 L NS % </v>
      </c>
      <c r="BR561" s="4"/>
      <c r="BS561" s="4"/>
      <c r="BT561" s="4" t="str">
        <f ca="1">IFERROR(__xludf.DUMMYFUNCTION("""COMPUTED_VALUE"""),"| 1 P NS % | 3 L CPT @ | 4 L JAVA % ")</f>
        <v xml:space="preserve">| 1 P NS % | 3 L CPT @ | 4 L JAVA % </v>
      </c>
      <c r="BU561" s="4" t="str">
        <f ca="1">IFERROR(__xludf.DUMMYFUNCTION("""COMPUTED_VALUE"""),"| 1 P CPT @ | 4 L NS @ | 3 L JAVA @ ")</f>
        <v xml:space="preserve">| 1 P CPT @ | 4 L NS @ | 3 L JAVA @ </v>
      </c>
      <c r="BV561" s="4" t="str">
        <f ca="1">IFERROR(__xludf.DUMMYFUNCTION("""COMPUTED_VALUE"""),"| 1 P NS @ | 3 L CPT @ | 4 L JAVA @ ")</f>
        <v xml:space="preserve">| 1 P NS @ | 3 L CPT @ | 4 L JAVA @ </v>
      </c>
      <c r="BW561" s="4" t="str">
        <f ca="1">IFERROR(__xludf.DUMMYFUNCTION("""COMPUTED_VALUE"""),"| 1 P CPT % | 3 L JAVA % | 4 L NS % ")</f>
        <v xml:space="preserve">| 1 P CPT % | 3 L JAVA % | 4 L NS % </v>
      </c>
      <c r="BX561" s="4" t="str">
        <f ca="1">IFERROR(__xludf.DUMMYFUNCTION("""COMPUTED_VALUE"""),"| 1 P PHP-CGM % | 3 L PHP-CGM % | 4 L NS % | 5 P Python % ")</f>
        <v xml:space="preserve">| 1 P PHP-CGM % | 3 L PHP-CGM % | 4 L NS % | 5 P Python % </v>
      </c>
      <c r="BY561" s="4" t="str">
        <f ca="1">IFERROR(__xludf.DUMMYFUNCTION("""COMPUTED_VALUE"""),"| 1 P JAVA % | 3 L CPT % | 4 L PHP-CGM % | 5 P JAVA % ")</f>
        <v xml:space="preserve">| 1 P JAVA % | 3 L CPT % | 4 L PHP-CGM % | 5 P JAVA % </v>
      </c>
      <c r="BZ561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CA561" s="4" t="str">
        <f ca="1">IFERROR(__xludf.DUMMYFUNCTION("""COMPUTED_VALUE"""),"| 1 P NS % | 3 L CPT % | 4 L JAVA % | 5 L INE % ")</f>
        <v xml:space="preserve">| 1 P NS % | 3 L CPT % | 4 L JAVA % | 5 L INE % </v>
      </c>
      <c r="CB561" s="4" t="str">
        <f ca="1">IFERROR(__xludf.DUMMYFUNCTION("""COMPUTED_VALUE"""),"| 1 P CPT % | 3 L JAVA % | 4 L NS % | 5 P PRO % ")</f>
        <v xml:space="preserve">| 1 P CPT % | 3 L JAVA % | 4 L NS % | 5 P PRO % </v>
      </c>
      <c r="CC561" s="4" t="str">
        <f ca="1">IFERROR(__xludf.DUMMYFUNCTION("""COMPUTED_VALUE"""),"| 1 P PHP-CGM % | 3 L PHP-CGM % | 4 L NS % | 5 P Python % ")</f>
        <v xml:space="preserve">| 1 P PHP-CGM % | 3 L PHP-CGM % | 4 L NS % | 5 P Python % </v>
      </c>
      <c r="CD561" s="4" t="str">
        <f ca="1">IFERROR(__xludf.DUMMYFUNCTION("""COMPUTED_VALUE"""),"| 1 P JAVA % | 3 L CPT % | 4 L PHP-CGM % ")</f>
        <v xml:space="preserve">| 1 P JAVA % | 3 L CPT % | 4 L PHP-CGM % </v>
      </c>
      <c r="CE561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CF561" s="4" t="str">
        <f ca="1">IFERROR(__xludf.DUMMYFUNCTION("""COMPUTED_VALUE"""),"| 1 P NS % | 3 L CPT @ | 4 L JAVA @ | 5 L INE @ ")</f>
        <v xml:space="preserve">| 1 P NS % | 3 L CPT @ | 4 L JAVA @ | 5 L INE @ </v>
      </c>
      <c r="CG561" s="4" t="str">
        <f ca="1">IFERROR(__xludf.DUMMYFUNCTION("""COMPUTED_VALUE"""),"| 1 P CPT % | 4 L NS @ ")</f>
        <v xml:space="preserve">| 1 P CPT % | 4 L NS @ </v>
      </c>
      <c r="CH561" s="4" t="str">
        <f ca="1">IFERROR(__xludf.DUMMYFUNCTION("""COMPUTED_VALUE"""),"| 1 P PHP-CGM % | 3 L PHP-CGM @ | 4 L NS @ ")</f>
        <v xml:space="preserve">| 1 P PHP-CGM % | 3 L PHP-CGM @ | 4 L NS @ </v>
      </c>
      <c r="CI561" s="4"/>
      <c r="CJ561" s="4" t="str">
        <f ca="1">IFERROR(__xludf.DUMMYFUNCTION("""COMPUTED_VALUE"""),"| 4 L JAVA % ")</f>
        <v xml:space="preserve">| 4 L JAVA % </v>
      </c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</row>
    <row r="562" spans="1:102" ht="12.5" x14ac:dyDescent="0.25">
      <c r="A562" s="3">
        <f ca="1">IFERROR(__xludf.DUMMYFUNCTION("""COMPUTED_VALUE"""),4)</f>
        <v>4</v>
      </c>
      <c r="B562" s="3" t="str">
        <f ca="1">IFERROR(__xludf.DUMMYFUNCTION("""COMPUTED_VALUE"""),"ITC")</f>
        <v>ITC</v>
      </c>
      <c r="C562" s="32" t="str">
        <f ca="1">IFERROR(__xludf.DUMMYFUNCTION("""COMPUTED_VALUE"""),"23171371162")</f>
        <v>23171371162</v>
      </c>
      <c r="D562" s="4" t="str">
        <f ca="1">IFERROR(__xludf.DUMMYFUNCTION("""COMPUTED_VALUE"""),"THAKOR KUNJALSINH PARESHJI")</f>
        <v>THAKOR KUNJALSINH PARESHJI</v>
      </c>
      <c r="E562" s="3" t="str">
        <f ca="1">IFERROR(__xludf.DUMMYFUNCTION("""COMPUTED_VALUE"""),"SDP&amp;KKP - Mor")</f>
        <v>SDP&amp;KKP - Mor</v>
      </c>
      <c r="F562" s="3">
        <f ca="1">IFERROR(__xludf.DUMMYFUNCTION("""COMPUTED_VALUE"""),8200187048)</f>
        <v>8200187048</v>
      </c>
      <c r="G562" s="3">
        <f ca="1">IFERROR(__xludf.DUMMYFUNCTION("""COMPUTED_VALUE"""),9898532010)</f>
        <v>9898532010</v>
      </c>
      <c r="H562" s="33">
        <f ca="1">IFERROR(__xludf.DUMMYFUNCTION("""COMPUTED_VALUE"""),0.493670886075949)</f>
        <v>0.493670886075949</v>
      </c>
      <c r="I562" s="25">
        <f ca="1">IFERROR(__xludf.DUMMYFUNCTION("""COMPUTED_VALUE"""),0.555555555555555)</f>
        <v>0.55555555555555503</v>
      </c>
      <c r="J562" s="25">
        <f ca="1">IFERROR(__xludf.DUMMYFUNCTION("""COMPUTED_VALUE"""),0.416666666666666)</f>
        <v>0.41666666666666602</v>
      </c>
      <c r="K562" s="25">
        <f ca="1">IFERROR(__xludf.DUMMYFUNCTION("""COMPUTED_VALUE"""),0.527777777777777)</f>
        <v>0.52777777777777701</v>
      </c>
      <c r="L562" s="25">
        <f ca="1">IFERROR(__xludf.DUMMYFUNCTION("""COMPUTED_VALUE"""),0.571428571428571)</f>
        <v>0.57142857142857095</v>
      </c>
      <c r="M562" s="25">
        <f ca="1">IFERROR(__xludf.DUMMYFUNCTION("""COMPUTED_VALUE"""),0.46875)</f>
        <v>0.46875</v>
      </c>
      <c r="N562" s="25">
        <f ca="1">IFERROR(__xludf.DUMMYFUNCTION("""COMPUTED_VALUE"""),0.5)</f>
        <v>0.5</v>
      </c>
      <c r="O562" s="25">
        <f ca="1">IFERROR(__xludf.DUMMYFUNCTION("""COMPUTED_VALUE"""),0.54054054054054)</f>
        <v>0.54054054054054002</v>
      </c>
      <c r="P562" s="25">
        <f ca="1">IFERROR(__xludf.DUMMYFUNCTION("""COMPUTED_VALUE"""),0.454545454545454)</f>
        <v>0.45454545454545398</v>
      </c>
      <c r="Q562" s="25">
        <f ca="1">IFERROR(__xludf.DUMMYFUNCTION("""COMPUTED_VALUE"""),0)</f>
        <v>0</v>
      </c>
      <c r="R562" s="25">
        <f ca="1">IFERROR(__xludf.DUMMYFUNCTION("""COMPUTED_VALUE"""),0.421052631578947)</f>
        <v>0.42105263157894701</v>
      </c>
      <c r="S562" s="25">
        <f ca="1">IFERROR(__xludf.DUMMYFUNCTION("""COMPUTED_VALUE"""),0)</f>
        <v>0</v>
      </c>
      <c r="T562" s="25">
        <f ca="1">IFERROR(__xludf.DUMMYFUNCTION("""COMPUTED_VALUE"""),0.454545454545454)</f>
        <v>0.45454545454545398</v>
      </c>
      <c r="U562" s="25">
        <f ca="1">IFERROR(__xludf.DUMMYFUNCTION("""COMPUTED_VALUE"""),0.25)</f>
        <v>0.25</v>
      </c>
      <c r="V562" s="25">
        <f ca="1">IFERROR(__xludf.DUMMYFUNCTION("""COMPUTED_VALUE"""),0)</f>
        <v>0</v>
      </c>
      <c r="W562" s="4"/>
      <c r="X562" s="4" t="str">
        <f ca="1">IFERROR(__xludf.DUMMYFUNCTION("""COMPUTED_VALUE"""),"| 1 P NS @ | 3 L CPT % | 4 L JAVA % ")</f>
        <v xml:space="preserve">| 1 P NS @ | 3 L CPT % | 4 L JAVA % </v>
      </c>
      <c r="Y562" s="4" t="str">
        <f ca="1">IFERROR(__xludf.DUMMYFUNCTION("""COMPUTED_VALUE"""),"| 1 P CPT @ | 3 L JAVA % | 4 L NS % | 5 P PRO % ")</f>
        <v xml:space="preserve">| 1 P CPT @ | 3 L JAVA % | 4 L NS % | 5 P PRO % </v>
      </c>
      <c r="Z562" s="4" t="str">
        <f ca="1">IFERROR(__xludf.DUMMYFUNCTION("""COMPUTED_VALUE"""),"| 3 L PHP-CGM % | 4 L NS % | 5 P Python % ")</f>
        <v xml:space="preserve">| 3 L PHP-CGM % | 4 L NS % | 5 P Python % </v>
      </c>
      <c r="AA562" s="4" t="str">
        <f ca="1">IFERROR(__xludf.DUMMYFUNCTION("""COMPUTED_VALUE"""),"| 1 P NS % | 3 L CPT % | 5 P JAVA % ")</f>
        <v xml:space="preserve">| 1 P NS % | 3 L CPT % | 5 P JAVA % </v>
      </c>
      <c r="AB562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62" s="4" t="str">
        <f ca="1">IFERROR(__xludf.DUMMYFUNCTION("""COMPUTED_VALUE"""),"| 1 P NS % | 3 L CPT % | 4 L JAVA % ")</f>
        <v xml:space="preserve">| 1 P NS % | 3 L CPT % | 4 L JAVA % </v>
      </c>
      <c r="AD562" s="4" t="str">
        <f ca="1">IFERROR(__xludf.DUMMYFUNCTION("""COMPUTED_VALUE"""),"| 1 P CPT % | 3 L JAVA % | 4 L NS % | 5 P PRO % ")</f>
        <v xml:space="preserve">| 1 P CPT % | 3 L JAVA % | 4 L NS % | 5 P PRO % </v>
      </c>
      <c r="AE562" s="4" t="str">
        <f ca="1">IFERROR(__xludf.DUMMYFUNCTION("""COMPUTED_VALUE"""),"| 1 P PHP-CGM % | 3 L PHP-CGM @ | 4 L NS @ ")</f>
        <v xml:space="preserve">| 1 P PHP-CGM % | 3 L PHP-CGM @ | 4 L NS @ </v>
      </c>
      <c r="AF562" s="4" t="str">
        <f ca="1">IFERROR(__xludf.DUMMYFUNCTION("""COMPUTED_VALUE"""),"| 1 P JAVA % | 3 L CPT % | 4 L PHP-CGM % | 5 P JAVA @ ")</f>
        <v xml:space="preserve">| 1 P JAVA % | 3 L CPT % | 4 L PHP-CGM % | 5 P JAVA @ </v>
      </c>
      <c r="AG562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62" s="4" t="str">
        <f ca="1">IFERROR(__xludf.DUMMYFUNCTION("""COMPUTED_VALUE"""),"| 1 P JAVA @ | 3 L CPT @ | 4 L PHP-CGM @ | 5 P JAVA @ ")</f>
        <v xml:space="preserve">| 1 P JAVA @ | 3 L CPT @ | 4 L PHP-CGM @ | 5 P JAVA @ </v>
      </c>
      <c r="AI562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62" s="4" t="str">
        <f ca="1">IFERROR(__xludf.DUMMYFUNCTION("""COMPUTED_VALUE"""),"| 1 P NS % | 3 L CPT % | 4 L JAVA % ")</f>
        <v xml:space="preserve">| 1 P NS % | 3 L CPT % | 4 L JAVA % </v>
      </c>
      <c r="AK562" s="4" t="str">
        <f ca="1">IFERROR(__xludf.DUMMYFUNCTION("""COMPUTED_VALUE"""),"| 1 P CPT @ | 4 L NS % | 3 L JAVA % | 5 P PRO @ ")</f>
        <v xml:space="preserve">| 1 P CPT @ | 4 L NS % | 3 L JAVA % | 5 P PRO @ </v>
      </c>
      <c r="AL562" s="4" t="str">
        <f ca="1">IFERROR(__xludf.DUMMYFUNCTION("""COMPUTED_VALUE"""),"| 1 P PHP-CGM % | 3 L PHP-CGM % | 4 L NS % | 5 P Python % ")</f>
        <v xml:space="preserve">| 1 P PHP-CGM % | 3 L PHP-CGM % | 4 L NS % | 5 P Python % </v>
      </c>
      <c r="AM562" s="4" t="str">
        <f ca="1">IFERROR(__xludf.DUMMYFUNCTION("""COMPUTED_VALUE"""),"| 1 P JAVA % | 3 L CPT % | 4 L PHP-CGM % | 5 P JAVA @ ")</f>
        <v xml:space="preserve">| 1 P JAVA % | 3 L CPT % | 4 L PHP-CGM % | 5 P JAVA @ </v>
      </c>
      <c r="AN562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62" s="4" t="str">
        <f ca="1">IFERROR(__xludf.DUMMYFUNCTION("""COMPUTED_VALUE"""),"| 1 P NS % | 3 L CPT % | 4 L JAVA % | 5 L INE @ ")</f>
        <v xml:space="preserve">| 1 P NS % | 3 L CPT % | 4 L JAVA % | 5 L INE @ </v>
      </c>
      <c r="AP562" s="4" t="str">
        <f ca="1">IFERROR(__xludf.DUMMYFUNCTION("""COMPUTED_VALUE"""),"| 1 P CPT @ | 3 L JAVA % | 4 L NS % | 5 P PRO @ ")</f>
        <v xml:space="preserve">| 1 P CPT @ | 3 L JAVA % | 4 L NS % | 5 P PRO @ </v>
      </c>
      <c r="AQ562" s="4" t="str">
        <f ca="1">IFERROR(__xludf.DUMMYFUNCTION("""COMPUTED_VALUE"""),"| 1 P PHP-CGM @ | 3 L PHP-CGM @ | 4 L NS @ | 5 P Python @ ")</f>
        <v xml:space="preserve">| 1 P PHP-CGM @ | 3 L PHP-CGM @ | 4 L NS @ | 5 P Python @ </v>
      </c>
      <c r="AR562" s="4" t="str">
        <f ca="1">IFERROR(__xludf.DUMMYFUNCTION("""COMPUTED_VALUE"""),"| 1 P JAVA % | 3 L CPT % | 5 P JAVA % ")</f>
        <v xml:space="preserve">| 1 P JAVA % | 3 L CPT % | 5 P JAVA % </v>
      </c>
      <c r="AS562" s="4" t="str">
        <f ca="1">IFERROR(__xludf.DUMMYFUNCTION("""COMPUTED_VALUE"""),"| 1 P NS % | 3 L CPT % | 4 L JAVA % | 5 L INE @ ")</f>
        <v xml:space="preserve">| 1 P NS % | 3 L CPT % | 4 L JAVA % | 5 L INE @ </v>
      </c>
      <c r="AT562" s="4" t="str">
        <f ca="1">IFERROR(__xludf.DUMMYFUNCTION("""COMPUTED_VALUE"""),"| 1 P CPT @ | 3 L JAVA % | 1 P JAVA @ | 4 L NS % | 5 P PRO @ ")</f>
        <v xml:space="preserve">| 1 P CPT @ | 3 L JAVA % | 1 P JAVA @ | 4 L NS % | 5 P PRO @ </v>
      </c>
      <c r="AU562" s="4" t="str">
        <f ca="1">IFERROR(__xludf.DUMMYFUNCTION("""COMPUTED_VALUE"""),"| 1 P PHP-CGM % | 3 L PHP-CGM % | 4 L NS % | 5 P Python % ")</f>
        <v xml:space="preserve">| 1 P PHP-CGM % | 3 L PHP-CGM % | 4 L NS % | 5 P Python % </v>
      </c>
      <c r="AV562" s="4" t="str">
        <f ca="1">IFERROR(__xludf.DUMMYFUNCTION("""COMPUTED_VALUE"""),"| 1 P JAVA % | 3 L CPT % | 4 L PHP-CGM % | 5 P JAVA % ")</f>
        <v xml:space="preserve">| 1 P JAVA % | 3 L CPT % | 4 L PHP-CGM % | 5 P JAVA % </v>
      </c>
      <c r="AW562" s="4" t="str">
        <f ca="1">IFERROR(__xludf.DUMMYFUNCTION("""COMPUTED_VALUE"""),"| 1 P Python @ | 3 L PHP-CGM @ | 4 L JAVA @ | 5 L NS % | 5 L CPT % ")</f>
        <v xml:space="preserve">| 1 P Python @ | 3 L PHP-CGM @ | 4 L JAVA @ | 5 L NS % | 5 L CPT % </v>
      </c>
      <c r="AX562" s="4" t="str">
        <f ca="1">IFERROR(__xludf.DUMMYFUNCTION("""COMPUTED_VALUE"""),"| 1 P NS % | 3 L CPT % | 4 L JAVA % | 5 L INE % ")</f>
        <v xml:space="preserve">| 1 P NS % | 3 L CPT % | 4 L JAVA % | 5 L INE % </v>
      </c>
      <c r="AY562" s="4" t="str">
        <f ca="1">IFERROR(__xludf.DUMMYFUNCTION("""COMPUTED_VALUE"""),"| 1 P CPT % | 3 L JAVA % | 4 L NS % | 5 P PRO % ")</f>
        <v xml:space="preserve">| 1 P CPT % | 3 L JAVA % | 4 L NS % | 5 P PRO % </v>
      </c>
      <c r="AZ562" s="4" t="str">
        <f ca="1">IFERROR(__xludf.DUMMYFUNCTION("""COMPUTED_VALUE"""),"| 1 P JAVA @ | 3 L CPT @ | 4 L PHP-CGM @ | 5 P JAVA @ ")</f>
        <v xml:space="preserve">| 1 P JAVA @ | 3 L CPT @ | 4 L PHP-CGM @ | 5 P JAVA @ </v>
      </c>
      <c r="BA562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62" s="4" t="str">
        <f ca="1">IFERROR(__xludf.DUMMYFUNCTION("""COMPUTED_VALUE"""),"| 1 P NS % | 3 L CPT % | 4 L JAVA % | 5 L INE @ ")</f>
        <v xml:space="preserve">| 1 P NS % | 3 L CPT % | 4 L JAVA % | 5 L INE @ </v>
      </c>
      <c r="BC562" s="4" t="str">
        <f ca="1">IFERROR(__xludf.DUMMYFUNCTION("""COMPUTED_VALUE"""),"| 1 P CPT % | 3 L JAVA % | 4 L NS % | 5 P PRO % ")</f>
        <v xml:space="preserve">| 1 P CPT % | 3 L JAVA % | 4 L NS % | 5 P PRO % </v>
      </c>
      <c r="BD562" s="4" t="str">
        <f ca="1">IFERROR(__xludf.DUMMYFUNCTION("""COMPUTED_VALUE"""),"| 1 P PHP-CGM @ | 4 L NS %  | 3 L PHP-CGM % | 5 P Python @ ")</f>
        <v xml:space="preserve">| 1 P PHP-CGM @ | 4 L NS %  | 3 L PHP-CGM % | 5 P Python @ </v>
      </c>
      <c r="BE562" s="4" t="str">
        <f ca="1">IFERROR(__xludf.DUMMYFUNCTION("""COMPUTED_VALUE"""),"| 1 P JAVA % | 3 L CPT % | 4 L PHP-CGM % | 5 P JAVA % ")</f>
        <v xml:space="preserve">| 1 P JAVA % | 3 L CPT % | 4 L PHP-CGM % | 5 P JAVA % </v>
      </c>
      <c r="BF562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62" s="4" t="str">
        <f ca="1">IFERROR(__xludf.DUMMYFUNCTION("""COMPUTED_VALUE"""),"| 3 L JAVA @ | 4 L NS @ | 5 P PRO @ ")</f>
        <v xml:space="preserve">| 3 L JAVA @ | 4 L NS @ | 5 P PRO @ </v>
      </c>
      <c r="BH562" s="4" t="str">
        <f ca="1">IFERROR(__xludf.DUMMYFUNCTION("""COMPUTED_VALUE"""),"| 1 P PHP-CGM @ | 3 L PHP-CGM % | 4 L NS % | 5 P Python @ ")</f>
        <v xml:space="preserve">| 1 P PHP-CGM @ | 3 L PHP-CGM % | 4 L NS % | 5 P Python @ </v>
      </c>
      <c r="BI562" s="4" t="str">
        <f ca="1">IFERROR(__xludf.DUMMYFUNCTION("""COMPUTED_VALUE"""),"| 1 P JAVA @ | 3 L CPT @ | 4 L PHP-CGM @ | 5 P JAVA @ ")</f>
        <v xml:space="preserve">| 1 P JAVA @ | 3 L CPT @ | 4 L PHP-CGM @ | 5 P JAVA @ </v>
      </c>
      <c r="BJ562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2" s="4" t="str">
        <f ca="1">IFERROR(__xludf.DUMMYFUNCTION("""COMPUTED_VALUE"""),"| 1 P NS @ | 3 L CPT @ | 4 L JAVA @ | 5 L INE @ ")</f>
        <v xml:space="preserve">| 1 P NS @ | 3 L CPT @ | 4 L JAVA @ | 5 L INE @ </v>
      </c>
      <c r="BL562" s="4" t="str">
        <f ca="1">IFERROR(__xludf.DUMMYFUNCTION("""COMPUTED_VALUE"""),"| 1 P CPT @ | 3 L JAVA @ | 4 L NS @ | 5 P PRO @ ")</f>
        <v xml:space="preserve">| 1 P CPT @ | 3 L JAVA @ | 4 L NS @ | 5 P PRO @ </v>
      </c>
      <c r="BM562" s="4" t="str">
        <f ca="1">IFERROR(__xludf.DUMMYFUNCTION("""COMPUTED_VALUE"""),"| 1 P PHP-CGM @ | 3 L PHP-CGM @ | 4 L NS @ | 5 P Python @ ")</f>
        <v xml:space="preserve">| 1 P PHP-CGM @ | 3 L PHP-CGM @ | 4 L NS @ | 5 P Python @ </v>
      </c>
      <c r="BN562" s="4" t="str">
        <f ca="1">IFERROR(__xludf.DUMMYFUNCTION("""COMPUTED_VALUE"""),"| 1 P JAVA @ | 3 L CPT @ | 4 L PHP-CGM @ ")</f>
        <v xml:space="preserve">| 1 P JAVA @ | 3 L CPT @ | 4 L PHP-CGM @ </v>
      </c>
      <c r="BO562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2" s="4" t="str">
        <f ca="1">IFERROR(__xludf.DUMMYFUNCTION("""COMPUTED_VALUE"""),"| 1 P NS @ | 3 L CPT @ | 4 L JAVA @ | 5 L INE @ ")</f>
        <v xml:space="preserve">| 1 P NS @ | 3 L CPT @ | 4 L JAVA @ | 5 L INE @ </v>
      </c>
      <c r="BQ562" s="4" t="str">
        <f ca="1">IFERROR(__xludf.DUMMYFUNCTION("""COMPUTED_VALUE"""),"| 4 L NS @ ")</f>
        <v xml:space="preserve">| 4 L NS @ </v>
      </c>
      <c r="BR562" s="4"/>
      <c r="BS562" s="4"/>
      <c r="BT562" s="4" t="str">
        <f ca="1">IFERROR(__xludf.DUMMYFUNCTION("""COMPUTED_VALUE"""),"| 1 P NS @ | 3 L CPT @ | 4 L JAVA @ ")</f>
        <v xml:space="preserve">| 1 P NS @ | 3 L CPT @ | 4 L JAVA @ </v>
      </c>
      <c r="BU562" s="4" t="str">
        <f ca="1">IFERROR(__xludf.DUMMYFUNCTION("""COMPUTED_VALUE"""),"| 1 P CPT @ | 4 L NS @ | 3 L JAVA @ ")</f>
        <v xml:space="preserve">| 1 P CPT @ | 4 L NS @ | 3 L JAVA @ </v>
      </c>
      <c r="BV562" s="4" t="str">
        <f ca="1">IFERROR(__xludf.DUMMYFUNCTION("""COMPUTED_VALUE"""),"| 1 P NS @ | 3 L CPT @ | 4 L JAVA @ ")</f>
        <v xml:space="preserve">| 1 P NS @ | 3 L CPT @ | 4 L JAVA @ </v>
      </c>
      <c r="BW562" s="4" t="str">
        <f ca="1">IFERROR(__xludf.DUMMYFUNCTION("""COMPUTED_VALUE"""),"| 1 P CPT @ | 3 L JAVA @ | 4 L NS @ ")</f>
        <v xml:space="preserve">| 1 P CPT @ | 3 L JAVA @ | 4 L NS @ </v>
      </c>
      <c r="BX562" s="4" t="str">
        <f ca="1">IFERROR(__xludf.DUMMYFUNCTION("""COMPUTED_VALUE"""),"| 1 P PHP-CGM @ | 3 L PHP-CGM % | 4 L NS % | 5 P Python @ ")</f>
        <v xml:space="preserve">| 1 P PHP-CGM @ | 3 L PHP-CGM % | 4 L NS % | 5 P Python @ </v>
      </c>
      <c r="BY562" s="4" t="str">
        <f ca="1">IFERROR(__xludf.DUMMYFUNCTION("""COMPUTED_VALUE"""),"| 1 P JAVA @ | 3 L CPT @ | 4 L PHP-CGM @ | 5 P JAVA @ ")</f>
        <v xml:space="preserve">| 1 P JAVA @ | 3 L CPT @ | 4 L PHP-CGM @ | 5 P JAVA @ </v>
      </c>
      <c r="BZ562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62" s="4" t="str">
        <f ca="1">IFERROR(__xludf.DUMMYFUNCTION("""COMPUTED_VALUE"""),"| 1 P NS @ | 3 L CPT @ | 4 L JAVA @ | 5 L INE % ")</f>
        <v xml:space="preserve">| 1 P NS @ | 3 L CPT @ | 4 L JAVA @ | 5 L INE % </v>
      </c>
      <c r="CB562" s="4" t="str">
        <f ca="1">IFERROR(__xludf.DUMMYFUNCTION("""COMPUTED_VALUE"""),"| 1 P CPT % | 3 L JAVA @ | 4 L NS @ | 5 P PRO @ ")</f>
        <v xml:space="preserve">| 1 P CPT % | 3 L JAVA @ | 4 L NS @ | 5 P PRO @ </v>
      </c>
      <c r="CC562" s="4" t="str">
        <f ca="1">IFERROR(__xludf.DUMMYFUNCTION("""COMPUTED_VALUE"""),"| 1 P PHP-CGM % | 3 L PHP-CGM @ | 4 L NS @ | 5 P Python % ")</f>
        <v xml:space="preserve">| 1 P PHP-CGM % | 3 L PHP-CGM @ | 4 L NS @ | 5 P Python % </v>
      </c>
      <c r="CD562" s="4" t="str">
        <f ca="1">IFERROR(__xludf.DUMMYFUNCTION("""COMPUTED_VALUE"""),"| 1 P JAVA % | 3 L CPT @ | 4 L PHP-CGM @ ")</f>
        <v xml:space="preserve">| 1 P JAVA % | 3 L CPT @ | 4 L PHP-CGM @ </v>
      </c>
      <c r="CE562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62" s="4" t="str">
        <f ca="1">IFERROR(__xludf.DUMMYFUNCTION("""COMPUTED_VALUE"""),"| 1 P NS % | 3 L CPT @ | 4 L JAVA @ | 5 L INE @ ")</f>
        <v xml:space="preserve">| 1 P NS % | 3 L CPT @ | 4 L JAVA @ | 5 L INE @ </v>
      </c>
      <c r="CG562" s="4" t="str">
        <f ca="1">IFERROR(__xludf.DUMMYFUNCTION("""COMPUTED_VALUE"""),"| 1 P CPT % | 4 L NS @ ")</f>
        <v xml:space="preserve">| 1 P CPT % | 4 L NS @ </v>
      </c>
      <c r="CH562" s="4" t="str">
        <f ca="1">IFERROR(__xludf.DUMMYFUNCTION("""COMPUTED_VALUE"""),"| 1 P PHP-CGM % | 3 L PHP-CGM @ | 4 L NS @ ")</f>
        <v xml:space="preserve">| 1 P PHP-CGM % | 3 L PHP-CGM @ | 4 L NS @ </v>
      </c>
      <c r="CI562" s="4"/>
      <c r="CJ562" s="4" t="str">
        <f ca="1">IFERROR(__xludf.DUMMYFUNCTION("""COMPUTED_VALUE"""),"| 4 L JAVA % ")</f>
        <v xml:space="preserve">| 4 L JAVA % </v>
      </c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</row>
    <row r="563" spans="1:102" ht="12.5" x14ac:dyDescent="0.25">
      <c r="A563" s="3">
        <f ca="1">IFERROR(__xludf.DUMMYFUNCTION("""COMPUTED_VALUE"""),4)</f>
        <v>4</v>
      </c>
      <c r="B563" s="3" t="str">
        <f ca="1">IFERROR(__xludf.DUMMYFUNCTION("""COMPUTED_VALUE"""),"ITC")</f>
        <v>ITC</v>
      </c>
      <c r="C563" s="32" t="str">
        <f ca="1">IFERROR(__xludf.DUMMYFUNCTION("""COMPUTED_VALUE"""),"23171371164")</f>
        <v>23171371164</v>
      </c>
      <c r="D563" s="4" t="str">
        <f ca="1">IFERROR(__xludf.DUMMYFUNCTION("""COMPUTED_VALUE"""),"THAKOR NIRMAL VIJAYJI")</f>
        <v>THAKOR NIRMAL VIJAYJI</v>
      </c>
      <c r="E563" s="3" t="str">
        <f ca="1">IFERROR(__xludf.DUMMYFUNCTION("""COMPUTED_VALUE"""),"SDP&amp;KKP - Mor")</f>
        <v>SDP&amp;KKP - Mor</v>
      </c>
      <c r="F563" s="3">
        <f ca="1">IFERROR(__xludf.DUMMYFUNCTION("""COMPUTED_VALUE"""),9099762151)</f>
        <v>9099762151</v>
      </c>
      <c r="G563" s="3">
        <f ca="1">IFERROR(__xludf.DUMMYFUNCTION("""COMPUTED_VALUE"""),9099762151)</f>
        <v>9099762151</v>
      </c>
      <c r="H563" s="33">
        <f ca="1">IFERROR(__xludf.DUMMYFUNCTION("""COMPUTED_VALUE"""),0.497890295358649)</f>
        <v>0.49789029535864898</v>
      </c>
      <c r="I563" s="25">
        <f ca="1">IFERROR(__xludf.DUMMYFUNCTION("""COMPUTED_VALUE"""),0.555555555555555)</f>
        <v>0.55555555555555503</v>
      </c>
      <c r="J563" s="25">
        <f ca="1">IFERROR(__xludf.DUMMYFUNCTION("""COMPUTED_VALUE"""),0.416666666666666)</f>
        <v>0.41666666666666602</v>
      </c>
      <c r="K563" s="25">
        <f ca="1">IFERROR(__xludf.DUMMYFUNCTION("""COMPUTED_VALUE"""),0.5)</f>
        <v>0.5</v>
      </c>
      <c r="L563" s="25">
        <f ca="1">IFERROR(__xludf.DUMMYFUNCTION("""COMPUTED_VALUE"""),0.642857142857142)</f>
        <v>0.64285714285714202</v>
      </c>
      <c r="M563" s="25">
        <f ca="1">IFERROR(__xludf.DUMMYFUNCTION("""COMPUTED_VALUE"""),0.5)</f>
        <v>0.5</v>
      </c>
      <c r="N563" s="25">
        <f ca="1">IFERROR(__xludf.DUMMYFUNCTION("""COMPUTED_VALUE"""),0.5)</f>
        <v>0.5</v>
      </c>
      <c r="O563" s="25">
        <f ca="1">IFERROR(__xludf.DUMMYFUNCTION("""COMPUTED_VALUE"""),0.513513513513513)</f>
        <v>0.51351351351351304</v>
      </c>
      <c r="P563" s="25">
        <f ca="1">IFERROR(__xludf.DUMMYFUNCTION("""COMPUTED_VALUE"""),0.545454545454545)</f>
        <v>0.54545454545454497</v>
      </c>
      <c r="Q563" s="25">
        <f ca="1">IFERROR(__xludf.DUMMYFUNCTION("""COMPUTED_VALUE"""),0)</f>
        <v>0</v>
      </c>
      <c r="R563" s="25">
        <f ca="1">IFERROR(__xludf.DUMMYFUNCTION("""COMPUTED_VALUE"""),0.421052631578947)</f>
        <v>0.42105263157894701</v>
      </c>
      <c r="S563" s="25">
        <f ca="1">IFERROR(__xludf.DUMMYFUNCTION("""COMPUTED_VALUE"""),0)</f>
        <v>0</v>
      </c>
      <c r="T563" s="25">
        <f ca="1">IFERROR(__xludf.DUMMYFUNCTION("""COMPUTED_VALUE"""),0.363636363636363)</f>
        <v>0.36363636363636298</v>
      </c>
      <c r="U563" s="25">
        <f ca="1">IFERROR(__xludf.DUMMYFUNCTION("""COMPUTED_VALUE"""),0.25)</f>
        <v>0.25</v>
      </c>
      <c r="V563" s="25">
        <f ca="1">IFERROR(__xludf.DUMMYFUNCTION("""COMPUTED_VALUE"""),0)</f>
        <v>0</v>
      </c>
      <c r="W563" s="4"/>
      <c r="X563" s="4" t="str">
        <f ca="1">IFERROR(__xludf.DUMMYFUNCTION("""COMPUTED_VALUE"""),"| 1 P NS @ | 3 L CPT % | 4 L JAVA % ")</f>
        <v xml:space="preserve">| 1 P NS @ | 3 L CPT % | 4 L JAVA % </v>
      </c>
      <c r="Y563" s="4" t="str">
        <f ca="1">IFERROR(__xludf.DUMMYFUNCTION("""COMPUTED_VALUE"""),"| 1 P CPT @ | 3 L JAVA % | 4 L NS % | 5 P PRO % ")</f>
        <v xml:space="preserve">| 1 P CPT @ | 3 L JAVA % | 4 L NS % | 5 P PRO % </v>
      </c>
      <c r="Z563" s="4" t="str">
        <f ca="1">IFERROR(__xludf.DUMMYFUNCTION("""COMPUTED_VALUE"""),"| 3 L PHP-CGM % | 4 L NS % | 5 P Python % ")</f>
        <v xml:space="preserve">| 3 L PHP-CGM % | 4 L NS % | 5 P Python % </v>
      </c>
      <c r="AA563" s="4" t="str">
        <f ca="1">IFERROR(__xludf.DUMMYFUNCTION("""COMPUTED_VALUE"""),"| 1 P NS % | 3 L CPT % | 5 P JAVA % ")</f>
        <v xml:space="preserve">| 1 P NS % | 3 L CPT % | 5 P JAVA % </v>
      </c>
      <c r="AB563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63" s="4" t="str">
        <f ca="1">IFERROR(__xludf.DUMMYFUNCTION("""COMPUTED_VALUE"""),"| 1 P NS % | 3 L CPT % | 4 L JAVA % ")</f>
        <v xml:space="preserve">| 1 P NS % | 3 L CPT % | 4 L JAVA % </v>
      </c>
      <c r="AD563" s="4" t="str">
        <f ca="1">IFERROR(__xludf.DUMMYFUNCTION("""COMPUTED_VALUE"""),"| 1 P CPT % | 3 L JAVA % | 4 L NS % | 5 P PRO % ")</f>
        <v xml:space="preserve">| 1 P CPT % | 3 L JAVA % | 4 L NS % | 5 P PRO % </v>
      </c>
      <c r="AE563" s="4" t="str">
        <f ca="1">IFERROR(__xludf.DUMMYFUNCTION("""COMPUTED_VALUE"""),"| 1 P PHP-CGM % | 3 L PHP-CGM @ | 4 L NS @ ")</f>
        <v xml:space="preserve">| 1 P PHP-CGM % | 3 L PHP-CGM @ | 4 L NS @ </v>
      </c>
      <c r="AF563" s="4" t="str">
        <f ca="1">IFERROR(__xludf.DUMMYFUNCTION("""COMPUTED_VALUE"""),"| 1 P JAVA % | 3 L CPT % | 4 L PHP-CGM % | 5 P JAVA @ ")</f>
        <v xml:space="preserve">| 1 P JAVA % | 3 L CPT % | 4 L PHP-CGM % | 5 P JAVA @ </v>
      </c>
      <c r="AG563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63" s="4" t="str">
        <f ca="1">IFERROR(__xludf.DUMMYFUNCTION("""COMPUTED_VALUE"""),"| 1 P JAVA @ | 3 L CPT @ | 4 L PHP-CGM @ | 5 P JAVA @ ")</f>
        <v xml:space="preserve">| 1 P JAVA @ | 3 L CPT @ | 4 L PHP-CGM @ | 5 P JAVA @ </v>
      </c>
      <c r="AI563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63" s="4" t="str">
        <f ca="1">IFERROR(__xludf.DUMMYFUNCTION("""COMPUTED_VALUE"""),"| 1 P NS % | 3 L CPT % | 4 L JAVA % ")</f>
        <v xml:space="preserve">| 1 P NS % | 3 L CPT % | 4 L JAVA % </v>
      </c>
      <c r="AK563" s="4" t="str">
        <f ca="1">IFERROR(__xludf.DUMMYFUNCTION("""COMPUTED_VALUE"""),"| 1 P CPT @ | 4 L NS % | 3 L JAVA % | 5 P PRO @ ")</f>
        <v xml:space="preserve">| 1 P CPT @ | 4 L NS % | 3 L JAVA % | 5 P PRO @ </v>
      </c>
      <c r="AL563" s="4" t="str">
        <f ca="1">IFERROR(__xludf.DUMMYFUNCTION("""COMPUTED_VALUE"""),"| 1 P PHP-CGM % | 3 L PHP-CGM % | 4 L NS % | 5 P Python % ")</f>
        <v xml:space="preserve">| 1 P PHP-CGM % | 3 L PHP-CGM % | 4 L NS % | 5 P Python % </v>
      </c>
      <c r="AM563" s="4" t="str">
        <f ca="1">IFERROR(__xludf.DUMMYFUNCTION("""COMPUTED_VALUE"""),"| 1 P JAVA % | 3 L CPT % | 4 L PHP-CGM % | 5 P JAVA @ ")</f>
        <v xml:space="preserve">| 1 P JAVA % | 3 L CPT % | 4 L PHP-CGM % | 5 P JAVA @ </v>
      </c>
      <c r="AN563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63" s="4" t="str">
        <f ca="1">IFERROR(__xludf.DUMMYFUNCTION("""COMPUTED_VALUE"""),"| 1 P NS % | 3 L CPT % | 4 L JAVA % | 5 L INE @ ")</f>
        <v xml:space="preserve">| 1 P NS % | 3 L CPT % | 4 L JAVA % | 5 L INE @ </v>
      </c>
      <c r="AP563" s="4" t="str">
        <f ca="1">IFERROR(__xludf.DUMMYFUNCTION("""COMPUTED_VALUE"""),"| 1 P CPT @ | 3 L JAVA % | 4 L NS % | 5 P PRO @ ")</f>
        <v xml:space="preserve">| 1 P CPT @ | 3 L JAVA % | 4 L NS % | 5 P PRO @ </v>
      </c>
      <c r="AQ563" s="4" t="str">
        <f ca="1">IFERROR(__xludf.DUMMYFUNCTION("""COMPUTED_VALUE"""),"| 1 P PHP-CGM @ | 3 L PHP-CGM @ | 4 L NS @ | 5 P Python @ ")</f>
        <v xml:space="preserve">| 1 P PHP-CGM @ | 3 L PHP-CGM @ | 4 L NS @ | 5 P Python @ </v>
      </c>
      <c r="AR563" s="4" t="str">
        <f ca="1">IFERROR(__xludf.DUMMYFUNCTION("""COMPUTED_VALUE"""),"| 1 P JAVA % | 3 L CPT % | 5 P JAVA % ")</f>
        <v xml:space="preserve">| 1 P JAVA % | 3 L CPT % | 5 P JAVA % </v>
      </c>
      <c r="AS563" s="4" t="str">
        <f ca="1">IFERROR(__xludf.DUMMYFUNCTION("""COMPUTED_VALUE"""),"| 1 P NS % | 3 L CPT % | 4 L JAVA % | 5 L INE @ ")</f>
        <v xml:space="preserve">| 1 P NS % | 3 L CPT % | 4 L JAVA % | 5 L INE @ </v>
      </c>
      <c r="AT563" s="4" t="str">
        <f ca="1">IFERROR(__xludf.DUMMYFUNCTION("""COMPUTED_VALUE"""),"| 1 P CPT @ | 3 L JAVA @ | 1 P JAVA @ | 4 L NS % | 5 P PRO @ ")</f>
        <v xml:space="preserve">| 1 P CPT @ | 3 L JAVA @ | 1 P JAVA @ | 4 L NS % | 5 P PRO @ </v>
      </c>
      <c r="AU563" s="4" t="str">
        <f ca="1">IFERROR(__xludf.DUMMYFUNCTION("""COMPUTED_VALUE"""),"| 1 P PHP-CGM % | 3 L PHP-CGM % | 4 L NS % | 5 P Python % ")</f>
        <v xml:space="preserve">| 1 P PHP-CGM % | 3 L PHP-CGM % | 4 L NS % | 5 P Python % </v>
      </c>
      <c r="AV563" s="4" t="str">
        <f ca="1">IFERROR(__xludf.DUMMYFUNCTION("""COMPUTED_VALUE"""),"| 1 P JAVA % | 3 L CPT % | 4 L PHP-CGM % | 5 P JAVA % ")</f>
        <v xml:space="preserve">| 1 P JAVA % | 3 L CPT % | 4 L PHP-CGM % | 5 P JAVA % </v>
      </c>
      <c r="AW563" s="4" t="str">
        <f ca="1">IFERROR(__xludf.DUMMYFUNCTION("""COMPUTED_VALUE"""),"| 1 P Python @ | 3 L PHP-CGM @ | 4 L JAVA @ | 5 L NS @ | 5 L CPT @ ")</f>
        <v xml:space="preserve">| 1 P Python @ | 3 L PHP-CGM @ | 4 L JAVA @ | 5 L NS @ | 5 L CPT @ </v>
      </c>
      <c r="AX563" s="4" t="str">
        <f ca="1">IFERROR(__xludf.DUMMYFUNCTION("""COMPUTED_VALUE"""),"| 1 P NS % | 3 L CPT % | 4 L JAVA % | 5 L INE % ")</f>
        <v xml:space="preserve">| 1 P NS % | 3 L CPT % | 4 L JAVA % | 5 L INE % </v>
      </c>
      <c r="AY563" s="4" t="str">
        <f ca="1">IFERROR(__xludf.DUMMYFUNCTION("""COMPUTED_VALUE"""),"| 1 P CPT % | 3 L JAVA % | 4 L NS % | 5 P PRO @ ")</f>
        <v xml:space="preserve">| 1 P CPT % | 3 L JAVA % | 4 L NS % | 5 P PRO @ </v>
      </c>
      <c r="AZ563" s="4" t="str">
        <f ca="1">IFERROR(__xludf.DUMMYFUNCTION("""COMPUTED_VALUE"""),"| 1 P JAVA % | 3 L CPT % | 4 L PHP-CGM % | 5 P JAVA % ")</f>
        <v xml:space="preserve">| 1 P JAVA % | 3 L CPT % | 4 L PHP-CGM % | 5 P JAVA % </v>
      </c>
      <c r="BA56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63" s="4" t="str">
        <f ca="1">IFERROR(__xludf.DUMMYFUNCTION("""COMPUTED_VALUE"""),"| 1 P NS % | 3 L CPT % | 4 L JAVA % | 5 L INE @ ")</f>
        <v xml:space="preserve">| 1 P NS % | 3 L CPT % | 4 L JAVA % | 5 L INE @ </v>
      </c>
      <c r="BC563" s="4" t="str">
        <f ca="1">IFERROR(__xludf.DUMMYFUNCTION("""COMPUTED_VALUE"""),"| 1 P CPT % | 3 L JAVA % | 4 L NS % | 5 P PRO % ")</f>
        <v xml:space="preserve">| 1 P CPT % | 3 L JAVA % | 4 L NS % | 5 P PRO % </v>
      </c>
      <c r="BD563" s="4" t="str">
        <f ca="1">IFERROR(__xludf.DUMMYFUNCTION("""COMPUTED_VALUE"""),"| 1 P PHP-CGM @ | 4 L NS %  | 3 L PHP-CGM % | 5 P Python @ ")</f>
        <v xml:space="preserve">| 1 P PHP-CGM @ | 4 L NS %  | 3 L PHP-CGM % | 5 P Python @ </v>
      </c>
      <c r="BE563" s="4" t="str">
        <f ca="1">IFERROR(__xludf.DUMMYFUNCTION("""COMPUTED_VALUE"""),"| 1 P JAVA % | 3 L CPT % | 4 L PHP-CGM % | 5 P JAVA % ")</f>
        <v xml:space="preserve">| 1 P JAVA % | 3 L CPT % | 4 L PHP-CGM % | 5 P JAVA % </v>
      </c>
      <c r="BF563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63" s="4" t="str">
        <f ca="1">IFERROR(__xludf.DUMMYFUNCTION("""COMPUTED_VALUE"""),"| 3 L JAVA @ | 4 L NS @ | 5 P PRO @ ")</f>
        <v xml:space="preserve">| 3 L JAVA @ | 4 L NS @ | 5 P PRO @ </v>
      </c>
      <c r="BH563" s="4" t="str">
        <f ca="1">IFERROR(__xludf.DUMMYFUNCTION("""COMPUTED_VALUE"""),"| 1 P PHP-CGM @ | 3 L PHP-CGM % | 4 L NS % | 5 P Python @ ")</f>
        <v xml:space="preserve">| 1 P PHP-CGM @ | 3 L PHP-CGM % | 4 L NS % | 5 P Python @ </v>
      </c>
      <c r="BI563" s="4" t="str">
        <f ca="1">IFERROR(__xludf.DUMMYFUNCTION("""COMPUTED_VALUE"""),"| 1 P JAVA @ | 3 L CPT @ | 4 L PHP-CGM @ | 5 P JAVA @ ")</f>
        <v xml:space="preserve">| 1 P JAVA @ | 3 L CPT @ | 4 L PHP-CGM @ | 5 P JAVA @ </v>
      </c>
      <c r="BJ56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3" s="4" t="str">
        <f ca="1">IFERROR(__xludf.DUMMYFUNCTION("""COMPUTED_VALUE"""),"| 1 P NS @ | 3 L CPT @ | 4 L JAVA @ | 5 L INE @ ")</f>
        <v xml:space="preserve">| 1 P NS @ | 3 L CPT @ | 4 L JAVA @ | 5 L INE @ </v>
      </c>
      <c r="BL563" s="4" t="str">
        <f ca="1">IFERROR(__xludf.DUMMYFUNCTION("""COMPUTED_VALUE"""),"| 1 P CPT @ | 3 L JAVA @ | 4 L NS @ | 5 P PRO @ ")</f>
        <v xml:space="preserve">| 1 P CPT @ | 3 L JAVA @ | 4 L NS @ | 5 P PRO @ </v>
      </c>
      <c r="BM563" s="4" t="str">
        <f ca="1">IFERROR(__xludf.DUMMYFUNCTION("""COMPUTED_VALUE"""),"| 1 P PHP-CGM @ | 3 L PHP-CGM @ | 4 L NS @ | 5 P Python @ ")</f>
        <v xml:space="preserve">| 1 P PHP-CGM @ | 3 L PHP-CGM @ | 4 L NS @ | 5 P Python @ </v>
      </c>
      <c r="BN563" s="4" t="str">
        <f ca="1">IFERROR(__xludf.DUMMYFUNCTION("""COMPUTED_VALUE"""),"| 1 P JAVA @ | 3 L CPT @ | 4 L PHP-CGM @ ")</f>
        <v xml:space="preserve">| 1 P JAVA @ | 3 L CPT @ | 4 L PHP-CGM @ </v>
      </c>
      <c r="BO563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3" s="4" t="str">
        <f ca="1">IFERROR(__xludf.DUMMYFUNCTION("""COMPUTED_VALUE"""),"| 1 P NS @ | 3 L CPT @ | 4 L JAVA @ | 5 L INE @ ")</f>
        <v xml:space="preserve">| 1 P NS @ | 3 L CPT @ | 4 L JAVA @ | 5 L INE @ </v>
      </c>
      <c r="BQ563" s="4" t="str">
        <f ca="1">IFERROR(__xludf.DUMMYFUNCTION("""COMPUTED_VALUE"""),"| 4 L NS @ ")</f>
        <v xml:space="preserve">| 4 L NS @ </v>
      </c>
      <c r="BR563" s="4"/>
      <c r="BS563" s="4"/>
      <c r="BT563" s="4" t="str">
        <f ca="1">IFERROR(__xludf.DUMMYFUNCTION("""COMPUTED_VALUE"""),"| 1 P NS @ | 3 L CPT @ | 4 L JAVA @ ")</f>
        <v xml:space="preserve">| 1 P NS @ | 3 L CPT @ | 4 L JAVA @ </v>
      </c>
      <c r="BU563" s="4" t="str">
        <f ca="1">IFERROR(__xludf.DUMMYFUNCTION("""COMPUTED_VALUE"""),"| 1 P CPT @ | 4 L NS @ | 3 L JAVA @ ")</f>
        <v xml:space="preserve">| 1 P CPT @ | 4 L NS @ | 3 L JAVA @ </v>
      </c>
      <c r="BV563" s="4" t="str">
        <f ca="1">IFERROR(__xludf.DUMMYFUNCTION("""COMPUTED_VALUE"""),"| 1 P NS @ | 3 L CPT @ | 4 L JAVA @ ")</f>
        <v xml:space="preserve">| 1 P NS @ | 3 L CPT @ | 4 L JAVA @ </v>
      </c>
      <c r="BW563" s="4" t="str">
        <f ca="1">IFERROR(__xludf.DUMMYFUNCTION("""COMPUTED_VALUE"""),"| 1 P CPT @ | 3 L JAVA @ | 4 L NS @ ")</f>
        <v xml:space="preserve">| 1 P CPT @ | 3 L JAVA @ | 4 L NS @ </v>
      </c>
      <c r="BX563" s="4" t="str">
        <f ca="1">IFERROR(__xludf.DUMMYFUNCTION("""COMPUTED_VALUE"""),"| 1 P PHP-CGM @ | 3 L PHP-CGM % | 4 L NS % | 5 P Python @ ")</f>
        <v xml:space="preserve">| 1 P PHP-CGM @ | 3 L PHP-CGM % | 4 L NS % | 5 P Python @ </v>
      </c>
      <c r="BY563" s="4" t="str">
        <f ca="1">IFERROR(__xludf.DUMMYFUNCTION("""COMPUTED_VALUE"""),"| 1 P JAVA @ | 3 L CPT @ | 4 L PHP-CGM @ | 5 P JAVA @ ")</f>
        <v xml:space="preserve">| 1 P JAVA @ | 3 L CPT @ | 4 L PHP-CGM @ | 5 P JAVA @ </v>
      </c>
      <c r="BZ56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63" s="4" t="str">
        <f ca="1">IFERROR(__xludf.DUMMYFUNCTION("""COMPUTED_VALUE"""),"| 1 P NS % | 3 L CPT @ | 4 L JAVA @ | 5 L INE % ")</f>
        <v xml:space="preserve">| 1 P NS % | 3 L CPT @ | 4 L JAVA @ | 5 L INE % </v>
      </c>
      <c r="CB563" s="4" t="str">
        <f ca="1">IFERROR(__xludf.DUMMYFUNCTION("""COMPUTED_VALUE"""),"| 1 P CPT % | 3 L JAVA @ | 4 L NS @ | 5 P PRO @ ")</f>
        <v xml:space="preserve">| 1 P CPT % | 3 L JAVA @ | 4 L NS @ | 5 P PRO @ </v>
      </c>
      <c r="CC563" s="4" t="str">
        <f ca="1">IFERROR(__xludf.DUMMYFUNCTION("""COMPUTED_VALUE"""),"| 1 P PHP-CGM % | 3 L PHP-CGM @ | 4 L NS @ | 5 P Python % ")</f>
        <v xml:space="preserve">| 1 P PHP-CGM % | 3 L PHP-CGM @ | 4 L NS @ | 5 P Python % </v>
      </c>
      <c r="CD563" s="4" t="str">
        <f ca="1">IFERROR(__xludf.DUMMYFUNCTION("""COMPUTED_VALUE"""),"| 1 P JAVA % | 3 L CPT @ | 4 L PHP-CGM @ ")</f>
        <v xml:space="preserve">| 1 P JAVA % | 3 L CPT @ | 4 L PHP-CGM @ </v>
      </c>
      <c r="CE56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63" s="4" t="str">
        <f ca="1">IFERROR(__xludf.DUMMYFUNCTION("""COMPUTED_VALUE"""),"| 1 P NS % | 3 L CPT @ | 4 L JAVA @ | 5 L INE @ ")</f>
        <v xml:space="preserve">| 1 P NS % | 3 L CPT @ | 4 L JAVA @ | 5 L INE @ </v>
      </c>
      <c r="CG563" s="4" t="str">
        <f ca="1">IFERROR(__xludf.DUMMYFUNCTION("""COMPUTED_VALUE"""),"| 1 P CPT % | 4 L NS @ ")</f>
        <v xml:space="preserve">| 1 P CPT % | 4 L NS @ </v>
      </c>
      <c r="CH563" s="4" t="str">
        <f ca="1">IFERROR(__xludf.DUMMYFUNCTION("""COMPUTED_VALUE"""),"| 1 P PHP-CGM % | 3 L PHP-CGM @ | 4 L NS @ ")</f>
        <v xml:space="preserve">| 1 P PHP-CGM % | 3 L PHP-CGM @ | 4 L NS @ </v>
      </c>
      <c r="CI563" s="4"/>
      <c r="CJ563" s="4" t="str">
        <f ca="1">IFERROR(__xludf.DUMMYFUNCTION("""COMPUTED_VALUE"""),"| 4 L JAVA % ")</f>
        <v xml:space="preserve">| 4 L JAVA % </v>
      </c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</row>
    <row r="564" spans="1:102" ht="12.5" x14ac:dyDescent="0.25">
      <c r="A564" s="3">
        <f ca="1">IFERROR(__xludf.DUMMYFUNCTION("""COMPUTED_VALUE"""),4)</f>
        <v>4</v>
      </c>
      <c r="B564" s="3" t="str">
        <f ca="1">IFERROR(__xludf.DUMMYFUNCTION("""COMPUTED_VALUE"""),"ITC")</f>
        <v>ITC</v>
      </c>
      <c r="C564" s="32" t="str">
        <f ca="1">IFERROR(__xludf.DUMMYFUNCTION("""COMPUTED_VALUE"""),"23171371165")</f>
        <v>23171371165</v>
      </c>
      <c r="D564" s="4" t="str">
        <f ca="1">IFERROR(__xludf.DUMMYFUNCTION("""COMPUTED_VALUE"""),"THAKOR RADHIKA VIKRAMJI")</f>
        <v>THAKOR RADHIKA VIKRAMJI</v>
      </c>
      <c r="E564" s="3" t="str">
        <f ca="1">IFERROR(__xludf.DUMMYFUNCTION("""COMPUTED_VALUE"""),"SDP&amp;KKP - Mor")</f>
        <v>SDP&amp;KKP - Mor</v>
      </c>
      <c r="F564" s="3">
        <f ca="1">IFERROR(__xludf.DUMMYFUNCTION("""COMPUTED_VALUE"""),9157787124)</f>
        <v>9157787124</v>
      </c>
      <c r="G564" s="3">
        <f ca="1">IFERROR(__xludf.DUMMYFUNCTION("""COMPUTED_VALUE"""),7814317143)</f>
        <v>7814317143</v>
      </c>
      <c r="H564" s="33">
        <f ca="1">IFERROR(__xludf.DUMMYFUNCTION("""COMPUTED_VALUE"""),0.497890295358649)</f>
        <v>0.49789029535864898</v>
      </c>
      <c r="I564" s="25">
        <f ca="1">IFERROR(__xludf.DUMMYFUNCTION("""COMPUTED_VALUE"""),0.444444444444444)</f>
        <v>0.44444444444444398</v>
      </c>
      <c r="J564" s="25">
        <f ca="1">IFERROR(__xludf.DUMMYFUNCTION("""COMPUTED_VALUE"""),0.5)</f>
        <v>0.5</v>
      </c>
      <c r="K564" s="25">
        <f ca="1">IFERROR(__xludf.DUMMYFUNCTION("""COMPUTED_VALUE"""),0.527777777777777)</f>
        <v>0.52777777777777701</v>
      </c>
      <c r="L564" s="25">
        <f ca="1">IFERROR(__xludf.DUMMYFUNCTION("""COMPUTED_VALUE"""),0.5)</f>
        <v>0.5</v>
      </c>
      <c r="M564" s="25">
        <f ca="1">IFERROR(__xludf.DUMMYFUNCTION("""COMPUTED_VALUE"""),0.53125)</f>
        <v>0.53125</v>
      </c>
      <c r="N564" s="25">
        <f ca="1">IFERROR(__xludf.DUMMYFUNCTION("""COMPUTED_VALUE"""),0.9)</f>
        <v>0.9</v>
      </c>
      <c r="O564" s="25">
        <f ca="1">IFERROR(__xludf.DUMMYFUNCTION("""COMPUTED_VALUE"""),0.459459459459459)</f>
        <v>0.45945945945945899</v>
      </c>
      <c r="P564" s="25">
        <f ca="1">IFERROR(__xludf.DUMMYFUNCTION("""COMPUTED_VALUE"""),0.409090909090909)</f>
        <v>0.40909090909090901</v>
      </c>
      <c r="Q564" s="25">
        <f ca="1">IFERROR(__xludf.DUMMYFUNCTION("""COMPUTED_VALUE"""),0)</f>
        <v>0</v>
      </c>
      <c r="R564" s="25">
        <f ca="1">IFERROR(__xludf.DUMMYFUNCTION("""COMPUTED_VALUE"""),0.421052631578947)</f>
        <v>0.42105263157894701</v>
      </c>
      <c r="S564" s="25">
        <f ca="1">IFERROR(__xludf.DUMMYFUNCTION("""COMPUTED_VALUE"""),0)</f>
        <v>0</v>
      </c>
      <c r="T564" s="25">
        <f ca="1">IFERROR(__xludf.DUMMYFUNCTION("""COMPUTED_VALUE"""),0.636363636363636)</f>
        <v>0.63636363636363602</v>
      </c>
      <c r="U564" s="25">
        <f ca="1">IFERROR(__xludf.DUMMYFUNCTION("""COMPUTED_VALUE"""),0.375)</f>
        <v>0.375</v>
      </c>
      <c r="V564" s="25">
        <f ca="1">IFERROR(__xludf.DUMMYFUNCTION("""COMPUTED_VALUE"""),0)</f>
        <v>0</v>
      </c>
      <c r="W564" s="4"/>
      <c r="X564" s="4" t="str">
        <f ca="1">IFERROR(__xludf.DUMMYFUNCTION("""COMPUTED_VALUE"""),"| 1 P NS @ | 3 L CPT @ | 4 L JAVA @ ")</f>
        <v xml:space="preserve">| 1 P NS @ | 3 L CPT @ | 4 L JAVA @ </v>
      </c>
      <c r="Y564" s="4" t="str">
        <f ca="1">IFERROR(__xludf.DUMMYFUNCTION("""COMPUTED_VALUE"""),"| 1 P CPT @ | 3 L JAVA @ | 4 L NS @ | 5 P PRO @ ")</f>
        <v xml:space="preserve">| 1 P CPT @ | 3 L JAVA @ | 4 L NS @ | 5 P PRO @ </v>
      </c>
      <c r="Z564" s="4" t="str">
        <f ca="1">IFERROR(__xludf.DUMMYFUNCTION("""COMPUTED_VALUE"""),"| 3 L PHP-CGM @ | 4 L NS @ | 5 P Python @ ")</f>
        <v xml:space="preserve">| 3 L PHP-CGM @ | 4 L NS @ | 5 P Python @ </v>
      </c>
      <c r="AA564" s="4" t="str">
        <f ca="1">IFERROR(__xludf.DUMMYFUNCTION("""COMPUTED_VALUE"""),"| 1 P NS % | 3 L CPT % | 5 P JAVA % ")</f>
        <v xml:space="preserve">| 1 P NS % | 3 L CPT % | 5 P JAVA % </v>
      </c>
      <c r="AB564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64" s="4" t="str">
        <f ca="1">IFERROR(__xludf.DUMMYFUNCTION("""COMPUTED_VALUE"""),"| 1 P NS % | 3 L CPT % | 4 L JAVA % ")</f>
        <v xml:space="preserve">| 1 P NS % | 3 L CPT % | 4 L JAVA % </v>
      </c>
      <c r="AD564" s="4" t="str">
        <f ca="1">IFERROR(__xludf.DUMMYFUNCTION("""COMPUTED_VALUE"""),"| 1 P CPT @ | 3 L JAVA @ | 4 L NS @ | 5 P PRO @ ")</f>
        <v xml:space="preserve">| 1 P CPT @ | 3 L JAVA @ | 4 L NS @ | 5 P PRO @ </v>
      </c>
      <c r="AE564" s="4" t="str">
        <f ca="1">IFERROR(__xludf.DUMMYFUNCTION("""COMPUTED_VALUE"""),"| 1 P PHP-CGM % | 3 L PHP-CGM % | 4 L NS % ")</f>
        <v xml:space="preserve">| 1 P PHP-CGM % | 3 L PHP-CGM % | 4 L NS % </v>
      </c>
      <c r="AF564" s="4" t="str">
        <f ca="1">IFERROR(__xludf.DUMMYFUNCTION("""COMPUTED_VALUE"""),"| 1 P JAVA @ | 3 L CPT @ | 4 L PHP-CGM @ | 5 P JAVA @ ")</f>
        <v xml:space="preserve">| 1 P JAVA @ | 3 L CPT @ | 4 L PHP-CGM @ | 5 P JAVA @ </v>
      </c>
      <c r="AG564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H564" s="4" t="str">
        <f ca="1">IFERROR(__xludf.DUMMYFUNCTION("""COMPUTED_VALUE"""),"| 1 P JAVA % | 3 L CPT % | 4 L PHP-CGM % | 5 P JAVA % ")</f>
        <v xml:space="preserve">| 1 P JAVA % | 3 L CPT % | 4 L PHP-CGM % | 5 P JAVA % </v>
      </c>
      <c r="AI564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64" s="4" t="str">
        <f ca="1">IFERROR(__xludf.DUMMYFUNCTION("""COMPUTED_VALUE"""),"| 1 P NS @ | 3 L CPT @ | 4 L JAVA @ ")</f>
        <v xml:space="preserve">| 1 P NS @ | 3 L CPT @ | 4 L JAVA @ </v>
      </c>
      <c r="AK564" s="4" t="str">
        <f ca="1">IFERROR(__xludf.DUMMYFUNCTION("""COMPUTED_VALUE"""),"| 1 P CPT % | 4 L NS % | 3 L JAVA % | 5 P PRO % ")</f>
        <v xml:space="preserve">| 1 P CPT % | 4 L NS % | 3 L JAVA % | 5 P PRO % </v>
      </c>
      <c r="AL564" s="4" t="str">
        <f ca="1">IFERROR(__xludf.DUMMYFUNCTION("""COMPUTED_VALUE"""),"| 1 P PHP-CGM % | 3 L PHP-CGM % | 4 L NS % | 5 P Python @ ")</f>
        <v xml:space="preserve">| 1 P PHP-CGM % | 3 L PHP-CGM % | 4 L NS % | 5 P Python @ </v>
      </c>
      <c r="AM564" s="4" t="str">
        <f ca="1">IFERROR(__xludf.DUMMYFUNCTION("""COMPUTED_VALUE"""),"| 1 P JAVA % | 3 L CPT % | 4 L PHP-CGM % | 5 P JAVA % ")</f>
        <v xml:space="preserve">| 1 P JAVA % | 3 L CPT % | 4 L PHP-CGM % | 5 P JAVA % </v>
      </c>
      <c r="AN564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64" s="4" t="str">
        <f ca="1">IFERROR(__xludf.DUMMYFUNCTION("""COMPUTED_VALUE"""),"| 1 P NS % | 3 L CPT % | 4 L JAVA % | 5 L INE % ")</f>
        <v xml:space="preserve">| 1 P NS % | 3 L CPT % | 4 L JAVA % | 5 L INE % </v>
      </c>
      <c r="AP564" s="4" t="str">
        <f ca="1">IFERROR(__xludf.DUMMYFUNCTION("""COMPUTED_VALUE"""),"| 1 P CPT % | 3 L JAVA % | 4 L NS % | 5 P PRO % ")</f>
        <v xml:space="preserve">| 1 P CPT % | 3 L JAVA % | 4 L NS % | 5 P PRO % </v>
      </c>
      <c r="AQ564" s="4" t="str">
        <f ca="1">IFERROR(__xludf.DUMMYFUNCTION("""COMPUTED_VALUE"""),"| 1 P PHP-CGM % | 3 L PHP-CGM % | 4 L NS % | 5 P Python % ")</f>
        <v xml:space="preserve">| 1 P PHP-CGM % | 3 L PHP-CGM % | 4 L NS % | 5 P Python % </v>
      </c>
      <c r="AR564" s="4" t="str">
        <f ca="1">IFERROR(__xludf.DUMMYFUNCTION("""COMPUTED_VALUE"""),"| 1 P JAVA @ | 3 L CPT @ | 5 P JAVA @ ")</f>
        <v xml:space="preserve">| 1 P JAVA @ | 3 L CPT @ | 5 P JAVA @ </v>
      </c>
      <c r="AS564" s="4" t="str">
        <f ca="1">IFERROR(__xludf.DUMMYFUNCTION("""COMPUTED_VALUE"""),"| 1 P NS % | 3 L CPT % | 4 L JAVA % | 5 L INE @ ")</f>
        <v xml:space="preserve">| 1 P NS % | 3 L CPT % | 4 L JAVA % | 5 L INE @ </v>
      </c>
      <c r="AT564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64" s="4" t="str">
        <f ca="1">IFERROR(__xludf.DUMMYFUNCTION("""COMPUTED_VALUE"""),"| 1 P PHP-CGM % | 3 L PHP-CGM % | 4 L NS % | 5 P Python % ")</f>
        <v xml:space="preserve">| 1 P PHP-CGM % | 3 L PHP-CGM % | 4 L NS % | 5 P Python % </v>
      </c>
      <c r="AV564" s="4" t="str">
        <f ca="1">IFERROR(__xludf.DUMMYFUNCTION("""COMPUTED_VALUE"""),"| 1 P JAVA % | 3 L CPT % | 4 L PHP-CGM % | 5 P JAVA % ")</f>
        <v xml:space="preserve">| 1 P JAVA % | 3 L CPT % | 4 L PHP-CGM % | 5 P JAVA % </v>
      </c>
      <c r="AW564" s="4" t="str">
        <f ca="1">IFERROR(__xludf.DUMMYFUNCTION("""COMPUTED_VALUE"""),"| 1 P Python @ | 3 L PHP-CGM @ | 4 L JAVA @ | 5 L NS @ | 5 L CPT @ ")</f>
        <v xml:space="preserve">| 1 P Python @ | 3 L PHP-CGM @ | 4 L JAVA @ | 5 L NS @ | 5 L CPT @ </v>
      </c>
      <c r="AX564" s="4" t="str">
        <f ca="1">IFERROR(__xludf.DUMMYFUNCTION("""COMPUTED_VALUE"""),"| 1 P NS % | 3 L CPT % | 4 L JAVA % | 5 L INE % ")</f>
        <v xml:space="preserve">| 1 P NS % | 3 L CPT % | 4 L JAVA % | 5 L INE % </v>
      </c>
      <c r="AY564" s="4" t="str">
        <f ca="1">IFERROR(__xludf.DUMMYFUNCTION("""COMPUTED_VALUE"""),"| 1 P CPT % | 3 L JAVA % | 4 L NS % | 5 P PRO % ")</f>
        <v xml:space="preserve">| 1 P CPT % | 3 L JAVA % | 4 L NS % | 5 P PRO % </v>
      </c>
      <c r="AZ564" s="4" t="str">
        <f ca="1">IFERROR(__xludf.DUMMYFUNCTION("""COMPUTED_VALUE"""),"| 1 P JAVA @ | 3 L CPT @ | 4 L PHP-CGM @ | 5 P JAVA @ ")</f>
        <v xml:space="preserve">| 1 P JAVA @ | 3 L CPT @ | 4 L PHP-CGM @ | 5 P JAVA @ </v>
      </c>
      <c r="BA564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64" s="4" t="str">
        <f ca="1">IFERROR(__xludf.DUMMYFUNCTION("""COMPUTED_VALUE"""),"| 1 P NS @ | 3 L CPT @ | 4 L JAVA @ | 5 L INE @ ")</f>
        <v xml:space="preserve">| 1 P NS @ | 3 L CPT @ | 4 L JAVA @ | 5 L INE @ </v>
      </c>
      <c r="BC564" s="4" t="str">
        <f ca="1">IFERROR(__xludf.DUMMYFUNCTION("""COMPUTED_VALUE"""),"| 1 P CPT % | 3 L JAVA % | 4 L NS % | 5 P PRO % ")</f>
        <v xml:space="preserve">| 1 P CPT % | 3 L JAVA % | 4 L NS % | 5 P PRO % </v>
      </c>
      <c r="BD564" s="4" t="str">
        <f ca="1">IFERROR(__xludf.DUMMYFUNCTION("""COMPUTED_VALUE"""),"| 1 P PHP-CGM % | 4 L NS %  | 3 L PHP-CGM % | 5 P Python % ")</f>
        <v xml:space="preserve">| 1 P PHP-CGM % | 4 L NS %  | 3 L PHP-CGM % | 5 P Python % </v>
      </c>
      <c r="BE564" s="4" t="str">
        <f ca="1">IFERROR(__xludf.DUMMYFUNCTION("""COMPUTED_VALUE"""),"| 1 P JAVA @ | 3 L CPT @ | 4 L PHP-CGM @ | 5 P JAVA @ ")</f>
        <v xml:space="preserve">| 1 P JAVA @ | 3 L CPT @ | 4 L PHP-CGM @ | 5 P JAVA @ </v>
      </c>
      <c r="BF564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64" s="4" t="str">
        <f ca="1">IFERROR(__xludf.DUMMYFUNCTION("""COMPUTED_VALUE"""),"| 3 L JAVA % | 4 L NS % | 5 P PRO % ")</f>
        <v xml:space="preserve">| 3 L JAVA % | 4 L NS % | 5 P PRO % </v>
      </c>
      <c r="BH564" s="4" t="str">
        <f ca="1">IFERROR(__xludf.DUMMYFUNCTION("""COMPUTED_VALUE"""),"| 1 P PHP-CGM % | 3 L PHP-CGM % | 4 L NS % | 5 P Python % ")</f>
        <v xml:space="preserve">| 1 P PHP-CGM % | 3 L PHP-CGM % | 4 L NS % | 5 P Python % </v>
      </c>
      <c r="BI564" s="4" t="str">
        <f ca="1">IFERROR(__xludf.DUMMYFUNCTION("""COMPUTED_VALUE"""),"| 1 P JAVA % | 3 L CPT % | 4 L PHP-CGM % | 5 P JAVA % ")</f>
        <v xml:space="preserve">| 1 P JAVA % | 3 L CPT % | 4 L PHP-CGM % | 5 P JAVA % </v>
      </c>
      <c r="BJ564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K564" s="4" t="str">
        <f ca="1">IFERROR(__xludf.DUMMYFUNCTION("""COMPUTED_VALUE"""),"| 1 P NS @ | 3 L CPT @ | 4 L JAVA @ | 5 L INE @ ")</f>
        <v xml:space="preserve">| 1 P NS @ | 3 L CPT @ | 4 L JAVA @ | 5 L INE @ </v>
      </c>
      <c r="BL564" s="4" t="str">
        <f ca="1">IFERROR(__xludf.DUMMYFUNCTION("""COMPUTED_VALUE"""),"| 1 P CPT @ | 3 L JAVA @ | 4 L NS @ | 5 P PRO @ ")</f>
        <v xml:space="preserve">| 1 P CPT @ | 3 L JAVA @ | 4 L NS @ | 5 P PRO @ </v>
      </c>
      <c r="BM564" s="4" t="str">
        <f ca="1">IFERROR(__xludf.DUMMYFUNCTION("""COMPUTED_VALUE"""),"| 1 P PHP-CGM % | 3 L PHP-CGM % | 4 L NS % | 5 P Python % ")</f>
        <v xml:space="preserve">| 1 P PHP-CGM % | 3 L PHP-CGM % | 4 L NS % | 5 P Python % </v>
      </c>
      <c r="BN564" s="4" t="str">
        <f ca="1">IFERROR(__xludf.DUMMYFUNCTION("""COMPUTED_VALUE"""),"| 1 P JAVA @ | 3 L CPT @ | 4 L PHP-CGM @ ")</f>
        <v xml:space="preserve">| 1 P JAVA @ | 3 L CPT @ | 4 L PHP-CGM @ </v>
      </c>
      <c r="BO564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4" s="4" t="str">
        <f ca="1">IFERROR(__xludf.DUMMYFUNCTION("""COMPUTED_VALUE"""),"| 1 P NS % | 3 L CPT % | 4 L JAVA % | 5 L INE % ")</f>
        <v xml:space="preserve">| 1 P NS % | 3 L CPT % | 4 L JAVA % | 5 L INE % </v>
      </c>
      <c r="BQ564" s="4" t="str">
        <f ca="1">IFERROR(__xludf.DUMMYFUNCTION("""COMPUTED_VALUE"""),"| 4 L NS % ")</f>
        <v xml:space="preserve">| 4 L NS % </v>
      </c>
      <c r="BR564" s="4"/>
      <c r="BS564" s="4"/>
      <c r="BT564" s="4" t="str">
        <f ca="1">IFERROR(__xludf.DUMMYFUNCTION("""COMPUTED_VALUE"""),"| 1 P NS @ | 3 L CPT @ | 4 L JAVA @ ")</f>
        <v xml:space="preserve">| 1 P NS @ | 3 L CPT @ | 4 L JAVA @ </v>
      </c>
      <c r="BU564" s="4" t="str">
        <f ca="1">IFERROR(__xludf.DUMMYFUNCTION("""COMPUTED_VALUE"""),"| 1 P CPT @ | 4 L NS @ | 3 L JAVA @ ")</f>
        <v xml:space="preserve">| 1 P CPT @ | 4 L NS @ | 3 L JAVA @ </v>
      </c>
      <c r="BV564" s="4" t="str">
        <f ca="1">IFERROR(__xludf.DUMMYFUNCTION("""COMPUTED_VALUE"""),"| 1 P NS @ | 3 L CPT @ | 4 L JAVA @ ")</f>
        <v xml:space="preserve">| 1 P NS @ | 3 L CPT @ | 4 L JAVA @ </v>
      </c>
      <c r="BW564" s="4" t="str">
        <f ca="1">IFERROR(__xludf.DUMMYFUNCTION("""COMPUTED_VALUE"""),"| 1 P CPT @ | 3 L JAVA @ | 4 L NS @ ")</f>
        <v xml:space="preserve">| 1 P CPT @ | 3 L JAVA @ | 4 L NS @ </v>
      </c>
      <c r="BX564" s="4" t="str">
        <f ca="1">IFERROR(__xludf.DUMMYFUNCTION("""COMPUTED_VALUE"""),"| 1 P PHP-CGM @ | 3 L PHP-CGM @ | 4 L NS @ | 5 P Python @ ")</f>
        <v xml:space="preserve">| 1 P PHP-CGM @ | 3 L PHP-CGM @ | 4 L NS @ | 5 P Python @ </v>
      </c>
      <c r="BY564" s="4" t="str">
        <f ca="1">IFERROR(__xludf.DUMMYFUNCTION("""COMPUTED_VALUE"""),"| 1 P JAVA @ | 3 L CPT @ | 4 L PHP-CGM @ | 5 P JAVA @ ")</f>
        <v xml:space="preserve">| 1 P JAVA @ | 3 L CPT @ | 4 L PHP-CGM @ | 5 P JAVA @ </v>
      </c>
      <c r="BZ564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64" s="4" t="str">
        <f ca="1">IFERROR(__xludf.DUMMYFUNCTION("""COMPUTED_VALUE"""),"| 1 P NS @ | 3 L CPT @ | 4 L JAVA @ | 5 L INE @ ")</f>
        <v xml:space="preserve">| 1 P NS @ | 3 L CPT @ | 4 L JAVA @ | 5 L INE @ </v>
      </c>
      <c r="CB564" s="4" t="str">
        <f ca="1">IFERROR(__xludf.DUMMYFUNCTION("""COMPUTED_VALUE"""),"| 1 P CPT @ | 3 L JAVA @ | 4 L NS @ | 5 P PRO @ ")</f>
        <v xml:space="preserve">| 1 P CPT @ | 3 L JAVA @ | 4 L NS @ | 5 P PRO @ </v>
      </c>
      <c r="CC564" s="4" t="str">
        <f ca="1">IFERROR(__xludf.DUMMYFUNCTION("""COMPUTED_VALUE"""),"| 1 P PHP-CGM % | 3 L PHP-CGM % | 4 L NS @ | 5 P Python @ ")</f>
        <v xml:space="preserve">| 1 P PHP-CGM % | 3 L PHP-CGM % | 4 L NS @ | 5 P Python @ </v>
      </c>
      <c r="CD564" s="4" t="str">
        <f ca="1">IFERROR(__xludf.DUMMYFUNCTION("""COMPUTED_VALUE"""),"| 1 P JAVA @ | 3 L CPT @ | 4 L PHP-CGM @ ")</f>
        <v xml:space="preserve">| 1 P JAVA @ | 3 L CPT @ | 4 L PHP-CGM @ </v>
      </c>
      <c r="CE564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64" s="4" t="str">
        <f ca="1">IFERROR(__xludf.DUMMYFUNCTION("""COMPUTED_VALUE"""),"| 1 P NS % | 3 L CPT % | 4 L JAVA % | 5 L INE @ ")</f>
        <v xml:space="preserve">| 1 P NS % | 3 L CPT % | 4 L JAVA % | 5 L INE @ </v>
      </c>
      <c r="CG564" s="4" t="str">
        <f ca="1">IFERROR(__xludf.DUMMYFUNCTION("""COMPUTED_VALUE"""),"| 1 P CPT % | 4 L NS @ ")</f>
        <v xml:space="preserve">| 1 P CPT % | 4 L NS @ </v>
      </c>
      <c r="CH564" s="4" t="str">
        <f ca="1">IFERROR(__xludf.DUMMYFUNCTION("""COMPUTED_VALUE"""),"| 1 P PHP-CGM % | 3 L PHP-CGM % | 4 L NS % ")</f>
        <v xml:space="preserve">| 1 P PHP-CGM % | 3 L PHP-CGM % | 4 L NS % </v>
      </c>
      <c r="CI564" s="4"/>
      <c r="CJ564" s="4" t="str">
        <f ca="1">IFERROR(__xludf.DUMMYFUNCTION("""COMPUTED_VALUE"""),"| 4 L JAVA % ")</f>
        <v xml:space="preserve">| 4 L JAVA % </v>
      </c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</row>
    <row r="565" spans="1:102" ht="12.5" x14ac:dyDescent="0.25">
      <c r="A565" s="3">
        <f ca="1">IFERROR(__xludf.DUMMYFUNCTION("""COMPUTED_VALUE"""),4)</f>
        <v>4</v>
      </c>
      <c r="B565" s="3" t="str">
        <f ca="1">IFERROR(__xludf.DUMMYFUNCTION("""COMPUTED_VALUE"""),"ITC")</f>
        <v>ITC</v>
      </c>
      <c r="C565" s="32" t="str">
        <f ca="1">IFERROR(__xludf.DUMMYFUNCTION("""COMPUTED_VALUE"""),"23171371166")</f>
        <v>23171371166</v>
      </c>
      <c r="D565" s="4" t="str">
        <f ca="1">IFERROR(__xludf.DUMMYFUNCTION("""COMPUTED_VALUE"""),"THAKOR RAKESHKUMAR BADARJI")</f>
        <v>THAKOR RAKESHKUMAR BADARJI</v>
      </c>
      <c r="E565" s="3" t="str">
        <f ca="1">IFERROR(__xludf.DUMMYFUNCTION("""COMPUTED_VALUE"""),"SDP&amp;KKP - Mor")</f>
        <v>SDP&amp;KKP - Mor</v>
      </c>
      <c r="F565" s="3">
        <f ca="1">IFERROR(__xludf.DUMMYFUNCTION("""COMPUTED_VALUE"""),8200652179)</f>
        <v>8200652179</v>
      </c>
      <c r="G565" s="3">
        <f ca="1">IFERROR(__xludf.DUMMYFUNCTION("""COMPUTED_VALUE"""),7984878651)</f>
        <v>7984878651</v>
      </c>
      <c r="H565" s="33">
        <f ca="1">IFERROR(__xludf.DUMMYFUNCTION("""COMPUTED_VALUE"""),0.468354430379746)</f>
        <v>0.468354430379746</v>
      </c>
      <c r="I565" s="25">
        <f ca="1">IFERROR(__xludf.DUMMYFUNCTION("""COMPUTED_VALUE"""),0.416666666666666)</f>
        <v>0.41666666666666602</v>
      </c>
      <c r="J565" s="25">
        <f ca="1">IFERROR(__xludf.DUMMYFUNCTION("""COMPUTED_VALUE"""),0.666666666666666)</f>
        <v>0.66666666666666596</v>
      </c>
      <c r="K565" s="25">
        <f ca="1">IFERROR(__xludf.DUMMYFUNCTION("""COMPUTED_VALUE"""),0.388888888888888)</f>
        <v>0.38888888888888801</v>
      </c>
      <c r="L565" s="25">
        <f ca="1">IFERROR(__xludf.DUMMYFUNCTION("""COMPUTED_VALUE"""),0.642857142857142)</f>
        <v>0.64285714285714202</v>
      </c>
      <c r="M565" s="25">
        <f ca="1">IFERROR(__xludf.DUMMYFUNCTION("""COMPUTED_VALUE"""),0.59375)</f>
        <v>0.59375</v>
      </c>
      <c r="N565" s="25">
        <f ca="1">IFERROR(__xludf.DUMMYFUNCTION("""COMPUTED_VALUE"""),0.7)</f>
        <v>0.7</v>
      </c>
      <c r="O565" s="25">
        <f ca="1">IFERROR(__xludf.DUMMYFUNCTION("""COMPUTED_VALUE"""),0.594594594594594)</f>
        <v>0.59459459459459396</v>
      </c>
      <c r="P565" s="25">
        <f ca="1">IFERROR(__xludf.DUMMYFUNCTION("""COMPUTED_VALUE"""),0.318181818181818)</f>
        <v>0.31818181818181801</v>
      </c>
      <c r="Q565" s="25">
        <f ca="1">IFERROR(__xludf.DUMMYFUNCTION("""COMPUTED_VALUE"""),0)</f>
        <v>0</v>
      </c>
      <c r="R565" s="25">
        <f ca="1">IFERROR(__xludf.DUMMYFUNCTION("""COMPUTED_VALUE"""),0.368421052631578)</f>
        <v>0.36842105263157798</v>
      </c>
      <c r="S565" s="25">
        <f ca="1">IFERROR(__xludf.DUMMYFUNCTION("""COMPUTED_VALUE"""),0)</f>
        <v>0</v>
      </c>
      <c r="T565" s="25">
        <f ca="1">IFERROR(__xludf.DUMMYFUNCTION("""COMPUTED_VALUE"""),0.0909090909090909)</f>
        <v>9.0909090909090898E-2</v>
      </c>
      <c r="U565" s="25">
        <f ca="1">IFERROR(__xludf.DUMMYFUNCTION("""COMPUTED_VALUE"""),0.25)</f>
        <v>0.25</v>
      </c>
      <c r="V565" s="25">
        <f ca="1">IFERROR(__xludf.DUMMYFUNCTION("""COMPUTED_VALUE"""),0)</f>
        <v>0</v>
      </c>
      <c r="W565" s="4"/>
      <c r="X565" s="4" t="str">
        <f ca="1">IFERROR(__xludf.DUMMYFUNCTION("""COMPUTED_VALUE"""),"| 1 P NS % | 3 L CPT % | 4 L JAVA % ")</f>
        <v xml:space="preserve">| 1 P NS % | 3 L CPT % | 4 L JAVA % </v>
      </c>
      <c r="Y565" s="4" t="str">
        <f ca="1">IFERROR(__xludf.DUMMYFUNCTION("""COMPUTED_VALUE"""),"| 1 P CPT % | 3 L JAVA % | 4 L NS % | 5 P PRO @ ")</f>
        <v xml:space="preserve">| 1 P CPT % | 3 L JAVA % | 4 L NS % | 5 P PRO @ </v>
      </c>
      <c r="Z565" s="4" t="str">
        <f ca="1">IFERROR(__xludf.DUMMYFUNCTION("""COMPUTED_VALUE"""),"| 3 L PHP-CGM % | 4 L NS % | 5 P Python @ ")</f>
        <v xml:space="preserve">| 3 L PHP-CGM % | 4 L NS % | 5 P Python @ </v>
      </c>
      <c r="AA565" s="4" t="str">
        <f ca="1">IFERROR(__xludf.DUMMYFUNCTION("""COMPUTED_VALUE"""),"| 1 P NS % | 3 L CPT % | 5 P JAVA % ")</f>
        <v xml:space="preserve">| 1 P NS % | 3 L CPT % | 5 P JAVA % </v>
      </c>
      <c r="AB565" s="4" t="str">
        <f ca="1">IFERROR(__xludf.DUMMYFUNCTION("""COMPUTED_VALUE"""),"| 1 P PRO % | 3 L PHP-CGM % | 4 L JAVA % | 5 L CPT @ | 6 L NS @ ")</f>
        <v xml:space="preserve">| 1 P PRO % | 3 L PHP-CGM % | 4 L JAVA % | 5 L CPT @ | 6 L NS @ </v>
      </c>
      <c r="AC565" s="4" t="str">
        <f ca="1">IFERROR(__xludf.DUMMYFUNCTION("""COMPUTED_VALUE"""),"| 1 P NS % | 3 L CPT % | 4 L JAVA % ")</f>
        <v xml:space="preserve">| 1 P NS % | 3 L CPT % | 4 L JAVA % </v>
      </c>
      <c r="AD565" s="4" t="str">
        <f ca="1">IFERROR(__xludf.DUMMYFUNCTION("""COMPUTED_VALUE"""),"| 1 P CPT % | 3 L JAVA % | 4 L NS % | 5 P PRO @ ")</f>
        <v xml:space="preserve">| 1 P CPT % | 3 L JAVA % | 4 L NS % | 5 P PRO @ </v>
      </c>
      <c r="AE565" s="4" t="str">
        <f ca="1">IFERROR(__xludf.DUMMYFUNCTION("""COMPUTED_VALUE"""),"| 1 P PHP-CGM % | 3 L PHP-CGM % | 4 L NS % ")</f>
        <v xml:space="preserve">| 1 P PHP-CGM % | 3 L PHP-CGM % | 4 L NS % </v>
      </c>
      <c r="AF565" s="4" t="str">
        <f ca="1">IFERROR(__xludf.DUMMYFUNCTION("""COMPUTED_VALUE"""),"| 1 P JAVA % | 3 L CPT % | 4 L PHP-CGM % | 5 P JAVA @ ")</f>
        <v xml:space="preserve">| 1 P JAVA % | 3 L CPT % | 4 L PHP-CGM % | 5 P JAVA @ </v>
      </c>
      <c r="AG565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H565" s="4" t="str">
        <f ca="1">IFERROR(__xludf.DUMMYFUNCTION("""COMPUTED_VALUE"""),"| 1 P JAVA @ | 3 L CPT @ | 4 L PHP-CGM @ | 5 P JAVA @ ")</f>
        <v xml:space="preserve">| 1 P JAVA @ | 3 L CPT @ | 4 L PHP-CGM @ | 5 P JAVA @ </v>
      </c>
      <c r="AI565" s="4" t="str">
        <f ca="1">IFERROR(__xludf.DUMMYFUNCTION("""COMPUTED_VALUE"""),"| 1 P Python % | 3 L PHP-CGM % | 4 L JAVA @ | 5 L CPT @ | 6 L NS @ ")</f>
        <v xml:space="preserve">| 1 P Python % | 3 L PHP-CGM % | 4 L JAVA @ | 5 L CPT @ | 6 L NS @ </v>
      </c>
      <c r="AJ565" s="4" t="str">
        <f ca="1">IFERROR(__xludf.DUMMYFUNCTION("""COMPUTED_VALUE"""),"| 1 P NS % | 3 L CPT % | 4 L JAVA % ")</f>
        <v xml:space="preserve">| 1 P NS % | 3 L CPT % | 4 L JAVA % </v>
      </c>
      <c r="AK565" s="4" t="str">
        <f ca="1">IFERROR(__xludf.DUMMYFUNCTION("""COMPUTED_VALUE"""),"| 1 P CPT % | 4 L NS % | 3 L JAVA % | 5 P PRO @ ")</f>
        <v xml:space="preserve">| 1 P CPT % | 4 L NS % | 3 L JAVA % | 5 P PRO @ </v>
      </c>
      <c r="AL565" s="4" t="str">
        <f ca="1">IFERROR(__xludf.DUMMYFUNCTION("""COMPUTED_VALUE"""),"| 1 P PHP-CGM % | 3 L PHP-CGM % | 4 L NS % | 5 P Python % ")</f>
        <v xml:space="preserve">| 1 P PHP-CGM % | 3 L PHP-CGM % | 4 L NS % | 5 P Python % </v>
      </c>
      <c r="AM565" s="4" t="str">
        <f ca="1">IFERROR(__xludf.DUMMYFUNCTION("""COMPUTED_VALUE"""),"| 1 P JAVA @ | 3 L CPT @ | 4 L PHP-CGM @ | 5 P JAVA @ ")</f>
        <v xml:space="preserve">| 1 P JAVA @ | 3 L CPT @ | 4 L PHP-CGM @ | 5 P JAVA @ </v>
      </c>
      <c r="AN565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O565" s="4" t="str">
        <f ca="1">IFERROR(__xludf.DUMMYFUNCTION("""COMPUTED_VALUE"""),"| 1 P NS % | 3 L CPT % | 4 L JAVA % | 5 L INE @ ")</f>
        <v xml:space="preserve">| 1 P NS % | 3 L CPT % | 4 L JAVA % | 5 L INE @ </v>
      </c>
      <c r="AP565" s="4" t="str">
        <f ca="1">IFERROR(__xludf.DUMMYFUNCTION("""COMPUTED_VALUE"""),"| 1 P CPT % | 3 L JAVA % | 4 L NS % | 5 P PRO @ ")</f>
        <v xml:space="preserve">| 1 P CPT % | 3 L JAVA % | 4 L NS % | 5 P PRO @ </v>
      </c>
      <c r="AQ565" s="4" t="str">
        <f ca="1">IFERROR(__xludf.DUMMYFUNCTION("""COMPUTED_VALUE"""),"| 1 P PHP-CGM % | 3 L PHP-CGM % | 4 L NS @ | 5 P Python @ ")</f>
        <v xml:space="preserve">| 1 P PHP-CGM % | 3 L PHP-CGM % | 4 L NS @ | 5 P Python @ </v>
      </c>
      <c r="AR565" s="4" t="str">
        <f ca="1">IFERROR(__xludf.DUMMYFUNCTION("""COMPUTED_VALUE"""),"| 1 P JAVA % | 3 L CPT % | 5 P JAVA @ ")</f>
        <v xml:space="preserve">| 1 P JAVA % | 3 L CPT % | 5 P JAVA @ </v>
      </c>
      <c r="AS565" s="4" t="str">
        <f ca="1">IFERROR(__xludf.DUMMYFUNCTION("""COMPUTED_VALUE"""),"| 1 P NS @ | 3 L CPT @ | 4 L JAVA @ | 5 L INE @ ")</f>
        <v xml:space="preserve">| 1 P NS @ | 3 L CPT @ | 4 L JAVA @ | 5 L INE @ </v>
      </c>
      <c r="AT565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65" s="4" t="str">
        <f ca="1">IFERROR(__xludf.DUMMYFUNCTION("""COMPUTED_VALUE"""),"| 1 P PHP-CGM % | 3 L PHP-CGM % | 4 L NS % | 5 P Python @ ")</f>
        <v xml:space="preserve">| 1 P PHP-CGM % | 3 L PHP-CGM % | 4 L NS % | 5 P Python @ </v>
      </c>
      <c r="AV565" s="4" t="str">
        <f ca="1">IFERROR(__xludf.DUMMYFUNCTION("""COMPUTED_VALUE"""),"| 1 P JAVA % | 3 L CPT % | 4 L PHP-CGM % | 5 P JAVA @ ")</f>
        <v xml:space="preserve">| 1 P JAVA % | 3 L CPT % | 4 L PHP-CGM % | 5 P JAVA @ </v>
      </c>
      <c r="AW565" s="4" t="str">
        <f ca="1">IFERROR(__xludf.DUMMYFUNCTION("""COMPUTED_VALUE"""),"| 1 P Python % | 3 L PHP-CGM % | 4 L JAVA % | 5 L NS @ | 5 L CPT @ ")</f>
        <v xml:space="preserve">| 1 P Python % | 3 L PHP-CGM % | 4 L JAVA % | 5 L NS @ | 5 L CPT @ </v>
      </c>
      <c r="AX565" s="4" t="str">
        <f ca="1">IFERROR(__xludf.DUMMYFUNCTION("""COMPUTED_VALUE"""),"| 1 P NS % | 3 L CPT % | 4 L JAVA % | 5 L INE % ")</f>
        <v xml:space="preserve">| 1 P NS % | 3 L CPT % | 4 L JAVA % | 5 L INE % </v>
      </c>
      <c r="AY565" s="4" t="str">
        <f ca="1">IFERROR(__xludf.DUMMYFUNCTION("""COMPUTED_VALUE"""),"| 1 P CPT % | 3 L JAVA % | 4 L NS % | 5 P PRO @ ")</f>
        <v xml:space="preserve">| 1 P CPT % | 3 L JAVA % | 4 L NS % | 5 P PRO @ </v>
      </c>
      <c r="AZ565" s="4" t="str">
        <f ca="1">IFERROR(__xludf.DUMMYFUNCTION("""COMPUTED_VALUE"""),"| 1 P JAVA % | 3 L CPT % | 4 L PHP-CGM % | 5 P JAVA @ ")</f>
        <v xml:space="preserve">| 1 P JAVA % | 3 L CPT % | 4 L PHP-CGM % | 5 P JAVA @ </v>
      </c>
      <c r="BA565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B565" s="4" t="str">
        <f ca="1">IFERROR(__xludf.DUMMYFUNCTION("""COMPUTED_VALUE"""),"| 1 P NS % | 3 L CPT % | 4 L JAVA % | 5 L INE @ ")</f>
        <v xml:space="preserve">| 1 P NS % | 3 L CPT % | 4 L JAVA % | 5 L INE @ </v>
      </c>
      <c r="BC565" s="4" t="str">
        <f ca="1">IFERROR(__xludf.DUMMYFUNCTION("""COMPUTED_VALUE"""),"| 1 P CPT % | 3 L JAVA % | 4 L NS % | 5 P PRO @ ")</f>
        <v xml:space="preserve">| 1 P CPT % | 3 L JAVA % | 4 L NS % | 5 P PRO @ </v>
      </c>
      <c r="BD565" s="4" t="str">
        <f ca="1">IFERROR(__xludf.DUMMYFUNCTION("""COMPUTED_VALUE"""),"| 1 P PHP-CGM % | 4 L NS %  | 3 L PHP-CGM % | 5 P Python @ ")</f>
        <v xml:space="preserve">| 1 P PHP-CGM % | 4 L NS %  | 3 L PHP-CGM % | 5 P Python @ </v>
      </c>
      <c r="BE565" s="4" t="str">
        <f ca="1">IFERROR(__xludf.DUMMYFUNCTION("""COMPUTED_VALUE"""),"| 1 P JAVA % | 3 L CPT % | 4 L PHP-CGM % | 5 P JAVA @ ")</f>
        <v xml:space="preserve">| 1 P JAVA % | 3 L CPT % | 4 L PHP-CGM % | 5 P JAVA @ </v>
      </c>
      <c r="BF565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65" s="4" t="str">
        <f ca="1">IFERROR(__xludf.DUMMYFUNCTION("""COMPUTED_VALUE"""),"| 3 L JAVA % | 4 L NS % | 5 P PRO @ ")</f>
        <v xml:space="preserve">| 3 L JAVA % | 4 L NS % | 5 P PRO @ </v>
      </c>
      <c r="BH565" s="4" t="str">
        <f ca="1">IFERROR(__xludf.DUMMYFUNCTION("""COMPUTED_VALUE"""),"| 1 P PHP-CGM % | 3 L PHP-CGM % | 4 L NS % | 5 P Python @ ")</f>
        <v xml:space="preserve">| 1 P PHP-CGM % | 3 L PHP-CGM % | 4 L NS % | 5 P Python @ </v>
      </c>
      <c r="BI565" s="4" t="str">
        <f ca="1">IFERROR(__xludf.DUMMYFUNCTION("""COMPUTED_VALUE"""),"| 1 P JAVA % | 3 L CPT % | 4 L PHP-CGM % | 5 P JAVA @ ")</f>
        <v xml:space="preserve">| 1 P JAVA % | 3 L CPT % | 4 L PHP-CGM % | 5 P JAVA @ </v>
      </c>
      <c r="BJ565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5" s="4" t="str">
        <f ca="1">IFERROR(__xludf.DUMMYFUNCTION("""COMPUTED_VALUE"""),"| 1 P NS @ | 3 L CPT @ | 4 L JAVA @ | 5 L INE @ ")</f>
        <v xml:space="preserve">| 1 P NS @ | 3 L CPT @ | 4 L JAVA @ | 5 L INE @ </v>
      </c>
      <c r="BL565" s="4" t="str">
        <f ca="1">IFERROR(__xludf.DUMMYFUNCTION("""COMPUTED_VALUE"""),"| 1 P CPT @ | 3 L JAVA @ | 4 L NS @ | 5 P PRO @ ")</f>
        <v xml:space="preserve">| 1 P CPT @ | 3 L JAVA @ | 4 L NS @ | 5 P PRO @ </v>
      </c>
      <c r="BM565" s="4" t="str">
        <f ca="1">IFERROR(__xludf.DUMMYFUNCTION("""COMPUTED_VALUE"""),"| 1 P PHP-CGM @ | 3 L PHP-CGM @ | 4 L NS @ | 5 P Python @ ")</f>
        <v xml:space="preserve">| 1 P PHP-CGM @ | 3 L PHP-CGM @ | 4 L NS @ | 5 P Python @ </v>
      </c>
      <c r="BN565" s="4" t="str">
        <f ca="1">IFERROR(__xludf.DUMMYFUNCTION("""COMPUTED_VALUE"""),"| 1 P JAVA @ | 3 L CPT @ | 4 L PHP-CGM @ ")</f>
        <v xml:space="preserve">| 1 P JAVA @ | 3 L CPT @ | 4 L PHP-CGM @ </v>
      </c>
      <c r="BO565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5" s="4" t="str">
        <f ca="1">IFERROR(__xludf.DUMMYFUNCTION("""COMPUTED_VALUE"""),"| 1 P NS @ | 3 L CPT @ | 4 L JAVA @ | 5 L INE @ ")</f>
        <v xml:space="preserve">| 1 P NS @ | 3 L CPT @ | 4 L JAVA @ | 5 L INE @ </v>
      </c>
      <c r="BQ565" s="4" t="str">
        <f ca="1">IFERROR(__xludf.DUMMYFUNCTION("""COMPUTED_VALUE"""),"| 4 L NS @ ")</f>
        <v xml:space="preserve">| 4 L NS @ </v>
      </c>
      <c r="BR565" s="4"/>
      <c r="BS565" s="4"/>
      <c r="BT565" s="4" t="str">
        <f ca="1">IFERROR(__xludf.DUMMYFUNCTION("""COMPUTED_VALUE"""),"| 1 P NS @ | 3 L CPT @ | 4 L JAVA @ ")</f>
        <v xml:space="preserve">| 1 P NS @ | 3 L CPT @ | 4 L JAVA @ </v>
      </c>
      <c r="BU565" s="4" t="str">
        <f ca="1">IFERROR(__xludf.DUMMYFUNCTION("""COMPUTED_VALUE"""),"| 1 P CPT @ | 4 L NS @ | 3 L JAVA @ ")</f>
        <v xml:space="preserve">| 1 P CPT @ | 4 L NS @ | 3 L JAVA @ </v>
      </c>
      <c r="BV565" s="4" t="str">
        <f ca="1">IFERROR(__xludf.DUMMYFUNCTION("""COMPUTED_VALUE"""),"| 1 P NS @ | 3 L CPT @ | 4 L JAVA @ ")</f>
        <v xml:space="preserve">| 1 P NS @ | 3 L CPT @ | 4 L JAVA @ </v>
      </c>
      <c r="BW565" s="4" t="str">
        <f ca="1">IFERROR(__xludf.DUMMYFUNCTION("""COMPUTED_VALUE"""),"| 1 P CPT @ | 3 L JAVA @ | 4 L NS @ ")</f>
        <v xml:space="preserve">| 1 P CPT @ | 3 L JAVA @ | 4 L NS @ </v>
      </c>
      <c r="BX565" s="4" t="str">
        <f ca="1">IFERROR(__xludf.DUMMYFUNCTION("""COMPUTED_VALUE"""),"| 1 P PHP-CGM @ | 3 L PHP-CGM @ | 4 L NS @ | 5 P Python @ ")</f>
        <v xml:space="preserve">| 1 P PHP-CGM @ | 3 L PHP-CGM @ | 4 L NS @ | 5 P Python @ </v>
      </c>
      <c r="BY565" s="4" t="str">
        <f ca="1">IFERROR(__xludf.DUMMYFUNCTION("""COMPUTED_VALUE"""),"| 1 P JAVA @ | 3 L CPT @ | 4 L PHP-CGM @ | 5 P JAVA @ ")</f>
        <v xml:space="preserve">| 1 P JAVA @ | 3 L CPT @ | 4 L PHP-CGM @ | 5 P JAVA @ </v>
      </c>
      <c r="BZ565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65" s="4" t="str">
        <f ca="1">IFERROR(__xludf.DUMMYFUNCTION("""COMPUTED_VALUE"""),"| 1 P NS % | 3 L CPT % | 4 L JAVA % | 5 L INE % ")</f>
        <v xml:space="preserve">| 1 P NS % | 3 L CPT % | 4 L JAVA % | 5 L INE % </v>
      </c>
      <c r="CB565" s="4" t="str">
        <f ca="1">IFERROR(__xludf.DUMMYFUNCTION("""COMPUTED_VALUE"""),"| 1 P CPT @ | 3 L JAVA @ | 4 L NS @ | 5 P PRO @ ")</f>
        <v xml:space="preserve">| 1 P CPT @ | 3 L JAVA @ | 4 L NS @ | 5 P PRO @ </v>
      </c>
      <c r="CC565" s="4" t="str">
        <f ca="1">IFERROR(__xludf.DUMMYFUNCTION("""COMPUTED_VALUE"""),"| 1 P PHP-CGM @ | 3 L PHP-CGM @ | 4 L NS @ | 5 P Python @ ")</f>
        <v xml:space="preserve">| 1 P PHP-CGM @ | 3 L PHP-CGM @ | 4 L NS @ | 5 P Python @ </v>
      </c>
      <c r="CD565" s="4" t="str">
        <f ca="1">IFERROR(__xludf.DUMMYFUNCTION("""COMPUTED_VALUE"""),"| 1 P JAVA @ | 3 L CPT @ | 4 L PHP-CGM @ ")</f>
        <v xml:space="preserve">| 1 P JAVA @ | 3 L CPT @ | 4 L PHP-CGM @ </v>
      </c>
      <c r="CE565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65" s="4" t="str">
        <f ca="1">IFERROR(__xludf.DUMMYFUNCTION("""COMPUTED_VALUE"""),"| 1 P NS % | 3 L CPT @ | 4 L JAVA @ | 5 L INE @ ")</f>
        <v xml:space="preserve">| 1 P NS % | 3 L CPT @ | 4 L JAVA @ | 5 L INE @ </v>
      </c>
      <c r="CG565" s="4" t="str">
        <f ca="1">IFERROR(__xludf.DUMMYFUNCTION("""COMPUTED_VALUE"""),"| 1 P CPT % | 4 L NS @ ")</f>
        <v xml:space="preserve">| 1 P CPT % | 4 L NS @ </v>
      </c>
      <c r="CH565" s="4" t="str">
        <f ca="1">IFERROR(__xludf.DUMMYFUNCTION("""COMPUTED_VALUE"""),"| 1 P PHP-CGM % | 3 L PHP-CGM @ | 4 L NS @ ")</f>
        <v xml:space="preserve">| 1 P PHP-CGM % | 3 L PHP-CGM @ | 4 L NS @ </v>
      </c>
      <c r="CI565" s="4"/>
      <c r="CJ565" s="4" t="str">
        <f ca="1">IFERROR(__xludf.DUMMYFUNCTION("""COMPUTED_VALUE"""),"| 4 L JAVA % ")</f>
        <v xml:space="preserve">| 4 L JAVA % </v>
      </c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</row>
    <row r="566" spans="1:102" ht="12.5" x14ac:dyDescent="0.25">
      <c r="A566" s="3">
        <f ca="1">IFERROR(__xludf.DUMMYFUNCTION("""COMPUTED_VALUE"""),4)</f>
        <v>4</v>
      </c>
      <c r="B566" s="3" t="str">
        <f ca="1">IFERROR(__xludf.DUMMYFUNCTION("""COMPUTED_VALUE"""),"ITC")</f>
        <v>ITC</v>
      </c>
      <c r="C566" s="32" t="str">
        <f ca="1">IFERROR(__xludf.DUMMYFUNCTION("""COMPUTED_VALUE"""),"23171371167")</f>
        <v>23171371167</v>
      </c>
      <c r="D566" s="4" t="str">
        <f ca="1">IFERROR(__xludf.DUMMYFUNCTION("""COMPUTED_VALUE"""),"THAKOR SEJALBEN BADARJI")</f>
        <v>THAKOR SEJALBEN BADARJI</v>
      </c>
      <c r="E566" s="3" t="str">
        <f ca="1">IFERROR(__xludf.DUMMYFUNCTION("""COMPUTED_VALUE"""),"SDP&amp;KKP - Mor")</f>
        <v>SDP&amp;KKP - Mor</v>
      </c>
      <c r="F566" s="3">
        <f ca="1">IFERROR(__xludf.DUMMYFUNCTION("""COMPUTED_VALUE"""),8154090382)</f>
        <v>8154090382</v>
      </c>
      <c r="G566" s="3">
        <f ca="1">IFERROR(__xludf.DUMMYFUNCTION("""COMPUTED_VALUE"""),7984878651)</f>
        <v>7984878651</v>
      </c>
      <c r="H566" s="33">
        <f ca="1">IFERROR(__xludf.DUMMYFUNCTION("""COMPUTED_VALUE"""),0.468354430379746)</f>
        <v>0.468354430379746</v>
      </c>
      <c r="I566" s="25">
        <f ca="1">IFERROR(__xludf.DUMMYFUNCTION("""COMPUTED_VALUE"""),0.416666666666666)</f>
        <v>0.41666666666666602</v>
      </c>
      <c r="J566" s="25">
        <f ca="1">IFERROR(__xludf.DUMMYFUNCTION("""COMPUTED_VALUE"""),0.666666666666666)</f>
        <v>0.66666666666666596</v>
      </c>
      <c r="K566" s="25">
        <f ca="1">IFERROR(__xludf.DUMMYFUNCTION("""COMPUTED_VALUE"""),0.416666666666666)</f>
        <v>0.41666666666666602</v>
      </c>
      <c r="L566" s="25">
        <f ca="1">IFERROR(__xludf.DUMMYFUNCTION("""COMPUTED_VALUE"""),0.571428571428571)</f>
        <v>0.57142857142857095</v>
      </c>
      <c r="M566" s="25">
        <f ca="1">IFERROR(__xludf.DUMMYFUNCTION("""COMPUTED_VALUE"""),0.59375)</f>
        <v>0.59375</v>
      </c>
      <c r="N566" s="25">
        <f ca="1">IFERROR(__xludf.DUMMYFUNCTION("""COMPUTED_VALUE"""),0.7)</f>
        <v>0.7</v>
      </c>
      <c r="O566" s="25">
        <f ca="1">IFERROR(__xludf.DUMMYFUNCTION("""COMPUTED_VALUE"""),0.621621621621621)</f>
        <v>0.62162162162162105</v>
      </c>
      <c r="P566" s="25">
        <f ca="1">IFERROR(__xludf.DUMMYFUNCTION("""COMPUTED_VALUE"""),0.272727272727272)</f>
        <v>0.27272727272727199</v>
      </c>
      <c r="Q566" s="25">
        <f ca="1">IFERROR(__xludf.DUMMYFUNCTION("""COMPUTED_VALUE"""),0)</f>
        <v>0</v>
      </c>
      <c r="R566" s="25">
        <f ca="1">IFERROR(__xludf.DUMMYFUNCTION("""COMPUTED_VALUE"""),0.368421052631578)</f>
        <v>0.36842105263157798</v>
      </c>
      <c r="S566" s="25">
        <f ca="1">IFERROR(__xludf.DUMMYFUNCTION("""COMPUTED_VALUE"""),0)</f>
        <v>0</v>
      </c>
      <c r="T566" s="25">
        <f ca="1">IFERROR(__xludf.DUMMYFUNCTION("""COMPUTED_VALUE"""),0.0909090909090909)</f>
        <v>9.0909090909090898E-2</v>
      </c>
      <c r="U566" s="25">
        <f ca="1">IFERROR(__xludf.DUMMYFUNCTION("""COMPUTED_VALUE"""),0.25)</f>
        <v>0.25</v>
      </c>
      <c r="V566" s="25">
        <f ca="1">IFERROR(__xludf.DUMMYFUNCTION("""COMPUTED_VALUE"""),0)</f>
        <v>0</v>
      </c>
      <c r="W566" s="4"/>
      <c r="X566" s="4" t="str">
        <f ca="1">IFERROR(__xludf.DUMMYFUNCTION("""COMPUTED_VALUE"""),"| 1 P NS % | 3 L CPT % | 4 L JAVA % ")</f>
        <v xml:space="preserve">| 1 P NS % | 3 L CPT % | 4 L JAVA % </v>
      </c>
      <c r="Y566" s="4" t="str">
        <f ca="1">IFERROR(__xludf.DUMMYFUNCTION("""COMPUTED_VALUE"""),"| 1 P CPT % | 3 L JAVA % | 4 L NS % | 5 P PRO @ ")</f>
        <v xml:space="preserve">| 1 P CPT % | 3 L JAVA % | 4 L NS % | 5 P PRO @ </v>
      </c>
      <c r="Z566" s="4" t="str">
        <f ca="1">IFERROR(__xludf.DUMMYFUNCTION("""COMPUTED_VALUE"""),"| 3 L PHP-CGM @ | 4 L NS @ | 5 P Python @ ")</f>
        <v xml:space="preserve">| 3 L PHP-CGM @ | 4 L NS @ | 5 P Python @ </v>
      </c>
      <c r="AA566" s="4" t="str">
        <f ca="1">IFERROR(__xludf.DUMMYFUNCTION("""COMPUTED_VALUE"""),"| 1 P NS % | 3 L CPT % | 5 P JAVA % ")</f>
        <v xml:space="preserve">| 1 P NS % | 3 L CPT % | 5 P JAVA % </v>
      </c>
      <c r="AB566" s="4" t="str">
        <f ca="1">IFERROR(__xludf.DUMMYFUNCTION("""COMPUTED_VALUE"""),"| 1 P PRO % | 3 L PHP-CGM % | 4 L JAVA % | 5 L CPT @ | 6 L NS @ ")</f>
        <v xml:space="preserve">| 1 P PRO % | 3 L PHP-CGM % | 4 L JAVA % | 5 L CPT @ | 6 L NS @ </v>
      </c>
      <c r="AC566" s="4" t="str">
        <f ca="1">IFERROR(__xludf.DUMMYFUNCTION("""COMPUTED_VALUE"""),"| 1 P NS % | 3 L CPT % | 4 L JAVA % ")</f>
        <v xml:space="preserve">| 1 P NS % | 3 L CPT % | 4 L JAVA % </v>
      </c>
      <c r="AD566" s="4" t="str">
        <f ca="1">IFERROR(__xludf.DUMMYFUNCTION("""COMPUTED_VALUE"""),"| 1 P CPT % | 3 L JAVA % | 4 L NS % | 5 P PRO @ ")</f>
        <v xml:space="preserve">| 1 P CPT % | 3 L JAVA % | 4 L NS % | 5 P PRO @ </v>
      </c>
      <c r="AE566" s="4" t="str">
        <f ca="1">IFERROR(__xludf.DUMMYFUNCTION("""COMPUTED_VALUE"""),"| 1 P PHP-CGM % | 3 L PHP-CGM % | 4 L NS % ")</f>
        <v xml:space="preserve">| 1 P PHP-CGM % | 3 L PHP-CGM % | 4 L NS % </v>
      </c>
      <c r="AF566" s="4" t="str">
        <f ca="1">IFERROR(__xludf.DUMMYFUNCTION("""COMPUTED_VALUE"""),"| 1 P JAVA % | 3 L CPT % | 4 L PHP-CGM % | 5 P JAVA @ ")</f>
        <v xml:space="preserve">| 1 P JAVA % | 3 L CPT % | 4 L PHP-CGM % | 5 P JAVA @ </v>
      </c>
      <c r="AG566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H566" s="4" t="str">
        <f ca="1">IFERROR(__xludf.DUMMYFUNCTION("""COMPUTED_VALUE"""),"| 1 P JAVA @ | 3 L CPT @ | 4 L PHP-CGM @ | 5 P JAVA @ ")</f>
        <v xml:space="preserve">| 1 P JAVA @ | 3 L CPT @ | 4 L PHP-CGM @ | 5 P JAVA @ </v>
      </c>
      <c r="AI566" s="4" t="str">
        <f ca="1">IFERROR(__xludf.DUMMYFUNCTION("""COMPUTED_VALUE"""),"| 1 P Python % | 3 L PHP-CGM % | 4 L JAVA @ | 5 L CPT @ | 6 L NS @ ")</f>
        <v xml:space="preserve">| 1 P Python % | 3 L PHP-CGM % | 4 L JAVA @ | 5 L CPT @ | 6 L NS @ </v>
      </c>
      <c r="AJ566" s="4" t="str">
        <f ca="1">IFERROR(__xludf.DUMMYFUNCTION("""COMPUTED_VALUE"""),"| 1 P NS % | 3 L CPT % | 4 L JAVA % ")</f>
        <v xml:space="preserve">| 1 P NS % | 3 L CPT % | 4 L JAVA % </v>
      </c>
      <c r="AK566" s="4" t="str">
        <f ca="1">IFERROR(__xludf.DUMMYFUNCTION("""COMPUTED_VALUE"""),"| 1 P CPT % | 4 L NS % | 3 L JAVA % | 5 P PRO @ ")</f>
        <v xml:space="preserve">| 1 P CPT % | 4 L NS % | 3 L JAVA % | 5 P PRO @ </v>
      </c>
      <c r="AL566" s="4" t="str">
        <f ca="1">IFERROR(__xludf.DUMMYFUNCTION("""COMPUTED_VALUE"""),"| 1 P PHP-CGM % | 3 L PHP-CGM % | 4 L NS % | 5 P Python % ")</f>
        <v xml:space="preserve">| 1 P PHP-CGM % | 3 L PHP-CGM % | 4 L NS % | 5 P Python % </v>
      </c>
      <c r="AM566" s="4" t="str">
        <f ca="1">IFERROR(__xludf.DUMMYFUNCTION("""COMPUTED_VALUE"""),"| 1 P JAVA @ | 3 L CPT @ | 4 L PHP-CGM @ | 5 P JAVA @ ")</f>
        <v xml:space="preserve">| 1 P JAVA @ | 3 L CPT @ | 4 L PHP-CGM @ | 5 P JAVA @ </v>
      </c>
      <c r="AN566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O566" s="4" t="str">
        <f ca="1">IFERROR(__xludf.DUMMYFUNCTION("""COMPUTED_VALUE"""),"| 1 P NS % | 3 L CPT % | 4 L JAVA % | 5 L INE @ ")</f>
        <v xml:space="preserve">| 1 P NS % | 3 L CPT % | 4 L JAVA % | 5 L INE @ </v>
      </c>
      <c r="AP566" s="4" t="str">
        <f ca="1">IFERROR(__xludf.DUMMYFUNCTION("""COMPUTED_VALUE"""),"| 1 P CPT % | 3 L JAVA % | 4 L NS % | 5 P PRO @ ")</f>
        <v xml:space="preserve">| 1 P CPT % | 3 L JAVA % | 4 L NS % | 5 P PRO @ </v>
      </c>
      <c r="AQ566" s="4" t="str">
        <f ca="1">IFERROR(__xludf.DUMMYFUNCTION("""COMPUTED_VALUE"""),"| 1 P PHP-CGM % | 3 L PHP-CGM % | 4 L NS % | 5 P Python @ ")</f>
        <v xml:space="preserve">| 1 P PHP-CGM % | 3 L PHP-CGM % | 4 L NS % | 5 P Python @ </v>
      </c>
      <c r="AR566" s="4" t="str">
        <f ca="1">IFERROR(__xludf.DUMMYFUNCTION("""COMPUTED_VALUE"""),"| 1 P JAVA % | 3 L CPT % | 5 P JAVA @ ")</f>
        <v xml:space="preserve">| 1 P JAVA % | 3 L CPT % | 5 P JAVA @ </v>
      </c>
      <c r="AS566" s="4" t="str">
        <f ca="1">IFERROR(__xludf.DUMMYFUNCTION("""COMPUTED_VALUE"""),"| 1 P NS @ | 3 L CPT @ | 4 L JAVA @ | 5 L INE @ ")</f>
        <v xml:space="preserve">| 1 P NS @ | 3 L CPT @ | 4 L JAVA @ | 5 L INE @ </v>
      </c>
      <c r="AT566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66" s="4" t="str">
        <f ca="1">IFERROR(__xludf.DUMMYFUNCTION("""COMPUTED_VALUE"""),"| 1 P PHP-CGM % | 3 L PHP-CGM % | 4 L NS % | 5 P Python @ ")</f>
        <v xml:space="preserve">| 1 P PHP-CGM % | 3 L PHP-CGM % | 4 L NS % | 5 P Python @ </v>
      </c>
      <c r="AV566" s="4" t="str">
        <f ca="1">IFERROR(__xludf.DUMMYFUNCTION("""COMPUTED_VALUE"""),"| 1 P JAVA @ | 3 L CPT % | 4 L PHP-CGM % | 5 P JAVA @ ")</f>
        <v xml:space="preserve">| 1 P JAVA @ | 3 L CPT % | 4 L PHP-CGM % | 5 P JAVA @ </v>
      </c>
      <c r="AW566" s="4" t="str">
        <f ca="1">IFERROR(__xludf.DUMMYFUNCTION("""COMPUTED_VALUE"""),"| 1 P Python % | 3 L PHP-CGM % | 4 L JAVA % | 5 L NS @ | 5 L CPT @ ")</f>
        <v xml:space="preserve">| 1 P Python % | 3 L PHP-CGM % | 4 L JAVA % | 5 L NS @ | 5 L CPT @ </v>
      </c>
      <c r="AX566" s="4" t="str">
        <f ca="1">IFERROR(__xludf.DUMMYFUNCTION("""COMPUTED_VALUE"""),"| 1 P NS % | 3 L CPT % | 4 L JAVA % | 5 L INE % ")</f>
        <v xml:space="preserve">| 1 P NS % | 3 L CPT % | 4 L JAVA % | 5 L INE % </v>
      </c>
      <c r="AY566" s="4" t="str">
        <f ca="1">IFERROR(__xludf.DUMMYFUNCTION("""COMPUTED_VALUE"""),"| 1 P CPT % | 3 L JAVA % | 4 L NS % | 5 P PRO @ ")</f>
        <v xml:space="preserve">| 1 P CPT % | 3 L JAVA % | 4 L NS % | 5 P PRO @ </v>
      </c>
      <c r="AZ566" s="4" t="str">
        <f ca="1">IFERROR(__xludf.DUMMYFUNCTION("""COMPUTED_VALUE"""),"| 1 P JAVA % | 3 L CPT % | 4 L PHP-CGM % | 5 P JAVA @ ")</f>
        <v xml:space="preserve">| 1 P JAVA % | 3 L CPT % | 4 L PHP-CGM % | 5 P JAVA @ </v>
      </c>
      <c r="BA566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B566" s="4" t="str">
        <f ca="1">IFERROR(__xludf.DUMMYFUNCTION("""COMPUTED_VALUE"""),"| 1 P NS % | 3 L CPT % | 4 L JAVA % | 5 L INE @ ")</f>
        <v xml:space="preserve">| 1 P NS % | 3 L CPT % | 4 L JAVA % | 5 L INE @ </v>
      </c>
      <c r="BC566" s="4" t="str">
        <f ca="1">IFERROR(__xludf.DUMMYFUNCTION("""COMPUTED_VALUE"""),"| 1 P CPT % | 3 L JAVA % | 4 L NS % | 5 P PRO @ ")</f>
        <v xml:space="preserve">| 1 P CPT % | 3 L JAVA % | 4 L NS % | 5 P PRO @ </v>
      </c>
      <c r="BD566" s="4" t="str">
        <f ca="1">IFERROR(__xludf.DUMMYFUNCTION("""COMPUTED_VALUE"""),"| 1 P PHP-CGM % | 4 L NS %  | 3 L PHP-CGM % | 5 P Python @ ")</f>
        <v xml:space="preserve">| 1 P PHP-CGM % | 4 L NS %  | 3 L PHP-CGM % | 5 P Python @ </v>
      </c>
      <c r="BE566" s="4" t="str">
        <f ca="1">IFERROR(__xludf.DUMMYFUNCTION("""COMPUTED_VALUE"""),"| 1 P JAVA % | 3 L CPT % | 4 L PHP-CGM % | 5 P JAVA @ ")</f>
        <v xml:space="preserve">| 1 P JAVA % | 3 L CPT % | 4 L PHP-CGM % | 5 P JAVA @ </v>
      </c>
      <c r="BF566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66" s="4" t="str">
        <f ca="1">IFERROR(__xludf.DUMMYFUNCTION("""COMPUTED_VALUE"""),"| 3 L JAVA % | 4 L NS % | 5 P PRO @ ")</f>
        <v xml:space="preserve">| 3 L JAVA % | 4 L NS % | 5 P PRO @ </v>
      </c>
      <c r="BH566" s="4" t="str">
        <f ca="1">IFERROR(__xludf.DUMMYFUNCTION("""COMPUTED_VALUE"""),"| 1 P PHP-CGM % | 3 L PHP-CGM % | 4 L NS % | 5 P Python @ ")</f>
        <v xml:space="preserve">| 1 P PHP-CGM % | 3 L PHP-CGM % | 4 L NS % | 5 P Python @ </v>
      </c>
      <c r="BI566" s="4" t="str">
        <f ca="1">IFERROR(__xludf.DUMMYFUNCTION("""COMPUTED_VALUE"""),"| 1 P JAVA % | 3 L CPT % | 4 L PHP-CGM % | 5 P JAVA @ ")</f>
        <v xml:space="preserve">| 1 P JAVA % | 3 L CPT % | 4 L PHP-CGM % | 5 P JAVA @ </v>
      </c>
      <c r="BJ566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6" s="4" t="str">
        <f ca="1">IFERROR(__xludf.DUMMYFUNCTION("""COMPUTED_VALUE"""),"| 1 P NS @ | 3 L CPT @ | 4 L JAVA @ | 5 L INE @ ")</f>
        <v xml:space="preserve">| 1 P NS @ | 3 L CPT @ | 4 L JAVA @ | 5 L INE @ </v>
      </c>
      <c r="BL566" s="4" t="str">
        <f ca="1">IFERROR(__xludf.DUMMYFUNCTION("""COMPUTED_VALUE"""),"| 1 P CPT @ | 3 L JAVA @ | 4 L NS @ | 5 P PRO @ ")</f>
        <v xml:space="preserve">| 1 P CPT @ | 3 L JAVA @ | 4 L NS @ | 5 P PRO @ </v>
      </c>
      <c r="BM566" s="4" t="str">
        <f ca="1">IFERROR(__xludf.DUMMYFUNCTION("""COMPUTED_VALUE"""),"| 1 P PHP-CGM @ | 3 L PHP-CGM @ | 4 L NS @ | 5 P Python @ ")</f>
        <v xml:space="preserve">| 1 P PHP-CGM @ | 3 L PHP-CGM @ | 4 L NS @ | 5 P Python @ </v>
      </c>
      <c r="BN566" s="4" t="str">
        <f ca="1">IFERROR(__xludf.DUMMYFUNCTION("""COMPUTED_VALUE"""),"| 1 P JAVA @ | 3 L CPT @ | 4 L PHP-CGM @ ")</f>
        <v xml:space="preserve">| 1 P JAVA @ | 3 L CPT @ | 4 L PHP-CGM @ </v>
      </c>
      <c r="BO566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6" s="4" t="str">
        <f ca="1">IFERROR(__xludf.DUMMYFUNCTION("""COMPUTED_VALUE"""),"| 1 P NS @ | 3 L CPT @ | 4 L JAVA % | 5 L INE @ ")</f>
        <v xml:space="preserve">| 1 P NS @ | 3 L CPT @ | 4 L JAVA % | 5 L INE @ </v>
      </c>
      <c r="BQ566" s="4" t="str">
        <f ca="1">IFERROR(__xludf.DUMMYFUNCTION("""COMPUTED_VALUE"""),"| 4 L NS @ ")</f>
        <v xml:space="preserve">| 4 L NS @ </v>
      </c>
      <c r="BR566" s="4"/>
      <c r="BS566" s="4"/>
      <c r="BT566" s="4" t="str">
        <f ca="1">IFERROR(__xludf.DUMMYFUNCTION("""COMPUTED_VALUE"""),"| 1 P NS @ | 3 L CPT @ | 4 L JAVA @ ")</f>
        <v xml:space="preserve">| 1 P NS @ | 3 L CPT @ | 4 L JAVA @ </v>
      </c>
      <c r="BU566" s="4" t="str">
        <f ca="1">IFERROR(__xludf.DUMMYFUNCTION("""COMPUTED_VALUE"""),"| 1 P CPT @ | 4 L NS @ | 3 L JAVA @ ")</f>
        <v xml:space="preserve">| 1 P CPT @ | 4 L NS @ | 3 L JAVA @ </v>
      </c>
      <c r="BV566" s="4" t="str">
        <f ca="1">IFERROR(__xludf.DUMMYFUNCTION("""COMPUTED_VALUE"""),"| 1 P NS @ | 3 L CPT @ | 4 L JAVA @ ")</f>
        <v xml:space="preserve">| 1 P NS @ | 3 L CPT @ | 4 L JAVA @ </v>
      </c>
      <c r="BW566" s="4" t="str">
        <f ca="1">IFERROR(__xludf.DUMMYFUNCTION("""COMPUTED_VALUE"""),"| 1 P CPT @ | 3 L JAVA @ | 4 L NS @ ")</f>
        <v xml:space="preserve">| 1 P CPT @ | 3 L JAVA @ | 4 L NS @ </v>
      </c>
      <c r="BX566" s="4" t="str">
        <f ca="1">IFERROR(__xludf.DUMMYFUNCTION("""COMPUTED_VALUE"""),"| 1 P PHP-CGM @ | 3 L PHP-CGM @ | 4 L NS @ | 5 P Python @ ")</f>
        <v xml:space="preserve">| 1 P PHP-CGM @ | 3 L PHP-CGM @ | 4 L NS @ | 5 P Python @ </v>
      </c>
      <c r="BY566" s="4" t="str">
        <f ca="1">IFERROR(__xludf.DUMMYFUNCTION("""COMPUTED_VALUE"""),"| 1 P JAVA @ | 3 L CPT @ | 4 L PHP-CGM @ | 5 P JAVA @ ")</f>
        <v xml:space="preserve">| 1 P JAVA @ | 3 L CPT @ | 4 L PHP-CGM @ | 5 P JAVA @ </v>
      </c>
      <c r="BZ566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66" s="4" t="str">
        <f ca="1">IFERROR(__xludf.DUMMYFUNCTION("""COMPUTED_VALUE"""),"| 1 P NS % | 3 L CPT % | 4 L JAVA % | 5 L INE % ")</f>
        <v xml:space="preserve">| 1 P NS % | 3 L CPT % | 4 L JAVA % | 5 L INE % </v>
      </c>
      <c r="CB566" s="4" t="str">
        <f ca="1">IFERROR(__xludf.DUMMYFUNCTION("""COMPUTED_VALUE"""),"| 1 P CPT @ | 3 L JAVA @ | 4 L NS @ | 5 P PRO @ ")</f>
        <v xml:space="preserve">| 1 P CPT @ | 3 L JAVA @ | 4 L NS @ | 5 P PRO @ </v>
      </c>
      <c r="CC566" s="4" t="str">
        <f ca="1">IFERROR(__xludf.DUMMYFUNCTION("""COMPUTED_VALUE"""),"| 1 P PHP-CGM @ | 3 L PHP-CGM @ | 4 L NS @ | 5 P Python @ ")</f>
        <v xml:space="preserve">| 1 P PHP-CGM @ | 3 L PHP-CGM @ | 4 L NS @ | 5 P Python @ </v>
      </c>
      <c r="CD566" s="4" t="str">
        <f ca="1">IFERROR(__xludf.DUMMYFUNCTION("""COMPUTED_VALUE"""),"| 1 P JAVA @ | 3 L CPT @ | 4 L PHP-CGM @ ")</f>
        <v xml:space="preserve">| 1 P JAVA @ | 3 L CPT @ | 4 L PHP-CGM @ </v>
      </c>
      <c r="CE566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66" s="4" t="str">
        <f ca="1">IFERROR(__xludf.DUMMYFUNCTION("""COMPUTED_VALUE"""),"| 1 P NS @ | 3 L CPT @ | 4 L JAVA @ | 5 L INE @ ")</f>
        <v xml:space="preserve">| 1 P NS @ | 3 L CPT @ | 4 L JAVA @ | 5 L INE @ </v>
      </c>
      <c r="CG566" s="4" t="str">
        <f ca="1">IFERROR(__xludf.DUMMYFUNCTION("""COMPUTED_VALUE"""),"| 1 P CPT % | 4 L NS @ ")</f>
        <v xml:space="preserve">| 1 P CPT % | 4 L NS @ </v>
      </c>
      <c r="CH566" s="4" t="str">
        <f ca="1">IFERROR(__xludf.DUMMYFUNCTION("""COMPUTED_VALUE"""),"| 1 P PHP-CGM % | 3 L PHP-CGM % | 4 L NS % ")</f>
        <v xml:space="preserve">| 1 P PHP-CGM % | 3 L PHP-CGM % | 4 L NS % </v>
      </c>
      <c r="CI566" s="4"/>
      <c r="CJ566" s="4" t="str">
        <f ca="1">IFERROR(__xludf.DUMMYFUNCTION("""COMPUTED_VALUE"""),"| 4 L JAVA % ")</f>
        <v xml:space="preserve">| 4 L JAVA % </v>
      </c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</row>
    <row r="567" spans="1:102" ht="12.5" x14ac:dyDescent="0.25">
      <c r="A567" s="3">
        <f ca="1">IFERROR(__xludf.DUMMYFUNCTION("""COMPUTED_VALUE"""),4)</f>
        <v>4</v>
      </c>
      <c r="B567" s="3" t="str">
        <f ca="1">IFERROR(__xludf.DUMMYFUNCTION("""COMPUTED_VALUE"""),"ITC")</f>
        <v>ITC</v>
      </c>
      <c r="C567" s="32" t="str">
        <f ca="1">IFERROR(__xludf.DUMMYFUNCTION("""COMPUTED_VALUE"""),"23171371168")</f>
        <v>23171371168</v>
      </c>
      <c r="D567" s="4" t="str">
        <f ca="1">IFERROR(__xludf.DUMMYFUNCTION("""COMPUTED_VALUE"""),"THAKOR VIJAY ASHOKJI")</f>
        <v>THAKOR VIJAY ASHOKJI</v>
      </c>
      <c r="E567" s="3" t="str">
        <f ca="1">IFERROR(__xludf.DUMMYFUNCTION("""COMPUTED_VALUE"""),"SDP&amp;KKP - Mor")</f>
        <v>SDP&amp;KKP - Mor</v>
      </c>
      <c r="F567" s="3">
        <f ca="1">IFERROR(__xludf.DUMMYFUNCTION("""COMPUTED_VALUE"""),7016551214)</f>
        <v>7016551214</v>
      </c>
      <c r="G567" s="3">
        <f ca="1">IFERROR(__xludf.DUMMYFUNCTION("""COMPUTED_VALUE"""),787851702406)</f>
        <v>787851702406</v>
      </c>
      <c r="H567" s="33">
        <f ca="1">IFERROR(__xludf.DUMMYFUNCTION("""COMPUTED_VALUE"""),0.219409282700421)</f>
        <v>0.21940928270042101</v>
      </c>
      <c r="I567" s="25">
        <f ca="1">IFERROR(__xludf.DUMMYFUNCTION("""COMPUTED_VALUE"""),0.222222222222222)</f>
        <v>0.22222222222222199</v>
      </c>
      <c r="J567" s="25">
        <f ca="1">IFERROR(__xludf.DUMMYFUNCTION("""COMPUTED_VALUE"""),0.0833333333333333)</f>
        <v>8.3333333333333301E-2</v>
      </c>
      <c r="K567" s="25">
        <f ca="1">IFERROR(__xludf.DUMMYFUNCTION("""COMPUTED_VALUE"""),0.25)</f>
        <v>0.25</v>
      </c>
      <c r="L567" s="25">
        <f ca="1">IFERROR(__xludf.DUMMYFUNCTION("""COMPUTED_VALUE"""),0.285714285714285)</f>
        <v>0.28571428571428498</v>
      </c>
      <c r="M567" s="25">
        <f ca="1">IFERROR(__xludf.DUMMYFUNCTION("""COMPUTED_VALUE"""),0.25)</f>
        <v>0.25</v>
      </c>
      <c r="N567" s="25">
        <f ca="1">IFERROR(__xludf.DUMMYFUNCTION("""COMPUTED_VALUE"""),0.2)</f>
        <v>0.2</v>
      </c>
      <c r="O567" s="25">
        <f ca="1">IFERROR(__xludf.DUMMYFUNCTION("""COMPUTED_VALUE"""),0.297297297297297)</f>
        <v>0.29729729729729698</v>
      </c>
      <c r="P567" s="25">
        <f ca="1">IFERROR(__xludf.DUMMYFUNCTION("""COMPUTED_VALUE"""),0.136363636363636)</f>
        <v>0.13636363636363599</v>
      </c>
      <c r="Q567" s="25">
        <f ca="1">IFERROR(__xludf.DUMMYFUNCTION("""COMPUTED_VALUE"""),0)</f>
        <v>0</v>
      </c>
      <c r="R567" s="25">
        <f ca="1">IFERROR(__xludf.DUMMYFUNCTION("""COMPUTED_VALUE"""),0.157894736842105)</f>
        <v>0.157894736842105</v>
      </c>
      <c r="S567" s="25">
        <f ca="1">IFERROR(__xludf.DUMMYFUNCTION("""COMPUTED_VALUE"""),0)</f>
        <v>0</v>
      </c>
      <c r="T567" s="25">
        <f ca="1">IFERROR(__xludf.DUMMYFUNCTION("""COMPUTED_VALUE"""),0.181818181818181)</f>
        <v>0.18181818181818099</v>
      </c>
      <c r="U567" s="25">
        <f ca="1">IFERROR(__xludf.DUMMYFUNCTION("""COMPUTED_VALUE"""),0.125)</f>
        <v>0.125</v>
      </c>
      <c r="V567" s="25">
        <f ca="1">IFERROR(__xludf.DUMMYFUNCTION("""COMPUTED_VALUE"""),0)</f>
        <v>0</v>
      </c>
      <c r="W567" s="4"/>
      <c r="X567" s="4" t="str">
        <f ca="1">IFERROR(__xludf.DUMMYFUNCTION("""COMPUTED_VALUE"""),"| 1 P NS @ | 3 L CPT @ | 4 L JAVA @ ")</f>
        <v xml:space="preserve">| 1 P NS @ | 3 L CPT @ | 4 L JAVA @ </v>
      </c>
      <c r="Y567" s="4" t="str">
        <f ca="1">IFERROR(__xludf.DUMMYFUNCTION("""COMPUTED_VALUE"""),"| 1 P CPT @ | 3 L JAVA @ | 4 L NS @ | 5 P PRO @ ")</f>
        <v xml:space="preserve">| 1 P CPT @ | 3 L JAVA @ | 4 L NS @ | 5 P PRO @ </v>
      </c>
      <c r="Z567" s="4" t="str">
        <f ca="1">IFERROR(__xludf.DUMMYFUNCTION("""COMPUTED_VALUE"""),"| 3 L PHP-CGM @ | 4 L NS @ | 5 P Python @ ")</f>
        <v xml:space="preserve">| 3 L PHP-CGM @ | 4 L NS @ | 5 P Python @ </v>
      </c>
      <c r="AA567" s="4" t="str">
        <f ca="1">IFERROR(__xludf.DUMMYFUNCTION("""COMPUTED_VALUE"""),"| 1 P NS @ | 3 L CPT @ | 5 P JAVA @ ")</f>
        <v xml:space="preserve">| 1 P NS @ | 3 L CPT @ | 5 P JAVA @ </v>
      </c>
      <c r="AB567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67" s="4" t="str">
        <f ca="1">IFERROR(__xludf.DUMMYFUNCTION("""COMPUTED_VALUE"""),"| 1 P NS % | 3 L CPT @ | 4 L JAVA % ")</f>
        <v xml:space="preserve">| 1 P NS % | 3 L CPT @ | 4 L JAVA % </v>
      </c>
      <c r="AD567" s="4" t="str">
        <f ca="1">IFERROR(__xludf.DUMMYFUNCTION("""COMPUTED_VALUE"""),"| 1 P CPT @ | 3 L JAVA @ | 4 L NS @ | 5 P PRO @ ")</f>
        <v xml:space="preserve">| 1 P CPT @ | 3 L JAVA @ | 4 L NS @ | 5 P PRO @ </v>
      </c>
      <c r="AE567" s="4" t="str">
        <f ca="1">IFERROR(__xludf.DUMMYFUNCTION("""COMPUTED_VALUE"""),"| 1 P PHP-CGM @ | 3 L PHP-CGM @ | 4 L NS @ ")</f>
        <v xml:space="preserve">| 1 P PHP-CGM @ | 3 L PHP-CGM @ | 4 L NS @ </v>
      </c>
      <c r="AF567" s="4" t="str">
        <f ca="1">IFERROR(__xludf.DUMMYFUNCTION("""COMPUTED_VALUE"""),"| 1 P JAVA @ | 3 L CPT @ | 4 L PHP-CGM % | 5 P JAVA @ ")</f>
        <v xml:space="preserve">| 1 P JAVA @ | 3 L CPT @ | 4 L PHP-CGM % | 5 P JAVA @ </v>
      </c>
      <c r="AG567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H567" s="4" t="str">
        <f ca="1">IFERROR(__xludf.DUMMYFUNCTION("""COMPUTED_VALUE"""),"| 1 P JAVA @ | 3 L CPT @ | 4 L PHP-CGM @ | 5 P JAVA @ ")</f>
        <v xml:space="preserve">| 1 P JAVA @ | 3 L CPT @ | 4 L PHP-CGM @ | 5 P JAVA @ </v>
      </c>
      <c r="AI567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67" s="4" t="str">
        <f ca="1">IFERROR(__xludf.DUMMYFUNCTION("""COMPUTED_VALUE"""),"| 1 P NS @ | 3 L CPT @ | 4 L JAVA @ ")</f>
        <v xml:space="preserve">| 1 P NS @ | 3 L CPT @ | 4 L JAVA @ </v>
      </c>
      <c r="AK567" s="4" t="str">
        <f ca="1">IFERROR(__xludf.DUMMYFUNCTION("""COMPUTED_VALUE"""),"| 1 P CPT @ | 4 L NS % | 3 L JAVA % | 5 P PRO @ ")</f>
        <v xml:space="preserve">| 1 P CPT @ | 4 L NS % | 3 L JAVA % | 5 P PRO @ </v>
      </c>
      <c r="AL567" s="4" t="str">
        <f ca="1">IFERROR(__xludf.DUMMYFUNCTION("""COMPUTED_VALUE"""),"| 1 P PHP-CGM % | 3 L PHP-CGM % | 4 L NS % | 5 P Python @ ")</f>
        <v xml:space="preserve">| 1 P PHP-CGM % | 3 L PHP-CGM % | 4 L NS % | 5 P Python @ </v>
      </c>
      <c r="AM567" s="4" t="str">
        <f ca="1">IFERROR(__xludf.DUMMYFUNCTION("""COMPUTED_VALUE"""),"| 1 P JAVA % | 3 L CPT % | 4 L PHP-CGM % | 5 P JAVA @ ")</f>
        <v xml:space="preserve">| 1 P JAVA % | 3 L CPT % | 4 L PHP-CGM % | 5 P JAVA @ </v>
      </c>
      <c r="AN567" s="4" t="str">
        <f ca="1">IFERROR(__xludf.DUMMYFUNCTION("""COMPUTED_VALUE"""),"| 1 P Python % | 3 L PHP-CGM @ | 4 L JAVA @ | 5 L CPT @ | 6 L NS @ ")</f>
        <v xml:space="preserve">| 1 P Python % | 3 L PHP-CGM @ | 4 L JAVA @ | 5 L CPT @ | 6 L NS @ </v>
      </c>
      <c r="AO567" s="4" t="str">
        <f ca="1">IFERROR(__xludf.DUMMYFUNCTION("""COMPUTED_VALUE"""),"| 1 P NS % | 3 L CPT % | 4 L JAVA % | 5 L INE @ ")</f>
        <v xml:space="preserve">| 1 P NS % | 3 L CPT % | 4 L JAVA % | 5 L INE @ </v>
      </c>
      <c r="AP567" s="4" t="str">
        <f ca="1">IFERROR(__xludf.DUMMYFUNCTION("""COMPUTED_VALUE"""),"| 1 P CPT @ | 3 L JAVA % | 4 L NS % | 5 P PRO @ ")</f>
        <v xml:space="preserve">| 1 P CPT @ | 3 L JAVA % | 4 L NS % | 5 P PRO @ </v>
      </c>
      <c r="AQ567" s="4" t="str">
        <f ca="1">IFERROR(__xludf.DUMMYFUNCTION("""COMPUTED_VALUE"""),"| 1 P PHP-CGM @ | 3 L PHP-CGM @ | 4 L NS @ | 5 P Python @ ")</f>
        <v xml:space="preserve">| 1 P PHP-CGM @ | 3 L PHP-CGM @ | 4 L NS @ | 5 P Python @ </v>
      </c>
      <c r="AR567" s="4" t="str">
        <f ca="1">IFERROR(__xludf.DUMMYFUNCTION("""COMPUTED_VALUE"""),"| 1 P JAVA @ | 3 L CPT @ | 5 P JAVA @ ")</f>
        <v xml:space="preserve">| 1 P JAVA @ | 3 L CPT @ | 5 P JAVA @ </v>
      </c>
      <c r="AS567" s="4" t="str">
        <f ca="1">IFERROR(__xludf.DUMMYFUNCTION("""COMPUTED_VALUE"""),"| 1 P NS % | 3 L CPT % | 4 L JAVA % | 5 L INE @ ")</f>
        <v xml:space="preserve">| 1 P NS % | 3 L CPT % | 4 L JAVA % | 5 L INE @ </v>
      </c>
      <c r="AT567" s="4" t="str">
        <f ca="1">IFERROR(__xludf.DUMMYFUNCTION("""COMPUTED_VALUE"""),"| 1 P CPT @ | 3 L JAVA @ | 1 P JAVA @ | 4 L NS @ | 5 P PRO @ ")</f>
        <v xml:space="preserve">| 1 P CPT @ | 3 L JAVA @ | 1 P JAVA @ | 4 L NS @ | 5 P PRO @ </v>
      </c>
      <c r="AU567" s="4" t="str">
        <f ca="1">IFERROR(__xludf.DUMMYFUNCTION("""COMPUTED_VALUE"""),"| 1 P PHP-CGM % | 3 L PHP-CGM % | 4 L NS % | 5 P Python % ")</f>
        <v xml:space="preserve">| 1 P PHP-CGM % | 3 L PHP-CGM % | 4 L NS % | 5 P Python % </v>
      </c>
      <c r="AV567" s="4" t="str">
        <f ca="1">IFERROR(__xludf.DUMMYFUNCTION("""COMPUTED_VALUE"""),"| 1 P JAVA % | 3 L CPT % | 4 L PHP-CGM % | 5 P JAVA % ")</f>
        <v xml:space="preserve">| 1 P JAVA % | 3 L CPT % | 4 L PHP-CGM % | 5 P JAVA % </v>
      </c>
      <c r="AW567" s="4" t="str">
        <f ca="1">IFERROR(__xludf.DUMMYFUNCTION("""COMPUTED_VALUE"""),"| 1 P Python @ | 3 L PHP-CGM @ | 4 L JAVA @ | 5 L NS @ | 5 L CPT @ ")</f>
        <v xml:space="preserve">| 1 P Python @ | 3 L PHP-CGM @ | 4 L JAVA @ | 5 L NS @ | 5 L CPT @ </v>
      </c>
      <c r="AX567" s="4" t="str">
        <f ca="1">IFERROR(__xludf.DUMMYFUNCTION("""COMPUTED_VALUE"""),"| 1 P NS % | 3 L CPT % | 4 L JAVA % | 5 L INE % ")</f>
        <v xml:space="preserve">| 1 P NS % | 3 L CPT % | 4 L JAVA % | 5 L INE % </v>
      </c>
      <c r="AY567" s="4" t="str">
        <f ca="1">IFERROR(__xludf.DUMMYFUNCTION("""COMPUTED_VALUE"""),"| 1 P CPT @ | 3 L JAVA % | 4 L NS % | 5 P PRO @ ")</f>
        <v xml:space="preserve">| 1 P CPT @ | 3 L JAVA % | 4 L NS % | 5 P PRO @ </v>
      </c>
      <c r="AZ567" s="4" t="str">
        <f ca="1">IFERROR(__xludf.DUMMYFUNCTION("""COMPUTED_VALUE"""),"| 1 P JAVA @ | 3 L CPT @ | 4 L PHP-CGM @ | 5 P JAVA @ ")</f>
        <v xml:space="preserve">| 1 P JAVA @ | 3 L CPT @ | 4 L PHP-CGM @ | 5 P JAVA @ </v>
      </c>
      <c r="BA567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67" s="4" t="str">
        <f ca="1">IFERROR(__xludf.DUMMYFUNCTION("""COMPUTED_VALUE"""),"| 1 P NS @ | 3 L CPT @ | 4 L JAVA @ | 5 L INE @ ")</f>
        <v xml:space="preserve">| 1 P NS @ | 3 L CPT @ | 4 L JAVA @ | 5 L INE @ </v>
      </c>
      <c r="BC567" s="4" t="str">
        <f ca="1">IFERROR(__xludf.DUMMYFUNCTION("""COMPUTED_VALUE"""),"| 1 P CPT % | 3 L JAVA % | 4 L NS % | 5 P PRO % ")</f>
        <v xml:space="preserve">| 1 P CPT % | 3 L JAVA % | 4 L NS % | 5 P PRO % </v>
      </c>
      <c r="BD567" s="4" t="str">
        <f ca="1">IFERROR(__xludf.DUMMYFUNCTION("""COMPUTED_VALUE"""),"| 1 P PHP-CGM @ | 4 L NS @  | 3 L PHP-CGM @ | 5 P Python @ ")</f>
        <v xml:space="preserve">| 1 P PHP-CGM @ | 4 L NS @  | 3 L PHP-CGM @ | 5 P Python @ </v>
      </c>
      <c r="BE567" s="4" t="str">
        <f ca="1">IFERROR(__xludf.DUMMYFUNCTION("""COMPUTED_VALUE"""),"| 1 P JAVA @ | 3 L CPT @ | 4 L PHP-CGM @ | 5 P JAVA @ ")</f>
        <v xml:space="preserve">| 1 P JAVA @ | 3 L CPT @ | 4 L PHP-CGM @ | 5 P JAVA @ </v>
      </c>
      <c r="BF567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67" s="4" t="str">
        <f ca="1">IFERROR(__xludf.DUMMYFUNCTION("""COMPUTED_VALUE"""),"| 3 L JAVA @ | 4 L NS @ | 5 P PRO @ ")</f>
        <v xml:space="preserve">| 3 L JAVA @ | 4 L NS @ | 5 P PRO @ </v>
      </c>
      <c r="BH567" s="4" t="str">
        <f ca="1">IFERROR(__xludf.DUMMYFUNCTION("""COMPUTED_VALUE"""),"| 1 P PHP-CGM @ | 3 L PHP-CGM % | 4 L NS % | 5 P Python @ ")</f>
        <v xml:space="preserve">| 1 P PHP-CGM @ | 3 L PHP-CGM % | 4 L NS % | 5 P Python @ </v>
      </c>
      <c r="BI567" s="4" t="str">
        <f ca="1">IFERROR(__xludf.DUMMYFUNCTION("""COMPUTED_VALUE"""),"| 1 P JAVA @ | 3 L CPT @ | 4 L PHP-CGM @ | 5 P JAVA @ ")</f>
        <v xml:space="preserve">| 1 P JAVA @ | 3 L CPT @ | 4 L PHP-CGM @ | 5 P JAVA @ </v>
      </c>
      <c r="BJ567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7" s="4" t="str">
        <f ca="1">IFERROR(__xludf.DUMMYFUNCTION("""COMPUTED_VALUE"""),"| 1 P NS @ | 3 L CPT @ | 4 L JAVA @ | 5 L INE @ ")</f>
        <v xml:space="preserve">| 1 P NS @ | 3 L CPT @ | 4 L JAVA @ | 5 L INE @ </v>
      </c>
      <c r="BL567" s="4" t="str">
        <f ca="1">IFERROR(__xludf.DUMMYFUNCTION("""COMPUTED_VALUE"""),"| 1 P CPT @ | 3 L JAVA @ | 4 L NS @ | 5 P PRO @ ")</f>
        <v xml:space="preserve">| 1 P CPT @ | 3 L JAVA @ | 4 L NS @ | 5 P PRO @ </v>
      </c>
      <c r="BM567" s="4" t="str">
        <f ca="1">IFERROR(__xludf.DUMMYFUNCTION("""COMPUTED_VALUE"""),"| 1 P PHP-CGM @ | 3 L PHP-CGM @ | 4 L NS @ | 5 P Python @ ")</f>
        <v xml:space="preserve">| 1 P PHP-CGM @ | 3 L PHP-CGM @ | 4 L NS @ | 5 P Python @ </v>
      </c>
      <c r="BN567" s="4" t="str">
        <f ca="1">IFERROR(__xludf.DUMMYFUNCTION("""COMPUTED_VALUE"""),"| 1 P JAVA @ | 3 L CPT @ | 4 L PHP-CGM @ ")</f>
        <v xml:space="preserve">| 1 P JAVA @ | 3 L CPT @ | 4 L PHP-CGM @ </v>
      </c>
      <c r="BO567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7" s="4" t="str">
        <f ca="1">IFERROR(__xludf.DUMMYFUNCTION("""COMPUTED_VALUE"""),"| 1 P NS @ | 3 L CPT @ | 4 L JAVA @ | 5 L INE @ ")</f>
        <v xml:space="preserve">| 1 P NS @ | 3 L CPT @ | 4 L JAVA @ | 5 L INE @ </v>
      </c>
      <c r="BQ567" s="4" t="str">
        <f ca="1">IFERROR(__xludf.DUMMYFUNCTION("""COMPUTED_VALUE"""),"| 4 L NS @ ")</f>
        <v xml:space="preserve">| 4 L NS @ </v>
      </c>
      <c r="BR567" s="4"/>
      <c r="BS567" s="4"/>
      <c r="BT567" s="4" t="str">
        <f ca="1">IFERROR(__xludf.DUMMYFUNCTION("""COMPUTED_VALUE"""),"| 1 P NS @ | 3 L CPT @ | 4 L JAVA @ ")</f>
        <v xml:space="preserve">| 1 P NS @ | 3 L CPT @ | 4 L JAVA @ </v>
      </c>
      <c r="BU567" s="4" t="str">
        <f ca="1">IFERROR(__xludf.DUMMYFUNCTION("""COMPUTED_VALUE"""),"| 1 P CPT @ | 4 L NS @ | 3 L JAVA @ ")</f>
        <v xml:space="preserve">| 1 P CPT @ | 4 L NS @ | 3 L JAVA @ </v>
      </c>
      <c r="BV567" s="4" t="str">
        <f ca="1">IFERROR(__xludf.DUMMYFUNCTION("""COMPUTED_VALUE"""),"| 1 P NS @ | 3 L CPT @ | 4 L JAVA @ ")</f>
        <v xml:space="preserve">| 1 P NS @ | 3 L CPT @ | 4 L JAVA @ </v>
      </c>
      <c r="BW567" s="4" t="str">
        <f ca="1">IFERROR(__xludf.DUMMYFUNCTION("""COMPUTED_VALUE"""),"| 1 P CPT @ | 3 L JAVA @ | 4 L NS @ ")</f>
        <v xml:space="preserve">| 1 P CPT @ | 3 L JAVA @ | 4 L NS @ </v>
      </c>
      <c r="BX567" s="4" t="str">
        <f ca="1">IFERROR(__xludf.DUMMYFUNCTION("""COMPUTED_VALUE"""),"| 1 P PHP-CGM @ | 3 L PHP-CGM @ | 4 L NS @ | 5 P Python @ ")</f>
        <v xml:space="preserve">| 1 P PHP-CGM @ | 3 L PHP-CGM @ | 4 L NS @ | 5 P Python @ </v>
      </c>
      <c r="BY567" s="4" t="str">
        <f ca="1">IFERROR(__xludf.DUMMYFUNCTION("""COMPUTED_VALUE"""),"| 1 P JAVA @ | 3 L CPT @ | 4 L PHP-CGM @ | 5 P JAVA @ ")</f>
        <v xml:space="preserve">| 1 P JAVA @ | 3 L CPT @ | 4 L PHP-CGM @ | 5 P JAVA @ </v>
      </c>
      <c r="BZ567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67" s="4" t="str">
        <f ca="1">IFERROR(__xludf.DUMMYFUNCTION("""COMPUTED_VALUE"""),"| 1 P NS @ | 3 L CPT @ | 4 L JAVA @ | 5 L INE @ ")</f>
        <v xml:space="preserve">| 1 P NS @ | 3 L CPT @ | 4 L JAVA @ | 5 L INE @ </v>
      </c>
      <c r="CB567" s="4" t="str">
        <f ca="1">IFERROR(__xludf.DUMMYFUNCTION("""COMPUTED_VALUE"""),"| 1 P CPT @ | 3 L JAVA @ | 4 L NS @ | 5 P PRO @ ")</f>
        <v xml:space="preserve">| 1 P CPT @ | 3 L JAVA @ | 4 L NS @ | 5 P PRO @ </v>
      </c>
      <c r="CC567" s="4" t="str">
        <f ca="1">IFERROR(__xludf.DUMMYFUNCTION("""COMPUTED_VALUE"""),"| 1 P PHP-CGM @ | 3 L PHP-CGM @ | 4 L NS @ | 5 P Python @ ")</f>
        <v xml:space="preserve">| 1 P PHP-CGM @ | 3 L PHP-CGM @ | 4 L NS @ | 5 P Python @ </v>
      </c>
      <c r="CD567" s="4" t="str">
        <f ca="1">IFERROR(__xludf.DUMMYFUNCTION("""COMPUTED_VALUE"""),"| 1 P JAVA @ | 3 L CPT @ | 4 L PHP-CGM @ ")</f>
        <v xml:space="preserve">| 1 P JAVA @ | 3 L CPT @ | 4 L PHP-CGM @ </v>
      </c>
      <c r="CE567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67" s="4" t="str">
        <f ca="1">IFERROR(__xludf.DUMMYFUNCTION("""COMPUTED_VALUE"""),"| 1 P NS @ | 3 L CPT @ | 4 L JAVA @ | 5 L INE @ ")</f>
        <v xml:space="preserve">| 1 P NS @ | 3 L CPT @ | 4 L JAVA @ | 5 L INE @ </v>
      </c>
      <c r="CG567" s="4" t="str">
        <f ca="1">IFERROR(__xludf.DUMMYFUNCTION("""COMPUTED_VALUE"""),"| 1 P CPT @ | 4 L NS @ ")</f>
        <v xml:space="preserve">| 1 P CPT @ | 4 L NS @ </v>
      </c>
      <c r="CH567" s="4" t="str">
        <f ca="1">IFERROR(__xludf.DUMMYFUNCTION("""COMPUTED_VALUE"""),"| 1 P PHP-CGM @ | 3 L PHP-CGM @ | 4 L NS @ ")</f>
        <v xml:space="preserve">| 1 P PHP-CGM @ | 3 L PHP-CGM @ | 4 L NS @ </v>
      </c>
      <c r="CI567" s="4"/>
      <c r="CJ567" s="4" t="str">
        <f ca="1">IFERROR(__xludf.DUMMYFUNCTION("""COMPUTED_VALUE"""),"| 4 L JAVA % ")</f>
        <v xml:space="preserve">| 4 L JAVA % </v>
      </c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</row>
    <row r="568" spans="1:102" ht="12.5" x14ac:dyDescent="0.25">
      <c r="A568" s="3">
        <f ca="1">IFERROR(__xludf.DUMMYFUNCTION("""COMPUTED_VALUE"""),4)</f>
        <v>4</v>
      </c>
      <c r="B568" s="3" t="str">
        <f ca="1">IFERROR(__xludf.DUMMYFUNCTION("""COMPUTED_VALUE"""),"ITC")</f>
        <v>ITC</v>
      </c>
      <c r="C568" s="32" t="str">
        <f ca="1">IFERROR(__xludf.DUMMYFUNCTION("""COMPUTED_VALUE"""),"23171371171")</f>
        <v>23171371171</v>
      </c>
      <c r="D568" s="4" t="str">
        <f ca="1">IFERROR(__xludf.DUMMYFUNCTION("""COMPUTED_VALUE"""),"VORA HARSHIL MAHESHBHAI")</f>
        <v>VORA HARSHIL MAHESHBHAI</v>
      </c>
      <c r="E568" s="3" t="str">
        <f ca="1">IFERROR(__xludf.DUMMYFUNCTION("""COMPUTED_VALUE"""),"SDP&amp;KKP - Mor")</f>
        <v>SDP&amp;KKP - Mor</v>
      </c>
      <c r="F568" s="3">
        <f ca="1">IFERROR(__xludf.DUMMYFUNCTION("""COMPUTED_VALUE"""),9316025914)</f>
        <v>9316025914</v>
      </c>
      <c r="G568" s="3">
        <f ca="1">IFERROR(__xludf.DUMMYFUNCTION("""COMPUTED_VALUE"""),8000079938)</f>
        <v>8000079938</v>
      </c>
      <c r="H568" s="33">
        <f ca="1">IFERROR(__xludf.DUMMYFUNCTION("""COMPUTED_VALUE"""),0.552742616033755)</f>
        <v>0.55274261603375496</v>
      </c>
      <c r="I568" s="25">
        <f ca="1">IFERROR(__xludf.DUMMYFUNCTION("""COMPUTED_VALUE"""),0.472222222222222)</f>
        <v>0.47222222222222199</v>
      </c>
      <c r="J568" s="25">
        <f ca="1">IFERROR(__xludf.DUMMYFUNCTION("""COMPUTED_VALUE"""),0.666666666666666)</f>
        <v>0.66666666666666596</v>
      </c>
      <c r="K568" s="25">
        <f ca="1">IFERROR(__xludf.DUMMYFUNCTION("""COMPUTED_VALUE"""),0.416666666666666)</f>
        <v>0.41666666666666602</v>
      </c>
      <c r="L568" s="25">
        <f ca="1">IFERROR(__xludf.DUMMYFUNCTION("""COMPUTED_VALUE"""),0.785714285714285)</f>
        <v>0.78571428571428503</v>
      </c>
      <c r="M568" s="25">
        <f ca="1">IFERROR(__xludf.DUMMYFUNCTION("""COMPUTED_VALUE"""),0.625)</f>
        <v>0.625</v>
      </c>
      <c r="N568" s="25">
        <f ca="1">IFERROR(__xludf.DUMMYFUNCTION("""COMPUTED_VALUE"""),0.9)</f>
        <v>0.9</v>
      </c>
      <c r="O568" s="25">
        <f ca="1">IFERROR(__xludf.DUMMYFUNCTION("""COMPUTED_VALUE"""),0.675675675675675)</f>
        <v>0.67567567567567499</v>
      </c>
      <c r="P568" s="25">
        <f ca="1">IFERROR(__xludf.DUMMYFUNCTION("""COMPUTED_VALUE"""),0.5)</f>
        <v>0.5</v>
      </c>
      <c r="Q568" s="25">
        <f ca="1">IFERROR(__xludf.DUMMYFUNCTION("""COMPUTED_VALUE"""),0)</f>
        <v>0</v>
      </c>
      <c r="R568" s="25">
        <f ca="1">IFERROR(__xludf.DUMMYFUNCTION("""COMPUTED_VALUE"""),0.578947368421052)</f>
        <v>0.57894736842105199</v>
      </c>
      <c r="S568" s="25">
        <f ca="1">IFERROR(__xludf.DUMMYFUNCTION("""COMPUTED_VALUE"""),0)</f>
        <v>0</v>
      </c>
      <c r="T568" s="25">
        <f ca="1">IFERROR(__xludf.DUMMYFUNCTION("""COMPUTED_VALUE"""),0.0909090909090909)</f>
        <v>9.0909090909090898E-2</v>
      </c>
      <c r="U568" s="25">
        <f ca="1">IFERROR(__xludf.DUMMYFUNCTION("""COMPUTED_VALUE"""),0.375)</f>
        <v>0.375</v>
      </c>
      <c r="V568" s="25">
        <f ca="1">IFERROR(__xludf.DUMMYFUNCTION("""COMPUTED_VALUE"""),0)</f>
        <v>0</v>
      </c>
      <c r="W568" s="4"/>
      <c r="X568" s="4" t="str">
        <f ca="1">IFERROR(__xludf.DUMMYFUNCTION("""COMPUTED_VALUE"""),"| 1 P NS @ | 3 L CPT @ | 4 L JAVA @ ")</f>
        <v xml:space="preserve">| 1 P NS @ | 3 L CPT @ | 4 L JAVA @ </v>
      </c>
      <c r="Y568" s="4" t="str">
        <f ca="1">IFERROR(__xludf.DUMMYFUNCTION("""COMPUTED_VALUE"""),"| 1 P CPT @ | 3 L JAVA @ | 4 L NS @ | 5 P PRO @ ")</f>
        <v xml:space="preserve">| 1 P CPT @ | 3 L JAVA @ | 4 L NS @ | 5 P PRO @ </v>
      </c>
      <c r="Z568" s="4" t="str">
        <f ca="1">IFERROR(__xludf.DUMMYFUNCTION("""COMPUTED_VALUE"""),"| 3 L PHP-CGM @ | 4 L NS @ | 5 P Python @ ")</f>
        <v xml:space="preserve">| 3 L PHP-CGM @ | 4 L NS @ | 5 P Python @ </v>
      </c>
      <c r="AA568" s="4" t="str">
        <f ca="1">IFERROR(__xludf.DUMMYFUNCTION("""COMPUTED_VALUE"""),"| 1 P NS % | 3 L CPT % | 5 P JAVA @ ")</f>
        <v xml:space="preserve">| 1 P NS % | 3 L CPT % | 5 P JAVA @ </v>
      </c>
      <c r="AB568" s="4" t="str">
        <f ca="1">IFERROR(__xludf.DUMMYFUNCTION("""COMPUTED_VALUE"""),"| 1 P PRO % | 3 L PHP-CGM % | 4 L JAVA % | 5 L CPT @ | 6 L NS @ ")</f>
        <v xml:space="preserve">| 1 P PRO % | 3 L PHP-CGM % | 4 L JAVA % | 5 L CPT @ | 6 L NS @ </v>
      </c>
      <c r="AC568" s="4" t="str">
        <f ca="1">IFERROR(__xludf.DUMMYFUNCTION("""COMPUTED_VALUE"""),"| 1 P NS % | 3 L CPT % | 4 L JAVA % ")</f>
        <v xml:space="preserve">| 1 P NS % | 3 L CPT % | 4 L JAVA % </v>
      </c>
      <c r="AD568" s="4" t="str">
        <f ca="1">IFERROR(__xludf.DUMMYFUNCTION("""COMPUTED_VALUE"""),"| 1 P CPT % | 3 L JAVA % | 4 L NS % | 5 P PRO @ ")</f>
        <v xml:space="preserve">| 1 P CPT % | 3 L JAVA % | 4 L NS % | 5 P PRO @ </v>
      </c>
      <c r="AE568" s="4" t="str">
        <f ca="1">IFERROR(__xludf.DUMMYFUNCTION("""COMPUTED_VALUE"""),"| 1 P PHP-CGM % | 3 L PHP-CGM % | 4 L NS % ")</f>
        <v xml:space="preserve">| 1 P PHP-CGM % | 3 L PHP-CGM % | 4 L NS % </v>
      </c>
      <c r="AF568" s="4" t="str">
        <f ca="1">IFERROR(__xludf.DUMMYFUNCTION("""COMPUTED_VALUE"""),"| 1 P JAVA @ | 3 L CPT @ | 4 L PHP-CGM @ | 5 P JAVA @ ")</f>
        <v xml:space="preserve">| 1 P JAVA @ | 3 L CPT @ | 4 L PHP-CGM @ | 5 P JAVA @ </v>
      </c>
      <c r="AG568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H568" s="4" t="str">
        <f ca="1">IFERROR(__xludf.DUMMYFUNCTION("""COMPUTED_VALUE"""),"| 1 P JAVA % | 3 L CPT @ | 4 L PHP-CGM @ | 5 P JAVA @ ")</f>
        <v xml:space="preserve">| 1 P JAVA % | 3 L CPT @ | 4 L PHP-CGM @ | 5 P JAVA @ </v>
      </c>
      <c r="AI568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68" s="4" t="str">
        <f ca="1">IFERROR(__xludf.DUMMYFUNCTION("""COMPUTED_VALUE"""),"| 1 P NS % | 3 L CPT % | 4 L JAVA % ")</f>
        <v xml:space="preserve">| 1 P NS % | 3 L CPT % | 4 L JAVA % </v>
      </c>
      <c r="AK568" s="4" t="str">
        <f ca="1">IFERROR(__xludf.DUMMYFUNCTION("""COMPUTED_VALUE"""),"| 1 P CPT % | 4 L NS % | 3 L JAVA % | 5 P PRO @ ")</f>
        <v xml:space="preserve">| 1 P CPT % | 4 L NS % | 3 L JAVA % | 5 P PRO @ </v>
      </c>
      <c r="AL568" s="4" t="str">
        <f ca="1">IFERROR(__xludf.DUMMYFUNCTION("""COMPUTED_VALUE"""),"| 1 P PHP-CGM % | 3 L PHP-CGM % | 4 L NS % | 5 P Python % ")</f>
        <v xml:space="preserve">| 1 P PHP-CGM % | 3 L PHP-CGM % | 4 L NS % | 5 P Python % </v>
      </c>
      <c r="AM568" s="4" t="str">
        <f ca="1">IFERROR(__xludf.DUMMYFUNCTION("""COMPUTED_VALUE"""),"| 1 P JAVA % | 3 L CPT @ | 4 L PHP-CGM @ | 5 P JAVA @ ")</f>
        <v xml:space="preserve">| 1 P JAVA % | 3 L CPT @ | 4 L PHP-CGM @ | 5 P JAVA @ </v>
      </c>
      <c r="AN568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O568" s="4" t="str">
        <f ca="1">IFERROR(__xludf.DUMMYFUNCTION("""COMPUTED_VALUE"""),"| 1 P NS % | 3 L CPT % | 4 L JAVA % | 5 L INE @ ")</f>
        <v xml:space="preserve">| 1 P NS % | 3 L CPT % | 4 L JAVA % | 5 L INE @ </v>
      </c>
      <c r="AP568" s="4" t="str">
        <f ca="1">IFERROR(__xludf.DUMMYFUNCTION("""COMPUTED_VALUE"""),"| 1 P CPT % | 3 L JAVA % | 4 L NS % | 5 P PRO @ ")</f>
        <v xml:space="preserve">| 1 P CPT % | 3 L JAVA % | 4 L NS % | 5 P PRO @ </v>
      </c>
      <c r="AQ568" s="4" t="str">
        <f ca="1">IFERROR(__xludf.DUMMYFUNCTION("""COMPUTED_VALUE"""),"| 1 P PHP-CGM % | 3 L PHP-CGM % | 4 L NS @ | 5 P Python % ")</f>
        <v xml:space="preserve">| 1 P PHP-CGM % | 3 L PHP-CGM % | 4 L NS @ | 5 P Python % </v>
      </c>
      <c r="AR568" s="4" t="str">
        <f ca="1">IFERROR(__xludf.DUMMYFUNCTION("""COMPUTED_VALUE"""),"| 1 P JAVA % | 3 L CPT % | 5 P JAVA @ ")</f>
        <v xml:space="preserve">| 1 P JAVA % | 3 L CPT % | 5 P JAVA @ </v>
      </c>
      <c r="AS568" s="4" t="str">
        <f ca="1">IFERROR(__xludf.DUMMYFUNCTION("""COMPUTED_VALUE"""),"| 1 P NS % | 3 L CPT % | 4 L JAVA % | 5 L INE % ")</f>
        <v xml:space="preserve">| 1 P NS % | 3 L CPT % | 4 L JAVA % | 5 L INE % </v>
      </c>
      <c r="AT568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68" s="4" t="str">
        <f ca="1">IFERROR(__xludf.DUMMYFUNCTION("""COMPUTED_VALUE"""),"| 1 P PHP-CGM % | 3 L PHP-CGM % | 4 L NS % | 5 P Python @ ")</f>
        <v xml:space="preserve">| 1 P PHP-CGM % | 3 L PHP-CGM % | 4 L NS % | 5 P Python @ </v>
      </c>
      <c r="AV568" s="4" t="str">
        <f ca="1">IFERROR(__xludf.DUMMYFUNCTION("""COMPUTED_VALUE"""),"| 1 P JAVA % | 3 L CPT % | 4 L PHP-CGM % | 5 P JAVA % ")</f>
        <v xml:space="preserve">| 1 P JAVA % | 3 L CPT % | 4 L PHP-CGM % | 5 P JAVA % </v>
      </c>
      <c r="AW568" s="4" t="str">
        <f ca="1">IFERROR(__xludf.DUMMYFUNCTION("""COMPUTED_VALUE"""),"| 1 P Python % | 3 L PHP-CGM % | 4 L JAVA % | 5 L NS @ | 5 L CPT @ ")</f>
        <v xml:space="preserve">| 1 P Python % | 3 L PHP-CGM % | 4 L JAVA % | 5 L NS @ | 5 L CPT @ </v>
      </c>
      <c r="AX568" s="4" t="str">
        <f ca="1">IFERROR(__xludf.DUMMYFUNCTION("""COMPUTED_VALUE"""),"| 1 P NS % | 3 L CPT % | 4 L JAVA % | 5 L INE % ")</f>
        <v xml:space="preserve">| 1 P NS % | 3 L CPT % | 4 L JAVA % | 5 L INE % </v>
      </c>
      <c r="AY568" s="4" t="str">
        <f ca="1">IFERROR(__xludf.DUMMYFUNCTION("""COMPUTED_VALUE"""),"| 1 P CPT % | 3 L JAVA % | 4 L NS % | 5 P PRO @ ")</f>
        <v xml:space="preserve">| 1 P CPT % | 3 L JAVA % | 4 L NS % | 5 P PRO @ </v>
      </c>
      <c r="AZ568" s="4" t="str">
        <f ca="1">IFERROR(__xludf.DUMMYFUNCTION("""COMPUTED_VALUE"""),"| 1 P JAVA @ | 3 L CPT @ | 4 L PHP-CGM @ | 5 P JAVA @ ")</f>
        <v xml:space="preserve">| 1 P JAVA @ | 3 L CPT @ | 4 L PHP-CGM @ | 5 P JAVA @ </v>
      </c>
      <c r="BA568" s="4" t="str">
        <f ca="1">IFERROR(__xludf.DUMMYFUNCTION("""COMPUTED_VALUE"""),"| 1 P Python % | 3 L PHP-CGM @ | 4 L JAVA @ | 5 L NS @ | 6 L CPT @ ")</f>
        <v xml:space="preserve">| 1 P Python % | 3 L PHP-CGM @ | 4 L JAVA @ | 5 L NS @ | 6 L CPT @ </v>
      </c>
      <c r="BB568" s="4" t="str">
        <f ca="1">IFERROR(__xludf.DUMMYFUNCTION("""COMPUTED_VALUE"""),"| 1 P NS % | 3 L CPT % | 4 L JAVA % | 5 L INE @ ")</f>
        <v xml:space="preserve">| 1 P NS % | 3 L CPT % | 4 L JAVA % | 5 L INE @ </v>
      </c>
      <c r="BC568" s="4" t="str">
        <f ca="1">IFERROR(__xludf.DUMMYFUNCTION("""COMPUTED_VALUE"""),"| 1 P CPT % | 3 L JAVA % | 4 L NS % | 5 P PRO @ ")</f>
        <v xml:space="preserve">| 1 P CPT % | 3 L JAVA % | 4 L NS % | 5 P PRO @ </v>
      </c>
      <c r="BD568" s="4" t="str">
        <f ca="1">IFERROR(__xludf.DUMMYFUNCTION("""COMPUTED_VALUE"""),"| 1 P PHP-CGM % | 4 L NS %  | 3 L PHP-CGM % | 5 P Python @ ")</f>
        <v xml:space="preserve">| 1 P PHP-CGM % | 4 L NS %  | 3 L PHP-CGM % | 5 P Python @ </v>
      </c>
      <c r="BE568" s="4" t="str">
        <f ca="1">IFERROR(__xludf.DUMMYFUNCTION("""COMPUTED_VALUE"""),"| 1 P JAVA % | 3 L CPT % | 4 L PHP-CGM % | 5 P JAVA % ")</f>
        <v xml:space="preserve">| 1 P JAVA % | 3 L CPT % | 4 L PHP-CGM % | 5 P JAVA % </v>
      </c>
      <c r="BF568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G568" s="4" t="str">
        <f ca="1">IFERROR(__xludf.DUMMYFUNCTION("""COMPUTED_VALUE"""),"| 3 L JAVA @ | 4 L NS @ | 5 P PRO @ ")</f>
        <v xml:space="preserve">| 3 L JAVA @ | 4 L NS @ | 5 P PRO @ </v>
      </c>
      <c r="BH568" s="4" t="str">
        <f ca="1">IFERROR(__xludf.DUMMYFUNCTION("""COMPUTED_VALUE"""),"| 1 P PHP-CGM % | 3 L PHP-CGM % | 4 L NS % | 5 P Python % ")</f>
        <v xml:space="preserve">| 1 P PHP-CGM % | 3 L PHP-CGM % | 4 L NS % | 5 P Python % </v>
      </c>
      <c r="BI568" s="4" t="str">
        <f ca="1">IFERROR(__xludf.DUMMYFUNCTION("""COMPUTED_VALUE"""),"| 1 P JAVA % | 3 L CPT % | 4 L PHP-CGM % | 5 P JAVA % ")</f>
        <v xml:space="preserve">| 1 P JAVA % | 3 L CPT % | 4 L PHP-CGM % | 5 P JAVA % </v>
      </c>
      <c r="BJ568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K568" s="4" t="str">
        <f ca="1">IFERROR(__xludf.DUMMYFUNCTION("""COMPUTED_VALUE"""),"| 1 P NS @ | 3 L CPT @ | 4 L JAVA @ | 5 L INE @ ")</f>
        <v xml:space="preserve">| 1 P NS @ | 3 L CPT @ | 4 L JAVA @ | 5 L INE @ </v>
      </c>
      <c r="BL568" s="4" t="str">
        <f ca="1">IFERROR(__xludf.DUMMYFUNCTION("""COMPUTED_VALUE"""),"| 1 P CPT @ | 3 L JAVA @ | 4 L NS @ | 5 P PRO @ ")</f>
        <v xml:space="preserve">| 1 P CPT @ | 3 L JAVA @ | 4 L NS @ | 5 P PRO @ </v>
      </c>
      <c r="BM568" s="4" t="str">
        <f ca="1">IFERROR(__xludf.DUMMYFUNCTION("""COMPUTED_VALUE"""),"| 1 P PHP-CGM % | 3 L PHP-CGM % | 4 L NS % | 5 P Python @ ")</f>
        <v xml:space="preserve">| 1 P PHP-CGM % | 3 L PHP-CGM % | 4 L NS % | 5 P Python @ </v>
      </c>
      <c r="BN568" s="4" t="str">
        <f ca="1">IFERROR(__xludf.DUMMYFUNCTION("""COMPUTED_VALUE"""),"| 1 P JAVA @ | 3 L CPT @ | 4 L PHP-CGM @ ")</f>
        <v xml:space="preserve">| 1 P JAVA @ | 3 L CPT @ | 4 L PHP-CGM @ </v>
      </c>
      <c r="BO568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68" s="4" t="str">
        <f ca="1">IFERROR(__xludf.DUMMYFUNCTION("""COMPUTED_VALUE"""),"| 1 P NS % | 3 L CPT @ | 4 L JAVA % | 5 L INE @ ")</f>
        <v xml:space="preserve">| 1 P NS % | 3 L CPT @ | 4 L JAVA % | 5 L INE @ </v>
      </c>
      <c r="BQ568" s="4" t="str">
        <f ca="1">IFERROR(__xludf.DUMMYFUNCTION("""COMPUTED_VALUE"""),"| 4 L NS @ ")</f>
        <v xml:space="preserve">| 4 L NS @ </v>
      </c>
      <c r="BR568" s="4"/>
      <c r="BS568" s="4"/>
      <c r="BT568" s="4" t="str">
        <f ca="1">IFERROR(__xludf.DUMMYFUNCTION("""COMPUTED_VALUE"""),"| 1 P NS % | 3 L CPT % | 4 L JAVA % ")</f>
        <v xml:space="preserve">| 1 P NS % | 3 L CPT % | 4 L JAVA % </v>
      </c>
      <c r="BU568" s="4" t="str">
        <f ca="1">IFERROR(__xludf.DUMMYFUNCTION("""COMPUTED_VALUE"""),"| 1 P CPT @ | 4 L NS @ | 3 L JAVA @ ")</f>
        <v xml:space="preserve">| 1 P CPT @ | 4 L NS @ | 3 L JAVA @ </v>
      </c>
      <c r="BV568" s="4" t="str">
        <f ca="1">IFERROR(__xludf.DUMMYFUNCTION("""COMPUTED_VALUE"""),"| 1 P NS @ | 3 L CPT @ | 4 L JAVA @ ")</f>
        <v xml:space="preserve">| 1 P NS @ | 3 L CPT @ | 4 L JAVA @ </v>
      </c>
      <c r="BW568" s="4" t="str">
        <f ca="1">IFERROR(__xludf.DUMMYFUNCTION("""COMPUTED_VALUE"""),"| 1 P CPT @ | 3 L JAVA @ | 4 L NS @ ")</f>
        <v xml:space="preserve">| 1 P CPT @ | 3 L JAVA @ | 4 L NS @ </v>
      </c>
      <c r="BX568" s="4" t="str">
        <f ca="1">IFERROR(__xludf.DUMMYFUNCTION("""COMPUTED_VALUE"""),"| 1 P PHP-CGM @ | 3 L PHP-CGM @ | 4 L NS @ | 5 P Python @ ")</f>
        <v xml:space="preserve">| 1 P PHP-CGM @ | 3 L PHP-CGM @ | 4 L NS @ | 5 P Python @ </v>
      </c>
      <c r="BY568" s="4" t="str">
        <f ca="1">IFERROR(__xludf.DUMMYFUNCTION("""COMPUTED_VALUE"""),"| 1 P JAVA % | 3 L CPT % | 4 L PHP-CGM @ | 5 P JAVA @ ")</f>
        <v xml:space="preserve">| 1 P JAVA % | 3 L CPT % | 4 L PHP-CGM @ | 5 P JAVA @ </v>
      </c>
      <c r="BZ568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CA568" s="4" t="str">
        <f ca="1">IFERROR(__xludf.DUMMYFUNCTION("""COMPUTED_VALUE"""),"| 1 P NS % | 3 L CPT % | 4 L JAVA % | 5 L INE % ")</f>
        <v xml:space="preserve">| 1 P NS % | 3 L CPT % | 4 L JAVA % | 5 L INE % </v>
      </c>
      <c r="CB568" s="4" t="str">
        <f ca="1">IFERROR(__xludf.DUMMYFUNCTION("""COMPUTED_VALUE"""),"| 1 P CPT % | 3 L JAVA % | 4 L NS % | 5 P PRO @ ")</f>
        <v xml:space="preserve">| 1 P CPT % | 3 L JAVA % | 4 L NS % | 5 P PRO @ </v>
      </c>
      <c r="CC568" s="4" t="str">
        <f ca="1">IFERROR(__xludf.DUMMYFUNCTION("""COMPUTED_VALUE"""),"| 1 P PHP-CGM % | 3 L PHP-CGM @ | 4 L NS @ | 5 P Python @ ")</f>
        <v xml:space="preserve">| 1 P PHP-CGM % | 3 L PHP-CGM @ | 4 L NS @ | 5 P Python @ </v>
      </c>
      <c r="CD568" s="4" t="str">
        <f ca="1">IFERROR(__xludf.DUMMYFUNCTION("""COMPUTED_VALUE"""),"| 1 P JAVA % | 3 L CPT % | 4 L PHP-CGM % ")</f>
        <v xml:space="preserve">| 1 P JAVA % | 3 L CPT % | 4 L PHP-CGM % </v>
      </c>
      <c r="CE568" s="4" t="str">
        <f ca="1">IFERROR(__xludf.DUMMYFUNCTION("""COMPUTED_VALUE"""),"| 1 P Python % | 3 L PHP-CGM % | 4 L JAVA % | 5 L NS @ | 6 L CPT % ")</f>
        <v xml:space="preserve">| 1 P Python % | 3 L PHP-CGM % | 4 L JAVA % | 5 L NS @ | 6 L CPT % </v>
      </c>
      <c r="CF568" s="4" t="str">
        <f ca="1">IFERROR(__xludf.DUMMYFUNCTION("""COMPUTED_VALUE"""),"| 1 P NS % | 3 L CPT @ | 4 L JAVA @ | 5 L INE @ ")</f>
        <v xml:space="preserve">| 1 P NS % | 3 L CPT @ | 4 L JAVA @ | 5 L INE @ </v>
      </c>
      <c r="CG568" s="4" t="str">
        <f ca="1">IFERROR(__xludf.DUMMYFUNCTION("""COMPUTED_VALUE"""),"| 1 P CPT % | 4 L NS % ")</f>
        <v xml:space="preserve">| 1 P CPT % | 4 L NS % </v>
      </c>
      <c r="CH568" s="4" t="str">
        <f ca="1">IFERROR(__xludf.DUMMYFUNCTION("""COMPUTED_VALUE"""),"| 1 P PHP-CGM % | 3 L PHP-CGM % | 4 L NS % ")</f>
        <v xml:space="preserve">| 1 P PHP-CGM % | 3 L PHP-CGM % | 4 L NS % </v>
      </c>
      <c r="CI568" s="4"/>
      <c r="CJ568" s="4" t="str">
        <f ca="1">IFERROR(__xludf.DUMMYFUNCTION("""COMPUTED_VALUE"""),"| 4 L JAVA % ")</f>
        <v xml:space="preserve">| 4 L JAVA % </v>
      </c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</row>
    <row r="569" spans="1:102" ht="12.5" x14ac:dyDescent="0.25">
      <c r="A569" s="3">
        <f ca="1">IFERROR(__xludf.DUMMYFUNCTION("""COMPUTED_VALUE"""),4)</f>
        <v>4</v>
      </c>
      <c r="B569" s="3" t="str">
        <f ca="1">IFERROR(__xludf.DUMMYFUNCTION("""COMPUTED_VALUE"""),"ITC")</f>
        <v>ITC</v>
      </c>
      <c r="C569" s="32" t="str">
        <f ca="1">IFERROR(__xludf.DUMMYFUNCTION("""COMPUTED_VALUE"""),"23171371172")</f>
        <v>23171371172</v>
      </c>
      <c r="D569" s="4" t="str">
        <f ca="1">IFERROR(__xludf.DUMMYFUNCTION("""COMPUTED_VALUE"""),"YADAV PRASIDDHKUMAR")</f>
        <v>YADAV PRASIDDHKUMAR</v>
      </c>
      <c r="E569" s="3" t="str">
        <f ca="1">IFERROR(__xludf.DUMMYFUNCTION("""COMPUTED_VALUE"""),"SDP&amp;KKP - Mor")</f>
        <v>SDP&amp;KKP - Mor</v>
      </c>
      <c r="F569" s="3">
        <f ca="1">IFERROR(__xludf.DUMMYFUNCTION("""COMPUTED_VALUE"""),6352054063)</f>
        <v>6352054063</v>
      </c>
      <c r="G569" s="3">
        <f ca="1">IFERROR(__xludf.DUMMYFUNCTION("""COMPUTED_VALUE"""),7874080400)</f>
        <v>7874080400</v>
      </c>
      <c r="H569" s="33">
        <f ca="1">IFERROR(__xludf.DUMMYFUNCTION("""COMPUTED_VALUE"""),0.329113924050632)</f>
        <v>0.329113924050632</v>
      </c>
      <c r="I569" s="25">
        <f ca="1">IFERROR(__xludf.DUMMYFUNCTION("""COMPUTED_VALUE"""),0.305555555555555)</f>
        <v>0.30555555555555503</v>
      </c>
      <c r="J569" s="25">
        <f ca="1">IFERROR(__xludf.DUMMYFUNCTION("""COMPUTED_VALUE"""),0.416666666666666)</f>
        <v>0.41666666666666602</v>
      </c>
      <c r="K569" s="25">
        <f ca="1">IFERROR(__xludf.DUMMYFUNCTION("""COMPUTED_VALUE"""),0.277777777777777)</f>
        <v>0.27777777777777701</v>
      </c>
      <c r="L569" s="25">
        <f ca="1">IFERROR(__xludf.DUMMYFUNCTION("""COMPUTED_VALUE"""),0.571428571428571)</f>
        <v>0.57142857142857095</v>
      </c>
      <c r="M569" s="25">
        <f ca="1">IFERROR(__xludf.DUMMYFUNCTION("""COMPUTED_VALUE"""),0.34375)</f>
        <v>0.34375</v>
      </c>
      <c r="N569" s="25">
        <f ca="1">IFERROR(__xludf.DUMMYFUNCTION("""COMPUTED_VALUE"""),0.6)</f>
        <v>0.6</v>
      </c>
      <c r="O569" s="25">
        <f ca="1">IFERROR(__xludf.DUMMYFUNCTION("""COMPUTED_VALUE"""),0.405405405405405)</f>
        <v>0.40540540540540498</v>
      </c>
      <c r="P569" s="25">
        <f ca="1">IFERROR(__xludf.DUMMYFUNCTION("""COMPUTED_VALUE"""),0.181818181818181)</f>
        <v>0.18181818181818099</v>
      </c>
      <c r="Q569" s="25">
        <f ca="1">IFERROR(__xludf.DUMMYFUNCTION("""COMPUTED_VALUE"""),0)</f>
        <v>0</v>
      </c>
      <c r="R569" s="25">
        <f ca="1">IFERROR(__xludf.DUMMYFUNCTION("""COMPUTED_VALUE"""),0.31578947368421)</f>
        <v>0.31578947368421001</v>
      </c>
      <c r="S569" s="25">
        <f ca="1">IFERROR(__xludf.DUMMYFUNCTION("""COMPUTED_VALUE"""),0)</f>
        <v>0</v>
      </c>
      <c r="T569" s="25">
        <f ca="1">IFERROR(__xludf.DUMMYFUNCTION("""COMPUTED_VALUE"""),0.0909090909090909)</f>
        <v>9.0909090909090898E-2</v>
      </c>
      <c r="U569" s="25">
        <f ca="1">IFERROR(__xludf.DUMMYFUNCTION("""COMPUTED_VALUE"""),0.125)</f>
        <v>0.125</v>
      </c>
      <c r="V569" s="25">
        <f ca="1">IFERROR(__xludf.DUMMYFUNCTION("""COMPUTED_VALUE"""),0)</f>
        <v>0</v>
      </c>
      <c r="W569" s="4"/>
      <c r="X569" s="4" t="str">
        <f ca="1">IFERROR(__xludf.DUMMYFUNCTION("""COMPUTED_VALUE"""),"| 1 P NS @ | 3 L CPT @ | 4 L JAVA @ ")</f>
        <v xml:space="preserve">| 1 P NS @ | 3 L CPT @ | 4 L JAVA @ </v>
      </c>
      <c r="Y569" s="4" t="str">
        <f ca="1">IFERROR(__xludf.DUMMYFUNCTION("""COMPUTED_VALUE"""),"| 1 P CPT % | 3 L JAVA % | 4 L NS % | 5 P PRO @ ")</f>
        <v xml:space="preserve">| 1 P CPT % | 3 L JAVA % | 4 L NS % | 5 P PRO @ </v>
      </c>
      <c r="Z569" s="4" t="str">
        <f ca="1">IFERROR(__xludf.DUMMYFUNCTION("""COMPUTED_VALUE"""),"| 3 L PHP-CGM @ | 4 L NS @ | 5 P Python @ ")</f>
        <v xml:space="preserve">| 3 L PHP-CGM @ | 4 L NS @ | 5 P Python @ </v>
      </c>
      <c r="AA569" s="4" t="str">
        <f ca="1">IFERROR(__xludf.DUMMYFUNCTION("""COMPUTED_VALUE"""),"| 1 P NS % | 3 L CPT % | 5 P JAVA @ ")</f>
        <v xml:space="preserve">| 1 P NS % | 3 L CPT % | 5 P JAVA @ </v>
      </c>
      <c r="AB569" s="4" t="str">
        <f ca="1">IFERROR(__xludf.DUMMYFUNCTION("""COMPUTED_VALUE"""),"| 1 P PRO % | 3 L PHP-CGM % | 4 L JAVA % | 5 L CPT @ | 6 L NS @ ")</f>
        <v xml:space="preserve">| 1 P PRO % | 3 L PHP-CGM % | 4 L JAVA % | 5 L CPT @ | 6 L NS @ </v>
      </c>
      <c r="AC569" s="4" t="str">
        <f ca="1">IFERROR(__xludf.DUMMYFUNCTION("""COMPUTED_VALUE"""),"| 1 P NS % | 3 L CPT % | 4 L JAVA % ")</f>
        <v xml:space="preserve">| 1 P NS % | 3 L CPT % | 4 L JAVA % </v>
      </c>
      <c r="AD569" s="4" t="str">
        <f ca="1">IFERROR(__xludf.DUMMYFUNCTION("""COMPUTED_VALUE"""),"| 1 P CPT % | 3 L JAVA % | 4 L NS % | 5 P PRO @ ")</f>
        <v xml:space="preserve">| 1 P CPT % | 3 L JAVA % | 4 L NS % | 5 P PRO @ </v>
      </c>
      <c r="AE569" s="4" t="str">
        <f ca="1">IFERROR(__xludf.DUMMYFUNCTION("""COMPUTED_VALUE"""),"| 1 P PHP-CGM % | 3 L PHP-CGM % | 4 L NS % ")</f>
        <v xml:space="preserve">| 1 P PHP-CGM % | 3 L PHP-CGM % | 4 L NS % </v>
      </c>
      <c r="AF569" s="4" t="str">
        <f ca="1">IFERROR(__xludf.DUMMYFUNCTION("""COMPUTED_VALUE"""),"| 1 P JAVA @ | 3 L CPT @ | 4 L PHP-CGM @ | 5 P JAVA @ ")</f>
        <v xml:space="preserve">| 1 P JAVA @ | 3 L CPT @ | 4 L PHP-CGM @ | 5 P JAVA @ </v>
      </c>
      <c r="AG569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H569" s="4" t="str">
        <f ca="1">IFERROR(__xludf.DUMMYFUNCTION("""COMPUTED_VALUE"""),"| 1 P JAVA % | 3 L CPT @ | 4 L PHP-CGM @ | 5 P JAVA @ ")</f>
        <v xml:space="preserve">| 1 P JAVA % | 3 L CPT @ | 4 L PHP-CGM @ | 5 P JAVA @ </v>
      </c>
      <c r="AI569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69" s="4" t="str">
        <f ca="1">IFERROR(__xludf.DUMMYFUNCTION("""COMPUTED_VALUE"""),"| 1 P NS % | 3 L CPT % | 4 L JAVA % ")</f>
        <v xml:space="preserve">| 1 P NS % | 3 L CPT % | 4 L JAVA % </v>
      </c>
      <c r="AK569" s="4" t="str">
        <f ca="1">IFERROR(__xludf.DUMMYFUNCTION("""COMPUTED_VALUE"""),"| 1 P CPT % | 4 L NS % | 3 L JAVA % | 5 P PRO @ ")</f>
        <v xml:space="preserve">| 1 P CPT % | 4 L NS % | 3 L JAVA % | 5 P PRO @ </v>
      </c>
      <c r="AL569" s="4" t="str">
        <f ca="1">IFERROR(__xludf.DUMMYFUNCTION("""COMPUTED_VALUE"""),"| 1 P PHP-CGM % | 3 L PHP-CGM % | 4 L NS % | 5 P Python % ")</f>
        <v xml:space="preserve">| 1 P PHP-CGM % | 3 L PHP-CGM % | 4 L NS % | 5 P Python % </v>
      </c>
      <c r="AM569" s="4" t="str">
        <f ca="1">IFERROR(__xludf.DUMMYFUNCTION("""COMPUTED_VALUE"""),"| 1 P JAVA @ | 3 L CPT @ | 4 L PHP-CGM @ | 5 P JAVA @ ")</f>
        <v xml:space="preserve">| 1 P JAVA @ | 3 L CPT @ | 4 L PHP-CGM @ | 5 P JAVA @ </v>
      </c>
      <c r="AN569" s="4" t="str">
        <f ca="1">IFERROR(__xludf.DUMMYFUNCTION("""COMPUTED_VALUE"""),"| 1 P Python % | 3 L PHP-CGM @ | 4 L JAVA @ | 5 L CPT @ | 6 L NS @ ")</f>
        <v xml:space="preserve">| 1 P Python % | 3 L PHP-CGM @ | 4 L JAVA @ | 5 L CPT @ | 6 L NS @ </v>
      </c>
      <c r="AO569" s="4" t="str">
        <f ca="1">IFERROR(__xludf.DUMMYFUNCTION("""COMPUTED_VALUE"""),"| 1 P NS @ | 3 L CPT @ | 4 L JAVA @ | 5 L INE @ ")</f>
        <v xml:space="preserve">| 1 P NS @ | 3 L CPT @ | 4 L JAVA @ | 5 L INE @ </v>
      </c>
      <c r="AP569" s="4" t="str">
        <f ca="1">IFERROR(__xludf.DUMMYFUNCTION("""COMPUTED_VALUE"""),"| 1 P CPT @ | 3 L JAVA @ | 4 L NS @ | 5 P PRO @ ")</f>
        <v xml:space="preserve">| 1 P CPT @ | 3 L JAVA @ | 4 L NS @ | 5 P PRO @ </v>
      </c>
      <c r="AQ569" s="4" t="str">
        <f ca="1">IFERROR(__xludf.DUMMYFUNCTION("""COMPUTED_VALUE"""),"| 1 P PHP-CGM @ | 3 L PHP-CGM @ | 4 L NS @ | 5 P Python @ ")</f>
        <v xml:space="preserve">| 1 P PHP-CGM @ | 3 L PHP-CGM @ | 4 L NS @ | 5 P Python @ </v>
      </c>
      <c r="AR569" s="4" t="str">
        <f ca="1">IFERROR(__xludf.DUMMYFUNCTION("""COMPUTED_VALUE"""),"| 1 P JAVA % | 3 L CPT % | 5 P JAVA @ ")</f>
        <v xml:space="preserve">| 1 P JAVA % | 3 L CPT % | 5 P JAVA @ </v>
      </c>
      <c r="AS569" s="4" t="str">
        <f ca="1">IFERROR(__xludf.DUMMYFUNCTION("""COMPUTED_VALUE"""),"| 1 P NS @ | 3 L CPT @ | 4 L JAVA @ | 5 L INE @ ")</f>
        <v xml:space="preserve">| 1 P NS @ | 3 L CPT @ | 4 L JAVA @ | 5 L INE @ </v>
      </c>
      <c r="AT569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69" s="4" t="str">
        <f ca="1">IFERROR(__xludf.DUMMYFUNCTION("""COMPUTED_VALUE"""),"| 1 P PHP-CGM @ | 3 L PHP-CGM @ | 4 L NS @ | 5 P Python @ ")</f>
        <v xml:space="preserve">| 1 P PHP-CGM @ | 3 L PHP-CGM @ | 4 L NS @ | 5 P Python @ </v>
      </c>
      <c r="AV569" s="4" t="str">
        <f ca="1">IFERROR(__xludf.DUMMYFUNCTION("""COMPUTED_VALUE"""),"| 1 P JAVA @ | 3 L CPT @ | 4 L PHP-CGM @ | 5 P JAVA @ ")</f>
        <v xml:space="preserve">| 1 P JAVA @ | 3 L CPT @ | 4 L PHP-CGM @ | 5 P JAVA @ </v>
      </c>
      <c r="AW569" s="4" t="str">
        <f ca="1">IFERROR(__xludf.DUMMYFUNCTION("""COMPUTED_VALUE"""),"| 1 P Python % | 3 L PHP-CGM % | 4 L JAVA % | 5 L NS @ | 5 L CPT @ ")</f>
        <v xml:space="preserve">| 1 P Python % | 3 L PHP-CGM % | 4 L JAVA % | 5 L NS @ | 5 L CPT @ </v>
      </c>
      <c r="AX569" s="4" t="str">
        <f ca="1">IFERROR(__xludf.DUMMYFUNCTION("""COMPUTED_VALUE"""),"| 1 P NS % | 3 L CPT % | 4 L JAVA @ | 5 L INE @ ")</f>
        <v xml:space="preserve">| 1 P NS % | 3 L CPT % | 4 L JAVA @ | 5 L INE @ </v>
      </c>
      <c r="AY569" s="4" t="str">
        <f ca="1">IFERROR(__xludf.DUMMYFUNCTION("""COMPUTED_VALUE"""),"| 1 P CPT @ | 3 L JAVA @ | 4 L NS @ | 5 P PRO @ ")</f>
        <v xml:space="preserve">| 1 P CPT @ | 3 L JAVA @ | 4 L NS @ | 5 P PRO @ </v>
      </c>
      <c r="AZ569" s="4" t="str">
        <f ca="1">IFERROR(__xludf.DUMMYFUNCTION("""COMPUTED_VALUE"""),"| 1 P JAVA @ | 3 L CPT @ | 4 L PHP-CGM @ | 5 P JAVA @ ")</f>
        <v xml:space="preserve">| 1 P JAVA @ | 3 L CPT @ | 4 L PHP-CGM @ | 5 P JAVA @ </v>
      </c>
      <c r="BA569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69" s="4" t="str">
        <f ca="1">IFERROR(__xludf.DUMMYFUNCTION("""COMPUTED_VALUE"""),"| 1 P NS @ | 3 L CPT @ | 4 L JAVA @ | 5 L INE @ ")</f>
        <v xml:space="preserve">| 1 P NS @ | 3 L CPT @ | 4 L JAVA @ | 5 L INE @ </v>
      </c>
      <c r="BC569" s="4" t="str">
        <f ca="1">IFERROR(__xludf.DUMMYFUNCTION("""COMPUTED_VALUE"""),"| 1 P CPT @ | 3 L JAVA @ | 4 L NS @ | 5 P PRO @ ")</f>
        <v xml:space="preserve">| 1 P CPT @ | 3 L JAVA @ | 4 L NS @ | 5 P PRO @ </v>
      </c>
      <c r="BD569" s="4" t="str">
        <f ca="1">IFERROR(__xludf.DUMMYFUNCTION("""COMPUTED_VALUE"""),"| 1 P PHP-CGM @ | 4 L NS @  | 3 L PHP-CGM @ | 5 P Python @ ")</f>
        <v xml:space="preserve">| 1 P PHP-CGM @ | 4 L NS @  | 3 L PHP-CGM @ | 5 P Python @ </v>
      </c>
      <c r="BE569" s="4" t="str">
        <f ca="1">IFERROR(__xludf.DUMMYFUNCTION("""COMPUTED_VALUE"""),"| 1 P JAVA @ | 3 L CPT @ | 4 L PHP-CGM @ | 5 P JAVA @ ")</f>
        <v xml:space="preserve">| 1 P JAVA @ | 3 L CPT @ | 4 L PHP-CGM @ | 5 P JAVA @ </v>
      </c>
      <c r="BF569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G569" s="4" t="str">
        <f ca="1">IFERROR(__xludf.DUMMYFUNCTION("""COMPUTED_VALUE"""),"| 3 L JAVA @ | 4 L NS @ | 5 P PRO @ ")</f>
        <v xml:space="preserve">| 3 L JAVA @ | 4 L NS @ | 5 P PRO @ </v>
      </c>
      <c r="BH569" s="4" t="str">
        <f ca="1">IFERROR(__xludf.DUMMYFUNCTION("""COMPUTED_VALUE"""),"| 1 P PHP-CGM @ | 3 L PHP-CGM @ | 4 L NS @ | 5 P Python @ ")</f>
        <v xml:space="preserve">| 1 P PHP-CGM @ | 3 L PHP-CGM @ | 4 L NS @ | 5 P Python @ </v>
      </c>
      <c r="BI569" s="4" t="str">
        <f ca="1">IFERROR(__xludf.DUMMYFUNCTION("""COMPUTED_VALUE"""),"| 1 P JAVA @ | 3 L CPT @ | 4 L PHP-CGM @ | 5 P JAVA @ ")</f>
        <v xml:space="preserve">| 1 P JAVA @ | 3 L CPT @ | 4 L PHP-CGM @ | 5 P JAVA @ </v>
      </c>
      <c r="BJ569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69" s="4" t="str">
        <f ca="1">IFERROR(__xludf.DUMMYFUNCTION("""COMPUTED_VALUE"""),"| 1 P NS @ | 3 L CPT @ | 4 L JAVA @ | 5 L INE @ ")</f>
        <v xml:space="preserve">| 1 P NS @ | 3 L CPT @ | 4 L JAVA @ | 5 L INE @ </v>
      </c>
      <c r="BL569" s="4" t="str">
        <f ca="1">IFERROR(__xludf.DUMMYFUNCTION("""COMPUTED_VALUE"""),"| 1 P CPT @ | 3 L JAVA @ | 4 L NS @ | 5 P PRO @ ")</f>
        <v xml:space="preserve">| 1 P CPT @ | 3 L JAVA @ | 4 L NS @ | 5 P PRO @ </v>
      </c>
      <c r="BM569" s="4" t="str">
        <f ca="1">IFERROR(__xludf.DUMMYFUNCTION("""COMPUTED_VALUE"""),"| 1 P PHP-CGM % | 3 L PHP-CGM % | 4 L NS % | 5 P Python @ ")</f>
        <v xml:space="preserve">| 1 P PHP-CGM % | 3 L PHP-CGM % | 4 L NS % | 5 P Python @ </v>
      </c>
      <c r="BN569" s="4" t="str">
        <f ca="1">IFERROR(__xludf.DUMMYFUNCTION("""COMPUTED_VALUE"""),"| 1 P JAVA @ | 3 L CPT @ | 4 L PHP-CGM @ ")</f>
        <v xml:space="preserve">| 1 P JAVA @ | 3 L CPT @ | 4 L PHP-CGM @ </v>
      </c>
      <c r="BO569" s="4" t="str">
        <f ca="1">IFERROR(__xludf.DUMMYFUNCTION("""COMPUTED_VALUE"""),"| 1 P Python % | 3 L PHP-CGM % | 4 L JAVA @ | 5 L NS @ | 6 L CPT % ")</f>
        <v xml:space="preserve">| 1 P Python % | 3 L PHP-CGM % | 4 L JAVA @ | 5 L NS @ | 6 L CPT % </v>
      </c>
      <c r="BP569" s="4" t="str">
        <f ca="1">IFERROR(__xludf.DUMMYFUNCTION("""COMPUTED_VALUE"""),"| 1 P NS % | 3 L CPT % | 4 L JAVA % | 5 L INE @ ")</f>
        <v xml:space="preserve">| 1 P NS % | 3 L CPT % | 4 L JAVA % | 5 L INE @ </v>
      </c>
      <c r="BQ569" s="4" t="str">
        <f ca="1">IFERROR(__xludf.DUMMYFUNCTION("""COMPUTED_VALUE"""),"| 4 L NS @ ")</f>
        <v xml:space="preserve">| 4 L NS @ </v>
      </c>
      <c r="BR569" s="4"/>
      <c r="BS569" s="4"/>
      <c r="BT569" s="4" t="str">
        <f ca="1">IFERROR(__xludf.DUMMYFUNCTION("""COMPUTED_VALUE"""),"| 1 P NS % | 3 L CPT % | 4 L JAVA % ")</f>
        <v xml:space="preserve">| 1 P NS % | 3 L CPT % | 4 L JAVA % </v>
      </c>
      <c r="BU569" s="4" t="str">
        <f ca="1">IFERROR(__xludf.DUMMYFUNCTION("""COMPUTED_VALUE"""),"| 1 P CPT @ | 4 L NS @ | 3 L JAVA @ ")</f>
        <v xml:space="preserve">| 1 P CPT @ | 4 L NS @ | 3 L JAVA @ </v>
      </c>
      <c r="BV569" s="4" t="str">
        <f ca="1">IFERROR(__xludf.DUMMYFUNCTION("""COMPUTED_VALUE"""),"| 1 P NS @ | 3 L CPT @ | 4 L JAVA @ ")</f>
        <v xml:space="preserve">| 1 P NS @ | 3 L CPT @ | 4 L JAVA @ </v>
      </c>
      <c r="BW569" s="4" t="str">
        <f ca="1">IFERROR(__xludf.DUMMYFUNCTION("""COMPUTED_VALUE"""),"| 1 P CPT @ | 3 L JAVA @ | 4 L NS @ ")</f>
        <v xml:space="preserve">| 1 P CPT @ | 3 L JAVA @ | 4 L NS @ </v>
      </c>
      <c r="BX569" s="4" t="str">
        <f ca="1">IFERROR(__xludf.DUMMYFUNCTION("""COMPUTED_VALUE"""),"| 1 P PHP-CGM % | 3 L PHP-CGM % | 4 L NS % | 5 P Python @ ")</f>
        <v xml:space="preserve">| 1 P PHP-CGM % | 3 L PHP-CGM % | 4 L NS % | 5 P Python @ </v>
      </c>
      <c r="BY569" s="4" t="str">
        <f ca="1">IFERROR(__xludf.DUMMYFUNCTION("""COMPUTED_VALUE"""),"| 1 P JAVA % | 3 L CPT % | 4 L PHP-CGM @ | 5 P JAVA @ ")</f>
        <v xml:space="preserve">| 1 P JAVA % | 3 L CPT % | 4 L PHP-CGM @ | 5 P JAVA @ </v>
      </c>
      <c r="BZ569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CA569" s="4" t="str">
        <f ca="1">IFERROR(__xludf.DUMMYFUNCTION("""COMPUTED_VALUE"""),"| 1 P NS % | 3 L CPT % | 4 L JAVA % | 5 L INE % ")</f>
        <v xml:space="preserve">| 1 P NS % | 3 L CPT % | 4 L JAVA % | 5 L INE % </v>
      </c>
      <c r="CB569" s="4" t="str">
        <f ca="1">IFERROR(__xludf.DUMMYFUNCTION("""COMPUTED_VALUE"""),"| 1 P CPT % | 3 L JAVA % | 4 L NS % | 5 P PRO @ ")</f>
        <v xml:space="preserve">| 1 P CPT % | 3 L JAVA % | 4 L NS % | 5 P PRO @ </v>
      </c>
      <c r="CC569" s="4" t="str">
        <f ca="1">IFERROR(__xludf.DUMMYFUNCTION("""COMPUTED_VALUE"""),"| 1 P PHP-CGM % | 3 L PHP-CGM @ | 4 L NS @ | 5 P Python @ ")</f>
        <v xml:space="preserve">| 1 P PHP-CGM % | 3 L PHP-CGM @ | 4 L NS @ | 5 P Python @ </v>
      </c>
      <c r="CD569" s="4" t="str">
        <f ca="1">IFERROR(__xludf.DUMMYFUNCTION("""COMPUTED_VALUE"""),"| 1 P JAVA % | 3 L CPT % | 4 L PHP-CGM % ")</f>
        <v xml:space="preserve">| 1 P JAVA % | 3 L CPT % | 4 L PHP-CGM % </v>
      </c>
      <c r="CE569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69" s="4" t="str">
        <f ca="1">IFERROR(__xludf.DUMMYFUNCTION("""COMPUTED_VALUE"""),"| 1 P NS % | 3 L CPT @ | 4 L JAVA @ | 5 L INE @ ")</f>
        <v xml:space="preserve">| 1 P NS % | 3 L CPT @ | 4 L JAVA @ | 5 L INE @ </v>
      </c>
      <c r="CG569" s="4" t="str">
        <f ca="1">IFERROR(__xludf.DUMMYFUNCTION("""COMPUTED_VALUE"""),"| 1 P CPT @ | 4 L NS @ ")</f>
        <v xml:space="preserve">| 1 P CPT @ | 4 L NS @ </v>
      </c>
      <c r="CH569" s="4" t="str">
        <f ca="1">IFERROR(__xludf.DUMMYFUNCTION("""COMPUTED_VALUE"""),"| 1 P PHP-CGM % | 3 L PHP-CGM % | 4 L NS % ")</f>
        <v xml:space="preserve">| 1 P PHP-CGM % | 3 L PHP-CGM % | 4 L NS % </v>
      </c>
      <c r="CI569" s="4"/>
      <c r="CJ569" s="4" t="str">
        <f ca="1">IFERROR(__xludf.DUMMYFUNCTION("""COMPUTED_VALUE"""),"| 4 L JAVA % ")</f>
        <v xml:space="preserve">| 4 L JAVA % </v>
      </c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</row>
    <row r="570" spans="1:102" ht="12.5" x14ac:dyDescent="0.25">
      <c r="A570" s="3">
        <f ca="1">IFERROR(__xludf.DUMMYFUNCTION("""COMPUTED_VALUE"""),4)</f>
        <v>4</v>
      </c>
      <c r="B570" s="3" t="str">
        <f ca="1">IFERROR(__xludf.DUMMYFUNCTION("""COMPUTED_VALUE"""),"ITC")</f>
        <v>ITC</v>
      </c>
      <c r="C570" s="32" t="str">
        <f ca="1">IFERROR(__xludf.DUMMYFUNCTION("""COMPUTED_VALUE"""),"23171371173")</f>
        <v>23171371173</v>
      </c>
      <c r="D570" s="4" t="str">
        <f ca="1">IFERROR(__xludf.DUMMYFUNCTION("""COMPUTED_VALUE"""),"YAGNIK KEVIN JAYESHKUMAR")</f>
        <v>YAGNIK KEVIN JAYESHKUMAR</v>
      </c>
      <c r="E570" s="3" t="str">
        <f ca="1">IFERROR(__xludf.DUMMYFUNCTION("""COMPUTED_VALUE"""),"SDP&amp;KKP - Mor")</f>
        <v>SDP&amp;KKP - Mor</v>
      </c>
      <c r="F570" s="3">
        <f ca="1">IFERROR(__xludf.DUMMYFUNCTION("""COMPUTED_VALUE"""),7016734836)</f>
        <v>7016734836</v>
      </c>
      <c r="G570" s="3">
        <f ca="1">IFERROR(__xludf.DUMMYFUNCTION("""COMPUTED_VALUE"""),9825547359)</f>
        <v>9825547359</v>
      </c>
      <c r="H570" s="33">
        <f ca="1">IFERROR(__xludf.DUMMYFUNCTION("""COMPUTED_VALUE"""),0.518987341772151)</f>
        <v>0.518987341772151</v>
      </c>
      <c r="I570" s="25">
        <f ca="1">IFERROR(__xludf.DUMMYFUNCTION("""COMPUTED_VALUE"""),0.583333333333333)</f>
        <v>0.58333333333333304</v>
      </c>
      <c r="J570" s="25">
        <f ca="1">IFERROR(__xludf.DUMMYFUNCTION("""COMPUTED_VALUE"""),0.583333333333333)</f>
        <v>0.58333333333333304</v>
      </c>
      <c r="K570" s="25">
        <f ca="1">IFERROR(__xludf.DUMMYFUNCTION("""COMPUTED_VALUE"""),0.5)</f>
        <v>0.5</v>
      </c>
      <c r="L570" s="25">
        <f ca="1">IFERROR(__xludf.DUMMYFUNCTION("""COMPUTED_VALUE"""),0.428571428571428)</f>
        <v>0.42857142857142799</v>
      </c>
      <c r="M570" s="25">
        <f ca="1">IFERROR(__xludf.DUMMYFUNCTION("""COMPUTED_VALUE"""),0.5)</f>
        <v>0.5</v>
      </c>
      <c r="N570" s="25">
        <f ca="1">IFERROR(__xludf.DUMMYFUNCTION("""COMPUTED_VALUE"""),0.6)</f>
        <v>0.6</v>
      </c>
      <c r="O570" s="25">
        <f ca="1">IFERROR(__xludf.DUMMYFUNCTION("""COMPUTED_VALUE"""),0.648648648648648)</f>
        <v>0.64864864864864802</v>
      </c>
      <c r="P570" s="25">
        <f ca="1">IFERROR(__xludf.DUMMYFUNCTION("""COMPUTED_VALUE"""),0.454545454545454)</f>
        <v>0.45454545454545398</v>
      </c>
      <c r="Q570" s="25">
        <f ca="1">IFERROR(__xludf.DUMMYFUNCTION("""COMPUTED_VALUE"""),0)</f>
        <v>0</v>
      </c>
      <c r="R570" s="25">
        <f ca="1">IFERROR(__xludf.DUMMYFUNCTION("""COMPUTED_VALUE"""),0.578947368421052)</f>
        <v>0.57894736842105199</v>
      </c>
      <c r="S570" s="25">
        <f ca="1">IFERROR(__xludf.DUMMYFUNCTION("""COMPUTED_VALUE"""),0)</f>
        <v>0</v>
      </c>
      <c r="T570" s="25">
        <f ca="1">IFERROR(__xludf.DUMMYFUNCTION("""COMPUTED_VALUE"""),0.181818181818181)</f>
        <v>0.18181818181818099</v>
      </c>
      <c r="U570" s="25">
        <f ca="1">IFERROR(__xludf.DUMMYFUNCTION("""COMPUTED_VALUE"""),0.25)</f>
        <v>0.25</v>
      </c>
      <c r="V570" s="25">
        <f ca="1">IFERROR(__xludf.DUMMYFUNCTION("""COMPUTED_VALUE"""),0)</f>
        <v>0</v>
      </c>
      <c r="W570" s="4"/>
      <c r="X570" s="4" t="str">
        <f ca="1">IFERROR(__xludf.DUMMYFUNCTION("""COMPUTED_VALUE"""),"| 1 P NS @ | 3 L CPT % | 4 L JAVA % ")</f>
        <v xml:space="preserve">| 1 P NS @ | 3 L CPT % | 4 L JAVA % </v>
      </c>
      <c r="Y570" s="4" t="str">
        <f ca="1">IFERROR(__xludf.DUMMYFUNCTION("""COMPUTED_VALUE"""),"| 1 P CPT @ | 3 L JAVA @ | 4 L NS @ | 5 P PRO % ")</f>
        <v xml:space="preserve">| 1 P CPT @ | 3 L JAVA @ | 4 L NS @ | 5 P PRO % </v>
      </c>
      <c r="Z570" s="4" t="str">
        <f ca="1">IFERROR(__xludf.DUMMYFUNCTION("""COMPUTED_VALUE"""),"| 3 L PHP-CGM @ | 4 L NS @ | 5 P Python @ ")</f>
        <v xml:space="preserve">| 3 L PHP-CGM @ | 4 L NS @ | 5 P Python @ </v>
      </c>
      <c r="AA570" s="4" t="str">
        <f ca="1">IFERROR(__xludf.DUMMYFUNCTION("""COMPUTED_VALUE"""),"| 1 P NS @ | 3 L CPT @ | 5 P JAVA @ ")</f>
        <v xml:space="preserve">| 1 P NS @ | 3 L CPT @ | 5 P JAVA @ </v>
      </c>
      <c r="AB570" s="4" t="str">
        <f ca="1">IFERROR(__xludf.DUMMYFUNCTION("""COMPUTED_VALUE"""),"| 1 P PRO @ | 3 L PHP-CGM @ | 4 L JAVA @ | 5 L CPT @ | 6 L NS @ ")</f>
        <v xml:space="preserve">| 1 P PRO @ | 3 L PHP-CGM @ | 4 L JAVA @ | 5 L CPT @ | 6 L NS @ </v>
      </c>
      <c r="AC570" s="4" t="str">
        <f ca="1">IFERROR(__xludf.DUMMYFUNCTION("""COMPUTED_VALUE"""),"| 1 P NS @ | 3 L CPT % | 4 L JAVA % ")</f>
        <v xml:space="preserve">| 1 P NS @ | 3 L CPT % | 4 L JAVA % </v>
      </c>
      <c r="AD570" s="4" t="str">
        <f ca="1">IFERROR(__xludf.DUMMYFUNCTION("""COMPUTED_VALUE"""),"| 1 P CPT @ | 3 L JAVA % | 4 L NS % | 5 P PRO % ")</f>
        <v xml:space="preserve">| 1 P CPT @ | 3 L JAVA % | 4 L NS % | 5 P PRO % </v>
      </c>
      <c r="AE570" s="4" t="str">
        <f ca="1">IFERROR(__xludf.DUMMYFUNCTION("""COMPUTED_VALUE"""),"| 1 P PHP-CGM % | 3 L PHP-CGM @ | 4 L NS % ")</f>
        <v xml:space="preserve">| 1 P PHP-CGM % | 3 L PHP-CGM @ | 4 L NS % </v>
      </c>
      <c r="AF570" s="4" t="str">
        <f ca="1">IFERROR(__xludf.DUMMYFUNCTION("""COMPUTED_VALUE"""),"| 1 P JAVA % | 3 L CPT % | 4 L PHP-CGM % | 5 P JAVA % ")</f>
        <v xml:space="preserve">| 1 P JAVA % | 3 L CPT % | 4 L PHP-CGM % | 5 P JAVA % </v>
      </c>
      <c r="AG570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70" s="4" t="str">
        <f ca="1">IFERROR(__xludf.DUMMYFUNCTION("""COMPUTED_VALUE"""),"| 1 P JAVA % | 3 L CPT % | 4 L PHP-CGM % | 5 P JAVA @ ")</f>
        <v xml:space="preserve">| 1 P JAVA % | 3 L CPT % | 4 L PHP-CGM % | 5 P JAVA @ </v>
      </c>
      <c r="AI570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J570" s="4" t="str">
        <f ca="1">IFERROR(__xludf.DUMMYFUNCTION("""COMPUTED_VALUE"""),"| 1 P NS % | 3 L CPT % | 4 L JAVA % ")</f>
        <v xml:space="preserve">| 1 P NS % | 3 L CPT % | 4 L JAVA % </v>
      </c>
      <c r="AK570" s="4" t="str">
        <f ca="1">IFERROR(__xludf.DUMMYFUNCTION("""COMPUTED_VALUE"""),"| 1 P CPT % | 4 L NS % | 3 L JAVA % | 5 P PRO @ ")</f>
        <v xml:space="preserve">| 1 P CPT % | 4 L NS % | 3 L JAVA % | 5 P PRO @ </v>
      </c>
      <c r="AL570" s="4" t="str">
        <f ca="1">IFERROR(__xludf.DUMMYFUNCTION("""COMPUTED_VALUE"""),"| 1 P PHP-CGM % | 3 L PHP-CGM % | 4 L NS % | 5 P Python % ")</f>
        <v xml:space="preserve">| 1 P PHP-CGM % | 3 L PHP-CGM % | 4 L NS % | 5 P Python % </v>
      </c>
      <c r="AM570" s="4" t="str">
        <f ca="1">IFERROR(__xludf.DUMMYFUNCTION("""COMPUTED_VALUE"""),"| 1 P JAVA % | 3 L CPT % | 4 L PHP-CGM @ | 5 P JAVA @ ")</f>
        <v xml:space="preserve">| 1 P JAVA % | 3 L CPT % | 4 L PHP-CGM @ | 5 P JAVA @ </v>
      </c>
      <c r="AN570" s="4" t="str">
        <f ca="1">IFERROR(__xludf.DUMMYFUNCTION("""COMPUTED_VALUE"""),"| 1 P Python @ | 3 L PHP-CGM % | 4 L JAVA % | 5 L CPT % | 6 L NS % ")</f>
        <v xml:space="preserve">| 1 P Python @ | 3 L PHP-CGM % | 4 L JAVA % | 5 L CPT % | 6 L NS % </v>
      </c>
      <c r="AO570" s="4" t="str">
        <f ca="1">IFERROR(__xludf.DUMMYFUNCTION("""COMPUTED_VALUE"""),"| 1 P NS % | 3 L CPT % | 4 L JAVA % | 5 L INE @ ")</f>
        <v xml:space="preserve">| 1 P NS % | 3 L CPT % | 4 L JAVA % | 5 L INE @ </v>
      </c>
      <c r="AP570" s="4" t="str">
        <f ca="1">IFERROR(__xludf.DUMMYFUNCTION("""COMPUTED_VALUE"""),"| 1 P CPT @ | 3 L JAVA % | 4 L NS % | 5 P PRO @ ")</f>
        <v xml:space="preserve">| 1 P CPT @ | 3 L JAVA % | 4 L NS % | 5 P PRO @ </v>
      </c>
      <c r="AQ570" s="4" t="str">
        <f ca="1">IFERROR(__xludf.DUMMYFUNCTION("""COMPUTED_VALUE"""),"| 1 P PHP-CGM @ | 3 L PHP-CGM % | 4 L NS @ | 5 P Python % ")</f>
        <v xml:space="preserve">| 1 P PHP-CGM @ | 3 L PHP-CGM % | 4 L NS @ | 5 P Python % </v>
      </c>
      <c r="AR570" s="4" t="str">
        <f ca="1">IFERROR(__xludf.DUMMYFUNCTION("""COMPUTED_VALUE"""),"| 1 P JAVA % | 3 L CPT % | 5 P JAVA % ")</f>
        <v xml:space="preserve">| 1 P JAVA % | 3 L CPT % | 5 P JAVA % </v>
      </c>
      <c r="AS570" s="4" t="str">
        <f ca="1">IFERROR(__xludf.DUMMYFUNCTION("""COMPUTED_VALUE"""),"| 1 P NS % | 3 L CPT % | 4 L JAVA % | 5 L INE % ")</f>
        <v xml:space="preserve">| 1 P NS % | 3 L CPT % | 4 L JAVA % | 5 L INE % </v>
      </c>
      <c r="AT570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70" s="4" t="str">
        <f ca="1">IFERROR(__xludf.DUMMYFUNCTION("""COMPUTED_VALUE"""),"| 1 P PHP-CGM % | 3 L PHP-CGM % | 4 L NS % | 5 P Python % ")</f>
        <v xml:space="preserve">| 1 P PHP-CGM % | 3 L PHP-CGM % | 4 L NS % | 5 P Python % </v>
      </c>
      <c r="AV570" s="4" t="str">
        <f ca="1">IFERROR(__xludf.DUMMYFUNCTION("""COMPUTED_VALUE"""),"| 1 P JAVA % | 3 L CPT % | 4 L PHP-CGM % | 5 P JAVA @ ")</f>
        <v xml:space="preserve">| 1 P JAVA % | 3 L CPT % | 4 L PHP-CGM % | 5 P JAVA @ </v>
      </c>
      <c r="AW570" s="4" t="str">
        <f ca="1">IFERROR(__xludf.DUMMYFUNCTION("""COMPUTED_VALUE"""),"| 1 P Python % | 3 L PHP-CGM % | 4 L JAVA % | 5 L NS @ | 5 L CPT @ ")</f>
        <v xml:space="preserve">| 1 P Python % | 3 L PHP-CGM % | 4 L JAVA % | 5 L NS @ | 5 L CPT @ </v>
      </c>
      <c r="AX570" s="4" t="str">
        <f ca="1">IFERROR(__xludf.DUMMYFUNCTION("""COMPUTED_VALUE"""),"| 1 P NS % | 3 L CPT % | 4 L JAVA % | 5 L INE @ ")</f>
        <v xml:space="preserve">| 1 P NS % | 3 L CPT % | 4 L JAVA % | 5 L INE @ </v>
      </c>
      <c r="AY570" s="4" t="str">
        <f ca="1">IFERROR(__xludf.DUMMYFUNCTION("""COMPUTED_VALUE"""),"| 1 P CPT % | 3 L JAVA % | 4 L NS % | 5 P PRO @ ")</f>
        <v xml:space="preserve">| 1 P CPT % | 3 L JAVA % | 4 L NS % | 5 P PRO @ </v>
      </c>
      <c r="AZ570" s="4" t="str">
        <f ca="1">IFERROR(__xludf.DUMMYFUNCTION("""COMPUTED_VALUE"""),"| 1 P JAVA % | 3 L CPT % | 4 L PHP-CGM % | 5 P JAVA % ")</f>
        <v xml:space="preserve">| 1 P JAVA % | 3 L CPT % | 4 L PHP-CGM % | 5 P JAVA % </v>
      </c>
      <c r="BA570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B570" s="4" t="str">
        <f ca="1">IFERROR(__xludf.DUMMYFUNCTION("""COMPUTED_VALUE"""),"| 1 P NS % | 3 L CPT % | 4 L JAVA % | 5 L INE @ ")</f>
        <v xml:space="preserve">| 1 P NS % | 3 L CPT % | 4 L JAVA % | 5 L INE @ </v>
      </c>
      <c r="BC570" s="4" t="str">
        <f ca="1">IFERROR(__xludf.DUMMYFUNCTION("""COMPUTED_VALUE"""),"| 1 P CPT % | 3 L JAVA % | 4 L NS % | 5 P PRO @ ")</f>
        <v xml:space="preserve">| 1 P CPT % | 3 L JAVA % | 4 L NS % | 5 P PRO @ </v>
      </c>
      <c r="BD570" s="4" t="str">
        <f ca="1">IFERROR(__xludf.DUMMYFUNCTION("""COMPUTED_VALUE"""),"| 1 P PHP-CGM % | 4 L NS %  | 3 L PHP-CGM % | 5 P Python % ")</f>
        <v xml:space="preserve">| 1 P PHP-CGM % | 4 L NS %  | 3 L PHP-CGM % | 5 P Python % </v>
      </c>
      <c r="BE570" s="4" t="str">
        <f ca="1">IFERROR(__xludf.DUMMYFUNCTION("""COMPUTED_VALUE"""),"| 1 P JAVA @ | 3 L CPT @ | 4 L PHP-CGM @ | 5 P JAVA @ ")</f>
        <v xml:space="preserve">| 1 P JAVA @ | 3 L CPT @ | 4 L PHP-CGM @ | 5 P JAVA @ </v>
      </c>
      <c r="BF570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70" s="4" t="str">
        <f ca="1">IFERROR(__xludf.DUMMYFUNCTION("""COMPUTED_VALUE"""),"| 3 L JAVA @ | 4 L NS @ | 5 P PRO @ ")</f>
        <v xml:space="preserve">| 3 L JAVA @ | 4 L NS @ | 5 P PRO @ </v>
      </c>
      <c r="BH570" s="4" t="str">
        <f ca="1">IFERROR(__xludf.DUMMYFUNCTION("""COMPUTED_VALUE"""),"| 1 P PHP-CGM % | 3 L PHP-CGM @ | 4 L NS @ | 5 P Python @ ")</f>
        <v xml:space="preserve">| 1 P PHP-CGM % | 3 L PHP-CGM @ | 4 L NS @ | 5 P Python @ </v>
      </c>
      <c r="BI570" s="4" t="str">
        <f ca="1">IFERROR(__xludf.DUMMYFUNCTION("""COMPUTED_VALUE"""),"| 1 P JAVA % | 3 L CPT % | 4 L PHP-CGM @ | 5 P JAVA @ ")</f>
        <v xml:space="preserve">| 1 P JAVA % | 3 L CPT % | 4 L PHP-CGM @ | 5 P JAVA @ </v>
      </c>
      <c r="BJ570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K570" s="4" t="str">
        <f ca="1">IFERROR(__xludf.DUMMYFUNCTION("""COMPUTED_VALUE"""),"| 1 P NS @ | 3 L CPT @ | 4 L JAVA @ | 5 L INE @ ")</f>
        <v xml:space="preserve">| 1 P NS @ | 3 L CPT @ | 4 L JAVA @ | 5 L INE @ </v>
      </c>
      <c r="BL570" s="4" t="str">
        <f ca="1">IFERROR(__xludf.DUMMYFUNCTION("""COMPUTED_VALUE"""),"| 1 P CPT @ | 3 L JAVA @ | 4 L NS @ | 5 P PRO @ ")</f>
        <v xml:space="preserve">| 1 P CPT @ | 3 L JAVA @ | 4 L NS @ | 5 P PRO @ </v>
      </c>
      <c r="BM570" s="4" t="str">
        <f ca="1">IFERROR(__xludf.DUMMYFUNCTION("""COMPUTED_VALUE"""),"| 1 P PHP-CGM @ | 3 L PHP-CGM @ | 4 L NS @ | 5 P Python @ ")</f>
        <v xml:space="preserve">| 1 P PHP-CGM @ | 3 L PHP-CGM @ | 4 L NS @ | 5 P Python @ </v>
      </c>
      <c r="BN570" s="4" t="str">
        <f ca="1">IFERROR(__xludf.DUMMYFUNCTION("""COMPUTED_VALUE"""),"| 1 P JAVA @ | 3 L CPT @ | 4 L PHP-CGM @ ")</f>
        <v xml:space="preserve">| 1 P JAVA @ | 3 L CPT @ | 4 L PHP-CGM @ </v>
      </c>
      <c r="BO570" s="4" t="str">
        <f ca="1">IFERROR(__xludf.DUMMYFUNCTION("""COMPUTED_VALUE"""),"| 1 P Python @ | 3 L PHP-CGM % | 4 L JAVA % | 5 L NS % | 6 L CPT % ")</f>
        <v xml:space="preserve">| 1 P Python @ | 3 L PHP-CGM % | 4 L JAVA % | 5 L NS % | 6 L CPT % </v>
      </c>
      <c r="BP570" s="4" t="str">
        <f ca="1">IFERROR(__xludf.DUMMYFUNCTION("""COMPUTED_VALUE"""),"| 1 P NS @ | 3 L CPT @ | 4 L JAVA @ | 5 L INE @ ")</f>
        <v xml:space="preserve">| 1 P NS @ | 3 L CPT @ | 4 L JAVA @ | 5 L INE @ </v>
      </c>
      <c r="BQ570" s="4" t="str">
        <f ca="1">IFERROR(__xludf.DUMMYFUNCTION("""COMPUTED_VALUE"""),"| 4 L NS % ")</f>
        <v xml:space="preserve">| 4 L NS % </v>
      </c>
      <c r="BR570" s="4"/>
      <c r="BS570" s="4"/>
      <c r="BT570" s="4" t="str">
        <f ca="1">IFERROR(__xludf.DUMMYFUNCTION("""COMPUTED_VALUE"""),"| 1 P NS @ | 3 L CPT @ | 4 L JAVA @ ")</f>
        <v xml:space="preserve">| 1 P NS @ | 3 L CPT @ | 4 L JAVA @ </v>
      </c>
      <c r="BU570" s="4" t="str">
        <f ca="1">IFERROR(__xludf.DUMMYFUNCTION("""COMPUTED_VALUE"""),"| 1 P CPT % | 4 L NS % | 3 L JAVA % ")</f>
        <v xml:space="preserve">| 1 P CPT % | 4 L NS % | 3 L JAVA % </v>
      </c>
      <c r="BV570" s="4" t="str">
        <f ca="1">IFERROR(__xludf.DUMMYFUNCTION("""COMPUTED_VALUE"""),"| 1 P NS @ | 3 L CPT @ | 4 L JAVA @ ")</f>
        <v xml:space="preserve">| 1 P NS @ | 3 L CPT @ | 4 L JAVA @ </v>
      </c>
      <c r="BW570" s="4" t="str">
        <f ca="1">IFERROR(__xludf.DUMMYFUNCTION("""COMPUTED_VALUE"""),"| 1 P CPT @ | 3 L JAVA @ | 4 L NS @ ")</f>
        <v xml:space="preserve">| 1 P CPT @ | 3 L JAVA @ | 4 L NS @ </v>
      </c>
      <c r="BX570" s="4" t="str">
        <f ca="1">IFERROR(__xludf.DUMMYFUNCTION("""COMPUTED_VALUE"""),"| 1 P PHP-CGM @ | 3 L PHP-CGM @ | 4 L NS @ | 5 P Python @ ")</f>
        <v xml:space="preserve">| 1 P PHP-CGM @ | 3 L PHP-CGM @ | 4 L NS @ | 5 P Python @ </v>
      </c>
      <c r="BY570" s="4" t="str">
        <f ca="1">IFERROR(__xludf.DUMMYFUNCTION("""COMPUTED_VALUE"""),"| 1 P JAVA @ | 3 L CPT @ | 4 L PHP-CGM @ | 5 P JAVA @ ")</f>
        <v xml:space="preserve">| 1 P JAVA @ | 3 L CPT @ | 4 L PHP-CGM @ | 5 P JAVA @ </v>
      </c>
      <c r="BZ570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70" s="4" t="str">
        <f ca="1">IFERROR(__xludf.DUMMYFUNCTION("""COMPUTED_VALUE"""),"| 1 P NS @ | 3 L CPT % | 4 L JAVA % | 5 L INE % ")</f>
        <v xml:space="preserve">| 1 P NS @ | 3 L CPT % | 4 L JAVA % | 5 L INE % </v>
      </c>
      <c r="CB570" s="4" t="str">
        <f ca="1">IFERROR(__xludf.DUMMYFUNCTION("""COMPUTED_VALUE"""),"| 1 P CPT % | 3 L JAVA @ | 4 L NS @ | 5 P PRO @ ")</f>
        <v xml:space="preserve">| 1 P CPT % | 3 L JAVA @ | 4 L NS @ | 5 P PRO @ </v>
      </c>
      <c r="CC570" s="4" t="str">
        <f ca="1">IFERROR(__xludf.DUMMYFUNCTION("""COMPUTED_VALUE"""),"| 1 P PHP-CGM @ | 3 L PHP-CGM @ | 4 L NS @ | 5 P Python @ ")</f>
        <v xml:space="preserve">| 1 P PHP-CGM @ | 3 L PHP-CGM @ | 4 L NS @ | 5 P Python @ </v>
      </c>
      <c r="CD570" s="4" t="str">
        <f ca="1">IFERROR(__xludf.DUMMYFUNCTION("""COMPUTED_VALUE"""),"| 1 P JAVA @ | 3 L CPT @ | 4 L PHP-CGM @ ")</f>
        <v xml:space="preserve">| 1 P JAVA @ | 3 L CPT @ | 4 L PHP-CGM @ </v>
      </c>
      <c r="CE570" s="4" t="str">
        <f ca="1">IFERROR(__xludf.DUMMYFUNCTION("""COMPUTED_VALUE"""),"| 1 P Python % | 3 L PHP-CGM @ | 4 L JAVA @ | 5 L NS % | 6 L CPT % ")</f>
        <v xml:space="preserve">| 1 P Python % | 3 L PHP-CGM @ | 4 L JAVA @ | 5 L NS % | 6 L CPT % </v>
      </c>
      <c r="CF570" s="4" t="str">
        <f ca="1">IFERROR(__xludf.DUMMYFUNCTION("""COMPUTED_VALUE"""),"| 1 P NS % | 3 L CPT @ | 4 L JAVA @ | 5 L INE @ ")</f>
        <v xml:space="preserve">| 1 P NS % | 3 L CPT @ | 4 L JAVA @ | 5 L INE @ </v>
      </c>
      <c r="CG570" s="4" t="str">
        <f ca="1">IFERROR(__xludf.DUMMYFUNCTION("""COMPUTED_VALUE"""),"| 1 P CPT % | 4 L NS @ ")</f>
        <v xml:space="preserve">| 1 P CPT % | 4 L NS @ </v>
      </c>
      <c r="CH570" s="4" t="str">
        <f ca="1">IFERROR(__xludf.DUMMYFUNCTION("""COMPUTED_VALUE"""),"| 1 P PHP-CGM % | 3 L PHP-CGM @ | 4 L NS @ ")</f>
        <v xml:space="preserve">| 1 P PHP-CGM % | 3 L PHP-CGM @ | 4 L NS @ </v>
      </c>
      <c r="CI570" s="4"/>
      <c r="CJ570" s="4" t="str">
        <f ca="1">IFERROR(__xludf.DUMMYFUNCTION("""COMPUTED_VALUE"""),"| 4 L JAVA % ")</f>
        <v xml:space="preserve">| 4 L JAVA % </v>
      </c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</row>
    <row r="571" spans="1:102" ht="12.5" x14ac:dyDescent="0.25">
      <c r="A571" s="3">
        <f ca="1">IFERROR(__xludf.DUMMYFUNCTION("""COMPUTED_VALUE"""),4)</f>
        <v>4</v>
      </c>
      <c r="B571" s="3" t="str">
        <f ca="1">IFERROR(__xludf.DUMMYFUNCTION("""COMPUTED_VALUE"""),"ITC")</f>
        <v>ITC</v>
      </c>
      <c r="C571" s="32" t="str">
        <f ca="1">IFERROR(__xludf.DUMMYFUNCTION("""COMPUTED_VALUE"""),"23171371176")</f>
        <v>23171371176</v>
      </c>
      <c r="D571" s="4" t="str">
        <f ca="1">IFERROR(__xludf.DUMMYFUNCTION("""COMPUTED_VALUE"""),"RABARI RUDRA VIRAMBHAI")</f>
        <v>RABARI RUDRA VIRAMBHAI</v>
      </c>
      <c r="E571" s="3" t="str">
        <f ca="1">IFERROR(__xludf.DUMMYFUNCTION("""COMPUTED_VALUE"""),"SDP&amp;KKP - Mor")</f>
        <v>SDP&amp;KKP - Mor</v>
      </c>
      <c r="F571" s="3">
        <f ca="1">IFERROR(__xludf.DUMMYFUNCTION("""COMPUTED_VALUE"""),9925192139)</f>
        <v>9925192139</v>
      </c>
      <c r="G571" s="3">
        <f ca="1">IFERROR(__xludf.DUMMYFUNCTION("""COMPUTED_VALUE"""),9925192139)</f>
        <v>9925192139</v>
      </c>
      <c r="H571" s="33">
        <f ca="1">IFERROR(__xludf.DUMMYFUNCTION("""COMPUTED_VALUE"""),0.383966244725738)</f>
        <v>0.38396624472573798</v>
      </c>
      <c r="I571" s="25">
        <f ca="1">IFERROR(__xludf.DUMMYFUNCTION("""COMPUTED_VALUE"""),0.361111111111111)</f>
        <v>0.36111111111111099</v>
      </c>
      <c r="J571" s="25">
        <f ca="1">IFERROR(__xludf.DUMMYFUNCTION("""COMPUTED_VALUE"""),0.416666666666666)</f>
        <v>0.41666666666666602</v>
      </c>
      <c r="K571" s="25">
        <f ca="1">IFERROR(__xludf.DUMMYFUNCTION("""COMPUTED_VALUE"""),0.388888888888888)</f>
        <v>0.38888888888888801</v>
      </c>
      <c r="L571" s="25">
        <f ca="1">IFERROR(__xludf.DUMMYFUNCTION("""COMPUTED_VALUE"""),0.214285714285714)</f>
        <v>0.214285714285714</v>
      </c>
      <c r="M571" s="25">
        <f ca="1">IFERROR(__xludf.DUMMYFUNCTION("""COMPUTED_VALUE"""),0.5)</f>
        <v>0.5</v>
      </c>
      <c r="N571" s="25">
        <f ca="1">IFERROR(__xludf.DUMMYFUNCTION("""COMPUTED_VALUE"""),0.6)</f>
        <v>0.6</v>
      </c>
      <c r="O571" s="25">
        <f ca="1">IFERROR(__xludf.DUMMYFUNCTION("""COMPUTED_VALUE"""),0.378378378378378)</f>
        <v>0.37837837837837801</v>
      </c>
      <c r="P571" s="25">
        <f ca="1">IFERROR(__xludf.DUMMYFUNCTION("""COMPUTED_VALUE"""),0.454545454545454)</f>
        <v>0.45454545454545398</v>
      </c>
      <c r="Q571" s="25">
        <f ca="1">IFERROR(__xludf.DUMMYFUNCTION("""COMPUTED_VALUE"""),0)</f>
        <v>0</v>
      </c>
      <c r="R571" s="25">
        <f ca="1">IFERROR(__xludf.DUMMYFUNCTION("""COMPUTED_VALUE"""),0.421052631578947)</f>
        <v>0.42105263157894701</v>
      </c>
      <c r="S571" s="25">
        <f ca="1">IFERROR(__xludf.DUMMYFUNCTION("""COMPUTED_VALUE"""),0)</f>
        <v>0</v>
      </c>
      <c r="T571" s="25">
        <f ca="1">IFERROR(__xludf.DUMMYFUNCTION("""COMPUTED_VALUE"""),0.0909090909090909)</f>
        <v>9.0909090909090898E-2</v>
      </c>
      <c r="U571" s="25">
        <f ca="1">IFERROR(__xludf.DUMMYFUNCTION("""COMPUTED_VALUE"""),0.125)</f>
        <v>0.125</v>
      </c>
      <c r="V571" s="25">
        <f ca="1">IFERROR(__xludf.DUMMYFUNCTION("""COMPUTED_VALUE"""),0)</f>
        <v>0</v>
      </c>
      <c r="W571" s="4"/>
      <c r="X571" s="4" t="str">
        <f ca="1">IFERROR(__xludf.DUMMYFUNCTION("""COMPUTED_VALUE"""),"| 1 P NS @ | 3 L CPT @ | 4 L JAVA @ ")</f>
        <v xml:space="preserve">| 1 P NS @ | 3 L CPT @ | 4 L JAVA @ </v>
      </c>
      <c r="Y571" s="4" t="str">
        <f ca="1">IFERROR(__xludf.DUMMYFUNCTION("""COMPUTED_VALUE"""),"| 1 P CPT @ | 3 L JAVA @ | 4 L NS @ | 5 P PRO @ ")</f>
        <v xml:space="preserve">| 1 P CPT @ | 3 L JAVA @ | 4 L NS @ | 5 P PRO @ </v>
      </c>
      <c r="Z571" s="4" t="str">
        <f ca="1">IFERROR(__xludf.DUMMYFUNCTION("""COMPUTED_VALUE"""),"| 3 L PHP-CGM @ | 4 L NS @ | 5 P Python @ ")</f>
        <v xml:space="preserve">| 3 L PHP-CGM @ | 4 L NS @ | 5 P Python @ </v>
      </c>
      <c r="AA571" s="4" t="str">
        <f ca="1">IFERROR(__xludf.DUMMYFUNCTION("""COMPUTED_VALUE"""),"| 1 P NS @ | 3 L CPT @ | 5 P JAVA @ ")</f>
        <v xml:space="preserve">| 1 P NS @ | 3 L CPT @ | 5 P JAVA @ </v>
      </c>
      <c r="AB571" s="4" t="str">
        <f ca="1">IFERROR(__xludf.DUMMYFUNCTION("""COMPUTED_VALUE"""),"| 1 P PRO @ | 3 L PHP-CGM @ | 4 L JAVA @ | 5 L CPT @ | 6 L NS @ ")</f>
        <v xml:space="preserve">| 1 P PRO @ | 3 L PHP-CGM @ | 4 L JAVA @ | 5 L CPT @ | 6 L NS @ </v>
      </c>
      <c r="AC571" s="4" t="str">
        <f ca="1">IFERROR(__xludf.DUMMYFUNCTION("""COMPUTED_VALUE"""),"| 1 P NS @ | 3 L CPT % | 4 L JAVA % ")</f>
        <v xml:space="preserve">| 1 P NS @ | 3 L CPT % | 4 L JAVA % </v>
      </c>
      <c r="AD571" s="4" t="str">
        <f ca="1">IFERROR(__xludf.DUMMYFUNCTION("""COMPUTED_VALUE"""),"| 1 P CPT % | 3 L JAVA % | 4 L NS % | 5 P PRO % ")</f>
        <v xml:space="preserve">| 1 P CPT % | 3 L JAVA % | 4 L NS % | 5 P PRO % </v>
      </c>
      <c r="AE571" s="4" t="str">
        <f ca="1">IFERROR(__xludf.DUMMYFUNCTION("""COMPUTED_VALUE"""),"| 1 P PHP-CGM % | 3 L PHP-CGM % | 4 L NS % ")</f>
        <v xml:space="preserve">| 1 P PHP-CGM % | 3 L PHP-CGM % | 4 L NS % </v>
      </c>
      <c r="AF571" s="4" t="str">
        <f ca="1">IFERROR(__xludf.DUMMYFUNCTION("""COMPUTED_VALUE"""),"| 1 P JAVA % | 3 L CPT % | 4 L PHP-CGM % | 5 P JAVA % ")</f>
        <v xml:space="preserve">| 1 P JAVA % | 3 L CPT % | 4 L PHP-CGM % | 5 P JAVA % </v>
      </c>
      <c r="AG571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H571" s="4" t="str">
        <f ca="1">IFERROR(__xludf.DUMMYFUNCTION("""COMPUTED_VALUE"""),"| 1 P JAVA % | 3 L CPT % | 4 L PHP-CGM % | 5 P JAVA @ ")</f>
        <v xml:space="preserve">| 1 P JAVA % | 3 L CPT % | 4 L PHP-CGM % | 5 P JAVA @ </v>
      </c>
      <c r="AI571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71" s="4" t="str">
        <f ca="1">IFERROR(__xludf.DUMMYFUNCTION("""COMPUTED_VALUE"""),"| 1 P NS % | 3 L CPT % | 4 L JAVA % ")</f>
        <v xml:space="preserve">| 1 P NS % | 3 L CPT % | 4 L JAVA % </v>
      </c>
      <c r="AK571" s="4" t="str">
        <f ca="1">IFERROR(__xludf.DUMMYFUNCTION("""COMPUTED_VALUE"""),"| 1 P CPT % | 4 L NS % | 3 L JAVA % | 5 P PRO @ ")</f>
        <v xml:space="preserve">| 1 P CPT % | 4 L NS % | 3 L JAVA % | 5 P PRO @ </v>
      </c>
      <c r="AL571" s="4" t="str">
        <f ca="1">IFERROR(__xludf.DUMMYFUNCTION("""COMPUTED_VALUE"""),"| 1 P PHP-CGM % | 3 L PHP-CGM % | 4 L NS % | 5 P Python % ")</f>
        <v xml:space="preserve">| 1 P PHP-CGM % | 3 L PHP-CGM % | 4 L NS % | 5 P Python % </v>
      </c>
      <c r="AM571" s="4" t="str">
        <f ca="1">IFERROR(__xludf.DUMMYFUNCTION("""COMPUTED_VALUE"""),"| 1 P JAVA % | 3 L CPT @ | 4 L PHP-CGM @ | 5 P JAVA @ ")</f>
        <v xml:space="preserve">| 1 P JAVA % | 3 L CPT @ | 4 L PHP-CGM @ | 5 P JAVA @ </v>
      </c>
      <c r="AN571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71" s="4" t="str">
        <f ca="1">IFERROR(__xludf.DUMMYFUNCTION("""COMPUTED_VALUE"""),"| 1 P NS @ | 3 L CPT @ | 4 L JAVA @ | 5 L INE @ ")</f>
        <v xml:space="preserve">| 1 P NS @ | 3 L CPT @ | 4 L JAVA @ | 5 L INE @ </v>
      </c>
      <c r="AP571" s="4" t="str">
        <f ca="1">IFERROR(__xludf.DUMMYFUNCTION("""COMPUTED_VALUE"""),"| 1 P CPT @ | 3 L JAVA @ | 4 L NS @ | 5 P PRO @ ")</f>
        <v xml:space="preserve">| 1 P CPT @ | 3 L JAVA @ | 4 L NS @ | 5 P PRO @ </v>
      </c>
      <c r="AQ571" s="4" t="str">
        <f ca="1">IFERROR(__xludf.DUMMYFUNCTION("""COMPUTED_VALUE"""),"| 1 P PHP-CGM @ | 3 L PHP-CGM @ | 4 L NS @ | 5 P Python @ ")</f>
        <v xml:space="preserve">| 1 P PHP-CGM @ | 3 L PHP-CGM @ | 4 L NS @ | 5 P Python @ </v>
      </c>
      <c r="AR571" s="4" t="str">
        <f ca="1">IFERROR(__xludf.DUMMYFUNCTION("""COMPUTED_VALUE"""),"| 1 P JAVA @ | 3 L CPT @ | 5 P JAVA @ ")</f>
        <v xml:space="preserve">| 1 P JAVA @ | 3 L CPT @ | 5 P JAVA @ </v>
      </c>
      <c r="AS571" s="4" t="str">
        <f ca="1">IFERROR(__xludf.DUMMYFUNCTION("""COMPUTED_VALUE"""),"| 1 P NS @ | 3 L CPT @ | 4 L JAVA @ | 5 L INE @ ")</f>
        <v xml:space="preserve">| 1 P NS @ | 3 L CPT @ | 4 L JAVA @ | 5 L INE @ </v>
      </c>
      <c r="AT571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71" s="4" t="str">
        <f ca="1">IFERROR(__xludf.DUMMYFUNCTION("""COMPUTED_VALUE"""),"| 1 P PHP-CGM % | 3 L PHP-CGM % | 4 L NS % | 5 P Python % ")</f>
        <v xml:space="preserve">| 1 P PHP-CGM % | 3 L PHP-CGM % | 4 L NS % | 5 P Python % </v>
      </c>
      <c r="AV571" s="4" t="str">
        <f ca="1">IFERROR(__xludf.DUMMYFUNCTION("""COMPUTED_VALUE"""),"| 1 P JAVA % | 3 L CPT % | 4 L PHP-CGM % | 5 P JAVA % ")</f>
        <v xml:space="preserve">| 1 P JAVA % | 3 L CPT % | 4 L PHP-CGM % | 5 P JAVA % </v>
      </c>
      <c r="AW571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71" s="4" t="str">
        <f ca="1">IFERROR(__xludf.DUMMYFUNCTION("""COMPUTED_VALUE"""),"| 1 P NS @ | 3 L CPT @ | 4 L JAVA @ | 5 L INE @ ")</f>
        <v xml:space="preserve">| 1 P NS @ | 3 L CPT @ | 4 L JAVA @ | 5 L INE @ </v>
      </c>
      <c r="AY571" s="4" t="str">
        <f ca="1">IFERROR(__xludf.DUMMYFUNCTION("""COMPUTED_VALUE"""),"| 1 P CPT @ | 3 L JAVA @ | 4 L NS @ | 5 P PRO @ ")</f>
        <v xml:space="preserve">| 1 P CPT @ | 3 L JAVA @ | 4 L NS @ | 5 P PRO @ </v>
      </c>
      <c r="AZ571" s="4" t="str">
        <f ca="1">IFERROR(__xludf.DUMMYFUNCTION("""COMPUTED_VALUE"""),"| 1 P JAVA @ | 3 L CPT @ | 4 L PHP-CGM @ | 5 P JAVA @ ")</f>
        <v xml:space="preserve">| 1 P JAVA @ | 3 L CPT @ | 4 L PHP-CGM @ | 5 P JAVA @ </v>
      </c>
      <c r="BA571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71" s="4" t="str">
        <f ca="1">IFERROR(__xludf.DUMMYFUNCTION("""COMPUTED_VALUE"""),"| 1 P NS @ | 3 L CPT @ | 4 L JAVA @ | 5 L INE @ ")</f>
        <v xml:space="preserve">| 1 P NS @ | 3 L CPT @ | 4 L JAVA @ | 5 L INE @ </v>
      </c>
      <c r="BC571" s="4" t="str">
        <f ca="1">IFERROR(__xludf.DUMMYFUNCTION("""COMPUTED_VALUE"""),"| 1 P CPT @ | 3 L JAVA @ | 4 L NS @ | 5 P PRO @ ")</f>
        <v xml:space="preserve">| 1 P CPT @ | 3 L JAVA @ | 4 L NS @ | 5 P PRO @ </v>
      </c>
      <c r="BD571" s="4" t="str">
        <f ca="1">IFERROR(__xludf.DUMMYFUNCTION("""COMPUTED_VALUE"""),"| 1 P PHP-CGM @ | 4 L NS @  | 3 L PHP-CGM @ | 5 P Python @ ")</f>
        <v xml:space="preserve">| 1 P PHP-CGM @ | 4 L NS @  | 3 L PHP-CGM @ | 5 P Python @ </v>
      </c>
      <c r="BE571" s="4" t="str">
        <f ca="1">IFERROR(__xludf.DUMMYFUNCTION("""COMPUTED_VALUE"""),"| 1 P JAVA @ | 3 L CPT @ | 4 L PHP-CGM @ | 5 P JAVA @ ")</f>
        <v xml:space="preserve">| 1 P JAVA @ | 3 L CPT @ | 4 L PHP-CGM @ | 5 P JAVA @ </v>
      </c>
      <c r="BF571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G571" s="4" t="str">
        <f ca="1">IFERROR(__xludf.DUMMYFUNCTION("""COMPUTED_VALUE"""),"| 3 L JAVA % | 4 L NS % | 5 P PRO @ ")</f>
        <v xml:space="preserve">| 3 L JAVA % | 4 L NS % | 5 P PRO @ </v>
      </c>
      <c r="BH571" s="4" t="str">
        <f ca="1">IFERROR(__xludf.DUMMYFUNCTION("""COMPUTED_VALUE"""),"| 1 P PHP-CGM % | 3 L PHP-CGM % | 4 L NS % | 5 P Python % ")</f>
        <v xml:space="preserve">| 1 P PHP-CGM % | 3 L PHP-CGM % | 4 L NS % | 5 P Python % </v>
      </c>
      <c r="BI571" s="4" t="str">
        <f ca="1">IFERROR(__xludf.DUMMYFUNCTION("""COMPUTED_VALUE"""),"| 1 P JAVA % | 3 L CPT % | 4 L PHP-CGM % | 5 P JAVA % ")</f>
        <v xml:space="preserve">| 1 P JAVA % | 3 L CPT % | 4 L PHP-CGM % | 5 P JAVA % </v>
      </c>
      <c r="BJ571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K571" s="4" t="str">
        <f ca="1">IFERROR(__xludf.DUMMYFUNCTION("""COMPUTED_VALUE"""),"| 1 P NS @ | 3 L CPT % | 4 L JAVA % | 5 L INE @ ")</f>
        <v xml:space="preserve">| 1 P NS @ | 3 L CPT % | 4 L JAVA % | 5 L INE @ </v>
      </c>
      <c r="BL571" s="4" t="str">
        <f ca="1">IFERROR(__xludf.DUMMYFUNCTION("""COMPUTED_VALUE"""),"| 1 P CPT @ | 3 L JAVA @ | 4 L NS @ | 5 P PRO @ ")</f>
        <v xml:space="preserve">| 1 P CPT @ | 3 L JAVA @ | 4 L NS @ | 5 P PRO @ </v>
      </c>
      <c r="BM571" s="4" t="str">
        <f ca="1">IFERROR(__xludf.DUMMYFUNCTION("""COMPUTED_VALUE"""),"| 1 P PHP-CGM @ | 3 L PHP-CGM @ | 4 L NS @ | 5 P Python @ ")</f>
        <v xml:space="preserve">| 1 P PHP-CGM @ | 3 L PHP-CGM @ | 4 L NS @ | 5 P Python @ </v>
      </c>
      <c r="BN571" s="4" t="str">
        <f ca="1">IFERROR(__xludf.DUMMYFUNCTION("""COMPUTED_VALUE"""),"| 1 P JAVA % | 3 L CPT @ | 4 L PHP-CGM @ ")</f>
        <v xml:space="preserve">| 1 P JAVA % | 3 L CPT @ | 4 L PHP-CGM @ </v>
      </c>
      <c r="BO571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71" s="4" t="str">
        <f ca="1">IFERROR(__xludf.DUMMYFUNCTION("""COMPUTED_VALUE"""),"| 1 P NS @ | 3 L CPT @ | 4 L JAVA @ | 5 L INE @ ")</f>
        <v xml:space="preserve">| 1 P NS @ | 3 L CPT @ | 4 L JAVA @ | 5 L INE @ </v>
      </c>
      <c r="BQ571" s="4" t="str">
        <f ca="1">IFERROR(__xludf.DUMMYFUNCTION("""COMPUTED_VALUE"""),"| 4 L NS @ ")</f>
        <v xml:space="preserve">| 4 L NS @ </v>
      </c>
      <c r="BR571" s="4"/>
      <c r="BS571" s="4"/>
      <c r="BT571" s="4" t="str">
        <f ca="1">IFERROR(__xludf.DUMMYFUNCTION("""COMPUTED_VALUE"""),"| 1 P NS @ | 3 L CPT @ | 4 L JAVA @ ")</f>
        <v xml:space="preserve">| 1 P NS @ | 3 L CPT @ | 4 L JAVA @ </v>
      </c>
      <c r="BU571" s="4" t="str">
        <f ca="1">IFERROR(__xludf.DUMMYFUNCTION("""COMPUTED_VALUE"""),"| 1 P CPT @ | 4 L NS @ | 3 L JAVA @ ")</f>
        <v xml:space="preserve">| 1 P CPT @ | 4 L NS @ | 3 L JAVA @ </v>
      </c>
      <c r="BV571" s="4" t="str">
        <f ca="1">IFERROR(__xludf.DUMMYFUNCTION("""COMPUTED_VALUE"""),"| 1 P NS @ | 3 L CPT @ | 4 L JAVA @ ")</f>
        <v xml:space="preserve">| 1 P NS @ | 3 L CPT @ | 4 L JAVA @ </v>
      </c>
      <c r="BW571" s="4" t="str">
        <f ca="1">IFERROR(__xludf.DUMMYFUNCTION("""COMPUTED_VALUE"""),"| 1 P CPT @ | 3 L JAVA @ | 4 L NS @ ")</f>
        <v xml:space="preserve">| 1 P CPT @ | 3 L JAVA @ | 4 L NS @ </v>
      </c>
      <c r="BX571" s="4" t="str">
        <f ca="1">IFERROR(__xludf.DUMMYFUNCTION("""COMPUTED_VALUE"""),"| 1 P PHP-CGM @ | 3 L PHP-CGM @ | 4 L NS @ | 5 P Python @ ")</f>
        <v xml:space="preserve">| 1 P PHP-CGM @ | 3 L PHP-CGM @ | 4 L NS @ | 5 P Python @ </v>
      </c>
      <c r="BY571" s="4" t="str">
        <f ca="1">IFERROR(__xludf.DUMMYFUNCTION("""COMPUTED_VALUE"""),"| 1 P JAVA @ | 3 L CPT @ | 4 L PHP-CGM @ | 5 P JAVA @ ")</f>
        <v xml:space="preserve">| 1 P JAVA @ | 3 L CPT @ | 4 L PHP-CGM @ | 5 P JAVA @ </v>
      </c>
      <c r="BZ571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71" s="4" t="str">
        <f ca="1">IFERROR(__xludf.DUMMYFUNCTION("""COMPUTED_VALUE"""),"| 1 P NS % | 3 L CPT % | 4 L JAVA % | 5 L INE % ")</f>
        <v xml:space="preserve">| 1 P NS % | 3 L CPT % | 4 L JAVA % | 5 L INE % </v>
      </c>
      <c r="CB571" s="4" t="str">
        <f ca="1">IFERROR(__xludf.DUMMYFUNCTION("""COMPUTED_VALUE"""),"| 1 P CPT % | 3 L JAVA % | 4 L NS % | 5 P PRO @ ")</f>
        <v xml:space="preserve">| 1 P CPT % | 3 L JAVA % | 4 L NS % | 5 P PRO @ </v>
      </c>
      <c r="CC571" s="4" t="str">
        <f ca="1">IFERROR(__xludf.DUMMYFUNCTION("""COMPUTED_VALUE"""),"| 1 P PHP-CGM % | 3 L PHP-CGM % | 4 L NS % | 5 P Python @ ")</f>
        <v xml:space="preserve">| 1 P PHP-CGM % | 3 L PHP-CGM % | 4 L NS % | 5 P Python @ </v>
      </c>
      <c r="CD571" s="4" t="str">
        <f ca="1">IFERROR(__xludf.DUMMYFUNCTION("""COMPUTED_VALUE"""),"| 1 P JAVA % | 3 L CPT % | 4 L PHP-CGM % ")</f>
        <v xml:space="preserve">| 1 P JAVA % | 3 L CPT % | 4 L PHP-CGM % </v>
      </c>
      <c r="CE571" s="4" t="str">
        <f ca="1">IFERROR(__xludf.DUMMYFUNCTION("""COMPUTED_VALUE"""),"| 1 P Python % | 3 L PHP-CGM % | 4 L JAVA @ | 5 L NS @ | 6 L CPT @ ")</f>
        <v xml:space="preserve">| 1 P Python % | 3 L PHP-CGM % | 4 L JAVA @ | 5 L NS @ | 6 L CPT @ </v>
      </c>
      <c r="CF571" s="4" t="str">
        <f ca="1">IFERROR(__xludf.DUMMYFUNCTION("""COMPUTED_VALUE"""),"| 1 P NS % | 3 L CPT @ | 4 L JAVA @ | 5 L INE @ ")</f>
        <v xml:space="preserve">| 1 P NS % | 3 L CPT @ | 4 L JAVA @ | 5 L INE @ </v>
      </c>
      <c r="CG571" s="4" t="str">
        <f ca="1">IFERROR(__xludf.DUMMYFUNCTION("""COMPUTED_VALUE"""),"| 1 P CPT % | 4 L NS @ ")</f>
        <v xml:space="preserve">| 1 P CPT % | 4 L NS @ </v>
      </c>
      <c r="CH571" s="4" t="str">
        <f ca="1">IFERROR(__xludf.DUMMYFUNCTION("""COMPUTED_VALUE"""),"| 1 P PHP-CGM % | 3 L PHP-CGM % | 4 L NS % ")</f>
        <v xml:space="preserve">| 1 P PHP-CGM % | 3 L PHP-CGM % | 4 L NS % </v>
      </c>
      <c r="CI571" s="4"/>
      <c r="CJ571" s="4" t="str">
        <f ca="1">IFERROR(__xludf.DUMMYFUNCTION("""COMPUTED_VALUE"""),"| 4 L JAVA % ")</f>
        <v xml:space="preserve">| 4 L JAVA % </v>
      </c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</row>
    <row r="572" spans="1:102" ht="12.5" x14ac:dyDescent="0.25">
      <c r="A572" s="3">
        <f ca="1">IFERROR(__xludf.DUMMYFUNCTION("""COMPUTED_VALUE"""),4)</f>
        <v>4</v>
      </c>
      <c r="B572" s="3" t="str">
        <f ca="1">IFERROR(__xludf.DUMMYFUNCTION("""COMPUTED_VALUE"""),"ITC")</f>
        <v>ITC</v>
      </c>
      <c r="C572" s="32" t="str">
        <f ca="1">IFERROR(__xludf.DUMMYFUNCTION("""COMPUTED_VALUE"""),"23171371178")</f>
        <v>23171371178</v>
      </c>
      <c r="D572" s="4" t="str">
        <f ca="1">IFERROR(__xludf.DUMMYFUNCTION("""COMPUTED_VALUE"""),"MEWADA NISARG RAKESHKUMAR")</f>
        <v>MEWADA NISARG RAKESHKUMAR</v>
      </c>
      <c r="E572" s="3" t="str">
        <f ca="1">IFERROR(__xludf.DUMMYFUNCTION("""COMPUTED_VALUE"""),"SDP&amp;KKP - Mor")</f>
        <v>SDP&amp;KKP - Mor</v>
      </c>
      <c r="F572" s="3">
        <f ca="1">IFERROR(__xludf.DUMMYFUNCTION("""COMPUTED_VALUE"""),9484419708)</f>
        <v>9484419708</v>
      </c>
      <c r="G572" s="3">
        <f ca="1">IFERROR(__xludf.DUMMYFUNCTION("""COMPUTED_VALUE"""),9426335440)</f>
        <v>9426335440</v>
      </c>
      <c r="H572" s="33">
        <f ca="1">IFERROR(__xludf.DUMMYFUNCTION("""COMPUTED_VALUE"""),0.780590717299578)</f>
        <v>0.78059071729957796</v>
      </c>
      <c r="I572" s="25">
        <f ca="1">IFERROR(__xludf.DUMMYFUNCTION("""COMPUTED_VALUE"""),0.75)</f>
        <v>0.75</v>
      </c>
      <c r="J572" s="25">
        <f ca="1">IFERROR(__xludf.DUMMYFUNCTION("""COMPUTED_VALUE"""),0.916666666666666)</f>
        <v>0.91666666666666596</v>
      </c>
      <c r="K572" s="25">
        <f ca="1">IFERROR(__xludf.DUMMYFUNCTION("""COMPUTED_VALUE"""),0.777777777777777)</f>
        <v>0.77777777777777701</v>
      </c>
      <c r="L572" s="25">
        <f ca="1">IFERROR(__xludf.DUMMYFUNCTION("""COMPUTED_VALUE"""),0.785714285714285)</f>
        <v>0.78571428571428503</v>
      </c>
      <c r="M572" s="25">
        <f ca="1">IFERROR(__xludf.DUMMYFUNCTION("""COMPUTED_VALUE"""),0.875)</f>
        <v>0.875</v>
      </c>
      <c r="N572" s="25">
        <f ca="1">IFERROR(__xludf.DUMMYFUNCTION("""COMPUTED_VALUE"""),0.9)</f>
        <v>0.9</v>
      </c>
      <c r="O572" s="25">
        <f ca="1">IFERROR(__xludf.DUMMYFUNCTION("""COMPUTED_VALUE"""),0.783783783783783)</f>
        <v>0.78378378378378299</v>
      </c>
      <c r="P572" s="25">
        <f ca="1">IFERROR(__xludf.DUMMYFUNCTION("""COMPUTED_VALUE"""),0.727272727272727)</f>
        <v>0.72727272727272696</v>
      </c>
      <c r="Q572" s="25">
        <f ca="1">IFERROR(__xludf.DUMMYFUNCTION("""COMPUTED_VALUE"""),0)</f>
        <v>0</v>
      </c>
      <c r="R572" s="25">
        <f ca="1">IFERROR(__xludf.DUMMYFUNCTION("""COMPUTED_VALUE"""),0.789473684210526)</f>
        <v>0.78947368421052599</v>
      </c>
      <c r="S572" s="25">
        <f ca="1">IFERROR(__xludf.DUMMYFUNCTION("""COMPUTED_VALUE"""),0)</f>
        <v>0</v>
      </c>
      <c r="T572" s="25">
        <f ca="1">IFERROR(__xludf.DUMMYFUNCTION("""COMPUTED_VALUE"""),0.727272727272727)</f>
        <v>0.72727272727272696</v>
      </c>
      <c r="U572" s="25">
        <f ca="1">IFERROR(__xludf.DUMMYFUNCTION("""COMPUTED_VALUE"""),0.375)</f>
        <v>0.375</v>
      </c>
      <c r="V572" s="25">
        <f ca="1">IFERROR(__xludf.DUMMYFUNCTION("""COMPUTED_VALUE"""),0)</f>
        <v>0</v>
      </c>
      <c r="W572" s="4"/>
      <c r="X572" s="4" t="str">
        <f ca="1">IFERROR(__xludf.DUMMYFUNCTION("""COMPUTED_VALUE"""),"| 1 P NS % | 3 L CPT % | 4 L JAVA % ")</f>
        <v xml:space="preserve">| 1 P NS % | 3 L CPT % | 4 L JAVA % </v>
      </c>
      <c r="Y572" s="4" t="str">
        <f ca="1">IFERROR(__xludf.DUMMYFUNCTION("""COMPUTED_VALUE"""),"| 1 P CPT % | 3 L JAVA % | 4 L NS % | 5 P PRO % ")</f>
        <v xml:space="preserve">| 1 P CPT % | 3 L JAVA % | 4 L NS % | 5 P PRO % </v>
      </c>
      <c r="Z572" s="4" t="str">
        <f ca="1">IFERROR(__xludf.DUMMYFUNCTION("""COMPUTED_VALUE"""),"| 3 L PHP-CGM % | 4 L NS % | 5 P Python @ ")</f>
        <v xml:space="preserve">| 3 L PHP-CGM % | 4 L NS % | 5 P Python @ </v>
      </c>
      <c r="AA572" s="4" t="str">
        <f ca="1">IFERROR(__xludf.DUMMYFUNCTION("""COMPUTED_VALUE"""),"| 1 P NS % | 3 L CPT % | 5 P JAVA % ")</f>
        <v xml:space="preserve">| 1 P NS % | 3 L CPT % | 5 P JAVA % </v>
      </c>
      <c r="AB572" s="4" t="str">
        <f ca="1">IFERROR(__xludf.DUMMYFUNCTION("""COMPUTED_VALUE"""),"| 1 P PRO % | 3 L PHP-CGM % | 4 L JAVA % | 5 L CPT % | 6 L NS % ")</f>
        <v xml:space="preserve">| 1 P PRO % | 3 L PHP-CGM % | 4 L JAVA % | 5 L CPT % | 6 L NS % </v>
      </c>
      <c r="AC572" s="4" t="str">
        <f ca="1">IFERROR(__xludf.DUMMYFUNCTION("""COMPUTED_VALUE"""),"| 1 P NS % | 3 L CPT @ | 4 L JAVA % ")</f>
        <v xml:space="preserve">| 1 P NS % | 3 L CPT @ | 4 L JAVA % </v>
      </c>
      <c r="AD572" s="4" t="str">
        <f ca="1">IFERROR(__xludf.DUMMYFUNCTION("""COMPUTED_VALUE"""),"| 1 P CPT % | 3 L JAVA % | 4 L NS % | 5 P PRO % ")</f>
        <v xml:space="preserve">| 1 P CPT % | 3 L JAVA % | 4 L NS % | 5 P PRO % </v>
      </c>
      <c r="AE572" s="4" t="str">
        <f ca="1">IFERROR(__xludf.DUMMYFUNCTION("""COMPUTED_VALUE"""),"| 1 P PHP-CGM % | 3 L PHP-CGM % | 4 L NS % ")</f>
        <v xml:space="preserve">| 1 P PHP-CGM % | 3 L PHP-CGM % | 4 L NS % </v>
      </c>
      <c r="AF572" s="4" t="str">
        <f ca="1">IFERROR(__xludf.DUMMYFUNCTION("""COMPUTED_VALUE"""),"| 1 P JAVA % | 3 L CPT % | 4 L PHP-CGM % | 5 P JAVA % ")</f>
        <v xml:space="preserve">| 1 P JAVA % | 3 L CPT % | 4 L PHP-CGM % | 5 P JAVA % </v>
      </c>
      <c r="AG572" s="4" t="str">
        <f ca="1">IFERROR(__xludf.DUMMYFUNCTION("""COMPUTED_VALUE"""),"| 1 P Python @ | 3 L PHP-CGM % | 4 L JAVA % | 5 L CPT % | 6 L NS % ")</f>
        <v xml:space="preserve">| 1 P Python @ | 3 L PHP-CGM % | 4 L JAVA % | 5 L CPT % | 6 L NS % </v>
      </c>
      <c r="AH572" s="4" t="str">
        <f ca="1">IFERROR(__xludf.DUMMYFUNCTION("""COMPUTED_VALUE"""),"| 1 P JAVA % | 3 L CPT % | 4 L PHP-CGM % | 5 P JAVA % ")</f>
        <v xml:space="preserve">| 1 P JAVA % | 3 L CPT % | 4 L PHP-CGM % | 5 P JAVA % </v>
      </c>
      <c r="AI572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J572" s="4" t="str">
        <f ca="1">IFERROR(__xludf.DUMMYFUNCTION("""COMPUTED_VALUE"""),"| 1 P NS % | 3 L CPT % | 4 L JAVA % ")</f>
        <v xml:space="preserve">| 1 P NS % | 3 L CPT % | 4 L JAVA % </v>
      </c>
      <c r="AK572" s="4" t="str">
        <f ca="1">IFERROR(__xludf.DUMMYFUNCTION("""COMPUTED_VALUE"""),"| 1 P CPT % | 4 L NS % | 3 L JAVA % | 5 P PRO % ")</f>
        <v xml:space="preserve">| 1 P CPT % | 4 L NS % | 3 L JAVA % | 5 P PRO % </v>
      </c>
      <c r="AL572" s="4" t="str">
        <f ca="1">IFERROR(__xludf.DUMMYFUNCTION("""COMPUTED_VALUE"""),"| 1 P PHP-CGM % | 3 L PHP-CGM % | 4 L NS % | 5 P Python % ")</f>
        <v xml:space="preserve">| 1 P PHP-CGM % | 3 L PHP-CGM % | 4 L NS % | 5 P Python % </v>
      </c>
      <c r="AM572" s="4" t="str">
        <f ca="1">IFERROR(__xludf.DUMMYFUNCTION("""COMPUTED_VALUE"""),"| 1 P JAVA % | 3 L CPT % | 4 L PHP-CGM % | 5 P JAVA @ ")</f>
        <v xml:space="preserve">| 1 P JAVA % | 3 L CPT % | 4 L PHP-CGM % | 5 P JAVA @ </v>
      </c>
      <c r="AN572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O572" s="4" t="str">
        <f ca="1">IFERROR(__xludf.DUMMYFUNCTION("""COMPUTED_VALUE"""),"| 1 P NS % | 3 L CPT % | 4 L JAVA % | 5 L INE % ")</f>
        <v xml:space="preserve">| 1 P NS % | 3 L CPT % | 4 L JAVA % | 5 L INE % </v>
      </c>
      <c r="AP572" s="4" t="str">
        <f ca="1">IFERROR(__xludf.DUMMYFUNCTION("""COMPUTED_VALUE"""),"| 1 P CPT % | 3 L JAVA % | 4 L NS % | 5 P PRO % ")</f>
        <v xml:space="preserve">| 1 P CPT % | 3 L JAVA % | 4 L NS % | 5 P PRO % </v>
      </c>
      <c r="AQ572" s="4" t="str">
        <f ca="1">IFERROR(__xludf.DUMMYFUNCTION("""COMPUTED_VALUE"""),"| 1 P PHP-CGM % | 3 L PHP-CGM % | 4 L NS @ | 5 P Python % ")</f>
        <v xml:space="preserve">| 1 P PHP-CGM % | 3 L PHP-CGM % | 4 L NS @ | 5 P Python % </v>
      </c>
      <c r="AR572" s="4" t="str">
        <f ca="1">IFERROR(__xludf.DUMMYFUNCTION("""COMPUTED_VALUE"""),"| 1 P JAVA % | 3 L CPT % | 5 P JAVA @ ")</f>
        <v xml:space="preserve">| 1 P JAVA % | 3 L CPT % | 5 P JAVA @ </v>
      </c>
      <c r="AS572" s="4" t="str">
        <f ca="1">IFERROR(__xludf.DUMMYFUNCTION("""COMPUTED_VALUE"""),"| 1 P NS % | 3 L CPT @ | 4 L JAVA % | 5 L INE @ ")</f>
        <v xml:space="preserve">| 1 P NS % | 3 L CPT @ | 4 L JAVA % | 5 L INE @ </v>
      </c>
      <c r="AT572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72" s="4" t="str">
        <f ca="1">IFERROR(__xludf.DUMMYFUNCTION("""COMPUTED_VALUE"""),"| 1 P PHP-CGM % | 3 L PHP-CGM % | 4 L NS % | 5 P Python % ")</f>
        <v xml:space="preserve">| 1 P PHP-CGM % | 3 L PHP-CGM % | 4 L NS % | 5 P Python % </v>
      </c>
      <c r="AV572" s="4" t="str">
        <f ca="1">IFERROR(__xludf.DUMMYFUNCTION("""COMPUTED_VALUE"""),"| 1 P JAVA @ | 3 L CPT @ | 4 L PHP-CGM @ | 5 P JAVA @ ")</f>
        <v xml:space="preserve">| 1 P JAVA @ | 3 L CPT @ | 4 L PHP-CGM @ | 5 P JAVA @ </v>
      </c>
      <c r="AW572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72" s="4" t="str">
        <f ca="1">IFERROR(__xludf.DUMMYFUNCTION("""COMPUTED_VALUE"""),"| 1 P NS @ | 3 L CPT @ | 4 L JAVA @ | 5 L INE @ ")</f>
        <v xml:space="preserve">| 1 P NS @ | 3 L CPT @ | 4 L JAVA @ | 5 L INE @ </v>
      </c>
      <c r="AY572" s="4" t="str">
        <f ca="1">IFERROR(__xludf.DUMMYFUNCTION("""COMPUTED_VALUE"""),"| 1 P CPT % | 3 L JAVA % | 4 L NS % | 5 P PRO % ")</f>
        <v xml:space="preserve">| 1 P CPT % | 3 L JAVA % | 4 L NS % | 5 P PRO % </v>
      </c>
      <c r="AZ572" s="4" t="str">
        <f ca="1">IFERROR(__xludf.DUMMYFUNCTION("""COMPUTED_VALUE"""),"| 1 P JAVA % | 3 L CPT % | 4 L PHP-CGM % | 5 P JAVA % ")</f>
        <v xml:space="preserve">| 1 P JAVA % | 3 L CPT % | 4 L PHP-CGM % | 5 P JAVA % </v>
      </c>
      <c r="BA572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B572" s="4" t="str">
        <f ca="1">IFERROR(__xludf.DUMMYFUNCTION("""COMPUTED_VALUE"""),"| 1 P NS @ | 3 L CPT @ | 4 L JAVA @ | 5 L INE @ ")</f>
        <v xml:space="preserve">| 1 P NS @ | 3 L CPT @ | 4 L JAVA @ | 5 L INE @ </v>
      </c>
      <c r="BC572" s="4" t="str">
        <f ca="1">IFERROR(__xludf.DUMMYFUNCTION("""COMPUTED_VALUE"""),"| 1 P CPT @ | 3 L JAVA @ | 4 L NS @ | 5 P PRO @ ")</f>
        <v xml:space="preserve">| 1 P CPT @ | 3 L JAVA @ | 4 L NS @ | 5 P PRO @ </v>
      </c>
      <c r="BD572" s="4" t="str">
        <f ca="1">IFERROR(__xludf.DUMMYFUNCTION("""COMPUTED_VALUE"""),"| 1 P PHP-CGM % | 4 L NS %  | 3 L PHP-CGM % | 5 P Python % ")</f>
        <v xml:space="preserve">| 1 P PHP-CGM % | 4 L NS %  | 3 L PHP-CGM % | 5 P Python % </v>
      </c>
      <c r="BE572" s="4" t="str">
        <f ca="1">IFERROR(__xludf.DUMMYFUNCTION("""COMPUTED_VALUE"""),"| 1 P JAVA % | 3 L CPT % | 4 L PHP-CGM % | 5 P JAVA % ")</f>
        <v xml:space="preserve">| 1 P JAVA % | 3 L CPT % | 4 L PHP-CGM % | 5 P JAVA % </v>
      </c>
      <c r="BF572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G572" s="4" t="str">
        <f ca="1">IFERROR(__xludf.DUMMYFUNCTION("""COMPUTED_VALUE"""),"| 3 L JAVA % | 4 L NS % | 5 P PRO % ")</f>
        <v xml:space="preserve">| 3 L JAVA % | 4 L NS % | 5 P PRO % </v>
      </c>
      <c r="BH572" s="4" t="str">
        <f ca="1">IFERROR(__xludf.DUMMYFUNCTION("""COMPUTED_VALUE"""),"| 1 P PHP-CGM % | 3 L PHP-CGM % | 4 L NS % | 5 P Python % ")</f>
        <v xml:space="preserve">| 1 P PHP-CGM % | 3 L PHP-CGM % | 4 L NS % | 5 P Python % </v>
      </c>
      <c r="BI572" s="4" t="str">
        <f ca="1">IFERROR(__xludf.DUMMYFUNCTION("""COMPUTED_VALUE"""),"| 1 P JAVA % | 3 L CPT % | 4 L PHP-CGM % | 5 P JAVA % ")</f>
        <v xml:space="preserve">| 1 P JAVA % | 3 L CPT % | 4 L PHP-CGM % | 5 P JAVA % </v>
      </c>
      <c r="BJ572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K572" s="4" t="str">
        <f ca="1">IFERROR(__xludf.DUMMYFUNCTION("""COMPUTED_VALUE"""),"| 1 P NS @ | 3 L CPT @ | 4 L JAVA @ | 5 L INE @ ")</f>
        <v xml:space="preserve">| 1 P NS @ | 3 L CPT @ | 4 L JAVA @ | 5 L INE @ </v>
      </c>
      <c r="BL572" s="4" t="str">
        <f ca="1">IFERROR(__xludf.DUMMYFUNCTION("""COMPUTED_VALUE"""),"| 1 P CPT % | 3 L JAVA % | 4 L NS % | 5 P PRO @ ")</f>
        <v xml:space="preserve">| 1 P CPT % | 3 L JAVA % | 4 L NS % | 5 P PRO @ </v>
      </c>
      <c r="BM572" s="4" t="str">
        <f ca="1">IFERROR(__xludf.DUMMYFUNCTION("""COMPUTED_VALUE"""),"| 1 P PHP-CGM % | 3 L PHP-CGM % | 4 L NS % | 5 P Python @ ")</f>
        <v xml:space="preserve">| 1 P PHP-CGM % | 3 L PHP-CGM % | 4 L NS % | 5 P Python @ </v>
      </c>
      <c r="BN572" s="4" t="str">
        <f ca="1">IFERROR(__xludf.DUMMYFUNCTION("""COMPUTED_VALUE"""),"| 1 P JAVA % | 3 L CPT % | 4 L PHP-CGM % ")</f>
        <v xml:space="preserve">| 1 P JAVA % | 3 L CPT % | 4 L PHP-CGM % </v>
      </c>
      <c r="BO572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P572" s="4" t="str">
        <f ca="1">IFERROR(__xludf.DUMMYFUNCTION("""COMPUTED_VALUE"""),"| 1 P NS % | 3 L CPT % | 4 L JAVA % | 5 L INE % ")</f>
        <v xml:space="preserve">| 1 P NS % | 3 L CPT % | 4 L JAVA % | 5 L INE % </v>
      </c>
      <c r="BQ572" s="4" t="str">
        <f ca="1">IFERROR(__xludf.DUMMYFUNCTION("""COMPUTED_VALUE"""),"| 4 L NS % ")</f>
        <v xml:space="preserve">| 4 L NS % </v>
      </c>
      <c r="BR572" s="4"/>
      <c r="BS572" s="4"/>
      <c r="BT572" s="4" t="str">
        <f ca="1">IFERROR(__xludf.DUMMYFUNCTION("""COMPUTED_VALUE"""),"| 1 P NS % | 3 L CPT % | 4 L JAVA % ")</f>
        <v xml:space="preserve">| 1 P NS % | 3 L CPT % | 4 L JAVA % </v>
      </c>
      <c r="BU572" s="4" t="str">
        <f ca="1">IFERROR(__xludf.DUMMYFUNCTION("""COMPUTED_VALUE"""),"| 1 P CPT % | 4 L NS @ | 3 L JAVA @ ")</f>
        <v xml:space="preserve">| 1 P CPT % | 4 L NS @ | 3 L JAVA @ </v>
      </c>
      <c r="BV572" s="4" t="str">
        <f ca="1">IFERROR(__xludf.DUMMYFUNCTION("""COMPUTED_VALUE"""),"| 1 P NS % | 3 L CPT % | 4 L JAVA % ")</f>
        <v xml:space="preserve">| 1 P NS % | 3 L CPT % | 4 L JAVA % </v>
      </c>
      <c r="BW572" s="4" t="str">
        <f ca="1">IFERROR(__xludf.DUMMYFUNCTION("""COMPUTED_VALUE"""),"| 1 P CPT % | 3 L JAVA % | 4 L NS % ")</f>
        <v xml:space="preserve">| 1 P CPT % | 3 L JAVA % | 4 L NS % </v>
      </c>
      <c r="BX572" s="4" t="str">
        <f ca="1">IFERROR(__xludf.DUMMYFUNCTION("""COMPUTED_VALUE"""),"| 1 P PHP-CGM @ | 3 L PHP-CGM % | 4 L NS % | 5 P Python % ")</f>
        <v xml:space="preserve">| 1 P PHP-CGM @ | 3 L PHP-CGM % | 4 L NS % | 5 P Python % </v>
      </c>
      <c r="BY572" s="4" t="str">
        <f ca="1">IFERROR(__xludf.DUMMYFUNCTION("""COMPUTED_VALUE"""),"| 1 P JAVA % | 3 L CPT % | 4 L PHP-CGM % | 5 P JAVA @ ")</f>
        <v xml:space="preserve">| 1 P JAVA % | 3 L CPT % | 4 L PHP-CGM % | 5 P JAVA @ </v>
      </c>
      <c r="BZ572" s="4" t="str">
        <f ca="1">IFERROR(__xludf.DUMMYFUNCTION("""COMPUTED_VALUE"""),"| 1 P Python % | 3 L PHP-CGM % | 4 L JAVA @ | 5 L NS % | 6 L CPT % ")</f>
        <v xml:space="preserve">| 1 P Python % | 3 L PHP-CGM % | 4 L JAVA @ | 5 L NS % | 6 L CPT % </v>
      </c>
      <c r="CA572" s="4" t="str">
        <f ca="1">IFERROR(__xludf.DUMMYFUNCTION("""COMPUTED_VALUE"""),"| 1 P NS % | 3 L CPT % | 4 L JAVA % | 5 L INE % ")</f>
        <v xml:space="preserve">| 1 P NS % | 3 L CPT % | 4 L JAVA % | 5 L INE % </v>
      </c>
      <c r="CB572" s="4" t="str">
        <f ca="1">IFERROR(__xludf.DUMMYFUNCTION("""COMPUTED_VALUE"""),"| 1 P CPT % | 3 L JAVA % | 4 L NS % | 5 P PRO @ ")</f>
        <v xml:space="preserve">| 1 P CPT % | 3 L JAVA % | 4 L NS % | 5 P PRO @ </v>
      </c>
      <c r="CC572" s="4" t="str">
        <f ca="1">IFERROR(__xludf.DUMMYFUNCTION("""COMPUTED_VALUE"""),"| 1 P PHP-CGM % | 3 L PHP-CGM % | 4 L NS % | 5 P Python % ")</f>
        <v xml:space="preserve">| 1 P PHP-CGM % | 3 L PHP-CGM % | 4 L NS % | 5 P Python % </v>
      </c>
      <c r="CD572" s="4" t="str">
        <f ca="1">IFERROR(__xludf.DUMMYFUNCTION("""COMPUTED_VALUE"""),"| 1 P JAVA % | 3 L CPT % | 4 L PHP-CGM % ")</f>
        <v xml:space="preserve">| 1 P JAVA % | 3 L CPT % | 4 L PHP-CGM % </v>
      </c>
      <c r="CE572" s="4" t="str">
        <f ca="1">IFERROR(__xludf.DUMMYFUNCTION("""COMPUTED_VALUE"""),"| 1 P Python % | 3 L PHP-CGM @ | 4 L JAVA @ | 5 L NS @ | 6 L CPT @ ")</f>
        <v xml:space="preserve">| 1 P Python % | 3 L PHP-CGM @ | 4 L JAVA @ | 5 L NS @ | 6 L CPT @ </v>
      </c>
      <c r="CF572" s="4" t="str">
        <f ca="1">IFERROR(__xludf.DUMMYFUNCTION("""COMPUTED_VALUE"""),"| 1 P NS % | 3 L CPT % | 4 L JAVA % | 5 L INE @ ")</f>
        <v xml:space="preserve">| 1 P NS % | 3 L CPT % | 4 L JAVA % | 5 L INE @ </v>
      </c>
      <c r="CG572" s="4" t="str">
        <f ca="1">IFERROR(__xludf.DUMMYFUNCTION("""COMPUTED_VALUE"""),"| 1 P CPT % | 4 L NS @ ")</f>
        <v xml:space="preserve">| 1 P CPT % | 4 L NS @ </v>
      </c>
      <c r="CH572" s="4" t="str">
        <f ca="1">IFERROR(__xludf.DUMMYFUNCTION("""COMPUTED_VALUE"""),"| 1 P PHP-CGM % | 3 L PHP-CGM @ | 4 L NS @ ")</f>
        <v xml:space="preserve">| 1 P PHP-CGM % | 3 L PHP-CGM @ | 4 L NS @ </v>
      </c>
      <c r="CI572" s="4"/>
      <c r="CJ572" s="4" t="str">
        <f ca="1">IFERROR(__xludf.DUMMYFUNCTION("""COMPUTED_VALUE"""),"| 4 L JAVA % ")</f>
        <v xml:space="preserve">| 4 L JAVA % </v>
      </c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</row>
    <row r="573" spans="1:102" ht="12.5" x14ac:dyDescent="0.25">
      <c r="A573" s="3">
        <f ca="1">IFERROR(__xludf.DUMMYFUNCTION("""COMPUTED_VALUE"""),4)</f>
        <v>4</v>
      </c>
      <c r="B573" s="3" t="str">
        <f ca="1">IFERROR(__xludf.DUMMYFUNCTION("""COMPUTED_VALUE"""),"ITC")</f>
        <v>ITC</v>
      </c>
      <c r="C573" s="32" t="str">
        <f ca="1">IFERROR(__xludf.DUMMYFUNCTION("""COMPUTED_VALUE"""),"23171371181")</f>
        <v>23171371181</v>
      </c>
      <c r="D573" s="4" t="str">
        <f ca="1">IFERROR(__xludf.DUMMYFUNCTION("""COMPUTED_VALUE"""),"KUDZAI GRACIOUS")</f>
        <v>KUDZAI GRACIOUS</v>
      </c>
      <c r="E573" s="3" t="str">
        <f ca="1">IFERROR(__xludf.DUMMYFUNCTION("""COMPUTED_VALUE"""),"SDP&amp;KKP - Mor")</f>
        <v>SDP&amp;KKP - Mor</v>
      </c>
      <c r="F573" s="3">
        <f ca="1">IFERROR(__xludf.DUMMYFUNCTION("""COMPUTED_VALUE"""),9687465737)</f>
        <v>9687465737</v>
      </c>
      <c r="G573" s="3"/>
      <c r="H573" s="33">
        <f ca="1">IFERROR(__xludf.DUMMYFUNCTION("""COMPUTED_VALUE"""),0.257383966244725)</f>
        <v>0.25738396624472498</v>
      </c>
      <c r="I573" s="25">
        <f ca="1">IFERROR(__xludf.DUMMYFUNCTION("""COMPUTED_VALUE"""),0.194444444444444)</f>
        <v>0.194444444444444</v>
      </c>
      <c r="J573" s="25">
        <f ca="1">IFERROR(__xludf.DUMMYFUNCTION("""COMPUTED_VALUE"""),0.5)</f>
        <v>0.5</v>
      </c>
      <c r="K573" s="25">
        <f ca="1">IFERROR(__xludf.DUMMYFUNCTION("""COMPUTED_VALUE"""),0.333333333333333)</f>
        <v>0.33333333333333298</v>
      </c>
      <c r="L573" s="25">
        <f ca="1">IFERROR(__xludf.DUMMYFUNCTION("""COMPUTED_VALUE"""),0.142857142857142)</f>
        <v>0.14285714285714199</v>
      </c>
      <c r="M573" s="25">
        <f ca="1">IFERROR(__xludf.DUMMYFUNCTION("""COMPUTED_VALUE"""),0.25)</f>
        <v>0.25</v>
      </c>
      <c r="N573" s="25">
        <f ca="1">IFERROR(__xludf.DUMMYFUNCTION("""COMPUTED_VALUE"""),0.2)</f>
        <v>0.2</v>
      </c>
      <c r="O573" s="25">
        <f ca="1">IFERROR(__xludf.DUMMYFUNCTION("""COMPUTED_VALUE"""),0.324324324324324)</f>
        <v>0.32432432432432401</v>
      </c>
      <c r="P573" s="25">
        <f ca="1">IFERROR(__xludf.DUMMYFUNCTION("""COMPUTED_VALUE"""),0.136363636363636)</f>
        <v>0.13636363636363599</v>
      </c>
      <c r="Q573" s="25">
        <f ca="1">IFERROR(__xludf.DUMMYFUNCTION("""COMPUTED_VALUE"""),0)</f>
        <v>0</v>
      </c>
      <c r="R573" s="25">
        <f ca="1">IFERROR(__xludf.DUMMYFUNCTION("""COMPUTED_VALUE"""),0.263157894736842)</f>
        <v>0.26315789473684198</v>
      </c>
      <c r="S573" s="25">
        <f ca="1">IFERROR(__xludf.DUMMYFUNCTION("""COMPUTED_VALUE"""),0)</f>
        <v>0</v>
      </c>
      <c r="T573" s="25">
        <f ca="1">IFERROR(__xludf.DUMMYFUNCTION("""COMPUTED_VALUE"""),0.272727272727272)</f>
        <v>0.27272727272727199</v>
      </c>
      <c r="U573" s="25">
        <f ca="1">IFERROR(__xludf.DUMMYFUNCTION("""COMPUTED_VALUE"""),0.125)</f>
        <v>0.125</v>
      </c>
      <c r="V573" s="25">
        <f ca="1">IFERROR(__xludf.DUMMYFUNCTION("""COMPUTED_VALUE"""),0)</f>
        <v>0</v>
      </c>
      <c r="W573" s="4"/>
      <c r="X573" s="4" t="str">
        <f ca="1">IFERROR(__xludf.DUMMYFUNCTION("""COMPUTED_VALUE"""),"| 1 P NS @ | 3 L CPT @ | 4 L JAVA @ ")</f>
        <v xml:space="preserve">| 1 P NS @ | 3 L CPT @ | 4 L JAVA @ </v>
      </c>
      <c r="Y573" s="4" t="str">
        <f ca="1">IFERROR(__xludf.DUMMYFUNCTION("""COMPUTED_VALUE"""),"| 1 P CPT % | 3 L JAVA % | 4 L NS % | 5 P PRO @ ")</f>
        <v xml:space="preserve">| 1 P CPT % | 3 L JAVA % | 4 L NS % | 5 P PRO @ </v>
      </c>
      <c r="Z573" s="4" t="str">
        <f ca="1">IFERROR(__xludf.DUMMYFUNCTION("""COMPUTED_VALUE"""),"| 3 L PHP-CGM % | 4 L NS @ | 5 P Python @ ")</f>
        <v xml:space="preserve">| 3 L PHP-CGM % | 4 L NS @ | 5 P Python @ </v>
      </c>
      <c r="AA573" s="4" t="str">
        <f ca="1">IFERROR(__xludf.DUMMYFUNCTION("""COMPUTED_VALUE"""),"| 1 P NS @ | 3 L CPT @ | 5 P JAVA @ ")</f>
        <v xml:space="preserve">| 1 P NS @ | 3 L CPT @ | 5 P JAVA @ </v>
      </c>
      <c r="AB573" s="4" t="str">
        <f ca="1">IFERROR(__xludf.DUMMYFUNCTION("""COMPUTED_VALUE"""),"| 1 P PRO @ | 3 L PHP-CGM @ | 4 L JAVA @ | 5 L CPT @ | 6 L NS @ ")</f>
        <v xml:space="preserve">| 1 P PRO @ | 3 L PHP-CGM @ | 4 L JAVA @ | 5 L CPT @ | 6 L NS @ </v>
      </c>
      <c r="AC573" s="4" t="str">
        <f ca="1">IFERROR(__xludf.DUMMYFUNCTION("""COMPUTED_VALUE"""),"| 1 P NS @ | 3 L CPT @ | 4 L JAVA @ ")</f>
        <v xml:space="preserve">| 1 P NS @ | 3 L CPT @ | 4 L JAVA @ </v>
      </c>
      <c r="AD573" s="4" t="str">
        <f ca="1">IFERROR(__xludf.DUMMYFUNCTION("""COMPUTED_VALUE"""),"| 1 P CPT % | 3 L JAVA % | 4 L NS % | 5 P PRO @ ")</f>
        <v xml:space="preserve">| 1 P CPT % | 3 L JAVA % | 4 L NS % | 5 P PRO @ </v>
      </c>
      <c r="AE573" s="4" t="str">
        <f ca="1">IFERROR(__xludf.DUMMYFUNCTION("""COMPUTED_VALUE"""),"| 1 P PHP-CGM @ | 3 L PHP-CGM % | 4 L NS % ")</f>
        <v xml:space="preserve">| 1 P PHP-CGM @ | 3 L PHP-CGM % | 4 L NS % </v>
      </c>
      <c r="AF573" s="4" t="str">
        <f ca="1">IFERROR(__xludf.DUMMYFUNCTION("""COMPUTED_VALUE"""),"| 1 P JAVA @ | 3 L CPT @ | 4 L PHP-CGM @ | 5 P JAVA @ ")</f>
        <v xml:space="preserve">| 1 P JAVA @ | 3 L CPT @ | 4 L PHP-CGM @ | 5 P JAVA @ </v>
      </c>
      <c r="AG573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H573" s="4" t="str">
        <f ca="1">IFERROR(__xludf.DUMMYFUNCTION("""COMPUTED_VALUE"""),"| 1 P JAVA @ | 3 L CPT @ | 4 L PHP-CGM @ | 5 P JAVA @ ")</f>
        <v xml:space="preserve">| 1 P JAVA @ | 3 L CPT @ | 4 L PHP-CGM @ | 5 P JAVA @ </v>
      </c>
      <c r="AI573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J573" s="4" t="str">
        <f ca="1">IFERROR(__xludf.DUMMYFUNCTION("""COMPUTED_VALUE"""),"| 1 P NS % | 3 L CPT % | 4 L JAVA % ")</f>
        <v xml:space="preserve">| 1 P NS % | 3 L CPT % | 4 L JAVA % </v>
      </c>
      <c r="AK573" s="4" t="str">
        <f ca="1">IFERROR(__xludf.DUMMYFUNCTION("""COMPUTED_VALUE"""),"| 1 P CPT % | 4 L NS % | 3 L JAVA % | 5 P PRO % ")</f>
        <v xml:space="preserve">| 1 P CPT % | 4 L NS % | 3 L JAVA % | 5 P PRO % </v>
      </c>
      <c r="AL573" s="4" t="str">
        <f ca="1">IFERROR(__xludf.DUMMYFUNCTION("""COMPUTED_VALUE"""),"| 1 P PHP-CGM % | 3 L PHP-CGM % | 4 L NS % | 5 P Python % ")</f>
        <v xml:space="preserve">| 1 P PHP-CGM % | 3 L PHP-CGM % | 4 L NS % | 5 P Python % </v>
      </c>
      <c r="AM573" s="4" t="str">
        <f ca="1">IFERROR(__xludf.DUMMYFUNCTION("""COMPUTED_VALUE"""),"| 1 P JAVA % | 3 L CPT % | 4 L PHP-CGM % | 5 P JAVA % ")</f>
        <v xml:space="preserve">| 1 P JAVA % | 3 L CPT % | 4 L PHP-CGM % | 5 P JAVA % </v>
      </c>
      <c r="AN573" s="4" t="str">
        <f ca="1">IFERROR(__xludf.DUMMYFUNCTION("""COMPUTED_VALUE"""),"| 1 P Python % | 3 L PHP-CGM % | 4 L JAVA % | 5 L CPT @ | 6 L NS % ")</f>
        <v xml:space="preserve">| 1 P Python % | 3 L PHP-CGM % | 4 L JAVA % | 5 L CPT @ | 6 L NS % </v>
      </c>
      <c r="AO573" s="4" t="str">
        <f ca="1">IFERROR(__xludf.DUMMYFUNCTION("""COMPUTED_VALUE"""),"| 1 P NS % | 3 L CPT % | 4 L JAVA % | 5 L INE % ")</f>
        <v xml:space="preserve">| 1 P NS % | 3 L CPT % | 4 L JAVA % | 5 L INE % </v>
      </c>
      <c r="AP573" s="4" t="str">
        <f ca="1">IFERROR(__xludf.DUMMYFUNCTION("""COMPUTED_VALUE"""),"| 1 P CPT % | 3 L JAVA % | 4 L NS % | 5 P PRO % ")</f>
        <v xml:space="preserve">| 1 P CPT % | 3 L JAVA % | 4 L NS % | 5 P PRO % </v>
      </c>
      <c r="AQ573" s="4" t="str">
        <f ca="1">IFERROR(__xludf.DUMMYFUNCTION("""COMPUTED_VALUE"""),"| 1 P PHP-CGM @ | 3 L PHP-CGM @ | 4 L NS @ | 5 P Python @ ")</f>
        <v xml:space="preserve">| 1 P PHP-CGM @ | 3 L PHP-CGM @ | 4 L NS @ | 5 P Python @ </v>
      </c>
      <c r="AR573" s="4" t="str">
        <f ca="1">IFERROR(__xludf.DUMMYFUNCTION("""COMPUTED_VALUE"""),"| 1 P JAVA % | 3 L CPT % | 5 P JAVA @ ")</f>
        <v xml:space="preserve">| 1 P JAVA % | 3 L CPT % | 5 P JAVA @ </v>
      </c>
      <c r="AS573" s="4" t="str">
        <f ca="1">IFERROR(__xludf.DUMMYFUNCTION("""COMPUTED_VALUE"""),"| 1 P NS @ | 3 L CPT @ | 4 L JAVA @ | 5 L INE @ ")</f>
        <v xml:space="preserve">| 1 P NS @ | 3 L CPT @ | 4 L JAVA @ | 5 L INE @ </v>
      </c>
      <c r="AT573" s="4" t="str">
        <f ca="1">IFERROR(__xludf.DUMMYFUNCTION("""COMPUTED_VALUE"""),"| 1 P CPT % | 3 L JAVA % | 1 P JAVA @ | 4 L NS % | 5 P PRO @ ")</f>
        <v xml:space="preserve">| 1 P CPT % | 3 L JAVA % | 1 P JAVA @ | 4 L NS % | 5 P PRO @ </v>
      </c>
      <c r="AU573" s="4" t="str">
        <f ca="1">IFERROR(__xludf.DUMMYFUNCTION("""COMPUTED_VALUE"""),"| 1 P PHP-CGM % | 3 L PHP-CGM % | 4 L NS % | 5 P Python % ")</f>
        <v xml:space="preserve">| 1 P PHP-CGM % | 3 L PHP-CGM % | 4 L NS % | 5 P Python % </v>
      </c>
      <c r="AV573" s="4" t="str">
        <f ca="1">IFERROR(__xludf.DUMMYFUNCTION("""COMPUTED_VALUE"""),"| 1 P JAVA @ | 3 L CPT @ | 4 L PHP-CGM @ | 5 P JAVA @ ")</f>
        <v xml:space="preserve">| 1 P JAVA @ | 3 L CPT @ | 4 L PHP-CGM @ | 5 P JAVA @ </v>
      </c>
      <c r="AW573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73" s="4" t="str">
        <f ca="1">IFERROR(__xludf.DUMMYFUNCTION("""COMPUTED_VALUE"""),"| 1 P NS @ | 3 L CPT @ | 4 L JAVA @ | 5 L INE @ ")</f>
        <v xml:space="preserve">| 1 P NS @ | 3 L CPT @ | 4 L JAVA @ | 5 L INE @ </v>
      </c>
      <c r="AY573" s="4" t="str">
        <f ca="1">IFERROR(__xludf.DUMMYFUNCTION("""COMPUTED_VALUE"""),"| 1 P CPT @ | 3 L JAVA @ | 4 L NS @ | 5 P PRO @ ")</f>
        <v xml:space="preserve">| 1 P CPT @ | 3 L JAVA @ | 4 L NS @ | 5 P PRO @ </v>
      </c>
      <c r="AZ573" s="4" t="str">
        <f ca="1">IFERROR(__xludf.DUMMYFUNCTION("""COMPUTED_VALUE"""),"| 1 P JAVA @ | 3 L CPT @ | 4 L PHP-CGM @ | 5 P JAVA @ ")</f>
        <v xml:space="preserve">| 1 P JAVA @ | 3 L CPT @ | 4 L PHP-CGM @ | 5 P JAVA @ </v>
      </c>
      <c r="BA57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B573" s="4" t="str">
        <f ca="1">IFERROR(__xludf.DUMMYFUNCTION("""COMPUTED_VALUE"""),"| 1 P NS @ | 3 L CPT @ | 4 L JAVA @ | 5 L INE @ ")</f>
        <v xml:space="preserve">| 1 P NS @ | 3 L CPT @ | 4 L JAVA @ | 5 L INE @ </v>
      </c>
      <c r="BC573" s="4" t="str">
        <f ca="1">IFERROR(__xludf.DUMMYFUNCTION("""COMPUTED_VALUE"""),"| 1 P CPT % | 3 L JAVA % | 4 L NS % | 5 P PRO % ")</f>
        <v xml:space="preserve">| 1 P CPT % | 3 L JAVA % | 4 L NS % | 5 P PRO % </v>
      </c>
      <c r="BD573" s="4" t="str">
        <f ca="1">IFERROR(__xludf.DUMMYFUNCTION("""COMPUTED_VALUE"""),"| 1 P PHP-CGM @ | 4 L NS @  | 3 L PHP-CGM @ | 5 P Python @ ")</f>
        <v xml:space="preserve">| 1 P PHP-CGM @ | 4 L NS @  | 3 L PHP-CGM @ | 5 P Python @ </v>
      </c>
      <c r="BE573" s="4" t="str">
        <f ca="1">IFERROR(__xludf.DUMMYFUNCTION("""COMPUTED_VALUE"""),"| 1 P JAVA @ | 3 L CPT @ | 4 L PHP-CGM @ | 5 P JAVA @ ")</f>
        <v xml:space="preserve">| 1 P JAVA @ | 3 L CPT @ | 4 L PHP-CGM @ | 5 P JAVA @ </v>
      </c>
      <c r="BF57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G573" s="4" t="str">
        <f ca="1">IFERROR(__xludf.DUMMYFUNCTION("""COMPUTED_VALUE"""),"| 3 L JAVA @ | 4 L NS @ | 5 P PRO @ ")</f>
        <v xml:space="preserve">| 3 L JAVA @ | 4 L NS @ | 5 P PRO @ </v>
      </c>
      <c r="BH573" s="4" t="str">
        <f ca="1">IFERROR(__xludf.DUMMYFUNCTION("""COMPUTED_VALUE"""),"| 1 P PHP-CGM @ | 3 L PHP-CGM @ | 4 L NS @ | 5 P Python @ ")</f>
        <v xml:space="preserve">| 1 P PHP-CGM @ | 3 L PHP-CGM @ | 4 L NS @ | 5 P Python @ </v>
      </c>
      <c r="BI573" s="4" t="str">
        <f ca="1">IFERROR(__xludf.DUMMYFUNCTION("""COMPUTED_VALUE"""),"| 1 P JAVA @ | 3 L CPT @ | 4 L PHP-CGM @ | 5 P JAVA @ ")</f>
        <v xml:space="preserve">| 1 P JAVA @ | 3 L CPT @ | 4 L PHP-CGM @ | 5 P JAVA @ </v>
      </c>
      <c r="BJ57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K573" s="4" t="str">
        <f ca="1">IFERROR(__xludf.DUMMYFUNCTION("""COMPUTED_VALUE"""),"| 1 P NS @ | 3 L CPT @ | 4 L JAVA @ | 5 L INE @ ")</f>
        <v xml:space="preserve">| 1 P NS @ | 3 L CPT @ | 4 L JAVA @ | 5 L INE @ </v>
      </c>
      <c r="BL573" s="4" t="str">
        <f ca="1">IFERROR(__xludf.DUMMYFUNCTION("""COMPUTED_VALUE"""),"| 1 P CPT @ | 3 L JAVA @ | 4 L NS @ | 5 P PRO @ ")</f>
        <v xml:space="preserve">| 1 P CPT @ | 3 L JAVA @ | 4 L NS @ | 5 P PRO @ </v>
      </c>
      <c r="BM573" s="4" t="str">
        <f ca="1">IFERROR(__xludf.DUMMYFUNCTION("""COMPUTED_VALUE"""),"| 1 P PHP-CGM @ | 3 L PHP-CGM @ | 4 L NS @ | 5 P Python @ ")</f>
        <v xml:space="preserve">| 1 P PHP-CGM @ | 3 L PHP-CGM @ | 4 L NS @ | 5 P Python @ </v>
      </c>
      <c r="BN573" s="4" t="str">
        <f ca="1">IFERROR(__xludf.DUMMYFUNCTION("""COMPUTED_VALUE"""),"| 1 P JAVA @ | 3 L CPT @ | 4 L PHP-CGM @ ")</f>
        <v xml:space="preserve">| 1 P JAVA @ | 3 L CPT @ | 4 L PHP-CGM @ </v>
      </c>
      <c r="BO573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73" s="4" t="str">
        <f ca="1">IFERROR(__xludf.DUMMYFUNCTION("""COMPUTED_VALUE"""),"| 1 P NS @ | 3 L CPT @ | 4 L JAVA @ | 5 L INE @ ")</f>
        <v xml:space="preserve">| 1 P NS @ | 3 L CPT @ | 4 L JAVA @ | 5 L INE @ </v>
      </c>
      <c r="BQ573" s="4" t="str">
        <f ca="1">IFERROR(__xludf.DUMMYFUNCTION("""COMPUTED_VALUE"""),"| 4 L NS @ ")</f>
        <v xml:space="preserve">| 4 L NS @ </v>
      </c>
      <c r="BR573" s="4"/>
      <c r="BS573" s="4"/>
      <c r="BT573" s="4" t="str">
        <f ca="1">IFERROR(__xludf.DUMMYFUNCTION("""COMPUTED_VALUE"""),"| 1 P NS @ | 3 L CPT @ | 4 L JAVA @ ")</f>
        <v xml:space="preserve">| 1 P NS @ | 3 L CPT @ | 4 L JAVA @ </v>
      </c>
      <c r="BU573" s="4" t="str">
        <f ca="1">IFERROR(__xludf.DUMMYFUNCTION("""COMPUTED_VALUE"""),"| 1 P CPT @ | 4 L NS @ | 3 L JAVA @ ")</f>
        <v xml:space="preserve">| 1 P CPT @ | 4 L NS @ | 3 L JAVA @ </v>
      </c>
      <c r="BV573" s="4" t="str">
        <f ca="1">IFERROR(__xludf.DUMMYFUNCTION("""COMPUTED_VALUE"""),"| 1 P NS @ | 3 L CPT @ | 4 L JAVA @ ")</f>
        <v xml:space="preserve">| 1 P NS @ | 3 L CPT @ | 4 L JAVA @ </v>
      </c>
      <c r="BW573" s="4" t="str">
        <f ca="1">IFERROR(__xludf.DUMMYFUNCTION("""COMPUTED_VALUE"""),"| 1 P CPT @ | 3 L JAVA @ | 4 L NS @ ")</f>
        <v xml:space="preserve">| 1 P CPT @ | 3 L JAVA @ | 4 L NS @ </v>
      </c>
      <c r="BX573" s="4" t="str">
        <f ca="1">IFERROR(__xludf.DUMMYFUNCTION("""COMPUTED_VALUE"""),"| 1 P PHP-CGM @ | 3 L PHP-CGM @ | 4 L NS @ | 5 P Python @ ")</f>
        <v xml:space="preserve">| 1 P PHP-CGM @ | 3 L PHP-CGM @ | 4 L NS @ | 5 P Python @ </v>
      </c>
      <c r="BY573" s="4" t="str">
        <f ca="1">IFERROR(__xludf.DUMMYFUNCTION("""COMPUTED_VALUE"""),"| 1 P JAVA @ | 3 L CPT @ | 4 L PHP-CGM @ | 5 P JAVA @ ")</f>
        <v xml:space="preserve">| 1 P JAVA @ | 3 L CPT @ | 4 L PHP-CGM @ | 5 P JAVA @ </v>
      </c>
      <c r="BZ57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73" s="4" t="str">
        <f ca="1">IFERROR(__xludf.DUMMYFUNCTION("""COMPUTED_VALUE"""),"| 1 P NS @ | 3 L CPT @ | 4 L JAVA @ | 5 L INE @ ")</f>
        <v xml:space="preserve">| 1 P NS @ | 3 L CPT @ | 4 L JAVA @ | 5 L INE @ </v>
      </c>
      <c r="CB573" s="4" t="str">
        <f ca="1">IFERROR(__xludf.DUMMYFUNCTION("""COMPUTED_VALUE"""),"| 1 P CPT @ | 3 L JAVA @ | 4 L NS @ | 5 P PRO @ ")</f>
        <v xml:space="preserve">| 1 P CPT @ | 3 L JAVA @ | 4 L NS @ | 5 P PRO @ </v>
      </c>
      <c r="CC573" s="4" t="str">
        <f ca="1">IFERROR(__xludf.DUMMYFUNCTION("""COMPUTED_VALUE"""),"| 1 P PHP-CGM @ | 3 L PHP-CGM @ | 4 L NS @ | 5 P Python @ ")</f>
        <v xml:space="preserve">| 1 P PHP-CGM @ | 3 L PHP-CGM @ | 4 L NS @ | 5 P Python @ </v>
      </c>
      <c r="CD573" s="4" t="str">
        <f ca="1">IFERROR(__xludf.DUMMYFUNCTION("""COMPUTED_VALUE"""),"| 1 P JAVA @ | 3 L CPT @ | 4 L PHP-CGM @ ")</f>
        <v xml:space="preserve">| 1 P JAVA @ | 3 L CPT @ | 4 L PHP-CGM @ </v>
      </c>
      <c r="CE573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73" s="4" t="str">
        <f ca="1">IFERROR(__xludf.DUMMYFUNCTION("""COMPUTED_VALUE"""),"| 1 P NS @ | 3 L CPT @ | 4 L JAVA @ | 5 L INE @ ")</f>
        <v xml:space="preserve">| 1 P NS @ | 3 L CPT @ | 4 L JAVA @ | 5 L INE @ </v>
      </c>
      <c r="CG573" s="4" t="str">
        <f ca="1">IFERROR(__xludf.DUMMYFUNCTION("""COMPUTED_VALUE"""),"| 1 P CPT @ | 4 L NS @ ")</f>
        <v xml:space="preserve">| 1 P CPT @ | 4 L NS @ </v>
      </c>
      <c r="CH573" s="4" t="str">
        <f ca="1">IFERROR(__xludf.DUMMYFUNCTION("""COMPUTED_VALUE"""),"| 1 P PHP-CGM @ | 3 L PHP-CGM @ | 4 L NS @ ")</f>
        <v xml:space="preserve">| 1 P PHP-CGM @ | 3 L PHP-CGM @ | 4 L NS @ </v>
      </c>
      <c r="CI573" s="4"/>
      <c r="CJ573" s="4" t="str">
        <f ca="1">IFERROR(__xludf.DUMMYFUNCTION("""COMPUTED_VALUE"""),"| 4 L JAVA % ")</f>
        <v xml:space="preserve">| 4 L JAVA % </v>
      </c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</row>
    <row r="574" spans="1:102" ht="12.5" x14ac:dyDescent="0.25">
      <c r="A574" s="3">
        <f ca="1">IFERROR(__xludf.DUMMYFUNCTION("""COMPUTED_VALUE"""),4)</f>
        <v>4</v>
      </c>
      <c r="B574" s="3" t="str">
        <f ca="1">IFERROR(__xludf.DUMMYFUNCTION("""COMPUTED_VALUE"""),"ITC")</f>
        <v>ITC</v>
      </c>
      <c r="C574" s="32" t="str">
        <f ca="1">IFERROR(__xludf.DUMMYFUNCTION("""COMPUTED_VALUE"""),"24171372001")</f>
        <v>24171372001</v>
      </c>
      <c r="D574" s="4" t="str">
        <f ca="1">IFERROR(__xludf.DUMMYFUNCTION("""COMPUTED_VALUE"""),"PRAJAPATI DIVY ALPESHKUMAR")</f>
        <v>PRAJAPATI DIVY ALPESHKUMAR</v>
      </c>
      <c r="E574" s="3" t="str">
        <f ca="1">IFERROR(__xludf.DUMMYFUNCTION("""COMPUTED_VALUE"""),"SDP&amp;KKP - Mor")</f>
        <v>SDP&amp;KKP - Mor</v>
      </c>
      <c r="F574" s="3">
        <f ca="1">IFERROR(__xludf.DUMMYFUNCTION("""COMPUTED_VALUE"""),6359976509)</f>
        <v>6359976509</v>
      </c>
      <c r="G574" s="3">
        <f ca="1">IFERROR(__xludf.DUMMYFUNCTION("""COMPUTED_VALUE"""),8140025731)</f>
        <v>8140025731</v>
      </c>
      <c r="H574" s="33">
        <f ca="1">IFERROR(__xludf.DUMMYFUNCTION("""COMPUTED_VALUE"""),0.567226890756302)</f>
        <v>0.56722689075630195</v>
      </c>
      <c r="I574" s="25">
        <f ca="1">IFERROR(__xludf.DUMMYFUNCTION("""COMPUTED_VALUE"""),0.5)</f>
        <v>0.5</v>
      </c>
      <c r="J574" s="25">
        <f ca="1">IFERROR(__xludf.DUMMYFUNCTION("""COMPUTED_VALUE"""),0.538461538461538)</f>
        <v>0.53846153846153799</v>
      </c>
      <c r="K574" s="25">
        <f ca="1">IFERROR(__xludf.DUMMYFUNCTION("""COMPUTED_VALUE"""),0.611111111111111)</f>
        <v>0.61111111111111105</v>
      </c>
      <c r="L574" s="25">
        <f ca="1">IFERROR(__xludf.DUMMYFUNCTION("""COMPUTED_VALUE"""),0.5)</f>
        <v>0.5</v>
      </c>
      <c r="M574" s="25">
        <f ca="1">IFERROR(__xludf.DUMMYFUNCTION("""COMPUTED_VALUE"""),0.59375)</f>
        <v>0.59375</v>
      </c>
      <c r="N574" s="25">
        <f ca="1">IFERROR(__xludf.DUMMYFUNCTION("""COMPUTED_VALUE"""),0.8)</f>
        <v>0.8</v>
      </c>
      <c r="O574" s="25">
        <f ca="1">IFERROR(__xludf.DUMMYFUNCTION("""COMPUTED_VALUE"""),0.567567567567567)</f>
        <v>0.56756756756756699</v>
      </c>
      <c r="P574" s="25">
        <f ca="1">IFERROR(__xludf.DUMMYFUNCTION("""COMPUTED_VALUE"""),0.608695652173913)</f>
        <v>0.60869565217391297</v>
      </c>
      <c r="Q574" s="25">
        <f ca="1">IFERROR(__xludf.DUMMYFUNCTION("""COMPUTED_VALUE"""),0)</f>
        <v>0</v>
      </c>
      <c r="R574" s="25">
        <f ca="1">IFERROR(__xludf.DUMMYFUNCTION("""COMPUTED_VALUE"""),0.473684210526315)</f>
        <v>0.47368421052631499</v>
      </c>
      <c r="S574" s="25">
        <f ca="1">IFERROR(__xludf.DUMMYFUNCTION("""COMPUTED_VALUE"""),0)</f>
        <v>0</v>
      </c>
      <c r="T574" s="25">
        <f ca="1">IFERROR(__xludf.DUMMYFUNCTION("""COMPUTED_VALUE"""),0.7)</f>
        <v>0.7</v>
      </c>
      <c r="U574" s="25">
        <f ca="1">IFERROR(__xludf.DUMMYFUNCTION("""COMPUTED_VALUE"""),0.375)</f>
        <v>0.375</v>
      </c>
      <c r="V574" s="25">
        <f ca="1">IFERROR(__xludf.DUMMYFUNCTION("""COMPUTED_VALUE"""),0)</f>
        <v>0</v>
      </c>
      <c r="W574" s="4"/>
      <c r="X574" s="4" t="str">
        <f ca="1">IFERROR(__xludf.DUMMYFUNCTION("""COMPUTED_VALUE"""),"| 1 P Python % | 3 L CPT % | 4 L JAVA % ")</f>
        <v xml:space="preserve">| 1 P Python % | 3 L CPT % | 4 L JAVA % </v>
      </c>
      <c r="Y574" s="4" t="str">
        <f ca="1">IFERROR(__xludf.DUMMYFUNCTION("""COMPUTED_VALUE"""),"| 1 P JAVA % | 3 L JAVA % | 4 L NS % | 5 P PRO % ")</f>
        <v xml:space="preserve">| 1 P JAVA % | 3 L JAVA % | 4 L NS % | 5 P PRO % </v>
      </c>
      <c r="Z574" s="4" t="str">
        <f ca="1">IFERROR(__xludf.DUMMYFUNCTION("""COMPUTED_VALUE"""),"| 1 P JAVA % | 3 L PHP-CGM % | 4 L NS % | 5 P CPT @ ")</f>
        <v xml:space="preserve">| 1 P JAVA % | 3 L PHP-CGM % | 4 L NS % | 5 P CPT @ </v>
      </c>
      <c r="AA574" s="4" t="str">
        <f ca="1">IFERROR(__xludf.DUMMYFUNCTION("""COMPUTED_VALUE"""),"| 1 P NS % | 3 L CPT % | 5 P NS @ ")</f>
        <v xml:space="preserve">| 1 P NS % | 3 L CPT % | 5 P NS @ </v>
      </c>
      <c r="AB574" s="4" t="str">
        <f ca="1">IFERROR(__xludf.DUMMYFUNCTION("""COMPUTED_VALUE"""),"| 1 P CPT @ | 3 L PHP-CGM % | 4 L JAVA % | 5 L CPT % | 6 L NS % ")</f>
        <v xml:space="preserve">| 1 P CPT @ | 3 L PHP-CGM % | 4 L JAVA % | 5 L CPT % | 6 L NS % </v>
      </c>
      <c r="AC574" s="4" t="str">
        <f ca="1">IFERROR(__xludf.DUMMYFUNCTION("""COMPUTED_VALUE"""),"| 1 P NS @ | 3 L CPT @ | 4 L JAVA @ ")</f>
        <v xml:space="preserve">| 1 P NS @ | 3 L CPT @ | 4 L JAVA @ </v>
      </c>
      <c r="AD574" s="4" t="str">
        <f ca="1">IFERROR(__xludf.DUMMYFUNCTION("""COMPUTED_VALUE"""),"| 1 P CPT % | 3 L JAVA % | 4 L NS % | 5 P PRO % ")</f>
        <v xml:space="preserve">| 1 P CPT % | 3 L JAVA % | 4 L NS % | 5 P PRO % </v>
      </c>
      <c r="AE574" s="4" t="str">
        <f ca="1">IFERROR(__xludf.DUMMYFUNCTION("""COMPUTED_VALUE"""),"| 1 P PHP-CGM % | 3 L PHP-CGM % | 4 L NS % ")</f>
        <v xml:space="preserve">| 1 P PHP-CGM % | 3 L PHP-CGM % | 4 L NS % </v>
      </c>
      <c r="AF574" s="4" t="str">
        <f ca="1">IFERROR(__xludf.DUMMYFUNCTION("""COMPUTED_VALUE"""),"| 1 P JAVA % | 3 L CPT % | 4 L PHP-CGM % | 5 P JAVA % ")</f>
        <v xml:space="preserve">| 1 P JAVA % | 3 L CPT % | 4 L PHP-CGM % | 5 P JAVA % </v>
      </c>
      <c r="AG574" s="4" t="str">
        <f ca="1">IFERROR(__xludf.DUMMYFUNCTION("""COMPUTED_VALUE"""),"| 1 P Python % | 3 L PHP-CGM % | 4 L JAVA % | 5 L CPT @ | 6 L NS @ ")</f>
        <v xml:space="preserve">| 1 P Python % | 3 L PHP-CGM % | 4 L JAVA % | 5 L CPT @ | 6 L NS @ </v>
      </c>
      <c r="AH574" s="4" t="str">
        <f ca="1">IFERROR(__xludf.DUMMYFUNCTION("""COMPUTED_VALUE"""),"| 1 P JAVA % | 3 L CPT % | 4 L PHP-CGM % | 5 P JAVA @ ")</f>
        <v xml:space="preserve">| 1 P JAVA % | 3 L CPT % | 4 L PHP-CGM % | 5 P JAVA @ </v>
      </c>
      <c r="AI574" s="4" t="str">
        <f ca="1">IFERROR(__xludf.DUMMYFUNCTION("""COMPUTED_VALUE"""),"| 1 P Python @ | 3 L PHP-CGM @ | 4 L JAVA @ | 5 L CPT @ | 6 L NS @ ")</f>
        <v xml:space="preserve">| 1 P Python @ | 3 L PHP-CGM @ | 4 L JAVA @ | 5 L CPT @ | 6 L NS @ </v>
      </c>
      <c r="AJ574" s="4" t="str">
        <f ca="1">IFERROR(__xludf.DUMMYFUNCTION("""COMPUTED_VALUE"""),"| 1 P NS % | 3 L CPT % | 4 L JAVA % ")</f>
        <v xml:space="preserve">| 1 P NS % | 3 L CPT % | 4 L JAVA % </v>
      </c>
      <c r="AK574" s="4" t="str">
        <f ca="1">IFERROR(__xludf.DUMMYFUNCTION("""COMPUTED_VALUE"""),"| 1 P CPT % | 4 L NS % | 3 L JAVA % | 5 P PRO % ")</f>
        <v xml:space="preserve">| 1 P CPT % | 4 L NS % | 3 L JAVA % | 5 P PRO % </v>
      </c>
      <c r="AL574" s="4" t="str">
        <f ca="1">IFERROR(__xludf.DUMMYFUNCTION("""COMPUTED_VALUE"""),"| 1 P PHP-CGM % | 3 L PHP-CGM % | 4 L NS % | 5 P Python % ")</f>
        <v xml:space="preserve">| 1 P PHP-CGM % | 3 L PHP-CGM % | 4 L NS % | 5 P Python % </v>
      </c>
      <c r="AM574" s="4" t="str">
        <f ca="1">IFERROR(__xludf.DUMMYFUNCTION("""COMPUTED_VALUE"""),"| 1 P JAVA % | 3 L CPT @ | 4 L PHP-CGM @ | 5 P JAVA @ ")</f>
        <v xml:space="preserve">| 1 P JAVA % | 3 L CPT @ | 4 L PHP-CGM @ | 5 P JAVA @ </v>
      </c>
      <c r="AN574" s="4" t="str">
        <f ca="1">IFERROR(__xludf.DUMMYFUNCTION("""COMPUTED_VALUE"""),"| 1 P Python % | 3 L PHP-CGM % | 4 L JAVA % | 5 L CPT % | 6 L NS % ")</f>
        <v xml:space="preserve">| 1 P Python % | 3 L PHP-CGM % | 4 L JAVA % | 5 L CPT % | 6 L NS % </v>
      </c>
      <c r="AO574" s="4" t="str">
        <f ca="1">IFERROR(__xludf.DUMMYFUNCTION("""COMPUTED_VALUE"""),"| 1 P NS @ | 3 L CPT @ | 4 L JAVA @ | 5 L INE @ ")</f>
        <v xml:space="preserve">| 1 P NS @ | 3 L CPT @ | 4 L JAVA @ | 5 L INE @ </v>
      </c>
      <c r="AP574" s="4" t="str">
        <f ca="1">IFERROR(__xludf.DUMMYFUNCTION("""COMPUTED_VALUE"""),"| 1 P CPT % | 3 L JAVA % | 4 L NS % | 5 P PRO % ")</f>
        <v xml:space="preserve">| 1 P CPT % | 3 L JAVA % | 4 L NS % | 5 P PRO % </v>
      </c>
      <c r="AQ574" s="4" t="str">
        <f ca="1">IFERROR(__xludf.DUMMYFUNCTION("""COMPUTED_VALUE"""),"| 1 P PHP-CGM % | 3 L PHP-CGM % | 4 L NS @ | 5 P Python @ ")</f>
        <v xml:space="preserve">| 1 P PHP-CGM % | 3 L PHP-CGM % | 4 L NS @ | 5 P Python @ </v>
      </c>
      <c r="AR574" s="4" t="str">
        <f ca="1">IFERROR(__xludf.DUMMYFUNCTION("""COMPUTED_VALUE"""),"| 1 P JAVA % | 3 L CPT % | 5 P JAVA % ")</f>
        <v xml:space="preserve">| 1 P JAVA % | 3 L CPT % | 5 P JAVA % </v>
      </c>
      <c r="AS574" s="4" t="str">
        <f ca="1">IFERROR(__xludf.DUMMYFUNCTION("""COMPUTED_VALUE"""),"| 1 P NS @ | 3 L CPT @ | 4 L JAVA @ | 5 L INE @ ")</f>
        <v xml:space="preserve">| 1 P NS @ | 3 L CPT @ | 4 L JAVA @ | 5 L INE @ </v>
      </c>
      <c r="AT574" s="4" t="str">
        <f ca="1">IFERROR(__xludf.DUMMYFUNCTION("""COMPUTED_VALUE"""),"| 1 P CPT % | 3 L JAVA % | 1 P JAVA @ | 4 L NS % | 5 P PRO % ")</f>
        <v xml:space="preserve">| 1 P CPT % | 3 L JAVA % | 1 P JAVA @ | 4 L NS % | 5 P PRO % </v>
      </c>
      <c r="AU574" s="4" t="str">
        <f ca="1">IFERROR(__xludf.DUMMYFUNCTION("""COMPUTED_VALUE"""),"| 1 P PHP-CGM % | 3 L PHP-CGM % | 4 L NS % | 5 P Python @ ")</f>
        <v xml:space="preserve">| 1 P PHP-CGM % | 3 L PHP-CGM % | 4 L NS % | 5 P Python @ </v>
      </c>
      <c r="AV574" s="4" t="str">
        <f ca="1">IFERROR(__xludf.DUMMYFUNCTION("""COMPUTED_VALUE"""),"| 1 P JAVA % | 3 L CPT % | 4 L PHP-CGM % | 5 P JAVA @ ")</f>
        <v xml:space="preserve">| 1 P JAVA % | 3 L CPT % | 4 L PHP-CGM % | 5 P JAVA @ </v>
      </c>
      <c r="AW574" s="4" t="str">
        <f ca="1">IFERROR(__xludf.DUMMYFUNCTION("""COMPUTED_VALUE"""),"| 1 P Python % | 3 L PHP-CGM % | 4 L JAVA % | 5 L NS % | 5 L CPT % ")</f>
        <v xml:space="preserve">| 1 P Python % | 3 L PHP-CGM % | 4 L JAVA % | 5 L NS % | 5 L CPT % </v>
      </c>
      <c r="AX574" s="4" t="str">
        <f ca="1">IFERROR(__xludf.DUMMYFUNCTION("""COMPUTED_VALUE"""),"| 1 P NS % | 3 L CPT % | 4 L JAVA % | 5 L INE @ ")</f>
        <v xml:space="preserve">| 1 P NS % | 3 L CPT % | 4 L JAVA % | 5 L INE @ </v>
      </c>
      <c r="AY574" s="4" t="str">
        <f ca="1">IFERROR(__xludf.DUMMYFUNCTION("""COMPUTED_VALUE"""),"| 1 P CPT @ | 3 L JAVA @ | 4 L NS % | 5 P PRO % ")</f>
        <v xml:space="preserve">| 1 P CPT @ | 3 L JAVA @ | 4 L NS % | 5 P PRO % </v>
      </c>
      <c r="AZ574" s="4" t="str">
        <f ca="1">IFERROR(__xludf.DUMMYFUNCTION("""COMPUTED_VALUE"""),"| 1 P JAVA @ | 3 L CPT @ | 4 L PHP-CGM @ | 5 P JAVA @ ")</f>
        <v xml:space="preserve">| 1 P JAVA @ | 3 L CPT @ | 4 L PHP-CGM @ | 5 P JAVA @ </v>
      </c>
      <c r="BA574" s="4" t="str">
        <f ca="1">IFERROR(__xludf.DUMMYFUNCTION("""COMPUTED_VALUE"""),"| 1 P Python % | 3 L PHP-CGM % | 4 L JAVA % | 5 L NS @ | 6 L CPT @ ")</f>
        <v xml:space="preserve">| 1 P Python % | 3 L PHP-CGM % | 4 L JAVA % | 5 L NS @ | 6 L CPT @ </v>
      </c>
      <c r="BB574" s="4" t="str">
        <f ca="1">IFERROR(__xludf.DUMMYFUNCTION("""COMPUTED_VALUE"""),"| 1 P NS % | 3 L CPT % | 4 L JAVA % | 5 L INE % ")</f>
        <v xml:space="preserve">| 1 P NS % | 3 L CPT % | 4 L JAVA % | 5 L INE % </v>
      </c>
      <c r="BC574" s="4" t="str">
        <f ca="1">IFERROR(__xludf.DUMMYFUNCTION("""COMPUTED_VALUE"""),"| 1 P CPT % | 3 L JAVA % | 4 L NS % | 5 P PRO @ ")</f>
        <v xml:space="preserve">| 1 P CPT % | 3 L JAVA % | 4 L NS % | 5 P PRO @ </v>
      </c>
      <c r="BD574" s="4" t="str">
        <f ca="1">IFERROR(__xludf.DUMMYFUNCTION("""COMPUTED_VALUE"""),"| 1 P PHP-CGM % | 4 L NS %  | 3 L PHP-CGM % | 5 P Python % ")</f>
        <v xml:space="preserve">| 1 P PHP-CGM % | 4 L NS %  | 3 L PHP-CGM % | 5 P Python % </v>
      </c>
      <c r="BE574" s="4" t="str">
        <f ca="1">IFERROR(__xludf.DUMMYFUNCTION("""COMPUTED_VALUE"""),"| 1 P JAVA % | 3 L CPT @ | 4 L PHP-CGM @ | 5 P JAVA @ ")</f>
        <v xml:space="preserve">| 1 P JAVA % | 3 L CPT @ | 4 L PHP-CGM @ | 5 P JAVA @ </v>
      </c>
      <c r="BF574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BG574" s="4" t="str">
        <f ca="1">IFERROR(__xludf.DUMMYFUNCTION("""COMPUTED_VALUE"""),"| 3 L JAVA % | 4 L NS % | 5 P PRO % ")</f>
        <v xml:space="preserve">| 3 L JAVA % | 4 L NS % | 5 P PRO % </v>
      </c>
      <c r="BH574" s="4" t="str">
        <f ca="1">IFERROR(__xludf.DUMMYFUNCTION("""COMPUTED_VALUE"""),"| 1 P PHP-CGM @ | 3 L PHP-CGM @ | 4 L NS @ | 5 P Python @ ")</f>
        <v xml:space="preserve">| 1 P PHP-CGM @ | 3 L PHP-CGM @ | 4 L NS @ | 5 P Python @ </v>
      </c>
      <c r="BI574" s="4" t="str">
        <f ca="1">IFERROR(__xludf.DUMMYFUNCTION("""COMPUTED_VALUE"""),"| 1 P JAVA % | 3 L CPT % | 4 L PHP-CGM % | 5 P JAVA % ")</f>
        <v xml:space="preserve">| 1 P JAVA % | 3 L CPT % | 4 L PHP-CGM % | 5 P JAVA % </v>
      </c>
      <c r="BJ574" s="4" t="str">
        <f ca="1">IFERROR(__xludf.DUMMYFUNCTION("""COMPUTED_VALUE"""),"| 1 P Python % | 3 L PHP-CGM % | 4 L JAVA % | 5 L NS % | 6 L CPT % ")</f>
        <v xml:space="preserve">| 1 P Python % | 3 L PHP-CGM % | 4 L JAVA % | 5 L NS % | 6 L CPT % </v>
      </c>
      <c r="BK574" s="4" t="str">
        <f ca="1">IFERROR(__xludf.DUMMYFUNCTION("""COMPUTED_VALUE"""),"| 1 P NS @ | 3 L CPT @ | 4 L JAVA @ | 5 L INE @ ")</f>
        <v xml:space="preserve">| 1 P NS @ | 3 L CPT @ | 4 L JAVA @ | 5 L INE @ </v>
      </c>
      <c r="BL574" s="4" t="str">
        <f ca="1">IFERROR(__xludf.DUMMYFUNCTION("""COMPUTED_VALUE"""),"| 1 P CPT @ | 3 L JAVA @ | 4 L NS % | 5 P PRO @ ")</f>
        <v xml:space="preserve">| 1 P CPT @ | 3 L JAVA @ | 4 L NS % | 5 P PRO @ </v>
      </c>
      <c r="BM574" s="4" t="str">
        <f ca="1">IFERROR(__xludf.DUMMYFUNCTION("""COMPUTED_VALUE"""),"| 1 P PHP-CGM @ | 3 L PHP-CGM % | 4 L NS % | 5 P Python @ ")</f>
        <v xml:space="preserve">| 1 P PHP-CGM @ | 3 L PHP-CGM % | 4 L NS % | 5 P Python @ </v>
      </c>
      <c r="BN574" s="4" t="str">
        <f ca="1">IFERROR(__xludf.DUMMYFUNCTION("""COMPUTED_VALUE"""),"| 1 P JAVA @ | 3 L CPT @ | 4 L PHP-CGM @ ")</f>
        <v xml:space="preserve">| 1 P JAVA @ | 3 L CPT @ | 4 L PHP-CGM @ </v>
      </c>
      <c r="BO574" s="4" t="str">
        <f ca="1">IFERROR(__xludf.DUMMYFUNCTION("""COMPUTED_VALUE"""),"| 1 P Python @ | 3 L PHP-CGM @ | 4 L JAVA @ | 5 L NS @ | 6 L CPT % ")</f>
        <v xml:space="preserve">| 1 P Python @ | 3 L PHP-CGM @ | 4 L JAVA @ | 5 L NS @ | 6 L CPT % </v>
      </c>
      <c r="BP574" s="4" t="str">
        <f ca="1">IFERROR(__xludf.DUMMYFUNCTION("""COMPUTED_VALUE"""),"| 1 P NS @ | 3 L CPT @ | 4 L JAVA % | 5 L INE @ ")</f>
        <v xml:space="preserve">| 1 P NS @ | 3 L CPT @ | 4 L JAVA % | 5 L INE @ </v>
      </c>
      <c r="BQ574" s="4" t="str">
        <f ca="1">IFERROR(__xludf.DUMMYFUNCTION("""COMPUTED_VALUE"""),"| 4 L NS @ ")</f>
        <v xml:space="preserve">| 4 L NS @ </v>
      </c>
      <c r="BR574" s="4"/>
      <c r="BS574" s="4"/>
      <c r="BT574" s="4" t="str">
        <f ca="1">IFERROR(__xludf.DUMMYFUNCTION("""COMPUTED_VALUE"""),"| 1 P NS % | 3 L CPT % | 4 L JAVA % ")</f>
        <v xml:space="preserve">| 1 P NS % | 3 L CPT % | 4 L JAVA % </v>
      </c>
      <c r="BU574" s="4" t="str">
        <f ca="1">IFERROR(__xludf.DUMMYFUNCTION("""COMPUTED_VALUE"""),"| 1 P CPT @ | 4 L NS @ | 3 L JAVA @ ")</f>
        <v xml:space="preserve">| 1 P CPT @ | 4 L NS @ | 3 L JAVA @ </v>
      </c>
      <c r="BV574" s="4" t="str">
        <f ca="1">IFERROR(__xludf.DUMMYFUNCTION("""COMPUTED_VALUE"""),"| 1 P NS @ | 3 L CPT @ | 4 L JAVA @ ")</f>
        <v xml:space="preserve">| 1 P NS @ | 3 L CPT @ | 4 L JAVA @ </v>
      </c>
      <c r="BW574" s="4" t="str">
        <f ca="1">IFERROR(__xludf.DUMMYFUNCTION("""COMPUTED_VALUE"""),"| 1 P CPT % | 3 L JAVA @ | 4 L NS % ")</f>
        <v xml:space="preserve">| 1 P CPT % | 3 L JAVA @ | 4 L NS % </v>
      </c>
      <c r="BX574" s="4" t="str">
        <f ca="1">IFERROR(__xludf.DUMMYFUNCTION("""COMPUTED_VALUE"""),"| 1 P PHP-CGM % | 3 L PHP-CGM % | 4 L NS % | 5 P Python @ ")</f>
        <v xml:space="preserve">| 1 P PHP-CGM % | 3 L PHP-CGM % | 4 L NS % | 5 P Python @ </v>
      </c>
      <c r="BY574" s="4" t="str">
        <f ca="1">IFERROR(__xludf.DUMMYFUNCTION("""COMPUTED_VALUE"""),"| 1 P JAVA % | 3 L CPT @ | 4 L PHP-CGM @ | 5 P JAVA @ ")</f>
        <v xml:space="preserve">| 1 P JAVA % | 3 L CPT @ | 4 L PHP-CGM @ | 5 P JAVA @ </v>
      </c>
      <c r="BZ574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A574" s="4" t="str">
        <f ca="1">IFERROR(__xludf.DUMMYFUNCTION("""COMPUTED_VALUE"""),"| 1 P NS % | 3 L CPT @ | 4 L JAVA @ | 5 L INE % ")</f>
        <v xml:space="preserve">| 1 P NS % | 3 L CPT @ | 4 L JAVA @ | 5 L INE % </v>
      </c>
      <c r="CB574" s="4" t="str">
        <f ca="1">IFERROR(__xludf.DUMMYFUNCTION("""COMPUTED_VALUE"""),"| 1 P CPT @ | 3 L JAVA @ | 4 L NS @ | 5 P PRO @ ")</f>
        <v xml:space="preserve">| 1 P CPT @ | 3 L JAVA @ | 4 L NS @ | 5 P PRO @ </v>
      </c>
      <c r="CC574" s="4" t="str">
        <f ca="1">IFERROR(__xludf.DUMMYFUNCTION("""COMPUTED_VALUE"""),"| 1 P PHP-CGM % | 3 L PHP-CGM % | 4 L NS % | 5 P Python % ")</f>
        <v xml:space="preserve">| 1 P PHP-CGM % | 3 L PHP-CGM % | 4 L NS % | 5 P Python % </v>
      </c>
      <c r="CD574" s="4" t="str">
        <f ca="1">IFERROR(__xludf.DUMMYFUNCTION("""COMPUTED_VALUE"""),"| 1 P JAVA % | 3 L CPT % | 4 L PHP-CGM @ ")</f>
        <v xml:space="preserve">| 1 P JAVA % | 3 L CPT % | 4 L PHP-CGM @ </v>
      </c>
      <c r="CE574" s="4" t="str">
        <f ca="1">IFERROR(__xludf.DUMMYFUNCTION("""COMPUTED_VALUE"""),"| 1 P Python @ | 3 L PHP-CGM @ | 4 L JAVA @ | 5 L NS @ | 6 L CPT @ ")</f>
        <v xml:space="preserve">| 1 P Python @ | 3 L PHP-CGM @ | 4 L JAVA @ | 5 L NS @ | 6 L CPT @ </v>
      </c>
      <c r="CF574" s="4" t="str">
        <f ca="1">IFERROR(__xludf.DUMMYFUNCTION("""COMPUTED_VALUE"""),"| 1 P NS % | 3 L CPT % | 4 L JAVA % | 5 L INE % ")</f>
        <v xml:space="preserve">| 1 P NS % | 3 L CPT % | 4 L JAVA % | 5 L INE % </v>
      </c>
      <c r="CG574" s="4" t="str">
        <f ca="1">IFERROR(__xludf.DUMMYFUNCTION("""COMPUTED_VALUE"""),"| 1 P CPT % | 4 L NS @ ")</f>
        <v xml:space="preserve">| 1 P CPT % | 4 L NS @ </v>
      </c>
      <c r="CH574" s="4" t="str">
        <f ca="1">IFERROR(__xludf.DUMMYFUNCTION("""COMPUTED_VALUE"""),"| 1 P PHP-CGM % | 3 L PHP-CGM @ | 4 L NS @ ")</f>
        <v xml:space="preserve">| 1 P PHP-CGM % | 3 L PHP-CGM @ | 4 L NS @ </v>
      </c>
      <c r="CI574" s="4"/>
      <c r="CJ574" s="4" t="str">
        <f ca="1">IFERROR(__xludf.DUMMYFUNCTION("""COMPUTED_VALUE"""),"| 4 L JAVA % ")</f>
        <v xml:space="preserve">| 4 L JAVA % </v>
      </c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</row>
    <row r="575" spans="1:102" ht="12.5" x14ac:dyDescent="0.25">
      <c r="A575" s="3">
        <f ca="1">IFERROR(__xludf.DUMMYFUNCTION("""COMPUTED_VALUE"""),1)</f>
        <v>1</v>
      </c>
      <c r="B575" s="3" t="str">
        <f ca="1">IFERROR(__xludf.DUMMYFUNCTION("""COMPUTED_VALUE"""),"ITD")</f>
        <v>ITD</v>
      </c>
      <c r="C575" s="32" t="str">
        <f ca="1">IFERROR(__xludf.DUMMYFUNCTION("""COMPUTED_VALUE"""),"22171371017")</f>
        <v>22171371017</v>
      </c>
      <c r="D575" s="4" t="str">
        <f ca="1">IFERROR(__xludf.DUMMYFUNCTION("""COMPUTED_VALUE"""),"DARJI HARSH JAGDISHBHAI")</f>
        <v>DARJI HARSH JAGDISHBHAI</v>
      </c>
      <c r="E575" s="3" t="str">
        <f ca="1">IFERROR(__xludf.DUMMYFUNCTION("""COMPUTED_VALUE"""),"SRC - Eve")</f>
        <v>SRC - Eve</v>
      </c>
      <c r="F575" s="3">
        <f ca="1">IFERROR(__xludf.DUMMYFUNCTION("""COMPUTED_VALUE"""),6353797720)</f>
        <v>6353797720</v>
      </c>
      <c r="G575" s="3">
        <f ca="1">IFERROR(__xludf.DUMMYFUNCTION("""COMPUTED_VALUE"""),9723570618)</f>
        <v>9723570618</v>
      </c>
      <c r="H575" s="33">
        <f ca="1">IFERROR(__xludf.DUMMYFUNCTION("""COMPUTED_VALUE"""),0.879464285714285)</f>
        <v>0.87946428571428503</v>
      </c>
      <c r="I575" s="25">
        <f ca="1">IFERROR(__xludf.DUMMYFUNCTION("""COMPUTED_VALUE"""),0.833333333333333)</f>
        <v>0.83333333333333304</v>
      </c>
      <c r="J575" s="25">
        <f ca="1">IFERROR(__xludf.DUMMYFUNCTION("""COMPUTED_VALUE"""),0.857142857142857)</f>
        <v>0.85714285714285698</v>
      </c>
      <c r="K575" s="25">
        <f ca="1">IFERROR(__xludf.DUMMYFUNCTION("""COMPUTED_VALUE"""),0.861111111111111)</f>
        <v>0.86111111111111105</v>
      </c>
      <c r="L575" s="25">
        <f ca="1">IFERROR(__xludf.DUMMYFUNCTION("""COMPUTED_VALUE"""),0.888888888888888)</f>
        <v>0.88888888888888795</v>
      </c>
      <c r="M575" s="25">
        <f ca="1">IFERROR(__xludf.DUMMYFUNCTION("""COMPUTED_VALUE"""),0.8125)</f>
        <v>0.8125</v>
      </c>
      <c r="N575" s="25">
        <f ca="1">IFERROR(__xludf.DUMMYFUNCTION("""COMPUTED_VALUE"""),1)</f>
        <v>1</v>
      </c>
      <c r="O575" s="25">
        <f ca="1">IFERROR(__xludf.DUMMYFUNCTION("""COMPUTED_VALUE"""),0.911764705882352)</f>
        <v>0.91176470588235203</v>
      </c>
      <c r="P575" s="25">
        <f ca="1">IFERROR(__xludf.DUMMYFUNCTION("""COMPUTED_VALUE"""),0.913043478260869)</f>
        <v>0.91304347826086896</v>
      </c>
      <c r="Q575" s="25">
        <f ca="1">IFERROR(__xludf.DUMMYFUNCTION("""COMPUTED_VALUE"""),0)</f>
        <v>0</v>
      </c>
      <c r="R575" s="25">
        <f ca="1">IFERROR(__xludf.DUMMYFUNCTION("""COMPUTED_VALUE"""),0.894736842105263)</f>
        <v>0.89473684210526305</v>
      </c>
      <c r="S575" s="25">
        <f ca="1">IFERROR(__xludf.DUMMYFUNCTION("""COMPUTED_VALUE"""),0)</f>
        <v>0</v>
      </c>
      <c r="T575" s="25">
        <f ca="1">IFERROR(__xludf.DUMMYFUNCTION("""COMPUTED_VALUE"""),1)</f>
        <v>1</v>
      </c>
      <c r="U575" s="25">
        <f ca="1">IFERROR(__xludf.DUMMYFUNCTION("""COMPUTED_VALUE"""),0.857142857142857)</f>
        <v>0.85714285714285698</v>
      </c>
      <c r="V575" s="25">
        <f ca="1">IFERROR(__xludf.DUMMYFUNCTION("""COMPUTED_VALUE"""),0)</f>
        <v>0</v>
      </c>
      <c r="W575" s="4"/>
      <c r="X575" s="4" t="str">
        <f ca="1">IFERROR(__xludf.DUMMYFUNCTION("""COMPUTED_VALUE"""),"| 1 L PHP-CGM % | 6 L JAVA % | 7 P JAVA % ")</f>
        <v xml:space="preserve">| 1 L PHP-CGM % | 6 L JAVA % | 7 P JAVA % </v>
      </c>
      <c r="Y575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Z575" s="4" t="str">
        <f ca="1">IFERROR(__xludf.DUMMYFUNCTION("""COMPUTED_VALUE"""),"| 5 L CPT % | 6 L PHP-CGM % | 7 P Python % | 9 P NS % ")</f>
        <v xml:space="preserve">| 5 L CPT % | 6 L PHP-CGM % | 7 P Python % | 9 P NS % </v>
      </c>
      <c r="AA575" s="4" t="str">
        <f ca="1">IFERROR(__xludf.DUMMYFUNCTION("""COMPUTED_VALUE"""),"| 5 L NS % | 6 L CPT % | 7 P PRO % | 9 P PHP-CGM % ")</f>
        <v xml:space="preserve">| 5 L NS % | 6 L CPT % | 7 P PRO % | 9 P PHP-CGM % </v>
      </c>
      <c r="AB575" s="4" t="str">
        <f ca="1">IFERROR(__xludf.DUMMYFUNCTION("""COMPUTED_VALUE"""),"| 5 L NS % | 6 L JAVA % | 7 P Python % | 9 P CPT % ")</f>
        <v xml:space="preserve">| 5 L NS % | 6 L JAVA % | 7 P Python % | 9 P CPT % </v>
      </c>
      <c r="AC575" s="4" t="str">
        <f ca="1">IFERROR(__xludf.DUMMYFUNCTION("""COMPUTED_VALUE"""),"| 1 L PHP-CGM % | 6 L JAVA % | 7 P JAVA % ")</f>
        <v xml:space="preserve">| 1 L PHP-CGM % | 6 L JAVA % | 7 P JAVA % </v>
      </c>
      <c r="AD575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75" s="4" t="str">
        <f ca="1">IFERROR(__xludf.DUMMYFUNCTION("""COMPUTED_VALUE"""),"| 5 L CPT % | 6 L PHP-CGM % | 7 P Python % | 9 P NS % ")</f>
        <v xml:space="preserve">| 5 L CPT % | 6 L PHP-CGM % | 7 P Python % | 9 P NS % </v>
      </c>
      <c r="AF575" s="4" t="str">
        <f ca="1">IFERROR(__xludf.DUMMYFUNCTION("""COMPUTED_VALUE"""),"| 5 L NS % | 6 L CPT % | 7 P PRO % | 9 P PHP-CGM % ")</f>
        <v xml:space="preserve">| 5 L NS % | 6 L CPT % | 7 P PRO % | 9 P PHP-CGM % </v>
      </c>
      <c r="AG575" s="4" t="str">
        <f ca="1">IFERROR(__xludf.DUMMYFUNCTION("""COMPUTED_VALUE"""),"| 5 L NS % | 6 L JAVA % | 7 P Python % | 9 P CPT % ")</f>
        <v xml:space="preserve">| 5 L NS % | 6 L JAVA % | 7 P Python % | 9 P CPT % </v>
      </c>
      <c r="AH575" s="4" t="str">
        <f ca="1">IFERROR(__xludf.DUMMYFUNCTION("""COMPUTED_VALUE"""),"| 5 L NS % | 6 L CPT % | 7 P PRO % | 9 P PHP-CGM % ")</f>
        <v xml:space="preserve">| 5 L NS % | 6 L CPT % | 7 P PRO % | 9 P PHP-CGM % </v>
      </c>
      <c r="AI575" s="4" t="str">
        <f ca="1">IFERROR(__xludf.DUMMYFUNCTION("""COMPUTED_VALUE"""),"| 5 L NS % | 6 L JAVA % | 7 P Python % | 9 P CPT % ")</f>
        <v xml:space="preserve">| 5 L NS % | 6 L JAVA % | 7 P Python % | 9 P CPT % </v>
      </c>
      <c r="AJ575" s="4" t="str">
        <f ca="1">IFERROR(__xludf.DUMMYFUNCTION("""COMPUTED_VALUE"""),"| 1 L PHP-CGM % | 6 L JAVA % | 7 P JAVA % ")</f>
        <v xml:space="preserve">| 1 L PHP-CGM % | 6 L JAVA % | 7 P JAVA % </v>
      </c>
      <c r="AK575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75" s="4" t="str">
        <f ca="1">IFERROR(__xludf.DUMMYFUNCTION("""COMPUTED_VALUE"""),"| 5 L CPT % | 7 P Python % | 6 L PHP-CGM % | 9 P NS % ")</f>
        <v xml:space="preserve">| 5 L CPT % | 7 P Python % | 6 L PHP-CGM % | 9 P NS % </v>
      </c>
      <c r="AM575" s="4" t="str">
        <f ca="1">IFERROR(__xludf.DUMMYFUNCTION("""COMPUTED_VALUE"""),"| 5 L NS % | 6 L CPT % | 7 P PRO % ")</f>
        <v xml:space="preserve">| 5 L NS % | 6 L CPT % | 7 P PRO % </v>
      </c>
      <c r="AN575" s="4" t="str">
        <f ca="1">IFERROR(__xludf.DUMMYFUNCTION("""COMPUTED_VALUE"""),"| 5 L NS % | 6 L JAVA % ")</f>
        <v xml:space="preserve">| 5 L NS % | 6 L JAVA % </v>
      </c>
      <c r="AO575" s="4" t="str">
        <f ca="1">IFERROR(__xludf.DUMMYFUNCTION("""COMPUTED_VALUE"""),"| 1 L PHP-CGM % | 6 L JAVA % | 7 P JAVA % | 9 L INE % ")</f>
        <v xml:space="preserve">| 1 L PHP-CGM % | 6 L JAVA % | 7 P JAVA % | 9 L INE % </v>
      </c>
      <c r="AP575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75" s="4" t="str">
        <f ca="1">IFERROR(__xludf.DUMMYFUNCTION("""COMPUTED_VALUE"""),"| 5 L CPT @ | 6 L PHP-CGM @ ")</f>
        <v xml:space="preserve">| 5 L CPT @ | 6 L PHP-CGM @ </v>
      </c>
      <c r="AR575" s="4" t="str">
        <f ca="1">IFERROR(__xludf.DUMMYFUNCTION("""COMPUTED_VALUE"""),"| 5 L NS % | 6 L CPT % | 7 P PRO % | 9 P PHP-CGM % ")</f>
        <v xml:space="preserve">| 5 L NS % | 6 L CPT % | 7 P PRO % | 9 P PHP-CGM % </v>
      </c>
      <c r="AS575" s="4" t="str">
        <f ca="1">IFERROR(__xludf.DUMMYFUNCTION("""COMPUTED_VALUE"""),"| 1 L PHP-CGM % | 6 L JAVA % | 7 P JAVA % | 9 L INE % ")</f>
        <v xml:space="preserve">| 1 L PHP-CGM % | 6 L JAVA % | 7 P JAVA % | 9 L INE % </v>
      </c>
      <c r="AT575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75" s="4" t="str">
        <f ca="1">IFERROR(__xludf.DUMMYFUNCTION("""COMPUTED_VALUE"""),"| 5 L CPT % | 6 L PHP-CGM % | 7 P Python % | 9 P NS % ")</f>
        <v xml:space="preserve">| 5 L CPT % | 6 L PHP-CGM % | 7 P Python % | 9 P NS % </v>
      </c>
      <c r="AV575" s="4" t="str">
        <f ca="1">IFERROR(__xludf.DUMMYFUNCTION("""COMPUTED_VALUE"""),"| 5 L NS % | 6 L CPT % | 7 P PRO % | 9 P PHP-CGM % ")</f>
        <v xml:space="preserve">| 5 L NS % | 6 L CPT % | 7 P PRO % | 9 P PHP-CGM % </v>
      </c>
      <c r="AW575" s="4" t="str">
        <f ca="1">IFERROR(__xludf.DUMMYFUNCTION("""COMPUTED_VALUE"""),"| 5 L NS % | 6 L JAVA % | 7 P Python % ")</f>
        <v xml:space="preserve">| 5 L NS % | 6 L JAVA % | 7 P Python % </v>
      </c>
      <c r="AX575" s="4" t="str">
        <f ca="1">IFERROR(__xludf.DUMMYFUNCTION("""COMPUTED_VALUE"""),"| 1 L PHP-CGM % | 6 L JAVA % | 7 P JAVA % | 9 L INE % ")</f>
        <v xml:space="preserve">| 1 L PHP-CGM % | 6 L JAVA % | 7 P JAVA % | 9 L INE % </v>
      </c>
      <c r="AY575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75" s="4" t="str">
        <f ca="1">IFERROR(__xludf.DUMMYFUNCTION("""COMPUTED_VALUE"""),"| 5 L NS % | 6 L CPT % | 7 P PRO % ")</f>
        <v xml:space="preserve">| 5 L NS % | 6 L CPT % | 7 P PRO % </v>
      </c>
      <c r="BA575" s="4" t="str">
        <f ca="1">IFERROR(__xludf.DUMMYFUNCTION("""COMPUTED_VALUE"""),"| 5 L NS % | 6 L JAVA % | 7 P Python % | 9 P CPT @ ")</f>
        <v xml:space="preserve">| 5 L NS % | 6 L JAVA % | 7 P Python % | 9 P CPT @ </v>
      </c>
      <c r="BB575" s="4" t="str">
        <f ca="1">IFERROR(__xludf.DUMMYFUNCTION("""COMPUTED_VALUE"""),"| 1 L PHP-CGM % | 6 L JAVA % | 7 P JAVA % | 9 L INE % ")</f>
        <v xml:space="preserve">| 1 L PHP-CGM % | 6 L JAVA % | 7 P JAVA % | 9 L INE % </v>
      </c>
      <c r="BC575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75" s="4" t="str">
        <f ca="1">IFERROR(__xludf.DUMMYFUNCTION("""COMPUTED_VALUE"""),"| 5 L CPT % | 6 L PHP-CGM % | 7 P Python % | 9 P NS % ")</f>
        <v xml:space="preserve">| 5 L CPT % | 6 L PHP-CGM % | 7 P Python % | 9 P NS % </v>
      </c>
      <c r="BE575" s="4" t="str">
        <f ca="1">IFERROR(__xludf.DUMMYFUNCTION("""COMPUTED_VALUE"""),"| 5 L NS % | 6 L CPT % | 7 P PRO % | 9 P PHP-CGM % ")</f>
        <v xml:space="preserve">| 5 L NS % | 6 L CPT % | 7 P PRO % | 9 P PHP-CGM % </v>
      </c>
      <c r="BF575" s="4" t="str">
        <f ca="1">IFERROR(__xludf.DUMMYFUNCTION("""COMPUTED_VALUE"""),"| 5 L NS @ | 6 L JAVA % | 7 P Python % | 9 P CPT % ")</f>
        <v xml:space="preserve">| 5 L NS @ | 6 L JAVA % | 7 P Python % | 9 P CPT % </v>
      </c>
      <c r="BG575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75" s="4" t="str">
        <f ca="1">IFERROR(__xludf.DUMMYFUNCTION("""COMPUTED_VALUE"""),"| 5 L CPT % | 6 L PHP-CGM % | 7 P Python % | 9 P NS % ")</f>
        <v xml:space="preserve">| 5 L CPT % | 6 L PHP-CGM % | 7 P Python % | 9 P NS % </v>
      </c>
      <c r="BI575" s="4" t="str">
        <f ca="1">IFERROR(__xludf.DUMMYFUNCTION("""COMPUTED_VALUE"""),"| 5 L NS % | 6 L CPT % | 7 P PRO % | 9 P PHP-CGM % ")</f>
        <v xml:space="preserve">| 5 L NS % | 6 L CPT % | 7 P PRO % | 9 P PHP-CGM % </v>
      </c>
      <c r="BJ575" s="4" t="str">
        <f ca="1">IFERROR(__xludf.DUMMYFUNCTION("""COMPUTED_VALUE"""),"| 5 L NS % | 6 L JAVA % | 7 P Python @ ")</f>
        <v xml:space="preserve">| 5 L NS % | 6 L JAVA % | 7 P Python @ </v>
      </c>
      <c r="BK575" s="4" t="str">
        <f ca="1">IFERROR(__xludf.DUMMYFUNCTION("""COMPUTED_VALUE"""),"| 1 L PHP-CGM % | 6 L JAVA % | 7 P JAVA % | 9 L INE % ")</f>
        <v xml:space="preserve">| 1 L PHP-CGM % | 6 L JAVA % | 7 P JAVA % | 9 L INE % </v>
      </c>
      <c r="BL575" s="4" t="str">
        <f ca="1">IFERROR(__xludf.DUMMYFUNCTION("""COMPUTED_VALUE"""),"| 5 L JAVA @ | 6 L NS @ | 7 P JAVA % | 9 L CPT % | 10 L PHP-CGM % ")</f>
        <v xml:space="preserve">| 5 L JAVA @ | 6 L NS @ | 7 P JAVA % | 9 L CPT % | 10 L PHP-CGM % </v>
      </c>
      <c r="BM575" s="4" t="str">
        <f ca="1">IFERROR(__xludf.DUMMYFUNCTION("""COMPUTED_VALUE"""),"| 5 L CPT @ | 6 L PHP-CGM @ | 7 P Python % ")</f>
        <v xml:space="preserve">| 5 L CPT @ | 6 L PHP-CGM @ | 7 P Python % </v>
      </c>
      <c r="BN575" s="4" t="str">
        <f ca="1">IFERROR(__xludf.DUMMYFUNCTION("""COMPUTED_VALUE"""),"| 5 L NS @ | 6 L CPT @ | 7 P PRO % | 9 P PHP-CGM % ")</f>
        <v xml:space="preserve">| 5 L NS @ | 6 L CPT @ | 7 P PRO % | 9 P PHP-CGM % </v>
      </c>
      <c r="BO575" s="4" t="str">
        <f ca="1">IFERROR(__xludf.DUMMYFUNCTION("""COMPUTED_VALUE"""),"| 5 L NS % | 6 L JAVA % ")</f>
        <v xml:space="preserve">| 5 L NS % | 6 L JAVA % </v>
      </c>
      <c r="BP575" s="4" t="str">
        <f ca="1">IFERROR(__xludf.DUMMYFUNCTION("""COMPUTED_VALUE"""),"| 1 L PHP-CGM @ | 6 L JAVA @ | 7 P JAVA @ | 9 L INE @ ")</f>
        <v xml:space="preserve">| 1 L PHP-CGM @ | 6 L JAVA @ | 7 P JAVA @ | 9 L INE @ </v>
      </c>
      <c r="BQ575" s="4" t="str">
        <f ca="1">IFERROR(__xludf.DUMMYFUNCTION("""COMPUTED_VALUE"""),"| 5 L CPT % ")</f>
        <v xml:space="preserve">| 5 L CPT % </v>
      </c>
      <c r="BR575" s="4"/>
      <c r="BS575" s="4" t="str">
        <f ca="1">IFERROR(__xludf.DUMMYFUNCTION("""COMPUTED_VALUE"""),"| 6 L CPT % ")</f>
        <v xml:space="preserve">| 6 L CPT % </v>
      </c>
      <c r="BT575" s="4" t="str">
        <f ca="1">IFERROR(__xludf.DUMMYFUNCTION("""COMPUTED_VALUE"""),"| 7 P JAVA % ")</f>
        <v xml:space="preserve">| 7 P JAVA % </v>
      </c>
      <c r="BU575" s="4" t="str">
        <f ca="1">IFERROR(__xludf.DUMMYFUNCTION("""COMPUTED_VALUE"""),"| 7 P JAVA % ")</f>
        <v xml:space="preserve">| 7 P JAVA % </v>
      </c>
      <c r="BV575" s="4" t="str">
        <f ca="1">IFERROR(__xludf.DUMMYFUNCTION("""COMPUTED_VALUE"""),"| 5 L PHP-CGM % | 6 L JAVA % | 7 P JAVA % ")</f>
        <v xml:space="preserve">| 5 L PHP-CGM % | 6 L JAVA % | 7 P JAVA % </v>
      </c>
      <c r="BW575" s="4"/>
      <c r="BX575" s="4" t="str">
        <f ca="1">IFERROR(__xludf.DUMMYFUNCTION("""COMPUTED_VALUE"""),"| 5 L CPT @ | 7 P Python @ | 9 P NS @ | 6 L PHP-CGM @ ")</f>
        <v xml:space="preserve">| 5 L CPT @ | 7 P Python @ | 9 P NS @ | 6 L PHP-CGM @ </v>
      </c>
      <c r="BY575" s="4" t="str">
        <f ca="1">IFERROR(__xludf.DUMMYFUNCTION("""COMPUTED_VALUE"""),"| 5 L NS % | 6 L CPT % | 7 P PRO % | 9 P PHP-CGM % ")</f>
        <v xml:space="preserve">| 5 L NS % | 6 L CPT % | 7 P PRO % | 9 P PHP-CGM % </v>
      </c>
      <c r="BZ575" s="4" t="str">
        <f ca="1">IFERROR(__xludf.DUMMYFUNCTION("""COMPUTED_VALUE"""),"| 5 L NS % | 6 L JAVA % | 7 P Python % | 9 P CPT % ")</f>
        <v xml:space="preserve">| 5 L NS % | 6 L JAVA % | 7 P Python % | 9 P CPT % </v>
      </c>
      <c r="CA575" s="4" t="str">
        <f ca="1">IFERROR(__xludf.DUMMYFUNCTION("""COMPUTED_VALUE"""),"| 1 L PHP-CGM % | 6 L JAVA % | 7 P JAVA % ")</f>
        <v xml:space="preserve">| 1 L PHP-CGM % | 6 L JAVA % | 7 P JAVA % </v>
      </c>
      <c r="CB575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CC575" s="4" t="str">
        <f ca="1">IFERROR(__xludf.DUMMYFUNCTION("""COMPUTED_VALUE"""),"| 5 L CPT % | 6 L PHP-CGM % | 7 P Python % | 9 P NS % ")</f>
        <v xml:space="preserve">| 5 L CPT % | 6 L PHP-CGM % | 7 P Python % | 9 P NS % </v>
      </c>
      <c r="CD575" s="4" t="str">
        <f ca="1">IFERROR(__xludf.DUMMYFUNCTION("""COMPUTED_VALUE"""),"| 5 L NS % | 6 L CPT % | 7 P PRO % ")</f>
        <v xml:space="preserve">| 5 L NS % | 6 L CPT % | 7 P PRO % </v>
      </c>
      <c r="CE575" s="4" t="str">
        <f ca="1">IFERROR(__xludf.DUMMYFUNCTION("""COMPUTED_VALUE"""),"| 5 L NS % | 6 L JAVA % | 7 P Python % | 9 P CPT % ")</f>
        <v xml:space="preserve">| 5 L NS % | 6 L JAVA % | 7 P Python % | 9 P CPT % </v>
      </c>
      <c r="CF575" s="4" t="str">
        <f ca="1">IFERROR(__xludf.DUMMYFUNCTION("""COMPUTED_VALUE"""),"| 5 L PHP-CGM % | 6 L JAVA % | 9 L INE % ")</f>
        <v xml:space="preserve">| 5 L PHP-CGM % | 6 L JAVA % | 9 L INE % </v>
      </c>
      <c r="CG575" s="4" t="str">
        <f ca="1">IFERROR(__xludf.DUMMYFUNCTION("""COMPUTED_VALUE"""),"| 5 L JAVA % | 6 L NS % ")</f>
        <v xml:space="preserve">| 5 L JAVA % | 6 L NS % </v>
      </c>
      <c r="CH575" s="4" t="str">
        <f ca="1">IFERROR(__xludf.DUMMYFUNCTION("""COMPUTED_VALUE"""),"| 5 L CPT % | 7 P Python % | 9 P NS % ")</f>
        <v xml:space="preserve">| 5 L CPT % | 7 P Python % | 9 P NS % </v>
      </c>
      <c r="CI575" s="4" t="str">
        <f ca="1">IFERROR(__xludf.DUMMYFUNCTION("""COMPUTED_VALUE"""),"| 5 L NS % | 6 L CPT % ")</f>
        <v xml:space="preserve">| 5 L NS % | 6 L CPT % </v>
      </c>
      <c r="CJ575" s="4" t="str">
        <f ca="1">IFERROR(__xludf.DUMMYFUNCTION("""COMPUTED_VALUE"""),"| 5 L NS @ ")</f>
        <v xml:space="preserve">| 5 L NS @ </v>
      </c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</row>
    <row r="576" spans="1:102" ht="12.5" x14ac:dyDescent="0.25">
      <c r="A576" s="3">
        <f ca="1">IFERROR(__xludf.DUMMYFUNCTION("""COMPUTED_VALUE"""),1)</f>
        <v>1</v>
      </c>
      <c r="B576" s="3" t="str">
        <f ca="1">IFERROR(__xludf.DUMMYFUNCTION("""COMPUTED_VALUE"""),"ITD")</f>
        <v>ITD</v>
      </c>
      <c r="C576" s="32" t="str">
        <f ca="1">IFERROR(__xludf.DUMMYFUNCTION("""COMPUTED_VALUE"""),"23171371001")</f>
        <v>23171371001</v>
      </c>
      <c r="D576" s="4" t="str">
        <f ca="1">IFERROR(__xludf.DUMMYFUNCTION("""COMPUTED_VALUE"""),"AJMERI DANISHBHAI ANAVRBHAI")</f>
        <v>AJMERI DANISHBHAI ANAVRBHAI</v>
      </c>
      <c r="E576" s="3" t="str">
        <f ca="1">IFERROR(__xludf.DUMMYFUNCTION("""COMPUTED_VALUE"""),"SRC - Eve")</f>
        <v>SRC - Eve</v>
      </c>
      <c r="F576" s="3">
        <f ca="1">IFERROR(__xludf.DUMMYFUNCTION("""COMPUTED_VALUE"""),9978697359)</f>
        <v>9978697359</v>
      </c>
      <c r="G576" s="3">
        <f ca="1">IFERROR(__xludf.DUMMYFUNCTION("""COMPUTED_VALUE"""),7016185351)</f>
        <v>7016185351</v>
      </c>
      <c r="H576" s="33">
        <f ca="1">IFERROR(__xludf.DUMMYFUNCTION("""COMPUTED_VALUE"""),0.883928571428571)</f>
        <v>0.88392857142857095</v>
      </c>
      <c r="I576" s="25">
        <f ca="1">IFERROR(__xludf.DUMMYFUNCTION("""COMPUTED_VALUE"""),0.861111111111111)</f>
        <v>0.86111111111111105</v>
      </c>
      <c r="J576" s="25">
        <f ca="1">IFERROR(__xludf.DUMMYFUNCTION("""COMPUTED_VALUE"""),0.714285714285714)</f>
        <v>0.71428571428571397</v>
      </c>
      <c r="K576" s="25">
        <f ca="1">IFERROR(__xludf.DUMMYFUNCTION("""COMPUTED_VALUE"""),0.861111111111111)</f>
        <v>0.86111111111111105</v>
      </c>
      <c r="L576" s="25">
        <f ca="1">IFERROR(__xludf.DUMMYFUNCTION("""COMPUTED_VALUE"""),0.888888888888888)</f>
        <v>0.88888888888888795</v>
      </c>
      <c r="M576" s="25">
        <f ca="1">IFERROR(__xludf.DUMMYFUNCTION("""COMPUTED_VALUE"""),0.875)</f>
        <v>0.875</v>
      </c>
      <c r="N576" s="25">
        <f ca="1">IFERROR(__xludf.DUMMYFUNCTION("""COMPUTED_VALUE"""),1)</f>
        <v>1</v>
      </c>
      <c r="O576" s="25">
        <f ca="1">IFERROR(__xludf.DUMMYFUNCTION("""COMPUTED_VALUE"""),0.911764705882352)</f>
        <v>0.91176470588235203</v>
      </c>
      <c r="P576" s="25">
        <f ca="1">IFERROR(__xludf.DUMMYFUNCTION("""COMPUTED_VALUE"""),0.913043478260869)</f>
        <v>0.91304347826086896</v>
      </c>
      <c r="Q576" s="25">
        <f ca="1">IFERROR(__xludf.DUMMYFUNCTION("""COMPUTED_VALUE"""),0)</f>
        <v>0</v>
      </c>
      <c r="R576" s="25">
        <f ca="1">IFERROR(__xludf.DUMMYFUNCTION("""COMPUTED_VALUE"""),0.842105263157894)</f>
        <v>0.84210526315789402</v>
      </c>
      <c r="S576" s="25">
        <f ca="1">IFERROR(__xludf.DUMMYFUNCTION("""COMPUTED_VALUE"""),0)</f>
        <v>0</v>
      </c>
      <c r="T576" s="25">
        <f ca="1">IFERROR(__xludf.DUMMYFUNCTION("""COMPUTED_VALUE"""),1)</f>
        <v>1</v>
      </c>
      <c r="U576" s="25">
        <f ca="1">IFERROR(__xludf.DUMMYFUNCTION("""COMPUTED_VALUE"""),0.857142857142857)</f>
        <v>0.85714285714285698</v>
      </c>
      <c r="V576" s="25">
        <f ca="1">IFERROR(__xludf.DUMMYFUNCTION("""COMPUTED_VALUE"""),0)</f>
        <v>0</v>
      </c>
      <c r="W576" s="4"/>
      <c r="X576" s="4" t="str">
        <f ca="1">IFERROR(__xludf.DUMMYFUNCTION("""COMPUTED_VALUE"""),"| 1 L PHP-CGM % | 6 L JAVA % | 7 P JAVA % ")</f>
        <v xml:space="preserve">| 1 L PHP-CGM % | 6 L JAVA % | 7 P JAVA % </v>
      </c>
      <c r="Y576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Z576" s="4" t="str">
        <f ca="1">IFERROR(__xludf.DUMMYFUNCTION("""COMPUTED_VALUE"""),"| 5 L CPT @ | 6 L PHP-CGM @ | 7 P Python @ | 9 P NS @ ")</f>
        <v xml:space="preserve">| 5 L CPT @ | 6 L PHP-CGM @ | 7 P Python @ | 9 P NS @ </v>
      </c>
      <c r="AA576" s="4" t="str">
        <f ca="1">IFERROR(__xludf.DUMMYFUNCTION("""COMPUTED_VALUE"""),"| 5 L NS % | 6 L CPT % | 7 P PRO % | 9 P PHP-CGM % ")</f>
        <v xml:space="preserve">| 5 L NS % | 6 L CPT % | 7 P PRO % | 9 P PHP-CGM % </v>
      </c>
      <c r="AB576" s="4" t="str">
        <f ca="1">IFERROR(__xludf.DUMMYFUNCTION("""COMPUTED_VALUE"""),"| 5 L NS % | 6 L JAVA % | 7 P Python % | 9 P CPT % ")</f>
        <v xml:space="preserve">| 5 L NS % | 6 L JAVA % | 7 P Python % | 9 P CPT % </v>
      </c>
      <c r="AC576" s="4" t="str">
        <f ca="1">IFERROR(__xludf.DUMMYFUNCTION("""COMPUTED_VALUE"""),"| 1 L PHP-CGM % | 6 L JAVA % | 7 P JAVA % ")</f>
        <v xml:space="preserve">| 1 L PHP-CGM % | 6 L JAVA % | 7 P JAVA % </v>
      </c>
      <c r="AD576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76" s="4" t="str">
        <f ca="1">IFERROR(__xludf.DUMMYFUNCTION("""COMPUTED_VALUE"""),"| 5 L CPT % | 6 L PHP-CGM % | 7 P Python % | 9 P NS % ")</f>
        <v xml:space="preserve">| 5 L CPT % | 6 L PHP-CGM % | 7 P Python % | 9 P NS % </v>
      </c>
      <c r="AF576" s="4" t="str">
        <f ca="1">IFERROR(__xludf.DUMMYFUNCTION("""COMPUTED_VALUE"""),"| 5 L NS % | 6 L CPT % | 7 P PRO % | 9 P PHP-CGM % ")</f>
        <v xml:space="preserve">| 5 L NS % | 6 L CPT % | 7 P PRO % | 9 P PHP-CGM % </v>
      </c>
      <c r="AG576" s="4" t="str">
        <f ca="1">IFERROR(__xludf.DUMMYFUNCTION("""COMPUTED_VALUE"""),"| 5 L NS % | 6 L JAVA % | 7 P Python % | 9 P CPT % ")</f>
        <v xml:space="preserve">| 5 L NS % | 6 L JAVA % | 7 P Python % | 9 P CPT % </v>
      </c>
      <c r="AH576" s="4" t="str">
        <f ca="1">IFERROR(__xludf.DUMMYFUNCTION("""COMPUTED_VALUE"""),"| 5 L NS % | 6 L CPT % | 7 P PRO % | 9 P PHP-CGM % ")</f>
        <v xml:space="preserve">| 5 L NS % | 6 L CPT % | 7 P PRO % | 9 P PHP-CGM % </v>
      </c>
      <c r="AI576" s="4" t="str">
        <f ca="1">IFERROR(__xludf.DUMMYFUNCTION("""COMPUTED_VALUE"""),"| 5 L NS @ | 6 L JAVA @ | 7 P Python @ | 9 P CPT @ ")</f>
        <v xml:space="preserve">| 5 L NS @ | 6 L JAVA @ | 7 P Python @ | 9 P CPT @ </v>
      </c>
      <c r="AJ576" s="4" t="str">
        <f ca="1">IFERROR(__xludf.DUMMYFUNCTION("""COMPUTED_VALUE"""),"| 1 L PHP-CGM % | 6 L JAVA % | 7 P JAVA % ")</f>
        <v xml:space="preserve">| 1 L PHP-CGM % | 6 L JAVA % | 7 P JAVA % </v>
      </c>
      <c r="AK576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76" s="4" t="str">
        <f ca="1">IFERROR(__xludf.DUMMYFUNCTION("""COMPUTED_VALUE"""),"| 5 L CPT % | 7 P Python % | 6 L PHP-CGM % | 9 P NS % ")</f>
        <v xml:space="preserve">| 5 L CPT % | 7 P Python % | 6 L PHP-CGM % | 9 P NS % </v>
      </c>
      <c r="AM576" s="4" t="str">
        <f ca="1">IFERROR(__xludf.DUMMYFUNCTION("""COMPUTED_VALUE"""),"| 5 L NS % | 6 L CPT % | 7 P PRO % ")</f>
        <v xml:space="preserve">| 5 L NS % | 6 L CPT % | 7 P PRO % </v>
      </c>
      <c r="AN576" s="4" t="str">
        <f ca="1">IFERROR(__xludf.DUMMYFUNCTION("""COMPUTED_VALUE"""),"| 5 L NS % | 6 L JAVA % ")</f>
        <v xml:space="preserve">| 5 L NS % | 6 L JAVA % </v>
      </c>
      <c r="AO576" s="4" t="str">
        <f ca="1">IFERROR(__xludf.DUMMYFUNCTION("""COMPUTED_VALUE"""),"| 1 L PHP-CGM % | 6 L JAVA % | 7 P JAVA % | 9 L INE % ")</f>
        <v xml:space="preserve">| 1 L PHP-CGM % | 6 L JAVA % | 7 P JAVA % | 9 L INE % </v>
      </c>
      <c r="AP576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76" s="4" t="str">
        <f ca="1">IFERROR(__xludf.DUMMYFUNCTION("""COMPUTED_VALUE"""),"| 5 L CPT % | 6 L PHP-CGM % ")</f>
        <v xml:space="preserve">| 5 L CPT % | 6 L PHP-CGM % </v>
      </c>
      <c r="AR576" s="4" t="str">
        <f ca="1">IFERROR(__xludf.DUMMYFUNCTION("""COMPUTED_VALUE"""),"| 5 L NS % | 6 L CPT % | 7 P PRO % | 9 P PHP-CGM % ")</f>
        <v xml:space="preserve">| 5 L NS % | 6 L CPT % | 7 P PRO % | 9 P PHP-CGM % </v>
      </c>
      <c r="AS576" s="4" t="str">
        <f ca="1">IFERROR(__xludf.DUMMYFUNCTION("""COMPUTED_VALUE"""),"| 1 L PHP-CGM % | 6 L JAVA % | 7 P JAVA % | 9 L INE % ")</f>
        <v xml:space="preserve">| 1 L PHP-CGM % | 6 L JAVA % | 7 P JAVA % | 9 L INE % </v>
      </c>
      <c r="AT576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76" s="4" t="str">
        <f ca="1">IFERROR(__xludf.DUMMYFUNCTION("""COMPUTED_VALUE"""),"| 5 L CPT % | 6 L PHP-CGM % | 7 P Python % | 9 P NS % ")</f>
        <v xml:space="preserve">| 5 L CPT % | 6 L PHP-CGM % | 7 P Python % | 9 P NS % </v>
      </c>
      <c r="AV576" s="4" t="str">
        <f ca="1">IFERROR(__xludf.DUMMYFUNCTION("""COMPUTED_VALUE"""),"| 5 L NS % | 6 L CPT % | 7 P PRO % | 9 P PHP-CGM % ")</f>
        <v xml:space="preserve">| 5 L NS % | 6 L CPT % | 7 P PRO % | 9 P PHP-CGM % </v>
      </c>
      <c r="AW576" s="4" t="str">
        <f ca="1">IFERROR(__xludf.DUMMYFUNCTION("""COMPUTED_VALUE"""),"| 5 L NS % | 6 L JAVA % | 7 P Python % ")</f>
        <v xml:space="preserve">| 5 L NS % | 6 L JAVA % | 7 P Python % </v>
      </c>
      <c r="AX576" s="4" t="str">
        <f ca="1">IFERROR(__xludf.DUMMYFUNCTION("""COMPUTED_VALUE"""),"| 1 L PHP-CGM % | 6 L JAVA % | 7 P JAVA % | 9 L INE % ")</f>
        <v xml:space="preserve">| 1 L PHP-CGM % | 6 L JAVA % | 7 P JAVA % | 9 L INE % </v>
      </c>
      <c r="AY576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76" s="4" t="str">
        <f ca="1">IFERROR(__xludf.DUMMYFUNCTION("""COMPUTED_VALUE"""),"| 5 L NS % | 6 L CPT % | 7 P PRO % ")</f>
        <v xml:space="preserve">| 5 L NS % | 6 L CPT % | 7 P PRO % </v>
      </c>
      <c r="BA576" s="4" t="str">
        <f ca="1">IFERROR(__xludf.DUMMYFUNCTION("""COMPUTED_VALUE"""),"| 5 L NS % | 6 L JAVA % | 7 P Python % | 9 P CPT @ ")</f>
        <v xml:space="preserve">| 5 L NS % | 6 L JAVA % | 7 P Python % | 9 P CPT @ </v>
      </c>
      <c r="BB576" s="4" t="str">
        <f ca="1">IFERROR(__xludf.DUMMYFUNCTION("""COMPUTED_VALUE"""),"| 1 L PHP-CGM % | 6 L JAVA % | 7 P JAVA % | 9 L INE % ")</f>
        <v xml:space="preserve">| 1 L PHP-CGM % | 6 L JAVA % | 7 P JAVA % | 9 L INE % </v>
      </c>
      <c r="BC576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76" s="4" t="str">
        <f ca="1">IFERROR(__xludf.DUMMYFUNCTION("""COMPUTED_VALUE"""),"| 5 L CPT % | 6 L PHP-CGM % | 7 P Python % | 9 P NS % ")</f>
        <v xml:space="preserve">| 5 L CPT % | 6 L PHP-CGM % | 7 P Python % | 9 P NS % </v>
      </c>
      <c r="BE576" s="4" t="str">
        <f ca="1">IFERROR(__xludf.DUMMYFUNCTION("""COMPUTED_VALUE"""),"| 5 L NS % | 6 L CPT % | 7 P PRO % | 9 P PHP-CGM % ")</f>
        <v xml:space="preserve">| 5 L NS % | 6 L CPT % | 7 P PRO % | 9 P PHP-CGM % </v>
      </c>
      <c r="BF576" s="4" t="str">
        <f ca="1">IFERROR(__xludf.DUMMYFUNCTION("""COMPUTED_VALUE"""),"| 5 L NS @ | 6 L JAVA % | 7 P Python % | 9 P CPT % ")</f>
        <v xml:space="preserve">| 5 L NS @ | 6 L JAVA % | 7 P Python % | 9 P CPT % </v>
      </c>
      <c r="BG576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76" s="4" t="str">
        <f ca="1">IFERROR(__xludf.DUMMYFUNCTION("""COMPUTED_VALUE"""),"| 5 L CPT % | 6 L PHP-CGM % | 7 P Python % | 9 P NS % ")</f>
        <v xml:space="preserve">| 5 L CPT % | 6 L PHP-CGM % | 7 P Python % | 9 P NS % </v>
      </c>
      <c r="BI576" s="4" t="str">
        <f ca="1">IFERROR(__xludf.DUMMYFUNCTION("""COMPUTED_VALUE"""),"| 5 L NS % | 6 L CPT % | 7 P PRO % | 9 P PHP-CGM % ")</f>
        <v xml:space="preserve">| 5 L NS % | 6 L CPT % | 7 P PRO % | 9 P PHP-CGM % </v>
      </c>
      <c r="BJ576" s="4" t="str">
        <f ca="1">IFERROR(__xludf.DUMMYFUNCTION("""COMPUTED_VALUE"""),"| 5 L NS % | 6 L JAVA % | 7 P Python @ ")</f>
        <v xml:space="preserve">| 5 L NS % | 6 L JAVA % | 7 P Python @ </v>
      </c>
      <c r="BK576" s="4" t="str">
        <f ca="1">IFERROR(__xludf.DUMMYFUNCTION("""COMPUTED_VALUE"""),"| 1 L PHP-CGM % | 6 L JAVA % | 7 P JAVA % | 9 L INE % ")</f>
        <v xml:space="preserve">| 1 L PHP-CGM % | 6 L JAVA % | 7 P JAVA % | 9 L INE % </v>
      </c>
      <c r="BL576" s="4" t="str">
        <f ca="1">IFERROR(__xludf.DUMMYFUNCTION("""COMPUTED_VALUE"""),"| 5 L JAVA @ | 6 L NS @ | 7 P JAVA % | 9 L CPT % | 10 L PHP-CGM % ")</f>
        <v xml:space="preserve">| 5 L JAVA @ | 6 L NS @ | 7 P JAVA % | 9 L CPT % | 10 L PHP-CGM % </v>
      </c>
      <c r="BM576" s="4" t="str">
        <f ca="1">IFERROR(__xludf.DUMMYFUNCTION("""COMPUTED_VALUE"""),"| 5 L CPT @ | 6 L PHP-CGM @ | 7 P Python % ")</f>
        <v xml:space="preserve">| 5 L CPT @ | 6 L PHP-CGM @ | 7 P Python % </v>
      </c>
      <c r="BN576" s="4" t="str">
        <f ca="1">IFERROR(__xludf.DUMMYFUNCTION("""COMPUTED_VALUE"""),"| 5 L NS @ | 6 L CPT @ | 7 P PRO % | 9 P PHP-CGM % ")</f>
        <v xml:space="preserve">| 5 L NS @ | 6 L CPT @ | 7 P PRO % | 9 P PHP-CGM % </v>
      </c>
      <c r="BO576" s="4" t="str">
        <f ca="1">IFERROR(__xludf.DUMMYFUNCTION("""COMPUTED_VALUE"""),"| 5 L NS % | 6 L JAVA % ")</f>
        <v xml:space="preserve">| 5 L NS % | 6 L JAVA % </v>
      </c>
      <c r="BP576" s="4" t="str">
        <f ca="1">IFERROR(__xludf.DUMMYFUNCTION("""COMPUTED_VALUE"""),"| 1 L PHP-CGM @ | 6 L JAVA @ | 7 P JAVA @ | 9 L INE @ ")</f>
        <v xml:space="preserve">| 1 L PHP-CGM @ | 6 L JAVA @ | 7 P JAVA @ | 9 L INE @ </v>
      </c>
      <c r="BQ576" s="4" t="str">
        <f ca="1">IFERROR(__xludf.DUMMYFUNCTION("""COMPUTED_VALUE"""),"| 5 L CPT @ ")</f>
        <v xml:space="preserve">| 5 L CPT @ </v>
      </c>
      <c r="BR576" s="4"/>
      <c r="BS576" s="4" t="str">
        <f ca="1">IFERROR(__xludf.DUMMYFUNCTION("""COMPUTED_VALUE"""),"| 6 L CPT % ")</f>
        <v xml:space="preserve">| 6 L CPT % </v>
      </c>
      <c r="BT576" s="4" t="str">
        <f ca="1">IFERROR(__xludf.DUMMYFUNCTION("""COMPUTED_VALUE"""),"| 7 P JAVA @ ")</f>
        <v xml:space="preserve">| 7 P JAVA @ </v>
      </c>
      <c r="BU576" s="4" t="str">
        <f ca="1">IFERROR(__xludf.DUMMYFUNCTION("""COMPUTED_VALUE"""),"| 7 P JAVA % ")</f>
        <v xml:space="preserve">| 7 P JAVA % </v>
      </c>
      <c r="BV576" s="4" t="str">
        <f ca="1">IFERROR(__xludf.DUMMYFUNCTION("""COMPUTED_VALUE"""),"| 5 L PHP-CGM % | 6 L JAVA % | 7 P JAVA % ")</f>
        <v xml:space="preserve">| 5 L PHP-CGM % | 6 L JAVA % | 7 P JAVA % </v>
      </c>
      <c r="BW576" s="4"/>
      <c r="BX576" s="4" t="str">
        <f ca="1">IFERROR(__xludf.DUMMYFUNCTION("""COMPUTED_VALUE"""),"| 5 L CPT % | 7 P Python % | 9 P NS % | 6 L PHP-CGM % ")</f>
        <v xml:space="preserve">| 5 L CPT % | 7 P Python % | 9 P NS % | 6 L PHP-CGM % </v>
      </c>
      <c r="BY576" s="4" t="str">
        <f ca="1">IFERROR(__xludf.DUMMYFUNCTION("""COMPUTED_VALUE"""),"| 5 L NS % | 6 L CPT % | 7 P PRO % | 9 P PHP-CGM % ")</f>
        <v xml:space="preserve">| 5 L NS % | 6 L CPT % | 7 P PRO % | 9 P PHP-CGM % </v>
      </c>
      <c r="BZ576" s="4" t="str">
        <f ca="1">IFERROR(__xludf.DUMMYFUNCTION("""COMPUTED_VALUE"""),"| 5 L NS % | 6 L JAVA % | 7 P Python % | 9 P CPT % ")</f>
        <v xml:space="preserve">| 5 L NS % | 6 L JAVA % | 7 P Python % | 9 P CPT % </v>
      </c>
      <c r="CA576" s="4" t="str">
        <f ca="1">IFERROR(__xludf.DUMMYFUNCTION("""COMPUTED_VALUE"""),"| 1 L PHP-CGM % | 6 L JAVA % | 7 P JAVA % ")</f>
        <v xml:space="preserve">| 1 L PHP-CGM % | 6 L JAVA % | 7 P JAVA % </v>
      </c>
      <c r="CB576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CC576" s="4" t="str">
        <f ca="1">IFERROR(__xludf.DUMMYFUNCTION("""COMPUTED_VALUE"""),"| 5 L CPT % | 6 L PHP-CGM % | 7 P Python % | 9 P NS % ")</f>
        <v xml:space="preserve">| 5 L CPT % | 6 L PHP-CGM % | 7 P Python % | 9 P NS % </v>
      </c>
      <c r="CD576" s="4" t="str">
        <f ca="1">IFERROR(__xludf.DUMMYFUNCTION("""COMPUTED_VALUE"""),"| 5 L NS % | 6 L CPT % | 7 P PRO % ")</f>
        <v xml:space="preserve">| 5 L NS % | 6 L CPT % | 7 P PRO % </v>
      </c>
      <c r="CE576" s="4" t="str">
        <f ca="1">IFERROR(__xludf.DUMMYFUNCTION("""COMPUTED_VALUE"""),"| 5 L NS % | 6 L JAVA % | 7 P Python % | 9 P CPT % ")</f>
        <v xml:space="preserve">| 5 L NS % | 6 L JAVA % | 7 P Python % | 9 P CPT % </v>
      </c>
      <c r="CF576" s="4" t="str">
        <f ca="1">IFERROR(__xludf.DUMMYFUNCTION("""COMPUTED_VALUE"""),"| 5 L PHP-CGM % | 6 L JAVA % | 9 L INE % ")</f>
        <v xml:space="preserve">| 5 L PHP-CGM % | 6 L JAVA % | 9 L INE % </v>
      </c>
      <c r="CG576" s="4" t="str">
        <f ca="1">IFERROR(__xludf.DUMMYFUNCTION("""COMPUTED_VALUE"""),"| 5 L JAVA % | 6 L NS % ")</f>
        <v xml:space="preserve">| 5 L JAVA % | 6 L NS % </v>
      </c>
      <c r="CH576" s="4" t="str">
        <f ca="1">IFERROR(__xludf.DUMMYFUNCTION("""COMPUTED_VALUE"""),"| 5 L CPT % | 7 P Python % | 9 P NS % ")</f>
        <v xml:space="preserve">| 5 L CPT % | 7 P Python % | 9 P NS % </v>
      </c>
      <c r="CI576" s="4" t="str">
        <f ca="1">IFERROR(__xludf.DUMMYFUNCTION("""COMPUTED_VALUE"""),"| 5 L NS % | 6 L CPT % ")</f>
        <v xml:space="preserve">| 5 L NS % | 6 L CPT % </v>
      </c>
      <c r="CJ576" s="4" t="str">
        <f ca="1">IFERROR(__xludf.DUMMYFUNCTION("""COMPUTED_VALUE"""),"| 5 L NS @ ")</f>
        <v xml:space="preserve">| 5 L NS @ </v>
      </c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</row>
    <row r="577" spans="1:102" ht="12.5" x14ac:dyDescent="0.25">
      <c r="A577" s="3">
        <f ca="1">IFERROR(__xludf.DUMMYFUNCTION("""COMPUTED_VALUE"""),1)</f>
        <v>1</v>
      </c>
      <c r="B577" s="3" t="str">
        <f ca="1">IFERROR(__xludf.DUMMYFUNCTION("""COMPUTED_VALUE"""),"ITD")</f>
        <v>ITD</v>
      </c>
      <c r="C577" s="32" t="str">
        <f ca="1">IFERROR(__xludf.DUMMYFUNCTION("""COMPUTED_VALUE"""),"23171371002")</f>
        <v>23171371002</v>
      </c>
      <c r="D577" s="4" t="str">
        <f ca="1">IFERROR(__xludf.DUMMYFUNCTION("""COMPUTED_VALUE"""),"ARYA PATEL")</f>
        <v>ARYA PATEL</v>
      </c>
      <c r="E577" s="3" t="str">
        <f ca="1">IFERROR(__xludf.DUMMYFUNCTION("""COMPUTED_VALUE"""),"SRC - Eve")</f>
        <v>SRC - Eve</v>
      </c>
      <c r="F577" s="3">
        <f ca="1">IFERROR(__xludf.DUMMYFUNCTION("""COMPUTED_VALUE"""),8849753022)</f>
        <v>8849753022</v>
      </c>
      <c r="G577" s="3">
        <f ca="1">IFERROR(__xludf.DUMMYFUNCTION("""COMPUTED_VALUE"""),9429236627)</f>
        <v>9429236627</v>
      </c>
      <c r="H577" s="33">
        <f ca="1">IFERROR(__xludf.DUMMYFUNCTION("""COMPUTED_VALUE"""),0.691964285714285)</f>
        <v>0.69196428571428503</v>
      </c>
      <c r="I577" s="25">
        <f ca="1">IFERROR(__xludf.DUMMYFUNCTION("""COMPUTED_VALUE"""),0.722222222222222)</f>
        <v>0.72222222222222199</v>
      </c>
      <c r="J577" s="25">
        <f ca="1">IFERROR(__xludf.DUMMYFUNCTION("""COMPUTED_VALUE"""),0.857142857142857)</f>
        <v>0.85714285714285698</v>
      </c>
      <c r="K577" s="25">
        <f ca="1">IFERROR(__xludf.DUMMYFUNCTION("""COMPUTED_VALUE"""),0.638888888888888)</f>
        <v>0.63888888888888795</v>
      </c>
      <c r="L577" s="25">
        <f ca="1">IFERROR(__xludf.DUMMYFUNCTION("""COMPUTED_VALUE"""),0.888888888888888)</f>
        <v>0.88888888888888795</v>
      </c>
      <c r="M577" s="25">
        <f ca="1">IFERROR(__xludf.DUMMYFUNCTION("""COMPUTED_VALUE"""),0.59375)</f>
        <v>0.59375</v>
      </c>
      <c r="N577" s="25">
        <f ca="1">IFERROR(__xludf.DUMMYFUNCTION("""COMPUTED_VALUE"""),0.888888888888888)</f>
        <v>0.88888888888888795</v>
      </c>
      <c r="O577" s="25">
        <f ca="1">IFERROR(__xludf.DUMMYFUNCTION("""COMPUTED_VALUE"""),0.617647058823529)</f>
        <v>0.61764705882352899</v>
      </c>
      <c r="P577" s="25">
        <f ca="1">IFERROR(__xludf.DUMMYFUNCTION("""COMPUTED_VALUE"""),0.608695652173913)</f>
        <v>0.60869565217391297</v>
      </c>
      <c r="Q577" s="25">
        <f ca="1">IFERROR(__xludf.DUMMYFUNCTION("""COMPUTED_VALUE"""),0)</f>
        <v>0</v>
      </c>
      <c r="R577" s="25">
        <f ca="1">IFERROR(__xludf.DUMMYFUNCTION("""COMPUTED_VALUE"""),0.894736842105263)</f>
        <v>0.89473684210526305</v>
      </c>
      <c r="S577" s="25">
        <f ca="1">IFERROR(__xludf.DUMMYFUNCTION("""COMPUTED_VALUE"""),0)</f>
        <v>0</v>
      </c>
      <c r="T577" s="25">
        <f ca="1">IFERROR(__xludf.DUMMYFUNCTION("""COMPUTED_VALUE"""),0.75)</f>
        <v>0.75</v>
      </c>
      <c r="U577" s="25">
        <f ca="1">IFERROR(__xludf.DUMMYFUNCTION("""COMPUTED_VALUE"""),0.571428571428571)</f>
        <v>0.57142857142857095</v>
      </c>
      <c r="V577" s="25">
        <f ca="1">IFERROR(__xludf.DUMMYFUNCTION("""COMPUTED_VALUE"""),0)</f>
        <v>0</v>
      </c>
      <c r="W577" s="4"/>
      <c r="X577" s="4" t="str">
        <f ca="1">IFERROR(__xludf.DUMMYFUNCTION("""COMPUTED_VALUE"""),"| 1 L PHP-CGM @ | 6 L JAVA @ | 7 P JAVA % ")</f>
        <v xml:space="preserve">| 1 L PHP-CGM @ | 6 L JAVA @ | 7 P JAVA % </v>
      </c>
      <c r="Y577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Z577" s="4" t="str">
        <f ca="1">IFERROR(__xludf.DUMMYFUNCTION("""COMPUTED_VALUE"""),"| 5 L CPT % | 6 L PHP-CGM % | 7 P Python % | 9 P NS % ")</f>
        <v xml:space="preserve">| 5 L CPT % | 6 L PHP-CGM % | 7 P Python % | 9 P NS % </v>
      </c>
      <c r="AA577" s="4" t="str">
        <f ca="1">IFERROR(__xludf.DUMMYFUNCTION("""COMPUTED_VALUE"""),"| 5 L NS % | 6 L CPT % | 7 P PRO @ | 9 P PHP-CGM % ")</f>
        <v xml:space="preserve">| 5 L NS % | 6 L CPT % | 7 P PRO @ | 9 P PHP-CGM % </v>
      </c>
      <c r="AB577" s="4" t="str">
        <f ca="1">IFERROR(__xludf.DUMMYFUNCTION("""COMPUTED_VALUE"""),"| 5 L NS % | 6 L JAVA % | 7 P Python % | 9 P CPT % ")</f>
        <v xml:space="preserve">| 5 L NS % | 6 L JAVA % | 7 P Python % | 9 P CPT % </v>
      </c>
      <c r="AC577" s="4" t="str">
        <f ca="1">IFERROR(__xludf.DUMMYFUNCTION("""COMPUTED_VALUE"""),"| 1 L PHP-CGM % | 6 L JAVA % | 7 P JAVA % ")</f>
        <v xml:space="preserve">| 1 L PHP-CGM % | 6 L JAVA % | 7 P JAVA % </v>
      </c>
      <c r="AD577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77" s="4" t="str">
        <f ca="1">IFERROR(__xludf.DUMMYFUNCTION("""COMPUTED_VALUE"""),"| 5 L CPT % | 6 L PHP-CGM % | 7 P Python % | 9 P NS % ")</f>
        <v xml:space="preserve">| 5 L CPT % | 6 L PHP-CGM % | 7 P Python % | 9 P NS % </v>
      </c>
      <c r="AF577" s="4" t="str">
        <f ca="1">IFERROR(__xludf.DUMMYFUNCTION("""COMPUTED_VALUE"""),"| 5 L NS % | 6 L CPT % | 7 P PRO % | 9 P PHP-CGM % ")</f>
        <v xml:space="preserve">| 5 L NS % | 6 L CPT % | 7 P PRO % | 9 P PHP-CGM % </v>
      </c>
      <c r="AG577" s="4" t="str">
        <f ca="1">IFERROR(__xludf.DUMMYFUNCTION("""COMPUTED_VALUE"""),"| 5 L NS % | 6 L JAVA % | 7 P Python % | 9 P CPT % ")</f>
        <v xml:space="preserve">| 5 L NS % | 6 L JAVA % | 7 P Python % | 9 P CPT % </v>
      </c>
      <c r="AH577" s="4" t="str">
        <f ca="1">IFERROR(__xludf.DUMMYFUNCTION("""COMPUTED_VALUE"""),"| 5 L NS % | 6 L CPT % | 7 P PRO % | 9 P PHP-CGM % ")</f>
        <v xml:space="preserve">| 5 L NS % | 6 L CPT % | 7 P PRO % | 9 P PHP-CGM % </v>
      </c>
      <c r="AI577" s="4" t="str">
        <f ca="1">IFERROR(__xludf.DUMMYFUNCTION("""COMPUTED_VALUE"""),"| 5 L NS % | 6 L JAVA % | 7 P Python % | 9 P CPT % ")</f>
        <v xml:space="preserve">| 5 L NS % | 6 L JAVA % | 7 P Python % | 9 P CPT % </v>
      </c>
      <c r="AJ577" s="4" t="str">
        <f ca="1">IFERROR(__xludf.DUMMYFUNCTION("""COMPUTED_VALUE"""),"| 1 L PHP-CGM @ | 6 L JAVA @ | 7 P JAVA @ ")</f>
        <v xml:space="preserve">| 1 L PHP-CGM @ | 6 L JAVA @ | 7 P JAVA @ </v>
      </c>
      <c r="AK577" s="4" t="str">
        <f ca="1">IFERROR(__xludf.DUMMYFUNCTION("""COMPUTED_VALUE"""),"| 5 L JAVA @ | 6 L NS @ | 7 P JAVA @ | 9 L CPT @ | 6 L PHP-CGM @ ")</f>
        <v xml:space="preserve">| 5 L JAVA @ | 6 L NS @ | 7 P JAVA @ | 9 L CPT @ | 6 L PHP-CGM @ </v>
      </c>
      <c r="AL577" s="4" t="str">
        <f ca="1">IFERROR(__xludf.DUMMYFUNCTION("""COMPUTED_VALUE"""),"| 5 L CPT @ | 7 P Python @ | 6 L PHP-CGM @ | 9 P NS @ ")</f>
        <v xml:space="preserve">| 5 L CPT @ | 7 P Python @ | 6 L PHP-CGM @ | 9 P NS @ </v>
      </c>
      <c r="AM577" s="4" t="str">
        <f ca="1">IFERROR(__xludf.DUMMYFUNCTION("""COMPUTED_VALUE"""),"| 5 L NS @ | 6 L CPT @ | 7 P PRO @ ")</f>
        <v xml:space="preserve">| 5 L NS @ | 6 L CPT @ | 7 P PRO @ </v>
      </c>
      <c r="AN577" s="4" t="str">
        <f ca="1">IFERROR(__xludf.DUMMYFUNCTION("""COMPUTED_VALUE"""),"| 5 L NS @ | 6 L JAVA @ ")</f>
        <v xml:space="preserve">| 5 L NS @ | 6 L JAVA @ </v>
      </c>
      <c r="AO577" s="4" t="str">
        <f ca="1">IFERROR(__xludf.DUMMYFUNCTION("""COMPUTED_VALUE"""),"| 1 L PHP-CGM @ | 6 L JAVA @ | 7 P JAVA @ | 9 L INE @ ")</f>
        <v xml:space="preserve">| 1 L PHP-CGM @ | 6 L JAVA @ | 7 P JAVA @ | 9 L INE @ </v>
      </c>
      <c r="AP577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AQ577" s="4" t="str">
        <f ca="1">IFERROR(__xludf.DUMMYFUNCTION("""COMPUTED_VALUE"""),"| 5 L CPT @ | 6 L PHP-CGM @ ")</f>
        <v xml:space="preserve">| 5 L CPT @ | 6 L PHP-CGM @ </v>
      </c>
      <c r="AR577" s="4" t="str">
        <f ca="1">IFERROR(__xludf.DUMMYFUNCTION("""COMPUTED_VALUE"""),"| 5 L NS @ | 6 L CPT @ | 7 P PRO @ | 9 P PHP-CGM @ ")</f>
        <v xml:space="preserve">| 5 L NS @ | 6 L CPT @ | 7 P PRO @ | 9 P PHP-CGM @ </v>
      </c>
      <c r="AS577" s="4" t="str">
        <f ca="1">IFERROR(__xludf.DUMMYFUNCTION("""COMPUTED_VALUE"""),"| 1 L PHP-CGM @ | 6 L JAVA @ | 7 P JAVA @ | 9 L INE @ ")</f>
        <v xml:space="preserve">| 1 L PHP-CGM @ | 6 L JAVA @ | 7 P JAVA @ | 9 L INE @ </v>
      </c>
      <c r="AT577" s="4" t="str">
        <f ca="1">IFERROR(__xludf.DUMMYFUNCTION("""COMPUTED_VALUE"""),"| 5 L JAVA @ | 6 L NS @ | 9 P JAVA % | 9 L CPT % | 6 L PHP-CGM % ")</f>
        <v xml:space="preserve">| 5 L JAVA @ | 6 L NS @ | 9 P JAVA % | 9 L CPT % | 6 L PHP-CGM % </v>
      </c>
      <c r="AU577" s="4" t="str">
        <f ca="1">IFERROR(__xludf.DUMMYFUNCTION("""COMPUTED_VALUE"""),"| 5 L CPT % | 6 L PHP-CGM % | 7 P Python % | 9 P NS % ")</f>
        <v xml:space="preserve">| 5 L CPT % | 6 L PHP-CGM % | 7 P Python % | 9 P NS % </v>
      </c>
      <c r="AV577" s="4" t="str">
        <f ca="1">IFERROR(__xludf.DUMMYFUNCTION("""COMPUTED_VALUE"""),"| 5 L NS % | 6 L CPT % | 7 P PRO % | 9 P PHP-CGM % ")</f>
        <v xml:space="preserve">| 5 L NS % | 6 L CPT % | 7 P PRO % | 9 P PHP-CGM % </v>
      </c>
      <c r="AW577" s="4" t="str">
        <f ca="1">IFERROR(__xludf.DUMMYFUNCTION("""COMPUTED_VALUE"""),"| 5 L NS % | 6 L JAVA % | 7 P Python % ")</f>
        <v xml:space="preserve">| 5 L NS % | 6 L JAVA % | 7 P Python % </v>
      </c>
      <c r="AX577" s="4" t="str">
        <f ca="1">IFERROR(__xludf.DUMMYFUNCTION("""COMPUTED_VALUE"""),"| 1 L PHP-CGM % | 6 L JAVA % | 7 P JAVA % | 9 L INE % ")</f>
        <v xml:space="preserve">| 1 L PHP-CGM % | 6 L JAVA % | 7 P JAVA % | 9 L INE % </v>
      </c>
      <c r="AY577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77" s="4" t="str">
        <f ca="1">IFERROR(__xludf.DUMMYFUNCTION("""COMPUTED_VALUE"""),"| 5 L NS % | 6 L CPT % | 7 P PRO % ")</f>
        <v xml:space="preserve">| 5 L NS % | 6 L CPT % | 7 P PRO % </v>
      </c>
      <c r="BA577" s="4" t="str">
        <f ca="1">IFERROR(__xludf.DUMMYFUNCTION("""COMPUTED_VALUE"""),"| 5 L NS % | 6 L JAVA % | 7 P Python % | 9 P CPT % ")</f>
        <v xml:space="preserve">| 5 L NS % | 6 L JAVA % | 7 P Python % | 9 P CPT % </v>
      </c>
      <c r="BB577" s="4" t="str">
        <f ca="1">IFERROR(__xludf.DUMMYFUNCTION("""COMPUTED_VALUE"""),"| 1 L PHP-CGM % | 6 L JAVA % | 7 P JAVA % | 9 L INE % ")</f>
        <v xml:space="preserve">| 1 L PHP-CGM % | 6 L JAVA % | 7 P JAVA % | 9 L INE % </v>
      </c>
      <c r="BC577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77" s="4" t="str">
        <f ca="1">IFERROR(__xludf.DUMMYFUNCTION("""COMPUTED_VALUE"""),"| 5 L CPT % | 6 L PHP-CGM % | 7 P Python % | 9 P NS % ")</f>
        <v xml:space="preserve">| 5 L CPT % | 6 L PHP-CGM % | 7 P Python % | 9 P NS % </v>
      </c>
      <c r="BE577" s="4" t="str">
        <f ca="1">IFERROR(__xludf.DUMMYFUNCTION("""COMPUTED_VALUE"""),"| 5 L NS % | 6 L CPT % | 7 P PRO % | 9 P PHP-CGM % ")</f>
        <v xml:space="preserve">| 5 L NS % | 6 L CPT % | 7 P PRO % | 9 P PHP-CGM % </v>
      </c>
      <c r="BF577" s="4" t="str">
        <f ca="1">IFERROR(__xludf.DUMMYFUNCTION("""COMPUTED_VALUE"""),"| 5 L NS @ | 6 L JAVA % | 7 P Python % | 9 P CPT % ")</f>
        <v xml:space="preserve">| 5 L NS @ | 6 L JAVA % | 7 P Python % | 9 P CPT % </v>
      </c>
      <c r="BG577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77" s="4" t="str">
        <f ca="1">IFERROR(__xludf.DUMMYFUNCTION("""COMPUTED_VALUE"""),"| 5 L CPT % | 6 L PHP-CGM % | 7 P Python % | 9 P NS % ")</f>
        <v xml:space="preserve">| 5 L CPT % | 6 L PHP-CGM % | 7 P Python % | 9 P NS % </v>
      </c>
      <c r="BI577" s="4" t="str">
        <f ca="1">IFERROR(__xludf.DUMMYFUNCTION("""COMPUTED_VALUE"""),"| 5 L NS % | 6 L CPT % | 7 P PRO % | 9 P PHP-CGM % ")</f>
        <v xml:space="preserve">| 5 L NS % | 6 L CPT % | 7 P PRO % | 9 P PHP-CGM % </v>
      </c>
      <c r="BJ577" s="4" t="str">
        <f ca="1">IFERROR(__xludf.DUMMYFUNCTION("""COMPUTED_VALUE"""),"| 5 L NS % | 6 L JAVA % | 7 P Python @ ")</f>
        <v xml:space="preserve">| 5 L NS % | 6 L JAVA % | 7 P Python @ </v>
      </c>
      <c r="BK577" s="4" t="str">
        <f ca="1">IFERROR(__xludf.DUMMYFUNCTION("""COMPUTED_VALUE"""),"| 1 L PHP-CGM % | 6 L JAVA % | 7 P JAVA % | 9 L INE % ")</f>
        <v xml:space="preserve">| 1 L PHP-CGM % | 6 L JAVA % | 7 P JAVA % | 9 L INE % </v>
      </c>
      <c r="BL577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M577" s="4" t="str">
        <f ca="1">IFERROR(__xludf.DUMMYFUNCTION("""COMPUTED_VALUE"""),"| 5 L CPT % | 6 L PHP-CGM % | 7 P Python % ")</f>
        <v xml:space="preserve">| 5 L CPT % | 6 L PHP-CGM % | 7 P Python % </v>
      </c>
      <c r="BN577" s="4" t="str">
        <f ca="1">IFERROR(__xludf.DUMMYFUNCTION("""COMPUTED_VALUE"""),"| 5 L NS % | 6 L CPT % | 7 P PRO % | 9 P PHP-CGM % ")</f>
        <v xml:space="preserve">| 5 L NS % | 6 L CPT % | 7 P PRO % | 9 P PHP-CGM % </v>
      </c>
      <c r="BO577" s="4" t="str">
        <f ca="1">IFERROR(__xludf.DUMMYFUNCTION("""COMPUTED_VALUE"""),"| 5 L NS % | 6 L JAVA % ")</f>
        <v xml:space="preserve">| 5 L NS % | 6 L JAVA % </v>
      </c>
      <c r="BP577" s="4" t="str">
        <f ca="1">IFERROR(__xludf.DUMMYFUNCTION("""COMPUTED_VALUE"""),"| 1 L PHP-CGM @ | 6 L JAVA @ | 7 P JAVA @ | 9 L INE @ ")</f>
        <v xml:space="preserve">| 1 L PHP-CGM @ | 6 L JAVA @ | 7 P JAVA @ | 9 L INE @ </v>
      </c>
      <c r="BQ577" s="4" t="str">
        <f ca="1">IFERROR(__xludf.DUMMYFUNCTION("""COMPUTED_VALUE"""),"| 5 L CPT % ")</f>
        <v xml:space="preserve">| 5 L CPT % </v>
      </c>
      <c r="BR577" s="4"/>
      <c r="BS577" s="4" t="str">
        <f ca="1">IFERROR(__xludf.DUMMYFUNCTION("""COMPUTED_VALUE"""),"| 6 L CPT % ")</f>
        <v xml:space="preserve">| 6 L CPT % </v>
      </c>
      <c r="BT577" s="4" t="str">
        <f ca="1">IFERROR(__xludf.DUMMYFUNCTION("""COMPUTED_VALUE"""),"| 7 P JAVA % ")</f>
        <v xml:space="preserve">| 7 P JAVA % </v>
      </c>
      <c r="BU577" s="4" t="str">
        <f ca="1">IFERROR(__xludf.DUMMYFUNCTION("""COMPUTED_VALUE"""),"| 7 P JAVA @ ")</f>
        <v xml:space="preserve">| 7 P JAVA @ </v>
      </c>
      <c r="BV577" s="4" t="str">
        <f ca="1">IFERROR(__xludf.DUMMYFUNCTION("""COMPUTED_VALUE"""),"| 5 L PHP-CGM @ | 6 L JAVA @ | 7 P JAVA @ ")</f>
        <v xml:space="preserve">| 5 L PHP-CGM @ | 6 L JAVA @ | 7 P JAVA @ </v>
      </c>
      <c r="BW577" s="4"/>
      <c r="BX577" s="4" t="str">
        <f ca="1">IFERROR(__xludf.DUMMYFUNCTION("""COMPUTED_VALUE"""),"| 5 L CPT % | 7 P Python % | 9 P NS % | 6 L PHP-CGM % ")</f>
        <v xml:space="preserve">| 5 L CPT % | 7 P Python % | 9 P NS % | 6 L PHP-CGM % </v>
      </c>
      <c r="BY577" s="4" t="str">
        <f ca="1">IFERROR(__xludf.DUMMYFUNCTION("""COMPUTED_VALUE"""),"| 5 L NS % | 6 L CPT % | 7 P PRO % | 9 P PHP-CGM % ")</f>
        <v xml:space="preserve">| 5 L NS % | 6 L CPT % | 7 P PRO % | 9 P PHP-CGM % </v>
      </c>
      <c r="BZ577" s="4" t="str">
        <f ca="1">IFERROR(__xludf.DUMMYFUNCTION("""COMPUTED_VALUE"""),"| 5 L NS % | 6 L JAVA % | 7 P Python % | 9 P CPT % ")</f>
        <v xml:space="preserve">| 5 L NS % | 6 L JAVA % | 7 P Python % | 9 P CPT % </v>
      </c>
      <c r="CA577" s="4" t="str">
        <f ca="1">IFERROR(__xludf.DUMMYFUNCTION("""COMPUTED_VALUE"""),"| 1 L PHP-CGM % | 6 L JAVA % | 7 P JAVA % ")</f>
        <v xml:space="preserve">| 1 L PHP-CGM % | 6 L JAVA % | 7 P JAVA % </v>
      </c>
      <c r="CB577" s="4" t="str">
        <f ca="1">IFERROR(__xludf.DUMMYFUNCTION("""COMPUTED_VALUE"""),"| 5 L JAVA % | 6 L NS % | 7 P JAVA % | 9 L CPT % | 10 L PHP-CGM @ ")</f>
        <v xml:space="preserve">| 5 L JAVA % | 6 L NS % | 7 P JAVA % | 9 L CPT % | 10 L PHP-CGM @ </v>
      </c>
      <c r="CC577" s="4" t="str">
        <f ca="1">IFERROR(__xludf.DUMMYFUNCTION("""COMPUTED_VALUE"""),"| 5 L CPT % | 6 L PHP-CGM % | 7 P Python % | 9 P NS % ")</f>
        <v xml:space="preserve">| 5 L CPT % | 6 L PHP-CGM % | 7 P Python % | 9 P NS % </v>
      </c>
      <c r="CD577" s="4" t="str">
        <f ca="1">IFERROR(__xludf.DUMMYFUNCTION("""COMPUTED_VALUE"""),"| 5 L NS @ | 6 L CPT @ | 7 P PRO % ")</f>
        <v xml:space="preserve">| 5 L NS @ | 6 L CPT @ | 7 P PRO % </v>
      </c>
      <c r="CE577" s="4" t="str">
        <f ca="1">IFERROR(__xludf.DUMMYFUNCTION("""COMPUTED_VALUE"""),"| 5 L NS @ | 6 L JAVA @ | 7 P Python % | 9 P CPT @ ")</f>
        <v xml:space="preserve">| 5 L NS @ | 6 L JAVA @ | 7 P Python % | 9 P CPT @ </v>
      </c>
      <c r="CF577" s="4" t="str">
        <f ca="1">IFERROR(__xludf.DUMMYFUNCTION("""COMPUTED_VALUE"""),"| 5 L PHP-CGM @ | 6 L JAVA @ | 9 L INE % ")</f>
        <v xml:space="preserve">| 5 L PHP-CGM @ | 6 L JAVA @ | 9 L INE % </v>
      </c>
      <c r="CG577" s="4" t="str">
        <f ca="1">IFERROR(__xludf.DUMMYFUNCTION("""COMPUTED_VALUE"""),"| 5 L JAVA % | 6 L NS @ ")</f>
        <v xml:space="preserve">| 5 L JAVA % | 6 L NS @ </v>
      </c>
      <c r="CH577" s="4" t="str">
        <f ca="1">IFERROR(__xludf.DUMMYFUNCTION("""COMPUTED_VALUE"""),"| 5 L CPT @ | 7 P Python % | 9 P NS % ")</f>
        <v xml:space="preserve">| 5 L CPT @ | 7 P Python % | 9 P NS % </v>
      </c>
      <c r="CI577" s="4" t="str">
        <f ca="1">IFERROR(__xludf.DUMMYFUNCTION("""COMPUTED_VALUE"""),"| 5 L NS @ | 6 L CPT @ ")</f>
        <v xml:space="preserve">| 5 L NS @ | 6 L CPT @ </v>
      </c>
      <c r="CJ577" s="4" t="str">
        <f ca="1">IFERROR(__xludf.DUMMYFUNCTION("""COMPUTED_VALUE"""),"| 5 L NS @ ")</f>
        <v xml:space="preserve">| 5 L NS @ </v>
      </c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</row>
    <row r="578" spans="1:102" ht="12.5" x14ac:dyDescent="0.25">
      <c r="A578" s="3">
        <f ca="1">IFERROR(__xludf.DUMMYFUNCTION("""COMPUTED_VALUE"""),1)</f>
        <v>1</v>
      </c>
      <c r="B578" s="3" t="str">
        <f ca="1">IFERROR(__xludf.DUMMYFUNCTION("""COMPUTED_VALUE"""),"ITD")</f>
        <v>ITD</v>
      </c>
      <c r="C578" s="32" t="str">
        <f ca="1">IFERROR(__xludf.DUMMYFUNCTION("""COMPUTED_VALUE"""),"23171371005")</f>
        <v>23171371005</v>
      </c>
      <c r="D578" s="4" t="str">
        <f ca="1">IFERROR(__xludf.DUMMYFUNCTION("""COMPUTED_VALUE"""),"BAROT DHVANI VIVEKKUMAR")</f>
        <v>BAROT DHVANI VIVEKKUMAR</v>
      </c>
      <c r="E578" s="3" t="str">
        <f ca="1">IFERROR(__xludf.DUMMYFUNCTION("""COMPUTED_VALUE"""),"SRC - Eve")</f>
        <v>SRC - Eve</v>
      </c>
      <c r="F578" s="3">
        <f ca="1">IFERROR(__xludf.DUMMYFUNCTION("""COMPUTED_VALUE"""),9574663181)</f>
        <v>9574663181</v>
      </c>
      <c r="G578" s="3">
        <f ca="1">IFERROR(__xludf.DUMMYFUNCTION("""COMPUTED_VALUE"""),9574663181)</f>
        <v>9574663181</v>
      </c>
      <c r="H578" s="33">
        <f ca="1">IFERROR(__xludf.DUMMYFUNCTION("""COMPUTED_VALUE"""),0.65625)</f>
        <v>0.65625</v>
      </c>
      <c r="I578" s="25">
        <f ca="1">IFERROR(__xludf.DUMMYFUNCTION("""COMPUTED_VALUE"""),0.555555555555555)</f>
        <v>0.55555555555555503</v>
      </c>
      <c r="J578" s="25">
        <f ca="1">IFERROR(__xludf.DUMMYFUNCTION("""COMPUTED_VALUE"""),0.571428571428571)</f>
        <v>0.57142857142857095</v>
      </c>
      <c r="K578" s="25">
        <f ca="1">IFERROR(__xludf.DUMMYFUNCTION("""COMPUTED_VALUE"""),0.611111111111111)</f>
        <v>0.61111111111111105</v>
      </c>
      <c r="L578" s="25">
        <f ca="1">IFERROR(__xludf.DUMMYFUNCTION("""COMPUTED_VALUE"""),0.666666666666666)</f>
        <v>0.66666666666666596</v>
      </c>
      <c r="M578" s="25">
        <f ca="1">IFERROR(__xludf.DUMMYFUNCTION("""COMPUTED_VALUE"""),0.625)</f>
        <v>0.625</v>
      </c>
      <c r="N578" s="25">
        <f ca="1">IFERROR(__xludf.DUMMYFUNCTION("""COMPUTED_VALUE"""),0.777777777777777)</f>
        <v>0.77777777777777701</v>
      </c>
      <c r="O578" s="25">
        <f ca="1">IFERROR(__xludf.DUMMYFUNCTION("""COMPUTED_VALUE"""),0.764705882352941)</f>
        <v>0.76470588235294101</v>
      </c>
      <c r="P578" s="25">
        <f ca="1">IFERROR(__xludf.DUMMYFUNCTION("""COMPUTED_VALUE"""),0.739130434782608)</f>
        <v>0.73913043478260798</v>
      </c>
      <c r="Q578" s="25">
        <f ca="1">IFERROR(__xludf.DUMMYFUNCTION("""COMPUTED_VALUE"""),0)</f>
        <v>0</v>
      </c>
      <c r="R578" s="25">
        <f ca="1">IFERROR(__xludf.DUMMYFUNCTION("""COMPUTED_VALUE"""),0.631578947368421)</f>
        <v>0.63157894736842102</v>
      </c>
      <c r="S578" s="25">
        <f ca="1">IFERROR(__xludf.DUMMYFUNCTION("""COMPUTED_VALUE"""),0)</f>
        <v>0</v>
      </c>
      <c r="T578" s="25">
        <f ca="1">IFERROR(__xludf.DUMMYFUNCTION("""COMPUTED_VALUE"""),0.75)</f>
        <v>0.75</v>
      </c>
      <c r="U578" s="25">
        <f ca="1">IFERROR(__xludf.DUMMYFUNCTION("""COMPUTED_VALUE"""),0.571428571428571)</f>
        <v>0.57142857142857095</v>
      </c>
      <c r="V578" s="25">
        <f ca="1">IFERROR(__xludf.DUMMYFUNCTION("""COMPUTED_VALUE"""),0)</f>
        <v>0</v>
      </c>
      <c r="W578" s="4"/>
      <c r="X578" s="4" t="str">
        <f ca="1">IFERROR(__xludf.DUMMYFUNCTION("""COMPUTED_VALUE"""),"| 1 L PHP-CGM @ | 6 L JAVA @ | 7 P JAVA @ ")</f>
        <v xml:space="preserve">| 1 L PHP-CGM @ | 6 L JAVA @ | 7 P JAVA @ </v>
      </c>
      <c r="Y578" s="4" t="str">
        <f ca="1">IFERROR(__xludf.DUMMYFUNCTION("""COMPUTED_VALUE"""),"| 5 L JAVA % | 6 L NS @ | 9 P JAVA @ | 9 L CPT @ | 6 L PHP-CGM @ ")</f>
        <v xml:space="preserve">| 5 L JAVA % | 6 L NS @ | 9 P JAVA @ | 9 L CPT @ | 6 L PHP-CGM @ </v>
      </c>
      <c r="Z578" s="4" t="str">
        <f ca="1">IFERROR(__xludf.DUMMYFUNCTION("""COMPUTED_VALUE"""),"| 5 L CPT @ | 6 L PHP-CGM @ | 7 P Python @ | 9 P NS @ ")</f>
        <v xml:space="preserve">| 5 L CPT @ | 6 L PHP-CGM @ | 7 P Python @ | 9 P NS @ </v>
      </c>
      <c r="AA578" s="4" t="str">
        <f ca="1">IFERROR(__xludf.DUMMYFUNCTION("""COMPUTED_VALUE"""),"| 5 L NS @ | 6 L CPT @ | 7 P PRO @ | 9 P PHP-CGM @ ")</f>
        <v xml:space="preserve">| 5 L NS @ | 6 L CPT @ | 7 P PRO @ | 9 P PHP-CGM @ </v>
      </c>
      <c r="AB578" s="4" t="str">
        <f ca="1">IFERROR(__xludf.DUMMYFUNCTION("""COMPUTED_VALUE"""),"| 5 L NS @ | 6 L JAVA @ | 7 P Python @ | 9 P CPT @ ")</f>
        <v xml:space="preserve">| 5 L NS @ | 6 L JAVA @ | 7 P Python @ | 9 P CPT @ </v>
      </c>
      <c r="AC578" s="4" t="str">
        <f ca="1">IFERROR(__xludf.DUMMYFUNCTION("""COMPUTED_VALUE"""),"| 1 L PHP-CGM % | 6 L JAVA % | 7 P JAVA % ")</f>
        <v xml:space="preserve">| 1 L PHP-CGM % | 6 L JAVA % | 7 P JAVA % </v>
      </c>
      <c r="AD578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78" s="4" t="str">
        <f ca="1">IFERROR(__xludf.DUMMYFUNCTION("""COMPUTED_VALUE"""),"| 5 L CPT @ | 6 L PHP-CGM @ | 7 P Python @ | 9 P NS @ ")</f>
        <v xml:space="preserve">| 5 L CPT @ | 6 L PHP-CGM @ | 7 P Python @ | 9 P NS @ </v>
      </c>
      <c r="AF578" s="4" t="str">
        <f ca="1">IFERROR(__xludf.DUMMYFUNCTION("""COMPUTED_VALUE"""),"| 5 L NS % | 6 L CPT % | 7 P PRO % | 9 P PHP-CGM % ")</f>
        <v xml:space="preserve">| 5 L NS % | 6 L CPT % | 7 P PRO % | 9 P PHP-CGM % </v>
      </c>
      <c r="AG578" s="4" t="str">
        <f ca="1">IFERROR(__xludf.DUMMYFUNCTION("""COMPUTED_VALUE"""),"| 5 L NS % | 6 L JAVA % | 7 P Python % | 9 P CPT % ")</f>
        <v xml:space="preserve">| 5 L NS % | 6 L JAVA % | 7 P Python % | 9 P CPT % </v>
      </c>
      <c r="AH578" s="4" t="str">
        <f ca="1">IFERROR(__xludf.DUMMYFUNCTION("""COMPUTED_VALUE"""),"| 5 L NS % | 6 L CPT @ | 7 P PRO % | 9 P PHP-CGM % ")</f>
        <v xml:space="preserve">| 5 L NS % | 6 L CPT @ | 7 P PRO % | 9 P PHP-CGM % </v>
      </c>
      <c r="AI578" s="4" t="str">
        <f ca="1">IFERROR(__xludf.DUMMYFUNCTION("""COMPUTED_VALUE"""),"| 5 L NS @ | 6 L JAVA % | 7 P Python % | 9 P CPT % ")</f>
        <v xml:space="preserve">| 5 L NS @ | 6 L JAVA % | 7 P Python % | 9 P CPT % </v>
      </c>
      <c r="AJ578" s="4" t="str">
        <f ca="1">IFERROR(__xludf.DUMMYFUNCTION("""COMPUTED_VALUE"""),"| 1 L PHP-CGM @ | 6 L JAVA @ | 7 P JAVA @ ")</f>
        <v xml:space="preserve">| 1 L PHP-CGM @ | 6 L JAVA @ | 7 P JAVA @ </v>
      </c>
      <c r="AK578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78" s="4" t="str">
        <f ca="1">IFERROR(__xludf.DUMMYFUNCTION("""COMPUTED_VALUE"""),"| 5 L CPT % | 7 P Python % | 6 L PHP-CGM % | 9 P NS % ")</f>
        <v xml:space="preserve">| 5 L CPT % | 7 P Python % | 6 L PHP-CGM % | 9 P NS % </v>
      </c>
      <c r="AM578" s="4" t="str">
        <f ca="1">IFERROR(__xludf.DUMMYFUNCTION("""COMPUTED_VALUE"""),"| 5 L NS @ | 6 L CPT @ | 7 P PRO @ ")</f>
        <v xml:space="preserve">| 5 L NS @ | 6 L CPT @ | 7 P PRO @ </v>
      </c>
      <c r="AN578" s="4" t="str">
        <f ca="1">IFERROR(__xludf.DUMMYFUNCTION("""COMPUTED_VALUE"""),"| 5 L NS @ | 6 L JAVA @ ")</f>
        <v xml:space="preserve">| 5 L NS @ | 6 L JAVA @ </v>
      </c>
      <c r="AO578" s="4" t="str">
        <f ca="1">IFERROR(__xludf.DUMMYFUNCTION("""COMPUTED_VALUE"""),"| 1 L PHP-CGM % | 6 L JAVA @ | 7 P JAVA % | 9 L INE @ ")</f>
        <v xml:space="preserve">| 1 L PHP-CGM % | 6 L JAVA @ | 7 P JAVA % | 9 L INE @ </v>
      </c>
      <c r="AP578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78" s="4" t="str">
        <f ca="1">IFERROR(__xludf.DUMMYFUNCTION("""COMPUTED_VALUE"""),"| 5 L CPT @ | 6 L PHP-CGM @ ")</f>
        <v xml:space="preserve">| 5 L CPT @ | 6 L PHP-CGM @ </v>
      </c>
      <c r="AR578" s="4" t="str">
        <f ca="1">IFERROR(__xludf.DUMMYFUNCTION("""COMPUTED_VALUE"""),"| 5 L NS % | 6 L CPT % | 7 P PRO % | 9 P PHP-CGM % ")</f>
        <v xml:space="preserve">| 5 L NS % | 6 L CPT % | 7 P PRO % | 9 P PHP-CGM % </v>
      </c>
      <c r="AS578" s="4" t="str">
        <f ca="1">IFERROR(__xludf.DUMMYFUNCTION("""COMPUTED_VALUE"""),"| 1 L PHP-CGM @ | 6 L JAVA % | 7 P JAVA % | 9 L INE % ")</f>
        <v xml:space="preserve">| 1 L PHP-CGM @ | 6 L JAVA % | 7 P JAVA % | 9 L INE % </v>
      </c>
      <c r="AT578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78" s="4" t="str">
        <f ca="1">IFERROR(__xludf.DUMMYFUNCTION("""COMPUTED_VALUE"""),"| 5 L CPT @ | 6 L PHP-CGM % | 7 P Python % | 9 P NS % ")</f>
        <v xml:space="preserve">| 5 L CPT @ | 6 L PHP-CGM % | 7 P Python % | 9 P NS % </v>
      </c>
      <c r="AV578" s="4" t="str">
        <f ca="1">IFERROR(__xludf.DUMMYFUNCTION("""COMPUTED_VALUE"""),"| 5 L NS % | 6 L CPT % | 7 P PRO % | 9 P PHP-CGM % ")</f>
        <v xml:space="preserve">| 5 L NS % | 6 L CPT % | 7 P PRO % | 9 P PHP-CGM % </v>
      </c>
      <c r="AW578" s="4" t="str">
        <f ca="1">IFERROR(__xludf.DUMMYFUNCTION("""COMPUTED_VALUE"""),"| 5 L NS % | 6 L JAVA % | 7 P Python % ")</f>
        <v xml:space="preserve">| 5 L NS % | 6 L JAVA % | 7 P Python % </v>
      </c>
      <c r="AX578" s="4" t="str">
        <f ca="1">IFERROR(__xludf.DUMMYFUNCTION("""COMPUTED_VALUE"""),"| 1 L PHP-CGM % | 6 L JAVA % | 7 P JAVA % | 9 L INE % ")</f>
        <v xml:space="preserve">| 1 L PHP-CGM % | 6 L JAVA % | 7 P JAVA % | 9 L INE % </v>
      </c>
      <c r="AY578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78" s="4" t="str">
        <f ca="1">IFERROR(__xludf.DUMMYFUNCTION("""COMPUTED_VALUE"""),"| 5 L NS % | 6 L CPT % | 7 P PRO % ")</f>
        <v xml:space="preserve">| 5 L NS % | 6 L CPT % | 7 P PRO % </v>
      </c>
      <c r="BA578" s="4" t="str">
        <f ca="1">IFERROR(__xludf.DUMMYFUNCTION("""COMPUTED_VALUE"""),"| 5 L NS % | 6 L JAVA % | 7 P Python @ | 9 P CPT @ ")</f>
        <v xml:space="preserve">| 5 L NS % | 6 L JAVA % | 7 P Python @ | 9 P CPT @ </v>
      </c>
      <c r="BB578" s="4" t="str">
        <f ca="1">IFERROR(__xludf.DUMMYFUNCTION("""COMPUTED_VALUE"""),"| 1 L PHP-CGM % | 6 L JAVA % | 7 P JAVA % | 9 L INE % ")</f>
        <v xml:space="preserve">| 1 L PHP-CGM % | 6 L JAVA % | 7 P JAVA % | 9 L INE % </v>
      </c>
      <c r="BC578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78" s="4" t="str">
        <f ca="1">IFERROR(__xludf.DUMMYFUNCTION("""COMPUTED_VALUE"""),"| 5 L CPT % | 6 L PHP-CGM % | 7 P Python % | 9 P NS % ")</f>
        <v xml:space="preserve">| 5 L CPT % | 6 L PHP-CGM % | 7 P Python % | 9 P NS % </v>
      </c>
      <c r="BE578" s="4" t="str">
        <f ca="1">IFERROR(__xludf.DUMMYFUNCTION("""COMPUTED_VALUE"""),"| 5 L NS % | 6 L CPT % | 7 P PRO % | 9 P PHP-CGM % ")</f>
        <v xml:space="preserve">| 5 L NS % | 6 L CPT % | 7 P PRO % | 9 P PHP-CGM % </v>
      </c>
      <c r="BF578" s="4" t="str">
        <f ca="1">IFERROR(__xludf.DUMMYFUNCTION("""COMPUTED_VALUE"""),"| 5 L NS @ | 6 L JAVA % | 7 P Python % | 9 P CPT % ")</f>
        <v xml:space="preserve">| 5 L NS @ | 6 L JAVA % | 7 P Python % | 9 P CPT % </v>
      </c>
      <c r="BG578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78" s="4" t="str">
        <f ca="1">IFERROR(__xludf.DUMMYFUNCTION("""COMPUTED_VALUE"""),"| 5 L CPT @ | 6 L PHP-CGM @ | 7 P Python @ | 9 P NS @ ")</f>
        <v xml:space="preserve">| 5 L CPT @ | 6 L PHP-CGM @ | 7 P Python @ | 9 P NS @ </v>
      </c>
      <c r="BI578" s="4" t="str">
        <f ca="1">IFERROR(__xludf.DUMMYFUNCTION("""COMPUTED_VALUE"""),"| 5 L NS % | 6 L CPT % | 7 P PRO % | 9 P PHP-CGM % ")</f>
        <v xml:space="preserve">| 5 L NS % | 6 L CPT % | 7 P PRO % | 9 P PHP-CGM % </v>
      </c>
      <c r="BJ578" s="4" t="str">
        <f ca="1">IFERROR(__xludf.DUMMYFUNCTION("""COMPUTED_VALUE"""),"| 5 L NS % | 6 L JAVA % | 7 P Python @ ")</f>
        <v xml:space="preserve">| 5 L NS % | 6 L JAVA % | 7 P Python @ </v>
      </c>
      <c r="BK578" s="4" t="str">
        <f ca="1">IFERROR(__xludf.DUMMYFUNCTION("""COMPUTED_VALUE"""),"| 1 L PHP-CGM @ | 6 L JAVA @ | 7 P JAVA @ | 9 L INE @ ")</f>
        <v xml:space="preserve">| 1 L PHP-CGM @ | 6 L JAVA @ | 7 P JAVA @ | 9 L INE @ </v>
      </c>
      <c r="BL578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M578" s="4" t="str">
        <f ca="1">IFERROR(__xludf.DUMMYFUNCTION("""COMPUTED_VALUE"""),"| 5 L CPT @ | 6 L PHP-CGM @ | 7 P Python @ ")</f>
        <v xml:space="preserve">| 5 L CPT @ | 6 L PHP-CGM @ | 7 P Python @ </v>
      </c>
      <c r="BN578" s="4" t="str">
        <f ca="1">IFERROR(__xludf.DUMMYFUNCTION("""COMPUTED_VALUE"""),"| 5 L NS @ | 6 L CPT @ | 7 P PRO @ | 9 P PHP-CGM @ ")</f>
        <v xml:space="preserve">| 5 L NS @ | 6 L CPT @ | 7 P PRO @ | 9 P PHP-CGM @ </v>
      </c>
      <c r="BO578" s="4" t="str">
        <f ca="1">IFERROR(__xludf.DUMMYFUNCTION("""COMPUTED_VALUE"""),"| 5 L NS @ | 6 L JAVA @ ")</f>
        <v xml:space="preserve">| 5 L NS @ | 6 L JAVA @ </v>
      </c>
      <c r="BP578" s="4" t="str">
        <f ca="1">IFERROR(__xludf.DUMMYFUNCTION("""COMPUTED_VALUE"""),"| 1 L PHP-CGM % | 6 L JAVA % | 7 P JAVA % | 9 L INE @ ")</f>
        <v xml:space="preserve">| 1 L PHP-CGM % | 6 L JAVA % | 7 P JAVA % | 9 L INE @ </v>
      </c>
      <c r="BQ578" s="4" t="str">
        <f ca="1">IFERROR(__xludf.DUMMYFUNCTION("""COMPUTED_VALUE"""),"| 5 L CPT % ")</f>
        <v xml:space="preserve">| 5 L CPT % </v>
      </c>
      <c r="BR578" s="4"/>
      <c r="BS578" s="4" t="str">
        <f ca="1">IFERROR(__xludf.DUMMYFUNCTION("""COMPUTED_VALUE"""),"| 6 L CPT % ")</f>
        <v xml:space="preserve">| 6 L CPT % </v>
      </c>
      <c r="BT578" s="4" t="str">
        <f ca="1">IFERROR(__xludf.DUMMYFUNCTION("""COMPUTED_VALUE"""),"| 7 P JAVA % ")</f>
        <v xml:space="preserve">| 7 P JAVA % </v>
      </c>
      <c r="BU578" s="4" t="str">
        <f ca="1">IFERROR(__xludf.DUMMYFUNCTION("""COMPUTED_VALUE"""),"| 7 P JAVA @ ")</f>
        <v xml:space="preserve">| 7 P JAVA @ </v>
      </c>
      <c r="BV578" s="4" t="str">
        <f ca="1">IFERROR(__xludf.DUMMYFUNCTION("""COMPUTED_VALUE"""),"| 5 L PHP-CGM % | 6 L JAVA % | 7 P JAVA % ")</f>
        <v xml:space="preserve">| 5 L PHP-CGM % | 6 L JAVA % | 7 P JAVA % </v>
      </c>
      <c r="BW578" s="4"/>
      <c r="BX578" s="4" t="str">
        <f ca="1">IFERROR(__xludf.DUMMYFUNCTION("""COMPUTED_VALUE"""),"| 5 L CPT % | 7 P Python % | 9 P NS % | 6 L PHP-CGM % ")</f>
        <v xml:space="preserve">| 5 L CPT % | 7 P Python % | 9 P NS % | 6 L PHP-CGM % </v>
      </c>
      <c r="BY578" s="4" t="str">
        <f ca="1">IFERROR(__xludf.DUMMYFUNCTION("""COMPUTED_VALUE"""),"| 5 L NS % | 6 L CPT % | 7 P PRO % | 9 P PHP-CGM % ")</f>
        <v xml:space="preserve">| 5 L NS % | 6 L CPT % | 7 P PRO % | 9 P PHP-CGM % </v>
      </c>
      <c r="BZ578" s="4" t="str">
        <f ca="1">IFERROR(__xludf.DUMMYFUNCTION("""COMPUTED_VALUE"""),"| 5 L NS % | 6 L JAVA % | 7 P Python % | 9 P CPT @ ")</f>
        <v xml:space="preserve">| 5 L NS % | 6 L JAVA % | 7 P Python % | 9 P CPT @ </v>
      </c>
      <c r="CA578" s="4" t="str">
        <f ca="1">IFERROR(__xludf.DUMMYFUNCTION("""COMPUTED_VALUE"""),"| 1 L PHP-CGM % | 6 L JAVA % | 7 P JAVA % ")</f>
        <v xml:space="preserve">| 1 L PHP-CGM % | 6 L JAVA % | 7 P JAVA % </v>
      </c>
      <c r="CB578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CC578" s="4" t="str">
        <f ca="1">IFERROR(__xludf.DUMMYFUNCTION("""COMPUTED_VALUE"""),"| 5 L CPT % | 6 L PHP-CGM % | 7 P Python % | 9 P NS % ")</f>
        <v xml:space="preserve">| 5 L CPT % | 6 L PHP-CGM % | 7 P Python % | 9 P NS % </v>
      </c>
      <c r="CD578" s="4" t="str">
        <f ca="1">IFERROR(__xludf.DUMMYFUNCTION("""COMPUTED_VALUE"""),"| 5 L NS @ | 6 L CPT @ | 7 P PRO % ")</f>
        <v xml:space="preserve">| 5 L NS @ | 6 L CPT @ | 7 P PRO % </v>
      </c>
      <c r="CE578" s="4" t="str">
        <f ca="1">IFERROR(__xludf.DUMMYFUNCTION("""COMPUTED_VALUE"""),"| 5 L NS % | 6 L JAVA % | 7 P Python % | 9 P CPT % ")</f>
        <v xml:space="preserve">| 5 L NS % | 6 L JAVA % | 7 P Python % | 9 P CPT % </v>
      </c>
      <c r="CF578" s="4" t="str">
        <f ca="1">IFERROR(__xludf.DUMMYFUNCTION("""COMPUTED_VALUE"""),"| 5 L PHP-CGM % | 6 L JAVA % | 9 L INE % ")</f>
        <v xml:space="preserve">| 5 L PHP-CGM % | 6 L JAVA % | 9 L INE % </v>
      </c>
      <c r="CG578" s="4" t="str">
        <f ca="1">IFERROR(__xludf.DUMMYFUNCTION("""COMPUTED_VALUE"""),"| 5 L JAVA % | 6 L NS @ ")</f>
        <v xml:space="preserve">| 5 L JAVA % | 6 L NS @ </v>
      </c>
      <c r="CH578" s="4" t="str">
        <f ca="1">IFERROR(__xludf.DUMMYFUNCTION("""COMPUTED_VALUE"""),"| 5 L CPT @ | 7 P Python % | 9 P NS % ")</f>
        <v xml:space="preserve">| 5 L CPT @ | 7 P Python % | 9 P NS % </v>
      </c>
      <c r="CI578" s="4" t="str">
        <f ca="1">IFERROR(__xludf.DUMMYFUNCTION("""COMPUTED_VALUE"""),"| 5 L NS @ | 6 L CPT @ ")</f>
        <v xml:space="preserve">| 5 L NS @ | 6 L CPT @ </v>
      </c>
      <c r="CJ578" s="4" t="str">
        <f ca="1">IFERROR(__xludf.DUMMYFUNCTION("""COMPUTED_VALUE"""),"| 5 L NS @ ")</f>
        <v xml:space="preserve">| 5 L NS @ </v>
      </c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</row>
    <row r="579" spans="1:102" ht="12.5" x14ac:dyDescent="0.25">
      <c r="A579" s="3">
        <f ca="1">IFERROR(__xludf.DUMMYFUNCTION("""COMPUTED_VALUE"""),1)</f>
        <v>1</v>
      </c>
      <c r="B579" s="3" t="str">
        <f ca="1">IFERROR(__xludf.DUMMYFUNCTION("""COMPUTED_VALUE"""),"ITD")</f>
        <v>ITD</v>
      </c>
      <c r="C579" s="32" t="str">
        <f ca="1">IFERROR(__xludf.DUMMYFUNCTION("""COMPUTED_VALUE"""),"23171371006")</f>
        <v>23171371006</v>
      </c>
      <c r="D579" s="4" t="str">
        <f ca="1">IFERROR(__xludf.DUMMYFUNCTION("""COMPUTED_VALUE"""),"BAROT NIYATI JIGARKUMAR")</f>
        <v>BAROT NIYATI JIGARKUMAR</v>
      </c>
      <c r="E579" s="3" t="str">
        <f ca="1">IFERROR(__xludf.DUMMYFUNCTION("""COMPUTED_VALUE"""),"SRC - Eve")</f>
        <v>SRC - Eve</v>
      </c>
      <c r="F579" s="3">
        <f ca="1">IFERROR(__xludf.DUMMYFUNCTION("""COMPUTED_VALUE"""),9998508774)</f>
        <v>9998508774</v>
      </c>
      <c r="G579" s="3">
        <f ca="1">IFERROR(__xludf.DUMMYFUNCTION("""COMPUTED_VALUE"""),9998508774)</f>
        <v>9998508774</v>
      </c>
      <c r="H579" s="33">
        <f ca="1">IFERROR(__xludf.DUMMYFUNCTION("""COMPUTED_VALUE"""),0.611607142857142)</f>
        <v>0.61160714285714202</v>
      </c>
      <c r="I579" s="25">
        <f ca="1">IFERROR(__xludf.DUMMYFUNCTION("""COMPUTED_VALUE"""),0.611111111111111)</f>
        <v>0.61111111111111105</v>
      </c>
      <c r="J579" s="25">
        <f ca="1">IFERROR(__xludf.DUMMYFUNCTION("""COMPUTED_VALUE"""),0.428571428571428)</f>
        <v>0.42857142857142799</v>
      </c>
      <c r="K579" s="25">
        <f ca="1">IFERROR(__xludf.DUMMYFUNCTION("""COMPUTED_VALUE"""),0.583333333333333)</f>
        <v>0.58333333333333304</v>
      </c>
      <c r="L579" s="25">
        <f ca="1">IFERROR(__xludf.DUMMYFUNCTION("""COMPUTED_VALUE"""),0.555555555555555)</f>
        <v>0.55555555555555503</v>
      </c>
      <c r="M579" s="25">
        <f ca="1">IFERROR(__xludf.DUMMYFUNCTION("""COMPUTED_VALUE"""),0.65625)</f>
        <v>0.65625</v>
      </c>
      <c r="N579" s="25">
        <f ca="1">IFERROR(__xludf.DUMMYFUNCTION("""COMPUTED_VALUE"""),0.555555555555555)</f>
        <v>0.55555555555555503</v>
      </c>
      <c r="O579" s="25">
        <f ca="1">IFERROR(__xludf.DUMMYFUNCTION("""COMPUTED_VALUE"""),0.705882352941176)</f>
        <v>0.70588235294117596</v>
      </c>
      <c r="P579" s="25">
        <f ca="1">IFERROR(__xludf.DUMMYFUNCTION("""COMPUTED_VALUE"""),0.565217391304347)</f>
        <v>0.56521739130434701</v>
      </c>
      <c r="Q579" s="25">
        <f ca="1">IFERROR(__xludf.DUMMYFUNCTION("""COMPUTED_VALUE"""),0)</f>
        <v>0</v>
      </c>
      <c r="R579" s="25">
        <f ca="1">IFERROR(__xludf.DUMMYFUNCTION("""COMPUTED_VALUE"""),0.473684210526315)</f>
        <v>0.47368421052631499</v>
      </c>
      <c r="S579" s="25">
        <f ca="1">IFERROR(__xludf.DUMMYFUNCTION("""COMPUTED_VALUE"""),0)</f>
        <v>0</v>
      </c>
      <c r="T579" s="25">
        <f ca="1">IFERROR(__xludf.DUMMYFUNCTION("""COMPUTED_VALUE"""),0.833333333333333)</f>
        <v>0.83333333333333304</v>
      </c>
      <c r="U579" s="25">
        <f ca="1">IFERROR(__xludf.DUMMYFUNCTION("""COMPUTED_VALUE"""),0.571428571428571)</f>
        <v>0.57142857142857095</v>
      </c>
      <c r="V579" s="25">
        <f ca="1">IFERROR(__xludf.DUMMYFUNCTION("""COMPUTED_VALUE"""),0)</f>
        <v>0</v>
      </c>
      <c r="W579" s="4"/>
      <c r="X579" s="4" t="str">
        <f ca="1">IFERROR(__xludf.DUMMYFUNCTION("""COMPUTED_VALUE"""),"| 1 L PHP-CGM % | 6 L JAVA % | 7 P JAVA % ")</f>
        <v xml:space="preserve">| 1 L PHP-CGM % | 6 L JAVA % | 7 P JAVA % </v>
      </c>
      <c r="Y579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Z579" s="4" t="str">
        <f ca="1">IFERROR(__xludf.DUMMYFUNCTION("""COMPUTED_VALUE"""),"| 5 L CPT @ | 6 L PHP-CGM @ | 7 P Python @ | 9 P NS @ ")</f>
        <v xml:space="preserve">| 5 L CPT @ | 6 L PHP-CGM @ | 7 P Python @ | 9 P NS @ </v>
      </c>
      <c r="AA579" s="4" t="str">
        <f ca="1">IFERROR(__xludf.DUMMYFUNCTION("""COMPUTED_VALUE"""),"| 5 L NS @ | 6 L CPT @ | 7 P PRO @ | 9 P PHP-CGM @ ")</f>
        <v xml:space="preserve">| 5 L NS @ | 6 L CPT @ | 7 P PRO @ | 9 P PHP-CGM @ </v>
      </c>
      <c r="AB579" s="4" t="str">
        <f ca="1">IFERROR(__xludf.DUMMYFUNCTION("""COMPUTED_VALUE"""),"| 5 L NS % | 6 L JAVA % | 7 P Python @ | 9 P CPT @ ")</f>
        <v xml:space="preserve">| 5 L NS % | 6 L JAVA % | 7 P Python @ | 9 P CPT @ </v>
      </c>
      <c r="AC579" s="4" t="str">
        <f ca="1">IFERROR(__xludf.DUMMYFUNCTION("""COMPUTED_VALUE"""),"| 1 L PHP-CGM % | 6 L JAVA % | 7 P JAVA % ")</f>
        <v xml:space="preserve">| 1 L PHP-CGM % | 6 L JAVA % | 7 P JAVA % </v>
      </c>
      <c r="AD579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79" s="4" t="str">
        <f ca="1">IFERROR(__xludf.DUMMYFUNCTION("""COMPUTED_VALUE"""),"| 5 L CPT % | 6 L PHP-CGM % | 7 P Python @ | 9 P NS @ ")</f>
        <v xml:space="preserve">| 5 L CPT % | 6 L PHP-CGM % | 7 P Python @ | 9 P NS @ </v>
      </c>
      <c r="AF579" s="4" t="str">
        <f ca="1">IFERROR(__xludf.DUMMYFUNCTION("""COMPUTED_VALUE"""),"| 5 L NS @ | 6 L CPT % | 7 P PRO % | 9 P PHP-CGM % ")</f>
        <v xml:space="preserve">| 5 L NS @ | 6 L CPT % | 7 P PRO % | 9 P PHP-CGM % </v>
      </c>
      <c r="AG579" s="4" t="str">
        <f ca="1">IFERROR(__xludf.DUMMYFUNCTION("""COMPUTED_VALUE"""),"| 5 L NS % | 6 L JAVA % | 7 P Python @ | 9 P CPT @ ")</f>
        <v xml:space="preserve">| 5 L NS % | 6 L JAVA % | 7 P Python @ | 9 P CPT @ </v>
      </c>
      <c r="AH579" s="4" t="str">
        <f ca="1">IFERROR(__xludf.DUMMYFUNCTION("""COMPUTED_VALUE"""),"| 5 L NS % | 6 L CPT % | 7 P PRO % | 9 P PHP-CGM @ ")</f>
        <v xml:space="preserve">| 5 L NS % | 6 L CPT % | 7 P PRO % | 9 P PHP-CGM @ </v>
      </c>
      <c r="AI579" s="4" t="str">
        <f ca="1">IFERROR(__xludf.DUMMYFUNCTION("""COMPUTED_VALUE"""),"| 5 L NS % | 6 L JAVA % | 7 P Python % | 9 P CPT @ ")</f>
        <v xml:space="preserve">| 5 L NS % | 6 L JAVA % | 7 P Python % | 9 P CPT @ </v>
      </c>
      <c r="AJ579" s="4" t="str">
        <f ca="1">IFERROR(__xludf.DUMMYFUNCTION("""COMPUTED_VALUE"""),"| 1 L PHP-CGM % | 6 L JAVA % | 7 P JAVA % ")</f>
        <v xml:space="preserve">| 1 L PHP-CGM % | 6 L JAVA % | 7 P JAVA % </v>
      </c>
      <c r="AK579" s="4" t="str">
        <f ca="1">IFERROR(__xludf.DUMMYFUNCTION("""COMPUTED_VALUE"""),"| 5 L JAVA % | 6 L NS % | 7 P JAVA @ | 9 L CPT @ | 6 L PHP-CGM @ ")</f>
        <v xml:space="preserve">| 5 L JAVA % | 6 L NS % | 7 P JAVA @ | 9 L CPT @ | 6 L PHP-CGM @ </v>
      </c>
      <c r="AL579" s="4" t="str">
        <f ca="1">IFERROR(__xludf.DUMMYFUNCTION("""COMPUTED_VALUE"""),"| 5 L CPT % | 7 P Python % | 6 L PHP-CGM % | 9 P NS % ")</f>
        <v xml:space="preserve">| 5 L CPT % | 7 P Python % | 6 L PHP-CGM % | 9 P NS % </v>
      </c>
      <c r="AM579" s="4" t="str">
        <f ca="1">IFERROR(__xludf.DUMMYFUNCTION("""COMPUTED_VALUE"""),"| 5 L NS % | 6 L CPT % | 7 P PRO % ")</f>
        <v xml:space="preserve">| 5 L NS % | 6 L CPT % | 7 P PRO % </v>
      </c>
      <c r="AN579" s="4" t="str">
        <f ca="1">IFERROR(__xludf.DUMMYFUNCTION("""COMPUTED_VALUE"""),"| 5 L NS @ | 6 L JAVA @ ")</f>
        <v xml:space="preserve">| 5 L NS @ | 6 L JAVA @ </v>
      </c>
      <c r="AO579" s="4" t="str">
        <f ca="1">IFERROR(__xludf.DUMMYFUNCTION("""COMPUTED_VALUE"""),"| 1 L PHP-CGM @ | 6 L JAVA @ | 7 P JAVA @ | 9 L INE @ ")</f>
        <v xml:space="preserve">| 1 L PHP-CGM @ | 6 L JAVA @ | 7 P JAVA @ | 9 L INE @ </v>
      </c>
      <c r="AP579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79" s="4" t="str">
        <f ca="1">IFERROR(__xludf.DUMMYFUNCTION("""COMPUTED_VALUE"""),"| 5 L CPT % | 6 L PHP-CGM % ")</f>
        <v xml:space="preserve">| 5 L CPT % | 6 L PHP-CGM % </v>
      </c>
      <c r="AR579" s="4" t="str">
        <f ca="1">IFERROR(__xludf.DUMMYFUNCTION("""COMPUTED_VALUE"""),"| 5 L NS @ | 6 L CPT % | 7 P PRO % | 9 P PHP-CGM % ")</f>
        <v xml:space="preserve">| 5 L NS @ | 6 L CPT % | 7 P PRO % | 9 P PHP-CGM % </v>
      </c>
      <c r="AS579" s="4" t="str">
        <f ca="1">IFERROR(__xludf.DUMMYFUNCTION("""COMPUTED_VALUE"""),"| 1 L PHP-CGM % | 6 L JAVA % | 7 P JAVA % | 9 L INE % ")</f>
        <v xml:space="preserve">| 1 L PHP-CGM % | 6 L JAVA % | 7 P JAVA % | 9 L INE % </v>
      </c>
      <c r="AT579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79" s="4" t="str">
        <f ca="1">IFERROR(__xludf.DUMMYFUNCTION("""COMPUTED_VALUE"""),"| 5 L CPT % | 6 L PHP-CGM % | 7 P Python % | 9 P NS % ")</f>
        <v xml:space="preserve">| 5 L CPT % | 6 L PHP-CGM % | 7 P Python % | 9 P NS % </v>
      </c>
      <c r="AV579" s="4" t="str">
        <f ca="1">IFERROR(__xludf.DUMMYFUNCTION("""COMPUTED_VALUE"""),"| 5 L NS % | 6 L CPT % | 7 P PRO % | 9 P PHP-CGM % ")</f>
        <v xml:space="preserve">| 5 L NS % | 6 L CPT % | 7 P PRO % | 9 P PHP-CGM % </v>
      </c>
      <c r="AW579" s="4" t="str">
        <f ca="1">IFERROR(__xludf.DUMMYFUNCTION("""COMPUTED_VALUE"""),"| 5 L NS % | 6 L JAVA % | 7 P Python % ")</f>
        <v xml:space="preserve">| 5 L NS % | 6 L JAVA % | 7 P Python % </v>
      </c>
      <c r="AX579" s="4" t="str">
        <f ca="1">IFERROR(__xludf.DUMMYFUNCTION("""COMPUTED_VALUE"""),"| 1 L PHP-CGM % | 6 L JAVA % | 7 P JAVA % | 9 L INE % ")</f>
        <v xml:space="preserve">| 1 L PHP-CGM % | 6 L JAVA % | 7 P JAVA % | 9 L INE % </v>
      </c>
      <c r="AY579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79" s="4" t="str">
        <f ca="1">IFERROR(__xludf.DUMMYFUNCTION("""COMPUTED_VALUE"""),"| 5 L NS % | 6 L CPT % | 7 P PRO % ")</f>
        <v xml:space="preserve">| 5 L NS % | 6 L CPT % | 7 P PRO % </v>
      </c>
      <c r="BA579" s="4" t="str">
        <f ca="1">IFERROR(__xludf.DUMMYFUNCTION("""COMPUTED_VALUE"""),"| 5 L NS % | 6 L JAVA % | 7 P Python @ | 9 P CPT % ")</f>
        <v xml:space="preserve">| 5 L NS % | 6 L JAVA % | 7 P Python @ | 9 P CPT % </v>
      </c>
      <c r="BB579" s="4" t="str">
        <f ca="1">IFERROR(__xludf.DUMMYFUNCTION("""COMPUTED_VALUE"""),"| 1 L PHP-CGM % | 6 L JAVA % | 7 P JAVA % | 9 L INE % ")</f>
        <v xml:space="preserve">| 1 L PHP-CGM % | 6 L JAVA % | 7 P JAVA % | 9 L INE % </v>
      </c>
      <c r="BC579" s="4" t="str">
        <f ca="1">IFERROR(__xludf.DUMMYFUNCTION("""COMPUTED_VALUE"""),"| 5 L JAVA @ | 6 L NS @ | 7 P JAVA @ | 10 L PHP-CGM @ | 9 L CPT @ ")</f>
        <v xml:space="preserve">| 5 L JAVA @ | 6 L NS @ | 7 P JAVA @ | 10 L PHP-CGM @ | 9 L CPT @ </v>
      </c>
      <c r="BD579" s="4" t="str">
        <f ca="1">IFERROR(__xludf.DUMMYFUNCTION("""COMPUTED_VALUE"""),"| 5 L CPT % | 6 L PHP-CGM % | 7 P Python % | 9 P NS % ")</f>
        <v xml:space="preserve">| 5 L CPT % | 6 L PHP-CGM % | 7 P Python % | 9 P NS % </v>
      </c>
      <c r="BE579" s="4" t="str">
        <f ca="1">IFERROR(__xludf.DUMMYFUNCTION("""COMPUTED_VALUE"""),"| 5 L NS % | 6 L CPT % | 7 P PRO % | 9 P PHP-CGM % ")</f>
        <v xml:space="preserve">| 5 L NS % | 6 L CPT % | 7 P PRO % | 9 P PHP-CGM % </v>
      </c>
      <c r="BF579" s="4" t="str">
        <f ca="1">IFERROR(__xludf.DUMMYFUNCTION("""COMPUTED_VALUE"""),"| 5 L NS @ | 6 L JAVA % | 7 P Python % | 9 P CPT % ")</f>
        <v xml:space="preserve">| 5 L NS @ | 6 L JAVA % | 7 P Python % | 9 P CPT % </v>
      </c>
      <c r="BG579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79" s="4" t="str">
        <f ca="1">IFERROR(__xludf.DUMMYFUNCTION("""COMPUTED_VALUE"""),"| 5 L CPT % | 6 L PHP-CGM % | 7 P Python % | 9 P NS % ")</f>
        <v xml:space="preserve">| 5 L CPT % | 6 L PHP-CGM % | 7 P Python % | 9 P NS % </v>
      </c>
      <c r="BI579" s="4" t="str">
        <f ca="1">IFERROR(__xludf.DUMMYFUNCTION("""COMPUTED_VALUE"""),"| 5 L NS % | 6 L CPT % | 7 P PRO % | 9 P PHP-CGM @ ")</f>
        <v xml:space="preserve">| 5 L NS % | 6 L CPT % | 7 P PRO % | 9 P PHP-CGM @ </v>
      </c>
      <c r="BJ579" s="4" t="str">
        <f ca="1">IFERROR(__xludf.DUMMYFUNCTION("""COMPUTED_VALUE"""),"| 5 L NS % | 6 L JAVA % | 7 P Python @ ")</f>
        <v xml:space="preserve">| 5 L NS % | 6 L JAVA % | 7 P Python @ </v>
      </c>
      <c r="BK579" s="4" t="str">
        <f ca="1">IFERROR(__xludf.DUMMYFUNCTION("""COMPUTED_VALUE"""),"| 1 L PHP-CGM % | 6 L JAVA % | 7 P JAVA @ | 9 L INE @ ")</f>
        <v xml:space="preserve">| 1 L PHP-CGM % | 6 L JAVA % | 7 P JAVA @ | 9 L INE @ </v>
      </c>
      <c r="BL579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M579" s="4" t="str">
        <f ca="1">IFERROR(__xludf.DUMMYFUNCTION("""COMPUTED_VALUE"""),"| 5 L CPT @ | 6 L PHP-CGM @ | 7 P Python @ ")</f>
        <v xml:space="preserve">| 5 L CPT @ | 6 L PHP-CGM @ | 7 P Python @ </v>
      </c>
      <c r="BN579" s="4" t="str">
        <f ca="1">IFERROR(__xludf.DUMMYFUNCTION("""COMPUTED_VALUE"""),"| 5 L NS % | 6 L CPT @ | 7 P PRO % | 9 P PHP-CGM % ")</f>
        <v xml:space="preserve">| 5 L NS % | 6 L CPT @ | 7 P PRO % | 9 P PHP-CGM % </v>
      </c>
      <c r="BO579" s="4" t="str">
        <f ca="1">IFERROR(__xludf.DUMMYFUNCTION("""COMPUTED_VALUE"""),"| 5 L NS @ | 6 L JAVA @ ")</f>
        <v xml:space="preserve">| 5 L NS @ | 6 L JAVA @ </v>
      </c>
      <c r="BP579" s="4" t="str">
        <f ca="1">IFERROR(__xludf.DUMMYFUNCTION("""COMPUTED_VALUE"""),"| 1 L PHP-CGM @ | 6 L JAVA @ | 7 P JAVA @ | 9 L INE @ ")</f>
        <v xml:space="preserve">| 1 L PHP-CGM @ | 6 L JAVA @ | 7 P JAVA @ | 9 L INE @ </v>
      </c>
      <c r="BQ579" s="4" t="str">
        <f ca="1">IFERROR(__xludf.DUMMYFUNCTION("""COMPUTED_VALUE"""),"| 5 L CPT @ ")</f>
        <v xml:space="preserve">| 5 L CPT @ </v>
      </c>
      <c r="BR579" s="4"/>
      <c r="BS579" s="4" t="str">
        <f ca="1">IFERROR(__xludf.DUMMYFUNCTION("""COMPUTED_VALUE"""),"| 6 L CPT % ")</f>
        <v xml:space="preserve">| 6 L CPT % </v>
      </c>
      <c r="BT579" s="4" t="str">
        <f ca="1">IFERROR(__xludf.DUMMYFUNCTION("""COMPUTED_VALUE"""),"| 7 P JAVA @ ")</f>
        <v xml:space="preserve">| 7 P JAVA @ </v>
      </c>
      <c r="BU579" s="4" t="str">
        <f ca="1">IFERROR(__xludf.DUMMYFUNCTION("""COMPUTED_VALUE"""),"| 7 P JAVA @ ")</f>
        <v xml:space="preserve">| 7 P JAVA @ </v>
      </c>
      <c r="BV579" s="4" t="str">
        <f ca="1">IFERROR(__xludf.DUMMYFUNCTION("""COMPUTED_VALUE"""),"| 5 L PHP-CGM @ | 6 L JAVA @ | 7 P JAVA @ ")</f>
        <v xml:space="preserve">| 5 L PHP-CGM @ | 6 L JAVA @ | 7 P JAVA @ </v>
      </c>
      <c r="BW579" s="4"/>
      <c r="BX579" s="4" t="str">
        <f ca="1">IFERROR(__xludf.DUMMYFUNCTION("""COMPUTED_VALUE"""),"| 5 L CPT % | 7 P Python @ | 9 P NS @ | 6 L PHP-CGM % ")</f>
        <v xml:space="preserve">| 5 L CPT % | 7 P Python @ | 9 P NS @ | 6 L PHP-CGM % </v>
      </c>
      <c r="BY579" s="4" t="str">
        <f ca="1">IFERROR(__xludf.DUMMYFUNCTION("""COMPUTED_VALUE"""),"| 5 L NS @ | 6 L CPT @ | 7 P PRO @ | 9 P PHP-CGM @ ")</f>
        <v xml:space="preserve">| 5 L NS @ | 6 L CPT @ | 7 P PRO @ | 9 P PHP-CGM @ </v>
      </c>
      <c r="BZ579" s="4" t="str">
        <f ca="1">IFERROR(__xludf.DUMMYFUNCTION("""COMPUTED_VALUE"""),"| 5 L NS @ | 6 L JAVA @ | 7 P Python @ | 9 P CPT @ ")</f>
        <v xml:space="preserve">| 5 L NS @ | 6 L JAVA @ | 7 P Python @ | 9 P CPT @ </v>
      </c>
      <c r="CA579" s="4" t="str">
        <f ca="1">IFERROR(__xludf.DUMMYFUNCTION("""COMPUTED_VALUE"""),"| 1 L PHP-CGM % | 6 L JAVA % | 7 P JAVA % ")</f>
        <v xml:space="preserve">| 1 L PHP-CGM % | 6 L JAVA % | 7 P JAVA % </v>
      </c>
      <c r="CB579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CC579" s="4" t="str">
        <f ca="1">IFERROR(__xludf.DUMMYFUNCTION("""COMPUTED_VALUE"""),"| 5 L CPT @ | 6 L PHP-CGM @ | 7 P Python @ | 9 P NS @ ")</f>
        <v xml:space="preserve">| 5 L CPT @ | 6 L PHP-CGM @ | 7 P Python @ | 9 P NS @ </v>
      </c>
      <c r="CD579" s="4" t="str">
        <f ca="1">IFERROR(__xludf.DUMMYFUNCTION("""COMPUTED_VALUE"""),"| 5 L NS @ | 6 L CPT @ | 7 P PRO % ")</f>
        <v xml:space="preserve">| 5 L NS @ | 6 L CPT @ | 7 P PRO % </v>
      </c>
      <c r="CE579" s="4" t="str">
        <f ca="1">IFERROR(__xludf.DUMMYFUNCTION("""COMPUTED_VALUE"""),"| 5 L NS @ | 6 L JAVA @ | 7 P Python % | 9 P CPT % ")</f>
        <v xml:space="preserve">| 5 L NS @ | 6 L JAVA @ | 7 P Python % | 9 P CPT % </v>
      </c>
      <c r="CF579" s="4" t="str">
        <f ca="1">IFERROR(__xludf.DUMMYFUNCTION("""COMPUTED_VALUE"""),"| 5 L PHP-CGM @ | 6 L JAVA % | 9 L INE % ")</f>
        <v xml:space="preserve">| 5 L PHP-CGM @ | 6 L JAVA % | 9 L INE % </v>
      </c>
      <c r="CG579" s="4" t="str">
        <f ca="1">IFERROR(__xludf.DUMMYFUNCTION("""COMPUTED_VALUE"""),"| 5 L JAVA % | 6 L NS % ")</f>
        <v xml:space="preserve">| 5 L JAVA % | 6 L NS % </v>
      </c>
      <c r="CH579" s="4" t="str">
        <f ca="1">IFERROR(__xludf.DUMMYFUNCTION("""COMPUTED_VALUE"""),"| 5 L CPT @ | 7 P Python % | 9 P NS % ")</f>
        <v xml:space="preserve">| 5 L CPT @ | 7 P Python % | 9 P NS % </v>
      </c>
      <c r="CI579" s="4" t="str">
        <f ca="1">IFERROR(__xludf.DUMMYFUNCTION("""COMPUTED_VALUE"""),"| 5 L NS @ | 6 L CPT @ ")</f>
        <v xml:space="preserve">| 5 L NS @ | 6 L CPT @ </v>
      </c>
      <c r="CJ579" s="4" t="str">
        <f ca="1">IFERROR(__xludf.DUMMYFUNCTION("""COMPUTED_VALUE"""),"| 5 L NS @ ")</f>
        <v xml:space="preserve">| 5 L NS @ </v>
      </c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</row>
    <row r="580" spans="1:102" ht="12.5" x14ac:dyDescent="0.25">
      <c r="A580" s="3">
        <f ca="1">IFERROR(__xludf.DUMMYFUNCTION("""COMPUTED_VALUE"""),1)</f>
        <v>1</v>
      </c>
      <c r="B580" s="3" t="str">
        <f ca="1">IFERROR(__xludf.DUMMYFUNCTION("""COMPUTED_VALUE"""),"ITD")</f>
        <v>ITD</v>
      </c>
      <c r="C580" s="32" t="str">
        <f ca="1">IFERROR(__xludf.DUMMYFUNCTION("""COMPUTED_VALUE"""),"23171371007")</f>
        <v>23171371007</v>
      </c>
      <c r="D580" s="4" t="str">
        <f ca="1">IFERROR(__xludf.DUMMYFUNCTION("""COMPUTED_VALUE"""),"BAROT VEDANG RAJKUMAR")</f>
        <v>BAROT VEDANG RAJKUMAR</v>
      </c>
      <c r="E580" s="3" t="str">
        <f ca="1">IFERROR(__xludf.DUMMYFUNCTION("""COMPUTED_VALUE"""),"SRC - Eve")</f>
        <v>SRC - Eve</v>
      </c>
      <c r="F580" s="3">
        <f ca="1">IFERROR(__xludf.DUMMYFUNCTION("""COMPUTED_VALUE"""),9737408121)</f>
        <v>9737408121</v>
      </c>
      <c r="G580" s="3">
        <f ca="1">IFERROR(__xludf.DUMMYFUNCTION("""COMPUTED_VALUE"""),9737408121)</f>
        <v>9737408121</v>
      </c>
      <c r="H580" s="33">
        <f ca="1">IFERROR(__xludf.DUMMYFUNCTION("""COMPUTED_VALUE"""),0.486607142857142)</f>
        <v>0.48660714285714202</v>
      </c>
      <c r="I580" s="25">
        <f ca="1">IFERROR(__xludf.DUMMYFUNCTION("""COMPUTED_VALUE"""),0.527777777777777)</f>
        <v>0.52777777777777701</v>
      </c>
      <c r="J580" s="25">
        <f ca="1">IFERROR(__xludf.DUMMYFUNCTION("""COMPUTED_VALUE"""),0)</f>
        <v>0</v>
      </c>
      <c r="K580" s="25">
        <f ca="1">IFERROR(__xludf.DUMMYFUNCTION("""COMPUTED_VALUE"""),0.527777777777777)</f>
        <v>0.52777777777777701</v>
      </c>
      <c r="L580" s="25">
        <f ca="1">IFERROR(__xludf.DUMMYFUNCTION("""COMPUTED_VALUE"""),0.666666666666666)</f>
        <v>0.66666666666666596</v>
      </c>
      <c r="M580" s="25">
        <f ca="1">IFERROR(__xludf.DUMMYFUNCTION("""COMPUTED_VALUE"""),0.53125)</f>
        <v>0.53125</v>
      </c>
      <c r="N580" s="25">
        <f ca="1">IFERROR(__xludf.DUMMYFUNCTION("""COMPUTED_VALUE"""),0.444444444444444)</f>
        <v>0.44444444444444398</v>
      </c>
      <c r="O580" s="25">
        <f ca="1">IFERROR(__xludf.DUMMYFUNCTION("""COMPUTED_VALUE"""),0.647058823529411)</f>
        <v>0.64705882352941102</v>
      </c>
      <c r="P580" s="25">
        <f ca="1">IFERROR(__xludf.DUMMYFUNCTION("""COMPUTED_VALUE"""),0.391304347826087)</f>
        <v>0.39130434782608697</v>
      </c>
      <c r="Q580" s="25">
        <f ca="1">IFERROR(__xludf.DUMMYFUNCTION("""COMPUTED_VALUE"""),0)</f>
        <v>0</v>
      </c>
      <c r="R580" s="25">
        <f ca="1">IFERROR(__xludf.DUMMYFUNCTION("""COMPUTED_VALUE"""),0.526315789473684)</f>
        <v>0.52631578947368396</v>
      </c>
      <c r="S580" s="25">
        <f ca="1">IFERROR(__xludf.DUMMYFUNCTION("""COMPUTED_VALUE"""),0)</f>
        <v>0</v>
      </c>
      <c r="T580" s="25">
        <f ca="1">IFERROR(__xludf.DUMMYFUNCTION("""COMPUTED_VALUE"""),0.25)</f>
        <v>0.25</v>
      </c>
      <c r="U580" s="25">
        <f ca="1">IFERROR(__xludf.DUMMYFUNCTION("""COMPUTED_VALUE"""),0)</f>
        <v>0</v>
      </c>
      <c r="V580" s="25">
        <f ca="1">IFERROR(__xludf.DUMMYFUNCTION("""COMPUTED_VALUE"""),0)</f>
        <v>0</v>
      </c>
      <c r="W580" s="4"/>
      <c r="X580" s="4" t="str">
        <f ca="1">IFERROR(__xludf.DUMMYFUNCTION("""COMPUTED_VALUE"""),"| 1 L PHP-CGM @ | 6 L JAVA @ | 7 P JAVA @ ")</f>
        <v xml:space="preserve">| 1 L PHP-CGM @ | 6 L JAVA @ | 7 P JAVA @ </v>
      </c>
      <c r="Y580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Z580" s="4" t="str">
        <f ca="1">IFERROR(__xludf.DUMMYFUNCTION("""COMPUTED_VALUE"""),"| 5 L CPT % | 6 L PHP-CGM % | 7 P Python % | 9 P NS % ")</f>
        <v xml:space="preserve">| 5 L CPT % | 6 L PHP-CGM % | 7 P Python % | 9 P NS % </v>
      </c>
      <c r="AA580" s="4" t="str">
        <f ca="1">IFERROR(__xludf.DUMMYFUNCTION("""COMPUTED_VALUE"""),"| 5 L NS @ | 6 L CPT % | 7 P PRO @ | 9 P PHP-CGM @ ")</f>
        <v xml:space="preserve">| 5 L NS @ | 6 L CPT % | 7 P PRO @ | 9 P PHP-CGM @ </v>
      </c>
      <c r="AB580" s="4" t="str">
        <f ca="1">IFERROR(__xludf.DUMMYFUNCTION("""COMPUTED_VALUE"""),"| 5 L NS @ | 6 L JAVA @ | 7 P Python @ | 9 P CPT @ ")</f>
        <v xml:space="preserve">| 5 L NS @ | 6 L JAVA @ | 7 P Python @ | 9 P CPT @ </v>
      </c>
      <c r="AC580" s="4" t="str">
        <f ca="1">IFERROR(__xludf.DUMMYFUNCTION("""COMPUTED_VALUE"""),"| 1 L PHP-CGM @ | 6 L JAVA @ | 7 P JAVA @ ")</f>
        <v xml:space="preserve">| 1 L PHP-CGM @ | 6 L JAVA @ | 7 P JAVA @ </v>
      </c>
      <c r="AD580" s="4" t="str">
        <f ca="1">IFERROR(__xludf.DUMMYFUNCTION("""COMPUTED_VALUE"""),"| 5 L JAVA % | 6 L NS % | 9 P JAVA % | 9 L CPT @ | 6 L PHP-CGM @ ")</f>
        <v xml:space="preserve">| 5 L JAVA % | 6 L NS % | 9 P JAVA % | 9 L CPT @ | 6 L PHP-CGM @ </v>
      </c>
      <c r="AE580" s="4" t="str">
        <f ca="1">IFERROR(__xludf.DUMMYFUNCTION("""COMPUTED_VALUE"""),"| 5 L CPT @ | 6 L PHP-CGM @ | 7 P Python @ | 9 P NS @ ")</f>
        <v xml:space="preserve">| 5 L CPT @ | 6 L PHP-CGM @ | 7 P Python @ | 9 P NS @ </v>
      </c>
      <c r="AF580" s="4" t="str">
        <f ca="1">IFERROR(__xludf.DUMMYFUNCTION("""COMPUTED_VALUE"""),"| 5 L NS % | 6 L CPT % | 7 P PRO @ | 9 P PHP-CGM @ ")</f>
        <v xml:space="preserve">| 5 L NS % | 6 L CPT % | 7 P PRO @ | 9 P PHP-CGM @ </v>
      </c>
      <c r="AG580" s="4" t="str">
        <f ca="1">IFERROR(__xludf.DUMMYFUNCTION("""COMPUTED_VALUE"""),"| 5 L NS @ | 6 L JAVA @ | 7 P Python @ | 9 P CPT @ ")</f>
        <v xml:space="preserve">| 5 L NS @ | 6 L JAVA @ | 7 P Python @ | 9 P CPT @ </v>
      </c>
      <c r="AH580" s="4" t="str">
        <f ca="1">IFERROR(__xludf.DUMMYFUNCTION("""COMPUTED_VALUE"""),"| 5 L NS % | 6 L CPT % | 7 P PRO @ | 9 P PHP-CGM % ")</f>
        <v xml:space="preserve">| 5 L NS % | 6 L CPT % | 7 P PRO @ | 9 P PHP-CGM % </v>
      </c>
      <c r="AI580" s="4" t="str">
        <f ca="1">IFERROR(__xludf.DUMMYFUNCTION("""COMPUTED_VALUE"""),"| 5 L NS @ | 6 L JAVA @ | 7 P Python @ | 9 P CPT @ ")</f>
        <v xml:space="preserve">| 5 L NS @ | 6 L JAVA @ | 7 P Python @ | 9 P CPT @ </v>
      </c>
      <c r="AJ580" s="4" t="str">
        <f ca="1">IFERROR(__xludf.DUMMYFUNCTION("""COMPUTED_VALUE"""),"| 1 L PHP-CGM % | 6 L JAVA % | 7 P JAVA % ")</f>
        <v xml:space="preserve">| 1 L PHP-CGM % | 6 L JAVA % | 7 P JAVA % </v>
      </c>
      <c r="AK580" s="4" t="str">
        <f ca="1">IFERROR(__xludf.DUMMYFUNCTION("""COMPUTED_VALUE"""),"| 5 L JAVA @ | 6 L NS @ | 7 P JAVA @ | 9 L CPT @ | 6 L PHP-CGM @ ")</f>
        <v xml:space="preserve">| 5 L JAVA @ | 6 L NS @ | 7 P JAVA @ | 9 L CPT @ | 6 L PHP-CGM @ </v>
      </c>
      <c r="AL580" s="4" t="str">
        <f ca="1">IFERROR(__xludf.DUMMYFUNCTION("""COMPUTED_VALUE"""),"| 5 L CPT % | 7 P Python % | 6 L PHP-CGM % | 9 P NS % ")</f>
        <v xml:space="preserve">| 5 L CPT % | 7 P Python % | 6 L PHP-CGM % | 9 P NS % </v>
      </c>
      <c r="AM580" s="4" t="str">
        <f ca="1">IFERROR(__xludf.DUMMYFUNCTION("""COMPUTED_VALUE"""),"| 5 L NS @ | 6 L CPT @ | 7 P PRO @ ")</f>
        <v xml:space="preserve">| 5 L NS @ | 6 L CPT @ | 7 P PRO @ </v>
      </c>
      <c r="AN580" s="4" t="str">
        <f ca="1">IFERROR(__xludf.DUMMYFUNCTION("""COMPUTED_VALUE"""),"| 5 L NS @ | 6 L JAVA @ ")</f>
        <v xml:space="preserve">| 5 L NS @ | 6 L JAVA @ </v>
      </c>
      <c r="AO580" s="4" t="str">
        <f ca="1">IFERROR(__xludf.DUMMYFUNCTION("""COMPUTED_VALUE"""),"| 1 L PHP-CGM % | 6 L JAVA % | 7 P JAVA @ | 9 L INE @ ")</f>
        <v xml:space="preserve">| 1 L PHP-CGM % | 6 L JAVA % | 7 P JAVA @ | 9 L INE @ </v>
      </c>
      <c r="AP580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AQ580" s="4" t="str">
        <f ca="1">IFERROR(__xludf.DUMMYFUNCTION("""COMPUTED_VALUE"""),"| 5 L CPT @ | 6 L PHP-CGM @ ")</f>
        <v xml:space="preserve">| 5 L CPT @ | 6 L PHP-CGM @ </v>
      </c>
      <c r="AR580" s="4" t="str">
        <f ca="1">IFERROR(__xludf.DUMMYFUNCTION("""COMPUTED_VALUE"""),"| 5 L NS @ | 6 L CPT @ | 7 P PRO @ | 9 P PHP-CGM @ ")</f>
        <v xml:space="preserve">| 5 L NS @ | 6 L CPT @ | 7 P PRO @ | 9 P PHP-CGM @ </v>
      </c>
      <c r="AS580" s="4" t="str">
        <f ca="1">IFERROR(__xludf.DUMMYFUNCTION("""COMPUTED_VALUE"""),"| 1 L PHP-CGM % | 6 L JAVA % | 7 P JAVA % | 9 L INE @ ")</f>
        <v xml:space="preserve">| 1 L PHP-CGM % | 6 L JAVA % | 7 P JAVA % | 9 L INE @ </v>
      </c>
      <c r="AT580" s="4" t="str">
        <f ca="1">IFERROR(__xludf.DUMMYFUNCTION("""COMPUTED_VALUE"""),"| 5 L JAVA % | 6 L NS % | 9 P JAVA % | 9 L CPT @ | 6 L PHP-CGM @ ")</f>
        <v xml:space="preserve">| 5 L JAVA % | 6 L NS % | 9 P JAVA % | 9 L CPT @ | 6 L PHP-CGM @ </v>
      </c>
      <c r="AU580" s="4" t="str">
        <f ca="1">IFERROR(__xludf.DUMMYFUNCTION("""COMPUTED_VALUE"""),"| 5 L CPT % | 6 L PHP-CGM % | 7 P Python % | 9 P NS % ")</f>
        <v xml:space="preserve">| 5 L CPT % | 6 L PHP-CGM % | 7 P Python % | 9 P NS % </v>
      </c>
      <c r="AV580" s="4" t="str">
        <f ca="1">IFERROR(__xludf.DUMMYFUNCTION("""COMPUTED_VALUE"""),"| 5 L NS % | 6 L CPT @ | 7 P PRO % | 9 P PHP-CGM % ")</f>
        <v xml:space="preserve">| 5 L NS % | 6 L CPT @ | 7 P PRO % | 9 P PHP-CGM % </v>
      </c>
      <c r="AW580" s="4" t="str">
        <f ca="1">IFERROR(__xludf.DUMMYFUNCTION("""COMPUTED_VALUE"""),"| 5 L NS % | 6 L JAVA % | 7 P Python % ")</f>
        <v xml:space="preserve">| 5 L NS % | 6 L JAVA % | 7 P Python % </v>
      </c>
      <c r="AX580" s="4" t="str">
        <f ca="1">IFERROR(__xludf.DUMMYFUNCTION("""COMPUTED_VALUE"""),"| 1 L PHP-CGM % | 6 L JAVA % | 7 P JAVA % | 9 L INE @ ")</f>
        <v xml:space="preserve">| 1 L PHP-CGM % | 6 L JAVA % | 7 P JAVA % | 9 L INE @ </v>
      </c>
      <c r="AY580" s="4" t="str">
        <f ca="1">IFERROR(__xludf.DUMMYFUNCTION("""COMPUTED_VALUE"""),"| 5 L JAVA % | 6 L NS % | 7 P JAVA @ | 9 L CPT % | 11 L PHP-CGM % ")</f>
        <v xml:space="preserve">| 5 L JAVA % | 6 L NS % | 7 P JAVA @ | 9 L CPT % | 11 L PHP-CGM % </v>
      </c>
      <c r="AZ580" s="4" t="str">
        <f ca="1">IFERROR(__xludf.DUMMYFUNCTION("""COMPUTED_VALUE"""),"| 5 L NS % | 6 L CPT % | 7 P PRO % ")</f>
        <v xml:space="preserve">| 5 L NS % | 6 L CPT % | 7 P PRO % </v>
      </c>
      <c r="BA580" s="4" t="str">
        <f ca="1">IFERROR(__xludf.DUMMYFUNCTION("""COMPUTED_VALUE"""),"| 5 L NS @ | 6 L JAVA % | 7 P Python @ | 9 P CPT @ ")</f>
        <v xml:space="preserve">| 5 L NS @ | 6 L JAVA % | 7 P Python @ | 9 P CPT @ </v>
      </c>
      <c r="BB580" s="4" t="str">
        <f ca="1">IFERROR(__xludf.DUMMYFUNCTION("""COMPUTED_VALUE"""),"| 1 L PHP-CGM % | 6 L JAVA % | 7 P JAVA % | 9 L INE @ ")</f>
        <v xml:space="preserve">| 1 L PHP-CGM % | 6 L JAVA % | 7 P JAVA % | 9 L INE @ </v>
      </c>
      <c r="BC580" s="4" t="str">
        <f ca="1">IFERROR(__xludf.DUMMYFUNCTION("""COMPUTED_VALUE"""),"| 5 L JAVA @ | 6 L NS @ | 7 P JAVA @ | 10 L PHP-CGM @ | 9 L CPT @ ")</f>
        <v xml:space="preserve">| 5 L JAVA @ | 6 L NS @ | 7 P JAVA @ | 10 L PHP-CGM @ | 9 L CPT @ </v>
      </c>
      <c r="BD580" s="4" t="str">
        <f ca="1">IFERROR(__xludf.DUMMYFUNCTION("""COMPUTED_VALUE"""),"| 5 L CPT % | 6 L PHP-CGM % | 7 P Python % | 9 P NS % ")</f>
        <v xml:space="preserve">| 5 L CPT % | 6 L PHP-CGM % | 7 P Python % | 9 P NS % </v>
      </c>
      <c r="BE580" s="4" t="str">
        <f ca="1">IFERROR(__xludf.DUMMYFUNCTION("""COMPUTED_VALUE"""),"| 5 L NS @ | 6 L CPT % | 7 P PRO % | 9 P PHP-CGM % ")</f>
        <v xml:space="preserve">| 5 L NS @ | 6 L CPT % | 7 P PRO % | 9 P PHP-CGM % </v>
      </c>
      <c r="BF580" s="4" t="str">
        <f ca="1">IFERROR(__xludf.DUMMYFUNCTION("""COMPUTED_VALUE"""),"| 5 L NS @ | 6 L JAVA % | 7 P Python % | 9 P CPT @ ")</f>
        <v xml:space="preserve">| 5 L NS @ | 6 L JAVA % | 7 P Python % | 9 P CPT @ </v>
      </c>
      <c r="BG580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BH580" s="4" t="str">
        <f ca="1">IFERROR(__xludf.DUMMYFUNCTION("""COMPUTED_VALUE"""),"| 5 L CPT % | 6 L PHP-CGM % | 7 P Python @ | 9 P NS % ")</f>
        <v xml:space="preserve">| 5 L CPT % | 6 L PHP-CGM % | 7 P Python @ | 9 P NS % </v>
      </c>
      <c r="BI580" s="4" t="str">
        <f ca="1">IFERROR(__xludf.DUMMYFUNCTION("""COMPUTED_VALUE"""),"| 5 L NS % | 6 L CPT % | 7 P PRO @ | 9 P PHP-CGM @ ")</f>
        <v xml:space="preserve">| 5 L NS % | 6 L CPT % | 7 P PRO @ | 9 P PHP-CGM @ </v>
      </c>
      <c r="BJ580" s="4" t="str">
        <f ca="1">IFERROR(__xludf.DUMMYFUNCTION("""COMPUTED_VALUE"""),"| 5 L NS % | 6 L JAVA % | 7 P Python @ ")</f>
        <v xml:space="preserve">| 5 L NS % | 6 L JAVA % | 7 P Python @ </v>
      </c>
      <c r="BK580" s="4" t="str">
        <f ca="1">IFERROR(__xludf.DUMMYFUNCTION("""COMPUTED_VALUE"""),"| 1 L PHP-CGM @ | 6 L JAVA @ | 7 P JAVA @ | 9 L INE @ ")</f>
        <v xml:space="preserve">| 1 L PHP-CGM @ | 6 L JAVA @ | 7 P JAVA @ | 9 L INE @ </v>
      </c>
      <c r="BL580" s="4" t="str">
        <f ca="1">IFERROR(__xludf.DUMMYFUNCTION("""COMPUTED_VALUE"""),"| 5 L JAVA % | 6 L NS % | 7 P JAVA @ | 9 L CPT @ | 10 L PHP-CGM @ ")</f>
        <v xml:space="preserve">| 5 L JAVA % | 6 L NS % | 7 P JAVA @ | 9 L CPT @ | 10 L PHP-CGM @ </v>
      </c>
      <c r="BM580" s="4" t="str">
        <f ca="1">IFERROR(__xludf.DUMMYFUNCTION("""COMPUTED_VALUE"""),"| 5 L CPT % | 6 L PHP-CGM % | 7 P Python @ ")</f>
        <v xml:space="preserve">| 5 L CPT % | 6 L PHP-CGM % | 7 P Python @ </v>
      </c>
      <c r="BN580" s="4" t="str">
        <f ca="1">IFERROR(__xludf.DUMMYFUNCTION("""COMPUTED_VALUE"""),"| 5 L NS % | 6 L CPT % | 7 P PRO @ | 9 P PHP-CGM @ ")</f>
        <v xml:space="preserve">| 5 L NS % | 6 L CPT % | 7 P PRO @ | 9 P PHP-CGM @ </v>
      </c>
      <c r="BO580" s="4" t="str">
        <f ca="1">IFERROR(__xludf.DUMMYFUNCTION("""COMPUTED_VALUE"""),"| 5 L NS @ | 6 L JAVA @ ")</f>
        <v xml:space="preserve">| 5 L NS @ | 6 L JAVA @ </v>
      </c>
      <c r="BP580" s="4" t="str">
        <f ca="1">IFERROR(__xludf.DUMMYFUNCTION("""COMPUTED_VALUE"""),"| 1 L PHP-CGM % | 6 L JAVA % | 7 P JAVA @ | 9 L INE @ ")</f>
        <v xml:space="preserve">| 1 L PHP-CGM % | 6 L JAVA % | 7 P JAVA @ | 9 L INE @ </v>
      </c>
      <c r="BQ580" s="4" t="str">
        <f ca="1">IFERROR(__xludf.DUMMYFUNCTION("""COMPUTED_VALUE"""),"| 5 L CPT @ ")</f>
        <v xml:space="preserve">| 5 L CPT @ </v>
      </c>
      <c r="BR580" s="4"/>
      <c r="BS580" s="4" t="str">
        <f ca="1">IFERROR(__xludf.DUMMYFUNCTION("""COMPUTED_VALUE"""),"| 6 L CPT @ ")</f>
        <v xml:space="preserve">| 6 L CPT @ </v>
      </c>
      <c r="BT580" s="4" t="str">
        <f ca="1">IFERROR(__xludf.DUMMYFUNCTION("""COMPUTED_VALUE"""),"| 7 P JAVA @ ")</f>
        <v xml:space="preserve">| 7 P JAVA @ </v>
      </c>
      <c r="BU580" s="4" t="str">
        <f ca="1">IFERROR(__xludf.DUMMYFUNCTION("""COMPUTED_VALUE"""),"| 7 P JAVA @ ")</f>
        <v xml:space="preserve">| 7 P JAVA @ </v>
      </c>
      <c r="BV580" s="4" t="str">
        <f ca="1">IFERROR(__xludf.DUMMYFUNCTION("""COMPUTED_VALUE"""),"| 5 L PHP-CGM % | 6 L JAVA % | 7 P JAVA % ")</f>
        <v xml:space="preserve">| 5 L PHP-CGM % | 6 L JAVA % | 7 P JAVA % </v>
      </c>
      <c r="BW580" s="4"/>
      <c r="BX580" s="4" t="str">
        <f ca="1">IFERROR(__xludf.DUMMYFUNCTION("""COMPUTED_VALUE"""),"| 5 L CPT % | 7 P Python % | 9 P NS % | 6 L PHP-CGM % ")</f>
        <v xml:space="preserve">| 5 L CPT % | 7 P Python % | 9 P NS % | 6 L PHP-CGM % </v>
      </c>
      <c r="BY580" s="4" t="str">
        <f ca="1">IFERROR(__xludf.DUMMYFUNCTION("""COMPUTED_VALUE"""),"| 5 L NS % | 6 L CPT % | 7 P PRO @ | 9 P PHP-CGM % ")</f>
        <v xml:space="preserve">| 5 L NS % | 6 L CPT % | 7 P PRO @ | 9 P PHP-CGM % </v>
      </c>
      <c r="BZ580" s="4" t="str">
        <f ca="1">IFERROR(__xludf.DUMMYFUNCTION("""COMPUTED_VALUE"""),"| 5 L NS % | 6 L JAVA % | 7 P Python % | 9 P CPT @ ")</f>
        <v xml:space="preserve">| 5 L NS % | 6 L JAVA % | 7 P Python % | 9 P CPT @ </v>
      </c>
      <c r="CA580" s="4" t="str">
        <f ca="1">IFERROR(__xludf.DUMMYFUNCTION("""COMPUTED_VALUE"""),"| 1 L PHP-CGM % | 6 L JAVA % | 7 P JAVA @ ")</f>
        <v xml:space="preserve">| 1 L PHP-CGM % | 6 L JAVA % | 7 P JAVA @ </v>
      </c>
      <c r="CB580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CC580" s="4" t="str">
        <f ca="1">IFERROR(__xludf.DUMMYFUNCTION("""COMPUTED_VALUE"""),"| 5 L CPT % | 6 L PHP-CGM % | 7 P Python % | 9 P NS @ ")</f>
        <v xml:space="preserve">| 5 L CPT % | 6 L PHP-CGM % | 7 P Python % | 9 P NS @ </v>
      </c>
      <c r="CD580" s="4" t="str">
        <f ca="1">IFERROR(__xludf.DUMMYFUNCTION("""COMPUTED_VALUE"""),"| 5 L NS @ | 6 L CPT @ | 7 P PRO @ ")</f>
        <v xml:space="preserve">| 5 L NS @ | 6 L CPT @ | 7 P PRO @ </v>
      </c>
      <c r="CE580" s="4" t="str">
        <f ca="1">IFERROR(__xludf.DUMMYFUNCTION("""COMPUTED_VALUE"""),"| 5 L NS % | 6 L JAVA % | 7 P Python % | 9 P CPT @ ")</f>
        <v xml:space="preserve">| 5 L NS % | 6 L JAVA % | 7 P Python % | 9 P CPT @ </v>
      </c>
      <c r="CF580" s="4" t="str">
        <f ca="1">IFERROR(__xludf.DUMMYFUNCTION("""COMPUTED_VALUE"""),"| 5 L PHP-CGM @ | 6 L JAVA % | 9 L INE @ ")</f>
        <v xml:space="preserve">| 5 L PHP-CGM @ | 6 L JAVA % | 9 L INE @ </v>
      </c>
      <c r="CG580" s="4" t="str">
        <f ca="1">IFERROR(__xludf.DUMMYFUNCTION("""COMPUTED_VALUE"""),"| 5 L JAVA % | 6 L NS % ")</f>
        <v xml:space="preserve">| 5 L JAVA % | 6 L NS % </v>
      </c>
      <c r="CH580" s="4" t="str">
        <f ca="1">IFERROR(__xludf.DUMMYFUNCTION("""COMPUTED_VALUE"""),"| 5 L CPT % | 7 P Python @ | 9 P NS @ ")</f>
        <v xml:space="preserve">| 5 L CPT % | 7 P Python @ | 9 P NS @ </v>
      </c>
      <c r="CI580" s="4" t="str">
        <f ca="1">IFERROR(__xludf.DUMMYFUNCTION("""COMPUTED_VALUE"""),"| 5 L NS % | 6 L CPT % ")</f>
        <v xml:space="preserve">| 5 L NS % | 6 L CPT % </v>
      </c>
      <c r="CJ580" s="4" t="str">
        <f ca="1">IFERROR(__xludf.DUMMYFUNCTION("""COMPUTED_VALUE"""),"| 5 L NS @ ")</f>
        <v xml:space="preserve">| 5 L NS @ </v>
      </c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</row>
    <row r="581" spans="1:102" ht="12.5" x14ac:dyDescent="0.25">
      <c r="A581" s="3">
        <f ca="1">IFERROR(__xludf.DUMMYFUNCTION("""COMPUTED_VALUE"""),1)</f>
        <v>1</v>
      </c>
      <c r="B581" s="3" t="str">
        <f ca="1">IFERROR(__xludf.DUMMYFUNCTION("""COMPUTED_VALUE"""),"ITD")</f>
        <v>ITD</v>
      </c>
      <c r="C581" s="32" t="str">
        <f ca="1">IFERROR(__xludf.DUMMYFUNCTION("""COMPUTED_VALUE"""),"23171371009")</f>
        <v>23171371009</v>
      </c>
      <c r="D581" s="4" t="str">
        <f ca="1">IFERROR(__xludf.DUMMYFUNCTION("""COMPUTED_VALUE"""),"CHAUDHARY MAHENDRA BHALABHAI")</f>
        <v>CHAUDHARY MAHENDRA BHALABHAI</v>
      </c>
      <c r="E581" s="3" t="str">
        <f ca="1">IFERROR(__xludf.DUMMYFUNCTION("""COMPUTED_VALUE"""),"SRC - Eve")</f>
        <v>SRC - Eve</v>
      </c>
      <c r="F581" s="3">
        <f ca="1">IFERROR(__xludf.DUMMYFUNCTION("""COMPUTED_VALUE"""),9727280593)</f>
        <v>9727280593</v>
      </c>
      <c r="G581" s="3">
        <f ca="1">IFERROR(__xludf.DUMMYFUNCTION("""COMPUTED_VALUE"""),7567387692)</f>
        <v>7567387692</v>
      </c>
      <c r="H581" s="33">
        <f ca="1">IFERROR(__xludf.DUMMYFUNCTION("""COMPUTED_VALUE"""),0.754464285714285)</f>
        <v>0.75446428571428503</v>
      </c>
      <c r="I581" s="25">
        <f ca="1">IFERROR(__xludf.DUMMYFUNCTION("""COMPUTED_VALUE"""),0.833333333333333)</f>
        <v>0.83333333333333304</v>
      </c>
      <c r="J581" s="25">
        <f ca="1">IFERROR(__xludf.DUMMYFUNCTION("""COMPUTED_VALUE"""),0.714285714285714)</f>
        <v>0.71428571428571397</v>
      </c>
      <c r="K581" s="25">
        <f ca="1">IFERROR(__xludf.DUMMYFUNCTION("""COMPUTED_VALUE"""),0.722222222222222)</f>
        <v>0.72222222222222199</v>
      </c>
      <c r="L581" s="25">
        <f ca="1">IFERROR(__xludf.DUMMYFUNCTION("""COMPUTED_VALUE"""),1)</f>
        <v>1</v>
      </c>
      <c r="M581" s="25">
        <f ca="1">IFERROR(__xludf.DUMMYFUNCTION("""COMPUTED_VALUE"""),0.78125)</f>
        <v>0.78125</v>
      </c>
      <c r="N581" s="25">
        <f ca="1">IFERROR(__xludf.DUMMYFUNCTION("""COMPUTED_VALUE"""),0.555555555555555)</f>
        <v>0.55555555555555503</v>
      </c>
      <c r="O581" s="25">
        <f ca="1">IFERROR(__xludf.DUMMYFUNCTION("""COMPUTED_VALUE"""),0.794117647058823)</f>
        <v>0.79411764705882304</v>
      </c>
      <c r="P581" s="25">
        <f ca="1">IFERROR(__xludf.DUMMYFUNCTION("""COMPUTED_VALUE"""),0.608695652173913)</f>
        <v>0.60869565217391297</v>
      </c>
      <c r="Q581" s="25">
        <f ca="1">IFERROR(__xludf.DUMMYFUNCTION("""COMPUTED_VALUE"""),0)</f>
        <v>0</v>
      </c>
      <c r="R581" s="25">
        <f ca="1">IFERROR(__xludf.DUMMYFUNCTION("""COMPUTED_VALUE"""),0.789473684210526)</f>
        <v>0.78947368421052599</v>
      </c>
      <c r="S581" s="25">
        <f ca="1">IFERROR(__xludf.DUMMYFUNCTION("""COMPUTED_VALUE"""),0)</f>
        <v>0</v>
      </c>
      <c r="T581" s="25">
        <f ca="1">IFERROR(__xludf.DUMMYFUNCTION("""COMPUTED_VALUE"""),0.833333333333333)</f>
        <v>0.83333333333333304</v>
      </c>
      <c r="U581" s="25">
        <f ca="1">IFERROR(__xludf.DUMMYFUNCTION("""COMPUTED_VALUE"""),0.428571428571428)</f>
        <v>0.42857142857142799</v>
      </c>
      <c r="V581" s="25">
        <f ca="1">IFERROR(__xludf.DUMMYFUNCTION("""COMPUTED_VALUE"""),0)</f>
        <v>0</v>
      </c>
      <c r="W581" s="4"/>
      <c r="X581" s="4" t="str">
        <f ca="1">IFERROR(__xludf.DUMMYFUNCTION("""COMPUTED_VALUE"""),"| 1 L PHP-CGM @ | 6 L JAVA @ | 7 P JAVA @ ")</f>
        <v xml:space="preserve">| 1 L PHP-CGM @ | 6 L JAVA @ | 7 P JAVA @ </v>
      </c>
      <c r="Y581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Z581" s="4" t="str">
        <f ca="1">IFERROR(__xludf.DUMMYFUNCTION("""COMPUTED_VALUE"""),"| 5 L CPT % | 6 L PHP-CGM % | 7 P Python % | 9 P NS % ")</f>
        <v xml:space="preserve">| 5 L CPT % | 6 L PHP-CGM % | 7 P Python % | 9 P NS % </v>
      </c>
      <c r="AA581" s="4" t="str">
        <f ca="1">IFERROR(__xludf.DUMMYFUNCTION("""COMPUTED_VALUE"""),"| 5 L NS % | 6 L CPT % | 7 P PRO % | 9 P PHP-CGM % ")</f>
        <v xml:space="preserve">| 5 L NS % | 6 L CPT % | 7 P PRO % | 9 P PHP-CGM % </v>
      </c>
      <c r="AB581" s="4" t="str">
        <f ca="1">IFERROR(__xludf.DUMMYFUNCTION("""COMPUTED_VALUE"""),"| 5 L NS @ | 6 L JAVA @ | 7 P Python @ | 9 P CPT @ ")</f>
        <v xml:space="preserve">| 5 L NS @ | 6 L JAVA @ | 7 P Python @ | 9 P CPT @ </v>
      </c>
      <c r="AC581" s="4" t="str">
        <f ca="1">IFERROR(__xludf.DUMMYFUNCTION("""COMPUTED_VALUE"""),"| 1 L PHP-CGM % | 6 L JAVA % | 7 P JAVA % ")</f>
        <v xml:space="preserve">| 1 L PHP-CGM % | 6 L JAVA % | 7 P JAVA % </v>
      </c>
      <c r="AD581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81" s="4" t="str">
        <f ca="1">IFERROR(__xludf.DUMMYFUNCTION("""COMPUTED_VALUE"""),"| 5 L CPT % | 6 L PHP-CGM % | 7 P Python % | 9 P NS % ")</f>
        <v xml:space="preserve">| 5 L CPT % | 6 L PHP-CGM % | 7 P Python % | 9 P NS % </v>
      </c>
      <c r="AF581" s="4" t="str">
        <f ca="1">IFERROR(__xludf.DUMMYFUNCTION("""COMPUTED_VALUE"""),"| 5 L NS % | 6 L CPT % | 7 P PRO % | 9 P PHP-CGM % ")</f>
        <v xml:space="preserve">| 5 L NS % | 6 L CPT % | 7 P PRO % | 9 P PHP-CGM % </v>
      </c>
      <c r="AG581" s="4" t="str">
        <f ca="1">IFERROR(__xludf.DUMMYFUNCTION("""COMPUTED_VALUE"""),"| 5 L NS % | 6 L JAVA % | 7 P Python % | 9 P CPT % ")</f>
        <v xml:space="preserve">| 5 L NS % | 6 L JAVA % | 7 P Python % | 9 P CPT % </v>
      </c>
      <c r="AH581" s="4" t="str">
        <f ca="1">IFERROR(__xludf.DUMMYFUNCTION("""COMPUTED_VALUE"""),"| 5 L NS % | 6 L CPT % | 7 P PRO % | 9 P PHP-CGM @ ")</f>
        <v xml:space="preserve">| 5 L NS % | 6 L CPT % | 7 P PRO % | 9 P PHP-CGM @ </v>
      </c>
      <c r="AI581" s="4" t="str">
        <f ca="1">IFERROR(__xludf.DUMMYFUNCTION("""COMPUTED_VALUE"""),"| 5 L NS % | 6 L JAVA % | 7 P Python % | 9 P CPT % ")</f>
        <v xml:space="preserve">| 5 L NS % | 6 L JAVA % | 7 P Python % | 9 P CPT % </v>
      </c>
      <c r="AJ581" s="4" t="str">
        <f ca="1">IFERROR(__xludf.DUMMYFUNCTION("""COMPUTED_VALUE"""),"| 1 L PHP-CGM @ | 6 L JAVA @ | 7 P JAVA @ ")</f>
        <v xml:space="preserve">| 1 L PHP-CGM @ | 6 L JAVA @ | 7 P JAVA @ </v>
      </c>
      <c r="AK581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81" s="4" t="str">
        <f ca="1">IFERROR(__xludf.DUMMYFUNCTION("""COMPUTED_VALUE"""),"| 5 L CPT % | 7 P Python % | 6 L PHP-CGM % | 9 P NS % ")</f>
        <v xml:space="preserve">| 5 L CPT % | 7 P Python % | 6 L PHP-CGM % | 9 P NS % </v>
      </c>
      <c r="AM581" s="4" t="str">
        <f ca="1">IFERROR(__xludf.DUMMYFUNCTION("""COMPUTED_VALUE"""),"| 5 L NS % | 6 L CPT % | 7 P PRO % ")</f>
        <v xml:space="preserve">| 5 L NS % | 6 L CPT % | 7 P PRO % </v>
      </c>
      <c r="AN581" s="4" t="str">
        <f ca="1">IFERROR(__xludf.DUMMYFUNCTION("""COMPUTED_VALUE"""),"| 5 L NS % | 6 L JAVA % ")</f>
        <v xml:space="preserve">| 5 L NS % | 6 L JAVA % </v>
      </c>
      <c r="AO581" s="4" t="str">
        <f ca="1">IFERROR(__xludf.DUMMYFUNCTION("""COMPUTED_VALUE"""),"| 1 L PHP-CGM % | 6 L JAVA % | 7 P JAVA % | 9 L INE @ ")</f>
        <v xml:space="preserve">| 1 L PHP-CGM % | 6 L JAVA % | 7 P JAVA % | 9 L INE @ </v>
      </c>
      <c r="AP581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1" s="4" t="str">
        <f ca="1">IFERROR(__xludf.DUMMYFUNCTION("""COMPUTED_VALUE"""),"| 5 L CPT % | 6 L PHP-CGM % ")</f>
        <v xml:space="preserve">| 5 L CPT % | 6 L PHP-CGM % </v>
      </c>
      <c r="AR581" s="4" t="str">
        <f ca="1">IFERROR(__xludf.DUMMYFUNCTION("""COMPUTED_VALUE"""),"| 5 L NS @ | 6 L CPT @ | 7 P PRO @ | 9 P PHP-CGM @ ")</f>
        <v xml:space="preserve">| 5 L NS @ | 6 L CPT @ | 7 P PRO @ | 9 P PHP-CGM @ </v>
      </c>
      <c r="AS581" s="4" t="str">
        <f ca="1">IFERROR(__xludf.DUMMYFUNCTION("""COMPUTED_VALUE"""),"| 1 L PHP-CGM % | 6 L JAVA % | 7 P JAVA % | 9 L INE % ")</f>
        <v xml:space="preserve">| 1 L PHP-CGM % | 6 L JAVA % | 7 P JAVA % | 9 L INE % </v>
      </c>
      <c r="AT581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81" s="4" t="str">
        <f ca="1">IFERROR(__xludf.DUMMYFUNCTION("""COMPUTED_VALUE"""),"| 5 L CPT % | 6 L PHP-CGM % | 7 P Python % | 9 P NS % ")</f>
        <v xml:space="preserve">| 5 L CPT % | 6 L PHP-CGM % | 7 P Python % | 9 P NS % </v>
      </c>
      <c r="AV581" s="4" t="str">
        <f ca="1">IFERROR(__xludf.DUMMYFUNCTION("""COMPUTED_VALUE"""),"| 5 L NS % | 6 L CPT % | 7 P PRO % | 9 P PHP-CGM % ")</f>
        <v xml:space="preserve">| 5 L NS % | 6 L CPT % | 7 P PRO % | 9 P PHP-CGM % </v>
      </c>
      <c r="AW581" s="4" t="str">
        <f ca="1">IFERROR(__xludf.DUMMYFUNCTION("""COMPUTED_VALUE"""),"| 5 L NS % | 6 L JAVA % | 7 P Python % ")</f>
        <v xml:space="preserve">| 5 L NS % | 6 L JAVA % | 7 P Python % </v>
      </c>
      <c r="AX581" s="4" t="str">
        <f ca="1">IFERROR(__xludf.DUMMYFUNCTION("""COMPUTED_VALUE"""),"| 1 L PHP-CGM @ | 6 L JAVA @ | 7 P JAVA @ | 9 L INE @ ")</f>
        <v xml:space="preserve">| 1 L PHP-CGM @ | 6 L JAVA @ | 7 P JAVA @ | 9 L INE @ </v>
      </c>
      <c r="AY581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81" s="4" t="str">
        <f ca="1">IFERROR(__xludf.DUMMYFUNCTION("""COMPUTED_VALUE"""),"| 5 L NS % | 6 L CPT % | 7 P PRO % ")</f>
        <v xml:space="preserve">| 5 L NS % | 6 L CPT % | 7 P PRO % </v>
      </c>
      <c r="BA581" s="4" t="str">
        <f ca="1">IFERROR(__xludf.DUMMYFUNCTION("""COMPUTED_VALUE"""),"| 5 L NS % | 6 L JAVA % | 7 P Python % | 9 P CPT % ")</f>
        <v xml:space="preserve">| 5 L NS % | 6 L JAVA % | 7 P Python % | 9 P CPT % </v>
      </c>
      <c r="BB581" s="4" t="str">
        <f ca="1">IFERROR(__xludf.DUMMYFUNCTION("""COMPUTED_VALUE"""),"| 1 L PHP-CGM % | 6 L JAVA % | 7 P JAVA % | 9 L INE % ")</f>
        <v xml:space="preserve">| 1 L PHP-CGM % | 6 L JAVA % | 7 P JAVA % | 9 L INE % </v>
      </c>
      <c r="BC581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1" s="4" t="str">
        <f ca="1">IFERROR(__xludf.DUMMYFUNCTION("""COMPUTED_VALUE"""),"| 5 L CPT % | 6 L PHP-CGM % | 7 P Python % | 9 P NS % ")</f>
        <v xml:space="preserve">| 5 L CPT % | 6 L PHP-CGM % | 7 P Python % | 9 P NS % </v>
      </c>
      <c r="BE581" s="4" t="str">
        <f ca="1">IFERROR(__xludf.DUMMYFUNCTION("""COMPUTED_VALUE"""),"| 5 L NS @ | 6 L CPT @ | 7 P PRO @ | 9 P PHP-CGM @ ")</f>
        <v xml:space="preserve">| 5 L NS @ | 6 L CPT @ | 7 P PRO @ | 9 P PHP-CGM @ </v>
      </c>
      <c r="BF581" s="4" t="str">
        <f ca="1">IFERROR(__xludf.DUMMYFUNCTION("""COMPUTED_VALUE"""),"| 5 L NS @ | 6 L JAVA % | 7 P Python % | 9 P CPT % ")</f>
        <v xml:space="preserve">| 5 L NS @ | 6 L JAVA % | 7 P Python % | 9 P CPT % </v>
      </c>
      <c r="BG581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1" s="4" t="str">
        <f ca="1">IFERROR(__xludf.DUMMYFUNCTION("""COMPUTED_VALUE"""),"| 5 L CPT % | 6 L PHP-CGM % | 7 P Python % | 9 P NS % ")</f>
        <v xml:space="preserve">| 5 L CPT % | 6 L PHP-CGM % | 7 P Python % | 9 P NS % </v>
      </c>
      <c r="BI581" s="4" t="str">
        <f ca="1">IFERROR(__xludf.DUMMYFUNCTION("""COMPUTED_VALUE"""),"| 5 L NS % | 6 L CPT % | 7 P PRO % | 9 P PHP-CGM @ ")</f>
        <v xml:space="preserve">| 5 L NS % | 6 L CPT % | 7 P PRO % | 9 P PHP-CGM @ </v>
      </c>
      <c r="BJ581" s="4" t="str">
        <f ca="1">IFERROR(__xludf.DUMMYFUNCTION("""COMPUTED_VALUE"""),"| 5 L NS % | 6 L JAVA % | 7 P Python @ ")</f>
        <v xml:space="preserve">| 5 L NS % | 6 L JAVA % | 7 P Python @ </v>
      </c>
      <c r="BK581" s="4" t="str">
        <f ca="1">IFERROR(__xludf.DUMMYFUNCTION("""COMPUTED_VALUE"""),"| 1 L PHP-CGM % | 6 L JAVA % | 7 P JAVA % | 9 L INE @ ")</f>
        <v xml:space="preserve">| 1 L PHP-CGM % | 6 L JAVA % | 7 P JAVA % | 9 L INE @ </v>
      </c>
      <c r="BL581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M581" s="4" t="str">
        <f ca="1">IFERROR(__xludf.DUMMYFUNCTION("""COMPUTED_VALUE"""),"| 5 L CPT @ | 6 L PHP-CGM @ | 7 P Python @ ")</f>
        <v xml:space="preserve">| 5 L CPT @ | 6 L PHP-CGM @ | 7 P Python @ </v>
      </c>
      <c r="BN581" s="4" t="str">
        <f ca="1">IFERROR(__xludf.DUMMYFUNCTION("""COMPUTED_VALUE"""),"| 5 L NS % | 6 L CPT % | 7 P PRO % | 9 P PHP-CGM % ")</f>
        <v xml:space="preserve">| 5 L NS % | 6 L CPT % | 7 P PRO % | 9 P PHP-CGM % </v>
      </c>
      <c r="BO581" s="4" t="str">
        <f ca="1">IFERROR(__xludf.DUMMYFUNCTION("""COMPUTED_VALUE"""),"| 5 L NS % | 6 L JAVA % ")</f>
        <v xml:space="preserve">| 5 L NS % | 6 L JAVA % </v>
      </c>
      <c r="BP581" s="4" t="str">
        <f ca="1">IFERROR(__xludf.DUMMYFUNCTION("""COMPUTED_VALUE"""),"| 1 L PHP-CGM % | 6 L JAVA % | 7 P JAVA @ | 9 L INE @ ")</f>
        <v xml:space="preserve">| 1 L PHP-CGM % | 6 L JAVA % | 7 P JAVA @ | 9 L INE @ </v>
      </c>
      <c r="BQ581" s="4" t="str">
        <f ca="1">IFERROR(__xludf.DUMMYFUNCTION("""COMPUTED_VALUE"""),"| 5 L CPT % ")</f>
        <v xml:space="preserve">| 5 L CPT % </v>
      </c>
      <c r="BR581" s="4"/>
      <c r="BS581" s="4" t="str">
        <f ca="1">IFERROR(__xludf.DUMMYFUNCTION("""COMPUTED_VALUE"""),"| 6 L CPT % ")</f>
        <v xml:space="preserve">| 6 L CPT % </v>
      </c>
      <c r="BT581" s="4" t="str">
        <f ca="1">IFERROR(__xludf.DUMMYFUNCTION("""COMPUTED_VALUE"""),"| 7 P JAVA @ ")</f>
        <v xml:space="preserve">| 7 P JAVA @ </v>
      </c>
      <c r="BU581" s="4" t="str">
        <f ca="1">IFERROR(__xludf.DUMMYFUNCTION("""COMPUTED_VALUE"""),"| 7 P JAVA @ ")</f>
        <v xml:space="preserve">| 7 P JAVA @ </v>
      </c>
      <c r="BV581" s="4" t="str">
        <f ca="1">IFERROR(__xludf.DUMMYFUNCTION("""COMPUTED_VALUE"""),"| 5 L PHP-CGM % | 6 L JAVA % | 7 P JAVA @ ")</f>
        <v xml:space="preserve">| 5 L PHP-CGM % | 6 L JAVA % | 7 P JAVA @ </v>
      </c>
      <c r="BW581" s="4"/>
      <c r="BX581" s="4" t="str">
        <f ca="1">IFERROR(__xludf.DUMMYFUNCTION("""COMPUTED_VALUE"""),"| 5 L CPT % | 7 P Python % | 9 P NS % | 6 L PHP-CGM % ")</f>
        <v xml:space="preserve">| 5 L CPT % | 7 P Python % | 9 P NS % | 6 L PHP-CGM % </v>
      </c>
      <c r="BY581" s="4" t="str">
        <f ca="1">IFERROR(__xludf.DUMMYFUNCTION("""COMPUTED_VALUE"""),"| 5 L NS % | 6 L CPT % | 7 P PRO % | 9 P PHP-CGM % ")</f>
        <v xml:space="preserve">| 5 L NS % | 6 L CPT % | 7 P PRO % | 9 P PHP-CGM % </v>
      </c>
      <c r="BZ581" s="4" t="str">
        <f ca="1">IFERROR(__xludf.DUMMYFUNCTION("""COMPUTED_VALUE"""),"| 5 L NS % | 6 L JAVA % | 7 P Python % | 9 P CPT % ")</f>
        <v xml:space="preserve">| 5 L NS % | 6 L JAVA % | 7 P Python % | 9 P CPT % </v>
      </c>
      <c r="CA581" s="4" t="str">
        <f ca="1">IFERROR(__xludf.DUMMYFUNCTION("""COMPUTED_VALUE"""),"| 1 L PHP-CGM % | 6 L JAVA % | 7 P JAVA % ")</f>
        <v xml:space="preserve">| 1 L PHP-CGM % | 6 L JAVA % | 7 P JAVA % </v>
      </c>
      <c r="CB581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CC581" s="4" t="str">
        <f ca="1">IFERROR(__xludf.DUMMYFUNCTION("""COMPUTED_VALUE"""),"| 5 L CPT % | 6 L PHP-CGM @ | 7 P Python % | 9 P NS % ")</f>
        <v xml:space="preserve">| 5 L CPT % | 6 L PHP-CGM @ | 7 P Python % | 9 P NS % </v>
      </c>
      <c r="CD581" s="4" t="str">
        <f ca="1">IFERROR(__xludf.DUMMYFUNCTION("""COMPUTED_VALUE"""),"| 5 L NS % | 6 L CPT % | 7 P PRO % ")</f>
        <v xml:space="preserve">| 5 L NS % | 6 L CPT % | 7 P PRO % </v>
      </c>
      <c r="CE581" s="4" t="str">
        <f ca="1">IFERROR(__xludf.DUMMYFUNCTION("""COMPUTED_VALUE"""),"| 5 L NS @ | 6 L JAVA @ | 7 P Python @ | 9 P CPT @ ")</f>
        <v xml:space="preserve">| 5 L NS @ | 6 L JAVA @ | 7 P Python @ | 9 P CPT @ </v>
      </c>
      <c r="CF581" s="4" t="str">
        <f ca="1">IFERROR(__xludf.DUMMYFUNCTION("""COMPUTED_VALUE"""),"| 5 L PHP-CGM % | 6 L JAVA % | 9 L INE % ")</f>
        <v xml:space="preserve">| 5 L PHP-CGM % | 6 L JAVA % | 9 L INE % </v>
      </c>
      <c r="CG581" s="4" t="str">
        <f ca="1">IFERROR(__xludf.DUMMYFUNCTION("""COMPUTED_VALUE"""),"| 5 L JAVA % | 6 L NS @ ")</f>
        <v xml:space="preserve">| 5 L JAVA % | 6 L NS @ </v>
      </c>
      <c r="CH581" s="4" t="str">
        <f ca="1">IFERROR(__xludf.DUMMYFUNCTION("""COMPUTED_VALUE"""),"| 5 L CPT % | 7 P Python % | 9 P NS % ")</f>
        <v xml:space="preserve">| 5 L CPT % | 7 P Python % | 9 P NS % </v>
      </c>
      <c r="CI581" s="4" t="str">
        <f ca="1">IFERROR(__xludf.DUMMYFUNCTION("""COMPUTED_VALUE"""),"| 5 L NS @ | 6 L CPT @ ")</f>
        <v xml:space="preserve">| 5 L NS @ | 6 L CPT @ </v>
      </c>
      <c r="CJ581" s="4" t="str">
        <f ca="1">IFERROR(__xludf.DUMMYFUNCTION("""COMPUTED_VALUE"""),"| 5 L NS @ ")</f>
        <v xml:space="preserve">| 5 L NS @ </v>
      </c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</row>
    <row r="582" spans="1:102" ht="12.5" x14ac:dyDescent="0.25">
      <c r="A582" s="3">
        <f ca="1">IFERROR(__xludf.DUMMYFUNCTION("""COMPUTED_VALUE"""),1)</f>
        <v>1</v>
      </c>
      <c r="B582" s="3" t="str">
        <f ca="1">IFERROR(__xludf.DUMMYFUNCTION("""COMPUTED_VALUE"""),"ITD")</f>
        <v>ITD</v>
      </c>
      <c r="C582" s="32" t="str">
        <f ca="1">IFERROR(__xludf.DUMMYFUNCTION("""COMPUTED_VALUE"""),"23171371011")</f>
        <v>23171371011</v>
      </c>
      <c r="D582" s="4" t="str">
        <f ca="1">IFERROR(__xludf.DUMMYFUNCTION("""COMPUTED_VALUE"""),"CHAUHAN OM BIRENKUMAR")</f>
        <v>CHAUHAN OM BIRENKUMAR</v>
      </c>
      <c r="E582" s="3" t="str">
        <f ca="1">IFERROR(__xludf.DUMMYFUNCTION("""COMPUTED_VALUE"""),"SRC - Eve")</f>
        <v>SRC - Eve</v>
      </c>
      <c r="F582" s="3">
        <f ca="1">IFERROR(__xludf.DUMMYFUNCTION("""COMPUTED_VALUE"""),9427039003)</f>
        <v>9427039003</v>
      </c>
      <c r="G582" s="3">
        <f ca="1">IFERROR(__xludf.DUMMYFUNCTION("""COMPUTED_VALUE"""),9825082916)</f>
        <v>9825082916</v>
      </c>
      <c r="H582" s="33">
        <f ca="1">IFERROR(__xludf.DUMMYFUNCTION("""COMPUTED_VALUE"""),0.879464285714285)</f>
        <v>0.87946428571428503</v>
      </c>
      <c r="I582" s="25">
        <f ca="1">IFERROR(__xludf.DUMMYFUNCTION("""COMPUTED_VALUE"""),0.916666666666666)</f>
        <v>0.91666666666666596</v>
      </c>
      <c r="J582" s="25">
        <f ca="1">IFERROR(__xludf.DUMMYFUNCTION("""COMPUTED_VALUE"""),0.857142857142857)</f>
        <v>0.85714285714285698</v>
      </c>
      <c r="K582" s="25">
        <f ca="1">IFERROR(__xludf.DUMMYFUNCTION("""COMPUTED_VALUE"""),0.805555555555555)</f>
        <v>0.80555555555555503</v>
      </c>
      <c r="L582" s="25">
        <f ca="1">IFERROR(__xludf.DUMMYFUNCTION("""COMPUTED_VALUE"""),0.888888888888888)</f>
        <v>0.88888888888888795</v>
      </c>
      <c r="M582" s="25">
        <f ca="1">IFERROR(__xludf.DUMMYFUNCTION("""COMPUTED_VALUE"""),0.9375)</f>
        <v>0.9375</v>
      </c>
      <c r="N582" s="25">
        <f ca="1">IFERROR(__xludf.DUMMYFUNCTION("""COMPUTED_VALUE"""),1)</f>
        <v>1</v>
      </c>
      <c r="O582" s="25">
        <f ca="1">IFERROR(__xludf.DUMMYFUNCTION("""COMPUTED_VALUE"""),0.852941176470588)</f>
        <v>0.85294117647058798</v>
      </c>
      <c r="P582" s="25">
        <f ca="1">IFERROR(__xludf.DUMMYFUNCTION("""COMPUTED_VALUE"""),0.869565217391304)</f>
        <v>0.86956521739130399</v>
      </c>
      <c r="Q582" s="25">
        <f ca="1">IFERROR(__xludf.DUMMYFUNCTION("""COMPUTED_VALUE"""),0)</f>
        <v>0</v>
      </c>
      <c r="R582" s="25">
        <f ca="1">IFERROR(__xludf.DUMMYFUNCTION("""COMPUTED_VALUE"""),0.842105263157894)</f>
        <v>0.84210526315789402</v>
      </c>
      <c r="S582" s="25">
        <f ca="1">IFERROR(__xludf.DUMMYFUNCTION("""COMPUTED_VALUE"""),0)</f>
        <v>0</v>
      </c>
      <c r="T582" s="25">
        <f ca="1">IFERROR(__xludf.DUMMYFUNCTION("""COMPUTED_VALUE"""),0.916666666666666)</f>
        <v>0.91666666666666596</v>
      </c>
      <c r="U582" s="25">
        <f ca="1">IFERROR(__xludf.DUMMYFUNCTION("""COMPUTED_VALUE"""),0.857142857142857)</f>
        <v>0.85714285714285698</v>
      </c>
      <c r="V582" s="25">
        <f ca="1">IFERROR(__xludf.DUMMYFUNCTION("""COMPUTED_VALUE"""),0)</f>
        <v>0</v>
      </c>
      <c r="W582" s="4"/>
      <c r="X582" s="4" t="str">
        <f ca="1">IFERROR(__xludf.DUMMYFUNCTION("""COMPUTED_VALUE"""),"| 1 L PHP-CGM % | 6 L JAVA % | 7 P JAVA % ")</f>
        <v xml:space="preserve">| 1 L PHP-CGM % | 6 L JAVA % | 7 P JAVA % </v>
      </c>
      <c r="Y582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Z582" s="4" t="str">
        <f ca="1">IFERROR(__xludf.DUMMYFUNCTION("""COMPUTED_VALUE"""),"| 5 L CPT % | 6 L PHP-CGM % | 7 P Python % | 9 P NS % ")</f>
        <v xml:space="preserve">| 5 L CPT % | 6 L PHP-CGM % | 7 P Python % | 9 P NS % </v>
      </c>
      <c r="AA582" s="4" t="str">
        <f ca="1">IFERROR(__xludf.DUMMYFUNCTION("""COMPUTED_VALUE"""),"| 5 L NS % | 6 L CPT % | 7 P PRO % | 9 P PHP-CGM % ")</f>
        <v xml:space="preserve">| 5 L NS % | 6 L CPT % | 7 P PRO % | 9 P PHP-CGM % </v>
      </c>
      <c r="AB582" s="4" t="str">
        <f ca="1">IFERROR(__xludf.DUMMYFUNCTION("""COMPUTED_VALUE"""),"| 5 L NS % | 6 L JAVA % | 7 P Python % | 9 P CPT % ")</f>
        <v xml:space="preserve">| 5 L NS % | 6 L JAVA % | 7 P Python % | 9 P CPT % </v>
      </c>
      <c r="AC582" s="4" t="str">
        <f ca="1">IFERROR(__xludf.DUMMYFUNCTION("""COMPUTED_VALUE"""),"| 1 L PHP-CGM % | 6 L JAVA % | 7 P JAVA % ")</f>
        <v xml:space="preserve">| 1 L PHP-CGM % | 6 L JAVA % | 7 P JAVA % </v>
      </c>
      <c r="AD582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82" s="4" t="str">
        <f ca="1">IFERROR(__xludf.DUMMYFUNCTION("""COMPUTED_VALUE"""),"| 5 L CPT % | 6 L PHP-CGM % | 7 P Python % | 9 P NS % ")</f>
        <v xml:space="preserve">| 5 L CPT % | 6 L PHP-CGM % | 7 P Python % | 9 P NS % </v>
      </c>
      <c r="AF582" s="4" t="str">
        <f ca="1">IFERROR(__xludf.DUMMYFUNCTION("""COMPUTED_VALUE"""),"| 5 L NS % | 6 L CPT % | 7 P PRO % | 9 P PHP-CGM % ")</f>
        <v xml:space="preserve">| 5 L NS % | 6 L CPT % | 7 P PRO % | 9 P PHP-CGM % </v>
      </c>
      <c r="AG582" s="4" t="str">
        <f ca="1">IFERROR(__xludf.DUMMYFUNCTION("""COMPUTED_VALUE"""),"| 5 L NS % | 6 L JAVA % | 7 P Python % | 9 P CPT % ")</f>
        <v xml:space="preserve">| 5 L NS % | 6 L JAVA % | 7 P Python % | 9 P CPT % </v>
      </c>
      <c r="AH582" s="4" t="str">
        <f ca="1">IFERROR(__xludf.DUMMYFUNCTION("""COMPUTED_VALUE"""),"| 5 L NS % | 6 L CPT % | 7 P PRO % | 9 P PHP-CGM % ")</f>
        <v xml:space="preserve">| 5 L NS % | 6 L CPT % | 7 P PRO % | 9 P PHP-CGM % </v>
      </c>
      <c r="AI582" s="4" t="str">
        <f ca="1">IFERROR(__xludf.DUMMYFUNCTION("""COMPUTED_VALUE"""),"| 5 L NS @ | 6 L JAVA @ | 7 P Python @ | 9 P CPT @ ")</f>
        <v xml:space="preserve">| 5 L NS @ | 6 L JAVA @ | 7 P Python @ | 9 P CPT @ </v>
      </c>
      <c r="AJ582" s="4" t="str">
        <f ca="1">IFERROR(__xludf.DUMMYFUNCTION("""COMPUTED_VALUE"""),"| 1 L PHP-CGM % | 6 L JAVA % | 7 P JAVA % ")</f>
        <v xml:space="preserve">| 1 L PHP-CGM % | 6 L JAVA % | 7 P JAVA % </v>
      </c>
      <c r="AK582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82" s="4" t="str">
        <f ca="1">IFERROR(__xludf.DUMMYFUNCTION("""COMPUTED_VALUE"""),"| 5 L CPT % | 7 P Python @ | 6 L PHP-CGM % | 9 P NS @ ")</f>
        <v xml:space="preserve">| 5 L CPT % | 7 P Python @ | 6 L PHP-CGM % | 9 P NS @ </v>
      </c>
      <c r="AM582" s="4" t="str">
        <f ca="1">IFERROR(__xludf.DUMMYFUNCTION("""COMPUTED_VALUE"""),"| 5 L NS @ | 6 L CPT @ | 7 P PRO @ ")</f>
        <v xml:space="preserve">| 5 L NS @ | 6 L CPT @ | 7 P PRO @ </v>
      </c>
      <c r="AN582" s="4" t="str">
        <f ca="1">IFERROR(__xludf.DUMMYFUNCTION("""COMPUTED_VALUE"""),"| 5 L NS @ | 6 L JAVA @ ")</f>
        <v xml:space="preserve">| 5 L NS @ | 6 L JAVA @ </v>
      </c>
      <c r="AO582" s="4" t="str">
        <f ca="1">IFERROR(__xludf.DUMMYFUNCTION("""COMPUTED_VALUE"""),"| 1 L PHP-CGM % | 6 L JAVA % | 7 P JAVA % | 9 L INE % ")</f>
        <v xml:space="preserve">| 1 L PHP-CGM % | 6 L JAVA % | 7 P JAVA % | 9 L INE % </v>
      </c>
      <c r="AP582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2" s="4" t="str">
        <f ca="1">IFERROR(__xludf.DUMMYFUNCTION("""COMPUTED_VALUE"""),"| 5 L CPT % | 6 L PHP-CGM % ")</f>
        <v xml:space="preserve">| 5 L CPT % | 6 L PHP-CGM % </v>
      </c>
      <c r="AR582" s="4" t="str">
        <f ca="1">IFERROR(__xludf.DUMMYFUNCTION("""COMPUTED_VALUE"""),"| 5 L NS % | 6 L CPT % | 7 P PRO % | 9 P PHP-CGM % ")</f>
        <v xml:space="preserve">| 5 L NS % | 6 L CPT % | 7 P PRO % | 9 P PHP-CGM % </v>
      </c>
      <c r="AS582" s="4" t="str">
        <f ca="1">IFERROR(__xludf.DUMMYFUNCTION("""COMPUTED_VALUE"""),"| 1 L PHP-CGM % | 6 L JAVA % | 7 P JAVA % | 9 L INE % ")</f>
        <v xml:space="preserve">| 1 L PHP-CGM % | 6 L JAVA % | 7 P JAVA % | 9 L INE % </v>
      </c>
      <c r="AT582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82" s="4" t="str">
        <f ca="1">IFERROR(__xludf.DUMMYFUNCTION("""COMPUTED_VALUE"""),"| 5 L CPT % | 6 L PHP-CGM % | 7 P Python % | 9 P NS % ")</f>
        <v xml:space="preserve">| 5 L CPT % | 6 L PHP-CGM % | 7 P Python % | 9 P NS % </v>
      </c>
      <c r="AV582" s="4" t="str">
        <f ca="1">IFERROR(__xludf.DUMMYFUNCTION("""COMPUTED_VALUE"""),"| 5 L NS % | 6 L CPT % | 7 P PRO % | 9 P PHP-CGM % ")</f>
        <v xml:space="preserve">| 5 L NS % | 6 L CPT % | 7 P PRO % | 9 P PHP-CGM % </v>
      </c>
      <c r="AW582" s="4" t="str">
        <f ca="1">IFERROR(__xludf.DUMMYFUNCTION("""COMPUTED_VALUE"""),"| 5 L NS % | 6 L JAVA % | 7 P Python % ")</f>
        <v xml:space="preserve">| 5 L NS % | 6 L JAVA % | 7 P Python % </v>
      </c>
      <c r="AX582" s="4" t="str">
        <f ca="1">IFERROR(__xludf.DUMMYFUNCTION("""COMPUTED_VALUE"""),"| 1 L PHP-CGM % | 6 L JAVA % | 7 P JAVA % | 9 L INE % ")</f>
        <v xml:space="preserve">| 1 L PHP-CGM % | 6 L JAVA % | 7 P JAVA % | 9 L INE % </v>
      </c>
      <c r="AY582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82" s="4" t="str">
        <f ca="1">IFERROR(__xludf.DUMMYFUNCTION("""COMPUTED_VALUE"""),"| 5 L NS % | 6 L CPT % | 7 P PRO % ")</f>
        <v xml:space="preserve">| 5 L NS % | 6 L CPT % | 7 P PRO % </v>
      </c>
      <c r="BA582" s="4" t="str">
        <f ca="1">IFERROR(__xludf.DUMMYFUNCTION("""COMPUTED_VALUE"""),"| 5 L NS % | 6 L JAVA % | 7 P Python % | 9 P CPT % ")</f>
        <v xml:space="preserve">| 5 L NS % | 6 L JAVA % | 7 P Python % | 9 P CPT % </v>
      </c>
      <c r="BB582" s="4" t="str">
        <f ca="1">IFERROR(__xludf.DUMMYFUNCTION("""COMPUTED_VALUE"""),"| 1 L PHP-CGM % | 6 L JAVA % | 7 P JAVA % | 9 L INE % ")</f>
        <v xml:space="preserve">| 1 L PHP-CGM % | 6 L JAVA % | 7 P JAVA % | 9 L INE % </v>
      </c>
      <c r="BC582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2" s="4" t="str">
        <f ca="1">IFERROR(__xludf.DUMMYFUNCTION("""COMPUTED_VALUE"""),"| 5 L CPT % | 6 L PHP-CGM % | 7 P Python % | 9 P NS % ")</f>
        <v xml:space="preserve">| 5 L CPT % | 6 L PHP-CGM % | 7 P Python % | 9 P NS % </v>
      </c>
      <c r="BE582" s="4" t="str">
        <f ca="1">IFERROR(__xludf.DUMMYFUNCTION("""COMPUTED_VALUE"""),"| 5 L NS % | 6 L CPT @ | 7 P PRO % | 9 P PHP-CGM % ")</f>
        <v xml:space="preserve">| 5 L NS % | 6 L CPT @ | 7 P PRO % | 9 P PHP-CGM % </v>
      </c>
      <c r="BF582" s="4" t="str">
        <f ca="1">IFERROR(__xludf.DUMMYFUNCTION("""COMPUTED_VALUE"""),"| 5 L NS @ | 6 L JAVA % | 7 P Python % | 9 P CPT % ")</f>
        <v xml:space="preserve">| 5 L NS @ | 6 L JAVA % | 7 P Python % | 9 P CPT % </v>
      </c>
      <c r="BG582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2" s="4" t="str">
        <f ca="1">IFERROR(__xludf.DUMMYFUNCTION("""COMPUTED_VALUE"""),"| 5 L CPT % | 6 L PHP-CGM % | 7 P Python % | 9 P NS % ")</f>
        <v xml:space="preserve">| 5 L CPT % | 6 L PHP-CGM % | 7 P Python % | 9 P NS % </v>
      </c>
      <c r="BI582" s="4" t="str">
        <f ca="1">IFERROR(__xludf.DUMMYFUNCTION("""COMPUTED_VALUE"""),"| 5 L NS % | 6 L CPT % | 7 P PRO % | 9 P PHP-CGM % ")</f>
        <v xml:space="preserve">| 5 L NS % | 6 L CPT % | 7 P PRO % | 9 P PHP-CGM % </v>
      </c>
      <c r="BJ582" s="4" t="str">
        <f ca="1">IFERROR(__xludf.DUMMYFUNCTION("""COMPUTED_VALUE"""),"| 5 L NS @ | 6 L JAVA @ | 7 P Python @ ")</f>
        <v xml:space="preserve">| 5 L NS @ | 6 L JAVA @ | 7 P Python @ </v>
      </c>
      <c r="BK582" s="4" t="str">
        <f ca="1">IFERROR(__xludf.DUMMYFUNCTION("""COMPUTED_VALUE"""),"| 1 L PHP-CGM % | 6 L JAVA % | 7 P JAVA % | 9 L INE % ")</f>
        <v xml:space="preserve">| 1 L PHP-CGM % | 6 L JAVA % | 7 P JAVA % | 9 L INE % </v>
      </c>
      <c r="BL582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M582" s="4" t="str">
        <f ca="1">IFERROR(__xludf.DUMMYFUNCTION("""COMPUTED_VALUE"""),"| 5 L CPT % | 6 L PHP-CGM % | 7 P Python % ")</f>
        <v xml:space="preserve">| 5 L CPT % | 6 L PHP-CGM % | 7 P Python % </v>
      </c>
      <c r="BN582" s="4" t="str">
        <f ca="1">IFERROR(__xludf.DUMMYFUNCTION("""COMPUTED_VALUE"""),"| 5 L NS % | 6 L CPT % | 7 P PRO % | 9 P PHP-CGM % ")</f>
        <v xml:space="preserve">| 5 L NS % | 6 L CPT % | 7 P PRO % | 9 P PHP-CGM % </v>
      </c>
      <c r="BO582" s="4" t="str">
        <f ca="1">IFERROR(__xludf.DUMMYFUNCTION("""COMPUTED_VALUE"""),"| 5 L NS @ | 6 L JAVA @ ")</f>
        <v xml:space="preserve">| 5 L NS @ | 6 L JAVA @ </v>
      </c>
      <c r="BP582" s="4" t="str">
        <f ca="1">IFERROR(__xludf.DUMMYFUNCTION("""COMPUTED_VALUE"""),"| 1 L PHP-CGM @ | 6 L JAVA @ | 7 P JAVA @ | 9 L INE @ ")</f>
        <v xml:space="preserve">| 1 L PHP-CGM @ | 6 L JAVA @ | 7 P JAVA @ | 9 L INE @ </v>
      </c>
      <c r="BQ582" s="4" t="str">
        <f ca="1">IFERROR(__xludf.DUMMYFUNCTION("""COMPUTED_VALUE"""),"| 5 L CPT % ")</f>
        <v xml:space="preserve">| 5 L CPT % </v>
      </c>
      <c r="BR582" s="4"/>
      <c r="BS582" s="4" t="str">
        <f ca="1">IFERROR(__xludf.DUMMYFUNCTION("""COMPUTED_VALUE"""),"| 6 L CPT % ")</f>
        <v xml:space="preserve">| 6 L CPT % </v>
      </c>
      <c r="BT582" s="4" t="str">
        <f ca="1">IFERROR(__xludf.DUMMYFUNCTION("""COMPUTED_VALUE"""),"| 7 P JAVA @ ")</f>
        <v xml:space="preserve">| 7 P JAVA @ </v>
      </c>
      <c r="BU582" s="4" t="str">
        <f ca="1">IFERROR(__xludf.DUMMYFUNCTION("""COMPUTED_VALUE"""),"| 7 P JAVA @ ")</f>
        <v xml:space="preserve">| 7 P JAVA @ </v>
      </c>
      <c r="BV582" s="4" t="str">
        <f ca="1">IFERROR(__xludf.DUMMYFUNCTION("""COMPUTED_VALUE"""),"| 5 L PHP-CGM % | 6 L JAVA % | 7 P JAVA % ")</f>
        <v xml:space="preserve">| 5 L PHP-CGM % | 6 L JAVA % | 7 P JAVA % </v>
      </c>
      <c r="BW582" s="4"/>
      <c r="BX582" s="4" t="str">
        <f ca="1">IFERROR(__xludf.DUMMYFUNCTION("""COMPUTED_VALUE"""),"| 5 L CPT % | 7 P Python % | 9 P NS % | 6 L PHP-CGM % ")</f>
        <v xml:space="preserve">| 5 L CPT % | 7 P Python % | 9 P NS % | 6 L PHP-CGM % </v>
      </c>
      <c r="BY582" s="4" t="str">
        <f ca="1">IFERROR(__xludf.DUMMYFUNCTION("""COMPUTED_VALUE"""),"| 5 L NS % | 6 L CPT % | 7 P PRO % | 9 P PHP-CGM % ")</f>
        <v xml:space="preserve">| 5 L NS % | 6 L CPT % | 7 P PRO % | 9 P PHP-CGM % </v>
      </c>
      <c r="BZ582" s="4" t="str">
        <f ca="1">IFERROR(__xludf.DUMMYFUNCTION("""COMPUTED_VALUE"""),"| 5 L NS % | 6 L JAVA % | 7 P Python % | 9 P CPT % ")</f>
        <v xml:space="preserve">| 5 L NS % | 6 L JAVA % | 7 P Python % | 9 P CPT % </v>
      </c>
      <c r="CA582" s="4" t="str">
        <f ca="1">IFERROR(__xludf.DUMMYFUNCTION("""COMPUTED_VALUE"""),"| 1 L PHP-CGM % | 6 L JAVA % | 7 P JAVA % ")</f>
        <v xml:space="preserve">| 1 L PHP-CGM % | 6 L JAVA % | 7 P JAVA % </v>
      </c>
      <c r="CB582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CC582" s="4" t="str">
        <f ca="1">IFERROR(__xludf.DUMMYFUNCTION("""COMPUTED_VALUE"""),"| 5 L CPT % | 6 L PHP-CGM % | 7 P Python % | 9 P NS % ")</f>
        <v xml:space="preserve">| 5 L CPT % | 6 L PHP-CGM % | 7 P Python % | 9 P NS % </v>
      </c>
      <c r="CD582" s="4" t="str">
        <f ca="1">IFERROR(__xludf.DUMMYFUNCTION("""COMPUTED_VALUE"""),"| 5 L NS % | 6 L CPT % | 7 P PRO % ")</f>
        <v xml:space="preserve">| 5 L NS % | 6 L CPT % | 7 P PRO % </v>
      </c>
      <c r="CE582" s="4" t="str">
        <f ca="1">IFERROR(__xludf.DUMMYFUNCTION("""COMPUTED_VALUE"""),"| 5 L NS % | 6 L JAVA % | 7 P Python % | 9 P CPT % ")</f>
        <v xml:space="preserve">| 5 L NS % | 6 L JAVA % | 7 P Python % | 9 P CPT % </v>
      </c>
      <c r="CF582" s="4" t="str">
        <f ca="1">IFERROR(__xludf.DUMMYFUNCTION("""COMPUTED_VALUE"""),"| 5 L PHP-CGM % | 6 L JAVA % | 9 L INE % ")</f>
        <v xml:space="preserve">| 5 L PHP-CGM % | 6 L JAVA % | 9 L INE % </v>
      </c>
      <c r="CG582" s="4" t="str">
        <f ca="1">IFERROR(__xludf.DUMMYFUNCTION("""COMPUTED_VALUE"""),"| 5 L JAVA % | 6 L NS % ")</f>
        <v xml:space="preserve">| 5 L JAVA % | 6 L NS % </v>
      </c>
      <c r="CH582" s="4" t="str">
        <f ca="1">IFERROR(__xludf.DUMMYFUNCTION("""COMPUTED_VALUE"""),"| 5 L CPT % | 7 P Python % | 9 P NS % ")</f>
        <v xml:space="preserve">| 5 L CPT % | 7 P Python % | 9 P NS % </v>
      </c>
      <c r="CI582" s="4" t="str">
        <f ca="1">IFERROR(__xludf.DUMMYFUNCTION("""COMPUTED_VALUE"""),"| 5 L NS % | 6 L CPT % ")</f>
        <v xml:space="preserve">| 5 L NS % | 6 L CPT % </v>
      </c>
      <c r="CJ582" s="4" t="str">
        <f ca="1">IFERROR(__xludf.DUMMYFUNCTION("""COMPUTED_VALUE"""),"| 5 L NS @ ")</f>
        <v xml:space="preserve">| 5 L NS @ </v>
      </c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</row>
    <row r="583" spans="1:102" ht="12.5" x14ac:dyDescent="0.25">
      <c r="A583" s="3">
        <f ca="1">IFERROR(__xludf.DUMMYFUNCTION("""COMPUTED_VALUE"""),1)</f>
        <v>1</v>
      </c>
      <c r="B583" s="3" t="str">
        <f ca="1">IFERROR(__xludf.DUMMYFUNCTION("""COMPUTED_VALUE"""),"ITD")</f>
        <v>ITD</v>
      </c>
      <c r="C583" s="32" t="str">
        <f ca="1">IFERROR(__xludf.DUMMYFUNCTION("""COMPUTED_VALUE"""),"23171371013")</f>
        <v>23171371013</v>
      </c>
      <c r="D583" s="4" t="str">
        <f ca="1">IFERROR(__xludf.DUMMYFUNCTION("""COMPUTED_VALUE"""),"DABGAR MANTHANKUMAR MANISHABEN")</f>
        <v>DABGAR MANTHANKUMAR MANISHABEN</v>
      </c>
      <c r="E583" s="3" t="str">
        <f ca="1">IFERROR(__xludf.DUMMYFUNCTION("""COMPUTED_VALUE"""),"SRC - Eve")</f>
        <v>SRC - Eve</v>
      </c>
      <c r="F583" s="3">
        <f ca="1">IFERROR(__xludf.DUMMYFUNCTION("""COMPUTED_VALUE"""),9327656192)</f>
        <v>9327656192</v>
      </c>
      <c r="G583" s="3">
        <f ca="1">IFERROR(__xludf.DUMMYFUNCTION("""COMPUTED_VALUE"""),9023551797)</f>
        <v>9023551797</v>
      </c>
      <c r="H583" s="33">
        <f ca="1">IFERROR(__xludf.DUMMYFUNCTION("""COMPUTED_VALUE"""),0.575892857142857)</f>
        <v>0.57589285714285698</v>
      </c>
      <c r="I583" s="25">
        <f ca="1">IFERROR(__xludf.DUMMYFUNCTION("""COMPUTED_VALUE"""),0.666666666666666)</f>
        <v>0.66666666666666596</v>
      </c>
      <c r="J583" s="25">
        <f ca="1">IFERROR(__xludf.DUMMYFUNCTION("""COMPUTED_VALUE"""),0.142857142857142)</f>
        <v>0.14285714285714199</v>
      </c>
      <c r="K583" s="25">
        <f ca="1">IFERROR(__xludf.DUMMYFUNCTION("""COMPUTED_VALUE"""),0.611111111111111)</f>
        <v>0.61111111111111105</v>
      </c>
      <c r="L583" s="25">
        <f ca="1">IFERROR(__xludf.DUMMYFUNCTION("""COMPUTED_VALUE"""),0.555555555555555)</f>
        <v>0.55555555555555503</v>
      </c>
      <c r="M583" s="25">
        <f ca="1">IFERROR(__xludf.DUMMYFUNCTION("""COMPUTED_VALUE"""),0.71875)</f>
        <v>0.71875</v>
      </c>
      <c r="N583" s="25">
        <f ca="1">IFERROR(__xludf.DUMMYFUNCTION("""COMPUTED_VALUE"""),0.222222222222222)</f>
        <v>0.22222222222222199</v>
      </c>
      <c r="O583" s="25">
        <f ca="1">IFERROR(__xludf.DUMMYFUNCTION("""COMPUTED_VALUE"""),0.676470588235294)</f>
        <v>0.67647058823529405</v>
      </c>
      <c r="P583" s="25">
        <f ca="1">IFERROR(__xludf.DUMMYFUNCTION("""COMPUTED_VALUE"""),0.434782608695652)</f>
        <v>0.434782608695652</v>
      </c>
      <c r="Q583" s="25">
        <f ca="1">IFERROR(__xludf.DUMMYFUNCTION("""COMPUTED_VALUE"""),0)</f>
        <v>0</v>
      </c>
      <c r="R583" s="25">
        <f ca="1">IFERROR(__xludf.DUMMYFUNCTION("""COMPUTED_VALUE"""),0.578947368421052)</f>
        <v>0.57894736842105199</v>
      </c>
      <c r="S583" s="25">
        <f ca="1">IFERROR(__xludf.DUMMYFUNCTION("""COMPUTED_VALUE"""),0)</f>
        <v>0</v>
      </c>
      <c r="T583" s="25">
        <f ca="1">IFERROR(__xludf.DUMMYFUNCTION("""COMPUTED_VALUE"""),0.333333333333333)</f>
        <v>0.33333333333333298</v>
      </c>
      <c r="U583" s="25">
        <f ca="1">IFERROR(__xludf.DUMMYFUNCTION("""COMPUTED_VALUE"""),0.571428571428571)</f>
        <v>0.57142857142857095</v>
      </c>
      <c r="V583" s="25">
        <f ca="1">IFERROR(__xludf.DUMMYFUNCTION("""COMPUTED_VALUE"""),0)</f>
        <v>0</v>
      </c>
      <c r="W583" s="4"/>
      <c r="X583" s="4" t="str">
        <f ca="1">IFERROR(__xludf.DUMMYFUNCTION("""COMPUTED_VALUE"""),"| 1 L PHP-CGM % | 6 L JAVA % | 7 P JAVA @ ")</f>
        <v xml:space="preserve">| 1 L PHP-CGM % | 6 L JAVA % | 7 P JAVA @ </v>
      </c>
      <c r="Y583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Z583" s="4" t="str">
        <f ca="1">IFERROR(__xludf.DUMMYFUNCTION("""COMPUTED_VALUE"""),"| 5 L CPT % | 6 L PHP-CGM % | 7 P Python % | 9 P NS % ")</f>
        <v xml:space="preserve">| 5 L CPT % | 6 L PHP-CGM % | 7 P Python % | 9 P NS % </v>
      </c>
      <c r="AA583" s="4" t="str">
        <f ca="1">IFERROR(__xludf.DUMMYFUNCTION("""COMPUTED_VALUE"""),"| 5 L NS % | 6 L CPT % | 7 P PRO @ | 9 P PHP-CGM @ ")</f>
        <v xml:space="preserve">| 5 L NS % | 6 L CPT % | 7 P PRO @ | 9 P PHP-CGM @ </v>
      </c>
      <c r="AB583" s="4" t="str">
        <f ca="1">IFERROR(__xludf.DUMMYFUNCTION("""COMPUTED_VALUE"""),"| 5 L NS @ | 6 L JAVA @ | 7 P Python @ | 9 P CPT @ ")</f>
        <v xml:space="preserve">| 5 L NS @ | 6 L JAVA @ | 7 P Python @ | 9 P CPT @ </v>
      </c>
      <c r="AC583" s="4" t="str">
        <f ca="1">IFERROR(__xludf.DUMMYFUNCTION("""COMPUTED_VALUE"""),"| 1 L PHP-CGM % | 6 L JAVA % | 7 P JAVA % ")</f>
        <v xml:space="preserve">| 1 L PHP-CGM % | 6 L JAVA % | 7 P JAVA % </v>
      </c>
      <c r="AD583" s="4" t="str">
        <f ca="1">IFERROR(__xludf.DUMMYFUNCTION("""COMPUTED_VALUE"""),"| 5 L JAVA % | 6 L NS % | 9 P JAVA % | 9 L CPT @ | 6 L PHP-CGM @ ")</f>
        <v xml:space="preserve">| 5 L JAVA % | 6 L NS % | 9 P JAVA % | 9 L CPT @ | 6 L PHP-CGM @ </v>
      </c>
      <c r="AE583" s="4" t="str">
        <f ca="1">IFERROR(__xludf.DUMMYFUNCTION("""COMPUTED_VALUE"""),"| 5 L CPT % | 6 L PHP-CGM % | 7 P Python % | 9 P NS @ ")</f>
        <v xml:space="preserve">| 5 L CPT % | 6 L PHP-CGM % | 7 P Python % | 9 P NS @ </v>
      </c>
      <c r="AF583" s="4" t="str">
        <f ca="1">IFERROR(__xludf.DUMMYFUNCTION("""COMPUTED_VALUE"""),"| 5 L NS % | 6 L CPT % | 7 P PRO @ | 9 P PHP-CGM @ ")</f>
        <v xml:space="preserve">| 5 L NS % | 6 L CPT % | 7 P PRO @ | 9 P PHP-CGM @ </v>
      </c>
      <c r="AG583" s="4" t="str">
        <f ca="1">IFERROR(__xludf.DUMMYFUNCTION("""COMPUTED_VALUE"""),"| 5 L NS % | 6 L JAVA % | 7 P Python % | 9 P CPT @ ")</f>
        <v xml:space="preserve">| 5 L NS % | 6 L JAVA % | 7 P Python % | 9 P CPT @ </v>
      </c>
      <c r="AH583" s="4" t="str">
        <f ca="1">IFERROR(__xludf.DUMMYFUNCTION("""COMPUTED_VALUE"""),"| 5 L NS % | 6 L CPT % | 7 P PRO % | 9 P PHP-CGM @ ")</f>
        <v xml:space="preserve">| 5 L NS % | 6 L CPT % | 7 P PRO % | 9 P PHP-CGM @ </v>
      </c>
      <c r="AI583" s="4" t="str">
        <f ca="1">IFERROR(__xludf.DUMMYFUNCTION("""COMPUTED_VALUE"""),"| 5 L NS % | 6 L JAVA % | 7 P Python % | 9 P CPT @ ")</f>
        <v xml:space="preserve">| 5 L NS % | 6 L JAVA % | 7 P Python % | 9 P CPT @ </v>
      </c>
      <c r="AJ583" s="4" t="str">
        <f ca="1">IFERROR(__xludf.DUMMYFUNCTION("""COMPUTED_VALUE"""),"| 1 L PHP-CGM % | 6 L JAVA % | 7 P JAVA @ ")</f>
        <v xml:space="preserve">| 1 L PHP-CGM % | 6 L JAVA % | 7 P JAVA @ </v>
      </c>
      <c r="AK583" s="4" t="str">
        <f ca="1">IFERROR(__xludf.DUMMYFUNCTION("""COMPUTED_VALUE"""),"| 5 L JAVA % | 6 L NS % | 7 P JAVA @ | 9 L CPT % | 6 L PHP-CGM % ")</f>
        <v xml:space="preserve">| 5 L JAVA % | 6 L NS % | 7 P JAVA @ | 9 L CPT % | 6 L PHP-CGM % </v>
      </c>
      <c r="AL583" s="4" t="str">
        <f ca="1">IFERROR(__xludf.DUMMYFUNCTION("""COMPUTED_VALUE"""),"| 5 L CPT % | 7 P Python @ | 6 L PHP-CGM % | 9 P NS @ ")</f>
        <v xml:space="preserve">| 5 L CPT % | 7 P Python @ | 6 L PHP-CGM % | 9 P NS @ </v>
      </c>
      <c r="AM583" s="4" t="str">
        <f ca="1">IFERROR(__xludf.DUMMYFUNCTION("""COMPUTED_VALUE"""),"| 5 L NS @ | 6 L CPT @ | 7 P PRO @ ")</f>
        <v xml:space="preserve">| 5 L NS @ | 6 L CPT @ | 7 P PRO @ </v>
      </c>
      <c r="AN583" s="4" t="str">
        <f ca="1">IFERROR(__xludf.DUMMYFUNCTION("""COMPUTED_VALUE"""),"| 5 L NS @ | 6 L JAVA @ ")</f>
        <v xml:space="preserve">| 5 L NS @ | 6 L JAVA @ </v>
      </c>
      <c r="AO583" s="4" t="str">
        <f ca="1">IFERROR(__xludf.DUMMYFUNCTION("""COMPUTED_VALUE"""),"| 1 L PHP-CGM % | 6 L JAVA % | 7 P JAVA % | 9 L INE % ")</f>
        <v xml:space="preserve">| 1 L PHP-CGM % | 6 L JAVA % | 7 P JAVA % | 9 L INE % </v>
      </c>
      <c r="AP583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3" s="4" t="str">
        <f ca="1">IFERROR(__xludf.DUMMYFUNCTION("""COMPUTED_VALUE"""),"| 5 L CPT % | 6 L PHP-CGM % ")</f>
        <v xml:space="preserve">| 5 L CPT % | 6 L PHP-CGM % </v>
      </c>
      <c r="AR583" s="4" t="str">
        <f ca="1">IFERROR(__xludf.DUMMYFUNCTION("""COMPUTED_VALUE"""),"| 5 L NS @ | 6 L CPT % | 7 P PRO @ | 9 P PHP-CGM @ ")</f>
        <v xml:space="preserve">| 5 L NS @ | 6 L CPT % | 7 P PRO @ | 9 P PHP-CGM @ </v>
      </c>
      <c r="AS583" s="4" t="str">
        <f ca="1">IFERROR(__xludf.DUMMYFUNCTION("""COMPUTED_VALUE"""),"| 1 L PHP-CGM @ | 6 L JAVA @ | 7 P JAVA @ | 9 L INE @ ")</f>
        <v xml:space="preserve">| 1 L PHP-CGM @ | 6 L JAVA @ | 7 P JAVA @ | 9 L INE @ </v>
      </c>
      <c r="AT583" s="4" t="str">
        <f ca="1">IFERROR(__xludf.DUMMYFUNCTION("""COMPUTED_VALUE"""),"| 5 L JAVA % | 6 L NS % | 9 P JAVA % | 9 L CPT @ | 6 L PHP-CGM @ ")</f>
        <v xml:space="preserve">| 5 L JAVA % | 6 L NS % | 9 P JAVA % | 9 L CPT @ | 6 L PHP-CGM @ </v>
      </c>
      <c r="AU583" s="4" t="str">
        <f ca="1">IFERROR(__xludf.DUMMYFUNCTION("""COMPUTED_VALUE"""),"| 5 L CPT % | 6 L PHP-CGM % | 7 P Python % | 9 P NS % ")</f>
        <v xml:space="preserve">| 5 L CPT % | 6 L PHP-CGM % | 7 P Python % | 9 P NS % </v>
      </c>
      <c r="AV583" s="4" t="str">
        <f ca="1">IFERROR(__xludf.DUMMYFUNCTION("""COMPUTED_VALUE"""),"| 5 L NS % | 6 L CPT % | 7 P PRO % | 9 P PHP-CGM % ")</f>
        <v xml:space="preserve">| 5 L NS % | 6 L CPT % | 7 P PRO % | 9 P PHP-CGM % </v>
      </c>
      <c r="AW583" s="4" t="str">
        <f ca="1">IFERROR(__xludf.DUMMYFUNCTION("""COMPUTED_VALUE"""),"| 5 L NS % | 6 L JAVA @ | 7 P Python % ")</f>
        <v xml:space="preserve">| 5 L NS % | 6 L JAVA @ | 7 P Python % </v>
      </c>
      <c r="AX583" s="4" t="str">
        <f ca="1">IFERROR(__xludf.DUMMYFUNCTION("""COMPUTED_VALUE"""),"| 1 L PHP-CGM % | 6 L JAVA % | 7 P JAVA % | 9 L INE % ")</f>
        <v xml:space="preserve">| 1 L PHP-CGM % | 6 L JAVA % | 7 P JAVA % | 9 L INE % </v>
      </c>
      <c r="AY583" s="4" t="str">
        <f ca="1">IFERROR(__xludf.DUMMYFUNCTION("""COMPUTED_VALUE"""),"| 5 L JAVA % | 6 L NS % | 7 P JAVA @ | 9 L CPT % | 11 L PHP-CGM % ")</f>
        <v xml:space="preserve">| 5 L JAVA % | 6 L NS % | 7 P JAVA @ | 9 L CPT % | 11 L PHP-CGM % </v>
      </c>
      <c r="AZ583" s="4" t="str">
        <f ca="1">IFERROR(__xludf.DUMMYFUNCTION("""COMPUTED_VALUE"""),"| 5 L NS % | 6 L CPT % | 7 P PRO @ ")</f>
        <v xml:space="preserve">| 5 L NS % | 6 L CPT % | 7 P PRO @ </v>
      </c>
      <c r="BA583" s="4" t="str">
        <f ca="1">IFERROR(__xludf.DUMMYFUNCTION("""COMPUTED_VALUE"""),"| 5 L NS % | 6 L JAVA % | 7 P Python @ | 9 P CPT @ ")</f>
        <v xml:space="preserve">| 5 L NS % | 6 L JAVA % | 7 P Python @ | 9 P CPT @ </v>
      </c>
      <c r="BB583" s="4" t="str">
        <f ca="1">IFERROR(__xludf.DUMMYFUNCTION("""COMPUTED_VALUE"""),"| 1 L PHP-CGM % | 6 L JAVA % | 7 P JAVA % | 9 L INE % ")</f>
        <v xml:space="preserve">| 1 L PHP-CGM % | 6 L JAVA % | 7 P JAVA % | 9 L INE % </v>
      </c>
      <c r="BC583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3" s="4" t="str">
        <f ca="1">IFERROR(__xludf.DUMMYFUNCTION("""COMPUTED_VALUE"""),"| 5 L CPT % | 6 L PHP-CGM % | 7 P Python % | 9 P NS % ")</f>
        <v xml:space="preserve">| 5 L CPT % | 6 L PHP-CGM % | 7 P Python % | 9 P NS % </v>
      </c>
      <c r="BE583" s="4" t="str">
        <f ca="1">IFERROR(__xludf.DUMMYFUNCTION("""COMPUTED_VALUE"""),"| 5 L NS % | 6 L CPT % | 7 P PRO % | 9 P PHP-CGM @ ")</f>
        <v xml:space="preserve">| 5 L NS % | 6 L CPT % | 7 P PRO % | 9 P PHP-CGM @ </v>
      </c>
      <c r="BF583" s="4" t="str">
        <f ca="1">IFERROR(__xludf.DUMMYFUNCTION("""COMPUTED_VALUE"""),"| 5 L NS @ | 6 L JAVA % | 7 P Python % | 9 P CPT % ")</f>
        <v xml:space="preserve">| 5 L NS @ | 6 L JAVA % | 7 P Python % | 9 P CPT % </v>
      </c>
      <c r="BG583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3" s="4" t="str">
        <f ca="1">IFERROR(__xludf.DUMMYFUNCTION("""COMPUTED_VALUE"""),"| 5 L CPT % | 6 L PHP-CGM % | 7 P Python % | 9 P NS % ")</f>
        <v xml:space="preserve">| 5 L CPT % | 6 L PHP-CGM % | 7 P Python % | 9 P NS % </v>
      </c>
      <c r="BI583" s="4" t="str">
        <f ca="1">IFERROR(__xludf.DUMMYFUNCTION("""COMPUTED_VALUE"""),"| 5 L NS % | 6 L CPT % | 7 P PRO @ | 9 P PHP-CGM @ ")</f>
        <v xml:space="preserve">| 5 L NS % | 6 L CPT % | 7 P PRO @ | 9 P PHP-CGM @ </v>
      </c>
      <c r="BJ583" s="4" t="str">
        <f ca="1">IFERROR(__xludf.DUMMYFUNCTION("""COMPUTED_VALUE"""),"| 5 L NS % | 6 L JAVA % | 7 P Python @ ")</f>
        <v xml:space="preserve">| 5 L NS % | 6 L JAVA % | 7 P Python @ </v>
      </c>
      <c r="BK583" s="4" t="str">
        <f ca="1">IFERROR(__xludf.DUMMYFUNCTION("""COMPUTED_VALUE"""),"| 1 L PHP-CGM @ | 6 L JAVA @ | 7 P JAVA @ | 9 L INE @ ")</f>
        <v xml:space="preserve">| 1 L PHP-CGM @ | 6 L JAVA @ | 7 P JAVA @ | 9 L INE @ </v>
      </c>
      <c r="BL583" s="4" t="str">
        <f ca="1">IFERROR(__xludf.DUMMYFUNCTION("""COMPUTED_VALUE"""),"| 5 L JAVA % | 6 L NS % | 7 P JAVA @ | 9 L CPT @ | 10 L PHP-CGM @ ")</f>
        <v xml:space="preserve">| 5 L JAVA % | 6 L NS % | 7 P JAVA @ | 9 L CPT @ | 10 L PHP-CGM @ </v>
      </c>
      <c r="BM583" s="4" t="str">
        <f ca="1">IFERROR(__xludf.DUMMYFUNCTION("""COMPUTED_VALUE"""),"| 5 L CPT @ | 6 L PHP-CGM @ | 7 P Python @ ")</f>
        <v xml:space="preserve">| 5 L CPT @ | 6 L PHP-CGM @ | 7 P Python @ </v>
      </c>
      <c r="BN583" s="4" t="str">
        <f ca="1">IFERROR(__xludf.DUMMYFUNCTION("""COMPUTED_VALUE"""),"| 5 L NS @ | 6 L CPT @ | 7 P PRO @ | 9 P PHP-CGM @ ")</f>
        <v xml:space="preserve">| 5 L NS @ | 6 L CPT @ | 7 P PRO @ | 9 P PHP-CGM @ </v>
      </c>
      <c r="BO583" s="4" t="str">
        <f ca="1">IFERROR(__xludf.DUMMYFUNCTION("""COMPUTED_VALUE"""),"| 5 L NS @ | 6 L JAVA @ ")</f>
        <v xml:space="preserve">| 5 L NS @ | 6 L JAVA @ </v>
      </c>
      <c r="BP583" s="4" t="str">
        <f ca="1">IFERROR(__xludf.DUMMYFUNCTION("""COMPUTED_VALUE"""),"| 1 L PHP-CGM @ | 6 L JAVA @ | 7 P JAVA @ | 9 L INE @ ")</f>
        <v xml:space="preserve">| 1 L PHP-CGM @ | 6 L JAVA @ | 7 P JAVA @ | 9 L INE @ </v>
      </c>
      <c r="BQ583" s="4" t="str">
        <f ca="1">IFERROR(__xludf.DUMMYFUNCTION("""COMPUTED_VALUE"""),"| 5 L CPT @ ")</f>
        <v xml:space="preserve">| 5 L CPT @ </v>
      </c>
      <c r="BR583" s="4"/>
      <c r="BS583" s="4" t="str">
        <f ca="1">IFERROR(__xludf.DUMMYFUNCTION("""COMPUTED_VALUE"""),"| 6 L CPT @ ")</f>
        <v xml:space="preserve">| 6 L CPT @ </v>
      </c>
      <c r="BT583" s="4" t="str">
        <f ca="1">IFERROR(__xludf.DUMMYFUNCTION("""COMPUTED_VALUE"""),"| 7 P JAVA @ ")</f>
        <v xml:space="preserve">| 7 P JAVA @ </v>
      </c>
      <c r="BU583" s="4" t="str">
        <f ca="1">IFERROR(__xludf.DUMMYFUNCTION("""COMPUTED_VALUE"""),"| 7 P JAVA @ ")</f>
        <v xml:space="preserve">| 7 P JAVA @ </v>
      </c>
      <c r="BV583" s="4" t="str">
        <f ca="1">IFERROR(__xludf.DUMMYFUNCTION("""COMPUTED_VALUE"""),"| 5 L PHP-CGM % | 6 L JAVA % | 7 P JAVA @ ")</f>
        <v xml:space="preserve">| 5 L PHP-CGM % | 6 L JAVA % | 7 P JAVA @ </v>
      </c>
      <c r="BW583" s="4"/>
      <c r="BX583" s="4" t="str">
        <f ca="1">IFERROR(__xludf.DUMMYFUNCTION("""COMPUTED_VALUE"""),"| 5 L CPT % | 7 P Python @ | 9 P NS @ | 6 L PHP-CGM % ")</f>
        <v xml:space="preserve">| 5 L CPT % | 7 P Python @ | 9 P NS @ | 6 L PHP-CGM % </v>
      </c>
      <c r="BY583" s="4" t="str">
        <f ca="1">IFERROR(__xludf.DUMMYFUNCTION("""COMPUTED_VALUE"""),"| 5 L NS @ | 6 L CPT % | 7 P PRO % | 9 P PHP-CGM % ")</f>
        <v xml:space="preserve">| 5 L NS @ | 6 L CPT % | 7 P PRO % | 9 P PHP-CGM % </v>
      </c>
      <c r="BZ583" s="4" t="str">
        <f ca="1">IFERROR(__xludf.DUMMYFUNCTION("""COMPUTED_VALUE"""),"| 5 L NS % | 6 L JAVA % | 7 P Python % | 9 P CPT @ ")</f>
        <v xml:space="preserve">| 5 L NS % | 6 L JAVA % | 7 P Python % | 9 P CPT @ </v>
      </c>
      <c r="CA583" s="4" t="str">
        <f ca="1">IFERROR(__xludf.DUMMYFUNCTION("""COMPUTED_VALUE"""),"| 1 L PHP-CGM % | 6 L JAVA % | 7 P JAVA @ ")</f>
        <v xml:space="preserve">| 1 L PHP-CGM % | 6 L JAVA % | 7 P JAVA @ </v>
      </c>
      <c r="CB583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CC583" s="4" t="str">
        <f ca="1">IFERROR(__xludf.DUMMYFUNCTION("""COMPUTED_VALUE"""),"| 5 L CPT @ | 6 L PHP-CGM @ | 7 P Python @ | 9 P NS @ ")</f>
        <v xml:space="preserve">| 5 L CPT @ | 6 L PHP-CGM @ | 7 P Python @ | 9 P NS @ </v>
      </c>
      <c r="CD583" s="4" t="str">
        <f ca="1">IFERROR(__xludf.DUMMYFUNCTION("""COMPUTED_VALUE"""),"| 5 L NS @ | 6 L CPT @ | 7 P PRO @ ")</f>
        <v xml:space="preserve">| 5 L NS @ | 6 L CPT @ | 7 P PRO @ </v>
      </c>
      <c r="CE583" s="4" t="str">
        <f ca="1">IFERROR(__xludf.DUMMYFUNCTION("""COMPUTED_VALUE"""),"| 5 L NS @ | 6 L JAVA @ | 7 P Python @ | 9 P CPT @ ")</f>
        <v xml:space="preserve">| 5 L NS @ | 6 L JAVA @ | 7 P Python @ | 9 P CPT @ </v>
      </c>
      <c r="CF583" s="4" t="str">
        <f ca="1">IFERROR(__xludf.DUMMYFUNCTION("""COMPUTED_VALUE"""),"| 5 L PHP-CGM % | 6 L JAVA @ | 9 L INE % ")</f>
        <v xml:space="preserve">| 5 L PHP-CGM % | 6 L JAVA @ | 9 L INE % </v>
      </c>
      <c r="CG583" s="4" t="str">
        <f ca="1">IFERROR(__xludf.DUMMYFUNCTION("""COMPUTED_VALUE"""),"| 5 L JAVA @ | 6 L NS @ ")</f>
        <v xml:space="preserve">| 5 L JAVA @ | 6 L NS @ </v>
      </c>
      <c r="CH583" s="4" t="str">
        <f ca="1">IFERROR(__xludf.DUMMYFUNCTION("""COMPUTED_VALUE"""),"| 5 L CPT % | 7 P Python % | 9 P NS % ")</f>
        <v xml:space="preserve">| 5 L CPT % | 7 P Python % | 9 P NS % </v>
      </c>
      <c r="CI583" s="4" t="str">
        <f ca="1">IFERROR(__xludf.DUMMYFUNCTION("""COMPUTED_VALUE"""),"| 5 L NS @ | 6 L CPT @ ")</f>
        <v xml:space="preserve">| 5 L NS @ | 6 L CPT @ </v>
      </c>
      <c r="CJ583" s="4" t="str">
        <f ca="1">IFERROR(__xludf.DUMMYFUNCTION("""COMPUTED_VALUE"""),"| 5 L NS @ ")</f>
        <v xml:space="preserve">| 5 L NS @ </v>
      </c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</row>
    <row r="584" spans="1:102" ht="12.5" x14ac:dyDescent="0.25">
      <c r="A584" s="3">
        <f ca="1">IFERROR(__xludf.DUMMYFUNCTION("""COMPUTED_VALUE"""),1)</f>
        <v>1</v>
      </c>
      <c r="B584" s="3" t="str">
        <f ca="1">IFERROR(__xludf.DUMMYFUNCTION("""COMPUTED_VALUE"""),"ITD")</f>
        <v>ITD</v>
      </c>
      <c r="C584" s="32" t="str">
        <f ca="1">IFERROR(__xludf.DUMMYFUNCTION("""COMPUTED_VALUE"""),"23171371014")</f>
        <v>23171371014</v>
      </c>
      <c r="D584" s="4" t="str">
        <f ca="1">IFERROR(__xludf.DUMMYFUNCTION("""COMPUTED_VALUE"""),"DARJI JAY MANOJKUMAR")</f>
        <v>DARJI JAY MANOJKUMAR</v>
      </c>
      <c r="E584" s="3" t="str">
        <f ca="1">IFERROR(__xludf.DUMMYFUNCTION("""COMPUTED_VALUE"""),"SRC - Eve")</f>
        <v>SRC - Eve</v>
      </c>
      <c r="F584" s="3">
        <f ca="1">IFERROR(__xludf.DUMMYFUNCTION("""COMPUTED_VALUE"""),9909152204)</f>
        <v>9909152204</v>
      </c>
      <c r="G584" s="3">
        <f ca="1">IFERROR(__xludf.DUMMYFUNCTION("""COMPUTED_VALUE"""),8347260820)</f>
        <v>8347260820</v>
      </c>
      <c r="H584" s="33">
        <f ca="1">IFERROR(__xludf.DUMMYFUNCTION("""COMPUTED_VALUE"""),0.473214285714285)</f>
        <v>0.47321428571428498</v>
      </c>
      <c r="I584" s="25">
        <f ca="1">IFERROR(__xludf.DUMMYFUNCTION("""COMPUTED_VALUE"""),0.5)</f>
        <v>0.5</v>
      </c>
      <c r="J584" s="25">
        <f ca="1">IFERROR(__xludf.DUMMYFUNCTION("""COMPUTED_VALUE"""),0.142857142857142)</f>
        <v>0.14285714285714199</v>
      </c>
      <c r="K584" s="25">
        <f ca="1">IFERROR(__xludf.DUMMYFUNCTION("""COMPUTED_VALUE"""),0.527777777777777)</f>
        <v>0.52777777777777701</v>
      </c>
      <c r="L584" s="25">
        <f ca="1">IFERROR(__xludf.DUMMYFUNCTION("""COMPUTED_VALUE"""),0.333333333333333)</f>
        <v>0.33333333333333298</v>
      </c>
      <c r="M584" s="25">
        <f ca="1">IFERROR(__xludf.DUMMYFUNCTION("""COMPUTED_VALUE"""),0.53125)</f>
        <v>0.53125</v>
      </c>
      <c r="N584" s="25">
        <f ca="1">IFERROR(__xludf.DUMMYFUNCTION("""COMPUTED_VALUE"""),0.333333333333333)</f>
        <v>0.33333333333333298</v>
      </c>
      <c r="O584" s="25">
        <f ca="1">IFERROR(__xludf.DUMMYFUNCTION("""COMPUTED_VALUE"""),0.617647058823529)</f>
        <v>0.61764705882352899</v>
      </c>
      <c r="P584" s="25">
        <f ca="1">IFERROR(__xludf.DUMMYFUNCTION("""COMPUTED_VALUE"""),0.434782608695652)</f>
        <v>0.434782608695652</v>
      </c>
      <c r="Q584" s="25">
        <f ca="1">IFERROR(__xludf.DUMMYFUNCTION("""COMPUTED_VALUE"""),0)</f>
        <v>0</v>
      </c>
      <c r="R584" s="25">
        <f ca="1">IFERROR(__xludf.DUMMYFUNCTION("""COMPUTED_VALUE"""),0.263157894736842)</f>
        <v>0.26315789473684198</v>
      </c>
      <c r="S584" s="25">
        <f ca="1">IFERROR(__xludf.DUMMYFUNCTION("""COMPUTED_VALUE"""),0)</f>
        <v>0</v>
      </c>
      <c r="T584" s="25">
        <f ca="1">IFERROR(__xludf.DUMMYFUNCTION("""COMPUTED_VALUE"""),0.5)</f>
        <v>0.5</v>
      </c>
      <c r="U584" s="25">
        <f ca="1">IFERROR(__xludf.DUMMYFUNCTION("""COMPUTED_VALUE"""),0.428571428571428)</f>
        <v>0.42857142857142799</v>
      </c>
      <c r="V584" s="25">
        <f ca="1">IFERROR(__xludf.DUMMYFUNCTION("""COMPUTED_VALUE"""),0)</f>
        <v>0</v>
      </c>
      <c r="W584" s="4"/>
      <c r="X584" s="4" t="str">
        <f ca="1">IFERROR(__xludf.DUMMYFUNCTION("""COMPUTED_VALUE"""),"| 1 L PHP-CGM @ | 6 L JAVA @ | 7 P JAVA @ ")</f>
        <v xml:space="preserve">| 1 L PHP-CGM @ | 6 L JAVA @ | 7 P JAVA @ </v>
      </c>
      <c r="Y584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Z584" s="4" t="str">
        <f ca="1">IFERROR(__xludf.DUMMYFUNCTION("""COMPUTED_VALUE"""),"| 5 L CPT @ | 6 L PHP-CGM @ | 7 P Python @ | 9 P NS @ ")</f>
        <v xml:space="preserve">| 5 L CPT @ | 6 L PHP-CGM @ | 7 P Python @ | 9 P NS @ </v>
      </c>
      <c r="AA584" s="4" t="str">
        <f ca="1">IFERROR(__xludf.DUMMYFUNCTION("""COMPUTED_VALUE"""),"| 5 L NS @ | 6 L CPT @ | 7 P PRO @ | 9 P PHP-CGM @ ")</f>
        <v xml:space="preserve">| 5 L NS @ | 6 L CPT @ | 7 P PRO @ | 9 P PHP-CGM @ </v>
      </c>
      <c r="AB584" s="4" t="str">
        <f ca="1">IFERROR(__xludf.DUMMYFUNCTION("""COMPUTED_VALUE"""),"| 5 L NS @ | 6 L JAVA @ | 7 P Python @ | 9 P CPT @ ")</f>
        <v xml:space="preserve">| 5 L NS @ | 6 L JAVA @ | 7 P Python @ | 9 P CPT @ </v>
      </c>
      <c r="AC584" s="4" t="str">
        <f ca="1">IFERROR(__xludf.DUMMYFUNCTION("""COMPUTED_VALUE"""),"| 1 L PHP-CGM @ | 6 L JAVA @ | 7 P JAVA @ ")</f>
        <v xml:space="preserve">| 1 L PHP-CGM @ | 6 L JAVA @ | 7 P JAVA @ </v>
      </c>
      <c r="AD584" s="4" t="str">
        <f ca="1">IFERROR(__xludf.DUMMYFUNCTION("""COMPUTED_VALUE"""),"| 5 L JAVA % | 6 L NS % | 9 P JAVA @ | 9 L CPT @ | 6 L PHP-CGM @ ")</f>
        <v xml:space="preserve">| 5 L JAVA % | 6 L NS % | 9 P JAVA @ | 9 L CPT @ | 6 L PHP-CGM @ </v>
      </c>
      <c r="AE584" s="4" t="str">
        <f ca="1">IFERROR(__xludf.DUMMYFUNCTION("""COMPUTED_VALUE"""),"| 5 L CPT @ | 6 L PHP-CGM @ | 7 P Python @ | 9 P NS @ ")</f>
        <v xml:space="preserve">| 5 L CPT @ | 6 L PHP-CGM @ | 7 P Python @ | 9 P NS @ </v>
      </c>
      <c r="AF584" s="4" t="str">
        <f ca="1">IFERROR(__xludf.DUMMYFUNCTION("""COMPUTED_VALUE"""),"| 5 L NS % | 6 L CPT % | 7 P PRO @ | 9 P PHP-CGM @ ")</f>
        <v xml:space="preserve">| 5 L NS % | 6 L CPT % | 7 P PRO @ | 9 P PHP-CGM @ </v>
      </c>
      <c r="AG584" s="4" t="str">
        <f ca="1">IFERROR(__xludf.DUMMYFUNCTION("""COMPUTED_VALUE"""),"| 5 L NS @ | 6 L JAVA @ | 7 P Python @ | 9 P CPT @ ")</f>
        <v xml:space="preserve">| 5 L NS @ | 6 L JAVA @ | 7 P Python @ | 9 P CPT @ </v>
      </c>
      <c r="AH584" s="4" t="str">
        <f ca="1">IFERROR(__xludf.DUMMYFUNCTION("""COMPUTED_VALUE"""),"| 5 L NS % | 6 L CPT % | 7 P PRO @ | 9 P PHP-CGM @ ")</f>
        <v xml:space="preserve">| 5 L NS % | 6 L CPT % | 7 P PRO @ | 9 P PHP-CGM @ </v>
      </c>
      <c r="AI584" s="4" t="str">
        <f ca="1">IFERROR(__xludf.DUMMYFUNCTION("""COMPUTED_VALUE"""),"| 5 L NS @ | 6 L JAVA @ | 7 P Python @ | 9 P CPT @ ")</f>
        <v xml:space="preserve">| 5 L NS @ | 6 L JAVA @ | 7 P Python @ | 9 P CPT @ </v>
      </c>
      <c r="AJ584" s="4" t="str">
        <f ca="1">IFERROR(__xludf.DUMMYFUNCTION("""COMPUTED_VALUE"""),"| 1 L PHP-CGM % | 6 L JAVA @ | 7 P JAVA @ ")</f>
        <v xml:space="preserve">| 1 L PHP-CGM % | 6 L JAVA @ | 7 P JAVA @ </v>
      </c>
      <c r="AK584" s="4" t="str">
        <f ca="1">IFERROR(__xludf.DUMMYFUNCTION("""COMPUTED_VALUE"""),"| 5 L JAVA % | 6 L NS % | 7 P JAVA % | 9 L CPT % | 6 L PHP-CGM @ ")</f>
        <v xml:space="preserve">| 5 L JAVA % | 6 L NS % | 7 P JAVA % | 9 L CPT % | 6 L PHP-CGM @ </v>
      </c>
      <c r="AL584" s="4" t="str">
        <f ca="1">IFERROR(__xludf.DUMMYFUNCTION("""COMPUTED_VALUE"""),"| 5 L CPT @ | 7 P Python @ | 6 L PHP-CGM @ | 9 P NS @ ")</f>
        <v xml:space="preserve">| 5 L CPT @ | 7 P Python @ | 6 L PHP-CGM @ | 9 P NS @ </v>
      </c>
      <c r="AM584" s="4" t="str">
        <f ca="1">IFERROR(__xludf.DUMMYFUNCTION("""COMPUTED_VALUE"""),"| 5 L NS @ | 6 L CPT @ | 7 P PRO @ ")</f>
        <v xml:space="preserve">| 5 L NS @ | 6 L CPT @ | 7 P PRO @ </v>
      </c>
      <c r="AN584" s="4" t="str">
        <f ca="1">IFERROR(__xludf.DUMMYFUNCTION("""COMPUTED_VALUE"""),"| 5 L NS @ | 6 L JAVA % ")</f>
        <v xml:space="preserve">| 5 L NS @ | 6 L JAVA % </v>
      </c>
      <c r="AO584" s="4" t="str">
        <f ca="1">IFERROR(__xludf.DUMMYFUNCTION("""COMPUTED_VALUE"""),"| 1 L PHP-CGM % | 6 L JAVA % | 7 P JAVA % | 9 L INE % ")</f>
        <v xml:space="preserve">| 1 L PHP-CGM % | 6 L JAVA % | 7 P JAVA % | 9 L INE % </v>
      </c>
      <c r="AP584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4" s="4" t="str">
        <f ca="1">IFERROR(__xludf.DUMMYFUNCTION("""COMPUTED_VALUE"""),"| 5 L CPT % | 6 L PHP-CGM % ")</f>
        <v xml:space="preserve">| 5 L CPT % | 6 L PHP-CGM % </v>
      </c>
      <c r="AR584" s="4" t="str">
        <f ca="1">IFERROR(__xludf.DUMMYFUNCTION("""COMPUTED_VALUE"""),"| 5 L NS % | 6 L CPT % | 7 P PRO % | 9 P PHP-CGM @ ")</f>
        <v xml:space="preserve">| 5 L NS % | 6 L CPT % | 7 P PRO % | 9 P PHP-CGM @ </v>
      </c>
      <c r="AS584" s="4" t="str">
        <f ca="1">IFERROR(__xludf.DUMMYFUNCTION("""COMPUTED_VALUE"""),"| 1 L PHP-CGM % | 6 L JAVA % | 7 P JAVA % | 9 L INE % ")</f>
        <v xml:space="preserve">| 1 L PHP-CGM % | 6 L JAVA % | 7 P JAVA % | 9 L INE % </v>
      </c>
      <c r="AT584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84" s="4" t="str">
        <f ca="1">IFERROR(__xludf.DUMMYFUNCTION("""COMPUTED_VALUE"""),"| 5 L CPT % | 6 L PHP-CGM % | 7 P Python % | 9 P NS % ")</f>
        <v xml:space="preserve">| 5 L CPT % | 6 L PHP-CGM % | 7 P Python % | 9 P NS % </v>
      </c>
      <c r="AV584" s="4" t="str">
        <f ca="1">IFERROR(__xludf.DUMMYFUNCTION("""COMPUTED_VALUE"""),"| 5 L NS % | 6 L CPT % | 7 P PRO % | 9 P PHP-CGM % ")</f>
        <v xml:space="preserve">| 5 L NS % | 6 L CPT % | 7 P PRO % | 9 P PHP-CGM % </v>
      </c>
      <c r="AW584" s="4" t="str">
        <f ca="1">IFERROR(__xludf.DUMMYFUNCTION("""COMPUTED_VALUE"""),"| 5 L NS % | 6 L JAVA % | 7 P Python % ")</f>
        <v xml:space="preserve">| 5 L NS % | 6 L JAVA % | 7 P Python % </v>
      </c>
      <c r="AX584" s="4" t="str">
        <f ca="1">IFERROR(__xludf.DUMMYFUNCTION("""COMPUTED_VALUE"""),"| 1 L PHP-CGM % | 6 L JAVA % | 7 P JAVA @ | 9 L INE @ ")</f>
        <v xml:space="preserve">| 1 L PHP-CGM % | 6 L JAVA % | 7 P JAVA @ | 9 L INE @ </v>
      </c>
      <c r="AY584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84" s="4" t="str">
        <f ca="1">IFERROR(__xludf.DUMMYFUNCTION("""COMPUTED_VALUE"""),"| 5 L NS % | 6 L CPT % | 7 P PRO % ")</f>
        <v xml:space="preserve">| 5 L NS % | 6 L CPT % | 7 P PRO % </v>
      </c>
      <c r="BA584" s="4" t="str">
        <f ca="1">IFERROR(__xludf.DUMMYFUNCTION("""COMPUTED_VALUE"""),"| 5 L NS @ | 6 L JAVA @ | 7 P Python @ | 9 P CPT @ ")</f>
        <v xml:space="preserve">| 5 L NS @ | 6 L JAVA @ | 7 P Python @ | 9 P CPT @ </v>
      </c>
      <c r="BB584" s="4" t="str">
        <f ca="1">IFERROR(__xludf.DUMMYFUNCTION("""COMPUTED_VALUE"""),"| 1 L PHP-CGM % | 6 L JAVA % | 7 P JAVA % | 9 L INE % ")</f>
        <v xml:space="preserve">| 1 L PHP-CGM % | 6 L JAVA % | 7 P JAVA % | 9 L INE % </v>
      </c>
      <c r="BC584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4" s="4" t="str">
        <f ca="1">IFERROR(__xludf.DUMMYFUNCTION("""COMPUTED_VALUE"""),"| 5 L CPT @ | 6 L PHP-CGM @ | 7 P Python % | 9 P NS % ")</f>
        <v xml:space="preserve">| 5 L CPT @ | 6 L PHP-CGM @ | 7 P Python % | 9 P NS % </v>
      </c>
      <c r="BE584" s="4" t="str">
        <f ca="1">IFERROR(__xludf.DUMMYFUNCTION("""COMPUTED_VALUE"""),"| 5 L NS % | 6 L CPT % | 7 P PRO % | 9 P PHP-CGM % ")</f>
        <v xml:space="preserve">| 5 L NS % | 6 L CPT % | 7 P PRO % | 9 P PHP-CGM % </v>
      </c>
      <c r="BF584" s="4" t="str">
        <f ca="1">IFERROR(__xludf.DUMMYFUNCTION("""COMPUTED_VALUE"""),"| 5 L NS @ | 6 L JAVA % | 7 P Python % | 9 P CPT % ")</f>
        <v xml:space="preserve">| 5 L NS @ | 6 L JAVA % | 7 P Python % | 9 P CPT % </v>
      </c>
      <c r="BG584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4" s="4" t="str">
        <f ca="1">IFERROR(__xludf.DUMMYFUNCTION("""COMPUTED_VALUE"""),"| 5 L CPT % | 6 L PHP-CGM % | 7 P Python % | 9 P NS % ")</f>
        <v xml:space="preserve">| 5 L CPT % | 6 L PHP-CGM % | 7 P Python % | 9 P NS % </v>
      </c>
      <c r="BI584" s="4" t="str">
        <f ca="1">IFERROR(__xludf.DUMMYFUNCTION("""COMPUTED_VALUE"""),"| 5 L NS % | 6 L CPT % | 7 P PRO % | 9 P PHP-CGM % ")</f>
        <v xml:space="preserve">| 5 L NS % | 6 L CPT % | 7 P PRO % | 9 P PHP-CGM % </v>
      </c>
      <c r="BJ584" s="4" t="str">
        <f ca="1">IFERROR(__xludf.DUMMYFUNCTION("""COMPUTED_VALUE"""),"| 5 L NS % | 6 L JAVA % | 7 P Python @ ")</f>
        <v xml:space="preserve">| 5 L NS % | 6 L JAVA % | 7 P Python @ </v>
      </c>
      <c r="BK584" s="4" t="str">
        <f ca="1">IFERROR(__xludf.DUMMYFUNCTION("""COMPUTED_VALUE"""),"| 1 L PHP-CGM % | 6 L JAVA % | 7 P JAVA @ | 9 L INE @ ")</f>
        <v xml:space="preserve">| 1 L PHP-CGM % | 6 L JAVA % | 7 P JAVA @ | 9 L INE @ </v>
      </c>
      <c r="BL584" s="4" t="str">
        <f ca="1">IFERROR(__xludf.DUMMYFUNCTION("""COMPUTED_VALUE"""),"| 5 L JAVA % | 6 L NS % | 7 P JAVA @ | 9 L CPT @ | 10 L PHP-CGM @ ")</f>
        <v xml:space="preserve">| 5 L JAVA % | 6 L NS % | 7 P JAVA @ | 9 L CPT @ | 10 L PHP-CGM @ </v>
      </c>
      <c r="BM584" s="4" t="str">
        <f ca="1">IFERROR(__xludf.DUMMYFUNCTION("""COMPUTED_VALUE"""),"| 5 L CPT @ | 6 L PHP-CGM @ | 7 P Python @ ")</f>
        <v xml:space="preserve">| 5 L CPT @ | 6 L PHP-CGM @ | 7 P Python @ </v>
      </c>
      <c r="BN584" s="4" t="str">
        <f ca="1">IFERROR(__xludf.DUMMYFUNCTION("""COMPUTED_VALUE"""),"| 5 L NS @ | 6 L CPT @ | 7 P PRO @ | 9 P PHP-CGM @ ")</f>
        <v xml:space="preserve">| 5 L NS @ | 6 L CPT @ | 7 P PRO @ | 9 P PHP-CGM @ </v>
      </c>
      <c r="BO584" s="4" t="str">
        <f ca="1">IFERROR(__xludf.DUMMYFUNCTION("""COMPUTED_VALUE"""),"| 5 L NS @ | 6 L JAVA @ ")</f>
        <v xml:space="preserve">| 5 L NS @ | 6 L JAVA @ </v>
      </c>
      <c r="BP584" s="4" t="str">
        <f ca="1">IFERROR(__xludf.DUMMYFUNCTION("""COMPUTED_VALUE"""),"| 1 L PHP-CGM @ | 6 L JAVA @ | 7 P JAVA @ | 9 L INE @ ")</f>
        <v xml:space="preserve">| 1 L PHP-CGM @ | 6 L JAVA @ | 7 P JAVA @ | 9 L INE @ </v>
      </c>
      <c r="BQ584" s="4" t="str">
        <f ca="1">IFERROR(__xludf.DUMMYFUNCTION("""COMPUTED_VALUE"""),"| 5 L CPT @ ")</f>
        <v xml:space="preserve">| 5 L CPT @ </v>
      </c>
      <c r="BR584" s="4"/>
      <c r="BS584" s="4" t="str">
        <f ca="1">IFERROR(__xludf.DUMMYFUNCTION("""COMPUTED_VALUE"""),"| 6 L CPT @ ")</f>
        <v xml:space="preserve">| 6 L CPT @ </v>
      </c>
      <c r="BT584" s="4" t="str">
        <f ca="1">IFERROR(__xludf.DUMMYFUNCTION("""COMPUTED_VALUE"""),"| 7 P JAVA @ ")</f>
        <v xml:space="preserve">| 7 P JAVA @ </v>
      </c>
      <c r="BU584" s="4" t="str">
        <f ca="1">IFERROR(__xludf.DUMMYFUNCTION("""COMPUTED_VALUE"""),"| 7 P JAVA @ ")</f>
        <v xml:space="preserve">| 7 P JAVA @ </v>
      </c>
      <c r="BV584" s="4" t="str">
        <f ca="1">IFERROR(__xludf.DUMMYFUNCTION("""COMPUTED_VALUE"""),"| 5 L PHP-CGM % | 6 L JAVA % | 7 P JAVA @ ")</f>
        <v xml:space="preserve">| 5 L PHP-CGM % | 6 L JAVA % | 7 P JAVA @ </v>
      </c>
      <c r="BW584" s="4"/>
      <c r="BX584" s="4" t="str">
        <f ca="1">IFERROR(__xludf.DUMMYFUNCTION("""COMPUTED_VALUE"""),"| 5 L CPT @ | 7 P Python @ | 9 P NS @ | 6 L PHP-CGM @ ")</f>
        <v xml:space="preserve">| 5 L CPT @ | 7 P Python @ | 9 P NS @ | 6 L PHP-CGM @ </v>
      </c>
      <c r="BY584" s="4" t="str">
        <f ca="1">IFERROR(__xludf.DUMMYFUNCTION("""COMPUTED_VALUE"""),"| 5 L NS % | 6 L CPT % | 7 P PRO % | 9 P PHP-CGM @ ")</f>
        <v xml:space="preserve">| 5 L NS % | 6 L CPT % | 7 P PRO % | 9 P PHP-CGM @ </v>
      </c>
      <c r="BZ584" s="4" t="str">
        <f ca="1">IFERROR(__xludf.DUMMYFUNCTION("""COMPUTED_VALUE"""),"| 5 L NS @ | 6 L JAVA @ | 7 P Python @ | 9 P CPT @ ")</f>
        <v xml:space="preserve">| 5 L NS @ | 6 L JAVA @ | 7 P Python @ | 9 P CPT @ </v>
      </c>
      <c r="CA584" s="4" t="str">
        <f ca="1">IFERROR(__xludf.DUMMYFUNCTION("""COMPUTED_VALUE"""),"| 1 L PHP-CGM % | 6 L JAVA % | 7 P JAVA % ")</f>
        <v xml:space="preserve">| 1 L PHP-CGM % | 6 L JAVA % | 7 P JAVA % </v>
      </c>
      <c r="CB584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CC584" s="4" t="str">
        <f ca="1">IFERROR(__xludf.DUMMYFUNCTION("""COMPUTED_VALUE"""),"| 5 L CPT @ | 6 L PHP-CGM @ | 7 P Python @ | 9 P NS @ ")</f>
        <v xml:space="preserve">| 5 L CPT @ | 6 L PHP-CGM @ | 7 P Python @ | 9 P NS @ </v>
      </c>
      <c r="CD584" s="4" t="str">
        <f ca="1">IFERROR(__xludf.DUMMYFUNCTION("""COMPUTED_VALUE"""),"| 5 L NS @ | 6 L CPT @ | 7 P PRO @ ")</f>
        <v xml:space="preserve">| 5 L NS @ | 6 L CPT @ | 7 P PRO @ </v>
      </c>
      <c r="CE584" s="4" t="str">
        <f ca="1">IFERROR(__xludf.DUMMYFUNCTION("""COMPUTED_VALUE"""),"| 5 L NS @ | 6 L JAVA @ | 7 P Python @ | 9 P CPT @ ")</f>
        <v xml:space="preserve">| 5 L NS @ | 6 L JAVA @ | 7 P Python @ | 9 P CPT @ </v>
      </c>
      <c r="CF584" s="4" t="str">
        <f ca="1">IFERROR(__xludf.DUMMYFUNCTION("""COMPUTED_VALUE"""),"| 5 L PHP-CGM % | 6 L JAVA % | 9 L INE @ ")</f>
        <v xml:space="preserve">| 5 L PHP-CGM % | 6 L JAVA % | 9 L INE @ </v>
      </c>
      <c r="CG584" s="4" t="str">
        <f ca="1">IFERROR(__xludf.DUMMYFUNCTION("""COMPUTED_VALUE"""),"| 5 L JAVA % | 6 L NS % ")</f>
        <v xml:space="preserve">| 5 L JAVA % | 6 L NS % </v>
      </c>
      <c r="CH584" s="4" t="str">
        <f ca="1">IFERROR(__xludf.DUMMYFUNCTION("""COMPUTED_VALUE"""),"| 5 L CPT % | 7 P Python @ | 9 P NS @ ")</f>
        <v xml:space="preserve">| 5 L CPT % | 7 P Python @ | 9 P NS @ </v>
      </c>
      <c r="CI584" s="4" t="str">
        <f ca="1">IFERROR(__xludf.DUMMYFUNCTION("""COMPUTED_VALUE"""),"| 5 L NS @ | 6 L CPT @ ")</f>
        <v xml:space="preserve">| 5 L NS @ | 6 L CPT @ </v>
      </c>
      <c r="CJ584" s="4" t="str">
        <f ca="1">IFERROR(__xludf.DUMMYFUNCTION("""COMPUTED_VALUE"""),"| 5 L NS @ ")</f>
        <v xml:space="preserve">| 5 L NS @ </v>
      </c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</row>
    <row r="585" spans="1:102" ht="12.5" x14ac:dyDescent="0.25">
      <c r="A585" s="3">
        <f ca="1">IFERROR(__xludf.DUMMYFUNCTION("""COMPUTED_VALUE"""),1)</f>
        <v>1</v>
      </c>
      <c r="B585" s="3" t="str">
        <f ca="1">IFERROR(__xludf.DUMMYFUNCTION("""COMPUTED_VALUE"""),"ITD")</f>
        <v>ITD</v>
      </c>
      <c r="C585" s="32" t="str">
        <f ca="1">IFERROR(__xludf.DUMMYFUNCTION("""COMPUTED_VALUE"""),"23171371018")</f>
        <v>23171371018</v>
      </c>
      <c r="D585" s="4" t="str">
        <f ca="1">IFERROR(__xludf.DUMMYFUNCTION("""COMPUTED_VALUE"""),"DETROJA PRINCE DENISHBHAI")</f>
        <v>DETROJA PRINCE DENISHBHAI</v>
      </c>
      <c r="E585" s="3" t="str">
        <f ca="1">IFERROR(__xludf.DUMMYFUNCTION("""COMPUTED_VALUE"""),"SRC - Eve")</f>
        <v>SRC - Eve</v>
      </c>
      <c r="F585" s="3">
        <f ca="1">IFERROR(__xludf.DUMMYFUNCTION("""COMPUTED_VALUE"""),7600145326)</f>
        <v>7600145326</v>
      </c>
      <c r="G585" s="3">
        <f ca="1">IFERROR(__xludf.DUMMYFUNCTION("""COMPUTED_VALUE"""),9662307922)</f>
        <v>9662307922</v>
      </c>
      <c r="H585" s="33">
        <f ca="1">IFERROR(__xludf.DUMMYFUNCTION("""COMPUTED_VALUE"""),0.839285714285714)</f>
        <v>0.83928571428571397</v>
      </c>
      <c r="I585" s="25">
        <f ca="1">IFERROR(__xludf.DUMMYFUNCTION("""COMPUTED_VALUE"""),0.833333333333333)</f>
        <v>0.83333333333333304</v>
      </c>
      <c r="J585" s="25">
        <f ca="1">IFERROR(__xludf.DUMMYFUNCTION("""COMPUTED_VALUE"""),0.857142857142857)</f>
        <v>0.85714285714285698</v>
      </c>
      <c r="K585" s="25">
        <f ca="1">IFERROR(__xludf.DUMMYFUNCTION("""COMPUTED_VALUE"""),0.75)</f>
        <v>0.75</v>
      </c>
      <c r="L585" s="25">
        <f ca="1">IFERROR(__xludf.DUMMYFUNCTION("""COMPUTED_VALUE"""),1)</f>
        <v>1</v>
      </c>
      <c r="M585" s="25">
        <f ca="1">IFERROR(__xludf.DUMMYFUNCTION("""COMPUTED_VALUE"""),0.9375)</f>
        <v>0.9375</v>
      </c>
      <c r="N585" s="25">
        <f ca="1">IFERROR(__xludf.DUMMYFUNCTION("""COMPUTED_VALUE"""),0.777777777777777)</f>
        <v>0.77777777777777701</v>
      </c>
      <c r="O585" s="25">
        <f ca="1">IFERROR(__xludf.DUMMYFUNCTION("""COMPUTED_VALUE"""),0.941176470588235)</f>
        <v>0.94117647058823495</v>
      </c>
      <c r="P585" s="25">
        <f ca="1">IFERROR(__xludf.DUMMYFUNCTION("""COMPUTED_VALUE"""),0.695652173913043)</f>
        <v>0.69565217391304301</v>
      </c>
      <c r="Q585" s="25">
        <f ca="1">IFERROR(__xludf.DUMMYFUNCTION("""COMPUTED_VALUE"""),0)</f>
        <v>0</v>
      </c>
      <c r="R585" s="25">
        <f ca="1">IFERROR(__xludf.DUMMYFUNCTION("""COMPUTED_VALUE"""),0.842105263157894)</f>
        <v>0.84210526315789402</v>
      </c>
      <c r="S585" s="25">
        <f ca="1">IFERROR(__xludf.DUMMYFUNCTION("""COMPUTED_VALUE"""),0)</f>
        <v>0</v>
      </c>
      <c r="T585" s="25">
        <f ca="1">IFERROR(__xludf.DUMMYFUNCTION("""COMPUTED_VALUE"""),0.833333333333333)</f>
        <v>0.83333333333333304</v>
      </c>
      <c r="U585" s="25">
        <f ca="1">IFERROR(__xludf.DUMMYFUNCTION("""COMPUTED_VALUE"""),0.714285714285714)</f>
        <v>0.71428571428571397</v>
      </c>
      <c r="V585" s="25">
        <f ca="1">IFERROR(__xludf.DUMMYFUNCTION("""COMPUTED_VALUE"""),0)</f>
        <v>0</v>
      </c>
      <c r="W585" s="4"/>
      <c r="X585" s="4" t="str">
        <f ca="1">IFERROR(__xludf.DUMMYFUNCTION("""COMPUTED_VALUE"""),"| 1 L PHP-CGM % | 6 L JAVA % | 7 P JAVA % ")</f>
        <v xml:space="preserve">| 1 L PHP-CGM % | 6 L JAVA % | 7 P JAVA % </v>
      </c>
      <c r="Y585" s="4" t="str">
        <f ca="1">IFERROR(__xludf.DUMMYFUNCTION("""COMPUTED_VALUE"""),"| 5 L JAVA % | 6 L NS @ | 9 P JAVA % | 9 L CPT % | 6 L PHP-CGM % ")</f>
        <v xml:space="preserve">| 5 L JAVA % | 6 L NS @ | 9 P JAVA % | 9 L CPT % | 6 L PHP-CGM % </v>
      </c>
      <c r="Z585" s="4" t="str">
        <f ca="1">IFERROR(__xludf.DUMMYFUNCTION("""COMPUTED_VALUE"""),"| 5 L CPT % | 6 L PHP-CGM % | 7 P Python % | 9 P NS % ")</f>
        <v xml:space="preserve">| 5 L CPT % | 6 L PHP-CGM % | 7 P Python % | 9 P NS % </v>
      </c>
      <c r="AA585" s="4" t="str">
        <f ca="1">IFERROR(__xludf.DUMMYFUNCTION("""COMPUTED_VALUE"""),"| 5 L NS % | 6 L CPT % | 7 P PRO % | 9 P PHP-CGM % ")</f>
        <v xml:space="preserve">| 5 L NS % | 6 L CPT % | 7 P PRO % | 9 P PHP-CGM % </v>
      </c>
      <c r="AB585" s="4" t="str">
        <f ca="1">IFERROR(__xludf.DUMMYFUNCTION("""COMPUTED_VALUE"""),"| 5 L NS % | 6 L JAVA % | 7 P Python % | 9 P CPT % ")</f>
        <v xml:space="preserve">| 5 L NS % | 6 L JAVA % | 7 P Python % | 9 P CPT % </v>
      </c>
      <c r="AC585" s="4" t="str">
        <f ca="1">IFERROR(__xludf.DUMMYFUNCTION("""COMPUTED_VALUE"""),"| 1 L PHP-CGM % | 6 L JAVA % | 7 P JAVA % ")</f>
        <v xml:space="preserve">| 1 L PHP-CGM % | 6 L JAVA % | 7 P JAVA % </v>
      </c>
      <c r="AD585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85" s="4" t="str">
        <f ca="1">IFERROR(__xludf.DUMMYFUNCTION("""COMPUTED_VALUE"""),"| 5 L CPT % | 6 L PHP-CGM % | 7 P Python % | 9 P NS % ")</f>
        <v xml:space="preserve">| 5 L CPT % | 6 L PHP-CGM % | 7 P Python % | 9 P NS % </v>
      </c>
      <c r="AF585" s="4" t="str">
        <f ca="1">IFERROR(__xludf.DUMMYFUNCTION("""COMPUTED_VALUE"""),"| 5 L NS % | 6 L CPT % | 7 P PRO % | 9 P PHP-CGM % ")</f>
        <v xml:space="preserve">| 5 L NS % | 6 L CPT % | 7 P PRO % | 9 P PHP-CGM % </v>
      </c>
      <c r="AG585" s="4" t="str">
        <f ca="1">IFERROR(__xludf.DUMMYFUNCTION("""COMPUTED_VALUE"""),"| 5 L NS % | 6 L JAVA % | 7 P Python % | 9 P CPT % ")</f>
        <v xml:space="preserve">| 5 L NS % | 6 L JAVA % | 7 P Python % | 9 P CPT % </v>
      </c>
      <c r="AH585" s="4" t="str">
        <f ca="1">IFERROR(__xludf.DUMMYFUNCTION("""COMPUTED_VALUE"""),"| 5 L NS @ | 6 L CPT @ | 7 P PRO @ | 9 P PHP-CGM @ ")</f>
        <v xml:space="preserve">| 5 L NS @ | 6 L CPT @ | 7 P PRO @ | 9 P PHP-CGM @ </v>
      </c>
      <c r="AI585" s="4" t="str">
        <f ca="1">IFERROR(__xludf.DUMMYFUNCTION("""COMPUTED_VALUE"""),"| 5 L NS % | 6 L JAVA % | 7 P Python % | 9 P CPT % ")</f>
        <v xml:space="preserve">| 5 L NS % | 6 L JAVA % | 7 P Python % | 9 P CPT % </v>
      </c>
      <c r="AJ585" s="4" t="str">
        <f ca="1">IFERROR(__xludf.DUMMYFUNCTION("""COMPUTED_VALUE"""),"| 1 L PHP-CGM % | 6 L JAVA % | 7 P JAVA % ")</f>
        <v xml:space="preserve">| 1 L PHP-CGM % | 6 L JAVA % | 7 P JAVA % </v>
      </c>
      <c r="AK585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85" s="4" t="str">
        <f ca="1">IFERROR(__xludf.DUMMYFUNCTION("""COMPUTED_VALUE"""),"| 5 L CPT % | 7 P Python % | 6 L PHP-CGM % | 9 P NS % ")</f>
        <v xml:space="preserve">| 5 L CPT % | 7 P Python % | 6 L PHP-CGM % | 9 P NS % </v>
      </c>
      <c r="AM585" s="4" t="str">
        <f ca="1">IFERROR(__xludf.DUMMYFUNCTION("""COMPUTED_VALUE"""),"| 5 L NS % | 6 L CPT % | 7 P PRO % ")</f>
        <v xml:space="preserve">| 5 L NS % | 6 L CPT % | 7 P PRO % </v>
      </c>
      <c r="AN585" s="4" t="str">
        <f ca="1">IFERROR(__xludf.DUMMYFUNCTION("""COMPUTED_VALUE"""),"| 5 L NS % | 6 L JAVA % ")</f>
        <v xml:space="preserve">| 5 L NS % | 6 L JAVA % </v>
      </c>
      <c r="AO585" s="4" t="str">
        <f ca="1">IFERROR(__xludf.DUMMYFUNCTION("""COMPUTED_VALUE"""),"| 1 L PHP-CGM % | 6 L JAVA % | 7 P JAVA % | 9 L INE % ")</f>
        <v xml:space="preserve">| 1 L PHP-CGM % | 6 L JAVA % | 7 P JAVA % | 9 L INE % </v>
      </c>
      <c r="AP585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5" s="4" t="str">
        <f ca="1">IFERROR(__xludf.DUMMYFUNCTION("""COMPUTED_VALUE"""),"| 5 L CPT % | 6 L PHP-CGM % ")</f>
        <v xml:space="preserve">| 5 L CPT % | 6 L PHP-CGM % </v>
      </c>
      <c r="AR585" s="4" t="str">
        <f ca="1">IFERROR(__xludf.DUMMYFUNCTION("""COMPUTED_VALUE"""),"| 5 L NS @ | 6 L CPT @ | 7 P PRO @ | 9 P PHP-CGM @ ")</f>
        <v xml:space="preserve">| 5 L NS @ | 6 L CPT @ | 7 P PRO @ | 9 P PHP-CGM @ </v>
      </c>
      <c r="AS585" s="4" t="str">
        <f ca="1">IFERROR(__xludf.DUMMYFUNCTION("""COMPUTED_VALUE"""),"| 1 L PHP-CGM @ | 6 L JAVA @ | 7 P JAVA @ | 9 L INE @ ")</f>
        <v xml:space="preserve">| 1 L PHP-CGM @ | 6 L JAVA @ | 7 P JAVA @ | 9 L INE @ </v>
      </c>
      <c r="AT585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85" s="4" t="str">
        <f ca="1">IFERROR(__xludf.DUMMYFUNCTION("""COMPUTED_VALUE"""),"| 5 L CPT % | 6 L PHP-CGM % | 7 P Python % | 9 P NS % ")</f>
        <v xml:space="preserve">| 5 L CPT % | 6 L PHP-CGM % | 7 P Python % | 9 P NS % </v>
      </c>
      <c r="AV585" s="4" t="str">
        <f ca="1">IFERROR(__xludf.DUMMYFUNCTION("""COMPUTED_VALUE"""),"| 5 L NS % | 6 L CPT % | 7 P PRO % | 9 P PHP-CGM % ")</f>
        <v xml:space="preserve">| 5 L NS % | 6 L CPT % | 7 P PRO % | 9 P PHP-CGM % </v>
      </c>
      <c r="AW585" s="4" t="str">
        <f ca="1">IFERROR(__xludf.DUMMYFUNCTION("""COMPUTED_VALUE"""),"| 5 L NS % | 6 L JAVA % | 7 P Python % ")</f>
        <v xml:space="preserve">| 5 L NS % | 6 L JAVA % | 7 P Python % </v>
      </c>
      <c r="AX585" s="4" t="str">
        <f ca="1">IFERROR(__xludf.DUMMYFUNCTION("""COMPUTED_VALUE"""),"| 1 L PHP-CGM % | 6 L JAVA % | 7 P JAVA % | 9 L INE % ")</f>
        <v xml:space="preserve">| 1 L PHP-CGM % | 6 L JAVA % | 7 P JAVA % | 9 L INE % </v>
      </c>
      <c r="AY585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85" s="4" t="str">
        <f ca="1">IFERROR(__xludf.DUMMYFUNCTION("""COMPUTED_VALUE"""),"| 5 L NS % | 6 L CPT % | 7 P PRO % ")</f>
        <v xml:space="preserve">| 5 L NS % | 6 L CPT % | 7 P PRO % </v>
      </c>
      <c r="BA585" s="4" t="str">
        <f ca="1">IFERROR(__xludf.DUMMYFUNCTION("""COMPUTED_VALUE"""),"| 5 L NS % | 6 L JAVA % | 7 P Python % | 9 P CPT % ")</f>
        <v xml:space="preserve">| 5 L NS % | 6 L JAVA % | 7 P Python % | 9 P CPT % </v>
      </c>
      <c r="BB585" s="4" t="str">
        <f ca="1">IFERROR(__xludf.DUMMYFUNCTION("""COMPUTED_VALUE"""),"| 1 L PHP-CGM % | 6 L JAVA % | 7 P JAVA % | 9 L INE % ")</f>
        <v xml:space="preserve">| 1 L PHP-CGM % | 6 L JAVA % | 7 P JAVA % | 9 L INE % </v>
      </c>
      <c r="BC585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5" s="4" t="str">
        <f ca="1">IFERROR(__xludf.DUMMYFUNCTION("""COMPUTED_VALUE"""),"| 5 L CPT % | 6 L PHP-CGM % | 7 P Python % | 9 P NS % ")</f>
        <v xml:space="preserve">| 5 L CPT % | 6 L PHP-CGM % | 7 P Python % | 9 P NS % </v>
      </c>
      <c r="BE585" s="4" t="str">
        <f ca="1">IFERROR(__xludf.DUMMYFUNCTION("""COMPUTED_VALUE"""),"| 5 L NS % | 6 L CPT % | 7 P PRO % | 9 P PHP-CGM % ")</f>
        <v xml:space="preserve">| 5 L NS % | 6 L CPT % | 7 P PRO % | 9 P PHP-CGM % </v>
      </c>
      <c r="BF585" s="4" t="str">
        <f ca="1">IFERROR(__xludf.DUMMYFUNCTION("""COMPUTED_VALUE"""),"| 5 L NS @ | 6 L JAVA % | 7 P Python % | 9 P CPT % ")</f>
        <v xml:space="preserve">| 5 L NS @ | 6 L JAVA % | 7 P Python % | 9 P CPT % </v>
      </c>
      <c r="BG585" s="4" t="str">
        <f ca="1">IFERROR(__xludf.DUMMYFUNCTION("""COMPUTED_VALUE"""),"| 5 L JAVA % | 6 L NS % | 7 P JAVA @ | 9 L CPT % | 10 L PHP-CGM % ")</f>
        <v xml:space="preserve">| 5 L JAVA % | 6 L NS % | 7 P JAVA @ | 9 L CPT % | 10 L PHP-CGM % </v>
      </c>
      <c r="BH585" s="4" t="str">
        <f ca="1">IFERROR(__xludf.DUMMYFUNCTION("""COMPUTED_VALUE"""),"| 5 L CPT % | 6 L PHP-CGM % | 7 P Python % | 9 P NS % ")</f>
        <v xml:space="preserve">| 5 L CPT % | 6 L PHP-CGM % | 7 P Python % | 9 P NS % </v>
      </c>
      <c r="BI585" s="4" t="str">
        <f ca="1">IFERROR(__xludf.DUMMYFUNCTION("""COMPUTED_VALUE"""),"| 5 L NS % | 6 L CPT % | 7 P PRO % | 9 P PHP-CGM % ")</f>
        <v xml:space="preserve">| 5 L NS % | 6 L CPT % | 7 P PRO % | 9 P PHP-CGM % </v>
      </c>
      <c r="BJ585" s="4" t="str">
        <f ca="1">IFERROR(__xludf.DUMMYFUNCTION("""COMPUTED_VALUE"""),"| 5 L NS % | 6 L JAVA % | 7 P Python @ ")</f>
        <v xml:space="preserve">| 5 L NS % | 6 L JAVA % | 7 P Python @ </v>
      </c>
      <c r="BK585" s="4" t="str">
        <f ca="1">IFERROR(__xludf.DUMMYFUNCTION("""COMPUTED_VALUE"""),"| 1 L PHP-CGM % | 6 L JAVA % | 7 P JAVA % | 9 L INE % ")</f>
        <v xml:space="preserve">| 1 L PHP-CGM % | 6 L JAVA % | 7 P JAVA % | 9 L INE % </v>
      </c>
      <c r="BL585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M585" s="4" t="str">
        <f ca="1">IFERROR(__xludf.DUMMYFUNCTION("""COMPUTED_VALUE"""),"| 5 L CPT % | 6 L PHP-CGM % | 7 P Python % ")</f>
        <v xml:space="preserve">| 5 L CPT % | 6 L PHP-CGM % | 7 P Python % </v>
      </c>
      <c r="BN585" s="4" t="str">
        <f ca="1">IFERROR(__xludf.DUMMYFUNCTION("""COMPUTED_VALUE"""),"| 5 L NS % | 6 L CPT % | 7 P PRO % | 9 P PHP-CGM % ")</f>
        <v xml:space="preserve">| 5 L NS % | 6 L CPT % | 7 P PRO % | 9 P PHP-CGM % </v>
      </c>
      <c r="BO585" s="4" t="str">
        <f ca="1">IFERROR(__xludf.DUMMYFUNCTION("""COMPUTED_VALUE"""),"| 5 L NS % | 6 L JAVA % ")</f>
        <v xml:space="preserve">| 5 L NS % | 6 L JAVA % </v>
      </c>
      <c r="BP585" s="4" t="str">
        <f ca="1">IFERROR(__xludf.DUMMYFUNCTION("""COMPUTED_VALUE"""),"| 1 L PHP-CGM % | 6 L JAVA % | 7 P JAVA @ | 9 L INE @ ")</f>
        <v xml:space="preserve">| 1 L PHP-CGM % | 6 L JAVA % | 7 P JAVA @ | 9 L INE @ </v>
      </c>
      <c r="BQ585" s="4" t="str">
        <f ca="1">IFERROR(__xludf.DUMMYFUNCTION("""COMPUTED_VALUE"""),"| 5 L CPT % ")</f>
        <v xml:space="preserve">| 5 L CPT % </v>
      </c>
      <c r="BR585" s="4"/>
      <c r="BS585" s="4" t="str">
        <f ca="1">IFERROR(__xludf.DUMMYFUNCTION("""COMPUTED_VALUE"""),"| 6 L CPT @ ")</f>
        <v xml:space="preserve">| 6 L CPT @ </v>
      </c>
      <c r="BT585" s="4" t="str">
        <f ca="1">IFERROR(__xludf.DUMMYFUNCTION("""COMPUTED_VALUE"""),"| 7 P JAVA @ ")</f>
        <v xml:space="preserve">| 7 P JAVA @ </v>
      </c>
      <c r="BU585" s="4" t="str">
        <f ca="1">IFERROR(__xludf.DUMMYFUNCTION("""COMPUTED_VALUE"""),"| 7 P JAVA @ ")</f>
        <v xml:space="preserve">| 7 P JAVA @ </v>
      </c>
      <c r="BV585" s="4" t="str">
        <f ca="1">IFERROR(__xludf.DUMMYFUNCTION("""COMPUTED_VALUE"""),"| 5 L PHP-CGM % | 6 L JAVA % | 7 P JAVA @ ")</f>
        <v xml:space="preserve">| 5 L PHP-CGM % | 6 L JAVA % | 7 P JAVA @ </v>
      </c>
      <c r="BW585" s="4"/>
      <c r="BX585" s="4" t="str">
        <f ca="1">IFERROR(__xludf.DUMMYFUNCTION("""COMPUTED_VALUE"""),"| 5 L CPT % | 7 P Python % | 9 P NS % | 6 L PHP-CGM % ")</f>
        <v xml:space="preserve">| 5 L CPT % | 7 P Python % | 9 P NS % | 6 L PHP-CGM % </v>
      </c>
      <c r="BY585" s="4" t="str">
        <f ca="1">IFERROR(__xludf.DUMMYFUNCTION("""COMPUTED_VALUE"""),"| 5 L NS % | 6 L CPT % | 7 P PRO % | 9 P PHP-CGM % ")</f>
        <v xml:space="preserve">| 5 L NS % | 6 L CPT % | 7 P PRO % | 9 P PHP-CGM % </v>
      </c>
      <c r="BZ585" s="4" t="str">
        <f ca="1">IFERROR(__xludf.DUMMYFUNCTION("""COMPUTED_VALUE"""),"| 5 L NS % | 6 L JAVA % | 7 P Python @ | 9 P CPT % ")</f>
        <v xml:space="preserve">| 5 L NS % | 6 L JAVA % | 7 P Python @ | 9 P CPT % </v>
      </c>
      <c r="CA585" s="4" t="str">
        <f ca="1">IFERROR(__xludf.DUMMYFUNCTION("""COMPUTED_VALUE"""),"| 1 L PHP-CGM % | 6 L JAVA % | 7 P JAVA % ")</f>
        <v xml:space="preserve">| 1 L PHP-CGM % | 6 L JAVA % | 7 P JAVA % </v>
      </c>
      <c r="CB585" s="4" t="str">
        <f ca="1">IFERROR(__xludf.DUMMYFUNCTION("""COMPUTED_VALUE"""),"| 5 L JAVA % | 6 L NS % | 7 P JAVA @ | 9 L CPT @ | 10 L PHP-CGM @ ")</f>
        <v xml:space="preserve">| 5 L JAVA % | 6 L NS % | 7 P JAVA @ | 9 L CPT @ | 10 L PHP-CGM @ </v>
      </c>
      <c r="CC585" s="4" t="str">
        <f ca="1">IFERROR(__xludf.DUMMYFUNCTION("""COMPUTED_VALUE"""),"| 5 L CPT % | 6 L PHP-CGM % | 7 P Python % | 9 P NS % ")</f>
        <v xml:space="preserve">| 5 L CPT % | 6 L PHP-CGM % | 7 P Python % | 9 P NS % </v>
      </c>
      <c r="CD585" s="4" t="str">
        <f ca="1">IFERROR(__xludf.DUMMYFUNCTION("""COMPUTED_VALUE"""),"| 5 L NS @ | 6 L CPT @ | 7 P PRO % ")</f>
        <v xml:space="preserve">| 5 L NS @ | 6 L CPT @ | 7 P PRO % </v>
      </c>
      <c r="CE585" s="4" t="str">
        <f ca="1">IFERROR(__xludf.DUMMYFUNCTION("""COMPUTED_VALUE"""),"| 5 L NS @ | 6 L JAVA @ | 7 P Python @ | 9 P CPT @ ")</f>
        <v xml:space="preserve">| 5 L NS @ | 6 L JAVA @ | 7 P Python @ | 9 P CPT @ </v>
      </c>
      <c r="CF585" s="4" t="str">
        <f ca="1">IFERROR(__xludf.DUMMYFUNCTION("""COMPUTED_VALUE"""),"| 5 L PHP-CGM % | 6 L JAVA % | 9 L INE % ")</f>
        <v xml:space="preserve">| 5 L PHP-CGM % | 6 L JAVA % | 9 L INE % </v>
      </c>
      <c r="CG585" s="4" t="str">
        <f ca="1">IFERROR(__xludf.DUMMYFUNCTION("""COMPUTED_VALUE"""),"| 5 L JAVA % | 6 L NS @ ")</f>
        <v xml:space="preserve">| 5 L JAVA % | 6 L NS @ </v>
      </c>
      <c r="CH585" s="4" t="str">
        <f ca="1">IFERROR(__xludf.DUMMYFUNCTION("""COMPUTED_VALUE"""),"| 5 L CPT % | 7 P Python % | 9 P NS % ")</f>
        <v xml:space="preserve">| 5 L CPT % | 7 P Python % | 9 P NS % </v>
      </c>
      <c r="CI585" s="4" t="str">
        <f ca="1">IFERROR(__xludf.DUMMYFUNCTION("""COMPUTED_VALUE"""),"| 5 L NS @ | 6 L CPT @ ")</f>
        <v xml:space="preserve">| 5 L NS @ | 6 L CPT @ </v>
      </c>
      <c r="CJ585" s="4" t="str">
        <f ca="1">IFERROR(__xludf.DUMMYFUNCTION("""COMPUTED_VALUE"""),"| 5 L NS @ ")</f>
        <v xml:space="preserve">| 5 L NS @ </v>
      </c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</row>
    <row r="586" spans="1:102" ht="12.5" x14ac:dyDescent="0.25">
      <c r="A586" s="3">
        <f ca="1">IFERROR(__xludf.DUMMYFUNCTION("""COMPUTED_VALUE"""),1)</f>
        <v>1</v>
      </c>
      <c r="B586" s="3" t="str">
        <f ca="1">IFERROR(__xludf.DUMMYFUNCTION("""COMPUTED_VALUE"""),"ITD")</f>
        <v>ITD</v>
      </c>
      <c r="C586" s="32" t="str">
        <f ca="1">IFERROR(__xludf.DUMMYFUNCTION("""COMPUTED_VALUE"""),"23171371020")</f>
        <v>23171371020</v>
      </c>
      <c r="D586" s="4" t="str">
        <f ca="1">IFERROR(__xludf.DUMMYFUNCTION("""COMPUTED_VALUE"""),"DODIYA DIXIT NITESHBHAI")</f>
        <v>DODIYA DIXIT NITESHBHAI</v>
      </c>
      <c r="E586" s="3" t="str">
        <f ca="1">IFERROR(__xludf.DUMMYFUNCTION("""COMPUTED_VALUE"""),"SRC - Eve")</f>
        <v>SRC - Eve</v>
      </c>
      <c r="F586" s="3">
        <f ca="1">IFERROR(__xludf.DUMMYFUNCTION("""COMPUTED_VALUE"""),9510733133)</f>
        <v>9510733133</v>
      </c>
      <c r="G586" s="3">
        <f ca="1">IFERROR(__xludf.DUMMYFUNCTION("""COMPUTED_VALUE"""),9925779280)</f>
        <v>9925779280</v>
      </c>
      <c r="H586" s="33">
        <f ca="1">IFERROR(__xludf.DUMMYFUNCTION("""COMPUTED_VALUE"""),0.508928571428571)</f>
        <v>0.50892857142857095</v>
      </c>
      <c r="I586" s="25">
        <f ca="1">IFERROR(__xludf.DUMMYFUNCTION("""COMPUTED_VALUE"""),0.5)</f>
        <v>0.5</v>
      </c>
      <c r="J586" s="25">
        <f ca="1">IFERROR(__xludf.DUMMYFUNCTION("""COMPUTED_VALUE"""),0.285714285714285)</f>
        <v>0.28571428571428498</v>
      </c>
      <c r="K586" s="25">
        <f ca="1">IFERROR(__xludf.DUMMYFUNCTION("""COMPUTED_VALUE"""),0.527777777777777)</f>
        <v>0.52777777777777701</v>
      </c>
      <c r="L586" s="25">
        <f ca="1">IFERROR(__xludf.DUMMYFUNCTION("""COMPUTED_VALUE"""),0.444444444444444)</f>
        <v>0.44444444444444398</v>
      </c>
      <c r="M586" s="25">
        <f ca="1">IFERROR(__xludf.DUMMYFUNCTION("""COMPUTED_VALUE"""),0.6875)</f>
        <v>0.6875</v>
      </c>
      <c r="N586" s="25">
        <f ca="1">IFERROR(__xludf.DUMMYFUNCTION("""COMPUTED_VALUE"""),0.333333333333333)</f>
        <v>0.33333333333333298</v>
      </c>
      <c r="O586" s="25">
        <f ca="1">IFERROR(__xludf.DUMMYFUNCTION("""COMPUTED_VALUE"""),0.617647058823529)</f>
        <v>0.61764705882352899</v>
      </c>
      <c r="P586" s="25">
        <f ca="1">IFERROR(__xludf.DUMMYFUNCTION("""COMPUTED_VALUE"""),0.304347826086956)</f>
        <v>0.30434782608695599</v>
      </c>
      <c r="Q586" s="25">
        <f ca="1">IFERROR(__xludf.DUMMYFUNCTION("""COMPUTED_VALUE"""),0)</f>
        <v>0</v>
      </c>
      <c r="R586" s="25">
        <f ca="1">IFERROR(__xludf.DUMMYFUNCTION("""COMPUTED_VALUE"""),0.473684210526315)</f>
        <v>0.47368421052631499</v>
      </c>
      <c r="S586" s="25">
        <f ca="1">IFERROR(__xludf.DUMMYFUNCTION("""COMPUTED_VALUE"""),0)</f>
        <v>0</v>
      </c>
      <c r="T586" s="25">
        <f ca="1">IFERROR(__xludf.DUMMYFUNCTION("""COMPUTED_VALUE"""),0.416666666666666)</f>
        <v>0.41666666666666602</v>
      </c>
      <c r="U586" s="25">
        <f ca="1">IFERROR(__xludf.DUMMYFUNCTION("""COMPUTED_VALUE"""),0.571428571428571)</f>
        <v>0.57142857142857095</v>
      </c>
      <c r="V586" s="25">
        <f ca="1">IFERROR(__xludf.DUMMYFUNCTION("""COMPUTED_VALUE"""),0)</f>
        <v>0</v>
      </c>
      <c r="W586" s="4"/>
      <c r="X586" s="4" t="str">
        <f ca="1">IFERROR(__xludf.DUMMYFUNCTION("""COMPUTED_VALUE"""),"| 1 L PHP-CGM % | 6 L JAVA % | 7 P JAVA @ ")</f>
        <v xml:space="preserve">| 1 L PHP-CGM % | 6 L JAVA % | 7 P JAVA @ </v>
      </c>
      <c r="Y586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Z586" s="4" t="str">
        <f ca="1">IFERROR(__xludf.DUMMYFUNCTION("""COMPUTED_VALUE"""),"| 5 L CPT % | 6 L PHP-CGM % | 7 P Python % | 9 P NS % ")</f>
        <v xml:space="preserve">| 5 L CPT % | 6 L PHP-CGM % | 7 P Python % | 9 P NS % </v>
      </c>
      <c r="AA586" s="4" t="str">
        <f ca="1">IFERROR(__xludf.DUMMYFUNCTION("""COMPUTED_VALUE"""),"| 5 L NS % | 6 L CPT @ | 7 P PRO @ | 9 P PHP-CGM @ ")</f>
        <v xml:space="preserve">| 5 L NS % | 6 L CPT @ | 7 P PRO @ | 9 P PHP-CGM @ </v>
      </c>
      <c r="AB586" s="4" t="str">
        <f ca="1">IFERROR(__xludf.DUMMYFUNCTION("""COMPUTED_VALUE"""),"| 5 L NS @ | 6 L JAVA @ | 7 P Python @ | 9 P CPT @ ")</f>
        <v xml:space="preserve">| 5 L NS @ | 6 L JAVA @ | 7 P Python @ | 9 P CPT @ </v>
      </c>
      <c r="AC586" s="4" t="str">
        <f ca="1">IFERROR(__xludf.DUMMYFUNCTION("""COMPUTED_VALUE"""),"| 1 L PHP-CGM % | 6 L JAVA % | 7 P JAVA % ")</f>
        <v xml:space="preserve">| 1 L PHP-CGM % | 6 L JAVA % | 7 P JAVA % </v>
      </c>
      <c r="AD586" s="4" t="str">
        <f ca="1">IFERROR(__xludf.DUMMYFUNCTION("""COMPUTED_VALUE"""),"| 5 L JAVA % | 6 L NS % | 9 P JAVA % | 9 L CPT @ | 6 L PHP-CGM @ ")</f>
        <v xml:space="preserve">| 5 L JAVA % | 6 L NS % | 9 P JAVA % | 9 L CPT @ | 6 L PHP-CGM @ </v>
      </c>
      <c r="AE586" s="4" t="str">
        <f ca="1">IFERROR(__xludf.DUMMYFUNCTION("""COMPUTED_VALUE"""),"| 5 L CPT % | 6 L PHP-CGM % | 7 P Python % | 9 P NS @ ")</f>
        <v xml:space="preserve">| 5 L CPT % | 6 L PHP-CGM % | 7 P Python % | 9 P NS @ </v>
      </c>
      <c r="AF586" s="4" t="str">
        <f ca="1">IFERROR(__xludf.DUMMYFUNCTION("""COMPUTED_VALUE"""),"| 5 L NS @ | 6 L CPT @ | 7 P PRO @ | 9 P PHP-CGM @ ")</f>
        <v xml:space="preserve">| 5 L NS @ | 6 L CPT @ | 7 P PRO @ | 9 P PHP-CGM @ </v>
      </c>
      <c r="AG586" s="4" t="str">
        <f ca="1">IFERROR(__xludf.DUMMYFUNCTION("""COMPUTED_VALUE"""),"| 5 L NS @ | 6 L JAVA @ | 7 P Python % | 9 P CPT @ ")</f>
        <v xml:space="preserve">| 5 L NS @ | 6 L JAVA @ | 7 P Python % | 9 P CPT @ </v>
      </c>
      <c r="AH586" s="4" t="str">
        <f ca="1">IFERROR(__xludf.DUMMYFUNCTION("""COMPUTED_VALUE"""),"| 5 L NS % | 6 L CPT % | 7 P PRO % | 9 P PHP-CGM @ ")</f>
        <v xml:space="preserve">| 5 L NS % | 6 L CPT % | 7 P PRO % | 9 P PHP-CGM @ </v>
      </c>
      <c r="AI586" s="4" t="str">
        <f ca="1">IFERROR(__xludf.DUMMYFUNCTION("""COMPUTED_VALUE"""),"| 5 L NS % | 6 L JAVA % | 7 P Python @ | 9 P CPT @ ")</f>
        <v xml:space="preserve">| 5 L NS % | 6 L JAVA % | 7 P Python @ | 9 P CPT @ </v>
      </c>
      <c r="AJ586" s="4" t="str">
        <f ca="1">IFERROR(__xludf.DUMMYFUNCTION("""COMPUTED_VALUE"""),"| 1 L PHP-CGM % | 6 L JAVA % | 7 P JAVA @ ")</f>
        <v xml:space="preserve">| 1 L PHP-CGM % | 6 L JAVA % | 7 P JAVA @ </v>
      </c>
      <c r="AK586" s="4" t="str">
        <f ca="1">IFERROR(__xludf.DUMMYFUNCTION("""COMPUTED_VALUE"""),"| 5 L JAVA % | 6 L NS % | 7 P JAVA @ | 9 L CPT @ | 6 L PHP-CGM % ")</f>
        <v xml:space="preserve">| 5 L JAVA % | 6 L NS % | 7 P JAVA @ | 9 L CPT @ | 6 L PHP-CGM % </v>
      </c>
      <c r="AL586" s="4" t="str">
        <f ca="1">IFERROR(__xludf.DUMMYFUNCTION("""COMPUTED_VALUE"""),"| 5 L CPT % | 7 P Python @ | 6 L PHP-CGM % | 9 P NS @ ")</f>
        <v xml:space="preserve">| 5 L CPT % | 7 P Python @ | 6 L PHP-CGM % | 9 P NS @ </v>
      </c>
      <c r="AM586" s="4" t="str">
        <f ca="1">IFERROR(__xludf.DUMMYFUNCTION("""COMPUTED_VALUE"""),"| 5 L NS @ | 6 L CPT @ | 7 P PRO @ ")</f>
        <v xml:space="preserve">| 5 L NS @ | 6 L CPT @ | 7 P PRO @ </v>
      </c>
      <c r="AN586" s="4" t="str">
        <f ca="1">IFERROR(__xludf.DUMMYFUNCTION("""COMPUTED_VALUE"""),"| 5 L NS @ | 6 L JAVA @ ")</f>
        <v xml:space="preserve">| 5 L NS @ | 6 L JAVA @ </v>
      </c>
      <c r="AO586" s="4" t="str">
        <f ca="1">IFERROR(__xludf.DUMMYFUNCTION("""COMPUTED_VALUE"""),"| 1 L PHP-CGM % | 6 L JAVA % | 7 P JAVA @ | 9 L INE % ")</f>
        <v xml:space="preserve">| 1 L PHP-CGM % | 6 L JAVA % | 7 P JAVA @ | 9 L INE % </v>
      </c>
      <c r="AP586" s="4" t="str">
        <f ca="1">IFERROR(__xludf.DUMMYFUNCTION("""COMPUTED_VALUE"""),"| 5 L JAVA % | 6 L NS % | 9 P JAVA @ | 9 L CPT % | 6 L PHP-CGM % ")</f>
        <v xml:space="preserve">| 5 L JAVA % | 6 L NS % | 9 P JAVA @ | 9 L CPT % | 6 L PHP-CGM % </v>
      </c>
      <c r="AQ586" s="4" t="str">
        <f ca="1">IFERROR(__xludf.DUMMYFUNCTION("""COMPUTED_VALUE"""),"| 5 L CPT % | 6 L PHP-CGM % ")</f>
        <v xml:space="preserve">| 5 L CPT % | 6 L PHP-CGM % </v>
      </c>
      <c r="AR586" s="4" t="str">
        <f ca="1">IFERROR(__xludf.DUMMYFUNCTION("""COMPUTED_VALUE"""),"| 5 L NS % | 6 L CPT % | 7 P PRO @ | 9 P PHP-CGM @ ")</f>
        <v xml:space="preserve">| 5 L NS % | 6 L CPT % | 7 P PRO @ | 9 P PHP-CGM @ </v>
      </c>
      <c r="AS586" s="4" t="str">
        <f ca="1">IFERROR(__xludf.DUMMYFUNCTION("""COMPUTED_VALUE"""),"| 1 L PHP-CGM @ | 6 L JAVA @ | 7 P JAVA @ | 9 L INE @ ")</f>
        <v xml:space="preserve">| 1 L PHP-CGM @ | 6 L JAVA @ | 7 P JAVA @ | 9 L INE @ </v>
      </c>
      <c r="AT586" s="4" t="str">
        <f ca="1">IFERROR(__xludf.DUMMYFUNCTION("""COMPUTED_VALUE"""),"| 5 L JAVA % | 6 L NS % | 9 P JAVA @ | 9 L CPT @ | 6 L PHP-CGM @ ")</f>
        <v xml:space="preserve">| 5 L JAVA % | 6 L NS % | 9 P JAVA @ | 9 L CPT @ | 6 L PHP-CGM @ </v>
      </c>
      <c r="AU586" s="4" t="str">
        <f ca="1">IFERROR(__xludf.DUMMYFUNCTION("""COMPUTED_VALUE"""),"| 5 L CPT @ | 6 L PHP-CGM @ | 7 P Python @ | 9 P NS @ ")</f>
        <v xml:space="preserve">| 5 L CPT @ | 6 L PHP-CGM @ | 7 P Python @ | 9 P NS @ </v>
      </c>
      <c r="AV586" s="4" t="str">
        <f ca="1">IFERROR(__xludf.DUMMYFUNCTION("""COMPUTED_VALUE"""),"| 5 L NS % | 6 L CPT % | 7 P PRO % | 9 P PHP-CGM % ")</f>
        <v xml:space="preserve">| 5 L NS % | 6 L CPT % | 7 P PRO % | 9 P PHP-CGM % </v>
      </c>
      <c r="AW586" s="4" t="str">
        <f ca="1">IFERROR(__xludf.DUMMYFUNCTION("""COMPUTED_VALUE"""),"| 5 L NS % | 6 L JAVA @ | 7 P Python % ")</f>
        <v xml:space="preserve">| 5 L NS % | 6 L JAVA @ | 7 P Python % </v>
      </c>
      <c r="AX586" s="4" t="str">
        <f ca="1">IFERROR(__xludf.DUMMYFUNCTION("""COMPUTED_VALUE"""),"| 1 L PHP-CGM % | 6 L JAVA @ | 7 P JAVA % | 9 L INE % ")</f>
        <v xml:space="preserve">| 1 L PHP-CGM % | 6 L JAVA @ | 7 P JAVA % | 9 L INE % </v>
      </c>
      <c r="AY586" s="4" t="str">
        <f ca="1">IFERROR(__xludf.DUMMYFUNCTION("""COMPUTED_VALUE"""),"| 5 L JAVA % | 6 L NS % | 7 P JAVA @ | 9 L CPT % | 11 L PHP-CGM % ")</f>
        <v xml:space="preserve">| 5 L JAVA % | 6 L NS % | 7 P JAVA @ | 9 L CPT % | 11 L PHP-CGM % </v>
      </c>
      <c r="AZ586" s="4" t="str">
        <f ca="1">IFERROR(__xludf.DUMMYFUNCTION("""COMPUTED_VALUE"""),"| 5 L NS % | 6 L CPT % | 7 P PRO % ")</f>
        <v xml:space="preserve">| 5 L NS % | 6 L CPT % | 7 P PRO % </v>
      </c>
      <c r="BA586" s="4" t="str">
        <f ca="1">IFERROR(__xludf.DUMMYFUNCTION("""COMPUTED_VALUE"""),"| 5 L NS % | 6 L JAVA % | 7 P Python % | 9 P CPT % ")</f>
        <v xml:space="preserve">| 5 L NS % | 6 L JAVA % | 7 P Python % | 9 P CPT % </v>
      </c>
      <c r="BB586" s="4" t="str">
        <f ca="1">IFERROR(__xludf.DUMMYFUNCTION("""COMPUTED_VALUE"""),"| 1 L PHP-CGM % | 6 L JAVA % | 7 P JAVA % | 9 L INE % ")</f>
        <v xml:space="preserve">| 1 L PHP-CGM % | 6 L JAVA % | 7 P JAVA % | 9 L INE % </v>
      </c>
      <c r="BC586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6" s="4" t="str">
        <f ca="1">IFERROR(__xludf.DUMMYFUNCTION("""COMPUTED_VALUE"""),"| 5 L CPT % | 6 L PHP-CGM % | 7 P Python % | 9 P NS % ")</f>
        <v xml:space="preserve">| 5 L CPT % | 6 L PHP-CGM % | 7 P Python % | 9 P NS % </v>
      </c>
      <c r="BE586" s="4" t="str">
        <f ca="1">IFERROR(__xludf.DUMMYFUNCTION("""COMPUTED_VALUE"""),"| 5 L NS % | 6 L CPT % | 7 P PRO % | 9 P PHP-CGM % ")</f>
        <v xml:space="preserve">| 5 L NS % | 6 L CPT % | 7 P PRO % | 9 P PHP-CGM % </v>
      </c>
      <c r="BF586" s="4" t="str">
        <f ca="1">IFERROR(__xludf.DUMMYFUNCTION("""COMPUTED_VALUE"""),"| 5 L NS @ | 6 L JAVA % | 7 P Python % | 9 P CPT % ")</f>
        <v xml:space="preserve">| 5 L NS @ | 6 L JAVA % | 7 P Python % | 9 P CPT % </v>
      </c>
      <c r="BG586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6" s="4" t="str">
        <f ca="1">IFERROR(__xludf.DUMMYFUNCTION("""COMPUTED_VALUE"""),"| 5 L CPT % | 6 L PHP-CGM % | 7 P Python @ | 9 P NS % ")</f>
        <v xml:space="preserve">| 5 L CPT % | 6 L PHP-CGM % | 7 P Python @ | 9 P NS % </v>
      </c>
      <c r="BI586" s="4" t="str">
        <f ca="1">IFERROR(__xludf.DUMMYFUNCTION("""COMPUTED_VALUE"""),"| 5 L NS @ | 6 L CPT % | 7 P PRO @ | 9 P PHP-CGM @ ")</f>
        <v xml:space="preserve">| 5 L NS @ | 6 L CPT % | 7 P PRO @ | 9 P PHP-CGM @ </v>
      </c>
      <c r="BJ586" s="4" t="str">
        <f ca="1">IFERROR(__xludf.DUMMYFUNCTION("""COMPUTED_VALUE"""),"| 5 L NS % | 6 L JAVA % | 7 P Python @ ")</f>
        <v xml:space="preserve">| 5 L NS % | 6 L JAVA % | 7 P Python @ </v>
      </c>
      <c r="BK586" s="4" t="str">
        <f ca="1">IFERROR(__xludf.DUMMYFUNCTION("""COMPUTED_VALUE"""),"| 1 L PHP-CGM % | 6 L JAVA % | 7 P JAVA @ | 9 L INE @ ")</f>
        <v xml:space="preserve">| 1 L PHP-CGM % | 6 L JAVA % | 7 P JAVA @ | 9 L INE @ </v>
      </c>
      <c r="BL586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M586" s="4" t="str">
        <f ca="1">IFERROR(__xludf.DUMMYFUNCTION("""COMPUTED_VALUE"""),"| 5 L CPT @ | 6 L PHP-CGM @ | 7 P Python @ ")</f>
        <v xml:space="preserve">| 5 L CPT @ | 6 L PHP-CGM @ | 7 P Python @ </v>
      </c>
      <c r="BN586" s="4" t="str">
        <f ca="1">IFERROR(__xludf.DUMMYFUNCTION("""COMPUTED_VALUE"""),"| 5 L NS @ | 6 L CPT @ | 7 P PRO @ | 9 P PHP-CGM @ ")</f>
        <v xml:space="preserve">| 5 L NS @ | 6 L CPT @ | 7 P PRO @ | 9 P PHP-CGM @ </v>
      </c>
      <c r="BO586" s="4" t="str">
        <f ca="1">IFERROR(__xludf.DUMMYFUNCTION("""COMPUTED_VALUE"""),"| 5 L NS @ | 6 L JAVA @ ")</f>
        <v xml:space="preserve">| 5 L NS @ | 6 L JAVA @ </v>
      </c>
      <c r="BP586" s="4" t="str">
        <f ca="1">IFERROR(__xludf.DUMMYFUNCTION("""COMPUTED_VALUE"""),"| 1 L PHP-CGM @ | 6 L JAVA @ | 7 P JAVA @ | 9 L INE @ ")</f>
        <v xml:space="preserve">| 1 L PHP-CGM @ | 6 L JAVA @ | 7 P JAVA @ | 9 L INE @ </v>
      </c>
      <c r="BQ586" s="4" t="str">
        <f ca="1">IFERROR(__xludf.DUMMYFUNCTION("""COMPUTED_VALUE"""),"| 5 L CPT @ ")</f>
        <v xml:space="preserve">| 5 L CPT @ </v>
      </c>
      <c r="BR586" s="4"/>
      <c r="BS586" s="4" t="str">
        <f ca="1">IFERROR(__xludf.DUMMYFUNCTION("""COMPUTED_VALUE"""),"| 6 L CPT @ ")</f>
        <v xml:space="preserve">| 6 L CPT @ </v>
      </c>
      <c r="BT586" s="4" t="str">
        <f ca="1">IFERROR(__xludf.DUMMYFUNCTION("""COMPUTED_VALUE"""),"| 7 P JAVA @ ")</f>
        <v xml:space="preserve">| 7 P JAVA @ </v>
      </c>
      <c r="BU586" s="4" t="str">
        <f ca="1">IFERROR(__xludf.DUMMYFUNCTION("""COMPUTED_VALUE"""),"| 7 P JAVA @ ")</f>
        <v xml:space="preserve">| 7 P JAVA @ </v>
      </c>
      <c r="BV586" s="4" t="str">
        <f ca="1">IFERROR(__xludf.DUMMYFUNCTION("""COMPUTED_VALUE"""),"| 5 L PHP-CGM % | 6 L JAVA % | 7 P JAVA @ ")</f>
        <v xml:space="preserve">| 5 L PHP-CGM % | 6 L JAVA % | 7 P JAVA @ </v>
      </c>
      <c r="BW586" s="4"/>
      <c r="BX586" s="4" t="str">
        <f ca="1">IFERROR(__xludf.DUMMYFUNCTION("""COMPUTED_VALUE"""),"| 5 L CPT % | 7 P Python % | 9 P NS % | 6 L PHP-CGM % ")</f>
        <v xml:space="preserve">| 5 L CPT % | 7 P Python % | 9 P NS % | 6 L PHP-CGM % </v>
      </c>
      <c r="BY586" s="4" t="str">
        <f ca="1">IFERROR(__xludf.DUMMYFUNCTION("""COMPUTED_VALUE"""),"| 5 L NS @ | 6 L CPT @ | 7 P PRO % | 9 P PHP-CGM % ")</f>
        <v xml:space="preserve">| 5 L NS @ | 6 L CPT @ | 7 P PRO % | 9 P PHP-CGM % </v>
      </c>
      <c r="BZ586" s="4" t="str">
        <f ca="1">IFERROR(__xludf.DUMMYFUNCTION("""COMPUTED_VALUE"""),"| 5 L NS % | 6 L JAVA % | 7 P Python % | 9 P CPT @ ")</f>
        <v xml:space="preserve">| 5 L NS % | 6 L JAVA % | 7 P Python % | 9 P CPT @ </v>
      </c>
      <c r="CA586" s="4" t="str">
        <f ca="1">IFERROR(__xludf.DUMMYFUNCTION("""COMPUTED_VALUE"""),"| 1 L PHP-CGM % | 6 L JAVA % | 7 P JAVA @ ")</f>
        <v xml:space="preserve">| 1 L PHP-CGM % | 6 L JAVA % | 7 P JAVA @ </v>
      </c>
      <c r="CB586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CC586" s="4" t="str">
        <f ca="1">IFERROR(__xludf.DUMMYFUNCTION("""COMPUTED_VALUE"""),"| 5 L CPT @ | 6 L PHP-CGM @ | 7 P Python @ | 9 P NS @ ")</f>
        <v xml:space="preserve">| 5 L CPT @ | 6 L PHP-CGM @ | 7 P Python @ | 9 P NS @ </v>
      </c>
      <c r="CD586" s="4" t="str">
        <f ca="1">IFERROR(__xludf.DUMMYFUNCTION("""COMPUTED_VALUE"""),"| 5 L NS @ | 6 L CPT @ | 7 P PRO @ ")</f>
        <v xml:space="preserve">| 5 L NS @ | 6 L CPT @ | 7 P PRO @ </v>
      </c>
      <c r="CE586" s="4" t="str">
        <f ca="1">IFERROR(__xludf.DUMMYFUNCTION("""COMPUTED_VALUE"""),"| 5 L NS @ | 6 L JAVA @ | 7 P Python @ | 9 P CPT @ ")</f>
        <v xml:space="preserve">| 5 L NS @ | 6 L JAVA @ | 7 P Python @ | 9 P CPT @ </v>
      </c>
      <c r="CF586" s="4" t="str">
        <f ca="1">IFERROR(__xludf.DUMMYFUNCTION("""COMPUTED_VALUE"""),"| 5 L PHP-CGM @ | 6 L JAVA @ | 9 L INE % ")</f>
        <v xml:space="preserve">| 5 L PHP-CGM @ | 6 L JAVA @ | 9 L INE % </v>
      </c>
      <c r="CG586" s="4" t="str">
        <f ca="1">IFERROR(__xludf.DUMMYFUNCTION("""COMPUTED_VALUE"""),"| 5 L JAVA @ | 6 L NS @ ")</f>
        <v xml:space="preserve">| 5 L JAVA @ | 6 L NS @ </v>
      </c>
      <c r="CH586" s="4" t="str">
        <f ca="1">IFERROR(__xludf.DUMMYFUNCTION("""COMPUTED_VALUE"""),"| 5 L CPT @ | 7 P Python @ | 9 P NS @ ")</f>
        <v xml:space="preserve">| 5 L CPT @ | 7 P Python @ | 9 P NS @ </v>
      </c>
      <c r="CI586" s="4" t="str">
        <f ca="1">IFERROR(__xludf.DUMMYFUNCTION("""COMPUTED_VALUE"""),"| 5 L NS @ | 6 L CPT @ ")</f>
        <v xml:space="preserve">| 5 L NS @ | 6 L CPT @ </v>
      </c>
      <c r="CJ586" s="4" t="str">
        <f ca="1">IFERROR(__xludf.DUMMYFUNCTION("""COMPUTED_VALUE"""),"| 5 L NS @ ")</f>
        <v xml:space="preserve">| 5 L NS @ </v>
      </c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</row>
    <row r="587" spans="1:102" ht="12.5" x14ac:dyDescent="0.25">
      <c r="A587" s="3">
        <f ca="1">IFERROR(__xludf.DUMMYFUNCTION("""COMPUTED_VALUE"""),1)</f>
        <v>1</v>
      </c>
      <c r="B587" s="3" t="str">
        <f ca="1">IFERROR(__xludf.DUMMYFUNCTION("""COMPUTED_VALUE"""),"ITD")</f>
        <v>ITD</v>
      </c>
      <c r="C587" s="32" t="str">
        <f ca="1">IFERROR(__xludf.DUMMYFUNCTION("""COMPUTED_VALUE"""),"23171371023")</f>
        <v>23171371023</v>
      </c>
      <c r="D587" s="4" t="str">
        <f ca="1">IFERROR(__xludf.DUMMYFUNCTION("""COMPUTED_VALUE"""),"GOSWAMI RAJVEER UJJAVALBHARTHI")</f>
        <v>GOSWAMI RAJVEER UJJAVALBHARTHI</v>
      </c>
      <c r="E587" s="3" t="str">
        <f ca="1">IFERROR(__xludf.DUMMYFUNCTION("""COMPUTED_VALUE"""),"SRC - Eve")</f>
        <v>SRC - Eve</v>
      </c>
      <c r="F587" s="3">
        <f ca="1">IFERROR(__xludf.DUMMYFUNCTION("""COMPUTED_VALUE"""),9624485106)</f>
        <v>9624485106</v>
      </c>
      <c r="G587" s="3">
        <f ca="1">IFERROR(__xludf.DUMMYFUNCTION("""COMPUTED_VALUE"""),9924285106)</f>
        <v>9924285106</v>
      </c>
      <c r="H587" s="33">
        <f ca="1">IFERROR(__xludf.DUMMYFUNCTION("""COMPUTED_VALUE"""),0.625)</f>
        <v>0.625</v>
      </c>
      <c r="I587" s="25">
        <f ca="1">IFERROR(__xludf.DUMMYFUNCTION("""COMPUTED_VALUE"""),0.527777777777777)</f>
        <v>0.52777777777777701</v>
      </c>
      <c r="J587" s="25">
        <f ca="1">IFERROR(__xludf.DUMMYFUNCTION("""COMPUTED_VALUE"""),0.571428571428571)</f>
        <v>0.57142857142857095</v>
      </c>
      <c r="K587" s="25">
        <f ca="1">IFERROR(__xludf.DUMMYFUNCTION("""COMPUTED_VALUE"""),0.583333333333333)</f>
        <v>0.58333333333333304</v>
      </c>
      <c r="L587" s="25">
        <f ca="1">IFERROR(__xludf.DUMMYFUNCTION("""COMPUTED_VALUE"""),0.777777777777777)</f>
        <v>0.77777777777777701</v>
      </c>
      <c r="M587" s="25">
        <f ca="1">IFERROR(__xludf.DUMMYFUNCTION("""COMPUTED_VALUE"""),0.59375)</f>
        <v>0.59375</v>
      </c>
      <c r="N587" s="25">
        <f ca="1">IFERROR(__xludf.DUMMYFUNCTION("""COMPUTED_VALUE"""),0.666666666666666)</f>
        <v>0.66666666666666596</v>
      </c>
      <c r="O587" s="25">
        <f ca="1">IFERROR(__xludf.DUMMYFUNCTION("""COMPUTED_VALUE"""),0.705882352941176)</f>
        <v>0.70588235294117596</v>
      </c>
      <c r="P587" s="25">
        <f ca="1">IFERROR(__xludf.DUMMYFUNCTION("""COMPUTED_VALUE"""),0.652173913043478)</f>
        <v>0.65217391304347805</v>
      </c>
      <c r="Q587" s="25">
        <f ca="1">IFERROR(__xludf.DUMMYFUNCTION("""COMPUTED_VALUE"""),0)</f>
        <v>0</v>
      </c>
      <c r="R587" s="25">
        <f ca="1">IFERROR(__xludf.DUMMYFUNCTION("""COMPUTED_VALUE"""),0.684210526315789)</f>
        <v>0.68421052631578905</v>
      </c>
      <c r="S587" s="25">
        <f ca="1">IFERROR(__xludf.DUMMYFUNCTION("""COMPUTED_VALUE"""),0)</f>
        <v>0</v>
      </c>
      <c r="T587" s="25">
        <f ca="1">IFERROR(__xludf.DUMMYFUNCTION("""COMPUTED_VALUE"""),0.666666666666666)</f>
        <v>0.66666666666666596</v>
      </c>
      <c r="U587" s="25">
        <f ca="1">IFERROR(__xludf.DUMMYFUNCTION("""COMPUTED_VALUE"""),0.571428571428571)</f>
        <v>0.57142857142857095</v>
      </c>
      <c r="V587" s="25">
        <f ca="1">IFERROR(__xludf.DUMMYFUNCTION("""COMPUTED_VALUE"""),0)</f>
        <v>0</v>
      </c>
      <c r="W587" s="4"/>
      <c r="X587" s="4" t="str">
        <f ca="1">IFERROR(__xludf.DUMMYFUNCTION("""COMPUTED_VALUE"""),"| 1 L PHP-CGM @ | 6 L JAVA @ | 7 P JAVA @ ")</f>
        <v xml:space="preserve">| 1 L PHP-CGM @ | 6 L JAVA @ | 7 P JAVA @ </v>
      </c>
      <c r="Y587" s="4" t="str">
        <f ca="1">IFERROR(__xludf.DUMMYFUNCTION("""COMPUTED_VALUE"""),"| 5 L JAVA % | 6 L NS @ | 9 P JAVA @ | 9 L CPT @ | 6 L PHP-CGM @ ")</f>
        <v xml:space="preserve">| 5 L JAVA % | 6 L NS @ | 9 P JAVA @ | 9 L CPT @ | 6 L PHP-CGM @ </v>
      </c>
      <c r="Z587" s="4" t="str">
        <f ca="1">IFERROR(__xludf.DUMMYFUNCTION("""COMPUTED_VALUE"""),"| 5 L CPT @ | 6 L PHP-CGM @ | 7 P Python @ | 9 P NS @ ")</f>
        <v xml:space="preserve">| 5 L CPT @ | 6 L PHP-CGM @ | 7 P Python @ | 9 P NS @ </v>
      </c>
      <c r="AA587" s="4" t="str">
        <f ca="1">IFERROR(__xludf.DUMMYFUNCTION("""COMPUTED_VALUE"""),"| 5 L NS @ | 6 L CPT @ | 7 P PRO @ | 9 P PHP-CGM @ ")</f>
        <v xml:space="preserve">| 5 L NS @ | 6 L CPT @ | 7 P PRO @ | 9 P PHP-CGM @ </v>
      </c>
      <c r="AB587" s="4" t="str">
        <f ca="1">IFERROR(__xludf.DUMMYFUNCTION("""COMPUTED_VALUE"""),"| 5 L NS @ | 6 L JAVA @ | 7 P Python @ | 9 P CPT @ ")</f>
        <v xml:space="preserve">| 5 L NS @ | 6 L JAVA @ | 7 P Python @ | 9 P CPT @ </v>
      </c>
      <c r="AC587" s="4" t="str">
        <f ca="1">IFERROR(__xludf.DUMMYFUNCTION("""COMPUTED_VALUE"""),"| 1 L PHP-CGM % | 6 L JAVA % | 7 P JAVA % ")</f>
        <v xml:space="preserve">| 1 L PHP-CGM % | 6 L JAVA % | 7 P JAVA % </v>
      </c>
      <c r="AD587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87" s="4" t="str">
        <f ca="1">IFERROR(__xludf.DUMMYFUNCTION("""COMPUTED_VALUE"""),"| 5 L CPT @ | 6 L PHP-CGM @ | 7 P Python @ | 9 P NS @ ")</f>
        <v xml:space="preserve">| 5 L CPT @ | 6 L PHP-CGM @ | 7 P Python @ | 9 P NS @ </v>
      </c>
      <c r="AF587" s="4" t="str">
        <f ca="1">IFERROR(__xludf.DUMMYFUNCTION("""COMPUTED_VALUE"""),"| 5 L NS % | 6 L CPT % | 7 P PRO % | 9 P PHP-CGM % ")</f>
        <v xml:space="preserve">| 5 L NS % | 6 L CPT % | 7 P PRO % | 9 P PHP-CGM % </v>
      </c>
      <c r="AG587" s="4" t="str">
        <f ca="1">IFERROR(__xludf.DUMMYFUNCTION("""COMPUTED_VALUE"""),"| 5 L NS % | 6 L JAVA % | 7 P Python % | 9 P CPT % ")</f>
        <v xml:space="preserve">| 5 L NS % | 6 L JAVA % | 7 P Python % | 9 P CPT % </v>
      </c>
      <c r="AH587" s="4" t="str">
        <f ca="1">IFERROR(__xludf.DUMMYFUNCTION("""COMPUTED_VALUE"""),"| 5 L NS % | 6 L CPT % | 7 P PRO % | 9 P PHP-CGM % ")</f>
        <v xml:space="preserve">| 5 L NS % | 6 L CPT % | 7 P PRO % | 9 P PHP-CGM % </v>
      </c>
      <c r="AI587" s="4" t="str">
        <f ca="1">IFERROR(__xludf.DUMMYFUNCTION("""COMPUTED_VALUE"""),"| 5 L NS @ | 6 L JAVA % | 7 P Python % | 9 P CPT % ")</f>
        <v xml:space="preserve">| 5 L NS @ | 6 L JAVA % | 7 P Python % | 9 P CPT % </v>
      </c>
      <c r="AJ587" s="4" t="str">
        <f ca="1">IFERROR(__xludf.DUMMYFUNCTION("""COMPUTED_VALUE"""),"| 1 L PHP-CGM @ | 6 L JAVA @ | 7 P JAVA @ ")</f>
        <v xml:space="preserve">| 1 L PHP-CGM @ | 6 L JAVA @ | 7 P JAVA @ </v>
      </c>
      <c r="AK587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87" s="4" t="str">
        <f ca="1">IFERROR(__xludf.DUMMYFUNCTION("""COMPUTED_VALUE"""),"| 5 L CPT % | 7 P Python % | 6 L PHP-CGM % | 9 P NS % ")</f>
        <v xml:space="preserve">| 5 L CPT % | 7 P Python % | 6 L PHP-CGM % | 9 P NS % </v>
      </c>
      <c r="AM587" s="4" t="str">
        <f ca="1">IFERROR(__xludf.DUMMYFUNCTION("""COMPUTED_VALUE"""),"| 5 L NS @ | 6 L CPT @ | 7 P PRO @ ")</f>
        <v xml:space="preserve">| 5 L NS @ | 6 L CPT @ | 7 P PRO @ </v>
      </c>
      <c r="AN587" s="4" t="str">
        <f ca="1">IFERROR(__xludf.DUMMYFUNCTION("""COMPUTED_VALUE"""),"| 5 L NS @ | 6 L JAVA @ ")</f>
        <v xml:space="preserve">| 5 L NS @ | 6 L JAVA @ </v>
      </c>
      <c r="AO587" s="4" t="str">
        <f ca="1">IFERROR(__xludf.DUMMYFUNCTION("""COMPUTED_VALUE"""),"| 1 L PHP-CGM % | 6 L JAVA @ | 7 P JAVA % | 9 L INE @ ")</f>
        <v xml:space="preserve">| 1 L PHP-CGM % | 6 L JAVA @ | 7 P JAVA % | 9 L INE @ </v>
      </c>
      <c r="AP587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7" s="4" t="str">
        <f ca="1">IFERROR(__xludf.DUMMYFUNCTION("""COMPUTED_VALUE"""),"| 5 L CPT @ | 6 L PHP-CGM @ ")</f>
        <v xml:space="preserve">| 5 L CPT @ | 6 L PHP-CGM @ </v>
      </c>
      <c r="AR587" s="4" t="str">
        <f ca="1">IFERROR(__xludf.DUMMYFUNCTION("""COMPUTED_VALUE"""),"| 5 L NS @ | 6 L CPT @ | 7 P PRO @ | 9 P PHP-CGM @ ")</f>
        <v xml:space="preserve">| 5 L NS @ | 6 L CPT @ | 7 P PRO @ | 9 P PHP-CGM @ </v>
      </c>
      <c r="AS587" s="4" t="str">
        <f ca="1">IFERROR(__xludf.DUMMYFUNCTION("""COMPUTED_VALUE"""),"| 1 L PHP-CGM @ | 6 L JAVA % | 7 P JAVA % | 9 L INE % ")</f>
        <v xml:space="preserve">| 1 L PHP-CGM @ | 6 L JAVA % | 7 P JAVA % | 9 L INE % </v>
      </c>
      <c r="AT587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87" s="4" t="str">
        <f ca="1">IFERROR(__xludf.DUMMYFUNCTION("""COMPUTED_VALUE"""),"| 5 L CPT @ | 6 L PHP-CGM % | 7 P Python % | 9 P NS % ")</f>
        <v xml:space="preserve">| 5 L CPT @ | 6 L PHP-CGM % | 7 P Python % | 9 P NS % </v>
      </c>
      <c r="AV587" s="4" t="str">
        <f ca="1">IFERROR(__xludf.DUMMYFUNCTION("""COMPUTED_VALUE"""),"| 5 L NS % | 6 L CPT % | 7 P PRO % | 9 P PHP-CGM % ")</f>
        <v xml:space="preserve">| 5 L NS % | 6 L CPT % | 7 P PRO % | 9 P PHP-CGM % </v>
      </c>
      <c r="AW587" s="4" t="str">
        <f ca="1">IFERROR(__xludf.DUMMYFUNCTION("""COMPUTED_VALUE"""),"| 5 L NS % | 6 L JAVA % | 7 P Python % ")</f>
        <v xml:space="preserve">| 5 L NS % | 6 L JAVA % | 7 P Python % </v>
      </c>
      <c r="AX587" s="4" t="str">
        <f ca="1">IFERROR(__xludf.DUMMYFUNCTION("""COMPUTED_VALUE"""),"| 1 L PHP-CGM % | 6 L JAVA % | 7 P JAVA % | 9 L INE % ")</f>
        <v xml:space="preserve">| 1 L PHP-CGM % | 6 L JAVA % | 7 P JAVA % | 9 L INE % </v>
      </c>
      <c r="AY587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87" s="4" t="str">
        <f ca="1">IFERROR(__xludf.DUMMYFUNCTION("""COMPUTED_VALUE"""),"| 5 L NS % | 6 L CPT % | 7 P PRO % ")</f>
        <v xml:space="preserve">| 5 L NS % | 6 L CPT % | 7 P PRO % </v>
      </c>
      <c r="BA587" s="4" t="str">
        <f ca="1">IFERROR(__xludf.DUMMYFUNCTION("""COMPUTED_VALUE"""),"| 5 L NS % | 6 L JAVA % | 7 P Python @ | 9 P CPT @ ")</f>
        <v xml:space="preserve">| 5 L NS % | 6 L JAVA % | 7 P Python @ | 9 P CPT @ </v>
      </c>
      <c r="BB587" s="4" t="str">
        <f ca="1">IFERROR(__xludf.DUMMYFUNCTION("""COMPUTED_VALUE"""),"| 1 L PHP-CGM % | 6 L JAVA % | 7 P JAVA % | 9 L INE % ")</f>
        <v xml:space="preserve">| 1 L PHP-CGM % | 6 L JAVA % | 7 P JAVA % | 9 L INE % </v>
      </c>
      <c r="BC587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7" s="4" t="str">
        <f ca="1">IFERROR(__xludf.DUMMYFUNCTION("""COMPUTED_VALUE"""),"| 5 L CPT % | 6 L PHP-CGM % | 7 P Python % | 9 P NS % ")</f>
        <v xml:space="preserve">| 5 L CPT % | 6 L PHP-CGM % | 7 P Python % | 9 P NS % </v>
      </c>
      <c r="BE587" s="4" t="str">
        <f ca="1">IFERROR(__xludf.DUMMYFUNCTION("""COMPUTED_VALUE"""),"| 5 L NS % | 6 L CPT % | 7 P PRO % | 9 P PHP-CGM % ")</f>
        <v xml:space="preserve">| 5 L NS % | 6 L CPT % | 7 P PRO % | 9 P PHP-CGM % </v>
      </c>
      <c r="BF587" s="4" t="str">
        <f ca="1">IFERROR(__xludf.DUMMYFUNCTION("""COMPUTED_VALUE"""),"| 5 L NS @ | 6 L JAVA % | 7 P Python % | 9 P CPT % ")</f>
        <v xml:space="preserve">| 5 L NS @ | 6 L JAVA % | 7 P Python % | 9 P CPT % </v>
      </c>
      <c r="BG587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7" s="4" t="str">
        <f ca="1">IFERROR(__xludf.DUMMYFUNCTION("""COMPUTED_VALUE"""),"| 5 L CPT % | 6 L PHP-CGM % | 7 P Python % | 9 P NS % ")</f>
        <v xml:space="preserve">| 5 L CPT % | 6 L PHP-CGM % | 7 P Python % | 9 P NS % </v>
      </c>
      <c r="BI587" s="4" t="str">
        <f ca="1">IFERROR(__xludf.DUMMYFUNCTION("""COMPUTED_VALUE"""),"| 5 L NS % | 6 L CPT % | 7 P PRO % | 9 P PHP-CGM % ")</f>
        <v xml:space="preserve">| 5 L NS % | 6 L CPT % | 7 P PRO % | 9 P PHP-CGM % </v>
      </c>
      <c r="BJ587" s="4" t="str">
        <f ca="1">IFERROR(__xludf.DUMMYFUNCTION("""COMPUTED_VALUE"""),"| 5 L NS % | 6 L JAVA % | 7 P Python @ ")</f>
        <v xml:space="preserve">| 5 L NS % | 6 L JAVA % | 7 P Python @ </v>
      </c>
      <c r="BK587" s="4" t="str">
        <f ca="1">IFERROR(__xludf.DUMMYFUNCTION("""COMPUTED_VALUE"""),"| 1 L PHP-CGM @ | 6 L JAVA @ | 7 P JAVA @ | 9 L INE @ ")</f>
        <v xml:space="preserve">| 1 L PHP-CGM @ | 6 L JAVA @ | 7 P JAVA @ | 9 L INE @ </v>
      </c>
      <c r="BL587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M587" s="4" t="str">
        <f ca="1">IFERROR(__xludf.DUMMYFUNCTION("""COMPUTED_VALUE"""),"| 5 L CPT @ | 6 L PHP-CGM @ | 7 P Python @ ")</f>
        <v xml:space="preserve">| 5 L CPT @ | 6 L PHP-CGM @ | 7 P Python @ </v>
      </c>
      <c r="BN587" s="4" t="str">
        <f ca="1">IFERROR(__xludf.DUMMYFUNCTION("""COMPUTED_VALUE"""),"| 5 L NS @ | 6 L CPT @ | 7 P PRO @ | 9 P PHP-CGM @ ")</f>
        <v xml:space="preserve">| 5 L NS @ | 6 L CPT @ | 7 P PRO @ | 9 P PHP-CGM @ </v>
      </c>
      <c r="BO587" s="4" t="str">
        <f ca="1">IFERROR(__xludf.DUMMYFUNCTION("""COMPUTED_VALUE"""),"| 5 L NS @ | 6 L JAVA @ ")</f>
        <v xml:space="preserve">| 5 L NS @ | 6 L JAVA @ </v>
      </c>
      <c r="BP587" s="4" t="str">
        <f ca="1">IFERROR(__xludf.DUMMYFUNCTION("""COMPUTED_VALUE"""),"| 1 L PHP-CGM @ | 6 L JAVA @ | 7 P JAVA @ | 9 L INE @ ")</f>
        <v xml:space="preserve">| 1 L PHP-CGM @ | 6 L JAVA @ | 7 P JAVA @ | 9 L INE @ </v>
      </c>
      <c r="BQ587" s="4" t="str">
        <f ca="1">IFERROR(__xludf.DUMMYFUNCTION("""COMPUTED_VALUE"""),"| 5 L CPT @ ")</f>
        <v xml:space="preserve">| 5 L CPT @ </v>
      </c>
      <c r="BR587" s="4"/>
      <c r="BS587" s="4" t="str">
        <f ca="1">IFERROR(__xludf.DUMMYFUNCTION("""COMPUTED_VALUE"""),"| 6 L CPT @ ")</f>
        <v xml:space="preserve">| 6 L CPT @ </v>
      </c>
      <c r="BT587" s="4" t="str">
        <f ca="1">IFERROR(__xludf.DUMMYFUNCTION("""COMPUTED_VALUE"""),"| 7 P JAVA % ")</f>
        <v xml:space="preserve">| 7 P JAVA % </v>
      </c>
      <c r="BU587" s="4" t="str">
        <f ca="1">IFERROR(__xludf.DUMMYFUNCTION("""COMPUTED_VALUE"""),"| 7 P JAVA @ ")</f>
        <v xml:space="preserve">| 7 P JAVA @ </v>
      </c>
      <c r="BV587" s="4" t="str">
        <f ca="1">IFERROR(__xludf.DUMMYFUNCTION("""COMPUTED_VALUE"""),"| 5 L PHP-CGM @ | 6 L JAVA @ | 7 P JAVA @ ")</f>
        <v xml:space="preserve">| 5 L PHP-CGM @ | 6 L JAVA @ | 7 P JAVA @ </v>
      </c>
      <c r="BW587" s="4"/>
      <c r="BX587" s="4" t="str">
        <f ca="1">IFERROR(__xludf.DUMMYFUNCTION("""COMPUTED_VALUE"""),"| 5 L CPT % | 7 P Python % | 9 P NS % | 6 L PHP-CGM % ")</f>
        <v xml:space="preserve">| 5 L CPT % | 7 P Python % | 9 P NS % | 6 L PHP-CGM % </v>
      </c>
      <c r="BY587" s="4" t="str">
        <f ca="1">IFERROR(__xludf.DUMMYFUNCTION("""COMPUTED_VALUE"""),"| 5 L NS % | 6 L CPT % | 7 P PRO % | 9 P PHP-CGM % ")</f>
        <v xml:space="preserve">| 5 L NS % | 6 L CPT % | 7 P PRO % | 9 P PHP-CGM % </v>
      </c>
      <c r="BZ587" s="4" t="str">
        <f ca="1">IFERROR(__xludf.DUMMYFUNCTION("""COMPUTED_VALUE"""),"| 5 L NS % | 6 L JAVA % | 7 P Python % | 9 P CPT @ ")</f>
        <v xml:space="preserve">| 5 L NS % | 6 L JAVA % | 7 P Python % | 9 P CPT @ </v>
      </c>
      <c r="CA587" s="4" t="str">
        <f ca="1">IFERROR(__xludf.DUMMYFUNCTION("""COMPUTED_VALUE"""),"| 1 L PHP-CGM % | 6 L JAVA % | 7 P JAVA % ")</f>
        <v xml:space="preserve">| 1 L PHP-CGM % | 6 L JAVA % | 7 P JAVA % </v>
      </c>
      <c r="CB587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CC587" s="4" t="str">
        <f ca="1">IFERROR(__xludf.DUMMYFUNCTION("""COMPUTED_VALUE"""),"| 5 L CPT % | 6 L PHP-CGM % | 7 P Python % | 9 P NS % ")</f>
        <v xml:space="preserve">| 5 L CPT % | 6 L PHP-CGM % | 7 P Python % | 9 P NS % </v>
      </c>
      <c r="CD587" s="4" t="str">
        <f ca="1">IFERROR(__xludf.DUMMYFUNCTION("""COMPUTED_VALUE"""),"| 5 L NS @ | 6 L CPT @ | 7 P PRO % ")</f>
        <v xml:space="preserve">| 5 L NS @ | 6 L CPT @ | 7 P PRO % </v>
      </c>
      <c r="CE587" s="4" t="str">
        <f ca="1">IFERROR(__xludf.DUMMYFUNCTION("""COMPUTED_VALUE"""),"| 5 L NS % | 6 L JAVA % | 7 P Python % | 9 P CPT % ")</f>
        <v xml:space="preserve">| 5 L NS % | 6 L JAVA % | 7 P Python % | 9 P CPT % </v>
      </c>
      <c r="CF587" s="4" t="str">
        <f ca="1">IFERROR(__xludf.DUMMYFUNCTION("""COMPUTED_VALUE"""),"| 5 L PHP-CGM % | 6 L JAVA % | 9 L INE % ")</f>
        <v xml:space="preserve">| 5 L PHP-CGM % | 6 L JAVA % | 9 L INE % </v>
      </c>
      <c r="CG587" s="4" t="str">
        <f ca="1">IFERROR(__xludf.DUMMYFUNCTION("""COMPUTED_VALUE"""),"| 5 L JAVA % | 6 L NS @ ")</f>
        <v xml:space="preserve">| 5 L JAVA % | 6 L NS @ </v>
      </c>
      <c r="CH587" s="4" t="str">
        <f ca="1">IFERROR(__xludf.DUMMYFUNCTION("""COMPUTED_VALUE"""),"| 5 L CPT @ | 7 P Python % | 9 P NS % ")</f>
        <v xml:space="preserve">| 5 L CPT @ | 7 P Python % | 9 P NS % </v>
      </c>
      <c r="CI587" s="4" t="str">
        <f ca="1">IFERROR(__xludf.DUMMYFUNCTION("""COMPUTED_VALUE"""),"| 5 L NS @ | 6 L CPT @ ")</f>
        <v xml:space="preserve">| 5 L NS @ | 6 L CPT @ </v>
      </c>
      <c r="CJ587" s="4" t="str">
        <f ca="1">IFERROR(__xludf.DUMMYFUNCTION("""COMPUTED_VALUE"""),"| 5 L NS @ ")</f>
        <v xml:space="preserve">| 5 L NS @ </v>
      </c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</row>
    <row r="588" spans="1:102" ht="12.5" x14ac:dyDescent="0.25">
      <c r="A588" s="3">
        <f ca="1">IFERROR(__xludf.DUMMYFUNCTION("""COMPUTED_VALUE"""),1)</f>
        <v>1</v>
      </c>
      <c r="B588" s="3" t="str">
        <f ca="1">IFERROR(__xludf.DUMMYFUNCTION("""COMPUTED_VALUE"""),"ITD")</f>
        <v>ITD</v>
      </c>
      <c r="C588" s="32" t="str">
        <f ca="1">IFERROR(__xludf.DUMMYFUNCTION("""COMPUTED_VALUE"""),"23171371030")</f>
        <v>23171371030</v>
      </c>
      <c r="D588" s="4" t="str">
        <f ca="1">IFERROR(__xludf.DUMMYFUNCTION("""COMPUTED_VALUE"""),"KADIYA KRISHKUMAR JAGDISHBHAI")</f>
        <v>KADIYA KRISHKUMAR JAGDISHBHAI</v>
      </c>
      <c r="E588" s="3" t="str">
        <f ca="1">IFERROR(__xludf.DUMMYFUNCTION("""COMPUTED_VALUE"""),"SRC - Eve")</f>
        <v>SRC - Eve</v>
      </c>
      <c r="F588" s="3">
        <f ca="1">IFERROR(__xludf.DUMMYFUNCTION("""COMPUTED_VALUE"""),7984314646)</f>
        <v>7984314646</v>
      </c>
      <c r="G588" s="3">
        <f ca="1">IFERROR(__xludf.DUMMYFUNCTION("""COMPUTED_VALUE"""),9228595974)</f>
        <v>9228595974</v>
      </c>
      <c r="H588" s="33">
        <f ca="1">IFERROR(__xludf.DUMMYFUNCTION("""COMPUTED_VALUE"""),0.772321428571428)</f>
        <v>0.77232142857142805</v>
      </c>
      <c r="I588" s="25">
        <f ca="1">IFERROR(__xludf.DUMMYFUNCTION("""COMPUTED_VALUE"""),0.805555555555555)</f>
        <v>0.80555555555555503</v>
      </c>
      <c r="J588" s="25">
        <f ca="1">IFERROR(__xludf.DUMMYFUNCTION("""COMPUTED_VALUE"""),0.714285714285714)</f>
        <v>0.71428571428571397</v>
      </c>
      <c r="K588" s="25">
        <f ca="1">IFERROR(__xludf.DUMMYFUNCTION("""COMPUTED_VALUE"""),0.694444444444444)</f>
        <v>0.69444444444444398</v>
      </c>
      <c r="L588" s="25">
        <f ca="1">IFERROR(__xludf.DUMMYFUNCTION("""COMPUTED_VALUE"""),0.888888888888888)</f>
        <v>0.88888888888888795</v>
      </c>
      <c r="M588" s="25">
        <f ca="1">IFERROR(__xludf.DUMMYFUNCTION("""COMPUTED_VALUE"""),0.8125)</f>
        <v>0.8125</v>
      </c>
      <c r="N588" s="25">
        <f ca="1">IFERROR(__xludf.DUMMYFUNCTION("""COMPUTED_VALUE"""),1)</f>
        <v>1</v>
      </c>
      <c r="O588" s="25">
        <f ca="1">IFERROR(__xludf.DUMMYFUNCTION("""COMPUTED_VALUE"""),0.676470588235294)</f>
        <v>0.67647058823529405</v>
      </c>
      <c r="P588" s="25">
        <f ca="1">IFERROR(__xludf.DUMMYFUNCTION("""COMPUTED_VALUE"""),0.782608695652174)</f>
        <v>0.78260869565217395</v>
      </c>
      <c r="Q588" s="25">
        <f ca="1">IFERROR(__xludf.DUMMYFUNCTION("""COMPUTED_VALUE"""),0)</f>
        <v>0</v>
      </c>
      <c r="R588" s="25">
        <f ca="1">IFERROR(__xludf.DUMMYFUNCTION("""COMPUTED_VALUE"""),0.736842105263157)</f>
        <v>0.73684210526315697</v>
      </c>
      <c r="S588" s="25">
        <f ca="1">IFERROR(__xludf.DUMMYFUNCTION("""COMPUTED_VALUE"""),0)</f>
        <v>0</v>
      </c>
      <c r="T588" s="25">
        <f ca="1">IFERROR(__xludf.DUMMYFUNCTION("""COMPUTED_VALUE"""),0.916666666666666)</f>
        <v>0.91666666666666596</v>
      </c>
      <c r="U588" s="25">
        <f ca="1">IFERROR(__xludf.DUMMYFUNCTION("""COMPUTED_VALUE"""),0.714285714285714)</f>
        <v>0.71428571428571397</v>
      </c>
      <c r="V588" s="25">
        <f ca="1">IFERROR(__xludf.DUMMYFUNCTION("""COMPUTED_VALUE"""),0)</f>
        <v>0</v>
      </c>
      <c r="W588" s="4"/>
      <c r="X588" s="4" t="str">
        <f ca="1">IFERROR(__xludf.DUMMYFUNCTION("""COMPUTED_VALUE"""),"| 1 L PHP-CGM @ | 6 L JAVA @ | 7 P JAVA @ ")</f>
        <v xml:space="preserve">| 1 L PHP-CGM @ | 6 L JAVA @ | 7 P JAVA @ </v>
      </c>
      <c r="Y588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Z588" s="4" t="str">
        <f ca="1">IFERROR(__xludf.DUMMYFUNCTION("""COMPUTED_VALUE"""),"| 5 L CPT % | 6 L PHP-CGM % | 7 P Python % | 9 P NS % ")</f>
        <v xml:space="preserve">| 5 L CPT % | 6 L PHP-CGM % | 7 P Python % | 9 P NS % </v>
      </c>
      <c r="AA588" s="4" t="str">
        <f ca="1">IFERROR(__xludf.DUMMYFUNCTION("""COMPUTED_VALUE"""),"| 5 L NS % | 6 L CPT % | 7 P PRO % | 9 P PHP-CGM % ")</f>
        <v xml:space="preserve">| 5 L NS % | 6 L CPT % | 7 P PRO % | 9 P PHP-CGM % </v>
      </c>
      <c r="AB588" s="4" t="str">
        <f ca="1">IFERROR(__xludf.DUMMYFUNCTION("""COMPUTED_VALUE"""),"| 5 L NS % | 6 L JAVA % | 7 P Python % | 9 P CPT % ")</f>
        <v xml:space="preserve">| 5 L NS % | 6 L JAVA % | 7 P Python % | 9 P CPT % </v>
      </c>
      <c r="AC588" s="4" t="str">
        <f ca="1">IFERROR(__xludf.DUMMYFUNCTION("""COMPUTED_VALUE"""),"| 1 L PHP-CGM % | 6 L JAVA % | 7 P JAVA % ")</f>
        <v xml:space="preserve">| 1 L PHP-CGM % | 6 L JAVA % | 7 P JAVA % </v>
      </c>
      <c r="AD588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88" s="4" t="str">
        <f ca="1">IFERROR(__xludf.DUMMYFUNCTION("""COMPUTED_VALUE"""),"| 5 L CPT % | 6 L PHP-CGM % | 7 P Python % | 9 P NS % ")</f>
        <v xml:space="preserve">| 5 L CPT % | 6 L PHP-CGM % | 7 P Python % | 9 P NS % </v>
      </c>
      <c r="AF588" s="4" t="str">
        <f ca="1">IFERROR(__xludf.DUMMYFUNCTION("""COMPUTED_VALUE"""),"| 5 L NS % | 6 L CPT % | 7 P PRO @ | 9 P PHP-CGM % ")</f>
        <v xml:space="preserve">| 5 L NS % | 6 L CPT % | 7 P PRO @ | 9 P PHP-CGM % </v>
      </c>
      <c r="AG588" s="4" t="str">
        <f ca="1">IFERROR(__xludf.DUMMYFUNCTION("""COMPUTED_VALUE"""),"| 5 L NS % | 6 L JAVA % | 7 P Python % | 9 P CPT % ")</f>
        <v xml:space="preserve">| 5 L NS % | 6 L JAVA % | 7 P Python % | 9 P CPT % </v>
      </c>
      <c r="AH588" s="4" t="str">
        <f ca="1">IFERROR(__xludf.DUMMYFUNCTION("""COMPUTED_VALUE"""),"| 5 L NS % | 6 L CPT % | 7 P PRO % | 9 P PHP-CGM % ")</f>
        <v xml:space="preserve">| 5 L NS % | 6 L CPT % | 7 P PRO % | 9 P PHP-CGM % </v>
      </c>
      <c r="AI588" s="4" t="str">
        <f ca="1">IFERROR(__xludf.DUMMYFUNCTION("""COMPUTED_VALUE"""),"| 5 L NS % | 6 L JAVA % | 7 P Python % | 9 P CPT % ")</f>
        <v xml:space="preserve">| 5 L NS % | 6 L JAVA % | 7 P Python % | 9 P CPT % </v>
      </c>
      <c r="AJ588" s="4" t="str">
        <f ca="1">IFERROR(__xludf.DUMMYFUNCTION("""COMPUTED_VALUE"""),"| 1 L PHP-CGM % | 6 L JAVA % | 7 P JAVA % ")</f>
        <v xml:space="preserve">| 1 L PHP-CGM % | 6 L JAVA % | 7 P JAVA % </v>
      </c>
      <c r="AK588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88" s="4" t="str">
        <f ca="1">IFERROR(__xludf.DUMMYFUNCTION("""COMPUTED_VALUE"""),"| 5 L CPT % | 7 P Python % | 6 L PHP-CGM % | 9 P NS % ")</f>
        <v xml:space="preserve">| 5 L CPT % | 7 P Python % | 6 L PHP-CGM % | 9 P NS % </v>
      </c>
      <c r="AM588" s="4" t="str">
        <f ca="1">IFERROR(__xludf.DUMMYFUNCTION("""COMPUTED_VALUE"""),"| 5 L NS % | 6 L CPT % | 7 P PRO % ")</f>
        <v xml:space="preserve">| 5 L NS % | 6 L CPT % | 7 P PRO % </v>
      </c>
      <c r="AN588" s="4" t="str">
        <f ca="1">IFERROR(__xludf.DUMMYFUNCTION("""COMPUTED_VALUE"""),"| 5 L NS @ | 6 L JAVA @ ")</f>
        <v xml:space="preserve">| 5 L NS @ | 6 L JAVA @ </v>
      </c>
      <c r="AO588" s="4" t="str">
        <f ca="1">IFERROR(__xludf.DUMMYFUNCTION("""COMPUTED_VALUE"""),"| 1 L PHP-CGM @ | 6 L JAVA @ | 7 P JAVA @ | 9 L INE @ ")</f>
        <v xml:space="preserve">| 1 L PHP-CGM @ | 6 L JAVA @ | 7 P JAVA @ | 9 L INE @ </v>
      </c>
      <c r="AP588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8" s="4" t="str">
        <f ca="1">IFERROR(__xludf.DUMMYFUNCTION("""COMPUTED_VALUE"""),"| 5 L CPT @ | 6 L PHP-CGM @ ")</f>
        <v xml:space="preserve">| 5 L CPT @ | 6 L PHP-CGM @ </v>
      </c>
      <c r="AR588" s="4" t="str">
        <f ca="1">IFERROR(__xludf.DUMMYFUNCTION("""COMPUTED_VALUE"""),"| 5 L NS % | 6 L CPT % | 7 P PRO % | 9 P PHP-CGM % ")</f>
        <v xml:space="preserve">| 5 L NS % | 6 L CPT % | 7 P PRO % | 9 P PHP-CGM % </v>
      </c>
      <c r="AS588" s="4" t="str">
        <f ca="1">IFERROR(__xludf.DUMMYFUNCTION("""COMPUTED_VALUE"""),"| 1 L PHP-CGM % | 6 L JAVA % | 7 P JAVA % | 9 L INE % ")</f>
        <v xml:space="preserve">| 1 L PHP-CGM % | 6 L JAVA % | 7 P JAVA % | 9 L INE % </v>
      </c>
      <c r="AT588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88" s="4" t="str">
        <f ca="1">IFERROR(__xludf.DUMMYFUNCTION("""COMPUTED_VALUE"""),"| 5 L CPT % | 6 L PHP-CGM % | 7 P Python % | 9 P NS % ")</f>
        <v xml:space="preserve">| 5 L CPT % | 6 L PHP-CGM % | 7 P Python % | 9 P NS % </v>
      </c>
      <c r="AV588" s="4" t="str">
        <f ca="1">IFERROR(__xludf.DUMMYFUNCTION("""COMPUTED_VALUE"""),"| 5 L NS % | 6 L CPT % | 7 P PRO % | 9 P PHP-CGM % ")</f>
        <v xml:space="preserve">| 5 L NS % | 6 L CPT % | 7 P PRO % | 9 P PHP-CGM % </v>
      </c>
      <c r="AW588" s="4" t="str">
        <f ca="1">IFERROR(__xludf.DUMMYFUNCTION("""COMPUTED_VALUE"""),"| 5 L NS @ | 6 L JAVA @ | 7 P Python @ ")</f>
        <v xml:space="preserve">| 5 L NS @ | 6 L JAVA @ | 7 P Python @ </v>
      </c>
      <c r="AX588" s="4" t="str">
        <f ca="1">IFERROR(__xludf.DUMMYFUNCTION("""COMPUTED_VALUE"""),"| 1 L PHP-CGM % | 6 L JAVA % | 7 P JAVA % | 9 L INE % ")</f>
        <v xml:space="preserve">| 1 L PHP-CGM % | 6 L JAVA % | 7 P JAVA % | 9 L INE % </v>
      </c>
      <c r="AY588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88" s="4" t="str">
        <f ca="1">IFERROR(__xludf.DUMMYFUNCTION("""COMPUTED_VALUE"""),"| 5 L NS % | 6 L CPT % | 7 P PRO % ")</f>
        <v xml:space="preserve">| 5 L NS % | 6 L CPT % | 7 P PRO % </v>
      </c>
      <c r="BA588" s="4" t="str">
        <f ca="1">IFERROR(__xludf.DUMMYFUNCTION("""COMPUTED_VALUE"""),"| 5 L NS @ | 6 L JAVA @ | 7 P Python @ | 9 P CPT @ ")</f>
        <v xml:space="preserve">| 5 L NS @ | 6 L JAVA @ | 7 P Python @ | 9 P CPT @ </v>
      </c>
      <c r="BB588" s="4" t="str">
        <f ca="1">IFERROR(__xludf.DUMMYFUNCTION("""COMPUTED_VALUE"""),"| 1 L PHP-CGM % | 6 L JAVA % | 7 P JAVA % | 9 L INE % ")</f>
        <v xml:space="preserve">| 1 L PHP-CGM % | 6 L JAVA % | 7 P JAVA % | 9 L INE % </v>
      </c>
      <c r="BC588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8" s="4" t="str">
        <f ca="1">IFERROR(__xludf.DUMMYFUNCTION("""COMPUTED_VALUE"""),"| 5 L CPT % | 6 L PHP-CGM % | 7 P Python % | 9 P NS % ")</f>
        <v xml:space="preserve">| 5 L CPT % | 6 L PHP-CGM % | 7 P Python % | 9 P NS % </v>
      </c>
      <c r="BE588" s="4" t="str">
        <f ca="1">IFERROR(__xludf.DUMMYFUNCTION("""COMPUTED_VALUE"""),"| 5 L NS % | 6 L CPT @ | 7 P PRO % | 9 P PHP-CGM % ")</f>
        <v xml:space="preserve">| 5 L NS % | 6 L CPT @ | 7 P PRO % | 9 P PHP-CGM % </v>
      </c>
      <c r="BF588" s="4" t="str">
        <f ca="1">IFERROR(__xludf.DUMMYFUNCTION("""COMPUTED_VALUE"""),"| 5 L NS @ | 6 L JAVA % | 7 P Python % | 9 P CPT % ")</f>
        <v xml:space="preserve">| 5 L NS @ | 6 L JAVA % | 7 P Python % | 9 P CPT % </v>
      </c>
      <c r="BG588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8" s="4" t="str">
        <f ca="1">IFERROR(__xludf.DUMMYFUNCTION("""COMPUTED_VALUE"""),"| 5 L CPT % | 6 L PHP-CGM % | 7 P Python % | 9 P NS % ")</f>
        <v xml:space="preserve">| 5 L CPT % | 6 L PHP-CGM % | 7 P Python % | 9 P NS % </v>
      </c>
      <c r="BI588" s="4" t="str">
        <f ca="1">IFERROR(__xludf.DUMMYFUNCTION("""COMPUTED_VALUE"""),"| 5 L NS % | 6 L CPT % | 7 P PRO % | 9 P PHP-CGM % ")</f>
        <v xml:space="preserve">| 5 L NS % | 6 L CPT % | 7 P PRO % | 9 P PHP-CGM % </v>
      </c>
      <c r="BJ588" s="4" t="str">
        <f ca="1">IFERROR(__xludf.DUMMYFUNCTION("""COMPUTED_VALUE"""),"| 5 L NS @ | 6 L JAVA @ | 7 P Python @ ")</f>
        <v xml:space="preserve">| 5 L NS @ | 6 L JAVA @ | 7 P Python @ </v>
      </c>
      <c r="BK588" s="4" t="str">
        <f ca="1">IFERROR(__xludf.DUMMYFUNCTION("""COMPUTED_VALUE"""),"| 1 L PHP-CGM % | 6 L JAVA % | 7 P JAVA % | 9 L INE % ")</f>
        <v xml:space="preserve">| 1 L PHP-CGM % | 6 L JAVA % | 7 P JAVA % | 9 L INE % </v>
      </c>
      <c r="BL588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M588" s="4" t="str">
        <f ca="1">IFERROR(__xludf.DUMMYFUNCTION("""COMPUTED_VALUE"""),"| 5 L CPT % | 6 L PHP-CGM % | 7 P Python % ")</f>
        <v xml:space="preserve">| 5 L CPT % | 6 L PHP-CGM % | 7 P Python % </v>
      </c>
      <c r="BN588" s="4" t="str">
        <f ca="1">IFERROR(__xludf.DUMMYFUNCTION("""COMPUTED_VALUE"""),"| 5 L NS % | 6 L CPT % | 7 P PRO % | 9 P PHP-CGM % ")</f>
        <v xml:space="preserve">| 5 L NS % | 6 L CPT % | 7 P PRO % | 9 P PHP-CGM % </v>
      </c>
      <c r="BO588" s="4" t="str">
        <f ca="1">IFERROR(__xludf.DUMMYFUNCTION("""COMPUTED_VALUE"""),"| 5 L NS % | 6 L JAVA % ")</f>
        <v xml:space="preserve">| 5 L NS % | 6 L JAVA % </v>
      </c>
      <c r="BP588" s="4" t="str">
        <f ca="1">IFERROR(__xludf.DUMMYFUNCTION("""COMPUTED_VALUE"""),"| 1 L PHP-CGM @ | 6 L JAVA @ | 7 P JAVA @ | 9 L INE @ ")</f>
        <v xml:space="preserve">| 1 L PHP-CGM @ | 6 L JAVA @ | 7 P JAVA @ | 9 L INE @ </v>
      </c>
      <c r="BQ588" s="4" t="str">
        <f ca="1">IFERROR(__xludf.DUMMYFUNCTION("""COMPUTED_VALUE"""),"| 5 L CPT % ")</f>
        <v xml:space="preserve">| 5 L CPT % </v>
      </c>
      <c r="BR588" s="4"/>
      <c r="BS588" s="4" t="str">
        <f ca="1">IFERROR(__xludf.DUMMYFUNCTION("""COMPUTED_VALUE"""),"| 6 L CPT @ ")</f>
        <v xml:space="preserve">| 6 L CPT @ </v>
      </c>
      <c r="BT588" s="4" t="str">
        <f ca="1">IFERROR(__xludf.DUMMYFUNCTION("""COMPUTED_VALUE"""),"| 7 P JAVA % ")</f>
        <v xml:space="preserve">| 7 P JAVA % </v>
      </c>
      <c r="BU588" s="4" t="str">
        <f ca="1">IFERROR(__xludf.DUMMYFUNCTION("""COMPUTED_VALUE"""),"| 7 P JAVA % ")</f>
        <v xml:space="preserve">| 7 P JAVA % </v>
      </c>
      <c r="BV588" s="4" t="str">
        <f ca="1">IFERROR(__xludf.DUMMYFUNCTION("""COMPUTED_VALUE"""),"| 5 L PHP-CGM % | 6 L JAVA % | 7 P JAVA % ")</f>
        <v xml:space="preserve">| 5 L PHP-CGM % | 6 L JAVA % | 7 P JAVA % </v>
      </c>
      <c r="BW588" s="4"/>
      <c r="BX588" s="4" t="str">
        <f ca="1">IFERROR(__xludf.DUMMYFUNCTION("""COMPUTED_VALUE"""),"| 5 L CPT % | 7 P Python % | 9 P NS % | 6 L PHP-CGM % ")</f>
        <v xml:space="preserve">| 5 L CPT % | 7 P Python % | 9 P NS % | 6 L PHP-CGM % </v>
      </c>
      <c r="BY588" s="4" t="str">
        <f ca="1">IFERROR(__xludf.DUMMYFUNCTION("""COMPUTED_VALUE"""),"| 5 L NS % | 6 L CPT % | 7 P PRO % | 9 P PHP-CGM % ")</f>
        <v xml:space="preserve">| 5 L NS % | 6 L CPT % | 7 P PRO % | 9 P PHP-CGM % </v>
      </c>
      <c r="BZ588" s="4" t="str">
        <f ca="1">IFERROR(__xludf.DUMMYFUNCTION("""COMPUTED_VALUE"""),"| 5 L NS @ | 6 L JAVA @ | 7 P Python @ | 9 P CPT @ ")</f>
        <v xml:space="preserve">| 5 L NS @ | 6 L JAVA @ | 7 P Python @ | 9 P CPT @ </v>
      </c>
      <c r="CA588" s="4" t="str">
        <f ca="1">IFERROR(__xludf.DUMMYFUNCTION("""COMPUTED_VALUE"""),"| 1 L PHP-CGM % | 6 L JAVA % | 7 P JAVA % ")</f>
        <v xml:space="preserve">| 1 L PHP-CGM % | 6 L JAVA % | 7 P JAVA % </v>
      </c>
      <c r="CB588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CC588" s="4" t="str">
        <f ca="1">IFERROR(__xludf.DUMMYFUNCTION("""COMPUTED_VALUE"""),"| 5 L CPT % | 6 L PHP-CGM % | 7 P Python % | 9 P NS % ")</f>
        <v xml:space="preserve">| 5 L CPT % | 6 L PHP-CGM % | 7 P Python % | 9 P NS % </v>
      </c>
      <c r="CD588" s="4" t="str">
        <f ca="1">IFERROR(__xludf.DUMMYFUNCTION("""COMPUTED_VALUE"""),"| 5 L NS % | 6 L CPT % | 7 P PRO % ")</f>
        <v xml:space="preserve">| 5 L NS % | 6 L CPT % | 7 P PRO % </v>
      </c>
      <c r="CE588" s="4" t="str">
        <f ca="1">IFERROR(__xludf.DUMMYFUNCTION("""COMPUTED_VALUE"""),"| 5 L NS % | 6 L JAVA % | 7 P Python % | 9 P CPT % ")</f>
        <v xml:space="preserve">| 5 L NS % | 6 L JAVA % | 7 P Python % | 9 P CPT % </v>
      </c>
      <c r="CF588" s="4" t="str">
        <f ca="1">IFERROR(__xludf.DUMMYFUNCTION("""COMPUTED_VALUE"""),"| 5 L PHP-CGM % | 6 L JAVA % | 9 L INE % ")</f>
        <v xml:space="preserve">| 5 L PHP-CGM % | 6 L JAVA % | 9 L INE % </v>
      </c>
      <c r="CG588" s="4" t="str">
        <f ca="1">IFERROR(__xludf.DUMMYFUNCTION("""COMPUTED_VALUE"""),"| 5 L JAVA @ | 6 L NS @ ")</f>
        <v xml:space="preserve">| 5 L JAVA @ | 6 L NS @ </v>
      </c>
      <c r="CH588" s="4" t="str">
        <f ca="1">IFERROR(__xludf.DUMMYFUNCTION("""COMPUTED_VALUE"""),"| 5 L CPT @ | 7 P Python @ | 9 P NS @ ")</f>
        <v xml:space="preserve">| 5 L CPT @ | 7 P Python @ | 9 P NS @ </v>
      </c>
      <c r="CI588" s="4" t="str">
        <f ca="1">IFERROR(__xludf.DUMMYFUNCTION("""COMPUTED_VALUE"""),"| 5 L NS @ | 6 L CPT @ ")</f>
        <v xml:space="preserve">| 5 L NS @ | 6 L CPT @ </v>
      </c>
      <c r="CJ588" s="4" t="str">
        <f ca="1">IFERROR(__xludf.DUMMYFUNCTION("""COMPUTED_VALUE"""),"| 5 L NS @ ")</f>
        <v xml:space="preserve">| 5 L NS @ </v>
      </c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</row>
    <row r="589" spans="1:102" ht="12.5" x14ac:dyDescent="0.25">
      <c r="A589" s="3">
        <f ca="1">IFERROR(__xludf.DUMMYFUNCTION("""COMPUTED_VALUE"""),1)</f>
        <v>1</v>
      </c>
      <c r="B589" s="3" t="str">
        <f ca="1">IFERROR(__xludf.DUMMYFUNCTION("""COMPUTED_VALUE"""),"ITD")</f>
        <v>ITD</v>
      </c>
      <c r="C589" s="32" t="str">
        <f ca="1">IFERROR(__xludf.DUMMYFUNCTION("""COMPUTED_VALUE"""),"23171371031")</f>
        <v>23171371031</v>
      </c>
      <c r="D589" s="4" t="str">
        <f ca="1">IFERROR(__xludf.DUMMYFUNCTION("""COMPUTED_VALUE"""),"KADIYA NEELKUMAR ALPESHBHAI")</f>
        <v>KADIYA NEELKUMAR ALPESHBHAI</v>
      </c>
      <c r="E589" s="3" t="str">
        <f ca="1">IFERROR(__xludf.DUMMYFUNCTION("""COMPUTED_VALUE"""),"SRC - Eve")</f>
        <v>SRC - Eve</v>
      </c>
      <c r="F589" s="3">
        <f ca="1">IFERROR(__xludf.DUMMYFUNCTION("""COMPUTED_VALUE"""),8487018865)</f>
        <v>8487018865</v>
      </c>
      <c r="G589" s="3">
        <f ca="1">IFERROR(__xludf.DUMMYFUNCTION("""COMPUTED_VALUE"""),9925746730)</f>
        <v>9925746730</v>
      </c>
      <c r="H589" s="33">
        <f ca="1">IFERROR(__xludf.DUMMYFUNCTION("""COMPUTED_VALUE"""),0.821428571428571)</f>
        <v>0.82142857142857095</v>
      </c>
      <c r="I589" s="25">
        <f ca="1">IFERROR(__xludf.DUMMYFUNCTION("""COMPUTED_VALUE"""),0.833333333333333)</f>
        <v>0.83333333333333304</v>
      </c>
      <c r="J589" s="25">
        <f ca="1">IFERROR(__xludf.DUMMYFUNCTION("""COMPUTED_VALUE"""),0.714285714285714)</f>
        <v>0.71428571428571397</v>
      </c>
      <c r="K589" s="25">
        <f ca="1">IFERROR(__xludf.DUMMYFUNCTION("""COMPUTED_VALUE"""),0.833333333333333)</f>
        <v>0.83333333333333304</v>
      </c>
      <c r="L589" s="25">
        <f ca="1">IFERROR(__xludf.DUMMYFUNCTION("""COMPUTED_VALUE"""),0.888888888888888)</f>
        <v>0.88888888888888795</v>
      </c>
      <c r="M589" s="25">
        <f ca="1">IFERROR(__xludf.DUMMYFUNCTION("""COMPUTED_VALUE"""),0.78125)</f>
        <v>0.78125</v>
      </c>
      <c r="N589" s="25">
        <f ca="1">IFERROR(__xludf.DUMMYFUNCTION("""COMPUTED_VALUE"""),1)</f>
        <v>1</v>
      </c>
      <c r="O589" s="25">
        <f ca="1">IFERROR(__xludf.DUMMYFUNCTION("""COMPUTED_VALUE"""),0.794117647058823)</f>
        <v>0.79411764705882304</v>
      </c>
      <c r="P589" s="25">
        <f ca="1">IFERROR(__xludf.DUMMYFUNCTION("""COMPUTED_VALUE"""),0.869565217391304)</f>
        <v>0.86956521739130399</v>
      </c>
      <c r="Q589" s="25">
        <f ca="1">IFERROR(__xludf.DUMMYFUNCTION("""COMPUTED_VALUE"""),0)</f>
        <v>0</v>
      </c>
      <c r="R589" s="25">
        <f ca="1">IFERROR(__xludf.DUMMYFUNCTION("""COMPUTED_VALUE"""),0.684210526315789)</f>
        <v>0.68421052631578905</v>
      </c>
      <c r="S589" s="25">
        <f ca="1">IFERROR(__xludf.DUMMYFUNCTION("""COMPUTED_VALUE"""),0)</f>
        <v>0</v>
      </c>
      <c r="T589" s="25">
        <f ca="1">IFERROR(__xludf.DUMMYFUNCTION("""COMPUTED_VALUE"""),1)</f>
        <v>1</v>
      </c>
      <c r="U589" s="25">
        <f ca="1">IFERROR(__xludf.DUMMYFUNCTION("""COMPUTED_VALUE"""),0.714285714285714)</f>
        <v>0.71428571428571397</v>
      </c>
      <c r="V589" s="25">
        <f ca="1">IFERROR(__xludf.DUMMYFUNCTION("""COMPUTED_VALUE"""),0)</f>
        <v>0</v>
      </c>
      <c r="W589" s="4"/>
      <c r="X589" s="4" t="str">
        <f ca="1">IFERROR(__xludf.DUMMYFUNCTION("""COMPUTED_VALUE"""),"| 1 L PHP-CGM % | 6 L JAVA % | 7 P JAVA % ")</f>
        <v xml:space="preserve">| 1 L PHP-CGM % | 6 L JAVA % | 7 P JAVA % </v>
      </c>
      <c r="Y589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Z589" s="4" t="str">
        <f ca="1">IFERROR(__xludf.DUMMYFUNCTION("""COMPUTED_VALUE"""),"| 5 L CPT % | 6 L PHP-CGM % | 7 P Python @ | 9 P NS % ")</f>
        <v xml:space="preserve">| 5 L CPT % | 6 L PHP-CGM % | 7 P Python @ | 9 P NS % </v>
      </c>
      <c r="AA589" s="4" t="str">
        <f ca="1">IFERROR(__xludf.DUMMYFUNCTION("""COMPUTED_VALUE"""),"| 5 L NS % | 6 L CPT % | 7 P PRO % | 9 P PHP-CGM % ")</f>
        <v xml:space="preserve">| 5 L NS % | 6 L CPT % | 7 P PRO % | 9 P PHP-CGM % </v>
      </c>
      <c r="AB589" s="4" t="str">
        <f ca="1">IFERROR(__xludf.DUMMYFUNCTION("""COMPUTED_VALUE"""),"| 5 L NS % | 6 L JAVA % | 7 P Python % | 9 P CPT % ")</f>
        <v xml:space="preserve">| 5 L NS % | 6 L JAVA % | 7 P Python % | 9 P CPT % </v>
      </c>
      <c r="AC589" s="4" t="str">
        <f ca="1">IFERROR(__xludf.DUMMYFUNCTION("""COMPUTED_VALUE"""),"| 1 L PHP-CGM % | 6 L JAVA % | 7 P JAVA % ")</f>
        <v xml:space="preserve">| 1 L PHP-CGM % | 6 L JAVA % | 7 P JAVA % </v>
      </c>
      <c r="AD589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AE589" s="4" t="str">
        <f ca="1">IFERROR(__xludf.DUMMYFUNCTION("""COMPUTED_VALUE"""),"| 5 L CPT % | 6 L PHP-CGM % | 7 P Python % | 9 P NS % ")</f>
        <v xml:space="preserve">| 5 L CPT % | 6 L PHP-CGM % | 7 P Python % | 9 P NS % </v>
      </c>
      <c r="AF589" s="4" t="str">
        <f ca="1">IFERROR(__xludf.DUMMYFUNCTION("""COMPUTED_VALUE"""),"| 5 L NS % | 6 L CPT % | 7 P PRO % | 9 P PHP-CGM % ")</f>
        <v xml:space="preserve">| 5 L NS % | 6 L CPT % | 7 P PRO % | 9 P PHP-CGM % </v>
      </c>
      <c r="AG589" s="4" t="str">
        <f ca="1">IFERROR(__xludf.DUMMYFUNCTION("""COMPUTED_VALUE"""),"| 5 L NS % | 6 L JAVA % | 7 P Python % | 9 P CPT % ")</f>
        <v xml:space="preserve">| 5 L NS % | 6 L JAVA % | 7 P Python % | 9 P CPT % </v>
      </c>
      <c r="AH589" s="4" t="str">
        <f ca="1">IFERROR(__xludf.DUMMYFUNCTION("""COMPUTED_VALUE"""),"| 5 L NS % | 6 L CPT % | 7 P PRO % | 9 P PHP-CGM % ")</f>
        <v xml:space="preserve">| 5 L NS % | 6 L CPT % | 7 P PRO % | 9 P PHP-CGM % </v>
      </c>
      <c r="AI589" s="4" t="str">
        <f ca="1">IFERROR(__xludf.DUMMYFUNCTION("""COMPUTED_VALUE"""),"| 5 L NS @ | 6 L JAVA @ | 7 P Python @ | 9 P CPT @ ")</f>
        <v xml:space="preserve">| 5 L NS @ | 6 L JAVA @ | 7 P Python @ | 9 P CPT @ </v>
      </c>
      <c r="AJ589" s="4" t="str">
        <f ca="1">IFERROR(__xludf.DUMMYFUNCTION("""COMPUTED_VALUE"""),"| 1 L PHP-CGM % | 6 L JAVA % | 7 P JAVA % ")</f>
        <v xml:space="preserve">| 1 L PHP-CGM % | 6 L JAVA % | 7 P JAVA % </v>
      </c>
      <c r="AK589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89" s="4" t="str">
        <f ca="1">IFERROR(__xludf.DUMMYFUNCTION("""COMPUTED_VALUE"""),"| 5 L CPT % | 7 P Python % | 6 L PHP-CGM % | 9 P NS % ")</f>
        <v xml:space="preserve">| 5 L CPT % | 7 P Python % | 6 L PHP-CGM % | 9 P NS % </v>
      </c>
      <c r="AM589" s="4" t="str">
        <f ca="1">IFERROR(__xludf.DUMMYFUNCTION("""COMPUTED_VALUE"""),"| 5 L NS % | 6 L CPT % | 7 P PRO % ")</f>
        <v xml:space="preserve">| 5 L NS % | 6 L CPT % | 7 P PRO % </v>
      </c>
      <c r="AN589" s="4" t="str">
        <f ca="1">IFERROR(__xludf.DUMMYFUNCTION("""COMPUTED_VALUE"""),"| 5 L NS @ | 6 L JAVA @ ")</f>
        <v xml:space="preserve">| 5 L NS @ | 6 L JAVA @ </v>
      </c>
      <c r="AO589" s="4" t="str">
        <f ca="1">IFERROR(__xludf.DUMMYFUNCTION("""COMPUTED_VALUE"""),"| 1 L PHP-CGM % | 6 L JAVA % | 7 P JAVA % | 9 L INE % ")</f>
        <v xml:space="preserve">| 1 L PHP-CGM % | 6 L JAVA % | 7 P JAVA % | 9 L INE % </v>
      </c>
      <c r="AP589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89" s="4" t="str">
        <f ca="1">IFERROR(__xludf.DUMMYFUNCTION("""COMPUTED_VALUE"""),"| 5 L CPT @ | 6 L PHP-CGM @ ")</f>
        <v xml:space="preserve">| 5 L CPT @ | 6 L PHP-CGM @ </v>
      </c>
      <c r="AR589" s="4" t="str">
        <f ca="1">IFERROR(__xludf.DUMMYFUNCTION("""COMPUTED_VALUE"""),"| 5 L NS % | 6 L CPT % | 7 P PRO % | 9 P PHP-CGM % ")</f>
        <v xml:space="preserve">| 5 L NS % | 6 L CPT % | 7 P PRO % | 9 P PHP-CGM % </v>
      </c>
      <c r="AS589" s="4" t="str">
        <f ca="1">IFERROR(__xludf.DUMMYFUNCTION("""COMPUTED_VALUE"""),"| 1 L PHP-CGM % | 6 L JAVA % | 7 P JAVA % | 9 L INE % ")</f>
        <v xml:space="preserve">| 1 L PHP-CGM % | 6 L JAVA % | 7 P JAVA % | 9 L INE % </v>
      </c>
      <c r="AT589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89" s="4" t="str">
        <f ca="1">IFERROR(__xludf.DUMMYFUNCTION("""COMPUTED_VALUE"""),"| 5 L CPT % | 6 L PHP-CGM % | 7 P Python % | 9 P NS % ")</f>
        <v xml:space="preserve">| 5 L CPT % | 6 L PHP-CGM % | 7 P Python % | 9 P NS % </v>
      </c>
      <c r="AV589" s="4" t="str">
        <f ca="1">IFERROR(__xludf.DUMMYFUNCTION("""COMPUTED_VALUE"""),"| 5 L NS % | 6 L CPT % | 7 P PRO % | 9 P PHP-CGM % ")</f>
        <v xml:space="preserve">| 5 L NS % | 6 L CPT % | 7 P PRO % | 9 P PHP-CGM % </v>
      </c>
      <c r="AW589" s="4" t="str">
        <f ca="1">IFERROR(__xludf.DUMMYFUNCTION("""COMPUTED_VALUE"""),"| 5 L NS % | 6 L JAVA % | 7 P Python % ")</f>
        <v xml:space="preserve">| 5 L NS % | 6 L JAVA % | 7 P Python % </v>
      </c>
      <c r="AX589" s="4" t="str">
        <f ca="1">IFERROR(__xludf.DUMMYFUNCTION("""COMPUTED_VALUE"""),"| 1 L PHP-CGM % | 6 L JAVA % | 7 P JAVA % | 9 L INE % ")</f>
        <v xml:space="preserve">| 1 L PHP-CGM % | 6 L JAVA % | 7 P JAVA % | 9 L INE % </v>
      </c>
      <c r="AY589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89" s="4" t="str">
        <f ca="1">IFERROR(__xludf.DUMMYFUNCTION("""COMPUTED_VALUE"""),"| 5 L NS % | 6 L CPT % | 7 P PRO % ")</f>
        <v xml:space="preserve">| 5 L NS % | 6 L CPT % | 7 P PRO % </v>
      </c>
      <c r="BA589" s="4" t="str">
        <f ca="1">IFERROR(__xludf.DUMMYFUNCTION("""COMPUTED_VALUE"""),"| 5 L NS % | 6 L JAVA % | 7 P Python % | 9 P CPT % ")</f>
        <v xml:space="preserve">| 5 L NS % | 6 L JAVA % | 7 P Python % | 9 P CPT % </v>
      </c>
      <c r="BB589" s="4" t="str">
        <f ca="1">IFERROR(__xludf.DUMMYFUNCTION("""COMPUTED_VALUE"""),"| 1 L PHP-CGM @ | 6 L JAVA @ | 7 P JAVA @ | 9 L INE @ ")</f>
        <v xml:space="preserve">| 1 L PHP-CGM @ | 6 L JAVA @ | 7 P JAVA @ | 9 L INE @ </v>
      </c>
      <c r="BC589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89" s="4" t="str">
        <f ca="1">IFERROR(__xludf.DUMMYFUNCTION("""COMPUTED_VALUE"""),"| 5 L CPT % | 6 L PHP-CGM % | 7 P Python % | 9 P NS % ")</f>
        <v xml:space="preserve">| 5 L CPT % | 6 L PHP-CGM % | 7 P Python % | 9 P NS % </v>
      </c>
      <c r="BE589" s="4" t="str">
        <f ca="1">IFERROR(__xludf.DUMMYFUNCTION("""COMPUTED_VALUE"""),"| 5 L NS % | 6 L CPT % | 7 P PRO % | 9 P PHP-CGM % ")</f>
        <v xml:space="preserve">| 5 L NS % | 6 L CPT % | 7 P PRO % | 9 P PHP-CGM % </v>
      </c>
      <c r="BF589" s="4" t="str">
        <f ca="1">IFERROR(__xludf.DUMMYFUNCTION("""COMPUTED_VALUE"""),"| 5 L NS @ | 6 L JAVA @ | 7 P Python @ | 9 P CPT @ ")</f>
        <v xml:space="preserve">| 5 L NS @ | 6 L JAVA @ | 7 P Python @ | 9 P CPT @ </v>
      </c>
      <c r="BG589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H589" s="4" t="str">
        <f ca="1">IFERROR(__xludf.DUMMYFUNCTION("""COMPUTED_VALUE"""),"| 5 L CPT % | 6 L PHP-CGM % | 7 P Python % | 9 P NS % ")</f>
        <v xml:space="preserve">| 5 L CPT % | 6 L PHP-CGM % | 7 P Python % | 9 P NS % </v>
      </c>
      <c r="BI589" s="4" t="str">
        <f ca="1">IFERROR(__xludf.DUMMYFUNCTION("""COMPUTED_VALUE"""),"| 5 L NS % | 6 L CPT % | 7 P PRO % | 9 P PHP-CGM % ")</f>
        <v xml:space="preserve">| 5 L NS % | 6 L CPT % | 7 P PRO % | 9 P PHP-CGM % </v>
      </c>
      <c r="BJ589" s="4" t="str">
        <f ca="1">IFERROR(__xludf.DUMMYFUNCTION("""COMPUTED_VALUE"""),"| 5 L NS % | 6 L JAVA % | 7 P Python @ ")</f>
        <v xml:space="preserve">| 5 L NS % | 6 L JAVA % | 7 P Python @ </v>
      </c>
      <c r="BK589" s="4" t="str">
        <f ca="1">IFERROR(__xludf.DUMMYFUNCTION("""COMPUTED_VALUE"""),"| 1 L PHP-CGM % | 6 L JAVA % | 7 P JAVA % | 9 L INE % ")</f>
        <v xml:space="preserve">| 1 L PHP-CGM % | 6 L JAVA % | 7 P JAVA % | 9 L INE % </v>
      </c>
      <c r="BL589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M589" s="4" t="str">
        <f ca="1">IFERROR(__xludf.DUMMYFUNCTION("""COMPUTED_VALUE"""),"| 5 L CPT @ | 6 L PHP-CGM @ | 7 P Python @ ")</f>
        <v xml:space="preserve">| 5 L CPT @ | 6 L PHP-CGM @ | 7 P Python @ </v>
      </c>
      <c r="BN589" s="4" t="str">
        <f ca="1">IFERROR(__xludf.DUMMYFUNCTION("""COMPUTED_VALUE"""),"| 5 L NS % | 6 L CPT % | 7 P PRO % | 9 P PHP-CGM % ")</f>
        <v xml:space="preserve">| 5 L NS % | 6 L CPT % | 7 P PRO % | 9 P PHP-CGM % </v>
      </c>
      <c r="BO589" s="4" t="str">
        <f ca="1">IFERROR(__xludf.DUMMYFUNCTION("""COMPUTED_VALUE"""),"| 5 L NS @ | 6 L JAVA @ ")</f>
        <v xml:space="preserve">| 5 L NS @ | 6 L JAVA @ </v>
      </c>
      <c r="BP589" s="4" t="str">
        <f ca="1">IFERROR(__xludf.DUMMYFUNCTION("""COMPUTED_VALUE"""),"| 1 L PHP-CGM @ | 6 L JAVA @ | 7 P JAVA @ | 9 L INE @ ")</f>
        <v xml:space="preserve">| 1 L PHP-CGM @ | 6 L JAVA @ | 7 P JAVA @ | 9 L INE @ </v>
      </c>
      <c r="BQ589" s="4" t="str">
        <f ca="1">IFERROR(__xludf.DUMMYFUNCTION("""COMPUTED_VALUE"""),"| 5 L CPT @ ")</f>
        <v xml:space="preserve">| 5 L CPT @ </v>
      </c>
      <c r="BR589" s="4"/>
      <c r="BS589" s="4" t="str">
        <f ca="1">IFERROR(__xludf.DUMMYFUNCTION("""COMPUTED_VALUE"""),"| 6 L CPT % ")</f>
        <v xml:space="preserve">| 6 L CPT % </v>
      </c>
      <c r="BT589" s="4" t="str">
        <f ca="1">IFERROR(__xludf.DUMMYFUNCTION("""COMPUTED_VALUE"""),"| 7 P JAVA % ")</f>
        <v xml:space="preserve">| 7 P JAVA % </v>
      </c>
      <c r="BU589" s="4" t="str">
        <f ca="1">IFERROR(__xludf.DUMMYFUNCTION("""COMPUTED_VALUE"""),"| 7 P JAVA % ")</f>
        <v xml:space="preserve">| 7 P JAVA % </v>
      </c>
      <c r="BV589" s="4" t="str">
        <f ca="1">IFERROR(__xludf.DUMMYFUNCTION("""COMPUTED_VALUE"""),"| 5 L PHP-CGM % | 6 L JAVA % | 7 P JAVA % ")</f>
        <v xml:space="preserve">| 5 L PHP-CGM % | 6 L JAVA % | 7 P JAVA % </v>
      </c>
      <c r="BW589" s="4"/>
      <c r="BX589" s="4" t="str">
        <f ca="1">IFERROR(__xludf.DUMMYFUNCTION("""COMPUTED_VALUE"""),"| 5 L CPT @ | 7 P Python @ | 9 P NS @ | 6 L PHP-CGM @ ")</f>
        <v xml:space="preserve">| 5 L CPT @ | 7 P Python @ | 9 P NS @ | 6 L PHP-CGM @ </v>
      </c>
      <c r="BY589" s="4" t="str">
        <f ca="1">IFERROR(__xludf.DUMMYFUNCTION("""COMPUTED_VALUE"""),"| 5 L NS % | 6 L CPT % | 7 P PRO % | 9 P PHP-CGM % ")</f>
        <v xml:space="preserve">| 5 L NS % | 6 L CPT % | 7 P PRO % | 9 P PHP-CGM % </v>
      </c>
      <c r="BZ589" s="4" t="str">
        <f ca="1">IFERROR(__xludf.DUMMYFUNCTION("""COMPUTED_VALUE"""),"| 5 L NS % | 6 L JAVA % | 7 P Python % | 9 P CPT % ")</f>
        <v xml:space="preserve">| 5 L NS % | 6 L JAVA % | 7 P Python % | 9 P CPT % </v>
      </c>
      <c r="CA589" s="4" t="str">
        <f ca="1">IFERROR(__xludf.DUMMYFUNCTION("""COMPUTED_VALUE"""),"| 1 L PHP-CGM % | 6 L JAVA % | 7 P JAVA % ")</f>
        <v xml:space="preserve">| 1 L PHP-CGM % | 6 L JAVA % | 7 P JAVA % </v>
      </c>
      <c r="CB589" s="4" t="str">
        <f ca="1">IFERROR(__xludf.DUMMYFUNCTION("""COMPUTED_VALUE"""),"| 5 L JAVA % | 6 L NS % | 7 P JAVA % | 9 L CPT @ | 10 L PHP-CGM @ ")</f>
        <v xml:space="preserve">| 5 L JAVA % | 6 L NS % | 7 P JAVA % | 9 L CPT @ | 10 L PHP-CGM @ </v>
      </c>
      <c r="CC589" s="4" t="str">
        <f ca="1">IFERROR(__xludf.DUMMYFUNCTION("""COMPUTED_VALUE"""),"| 5 L CPT % | 6 L PHP-CGM % | 7 P Python % | 9 P NS % ")</f>
        <v xml:space="preserve">| 5 L CPT % | 6 L PHP-CGM % | 7 P Python % | 9 P NS % </v>
      </c>
      <c r="CD589" s="4" t="str">
        <f ca="1">IFERROR(__xludf.DUMMYFUNCTION("""COMPUTED_VALUE"""),"| 5 L NS % | 6 L CPT % | 7 P PRO % ")</f>
        <v xml:space="preserve">| 5 L NS % | 6 L CPT % | 7 P PRO % </v>
      </c>
      <c r="CE589" s="4" t="str">
        <f ca="1">IFERROR(__xludf.DUMMYFUNCTION("""COMPUTED_VALUE"""),"| 5 L NS % | 6 L JAVA % | 7 P Python % | 9 P CPT % ")</f>
        <v xml:space="preserve">| 5 L NS % | 6 L JAVA % | 7 P Python % | 9 P CPT % </v>
      </c>
      <c r="CF589" s="4" t="str">
        <f ca="1">IFERROR(__xludf.DUMMYFUNCTION("""COMPUTED_VALUE"""),"| 5 L PHP-CGM % | 6 L JAVA % | 9 L INE % ")</f>
        <v xml:space="preserve">| 5 L PHP-CGM % | 6 L JAVA % | 9 L INE % </v>
      </c>
      <c r="CG589" s="4" t="str">
        <f ca="1">IFERROR(__xludf.DUMMYFUNCTION("""COMPUTED_VALUE"""),"| 5 L JAVA % | 6 L NS % ")</f>
        <v xml:space="preserve">| 5 L JAVA % | 6 L NS % </v>
      </c>
      <c r="CH589" s="4" t="str">
        <f ca="1">IFERROR(__xludf.DUMMYFUNCTION("""COMPUTED_VALUE"""),"| 5 L CPT % | 7 P Python % | 9 P NS % ")</f>
        <v xml:space="preserve">| 5 L CPT % | 7 P Python % | 9 P NS % </v>
      </c>
      <c r="CI589" s="4" t="str">
        <f ca="1">IFERROR(__xludf.DUMMYFUNCTION("""COMPUTED_VALUE"""),"| 5 L NS % | 6 L CPT % ")</f>
        <v xml:space="preserve">| 5 L NS % | 6 L CPT % </v>
      </c>
      <c r="CJ589" s="4" t="str">
        <f ca="1">IFERROR(__xludf.DUMMYFUNCTION("""COMPUTED_VALUE"""),"| 5 L NS @ ")</f>
        <v xml:space="preserve">| 5 L NS @ </v>
      </c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</row>
    <row r="590" spans="1:102" ht="12.5" x14ac:dyDescent="0.25">
      <c r="A590" s="3">
        <f ca="1">IFERROR(__xludf.DUMMYFUNCTION("""COMPUTED_VALUE"""),1)</f>
        <v>1</v>
      </c>
      <c r="B590" s="3" t="str">
        <f ca="1">IFERROR(__xludf.DUMMYFUNCTION("""COMPUTED_VALUE"""),"ITD")</f>
        <v>ITD</v>
      </c>
      <c r="C590" s="32" t="str">
        <f ca="1">IFERROR(__xludf.DUMMYFUNCTION("""COMPUTED_VALUE"""),"23171371033")</f>
        <v>23171371033</v>
      </c>
      <c r="D590" s="4" t="str">
        <f ca="1">IFERROR(__xludf.DUMMYFUNCTION("""COMPUTED_VALUE"""),"KALATHIYA VED NILESHBHAI")</f>
        <v>KALATHIYA VED NILESHBHAI</v>
      </c>
      <c r="E590" s="3" t="str">
        <f ca="1">IFERROR(__xludf.DUMMYFUNCTION("""COMPUTED_VALUE"""),"SRC - Eve")</f>
        <v>SRC - Eve</v>
      </c>
      <c r="F590" s="3">
        <f ca="1">IFERROR(__xludf.DUMMYFUNCTION("""COMPUTED_VALUE"""),9723936554)</f>
        <v>9723936554</v>
      </c>
      <c r="G590" s="3">
        <f ca="1">IFERROR(__xludf.DUMMYFUNCTION("""COMPUTED_VALUE"""),9998711172)</f>
        <v>9998711172</v>
      </c>
      <c r="H590" s="33">
        <f ca="1">IFERROR(__xludf.DUMMYFUNCTION("""COMPUTED_VALUE"""),0.8125)</f>
        <v>0.8125</v>
      </c>
      <c r="I590" s="25">
        <f ca="1">IFERROR(__xludf.DUMMYFUNCTION("""COMPUTED_VALUE"""),0.833333333333333)</f>
        <v>0.83333333333333304</v>
      </c>
      <c r="J590" s="25">
        <f ca="1">IFERROR(__xludf.DUMMYFUNCTION("""COMPUTED_VALUE"""),0.857142857142857)</f>
        <v>0.85714285714285698</v>
      </c>
      <c r="K590" s="25">
        <f ca="1">IFERROR(__xludf.DUMMYFUNCTION("""COMPUTED_VALUE"""),0.777777777777777)</f>
        <v>0.77777777777777701</v>
      </c>
      <c r="L590" s="25">
        <f ca="1">IFERROR(__xludf.DUMMYFUNCTION("""COMPUTED_VALUE"""),1)</f>
        <v>1</v>
      </c>
      <c r="M590" s="25">
        <f ca="1">IFERROR(__xludf.DUMMYFUNCTION("""COMPUTED_VALUE"""),0.8125)</f>
        <v>0.8125</v>
      </c>
      <c r="N590" s="25">
        <f ca="1">IFERROR(__xludf.DUMMYFUNCTION("""COMPUTED_VALUE"""),0.888888888888888)</f>
        <v>0.88888888888888795</v>
      </c>
      <c r="O590" s="25">
        <f ca="1">IFERROR(__xludf.DUMMYFUNCTION("""COMPUTED_VALUE"""),0.823529411764705)</f>
        <v>0.82352941176470495</v>
      </c>
      <c r="P590" s="25">
        <f ca="1">IFERROR(__xludf.DUMMYFUNCTION("""COMPUTED_VALUE"""),0.652173913043478)</f>
        <v>0.65217391304347805</v>
      </c>
      <c r="Q590" s="25">
        <f ca="1">IFERROR(__xludf.DUMMYFUNCTION("""COMPUTED_VALUE"""),0)</f>
        <v>0</v>
      </c>
      <c r="R590" s="25">
        <f ca="1">IFERROR(__xludf.DUMMYFUNCTION("""COMPUTED_VALUE"""),0.842105263157894)</f>
        <v>0.84210526315789402</v>
      </c>
      <c r="S590" s="25">
        <f ca="1">IFERROR(__xludf.DUMMYFUNCTION("""COMPUTED_VALUE"""),0)</f>
        <v>0</v>
      </c>
      <c r="T590" s="25">
        <f ca="1">IFERROR(__xludf.DUMMYFUNCTION("""COMPUTED_VALUE"""),0.916666666666666)</f>
        <v>0.91666666666666596</v>
      </c>
      <c r="U590" s="25">
        <f ca="1">IFERROR(__xludf.DUMMYFUNCTION("""COMPUTED_VALUE"""),0.714285714285714)</f>
        <v>0.71428571428571397</v>
      </c>
      <c r="V590" s="25">
        <f ca="1">IFERROR(__xludf.DUMMYFUNCTION("""COMPUTED_VALUE"""),0)</f>
        <v>0</v>
      </c>
      <c r="W590" s="4"/>
      <c r="X590" s="4" t="str">
        <f ca="1">IFERROR(__xludf.DUMMYFUNCTION("""COMPUTED_VALUE"""),"| 1 L PHP-CGM % | 6 L JAVA % | 7 P JAVA % ")</f>
        <v xml:space="preserve">| 1 L PHP-CGM % | 6 L JAVA % | 7 P JAVA % </v>
      </c>
      <c r="Y590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Z590" s="4" t="str">
        <f ca="1">IFERROR(__xludf.DUMMYFUNCTION("""COMPUTED_VALUE"""),"| 5 L CPT % | 6 L PHP-CGM % | 7 P Python % | 9 P NS % ")</f>
        <v xml:space="preserve">| 5 L CPT % | 6 L PHP-CGM % | 7 P Python % | 9 P NS % </v>
      </c>
      <c r="AA590" s="4" t="str">
        <f ca="1">IFERROR(__xludf.DUMMYFUNCTION("""COMPUTED_VALUE"""),"| 5 L NS % | 6 L CPT % | 7 P PRO % | 9 P PHP-CGM % ")</f>
        <v xml:space="preserve">| 5 L NS % | 6 L CPT % | 7 P PRO % | 9 P PHP-CGM % </v>
      </c>
      <c r="AB590" s="4" t="str">
        <f ca="1">IFERROR(__xludf.DUMMYFUNCTION("""COMPUTED_VALUE"""),"| 5 L NS % | 6 L JAVA % | 7 P Python % | 9 P CPT % ")</f>
        <v xml:space="preserve">| 5 L NS % | 6 L JAVA % | 7 P Python % | 9 P CPT % </v>
      </c>
      <c r="AC590" s="4" t="str">
        <f ca="1">IFERROR(__xludf.DUMMYFUNCTION("""COMPUTED_VALUE"""),"| 1 L PHP-CGM % | 6 L JAVA % | 7 P JAVA % ")</f>
        <v xml:space="preserve">| 1 L PHP-CGM % | 6 L JAVA % | 7 P JAVA % </v>
      </c>
      <c r="AD590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E590" s="4" t="str">
        <f ca="1">IFERROR(__xludf.DUMMYFUNCTION("""COMPUTED_VALUE"""),"| 5 L CPT % | 6 L PHP-CGM % | 7 P Python % | 9 P NS % ")</f>
        <v xml:space="preserve">| 5 L CPT % | 6 L PHP-CGM % | 7 P Python % | 9 P NS % </v>
      </c>
      <c r="AF590" s="4" t="str">
        <f ca="1">IFERROR(__xludf.DUMMYFUNCTION("""COMPUTED_VALUE"""),"| 5 L NS % | 6 L CPT % | 7 P PRO % | 9 P PHP-CGM % ")</f>
        <v xml:space="preserve">| 5 L NS % | 6 L CPT % | 7 P PRO % | 9 P PHP-CGM % </v>
      </c>
      <c r="AG590" s="4" t="str">
        <f ca="1">IFERROR(__xludf.DUMMYFUNCTION("""COMPUTED_VALUE"""),"| 5 L NS % | 6 L JAVA % | 7 P Python % | 9 P CPT % ")</f>
        <v xml:space="preserve">| 5 L NS % | 6 L JAVA % | 7 P Python % | 9 P CPT % </v>
      </c>
      <c r="AH590" s="4" t="str">
        <f ca="1">IFERROR(__xludf.DUMMYFUNCTION("""COMPUTED_VALUE"""),"| 5 L NS % | 6 L CPT % | 7 P PRO % | 9 P PHP-CGM % ")</f>
        <v xml:space="preserve">| 5 L NS % | 6 L CPT % | 7 P PRO % | 9 P PHP-CGM % </v>
      </c>
      <c r="AI590" s="4" t="str">
        <f ca="1">IFERROR(__xludf.DUMMYFUNCTION("""COMPUTED_VALUE"""),"| 5 L NS % | 6 L JAVA % | 7 P Python % | 9 P CPT % ")</f>
        <v xml:space="preserve">| 5 L NS % | 6 L JAVA % | 7 P Python % | 9 P CPT % </v>
      </c>
      <c r="AJ590" s="4" t="str">
        <f ca="1">IFERROR(__xludf.DUMMYFUNCTION("""COMPUTED_VALUE"""),"| 1 L PHP-CGM % | 6 L JAVA % | 7 P JAVA % ")</f>
        <v xml:space="preserve">| 1 L PHP-CGM % | 6 L JAVA % | 7 P JAVA % </v>
      </c>
      <c r="AK590" s="4" t="str">
        <f ca="1">IFERROR(__xludf.DUMMYFUNCTION("""COMPUTED_VALUE"""),"| 5 L JAVA % | 6 L NS % | 7 P JAVA % | 9 L CPT % | 6 L PHP-CGM % ")</f>
        <v xml:space="preserve">| 5 L JAVA % | 6 L NS % | 7 P JAVA % | 9 L CPT % | 6 L PHP-CGM % </v>
      </c>
      <c r="AL590" s="4" t="str">
        <f ca="1">IFERROR(__xludf.DUMMYFUNCTION("""COMPUTED_VALUE"""),"| 5 L CPT % | 7 P Python % | 6 L PHP-CGM % | 9 P NS % ")</f>
        <v xml:space="preserve">| 5 L CPT % | 7 P Python % | 6 L PHP-CGM % | 9 P NS % </v>
      </c>
      <c r="AM590" s="4" t="str">
        <f ca="1">IFERROR(__xludf.DUMMYFUNCTION("""COMPUTED_VALUE"""),"| 5 L NS % | 6 L CPT % | 7 P PRO % ")</f>
        <v xml:space="preserve">| 5 L NS % | 6 L CPT % | 7 P PRO % </v>
      </c>
      <c r="AN590" s="4" t="str">
        <f ca="1">IFERROR(__xludf.DUMMYFUNCTION("""COMPUTED_VALUE"""),"| 5 L NS @ | 6 L JAVA @ ")</f>
        <v xml:space="preserve">| 5 L NS @ | 6 L JAVA @ </v>
      </c>
      <c r="AO590" s="4" t="str">
        <f ca="1">IFERROR(__xludf.DUMMYFUNCTION("""COMPUTED_VALUE"""),"| 1 L PHP-CGM @ | 6 L JAVA @ | 7 P JAVA @ | 9 L INE @ ")</f>
        <v xml:space="preserve">| 1 L PHP-CGM @ | 6 L JAVA @ | 7 P JAVA @ | 9 L INE @ </v>
      </c>
      <c r="AP590" s="4" t="str">
        <f ca="1">IFERROR(__xludf.DUMMYFUNCTION("""COMPUTED_VALUE"""),"| 5 L JAVA @ | 6 L NS @ | 9 P JAVA @ | 9 L CPT @ | 6 L PHP-CGM @ ")</f>
        <v xml:space="preserve">| 5 L JAVA @ | 6 L NS @ | 9 P JAVA @ | 9 L CPT @ | 6 L PHP-CGM @ </v>
      </c>
      <c r="AQ590" s="4" t="str">
        <f ca="1">IFERROR(__xludf.DUMMYFUNCTION("""COMPUTED_VALUE"""),"| 5 L CPT @ | 6 L PHP-CGM @ ")</f>
        <v xml:space="preserve">| 5 L CPT @ | 6 L PHP-CGM @ </v>
      </c>
      <c r="AR590" s="4" t="str">
        <f ca="1">IFERROR(__xludf.DUMMYFUNCTION("""COMPUTED_VALUE"""),"| 5 L NS @ | 6 L CPT @ | 7 P PRO @ | 9 P PHP-CGM @ ")</f>
        <v xml:space="preserve">| 5 L NS @ | 6 L CPT @ | 7 P PRO @ | 9 P PHP-CGM @ </v>
      </c>
      <c r="AS590" s="4" t="str">
        <f ca="1">IFERROR(__xludf.DUMMYFUNCTION("""COMPUTED_VALUE"""),"| 1 L PHP-CGM % | 6 L JAVA % | 7 P JAVA % | 9 L INE % ")</f>
        <v xml:space="preserve">| 1 L PHP-CGM % | 6 L JAVA % | 7 P JAVA % | 9 L INE % </v>
      </c>
      <c r="AT590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U590" s="4" t="str">
        <f ca="1">IFERROR(__xludf.DUMMYFUNCTION("""COMPUTED_VALUE"""),"| 5 L CPT % | 6 L PHP-CGM % | 7 P Python % | 9 P NS % ")</f>
        <v xml:space="preserve">| 5 L CPT % | 6 L PHP-CGM % | 7 P Python % | 9 P NS % </v>
      </c>
      <c r="AV590" s="4" t="str">
        <f ca="1">IFERROR(__xludf.DUMMYFUNCTION("""COMPUTED_VALUE"""),"| 5 L NS % | 6 L CPT % | 7 P PRO % | 9 P PHP-CGM % ")</f>
        <v xml:space="preserve">| 5 L NS % | 6 L CPT % | 7 P PRO % | 9 P PHP-CGM % </v>
      </c>
      <c r="AW590" s="4" t="str">
        <f ca="1">IFERROR(__xludf.DUMMYFUNCTION("""COMPUTED_VALUE"""),"| 5 L NS % | 6 L JAVA % | 7 P Python % ")</f>
        <v xml:space="preserve">| 5 L NS % | 6 L JAVA % | 7 P Python % </v>
      </c>
      <c r="AX590" s="4" t="str">
        <f ca="1">IFERROR(__xludf.DUMMYFUNCTION("""COMPUTED_VALUE"""),"| 1 L PHP-CGM % | 6 L JAVA % | 7 P JAVA % | 9 L INE % ")</f>
        <v xml:space="preserve">| 1 L PHP-CGM % | 6 L JAVA % | 7 P JAVA % | 9 L INE % </v>
      </c>
      <c r="AY590" s="4" t="str">
        <f ca="1">IFERROR(__xludf.DUMMYFUNCTION("""COMPUTED_VALUE"""),"| 5 L JAVA % | 6 L NS % | 7 P JAVA % | 9 L CPT % | 11 L PHP-CGM % ")</f>
        <v xml:space="preserve">| 5 L JAVA % | 6 L NS % | 7 P JAVA % | 9 L CPT % | 11 L PHP-CGM % </v>
      </c>
      <c r="AZ590" s="4" t="str">
        <f ca="1">IFERROR(__xludf.DUMMYFUNCTION("""COMPUTED_VALUE"""),"| 5 L NS % | 6 L CPT % | 7 P PRO % ")</f>
        <v xml:space="preserve">| 5 L NS % | 6 L CPT % | 7 P PRO % </v>
      </c>
      <c r="BA590" s="4" t="str">
        <f ca="1">IFERROR(__xludf.DUMMYFUNCTION("""COMPUTED_VALUE"""),"| 5 L NS % | 6 L JAVA % | 7 P Python % | 9 P CPT % ")</f>
        <v xml:space="preserve">| 5 L NS % | 6 L JAVA % | 7 P Python % | 9 P CPT % </v>
      </c>
      <c r="BB590" s="4" t="str">
        <f ca="1">IFERROR(__xludf.DUMMYFUNCTION("""COMPUTED_VALUE"""),"| 1 L PHP-CGM % | 6 L JAVA % | 7 P JAVA % | 9 L INE % ")</f>
        <v xml:space="preserve">| 1 L PHP-CGM % | 6 L JAVA % | 7 P JAVA % | 9 L INE % </v>
      </c>
      <c r="BC590" s="4" t="str">
        <f ca="1">IFERROR(__xludf.DUMMYFUNCTION("""COMPUTED_VALUE"""),"| 5 L JAVA % | 6 L NS % | 7 P JAVA % | 10 L PHP-CGM % | 9 L CPT % ")</f>
        <v xml:space="preserve">| 5 L JAVA % | 6 L NS % | 7 P JAVA % | 10 L PHP-CGM % | 9 L CPT % </v>
      </c>
      <c r="BD590" s="4" t="str">
        <f ca="1">IFERROR(__xludf.DUMMYFUNCTION("""COMPUTED_VALUE"""),"| 5 L CPT % | 6 L PHP-CGM % | 7 P Python % | 9 P NS % ")</f>
        <v xml:space="preserve">| 5 L CPT % | 6 L PHP-CGM % | 7 P Python % | 9 P NS % </v>
      </c>
      <c r="BE590" s="4" t="str">
        <f ca="1">IFERROR(__xludf.DUMMYFUNCTION("""COMPUTED_VALUE"""),"| 5 L NS % | 6 L CPT % | 7 P PRO % | 9 P PHP-CGM % ")</f>
        <v xml:space="preserve">| 5 L NS % | 6 L CPT % | 7 P PRO % | 9 P PHP-CGM % </v>
      </c>
      <c r="BF590" s="4" t="str">
        <f ca="1">IFERROR(__xludf.DUMMYFUNCTION("""COMPUTED_VALUE"""),"| 5 L NS @ | 6 L JAVA % | 7 P Python % | 9 P CPT % ")</f>
        <v xml:space="preserve">| 5 L NS @ | 6 L JAVA % | 7 P Python % | 9 P CPT % </v>
      </c>
      <c r="BG590" s="4" t="str">
        <f ca="1">IFERROR(__xludf.DUMMYFUNCTION("""COMPUTED_VALUE"""),"| 5 L JAVA % | 6 L NS % | 7 P JAVA @ | 9 L CPT % | 10 L PHP-CGM % ")</f>
        <v xml:space="preserve">| 5 L JAVA % | 6 L NS % | 7 P JAVA @ | 9 L CPT % | 10 L PHP-CGM % </v>
      </c>
      <c r="BH590" s="4" t="str">
        <f ca="1">IFERROR(__xludf.DUMMYFUNCTION("""COMPUTED_VALUE"""),"| 5 L CPT % | 6 L PHP-CGM % | 7 P Python % | 9 P NS % ")</f>
        <v xml:space="preserve">| 5 L CPT % | 6 L PHP-CGM % | 7 P Python % | 9 P NS % </v>
      </c>
      <c r="BI590" s="4" t="str">
        <f ca="1">IFERROR(__xludf.DUMMYFUNCTION("""COMPUTED_VALUE"""),"| 5 L NS % | 6 L CPT % | 7 P PRO % | 9 P PHP-CGM % ")</f>
        <v xml:space="preserve">| 5 L NS % | 6 L CPT % | 7 P PRO % | 9 P PHP-CGM % </v>
      </c>
      <c r="BJ590" s="4" t="str">
        <f ca="1">IFERROR(__xludf.DUMMYFUNCTION("""COMPUTED_VALUE"""),"| 5 L NS % | 6 L JAVA % | 7 P Python @ ")</f>
        <v xml:space="preserve">| 5 L NS % | 6 L JAVA % | 7 P Python @ </v>
      </c>
      <c r="BK590" s="4" t="str">
        <f ca="1">IFERROR(__xludf.DUMMYFUNCTION("""COMPUTED_VALUE"""),"| 1 L PHP-CGM % | 6 L JAVA % | 7 P JAVA % | 9 L INE % ")</f>
        <v xml:space="preserve">| 1 L PHP-CGM % | 6 L JAVA % | 7 P JAVA % | 9 L INE % </v>
      </c>
      <c r="BL590" s="4" t="str">
        <f ca="1">IFERROR(__xludf.DUMMYFUNCTION("""COMPUTED_VALUE"""),"| 5 L JAVA % | 6 L NS % | 7 P JAVA % | 9 L CPT % | 10 L PHP-CGM % ")</f>
        <v xml:space="preserve">| 5 L JAVA % | 6 L NS % | 7 P JAVA % | 9 L CPT % | 10 L PHP-CGM % </v>
      </c>
      <c r="BM590" s="4" t="str">
        <f ca="1">IFERROR(__xludf.DUMMYFUNCTION("""COMPUTED_VALUE"""),"| 5 L CPT % | 6 L PHP-CGM % | 7 P Python % ")</f>
        <v xml:space="preserve">| 5 L CPT % | 6 L PHP-CGM % | 7 P Python % </v>
      </c>
      <c r="BN590" s="4" t="str">
        <f ca="1">IFERROR(__xludf.DUMMYFUNCTION("""COMPUTED_VALUE"""),"| 5 L NS % | 6 L CPT % | 7 P PRO % | 9 P PHP-CGM % ")</f>
        <v xml:space="preserve">| 5 L NS % | 6 L CPT % | 7 P PRO % | 9 P PHP-CGM % </v>
      </c>
      <c r="BO590" s="4" t="str">
        <f ca="1">IFERROR(__xludf.DUMMYFUNCTION("""COMPUTED_VALUE"""),"| 5 L NS % | 6 L JAVA % ")</f>
        <v xml:space="preserve">| 5 L NS % | 6 L JAVA % </v>
      </c>
      <c r="BP590" s="4" t="str">
        <f ca="1">IFERROR(__xludf.DUMMYFUNCTION("""COMPUTED_VALUE"""),"| 1 L PHP-CGM @ | 6 L JAVA @ | 7 P JAVA @ | 9 L INE @ ")</f>
        <v xml:space="preserve">| 1 L PHP-CGM @ | 6 L JAVA @ | 7 P JAVA @ | 9 L INE @ </v>
      </c>
      <c r="BQ590" s="4" t="str">
        <f ca="1">IFERROR(__xludf.DUMMYFUNCTION("""COMPUTED_VALUE"""),"| 5 L CPT % ")</f>
        <v xml:space="preserve">| 5 L CPT % </v>
      </c>
      <c r="BR590" s="4"/>
      <c r="BS590" s="4" t="str">
        <f ca="1">IFERROR(__xludf.DUMMYFUNCTION("""COMPUTED_VALUE"""),"| 6 L CPT % ")</f>
        <v xml:space="preserve">| 6 L CPT % </v>
      </c>
      <c r="BT590" s="4" t="str">
        <f ca="1">IFERROR(__xludf.DUMMYFUNCTION("""COMPUTED_VALUE"""),"| 7 P JAVA @ ")</f>
        <v xml:space="preserve">| 7 P JAVA @ </v>
      </c>
      <c r="BU590" s="4" t="str">
        <f ca="1">IFERROR(__xludf.DUMMYFUNCTION("""COMPUTED_VALUE"""),"| 7 P JAVA @ ")</f>
        <v xml:space="preserve">| 7 P JAVA @ </v>
      </c>
      <c r="BV590" s="4" t="str">
        <f ca="1">IFERROR(__xludf.DUMMYFUNCTION("""COMPUTED_VALUE"""),"| 5 L PHP-CGM @ | 6 L JAVA @ | 7 P JAVA @ ")</f>
        <v xml:space="preserve">| 5 L PHP-CGM @ | 6 L JAVA @ | 7 P JAVA @ </v>
      </c>
      <c r="BW590" s="4"/>
      <c r="BX590" s="4" t="str">
        <f ca="1">IFERROR(__xludf.DUMMYFUNCTION("""COMPUTED_VALUE"""),"| 5 L CPT % | 7 P Python % | 9 P NS % | 6 L PHP-CGM % ")</f>
        <v xml:space="preserve">| 5 L CPT % | 7 P Python % | 9 P NS % | 6 L PHP-CGM % </v>
      </c>
      <c r="BY590" s="4" t="str">
        <f ca="1">IFERROR(__xludf.DUMMYFUNCTION("""COMPUTED_VALUE"""),"| 5 L NS % | 6 L CPT % | 7 P PRO % | 9 P PHP-CGM % ")</f>
        <v xml:space="preserve">| 5 L NS % | 6 L CPT % | 7 P PRO % | 9 P PHP-CGM % </v>
      </c>
      <c r="BZ590" s="4" t="str">
        <f ca="1">IFERROR(__xludf.DUMMYFUNCTION("""COMPUTED_VALUE"""),"| 5 L NS % | 6 L JAVA % | 7 P Python @ | 9 P CPT % ")</f>
        <v xml:space="preserve">| 5 L NS % | 6 L JAVA % | 7 P Python @ | 9 P CPT % </v>
      </c>
      <c r="CA590" s="4" t="str">
        <f ca="1">IFERROR(__xludf.DUMMYFUNCTION("""COMPUTED_VALUE"""),"| 1 L PHP-CGM % | 6 L JAVA % | 7 P JAVA % ")</f>
        <v xml:space="preserve">| 1 L PHP-CGM % | 6 L JAVA % | 7 P JAVA % </v>
      </c>
      <c r="CB590" s="4" t="str">
        <f ca="1">IFERROR(__xludf.DUMMYFUNCTION("""COMPUTED_VALUE"""),"| 5 L JAVA % | 6 L NS % | 7 P JAVA @ | 9 L CPT @ | 10 L PHP-CGM @ ")</f>
        <v xml:space="preserve">| 5 L JAVA % | 6 L NS % | 7 P JAVA @ | 9 L CPT @ | 10 L PHP-CGM @ </v>
      </c>
      <c r="CC590" s="4" t="str">
        <f ca="1">IFERROR(__xludf.DUMMYFUNCTION("""COMPUTED_VALUE"""),"| 5 L CPT % | 6 L PHP-CGM % | 7 P Python % | 9 P NS % ")</f>
        <v xml:space="preserve">| 5 L CPT % | 6 L PHP-CGM % | 7 P Python % | 9 P NS % </v>
      </c>
      <c r="CD590" s="4" t="str">
        <f ca="1">IFERROR(__xludf.DUMMYFUNCTION("""COMPUTED_VALUE"""),"| 5 L NS @ | 6 L CPT @ | 7 P PRO % ")</f>
        <v xml:space="preserve">| 5 L NS @ | 6 L CPT @ | 7 P PRO % </v>
      </c>
      <c r="CE590" s="4" t="str">
        <f ca="1">IFERROR(__xludf.DUMMYFUNCTION("""COMPUTED_VALUE"""),"| 5 L NS % | 6 L JAVA @ | 7 P Python @ | 9 P CPT @ ")</f>
        <v xml:space="preserve">| 5 L NS % | 6 L JAVA @ | 7 P Python @ | 9 P CPT @ </v>
      </c>
      <c r="CF590" s="4" t="str">
        <f ca="1">IFERROR(__xludf.DUMMYFUNCTION("""COMPUTED_VALUE"""),"| 5 L PHP-CGM % | 6 L JAVA % | 9 L INE % ")</f>
        <v xml:space="preserve">| 5 L PHP-CGM % | 6 L JAVA % | 9 L INE % </v>
      </c>
      <c r="CG590" s="4" t="str">
        <f ca="1">IFERROR(__xludf.DUMMYFUNCTION("""COMPUTED_VALUE"""),"| 5 L JAVA % | 6 L NS @ ")</f>
        <v xml:space="preserve">| 5 L JAVA % | 6 L NS @ </v>
      </c>
      <c r="CH590" s="4" t="str">
        <f ca="1">IFERROR(__xludf.DUMMYFUNCTION("""COMPUTED_VALUE"""),"| 5 L CPT % | 7 P Python % | 9 P NS % ")</f>
        <v xml:space="preserve">| 5 L CPT % | 7 P Python % | 9 P NS % </v>
      </c>
      <c r="CI590" s="4" t="str">
        <f ca="1">IFERROR(__xludf.DUMMYFUNCTION("""COMPUTED_VALUE"""),"| 5 L NS @ | 6 L CPT @ ")</f>
        <v xml:space="preserve">| 5 L NS @ | 6 L CPT @ </v>
      </c>
      <c r="CJ590" s="4" t="str">
        <f ca="1">IFERROR(__xludf.DUMMYFUNCTION("""COMPUTED_VALUE"""),"| 5 L NS @ ")</f>
        <v xml:space="preserve">| 5 L NS @ </v>
      </c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</row>
    <row r="591" spans="1:102" ht="12.5" x14ac:dyDescent="0.25">
      <c r="A591" s="3">
        <f ca="1">IFERROR(__xludf.DUMMYFUNCTION("""COMPUTED_VALUE"""),1)</f>
        <v>1</v>
      </c>
      <c r="B591" s="3" t="str">
        <f ca="1">IFERROR(__xludf.DUMMYFUNCTION("""COMPUTED_VALUE"""),"ITD")</f>
        <v>ITD</v>
      </c>
      <c r="C591" s="32" t="str">
        <f ca="1">IFERROR(__xludf.DUMMYFUNCTION("""COMPUTED_VALUE"""),"23171371037")</f>
        <v>23171371037</v>
      </c>
      <c r="D591" s="4" t="str">
        <f ca="1">IFERROR(__xludf.DUMMYFUNCTION("""COMPUTED_VALUE"""),"MANAN KAPIL")</f>
        <v>MANAN KAPIL</v>
      </c>
      <c r="E591" s="3" t="str">
        <f ca="1">IFERROR(__xludf.DUMMYFUNCTION("""COMPUTED_VALUE"""),"SRC - Eve")</f>
        <v>SRC - Eve</v>
      </c>
      <c r="F591" s="3">
        <f ca="1">IFERROR(__xludf.DUMMYFUNCTION("""COMPUTED_VALUE"""),9157268993)</f>
        <v>9157268993</v>
      </c>
      <c r="G591" s="3">
        <f ca="1">IFERROR(__xludf.DUMMYFUNCTION("""COMPUTED_VALUE"""),7976690951)</f>
        <v>7976690951</v>
      </c>
      <c r="H591" s="33">
        <f ca="1">IFERROR(__xludf.DUMMYFUNCTION("""COMPUTED_VALUE"""),0.364821428571428)</f>
        <v>0.36482142857142802</v>
      </c>
      <c r="I591" s="25">
        <f ca="1">IFERROR(__xludf.DUMMYFUNCTION("""COMPUTED_VALUE"""),0.333333333333333)</f>
        <v>0.33333333333333298</v>
      </c>
      <c r="J591" s="25">
        <f ca="1">IFERROR(__xludf.DUMMYFUNCTION("""COMPUTED_VALUE"""),0.142857142857142)</f>
        <v>0.14285714285714199</v>
      </c>
      <c r="K591" s="25">
        <f ca="1">IFERROR(__xludf.DUMMYFUNCTION("""COMPUTED_VALUE"""),0.444444444444444)</f>
        <v>0.44444444444444398</v>
      </c>
      <c r="L591" s="25">
        <f ca="1">IFERROR(__xludf.DUMMYFUNCTION("""COMPUTED_VALUE"""),0.111111111111111)</f>
        <v>0.11111111111111099</v>
      </c>
      <c r="M591" s="25">
        <f ca="1">IFERROR(__xludf.DUMMYFUNCTION("""COMPUTED_VALUE"""),0.40625)</f>
        <v>0.40625</v>
      </c>
      <c r="N591" s="25">
        <f ca="1">IFERROR(__xludf.DUMMYFUNCTION("""COMPUTED_VALUE"""),0.222222222222222)</f>
        <v>0.22222222222222199</v>
      </c>
      <c r="O591" s="25">
        <f ca="1">IFERROR(__xludf.DUMMYFUNCTION("""COMPUTED_VALUE"""),0.470588235294117)</f>
        <v>0.47058823529411697</v>
      </c>
      <c r="P591" s="25">
        <f ca="1">IFERROR(__xludf.DUMMYFUNCTION("""COMPUTED_VALUE"""),0.347826086956521)</f>
        <v>0.34782608695652101</v>
      </c>
      <c r="Q591" s="25">
        <f ca="1">IFERROR(__xludf.DUMMYFUNCTION("""COMPUTED_VALUE"""),0)</f>
        <v>0</v>
      </c>
      <c r="R591" s="25">
        <f ca="1">IFERROR(__xludf.DUMMYFUNCTION("""COMPUTED_VALUE"""),0.210526315789473)</f>
        <v>0.21052631578947301</v>
      </c>
      <c r="S591" s="25">
        <f ca="1">IFERROR(__xludf.DUMMYFUNCTION("""COMPUTED_VALUE"""),0)</f>
        <v>0</v>
      </c>
      <c r="T591" s="25">
        <f ca="1">IFERROR(__xludf.DUMMYFUNCTION("""COMPUTED_VALUE"""),0.166666666666666)</f>
        <v>0.16666666666666599</v>
      </c>
      <c r="U591" s="25">
        <f ca="1">IFERROR(__xludf.DUMMYFUNCTION("""COMPUTED_VALUE"""),0)</f>
        <v>0</v>
      </c>
      <c r="V591" s="25">
        <f ca="1">IFERROR(__xludf.DUMMYFUNCTION("""COMPUTED_VALUE"""),0)</f>
        <v>0</v>
      </c>
      <c r="W591" s="4"/>
      <c r="X591" s="4" t="str">
        <f ca="1">IFERROR(__xludf.DUMMYFUNCTION("""COMPUTED_VALUE"""),"| 1 L PHP-CGM % | 6 L JAVA % | 7 P JAVA @ ")</f>
        <v xml:space="preserve">| 1 L PHP-CGM % | 6 L JAVA % | 7 P JAVA @ </v>
      </c>
      <c r="Y591" s="4" t="str">
        <f ca="1">IFERROR(__xludf.DUMMYFUNCTION("""COMPUTED_VALUE"""),"| 5 L JAVA % | 6 L NS @ | 9 P JAVA % | 9 L CPT @ | 6 L PHP-CGM @ ")</f>
        <v xml:space="preserve">| 5 L JAVA % | 6 L NS @ | 9 P JAVA % | 9 L CPT @ | 6 L PHP-CGM @ </v>
      </c>
      <c r="Z591" s="4" t="str">
        <f ca="1">IFERROR(__xludf.DUMMYFUNCTION("""COMPUTED_VALUE"""),"| 5 L CPT % | 6 L PHP-CGM % | 7 P Python @ | 9 P NS @ ")</f>
        <v xml:space="preserve">| 5 L CPT % | 6 L PHP-CGM % | 7 P Python @ | 9 P NS @ </v>
      </c>
      <c r="AA591" s="4" t="str">
        <f ca="1">IFERROR(__xludf.DUMMYFUNCTION("""COMPUTED_VALUE"""),"| 5 L NS % | 6 L CPT % | 7 P PRO @ | 9 P PHP-CGM @ ")</f>
        <v xml:space="preserve">| 5 L NS % | 6 L CPT % | 7 P PRO @ | 9 P PHP-CGM @ </v>
      </c>
      <c r="AB591" s="4" t="str">
        <f ca="1">IFERROR(__xludf.DUMMYFUNCTION("""COMPUTED_VALUE"""),"| 5 L NS % | 6 L JAVA % | 7 P Python @ | 9 P CPT % ")</f>
        <v xml:space="preserve">| 5 L NS % | 6 L JAVA % | 7 P Python @ | 9 P CPT % </v>
      </c>
      <c r="AC591" s="4" t="str">
        <f ca="1">IFERROR(__xludf.DUMMYFUNCTION("""COMPUTED_VALUE"""),"| 1 L PHP-CGM % | 6 L JAVA % | 7 P JAVA @ ")</f>
        <v xml:space="preserve">| 1 L PHP-CGM % | 6 L JAVA % | 7 P JAVA @ </v>
      </c>
      <c r="AD591" s="4" t="str">
        <f ca="1">IFERROR(__xludf.DUMMYFUNCTION("""COMPUTED_VALUE"""),"| 5 L JAVA % | 6 L NS % | 9 P JAVA % | 9 L CPT @ | 6 L PHP-CGM @ ")</f>
        <v xml:space="preserve">| 5 L JAVA % | 6 L NS % | 9 P JAVA % | 9 L CPT @ | 6 L PHP-CGM @ </v>
      </c>
      <c r="AE591" s="4" t="str">
        <f ca="1">IFERROR(__xludf.DUMMYFUNCTION("""COMPUTED_VALUE"""),"| 5 L CPT % | 6 L PHP-CGM % | 7 P Python % | 9 P NS @ ")</f>
        <v xml:space="preserve">| 5 L CPT % | 6 L PHP-CGM % | 7 P Python % | 9 P NS @ </v>
      </c>
      <c r="AF591" s="4" t="str">
        <f ca="1">IFERROR(__xludf.DUMMYFUNCTION("""COMPUTED_VALUE"""),"| 5 L NS % | 6 L CPT % | 7 P PRO @ | 9 P PHP-CGM @ ")</f>
        <v xml:space="preserve">| 5 L NS % | 6 L CPT % | 7 P PRO @ | 9 P PHP-CGM @ </v>
      </c>
      <c r="AG591" s="4" t="str">
        <f ca="1">IFERROR(__xludf.DUMMYFUNCTION("""COMPUTED_VALUE"""),"| 5 L NS % | 6 L JAVA % | 7 P Python % | 9 P CPT @ ")</f>
        <v xml:space="preserve">| 5 L NS % | 6 L JAVA % | 7 P Python % | 9 P CPT @ </v>
      </c>
      <c r="AH591" s="4" t="str">
        <f ca="1">IFERROR(__xludf.DUMMYFUNCTION("""COMPUTED_VALUE"""),"| 5 L NS % | 6 L CPT % | 7 P PRO @ | 9 P PHP-CGM % ")</f>
        <v xml:space="preserve">| 5 L NS % | 6 L CPT % | 7 P PRO @ | 9 P PHP-CGM % </v>
      </c>
      <c r="AI591" s="4" t="str">
        <f ca="1">IFERROR(__xludf.DUMMYFUNCTION("""COMPUTED_VALUE"""),"| 5 L NS @ | 6 L JAVA @ | 7 P Python @ | 9 P CPT @ ")</f>
        <v xml:space="preserve">| 5 L NS @ | 6 L JAVA @ | 7 P Python @ | 9 P CPT @ </v>
      </c>
      <c r="AJ591" s="4" t="str">
        <f ca="1">IFERROR(__xludf.DUMMYFUNCTION("""COMPUTED_VALUE"""),"| 1 L PHP-CGM % | 6 L JAVA @ | 7 P JAVA % ")</f>
        <v xml:space="preserve">| 1 L PHP-CGM % | 6 L JAVA @ | 7 P JAVA % </v>
      </c>
      <c r="AK591" s="4" t="str">
        <f ca="1">IFERROR(__xludf.DUMMYFUNCTION("""COMPUTED_VALUE"""),"| 5 L JAVA @ | 6 L NS % | 7 P JAVA % | 9 L CPT @ | 6 L PHP-CGM @ ")</f>
        <v xml:space="preserve">| 5 L JAVA @ | 6 L NS % | 7 P JAVA % | 9 L CPT @ | 6 L PHP-CGM @ </v>
      </c>
      <c r="AL591" s="4" t="str">
        <f ca="1">IFERROR(__xludf.DUMMYFUNCTION("""COMPUTED_VALUE"""),"| 5 L CPT @ | 7 P Python @ | 6 L PHP-CGM @ | 9 P NS @ ")</f>
        <v xml:space="preserve">| 5 L CPT @ | 7 P Python @ | 6 L PHP-CGM @ | 9 P NS @ </v>
      </c>
      <c r="AM591" s="4" t="str">
        <f ca="1">IFERROR(__xludf.DUMMYFUNCTION("""COMPUTED_VALUE"""),"| 5 L NS @ | 6 L CPT @ | 7 P PRO @ ")</f>
        <v xml:space="preserve">| 5 L NS @ | 6 L CPT @ | 7 P PRO @ </v>
      </c>
      <c r="AN591" s="4" t="str">
        <f ca="1">IFERROR(__xludf.DUMMYFUNCTION("""COMPUTED_VALUE"""),"| 5 L NS @ | 6 L JAVA @ ")</f>
        <v xml:space="preserve">| 5 L NS @ | 6 L JAVA @ </v>
      </c>
      <c r="AO591" s="4" t="str">
        <f ca="1">IFERROR(__xludf.DUMMYFUNCTION("""COMPUTED_VALUE"""),"| 1 L PHP-CGM % | 6 L JAVA % | 7 P JAVA @ | 9 L INE @ ")</f>
        <v xml:space="preserve">| 1 L PHP-CGM % | 6 L JAVA % | 7 P JAVA @ | 9 L INE @ </v>
      </c>
      <c r="AP591" s="4" t="str">
        <f ca="1">IFERROR(__xludf.DUMMYFUNCTION("""COMPUTED_VALUE"""),"| 5 L JAVA % | 6 L NS % | 9 P JAVA % | 9 L CPT % | 6 L PHP-CGM % ")</f>
        <v xml:space="preserve">| 5 L JAVA % | 6 L NS % | 9 P JAVA % | 9 L CPT % | 6 L PHP-CGM % </v>
      </c>
      <c r="AQ591" s="4" t="str">
        <f ca="1">IFERROR(__xludf.DUMMYFUNCTION("""COMPUTED_VALUE"""),"| 5 L CPT % | 6 L PHP-CGM % ")</f>
        <v xml:space="preserve">| 5 L CPT % | 6 L PHP-CGM % </v>
      </c>
      <c r="AR591" s="4" t="str">
        <f ca="1">IFERROR(__xludf.DUMMYFUNCTION("""COMPUTED_VALUE"""),"| 5 L NS % | 6 L CPT % | 7 P PRO @ | 9 P PHP-CGM @ ")</f>
        <v xml:space="preserve">| 5 L NS % | 6 L CPT % | 7 P PRO @ | 9 P PHP-CGM @ </v>
      </c>
      <c r="AS591" s="4" t="str">
        <f ca="1">IFERROR(__xludf.DUMMYFUNCTION("""COMPUTED_VALUE"""),"| 1 L PHP-CGM @ | 6 L JAVA @ | 7 P JAVA @ | 9 L INE @ ")</f>
        <v xml:space="preserve">| 1 L PHP-CGM @ | 6 L JAVA @ | 7 P JAVA @ | 9 L INE @ </v>
      </c>
      <c r="AT591" s="4" t="str">
        <f ca="1">IFERROR(__xludf.DUMMYFUNCTION("""COMPUTED_VALUE"""),"| 5 L JAVA % | 6 L NS % | 9 P JAVA % | 9 L CPT @ | 6 L PHP-CGM @ ")</f>
        <v xml:space="preserve">| 5 L JAVA % | 6 L NS % | 9 P JAVA % | 9 L CPT @ | 6 L PHP-CGM @ </v>
      </c>
      <c r="AU591" s="4" t="str">
        <f ca="1">IFERROR(__xludf.DUMMYFUNCTION("""COMPUTED_VALUE"""),"| 5 L CPT @ | 6 L PHP-CGM @ | 7 P Python @ | 9 P NS @ ")</f>
        <v xml:space="preserve">| 5 L CPT @ | 6 L PHP-CGM @ | 7 P Python @ | 9 P NS @ </v>
      </c>
      <c r="AV591" s="4" t="str">
        <f ca="1">IFERROR(__xludf.DUMMYFUNCTION("""COMPUTED_VALUE"""),"| 5 L NS % | 6 L CPT % | 7 P PRO @ | 9 P PHP-CGM @ ")</f>
        <v xml:space="preserve">| 5 L NS % | 6 L CPT % | 7 P PRO @ | 9 P PHP-CGM @ </v>
      </c>
      <c r="AW591" s="4" t="str">
        <f ca="1">IFERROR(__xludf.DUMMYFUNCTION("""COMPUTED_VALUE"""),"| 5 L NS % | 6 L JAVA % | 7 P Python % ")</f>
        <v xml:space="preserve">| 5 L NS % | 6 L JAVA % | 7 P Python % </v>
      </c>
      <c r="AX591" s="4" t="str">
        <f ca="1">IFERROR(__xludf.DUMMYFUNCTION("""COMPUTED_VALUE"""),"| 1 L PHP-CGM % | 6 L JAVA % | 7 P JAVA % | 9 L INE @ ")</f>
        <v xml:space="preserve">| 1 L PHP-CGM % | 6 L JAVA % | 7 P JAVA % | 9 L INE @ </v>
      </c>
      <c r="AY591" s="4" t="str">
        <f ca="1">IFERROR(__xludf.DUMMYFUNCTION("""COMPUTED_VALUE"""),"| 5 L JAVA % | 6 L NS % | 7 P JAVA @ | 9 L CPT @ | 11 L PHP-CGM @ ")</f>
        <v xml:space="preserve">| 5 L JAVA % | 6 L NS % | 7 P JAVA @ | 9 L CPT @ | 11 L PHP-CGM @ </v>
      </c>
      <c r="AZ591" s="4" t="str">
        <f ca="1">IFERROR(__xludf.DUMMYFUNCTION("""COMPUTED_VALUE"""),"| 5 L NS % | 6 L CPT % | 7 P PRO % ")</f>
        <v xml:space="preserve">| 5 L NS % | 6 L CPT % | 7 P PRO % </v>
      </c>
      <c r="BA591" s="4" t="str">
        <f ca="1">IFERROR(__xludf.DUMMYFUNCTION("""COMPUTED_VALUE"""),"| 5 L NS @ | 6 L JAVA @ | 7 P Python @ | 9 P CPT @ ")</f>
        <v xml:space="preserve">| 5 L NS @ | 6 L JAVA @ | 7 P Python @ | 9 P CPT @ </v>
      </c>
      <c r="BB591" s="4" t="str">
        <f ca="1">IFERROR(__xludf.DUMMYFUNCTION("""COMPUTED_VALUE"""),"| 1 L PHP-CGM % | 6 L JAVA % | 7 P JAVA % | 9 L INE @ ")</f>
        <v xml:space="preserve">| 1 L PHP-CGM % | 6 L JAVA % | 7 P JAVA % | 9 L INE @ </v>
      </c>
      <c r="BC591" s="4" t="str">
        <f ca="1">IFERROR(__xludf.DUMMYFUNCTION("""COMPUTED_VALUE"""),"| 5 L JAVA % | 6 L NS % | 7 P JAVA @ | 10 L PHP-CGM % | 9 L CPT % ")</f>
        <v xml:space="preserve">| 5 L JAVA % | 6 L NS % | 7 P JAVA @ | 10 L PHP-CGM % | 9 L CPT % </v>
      </c>
      <c r="BD591" s="4" t="str">
        <f ca="1">IFERROR(__xludf.DUMMYFUNCTION("""COMPUTED_VALUE"""),"| 5 L CPT @ | 6 L PHP-CGM % | 7 P Python @ | 9 P NS @ ")</f>
        <v xml:space="preserve">| 5 L CPT @ | 6 L PHP-CGM % | 7 P Python @ | 9 P NS @ </v>
      </c>
      <c r="BE591" s="4" t="str">
        <f ca="1">IFERROR(__xludf.DUMMYFUNCTION("""COMPUTED_VALUE"""),"| 5 L NS % | 6 L CPT % | 7 P PRO % | 9 P PHP-CGM % ")</f>
        <v xml:space="preserve">| 5 L NS % | 6 L CPT % | 7 P PRO % | 9 P PHP-CGM % </v>
      </c>
      <c r="BF591" s="4" t="str">
        <f ca="1">IFERROR(__xludf.DUMMYFUNCTION("""COMPUTED_VALUE"""),"| 5 L NS @ | 6 L JAVA % | 7 P Python @ | 9 P CPT @ ")</f>
        <v xml:space="preserve">| 5 L NS @ | 6 L JAVA % | 7 P Python @ | 9 P CPT @ </v>
      </c>
      <c r="BG591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H591" s="4" t="str">
        <f ca="1">IFERROR(__xludf.DUMMYFUNCTION("""COMPUTED_VALUE"""),"| 5 L CPT @ | 6 L PHP-CGM @ | 7 P Python @ | 9 P NS @ ")</f>
        <v xml:space="preserve">| 5 L CPT @ | 6 L PHP-CGM @ | 7 P Python @ | 9 P NS @ </v>
      </c>
      <c r="BI591" s="4" t="str">
        <f ca="1">IFERROR(__xludf.DUMMYFUNCTION("""COMPUTED_VALUE"""),"| 5 L NS @ | 6 L CPT @ | 7 P PRO @ | 9 P PHP-CGM @ ")</f>
        <v xml:space="preserve">| 5 L NS @ | 6 L CPT @ | 7 P PRO @ | 9 P PHP-CGM @ </v>
      </c>
      <c r="BJ591" s="4" t="str">
        <f ca="1">IFERROR(__xludf.DUMMYFUNCTION("""COMPUTED_VALUE"""),"| 5 L NS @ | 6 L JAVA @ | 7 P Python @ ")</f>
        <v xml:space="preserve">| 5 L NS @ | 6 L JAVA @ | 7 P Python @ </v>
      </c>
      <c r="BK591" s="4" t="str">
        <f ca="1">IFERROR(__xludf.DUMMYFUNCTION("""COMPUTED_VALUE"""),"| 1 L PHP-CGM @ | 6 L JAVA @ | 7 P JAVA @ | 9 L INE @ ")</f>
        <v xml:space="preserve">| 1 L PHP-CGM @ | 6 L JAVA @ | 7 P JAVA @ | 9 L INE @ </v>
      </c>
      <c r="BL591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BM591" s="4" t="str">
        <f ca="1">IFERROR(__xludf.DUMMYFUNCTION("""COMPUTED_VALUE"""),"| 5 L CPT @ | 6 L PHP-CGM @ | 7 P Python @ ")</f>
        <v xml:space="preserve">| 5 L CPT @ | 6 L PHP-CGM @ | 7 P Python @ </v>
      </c>
      <c r="BN591" s="4" t="str">
        <f ca="1">IFERROR(__xludf.DUMMYFUNCTION("""COMPUTED_VALUE"""),"| 5 L NS @ | 6 L CPT @ | 7 P PRO @ | 9 P PHP-CGM @ ")</f>
        <v xml:space="preserve">| 5 L NS @ | 6 L CPT @ | 7 P PRO @ | 9 P PHP-CGM @ </v>
      </c>
      <c r="BO591" s="4" t="str">
        <f ca="1">IFERROR(__xludf.DUMMYFUNCTION("""COMPUTED_VALUE"""),"| 5 L NS @ | 6 L JAVA @ ")</f>
        <v xml:space="preserve">| 5 L NS @ | 6 L JAVA @ </v>
      </c>
      <c r="BP591" s="4" t="str">
        <f ca="1">IFERROR(__xludf.DUMMYFUNCTION("""COMPUTED_VALUE"""),"| 1 L PHP-CGM @ | 6 L JAVA @ | 7 P JAVA @ | 9 L INE @ ")</f>
        <v xml:space="preserve">| 1 L PHP-CGM @ | 6 L JAVA @ | 7 P JAVA @ | 9 L INE @ </v>
      </c>
      <c r="BQ591" s="4" t="str">
        <f ca="1">IFERROR(__xludf.DUMMYFUNCTION("""COMPUTED_VALUE"""),"| 5 L CPT @ ")</f>
        <v xml:space="preserve">| 5 L CPT @ </v>
      </c>
      <c r="BR591" s="4"/>
      <c r="BS591" s="4" t="str">
        <f ca="1">IFERROR(__xludf.DUMMYFUNCTION("""COMPUTED_VALUE"""),"| 6 L CPT @ ")</f>
        <v xml:space="preserve">| 6 L CPT @ </v>
      </c>
      <c r="BT591" s="4" t="str">
        <f ca="1">IFERROR(__xludf.DUMMYFUNCTION("""COMPUTED_VALUE"""),"| 7 P JAVA @ ")</f>
        <v xml:space="preserve">| 7 P JAVA @ </v>
      </c>
      <c r="BU591" s="4" t="str">
        <f ca="1">IFERROR(__xludf.DUMMYFUNCTION("""COMPUTED_VALUE"""),"| 7 P JAVA @ ")</f>
        <v xml:space="preserve">| 7 P JAVA @ </v>
      </c>
      <c r="BV591" s="4" t="str">
        <f ca="1">IFERROR(__xludf.DUMMYFUNCTION("""COMPUTED_VALUE"""),"| 5 L PHP-CGM % | 6 L JAVA % | 7 P JAVA @ ")</f>
        <v xml:space="preserve">| 5 L PHP-CGM % | 6 L JAVA % | 7 P JAVA @ </v>
      </c>
      <c r="BW591" s="4"/>
      <c r="BX591" s="4" t="str">
        <f ca="1">IFERROR(__xludf.DUMMYFUNCTION("""COMPUTED_VALUE"""),"| 5 L CPT @ | 7 P Python % | 9 P NS % | 6 L PHP-CGM @ ")</f>
        <v xml:space="preserve">| 5 L CPT @ | 7 P Python % | 9 P NS % | 6 L PHP-CGM @ </v>
      </c>
      <c r="BY591" s="4" t="str">
        <f ca="1">IFERROR(__xludf.DUMMYFUNCTION("""COMPUTED_VALUE"""),"| 5 L NS @ | 6 L CPT @ | 7 P PRO @ | 9 P PHP-CGM @ ")</f>
        <v xml:space="preserve">| 5 L NS @ | 6 L CPT @ | 7 P PRO @ | 9 P PHP-CGM @ </v>
      </c>
      <c r="BZ591" s="4" t="str">
        <f ca="1">IFERROR(__xludf.DUMMYFUNCTION("""COMPUTED_VALUE"""),"| 5 L NS @ | 6 L JAVA @ | 7 P Python @ | 9 P CPT @ ")</f>
        <v xml:space="preserve">| 5 L NS @ | 6 L JAVA @ | 7 P Python @ | 9 P CPT @ </v>
      </c>
      <c r="CA591" s="4" t="str">
        <f ca="1">IFERROR(__xludf.DUMMYFUNCTION("""COMPUTED_VALUE"""),"| 1 L PHP-CGM @ | 6 L JAVA @ | 7 P JAVA @ ")</f>
        <v xml:space="preserve">| 1 L PHP-CGM @ | 6 L JAVA @ | 7 P JAVA @ </v>
      </c>
      <c r="CB591" s="4" t="str">
        <f ca="1">IFERROR(__xludf.DUMMYFUNCTION("""COMPUTED_VALUE"""),"| 5 L JAVA @ | 6 L NS @ | 7 P JAVA @ | 9 L CPT @ | 10 L PHP-CGM @ ")</f>
        <v xml:space="preserve">| 5 L JAVA @ | 6 L NS @ | 7 P JAVA @ | 9 L CPT @ | 10 L PHP-CGM @ </v>
      </c>
      <c r="CC591" s="4" t="str">
        <f ca="1">IFERROR(__xludf.DUMMYFUNCTION("""COMPUTED_VALUE"""),"| 5 L CPT @ | 6 L PHP-CGM @ | 7 P Python @ | 9 P NS @ ")</f>
        <v xml:space="preserve">| 5 L CPT @ | 6 L PHP-CGM @ | 7 P Python @ | 9 P NS @ </v>
      </c>
      <c r="CD591" s="4" t="str">
        <f ca="1">IFERROR(__xludf.DUMMYFUNCTION("""COMPUTED_VALUE"""),"| 5 L NS @ | 6 L CPT @ | 7 P PRO @ ")</f>
        <v xml:space="preserve">| 5 L NS @ | 6 L CPT @ | 7 P PRO @ </v>
      </c>
      <c r="CE591" s="4" t="str">
        <f ca="1">IFERROR(__xludf.DUMMYFUNCTION("""COMPUTED_VALUE"""),"| 5 L NS @ | 6 L JAVA @ | 7 P Python @ | 9 P CPT @ ")</f>
        <v xml:space="preserve">| 5 L NS @ | 6 L JAVA @ | 7 P Python @ | 9 P CPT @ </v>
      </c>
      <c r="CF591" s="4" t="str">
        <f ca="1">IFERROR(__xludf.DUMMYFUNCTION("""COMPUTED_VALUE"""),"| 5 L PHP-CGM @ | 6 L JAVA @ | 9 L INE @ ")</f>
        <v xml:space="preserve">| 5 L PHP-CGM @ | 6 L JAVA @ | 9 L INE @ </v>
      </c>
      <c r="CG591" s="4" t="str">
        <f ca="1">IFERROR(__xludf.DUMMYFUNCTION("""COMPUTED_VALUE"""),"| 5 L JAVA @ | 6 L NS @ ")</f>
        <v xml:space="preserve">| 5 L JAVA @ | 6 L NS @ </v>
      </c>
      <c r="CH591" s="4" t="str">
        <f ca="1">IFERROR(__xludf.DUMMYFUNCTION("""COMPUTED_VALUE"""),"| 5 L CPT @ | 7 P Python @ | 9 P NS @ ")</f>
        <v xml:space="preserve">| 5 L CPT @ | 7 P Python @ | 9 P NS @ </v>
      </c>
      <c r="CI591" s="4" t="str">
        <f ca="1">IFERROR(__xludf.DUMMYFUNCTION("""COMPUTED_VALUE"""),"| 5 L NS @ | 6 L CPT @ ")</f>
        <v xml:space="preserve">| 5 L NS @ | 6 L CPT @ </v>
      </c>
      <c r="CJ591" s="4" t="str">
        <f ca="1">IFERROR(__xludf.DUMMYFUNCTION("""COMPUTED_VALUE"""),"| 5 L NS @ ")</f>
        <v xml:space="preserve">| 5 L NS @ </v>
      </c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</row>
    <row r="592" spans="1:102" ht="12.5" x14ac:dyDescent="0.25">
      <c r="A592" s="3">
        <f ca="1">IFERROR(__xludf.DUMMYFUNCTION("""COMPUTED_VALUE"""),2)</f>
        <v>2</v>
      </c>
      <c r="B592" s="3" t="str">
        <f ca="1">IFERROR(__xludf.DUMMYFUNCTION("""COMPUTED_VALUE"""),"ITD")</f>
        <v>ITD</v>
      </c>
      <c r="C592" s="32" t="str">
        <f ca="1">IFERROR(__xludf.DUMMYFUNCTION("""COMPUTED_VALUE"""),"23171371046")</f>
        <v>23171371046</v>
      </c>
      <c r="D592" s="4" t="str">
        <f ca="1">IFERROR(__xludf.DUMMYFUNCTION("""COMPUTED_VALUE"""),"NAYAK HANI ROHITKUMAR")</f>
        <v>NAYAK HANI ROHITKUMAR</v>
      </c>
      <c r="E592" s="3" t="str">
        <f ca="1">IFERROR(__xludf.DUMMYFUNCTION("""COMPUTED_VALUE"""),"SRC - Eve")</f>
        <v>SRC - Eve</v>
      </c>
      <c r="F592" s="3">
        <f ca="1">IFERROR(__xludf.DUMMYFUNCTION("""COMPUTED_VALUE"""),6353392432)</f>
        <v>6353392432</v>
      </c>
      <c r="G592" s="3">
        <f ca="1">IFERROR(__xludf.DUMMYFUNCTION("""COMPUTED_VALUE"""),6353392432)</f>
        <v>6353392432</v>
      </c>
      <c r="H592" s="33">
        <f ca="1">IFERROR(__xludf.DUMMYFUNCTION("""COMPUTED_VALUE"""),0.552995391705069)</f>
        <v>0.55299539170506895</v>
      </c>
      <c r="I592" s="25">
        <f ca="1">IFERROR(__xludf.DUMMYFUNCTION("""COMPUTED_VALUE"""),0.5)</f>
        <v>0.5</v>
      </c>
      <c r="J592" s="25">
        <f ca="1">IFERROR(__xludf.DUMMYFUNCTION("""COMPUTED_VALUE"""),0.555555555555555)</f>
        <v>0.55555555555555503</v>
      </c>
      <c r="K592" s="25">
        <f ca="1">IFERROR(__xludf.DUMMYFUNCTION("""COMPUTED_VALUE"""),0.527777777777777)</f>
        <v>0.52777777777777701</v>
      </c>
      <c r="L592" s="25">
        <f ca="1">IFERROR(__xludf.DUMMYFUNCTION("""COMPUTED_VALUE"""),0.636363636363636)</f>
        <v>0.63636363636363602</v>
      </c>
      <c r="M592" s="25">
        <f ca="1">IFERROR(__xludf.DUMMYFUNCTION("""COMPUTED_VALUE"""),0.65625)</f>
        <v>0.65625</v>
      </c>
      <c r="N592" s="25">
        <f ca="1">IFERROR(__xludf.DUMMYFUNCTION("""COMPUTED_VALUE"""),0.636363636363636)</f>
        <v>0.63636363636363602</v>
      </c>
      <c r="O592" s="25">
        <f ca="1">IFERROR(__xludf.DUMMYFUNCTION("""COMPUTED_VALUE"""),0.676470588235294)</f>
        <v>0.67647058823529405</v>
      </c>
      <c r="P592" s="25">
        <f ca="1">IFERROR(__xludf.DUMMYFUNCTION("""COMPUTED_VALUE"""),0.277777777777777)</f>
        <v>0.27777777777777701</v>
      </c>
      <c r="Q592" s="25">
        <f ca="1">IFERROR(__xludf.DUMMYFUNCTION("""COMPUTED_VALUE"""),0)</f>
        <v>0</v>
      </c>
      <c r="R592" s="25">
        <f ca="1">IFERROR(__xludf.DUMMYFUNCTION("""COMPUTED_VALUE"""),0.666666666666666)</f>
        <v>0.66666666666666596</v>
      </c>
      <c r="S592" s="25">
        <f ca="1">IFERROR(__xludf.DUMMYFUNCTION("""COMPUTED_VALUE"""),0)</f>
        <v>0</v>
      </c>
      <c r="T592" s="25">
        <f ca="1">IFERROR(__xludf.DUMMYFUNCTION("""COMPUTED_VALUE"""),0.363636363636363)</f>
        <v>0.36363636363636298</v>
      </c>
      <c r="U592" s="25">
        <f ca="1">IFERROR(__xludf.DUMMYFUNCTION("""COMPUTED_VALUE"""),0.428571428571428)</f>
        <v>0.42857142857142799</v>
      </c>
      <c r="V592" s="25">
        <f ca="1">IFERROR(__xludf.DUMMYFUNCTION("""COMPUTED_VALUE"""),0)</f>
        <v>0</v>
      </c>
      <c r="W592" s="4"/>
      <c r="X592" s="4" t="str">
        <f ca="1">IFERROR(__xludf.DUMMYFUNCTION("""COMPUTED_VALUE"""),"| 1 L PHP-CGM % | 6 L JAVA % | 3 P PHP-CGM % ")</f>
        <v xml:space="preserve">| 1 L PHP-CGM % | 6 L JAVA % | 3 P PHP-CGM % </v>
      </c>
      <c r="Y592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Z592" s="4" t="str">
        <f ca="1">IFERROR(__xludf.DUMMYFUNCTION("""COMPUTED_VALUE"""),"| 5 L CPT % | 6 L PHP-CGM % | 7 P Python % | 9 P CPT % ")</f>
        <v xml:space="preserve">| 5 L CPT % | 6 L PHP-CGM % | 7 P Python % | 9 P CPT % </v>
      </c>
      <c r="AA592" s="4" t="str">
        <f ca="1">IFERROR(__xludf.DUMMYFUNCTION("""COMPUTED_VALUE"""),"| 5 L NS @ | 6 L CPT @ | 7 P PRO @ | 9 P JAVA @ ")</f>
        <v xml:space="preserve">| 5 L NS @ | 6 L CPT @ | 7 P PRO @ | 9 P JAVA @ </v>
      </c>
      <c r="AB592" s="4" t="str">
        <f ca="1">IFERROR(__xludf.DUMMYFUNCTION("""COMPUTED_VALUE"""),"| 5 L NS % | 6 L JAVA @ | 7 P JAVA @ | 9 P Python @ ")</f>
        <v xml:space="preserve">| 5 L NS % | 6 L JAVA @ | 7 P JAVA @ | 9 P Python @ </v>
      </c>
      <c r="AC592" s="4" t="str">
        <f ca="1">IFERROR(__xludf.DUMMYFUNCTION("""COMPUTED_VALUE"""),"| 1 L PHP-CGM % | 6 L JAVA % | 3 P PHP-CGM @ ")</f>
        <v xml:space="preserve">| 1 L PHP-CGM % | 6 L JAVA % | 3 P PHP-CGM @ </v>
      </c>
      <c r="AD592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E592" s="4" t="str">
        <f ca="1">IFERROR(__xludf.DUMMYFUNCTION("""COMPUTED_VALUE"""),"| 5 L CPT % | 6 L PHP-CGM % | 7 P Python % | 9 P CPT % ")</f>
        <v xml:space="preserve">| 5 L CPT % | 6 L PHP-CGM % | 7 P Python % | 9 P CPT % </v>
      </c>
      <c r="AF592" s="4" t="str">
        <f ca="1">IFERROR(__xludf.DUMMYFUNCTION("""COMPUTED_VALUE"""),"| 5 L NS @ | 6 L CPT @ | 7 P PRO @ | 9 P JAVA @ ")</f>
        <v xml:space="preserve">| 5 L NS @ | 6 L CPT @ | 7 P PRO @ | 9 P JAVA @ </v>
      </c>
      <c r="AG592" s="4" t="str">
        <f ca="1">IFERROR(__xludf.DUMMYFUNCTION("""COMPUTED_VALUE"""),"| 5 L NS @ | 6 L JAVA @ | 7 P JAVA @ ")</f>
        <v xml:space="preserve">| 5 L NS @ | 6 L JAVA @ | 7 P JAVA @ </v>
      </c>
      <c r="AH592" s="4" t="str">
        <f ca="1">IFERROR(__xludf.DUMMYFUNCTION("""COMPUTED_VALUE"""),"| 5 L NS % | 6 L CPT % | 7 P PRO % | 9 P JAVA @ ")</f>
        <v xml:space="preserve">| 5 L NS % | 6 L CPT % | 7 P PRO % | 9 P JAVA @ </v>
      </c>
      <c r="AI592" s="4" t="str">
        <f ca="1">IFERROR(__xludf.DUMMYFUNCTION("""COMPUTED_VALUE"""),"| 5 L NS % | 6 L JAVA % | 7 P JAVA % | 9 P Python % ")</f>
        <v xml:space="preserve">| 5 L NS % | 6 L JAVA % | 7 P JAVA % | 9 P Python % </v>
      </c>
      <c r="AJ592" s="4" t="str">
        <f ca="1">IFERROR(__xludf.DUMMYFUNCTION("""COMPUTED_VALUE"""),"| 1 L PHP-CGM % | 6 L JAVA % | 3 P PHP-CGM % ")</f>
        <v xml:space="preserve">| 1 L PHP-CGM % | 6 L JAVA % | 3 P PHP-CGM % </v>
      </c>
      <c r="AK592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592" s="4" t="str">
        <f ca="1">IFERROR(__xludf.DUMMYFUNCTION("""COMPUTED_VALUE"""),"| 5 L CPT @ | 7 P Python @ | 6 L PHP-CGM @ | 9 P CPT @ ")</f>
        <v xml:space="preserve">| 5 L CPT @ | 7 P Python @ | 6 L PHP-CGM @ | 9 P CPT @ </v>
      </c>
      <c r="AM592" s="4" t="str">
        <f ca="1">IFERROR(__xludf.DUMMYFUNCTION("""COMPUTED_VALUE"""),"| 5 L NS @ | 6 L CPT @ | 9 P JAVA @ ")</f>
        <v xml:space="preserve">| 5 L NS @ | 6 L CPT @ | 9 P JAVA @ </v>
      </c>
      <c r="AN592" s="4" t="str">
        <f ca="1">IFERROR(__xludf.DUMMYFUNCTION("""COMPUTED_VALUE"""),"| 5 L NS % | 6 L JAVA % ")</f>
        <v xml:space="preserve">| 5 L NS % | 6 L JAVA % </v>
      </c>
      <c r="AO592" s="4" t="str">
        <f ca="1">IFERROR(__xludf.DUMMYFUNCTION("""COMPUTED_VALUE"""),"| 1 L PHP-CGM % | 6 L JAVA % | 3 P PHP-CGM % | 9 L INE @ ")</f>
        <v xml:space="preserve">| 1 L PHP-CGM % | 6 L JAVA % | 3 P PHP-CGM % | 9 L INE @ </v>
      </c>
      <c r="AP592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Q592" s="4" t="str">
        <f ca="1">IFERROR(__xludf.DUMMYFUNCTION("""COMPUTED_VALUE"""),"| 5 L CPT % | 6 L PHP-CGM % | 9 P CPT @ ")</f>
        <v xml:space="preserve">| 5 L CPT % | 6 L PHP-CGM % | 9 P CPT @ </v>
      </c>
      <c r="AR592" s="4" t="str">
        <f ca="1">IFERROR(__xludf.DUMMYFUNCTION("""COMPUTED_VALUE"""),"| 5 L NS @ | 6 L CPT @ | 7 P PRO % ")</f>
        <v xml:space="preserve">| 5 L NS @ | 6 L CPT @ | 7 P PRO % </v>
      </c>
      <c r="AS592" s="4" t="str">
        <f ca="1">IFERROR(__xludf.DUMMYFUNCTION("""COMPUTED_VALUE"""),"| 1 L PHP-CGM @ | 6 L JAVA @ | 3 P PHP-CGM @ | 9 L INE @ ")</f>
        <v xml:space="preserve">| 1 L PHP-CGM @ | 6 L JAVA @ | 3 P PHP-CGM @ | 9 L INE @ </v>
      </c>
      <c r="AT592" s="4" t="str">
        <f ca="1">IFERROR(__xludf.DUMMYFUNCTION("""COMPUTED_VALUE"""),"| 5 L JAVA % | 6 L NS @ | 7 P NS @ | 9 L CPT @ | 6 L PHP-CGM @ ")</f>
        <v xml:space="preserve">| 5 L JAVA % | 6 L NS @ | 7 P NS @ | 9 L CPT @ | 6 L PHP-CGM @ </v>
      </c>
      <c r="AU592" s="4" t="str">
        <f ca="1">IFERROR(__xludf.DUMMYFUNCTION("""COMPUTED_VALUE"""),"| 5 L CPT @ | 6 L PHP-CGM @ | 7 P Python @ | 9 P CPT @ ")</f>
        <v xml:space="preserve">| 5 L CPT @ | 6 L PHP-CGM @ | 7 P Python @ | 9 P CPT @ </v>
      </c>
      <c r="AV592" s="4" t="str">
        <f ca="1">IFERROR(__xludf.DUMMYFUNCTION("""COMPUTED_VALUE"""),"| 5 L NS % | 6 L CPT % | 7 P PRO % | 9 P JAVA @ ")</f>
        <v xml:space="preserve">| 5 L NS % | 6 L CPT % | 7 P PRO % | 9 P JAVA @ </v>
      </c>
      <c r="AW592" s="4" t="str">
        <f ca="1">IFERROR(__xludf.DUMMYFUNCTION("""COMPUTED_VALUE"""),"| 5 L NS @ | 6 L JAVA @ | 7 P JAVA @ | 9 P Python @ ")</f>
        <v xml:space="preserve">| 5 L NS @ | 6 L JAVA @ | 7 P JAVA @ | 9 P Python @ </v>
      </c>
      <c r="AX592" s="4" t="str">
        <f ca="1">IFERROR(__xludf.DUMMYFUNCTION("""COMPUTED_VALUE"""),"| 1 L PHP-CGM % | 6 L JAVA % | 3 P PHP-CGM % | 9 L INE % ")</f>
        <v xml:space="preserve">| 1 L PHP-CGM % | 6 L JAVA % | 3 P PHP-CGM % | 9 L INE % </v>
      </c>
      <c r="AY592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592" s="4" t="str">
        <f ca="1">IFERROR(__xludf.DUMMYFUNCTION("""COMPUTED_VALUE"""),"| 5 L NS % | 6 L CPT % | 7 P PRO @ | 9 P JAVA @ ")</f>
        <v xml:space="preserve">| 5 L NS % | 6 L CPT % | 7 P PRO @ | 9 P JAVA @ </v>
      </c>
      <c r="BA592" s="4" t="str">
        <f ca="1">IFERROR(__xludf.DUMMYFUNCTION("""COMPUTED_VALUE"""),"| 5 L NS % | 6 L JAVA % | 7 P JAVA % ")</f>
        <v xml:space="preserve">| 5 L NS % | 6 L JAVA % | 7 P JAVA % </v>
      </c>
      <c r="BB592" s="4" t="str">
        <f ca="1">IFERROR(__xludf.DUMMYFUNCTION("""COMPUTED_VALUE"""),"| 1 L PHP-CGM % | 6 L JAVA % | 3 P PHP-CGM % | 9 L INE % ")</f>
        <v xml:space="preserve">| 1 L PHP-CGM % | 6 L JAVA % | 3 P PHP-CGM % | 9 L INE % </v>
      </c>
      <c r="BC592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592" s="4" t="str">
        <f ca="1">IFERROR(__xludf.DUMMYFUNCTION("""COMPUTED_VALUE"""),"| 5 L CPT % | 7 P Python % | 6 L PHP-CGM % | 9 P CPT % ")</f>
        <v xml:space="preserve">| 5 L CPT % | 7 P Python % | 6 L PHP-CGM % | 9 P CPT % </v>
      </c>
      <c r="BE592" s="4" t="str">
        <f ca="1">IFERROR(__xludf.DUMMYFUNCTION("""COMPUTED_VALUE"""),"| 5 L NS % | 6 L CPT % | 9 P JAVA % | 7 P PRO % ")</f>
        <v xml:space="preserve">| 5 L NS % | 6 L CPT % | 9 P JAVA % | 7 P PRO % </v>
      </c>
      <c r="BF592" s="4" t="str">
        <f ca="1">IFERROR(__xludf.DUMMYFUNCTION("""COMPUTED_VALUE"""),"| 5 L NS @ | 6 L JAVA % | 7 P JAVA % ")</f>
        <v xml:space="preserve">| 5 L NS @ | 6 L JAVA % | 7 P JAVA % </v>
      </c>
      <c r="BG592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592" s="4" t="str">
        <f ca="1">IFERROR(__xludf.DUMMYFUNCTION("""COMPUTED_VALUE"""),"| 5 L CPT % | 7 P Python % | 6 L PHP-CGM % | 9 P CPT % ")</f>
        <v xml:space="preserve">| 5 L CPT % | 7 P Python % | 6 L PHP-CGM % | 9 P CPT % </v>
      </c>
      <c r="BI592" s="4" t="str">
        <f ca="1">IFERROR(__xludf.DUMMYFUNCTION("""COMPUTED_VALUE"""),"| 5 L NS % | 6 L CPT @ | 7 P PRO @ ")</f>
        <v xml:space="preserve">| 5 L NS % | 6 L CPT @ | 7 P PRO @ </v>
      </c>
      <c r="BJ592" s="4" t="str">
        <f ca="1">IFERROR(__xludf.DUMMYFUNCTION("""COMPUTED_VALUE"""),"| 5 L NS % | 6 L JAVA % | 7 P JAVA @ ")</f>
        <v xml:space="preserve">| 5 L NS % | 6 L JAVA % | 7 P JAVA @ </v>
      </c>
      <c r="BK592" s="4" t="str">
        <f ca="1">IFERROR(__xludf.DUMMYFUNCTION("""COMPUTED_VALUE"""),"| 1 L PHP-CGM @ | 6 L JAVA @ | 3 P PHP-CGM @ | 9 L INE @ ")</f>
        <v xml:space="preserve">| 1 L PHP-CGM @ | 6 L JAVA @ | 3 P PHP-CGM @ | 9 L INE @ </v>
      </c>
      <c r="BL592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M592" s="4" t="str">
        <f ca="1">IFERROR(__xludf.DUMMYFUNCTION("""COMPUTED_VALUE"""),"| 5 L CPT @ | 6 L PHP-CGM @ ")</f>
        <v xml:space="preserve">| 5 L CPT @ | 6 L PHP-CGM @ </v>
      </c>
      <c r="BN592" s="4" t="str">
        <f ca="1">IFERROR(__xludf.DUMMYFUNCTION("""COMPUTED_VALUE"""),"| 5 L NS @ | 6 L CPT @ | 7 P PRO @ ")</f>
        <v xml:space="preserve">| 5 L NS @ | 6 L CPT @ | 7 P PRO @ </v>
      </c>
      <c r="BO592" s="4" t="str">
        <f ca="1">IFERROR(__xludf.DUMMYFUNCTION("""COMPUTED_VALUE"""),"| 5 L NS @ | 6 L JAVA @ | 7 P JAVA @ ")</f>
        <v xml:space="preserve">| 5 L NS @ | 6 L JAVA @ | 7 P JAVA @ </v>
      </c>
      <c r="BP592" s="4" t="str">
        <f ca="1">IFERROR(__xludf.DUMMYFUNCTION("""COMPUTED_VALUE"""),"| 1 L PHP-CGM @ | 6 L JAVA @ | 3 P PHP-CGM @ | 9 L INE @ ")</f>
        <v xml:space="preserve">| 1 L PHP-CGM @ | 6 L JAVA @ | 3 P PHP-CGM @ | 9 L INE @ </v>
      </c>
      <c r="BQ592" s="4" t="str">
        <f ca="1">IFERROR(__xludf.DUMMYFUNCTION("""COMPUTED_VALUE"""),"| 5 L CPT @ ")</f>
        <v xml:space="preserve">| 5 L CPT @ </v>
      </c>
      <c r="BR592" s="4"/>
      <c r="BS592" s="4" t="str">
        <f ca="1">IFERROR(__xludf.DUMMYFUNCTION("""COMPUTED_VALUE"""),"| 6 L CPT @ ")</f>
        <v xml:space="preserve">| 6 L CPT @ </v>
      </c>
      <c r="BT592" s="4"/>
      <c r="BU592" s="4"/>
      <c r="BV592" s="4" t="str">
        <f ca="1">IFERROR(__xludf.DUMMYFUNCTION("""COMPUTED_VALUE"""),"| 5 L PHP-CGM @ | 6 L JAVA @ ")</f>
        <v xml:space="preserve">| 5 L PHP-CGM @ | 6 L JAVA @ </v>
      </c>
      <c r="BW592" s="4"/>
      <c r="BX592" s="4" t="str">
        <f ca="1">IFERROR(__xludf.DUMMYFUNCTION("""COMPUTED_VALUE"""),"| 5 L CPT @ | 6 L PHP-CGM @ ")</f>
        <v xml:space="preserve">| 5 L CPT @ | 6 L PHP-CGM @ </v>
      </c>
      <c r="BY592" s="4" t="str">
        <f ca="1">IFERROR(__xludf.DUMMYFUNCTION("""COMPUTED_VALUE"""),"| 5 L NS @ | 6 L CPT @ | 7 P PRO @ | 9 P JAVA @ ")</f>
        <v xml:space="preserve">| 5 L NS @ | 6 L CPT @ | 7 P PRO @ | 9 P JAVA @ </v>
      </c>
      <c r="BZ592" s="4" t="str">
        <f ca="1">IFERROR(__xludf.DUMMYFUNCTION("""COMPUTED_VALUE"""),"| 5 L NS % | 6 L JAVA % | 7 P JAVA % | 9 P Python % ")</f>
        <v xml:space="preserve">| 5 L NS % | 6 L JAVA % | 7 P JAVA % | 9 P Python % </v>
      </c>
      <c r="CA592" s="4" t="str">
        <f ca="1">IFERROR(__xludf.DUMMYFUNCTION("""COMPUTED_VALUE"""),"| 1 L PHP-CGM % | 6 L JAVA % | 3 P PHP-CGM % ")</f>
        <v xml:space="preserve">| 1 L PHP-CGM % | 6 L JAVA % | 3 P PHP-CGM % </v>
      </c>
      <c r="CB592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CC592" s="4" t="str">
        <f ca="1">IFERROR(__xludf.DUMMYFUNCTION("""COMPUTED_VALUE"""),"| 5 L CPT % | 6 L PHP-CGM % | 7 P Python % | 9 P CPT @ ")</f>
        <v xml:space="preserve">| 5 L CPT % | 6 L PHP-CGM % | 7 P Python % | 9 P CPT @ </v>
      </c>
      <c r="CD592" s="4" t="str">
        <f ca="1">IFERROR(__xludf.DUMMYFUNCTION("""COMPUTED_VALUE"""),"| 5 L NS @ | 6 L CPT @ | 7 P PRO @ ")</f>
        <v xml:space="preserve">| 5 L NS @ | 6 L CPT @ | 7 P PRO @ </v>
      </c>
      <c r="CE592" s="4" t="str">
        <f ca="1">IFERROR(__xludf.DUMMYFUNCTION("""COMPUTED_VALUE"""),"| 5 L NS @ | 6 L JAVA @ | 7 P JAVA @ ")</f>
        <v xml:space="preserve">| 5 L NS @ | 6 L JAVA @ | 7 P JAVA @ </v>
      </c>
      <c r="CF592" s="4" t="str">
        <f ca="1">IFERROR(__xludf.DUMMYFUNCTION("""COMPUTED_VALUE"""),"| 5 L PHP-CGM % | 6 L JAVA % | 7 P PHP-CGM % | 9 L INE % ")</f>
        <v xml:space="preserve">| 5 L PHP-CGM % | 6 L JAVA % | 7 P PHP-CGM % | 9 L INE % </v>
      </c>
      <c r="CG592" s="4" t="str">
        <f ca="1">IFERROR(__xludf.DUMMYFUNCTION("""COMPUTED_VALUE"""),"| 5 L JAVA % | 6 L NS % | 7 P NS % ")</f>
        <v xml:space="preserve">| 5 L JAVA % | 6 L NS % | 7 P NS % </v>
      </c>
      <c r="CH592" s="4" t="str">
        <f ca="1">IFERROR(__xludf.DUMMYFUNCTION("""COMPUTED_VALUE"""),"| 5 L CPT % | 7 P Python % | 9 P CPT % ")</f>
        <v xml:space="preserve">| 5 L CPT % | 7 P Python % | 9 P CPT % </v>
      </c>
      <c r="CI592" s="4" t="str">
        <f ca="1">IFERROR(__xludf.DUMMYFUNCTION("""COMPUTED_VALUE"""),"| 5 L NS @ | 6 L CPT @ ")</f>
        <v xml:space="preserve">| 5 L NS @ | 6 L CPT @ </v>
      </c>
      <c r="CJ592" s="4" t="str">
        <f ca="1">IFERROR(__xludf.DUMMYFUNCTION("""COMPUTED_VALUE"""),"| 5 L NS @ ")</f>
        <v xml:space="preserve">| 5 L NS @ </v>
      </c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</row>
    <row r="593" spans="1:102" ht="12.5" x14ac:dyDescent="0.25">
      <c r="A593" s="3">
        <f ca="1">IFERROR(__xludf.DUMMYFUNCTION("""COMPUTED_VALUE"""),2)</f>
        <v>2</v>
      </c>
      <c r="B593" s="3" t="str">
        <f ca="1">IFERROR(__xludf.DUMMYFUNCTION("""COMPUTED_VALUE"""),"ITD")</f>
        <v>ITD</v>
      </c>
      <c r="C593" s="32" t="str">
        <f ca="1">IFERROR(__xludf.DUMMYFUNCTION("""COMPUTED_VALUE"""),"23171371049")</f>
        <v>23171371049</v>
      </c>
      <c r="D593" s="4" t="str">
        <f ca="1">IFERROR(__xludf.DUMMYFUNCTION("""COMPUTED_VALUE"""),"PANCHAL DHRUV JAYESHBHAI")</f>
        <v>PANCHAL DHRUV JAYESHBHAI</v>
      </c>
      <c r="E593" s="3" t="str">
        <f ca="1">IFERROR(__xludf.DUMMYFUNCTION("""COMPUTED_VALUE"""),"SRC - Eve")</f>
        <v>SRC - Eve</v>
      </c>
      <c r="F593" s="3">
        <f ca="1">IFERROR(__xludf.DUMMYFUNCTION("""COMPUTED_VALUE"""),9428555041)</f>
        <v>9428555041</v>
      </c>
      <c r="G593" s="3">
        <f ca="1">IFERROR(__xludf.DUMMYFUNCTION("""COMPUTED_VALUE"""),9909880454)</f>
        <v>9909880454</v>
      </c>
      <c r="H593" s="33">
        <f ca="1">IFERROR(__xludf.DUMMYFUNCTION("""COMPUTED_VALUE"""),0.682027649769585)</f>
        <v>0.68202764976958496</v>
      </c>
      <c r="I593" s="25">
        <f ca="1">IFERROR(__xludf.DUMMYFUNCTION("""COMPUTED_VALUE"""),0.666666666666666)</f>
        <v>0.66666666666666596</v>
      </c>
      <c r="J593" s="25">
        <f ca="1">IFERROR(__xludf.DUMMYFUNCTION("""COMPUTED_VALUE"""),0.666666666666666)</f>
        <v>0.66666666666666596</v>
      </c>
      <c r="K593" s="25">
        <f ca="1">IFERROR(__xludf.DUMMYFUNCTION("""COMPUTED_VALUE"""),0.722222222222222)</f>
        <v>0.72222222222222199</v>
      </c>
      <c r="L593" s="25">
        <f ca="1">IFERROR(__xludf.DUMMYFUNCTION("""COMPUTED_VALUE"""),0.727272727272727)</f>
        <v>0.72727272727272696</v>
      </c>
      <c r="M593" s="25">
        <f ca="1">IFERROR(__xludf.DUMMYFUNCTION("""COMPUTED_VALUE"""),0.6875)</f>
        <v>0.6875</v>
      </c>
      <c r="N593" s="25">
        <f ca="1">IFERROR(__xludf.DUMMYFUNCTION("""COMPUTED_VALUE"""),0.636363636363636)</f>
        <v>0.63636363636363602</v>
      </c>
      <c r="O593" s="25">
        <f ca="1">IFERROR(__xludf.DUMMYFUNCTION("""COMPUTED_VALUE"""),0.647058823529411)</f>
        <v>0.64705882352941102</v>
      </c>
      <c r="P593" s="25">
        <f ca="1">IFERROR(__xludf.DUMMYFUNCTION("""COMPUTED_VALUE"""),0.666666666666666)</f>
        <v>0.66666666666666596</v>
      </c>
      <c r="Q593" s="25">
        <f ca="1">IFERROR(__xludf.DUMMYFUNCTION("""COMPUTED_VALUE"""),0)</f>
        <v>0</v>
      </c>
      <c r="R593" s="25">
        <f ca="1">IFERROR(__xludf.DUMMYFUNCTION("""COMPUTED_VALUE"""),0.833333333333333)</f>
        <v>0.83333333333333304</v>
      </c>
      <c r="S593" s="25">
        <f ca="1">IFERROR(__xludf.DUMMYFUNCTION("""COMPUTED_VALUE"""),0)</f>
        <v>0</v>
      </c>
      <c r="T593" s="25">
        <f ca="1">IFERROR(__xludf.DUMMYFUNCTION("""COMPUTED_VALUE"""),0.636363636363636)</f>
        <v>0.63636363636363602</v>
      </c>
      <c r="U593" s="25">
        <f ca="1">IFERROR(__xludf.DUMMYFUNCTION("""COMPUTED_VALUE"""),0.571428571428571)</f>
        <v>0.57142857142857095</v>
      </c>
      <c r="V593" s="25">
        <f ca="1">IFERROR(__xludf.DUMMYFUNCTION("""COMPUTED_VALUE"""),0)</f>
        <v>0</v>
      </c>
      <c r="W593" s="4"/>
      <c r="X593" s="4" t="str">
        <f ca="1">IFERROR(__xludf.DUMMYFUNCTION("""COMPUTED_VALUE"""),"| 1 L PHP-CGM % | 6 L JAVA % | 3 P PHP-CGM % ")</f>
        <v xml:space="preserve">| 1 L PHP-CGM % | 6 L JAVA % | 3 P PHP-CGM % </v>
      </c>
      <c r="Y59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Z593" s="4" t="str">
        <f ca="1">IFERROR(__xludf.DUMMYFUNCTION("""COMPUTED_VALUE"""),"| 5 L CPT % | 6 L PHP-CGM % | 7 P Python % | 9 P CPT % ")</f>
        <v xml:space="preserve">| 5 L CPT % | 6 L PHP-CGM % | 7 P Python % | 9 P CPT % </v>
      </c>
      <c r="AA593" s="4" t="str">
        <f ca="1">IFERROR(__xludf.DUMMYFUNCTION("""COMPUTED_VALUE"""),"| 5 L NS % | 6 L CPT % | 7 P PRO % | 9 P JAVA % ")</f>
        <v xml:space="preserve">| 5 L NS % | 6 L CPT % | 7 P PRO % | 9 P JAVA % </v>
      </c>
      <c r="AB593" s="4" t="str">
        <f ca="1">IFERROR(__xludf.DUMMYFUNCTION("""COMPUTED_VALUE"""),"| 5 L NS % | 6 L JAVA % | 7 P JAVA % | 9 P Python % ")</f>
        <v xml:space="preserve">| 5 L NS % | 6 L JAVA % | 7 P JAVA % | 9 P Python % </v>
      </c>
      <c r="AC593" s="4" t="str">
        <f ca="1">IFERROR(__xludf.DUMMYFUNCTION("""COMPUTED_VALUE"""),"| 1 L PHP-CGM % | 6 L JAVA % | 3 P PHP-CGM % ")</f>
        <v xml:space="preserve">| 1 L PHP-CGM % | 6 L JAVA % | 3 P PHP-CGM % </v>
      </c>
      <c r="AD59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593" s="4" t="str">
        <f ca="1">IFERROR(__xludf.DUMMYFUNCTION("""COMPUTED_VALUE"""),"| 5 L CPT % | 6 L PHP-CGM % | 7 P Python % | 9 P CPT % ")</f>
        <v xml:space="preserve">| 5 L CPT % | 6 L PHP-CGM % | 7 P Python % | 9 P CPT % </v>
      </c>
      <c r="AF593" s="4" t="str">
        <f ca="1">IFERROR(__xludf.DUMMYFUNCTION("""COMPUTED_VALUE"""),"| 5 L NS % | 6 L CPT % | 7 P PRO % | 9 P JAVA % ")</f>
        <v xml:space="preserve">| 5 L NS % | 6 L CPT % | 7 P PRO % | 9 P JAVA % </v>
      </c>
      <c r="AG593" s="4" t="str">
        <f ca="1">IFERROR(__xludf.DUMMYFUNCTION("""COMPUTED_VALUE"""),"| 5 L NS % | 6 L JAVA % | 7 P JAVA @ ")</f>
        <v xml:space="preserve">| 5 L NS % | 6 L JAVA % | 7 P JAVA @ </v>
      </c>
      <c r="AH593" s="4" t="str">
        <f ca="1">IFERROR(__xludf.DUMMYFUNCTION("""COMPUTED_VALUE"""),"| 5 L NS % | 6 L CPT % | 7 P PRO % | 9 P JAVA % ")</f>
        <v xml:space="preserve">| 5 L NS % | 6 L CPT % | 7 P PRO % | 9 P JAVA % </v>
      </c>
      <c r="AI593" s="4" t="str">
        <f ca="1">IFERROR(__xludf.DUMMYFUNCTION("""COMPUTED_VALUE"""),"| 5 L NS % | 6 L JAVA % | 7 P JAVA % | 9 P Python % ")</f>
        <v xml:space="preserve">| 5 L NS % | 6 L JAVA % | 7 P JAVA % | 9 P Python % </v>
      </c>
      <c r="AJ593" s="4" t="str">
        <f ca="1">IFERROR(__xludf.DUMMYFUNCTION("""COMPUTED_VALUE"""),"| 1 L PHP-CGM % | 6 L JAVA % | 3 P PHP-CGM % ")</f>
        <v xml:space="preserve">| 1 L PHP-CGM % | 6 L JAVA % | 3 P PHP-CGM % </v>
      </c>
      <c r="AK59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593" s="4" t="str">
        <f ca="1">IFERROR(__xludf.DUMMYFUNCTION("""COMPUTED_VALUE"""),"| 5 L CPT % | 7 P Python % | 6 L PHP-CGM % | 9 P CPT % ")</f>
        <v xml:space="preserve">| 5 L CPT % | 7 P Python % | 6 L PHP-CGM % | 9 P CPT % </v>
      </c>
      <c r="AM593" s="4" t="str">
        <f ca="1">IFERROR(__xludf.DUMMYFUNCTION("""COMPUTED_VALUE"""),"| 5 L NS % | 6 L CPT % | 9 P JAVA % ")</f>
        <v xml:space="preserve">| 5 L NS % | 6 L CPT % | 9 P JAVA % </v>
      </c>
      <c r="AN593" s="4" t="str">
        <f ca="1">IFERROR(__xludf.DUMMYFUNCTION("""COMPUTED_VALUE"""),"| 5 L NS @ | 6 L JAVA @ ")</f>
        <v xml:space="preserve">| 5 L NS @ | 6 L JAVA @ </v>
      </c>
      <c r="AO593" s="4" t="str">
        <f ca="1">IFERROR(__xludf.DUMMYFUNCTION("""COMPUTED_VALUE"""),"| 1 L PHP-CGM @ | 6 L JAVA @ | 3 P PHP-CGM @ | 9 L INE @ ")</f>
        <v xml:space="preserve">| 1 L PHP-CGM @ | 6 L JAVA @ | 3 P PHP-CGM @ | 9 L INE @ </v>
      </c>
      <c r="AP593" s="4" t="str">
        <f ca="1">IFERROR(__xludf.DUMMYFUNCTION("""COMPUTED_VALUE"""),"| 5 L JAVA @ | 6 L NS % | 7 P NS @ | 9 L CPT @ | 6 L PHP-CGM @ ")</f>
        <v xml:space="preserve">| 5 L JAVA @ | 6 L NS % | 7 P NS @ | 9 L CPT @ | 6 L PHP-CGM @ </v>
      </c>
      <c r="AQ593" s="4" t="str">
        <f ca="1">IFERROR(__xludf.DUMMYFUNCTION("""COMPUTED_VALUE"""),"| 5 L CPT @ | 6 L PHP-CGM @ | 9 P CPT @ ")</f>
        <v xml:space="preserve">| 5 L CPT @ | 6 L PHP-CGM @ | 9 P CPT @ </v>
      </c>
      <c r="AR593" s="4" t="str">
        <f ca="1">IFERROR(__xludf.DUMMYFUNCTION("""COMPUTED_VALUE"""),"| 5 L NS @ | 6 L CPT @ | 7 P PRO @ ")</f>
        <v xml:space="preserve">| 5 L NS @ | 6 L CPT @ | 7 P PRO @ </v>
      </c>
      <c r="AS593" s="4" t="str">
        <f ca="1">IFERROR(__xludf.DUMMYFUNCTION("""COMPUTED_VALUE"""),"| 1 L PHP-CGM % | 6 L JAVA % | 3 P PHP-CGM % | 9 L INE % ")</f>
        <v xml:space="preserve">| 1 L PHP-CGM % | 6 L JAVA % | 3 P PHP-CGM % | 9 L INE % </v>
      </c>
      <c r="AT59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U593" s="4" t="str">
        <f ca="1">IFERROR(__xludf.DUMMYFUNCTION("""COMPUTED_VALUE"""),"| 5 L CPT % | 6 L PHP-CGM % | 7 P Python % | 9 P CPT % ")</f>
        <v xml:space="preserve">| 5 L CPT % | 6 L PHP-CGM % | 7 P Python % | 9 P CPT % </v>
      </c>
      <c r="AV593" s="4" t="str">
        <f ca="1">IFERROR(__xludf.DUMMYFUNCTION("""COMPUTED_VALUE"""),"| 5 L NS % | 6 L CPT % | 7 P PRO % | 9 P JAVA % ")</f>
        <v xml:space="preserve">| 5 L NS % | 6 L CPT % | 7 P PRO % | 9 P JAVA % </v>
      </c>
      <c r="AW593" s="4" t="str">
        <f ca="1">IFERROR(__xludf.DUMMYFUNCTION("""COMPUTED_VALUE"""),"| 5 L NS % | 6 L JAVA % | 7 P JAVA % | 9 P Python % ")</f>
        <v xml:space="preserve">| 5 L NS % | 6 L JAVA % | 7 P JAVA % | 9 P Python % </v>
      </c>
      <c r="AX593" s="4" t="str">
        <f ca="1">IFERROR(__xludf.DUMMYFUNCTION("""COMPUTED_VALUE"""),"| 1 L PHP-CGM % | 6 L JAVA % | 3 P PHP-CGM % | 9 L INE % ")</f>
        <v xml:space="preserve">| 1 L PHP-CGM % | 6 L JAVA % | 3 P PHP-CGM % | 9 L INE % </v>
      </c>
      <c r="AY593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593" s="4" t="str">
        <f ca="1">IFERROR(__xludf.DUMMYFUNCTION("""COMPUTED_VALUE"""),"| 5 L NS % | 6 L CPT % | 7 P PRO % | 9 P JAVA @ ")</f>
        <v xml:space="preserve">| 5 L NS % | 6 L CPT % | 7 P PRO % | 9 P JAVA @ </v>
      </c>
      <c r="BA593" s="4" t="str">
        <f ca="1">IFERROR(__xludf.DUMMYFUNCTION("""COMPUTED_VALUE"""),"| 5 L NS % | 6 L JAVA % | 7 P JAVA % ")</f>
        <v xml:space="preserve">| 5 L NS % | 6 L JAVA % | 7 P JAVA % </v>
      </c>
      <c r="BB593" s="4" t="str">
        <f ca="1">IFERROR(__xludf.DUMMYFUNCTION("""COMPUTED_VALUE"""),"| 1 L PHP-CGM % | 6 L JAVA % | 3 P PHP-CGM % | 9 L INE % ")</f>
        <v xml:space="preserve">| 1 L PHP-CGM % | 6 L JAVA % | 3 P PHP-CGM % | 9 L INE % </v>
      </c>
      <c r="BC593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593" s="4" t="str">
        <f ca="1">IFERROR(__xludf.DUMMYFUNCTION("""COMPUTED_VALUE"""),"| 5 L CPT % | 7 P Python % | 6 L PHP-CGM % | 9 P CPT % ")</f>
        <v xml:space="preserve">| 5 L CPT % | 7 P Python % | 6 L PHP-CGM % | 9 P CPT % </v>
      </c>
      <c r="BE593" s="4" t="str">
        <f ca="1">IFERROR(__xludf.DUMMYFUNCTION("""COMPUTED_VALUE"""),"| 5 L NS % | 6 L CPT % | 9 P JAVA % | 7 P PRO % ")</f>
        <v xml:space="preserve">| 5 L NS % | 6 L CPT % | 9 P JAVA % | 7 P PRO % </v>
      </c>
      <c r="BF593" s="4" t="str">
        <f ca="1">IFERROR(__xludf.DUMMYFUNCTION("""COMPUTED_VALUE"""),"| 5 L NS @ | 6 L JAVA @ | 7 P JAVA % ")</f>
        <v xml:space="preserve">| 5 L NS @ | 6 L JAVA @ | 7 P JAVA % </v>
      </c>
      <c r="BG593" s="4" t="str">
        <f ca="1">IFERROR(__xludf.DUMMYFUNCTION("""COMPUTED_VALUE"""),"| 5 L JAVA @ | 6 L NS @ | 7 P NS % | 9 L CPT @ | 10 L PHP-CGM @ ")</f>
        <v xml:space="preserve">| 5 L JAVA @ | 6 L NS @ | 7 P NS % | 9 L CPT @ | 10 L PHP-CGM @ </v>
      </c>
      <c r="BH593" s="4" t="str">
        <f ca="1">IFERROR(__xludf.DUMMYFUNCTION("""COMPUTED_VALUE"""),"| 5 L CPT % | 7 P Python % | 6 L PHP-CGM % | 9 P CPT @ ")</f>
        <v xml:space="preserve">| 5 L CPT % | 7 P Python % | 6 L PHP-CGM % | 9 P CPT @ </v>
      </c>
      <c r="BI593" s="4" t="str">
        <f ca="1">IFERROR(__xludf.DUMMYFUNCTION("""COMPUTED_VALUE"""),"| 5 L NS % | 6 L CPT % | 7 P PRO % ")</f>
        <v xml:space="preserve">| 5 L NS % | 6 L CPT % | 7 P PRO % </v>
      </c>
      <c r="BJ593" s="4" t="str">
        <f ca="1">IFERROR(__xludf.DUMMYFUNCTION("""COMPUTED_VALUE"""),"| 5 L NS % | 6 L JAVA % | 7 P JAVA @ ")</f>
        <v xml:space="preserve">| 5 L NS % | 6 L JAVA % | 7 P JAVA @ </v>
      </c>
      <c r="BK593" s="4" t="str">
        <f ca="1">IFERROR(__xludf.DUMMYFUNCTION("""COMPUTED_VALUE"""),"| 1 L PHP-CGM @ | 6 L JAVA @ | 3 P PHP-CGM @ | 9 L INE @ ")</f>
        <v xml:space="preserve">| 1 L PHP-CGM @ | 6 L JAVA @ | 3 P PHP-CGM @ | 9 L INE @ </v>
      </c>
      <c r="BL593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M593" s="4" t="str">
        <f ca="1">IFERROR(__xludf.DUMMYFUNCTION("""COMPUTED_VALUE"""),"| 5 L CPT @ | 6 L PHP-CGM @ ")</f>
        <v xml:space="preserve">| 5 L CPT @ | 6 L PHP-CGM @ </v>
      </c>
      <c r="BN593" s="4" t="str">
        <f ca="1">IFERROR(__xludf.DUMMYFUNCTION("""COMPUTED_VALUE"""),"| 5 L NS @ | 6 L CPT @ | 7 P PRO @ ")</f>
        <v xml:space="preserve">| 5 L NS @ | 6 L CPT @ | 7 P PRO @ </v>
      </c>
      <c r="BO593" s="4" t="str">
        <f ca="1">IFERROR(__xludf.DUMMYFUNCTION("""COMPUTED_VALUE"""),"| 5 L NS @ | 6 L JAVA @ | 7 P JAVA @ ")</f>
        <v xml:space="preserve">| 5 L NS @ | 6 L JAVA @ | 7 P JAVA @ </v>
      </c>
      <c r="BP593" s="4" t="str">
        <f ca="1">IFERROR(__xludf.DUMMYFUNCTION("""COMPUTED_VALUE"""),"| 1 L PHP-CGM % | 6 L JAVA % | 3 P PHP-CGM @ | 9 L INE @ ")</f>
        <v xml:space="preserve">| 1 L PHP-CGM % | 6 L JAVA % | 3 P PHP-CGM @ | 9 L INE @ </v>
      </c>
      <c r="BQ593" s="4" t="str">
        <f ca="1">IFERROR(__xludf.DUMMYFUNCTION("""COMPUTED_VALUE"""),"| 5 L CPT % ")</f>
        <v xml:space="preserve">| 5 L CPT % </v>
      </c>
      <c r="BR593" s="4"/>
      <c r="BS593" s="4" t="str">
        <f ca="1">IFERROR(__xludf.DUMMYFUNCTION("""COMPUTED_VALUE"""),"| 6 L CPT @ ")</f>
        <v xml:space="preserve">| 6 L CPT @ </v>
      </c>
      <c r="BT593" s="4"/>
      <c r="BU593" s="4"/>
      <c r="BV593" s="4" t="str">
        <f ca="1">IFERROR(__xludf.DUMMYFUNCTION("""COMPUTED_VALUE"""),"| 5 L PHP-CGM @ | 6 L JAVA @ ")</f>
        <v xml:space="preserve">| 5 L PHP-CGM @ | 6 L JAVA @ </v>
      </c>
      <c r="BW593" s="4"/>
      <c r="BX593" s="4" t="str">
        <f ca="1">IFERROR(__xludf.DUMMYFUNCTION("""COMPUTED_VALUE"""),"| 5 L CPT % | 6 L PHP-CGM % ")</f>
        <v xml:space="preserve">| 5 L CPT % | 6 L PHP-CGM % </v>
      </c>
      <c r="BY593" s="4" t="str">
        <f ca="1">IFERROR(__xludf.DUMMYFUNCTION("""COMPUTED_VALUE"""),"| 5 L NS % | 6 L CPT % | 7 P PRO @ | 9 P JAVA @ ")</f>
        <v xml:space="preserve">| 5 L NS % | 6 L CPT % | 7 P PRO @ | 9 P JAVA @ </v>
      </c>
      <c r="BZ593" s="4" t="str">
        <f ca="1">IFERROR(__xludf.DUMMYFUNCTION("""COMPUTED_VALUE"""),"| 5 L NS % | 6 L JAVA @ | 7 P JAVA @ | 9 P Python @ ")</f>
        <v xml:space="preserve">| 5 L NS % | 6 L JAVA @ | 7 P JAVA @ | 9 P Python @ </v>
      </c>
      <c r="CA593" s="4" t="str">
        <f ca="1">IFERROR(__xludf.DUMMYFUNCTION("""COMPUTED_VALUE"""),"| 1 L PHP-CGM % | 6 L JAVA % | 3 P PHP-CGM @ ")</f>
        <v xml:space="preserve">| 1 L PHP-CGM % | 6 L JAVA % | 3 P PHP-CGM @ </v>
      </c>
      <c r="CB593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CC593" s="4" t="str">
        <f ca="1">IFERROR(__xludf.DUMMYFUNCTION("""COMPUTED_VALUE"""),"| 5 L CPT % | 6 L PHP-CGM % | 7 P Python @ | 9 P CPT @ ")</f>
        <v xml:space="preserve">| 5 L CPT % | 6 L PHP-CGM % | 7 P Python @ | 9 P CPT @ </v>
      </c>
      <c r="CD593" s="4" t="str">
        <f ca="1">IFERROR(__xludf.DUMMYFUNCTION("""COMPUTED_VALUE"""),"| 5 L NS % | 6 L CPT @ | 7 P PRO @ ")</f>
        <v xml:space="preserve">| 5 L NS % | 6 L CPT @ | 7 P PRO @ </v>
      </c>
      <c r="CE593" s="4" t="str">
        <f ca="1">IFERROR(__xludf.DUMMYFUNCTION("""COMPUTED_VALUE"""),"| 5 L NS @ | 6 L JAVA @ | 7 P JAVA % ")</f>
        <v xml:space="preserve">| 5 L NS @ | 6 L JAVA @ | 7 P JAVA % </v>
      </c>
      <c r="CF593" s="4" t="str">
        <f ca="1">IFERROR(__xludf.DUMMYFUNCTION("""COMPUTED_VALUE"""),"| 5 L PHP-CGM @ | 6 L JAVA @ | 7 P PHP-CGM % | 9 L INE % ")</f>
        <v xml:space="preserve">| 5 L PHP-CGM @ | 6 L JAVA @ | 7 P PHP-CGM % | 9 L INE % </v>
      </c>
      <c r="CG593" s="4" t="str">
        <f ca="1">IFERROR(__xludf.DUMMYFUNCTION("""COMPUTED_VALUE"""),"| 5 L JAVA % | 6 L NS % | 7 P NS % ")</f>
        <v xml:space="preserve">| 5 L JAVA % | 6 L NS % | 7 P NS % </v>
      </c>
      <c r="CH593" s="4" t="str">
        <f ca="1">IFERROR(__xludf.DUMMYFUNCTION("""COMPUTED_VALUE"""),"| 5 L CPT @ | 7 P Python % | 9 P CPT % ")</f>
        <v xml:space="preserve">| 5 L CPT @ | 7 P Python % | 9 P CPT % </v>
      </c>
      <c r="CI593" s="4" t="str">
        <f ca="1">IFERROR(__xludf.DUMMYFUNCTION("""COMPUTED_VALUE"""),"| 5 L NS @ | 6 L CPT @ ")</f>
        <v xml:space="preserve">| 5 L NS @ | 6 L CPT @ </v>
      </c>
      <c r="CJ593" s="4" t="str">
        <f ca="1">IFERROR(__xludf.DUMMYFUNCTION("""COMPUTED_VALUE"""),"| 5 L NS @ ")</f>
        <v xml:space="preserve">| 5 L NS @ </v>
      </c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</row>
    <row r="594" spans="1:102" ht="12.5" x14ac:dyDescent="0.25">
      <c r="A594" s="3">
        <f ca="1">IFERROR(__xludf.DUMMYFUNCTION("""COMPUTED_VALUE"""),2)</f>
        <v>2</v>
      </c>
      <c r="B594" s="3" t="str">
        <f ca="1">IFERROR(__xludf.DUMMYFUNCTION("""COMPUTED_VALUE"""),"ITD")</f>
        <v>ITD</v>
      </c>
      <c r="C594" s="32" t="str">
        <f ca="1">IFERROR(__xludf.DUMMYFUNCTION("""COMPUTED_VALUE"""),"23171371050")</f>
        <v>23171371050</v>
      </c>
      <c r="D594" s="4" t="str">
        <f ca="1">IFERROR(__xludf.DUMMYFUNCTION("""COMPUTED_VALUE"""),"PANCHAL PRINCE MAHESHBHAI")</f>
        <v>PANCHAL PRINCE MAHESHBHAI</v>
      </c>
      <c r="E594" s="3" t="str">
        <f ca="1">IFERROR(__xludf.DUMMYFUNCTION("""COMPUTED_VALUE"""),"SRC - Eve")</f>
        <v>SRC - Eve</v>
      </c>
      <c r="F594" s="3">
        <f ca="1">IFERROR(__xludf.DUMMYFUNCTION("""COMPUTED_VALUE"""),8320319707)</f>
        <v>8320319707</v>
      </c>
      <c r="G594" s="3">
        <f ca="1">IFERROR(__xludf.DUMMYFUNCTION("""COMPUTED_VALUE"""),9909752676)</f>
        <v>9909752676</v>
      </c>
      <c r="H594" s="33">
        <f ca="1">IFERROR(__xludf.DUMMYFUNCTION("""COMPUTED_VALUE"""),0.377880184331797)</f>
        <v>0.37788018433179699</v>
      </c>
      <c r="I594" s="25">
        <f ca="1">IFERROR(__xludf.DUMMYFUNCTION("""COMPUTED_VALUE"""),0.555555555555555)</f>
        <v>0.55555555555555503</v>
      </c>
      <c r="J594" s="25">
        <f ca="1">IFERROR(__xludf.DUMMYFUNCTION("""COMPUTED_VALUE"""),0.111111111111111)</f>
        <v>0.11111111111111099</v>
      </c>
      <c r="K594" s="25">
        <f ca="1">IFERROR(__xludf.DUMMYFUNCTION("""COMPUTED_VALUE"""),0.666666666666666)</f>
        <v>0.66666666666666596</v>
      </c>
      <c r="L594" s="25">
        <f ca="1">IFERROR(__xludf.DUMMYFUNCTION("""COMPUTED_VALUE"""),0)</f>
        <v>0</v>
      </c>
      <c r="M594" s="25">
        <f ca="1">IFERROR(__xludf.DUMMYFUNCTION("""COMPUTED_VALUE"""),0.46875)</f>
        <v>0.46875</v>
      </c>
      <c r="N594" s="25">
        <f ca="1">IFERROR(__xludf.DUMMYFUNCTION("""COMPUTED_VALUE"""),0)</f>
        <v>0</v>
      </c>
      <c r="O594" s="25">
        <f ca="1">IFERROR(__xludf.DUMMYFUNCTION("""COMPUTED_VALUE"""),0.647058823529411)</f>
        <v>0.64705882352941102</v>
      </c>
      <c r="P594" s="25">
        <f ca="1">IFERROR(__xludf.DUMMYFUNCTION("""COMPUTED_VALUE"""),0)</f>
        <v>0</v>
      </c>
      <c r="Q594" s="25">
        <f ca="1">IFERROR(__xludf.DUMMYFUNCTION("""COMPUTED_VALUE"""),0)</f>
        <v>0</v>
      </c>
      <c r="R594" s="25">
        <f ca="1">IFERROR(__xludf.DUMMYFUNCTION("""COMPUTED_VALUE"""),0)</f>
        <v>0</v>
      </c>
      <c r="S594" s="25">
        <f ca="1">IFERROR(__xludf.DUMMYFUNCTION("""COMPUTED_VALUE"""),0)</f>
        <v>0</v>
      </c>
      <c r="T594" s="25">
        <f ca="1">IFERROR(__xludf.DUMMYFUNCTION("""COMPUTED_VALUE"""),0)</f>
        <v>0</v>
      </c>
      <c r="U594" s="25">
        <f ca="1">IFERROR(__xludf.DUMMYFUNCTION("""COMPUTED_VALUE"""),0)</f>
        <v>0</v>
      </c>
      <c r="V594" s="25">
        <f ca="1">IFERROR(__xludf.DUMMYFUNCTION("""COMPUTED_VALUE"""),0)</f>
        <v>0</v>
      </c>
      <c r="W594" s="4"/>
      <c r="X594" s="4" t="str">
        <f ca="1">IFERROR(__xludf.DUMMYFUNCTION("""COMPUTED_VALUE"""),"| 1 L PHP-CGM @ | 6 L JAVA @ | 3 P PHP-CGM @ ")</f>
        <v xml:space="preserve">| 1 L PHP-CGM @ | 6 L JAVA @ | 3 P PHP-CGM @ </v>
      </c>
      <c r="Y594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594" s="4" t="str">
        <f ca="1">IFERROR(__xludf.DUMMYFUNCTION("""COMPUTED_VALUE"""),"| 5 L CPT % | 6 L PHP-CGM % | 7 P Python @ | 9 P CPT @ ")</f>
        <v xml:space="preserve">| 5 L CPT % | 6 L PHP-CGM % | 7 P Python @ | 9 P CPT @ </v>
      </c>
      <c r="AA594" s="4" t="str">
        <f ca="1">IFERROR(__xludf.DUMMYFUNCTION("""COMPUTED_VALUE"""),"| 5 L NS % | 6 L CPT % | 7 P PRO @ | 9 P JAVA @ ")</f>
        <v xml:space="preserve">| 5 L NS % | 6 L CPT % | 7 P PRO @ | 9 P JAVA @ </v>
      </c>
      <c r="AB594" s="4" t="str">
        <f ca="1">IFERROR(__xludf.DUMMYFUNCTION("""COMPUTED_VALUE"""),"| 5 L NS @ | 6 L JAVA @ | 7 P JAVA @ | 9 P Python @ ")</f>
        <v xml:space="preserve">| 5 L NS @ | 6 L JAVA @ | 7 P JAVA @ | 9 P Python @ </v>
      </c>
      <c r="AC594" s="4" t="str">
        <f ca="1">IFERROR(__xludf.DUMMYFUNCTION("""COMPUTED_VALUE"""),"| 1 L PHP-CGM @ | 6 L JAVA @ | 3 P PHP-CGM @ ")</f>
        <v xml:space="preserve">| 1 L PHP-CGM @ | 6 L JAVA @ | 3 P PHP-CGM @ </v>
      </c>
      <c r="AD594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E594" s="4" t="str">
        <f ca="1">IFERROR(__xludf.DUMMYFUNCTION("""COMPUTED_VALUE"""),"| 5 L CPT % | 6 L PHP-CGM % | 7 P Python @ | 9 P CPT @ ")</f>
        <v xml:space="preserve">| 5 L CPT % | 6 L PHP-CGM % | 7 P Python @ | 9 P CPT @ </v>
      </c>
      <c r="AF594" s="4" t="str">
        <f ca="1">IFERROR(__xludf.DUMMYFUNCTION("""COMPUTED_VALUE"""),"| 5 L NS % | 6 L CPT % | 7 P PRO @ | 9 P JAVA @ ")</f>
        <v xml:space="preserve">| 5 L NS % | 6 L CPT % | 7 P PRO @ | 9 P JAVA @ </v>
      </c>
      <c r="AG594" s="4" t="str">
        <f ca="1">IFERROR(__xludf.DUMMYFUNCTION("""COMPUTED_VALUE"""),"| 5 L NS % | 6 L JAVA % | 7 P JAVA @ ")</f>
        <v xml:space="preserve">| 5 L NS % | 6 L JAVA % | 7 P JAVA @ </v>
      </c>
      <c r="AH594" s="4" t="str">
        <f ca="1">IFERROR(__xludf.DUMMYFUNCTION("""COMPUTED_VALUE"""),"| 5 L NS % | 6 L CPT % | 7 P PRO @ | 9 P JAVA @ ")</f>
        <v xml:space="preserve">| 5 L NS % | 6 L CPT % | 7 P PRO @ | 9 P JAVA @ </v>
      </c>
      <c r="AI594" s="4" t="str">
        <f ca="1">IFERROR(__xludf.DUMMYFUNCTION("""COMPUTED_VALUE"""),"| 5 L NS % | 6 L JAVA % | 7 P JAVA @ | 9 P Python @ ")</f>
        <v xml:space="preserve">| 5 L NS % | 6 L JAVA % | 7 P JAVA @ | 9 P Python @ </v>
      </c>
      <c r="AJ594" s="4" t="str">
        <f ca="1">IFERROR(__xludf.DUMMYFUNCTION("""COMPUTED_VALUE"""),"| 1 L PHP-CGM % | 6 L JAVA % | 3 P PHP-CGM @ ")</f>
        <v xml:space="preserve">| 1 L PHP-CGM % | 6 L JAVA % | 3 P PHP-CGM @ </v>
      </c>
      <c r="AK594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L594" s="4" t="str">
        <f ca="1">IFERROR(__xludf.DUMMYFUNCTION("""COMPUTED_VALUE"""),"| 5 L CPT % | 7 P Python @ | 6 L PHP-CGM % | 9 P CPT @ ")</f>
        <v xml:space="preserve">| 5 L CPT % | 7 P Python @ | 6 L PHP-CGM % | 9 P CPT @ </v>
      </c>
      <c r="AM594" s="4" t="str">
        <f ca="1">IFERROR(__xludf.DUMMYFUNCTION("""COMPUTED_VALUE"""),"| 5 L NS % | 6 L CPT % | 9 P JAVA @ ")</f>
        <v xml:space="preserve">| 5 L NS % | 6 L CPT % | 9 P JAVA @ </v>
      </c>
      <c r="AN594" s="4" t="str">
        <f ca="1">IFERROR(__xludf.DUMMYFUNCTION("""COMPUTED_VALUE"""),"| 5 L NS % | 6 L JAVA % ")</f>
        <v xml:space="preserve">| 5 L NS % | 6 L JAVA % </v>
      </c>
      <c r="AO594" s="4" t="str">
        <f ca="1">IFERROR(__xludf.DUMMYFUNCTION("""COMPUTED_VALUE"""),"| 1 L PHP-CGM % | 6 L JAVA % | 3 P PHP-CGM @ | 9 L INE @ ")</f>
        <v xml:space="preserve">| 1 L PHP-CGM % | 6 L JAVA % | 3 P PHP-CGM @ | 9 L INE @ </v>
      </c>
      <c r="AP594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Q594" s="4" t="str">
        <f ca="1">IFERROR(__xludf.DUMMYFUNCTION("""COMPUTED_VALUE"""),"| 5 L CPT % | 6 L PHP-CGM % | 9 P CPT @ ")</f>
        <v xml:space="preserve">| 5 L CPT % | 6 L PHP-CGM % | 9 P CPT @ </v>
      </c>
      <c r="AR594" s="4" t="str">
        <f ca="1">IFERROR(__xludf.DUMMYFUNCTION("""COMPUTED_VALUE"""),"| 5 L NS % | 6 L CPT % | 7 P PRO @ ")</f>
        <v xml:space="preserve">| 5 L NS % | 6 L CPT % | 7 P PRO @ </v>
      </c>
      <c r="AS594" s="4" t="str">
        <f ca="1">IFERROR(__xludf.DUMMYFUNCTION("""COMPUTED_VALUE"""),"| 1 L PHP-CGM % | 6 L JAVA % | 3 P PHP-CGM @ | 9 L INE @ ")</f>
        <v xml:space="preserve">| 1 L PHP-CGM % | 6 L JAVA % | 3 P PHP-CGM @ | 9 L INE @ </v>
      </c>
      <c r="AT594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U594" s="4" t="str">
        <f ca="1">IFERROR(__xludf.DUMMYFUNCTION("""COMPUTED_VALUE"""),"| 5 L CPT % | 6 L PHP-CGM % | 7 P Python @ | 9 P CPT @ ")</f>
        <v xml:space="preserve">| 5 L CPT % | 6 L PHP-CGM % | 7 P Python @ | 9 P CPT @ </v>
      </c>
      <c r="AV594" s="4" t="str">
        <f ca="1">IFERROR(__xludf.DUMMYFUNCTION("""COMPUTED_VALUE"""),"| 5 L NS % | 6 L CPT % | 7 P PRO @ | 9 P JAVA @ ")</f>
        <v xml:space="preserve">| 5 L NS % | 6 L CPT % | 7 P PRO @ | 9 P JAVA @ </v>
      </c>
      <c r="AW594" s="4" t="str">
        <f ca="1">IFERROR(__xludf.DUMMYFUNCTION("""COMPUTED_VALUE"""),"| 5 L NS % | 6 L JAVA % | 7 P JAVA @ | 9 P Python @ ")</f>
        <v xml:space="preserve">| 5 L NS % | 6 L JAVA % | 7 P JAVA @ | 9 P Python @ </v>
      </c>
      <c r="AX594" s="4" t="str">
        <f ca="1">IFERROR(__xludf.DUMMYFUNCTION("""COMPUTED_VALUE"""),"| 1 L PHP-CGM % | 6 L JAVA % | 3 P PHP-CGM @ | 9 L INE @ ")</f>
        <v xml:space="preserve">| 1 L PHP-CGM % | 6 L JAVA % | 3 P PHP-CGM @ | 9 L INE @ </v>
      </c>
      <c r="AY594" s="4" t="str">
        <f ca="1">IFERROR(__xludf.DUMMYFUNCTION("""COMPUTED_VALUE"""),"| 5 L JAVA % | 6 L NS % | 7 P NS @ | 9 L CPT % | 11 L PHP-CGM @ ")</f>
        <v xml:space="preserve">| 5 L JAVA % | 6 L NS % | 7 P NS @ | 9 L CPT % | 11 L PHP-CGM @ </v>
      </c>
      <c r="AZ594" s="4" t="str">
        <f ca="1">IFERROR(__xludf.DUMMYFUNCTION("""COMPUTED_VALUE"""),"| 5 L NS % | 6 L CPT % | 7 P PRO @ | 9 P JAVA @ ")</f>
        <v xml:space="preserve">| 5 L NS % | 6 L CPT % | 7 P PRO @ | 9 P JAVA @ </v>
      </c>
      <c r="BA594" s="4" t="str">
        <f ca="1">IFERROR(__xludf.DUMMYFUNCTION("""COMPUTED_VALUE"""),"| 5 L NS % | 6 L JAVA % | 7 P JAVA @ ")</f>
        <v xml:space="preserve">| 5 L NS % | 6 L JAVA % | 7 P JAVA @ </v>
      </c>
      <c r="BB594" s="4" t="str">
        <f ca="1">IFERROR(__xludf.DUMMYFUNCTION("""COMPUTED_VALUE"""),"| 1 L PHP-CGM % | 6 L JAVA % | 3 P PHP-CGM @ | 9 L INE @ ")</f>
        <v xml:space="preserve">| 1 L PHP-CGM % | 6 L JAVA % | 3 P PHP-CGM @ | 9 L INE @ </v>
      </c>
      <c r="BC594" s="4" t="str">
        <f ca="1">IFERROR(__xludf.DUMMYFUNCTION("""COMPUTED_VALUE"""),"| 5 L JAVA @ | 6 L NS @ | 7 P NS @ | 10 L PHP-CGM @ | 9 L CPT @ ")</f>
        <v xml:space="preserve">| 5 L JAVA @ | 6 L NS @ | 7 P NS @ | 10 L PHP-CGM @ | 9 L CPT @ </v>
      </c>
      <c r="BD594" s="4" t="str">
        <f ca="1">IFERROR(__xludf.DUMMYFUNCTION("""COMPUTED_VALUE"""),"| 5 L CPT % | 7 P Python @ | 6 L PHP-CGM % | 9 P CPT @ ")</f>
        <v xml:space="preserve">| 5 L CPT % | 7 P Python @ | 6 L PHP-CGM % | 9 P CPT @ </v>
      </c>
      <c r="BE594" s="4" t="str">
        <f ca="1">IFERROR(__xludf.DUMMYFUNCTION("""COMPUTED_VALUE"""),"| 5 L NS % | 6 L CPT % | 9 P JAVA @ | 7 P PRO @ ")</f>
        <v xml:space="preserve">| 5 L NS % | 6 L CPT % | 9 P JAVA @ | 7 P PRO @ </v>
      </c>
      <c r="BF594" s="4" t="str">
        <f ca="1">IFERROR(__xludf.DUMMYFUNCTION("""COMPUTED_VALUE"""),"| 5 L NS @ | 6 L JAVA % | 7 P JAVA @ ")</f>
        <v xml:space="preserve">| 5 L NS @ | 6 L JAVA % | 7 P JAVA @ </v>
      </c>
      <c r="BG594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H594" s="4" t="str">
        <f ca="1">IFERROR(__xludf.DUMMYFUNCTION("""COMPUTED_VALUE"""),"| 5 L CPT % | 7 P Python @ | 6 L PHP-CGM % | 9 P CPT @ ")</f>
        <v xml:space="preserve">| 5 L CPT % | 7 P Python @ | 6 L PHP-CGM % | 9 P CPT @ </v>
      </c>
      <c r="BI594" s="4" t="str">
        <f ca="1">IFERROR(__xludf.DUMMYFUNCTION("""COMPUTED_VALUE"""),"| 5 L NS @ | 6 L CPT @ | 7 P PRO @ ")</f>
        <v xml:space="preserve">| 5 L NS @ | 6 L CPT @ | 7 P PRO @ </v>
      </c>
      <c r="BJ594" s="4" t="str">
        <f ca="1">IFERROR(__xludf.DUMMYFUNCTION("""COMPUTED_VALUE"""),"| 5 L NS % | 6 L JAVA % | 7 P JAVA @ ")</f>
        <v xml:space="preserve">| 5 L NS % | 6 L JAVA % | 7 P JAVA @ </v>
      </c>
      <c r="BK594" s="4" t="str">
        <f ca="1">IFERROR(__xludf.DUMMYFUNCTION("""COMPUTED_VALUE"""),"| 1 L PHP-CGM @ | 6 L JAVA @ | 3 P PHP-CGM @ | 9 L INE @ ")</f>
        <v xml:space="preserve">| 1 L PHP-CGM @ | 6 L JAVA @ | 3 P PHP-CGM @ | 9 L INE @ </v>
      </c>
      <c r="BL594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M594" s="4" t="str">
        <f ca="1">IFERROR(__xludf.DUMMYFUNCTION("""COMPUTED_VALUE"""),"| 5 L CPT @ | 6 L PHP-CGM @ ")</f>
        <v xml:space="preserve">| 5 L CPT @ | 6 L PHP-CGM @ </v>
      </c>
      <c r="BN594" s="4" t="str">
        <f ca="1">IFERROR(__xludf.DUMMYFUNCTION("""COMPUTED_VALUE"""),"| 5 L NS @ | 6 L CPT @ | 7 P PRO @ ")</f>
        <v xml:space="preserve">| 5 L NS @ | 6 L CPT @ | 7 P PRO @ </v>
      </c>
      <c r="BO594" s="4" t="str">
        <f ca="1">IFERROR(__xludf.DUMMYFUNCTION("""COMPUTED_VALUE"""),"| 5 L NS @ | 6 L JAVA @ | 7 P JAVA @ ")</f>
        <v xml:space="preserve">| 5 L NS @ | 6 L JAVA @ | 7 P JAVA @ </v>
      </c>
      <c r="BP594" s="4" t="str">
        <f ca="1">IFERROR(__xludf.DUMMYFUNCTION("""COMPUTED_VALUE"""),"| 1 L PHP-CGM @ | 6 L JAVA @ | 3 P PHP-CGM @ | 9 L INE @ ")</f>
        <v xml:space="preserve">| 1 L PHP-CGM @ | 6 L JAVA @ | 3 P PHP-CGM @ | 9 L INE @ </v>
      </c>
      <c r="BQ594" s="4" t="str">
        <f ca="1">IFERROR(__xludf.DUMMYFUNCTION("""COMPUTED_VALUE"""),"| 5 L CPT @ ")</f>
        <v xml:space="preserve">| 5 L CPT @ </v>
      </c>
      <c r="BR594" s="4"/>
      <c r="BS594" s="4" t="str">
        <f ca="1">IFERROR(__xludf.DUMMYFUNCTION("""COMPUTED_VALUE"""),"| 6 L CPT @ ")</f>
        <v xml:space="preserve">| 6 L CPT @ </v>
      </c>
      <c r="BT594" s="4"/>
      <c r="BU594" s="4"/>
      <c r="BV594" s="4" t="str">
        <f ca="1">IFERROR(__xludf.DUMMYFUNCTION("""COMPUTED_VALUE"""),"| 5 L PHP-CGM @ | 6 L JAVA @ ")</f>
        <v xml:space="preserve">| 5 L PHP-CGM @ | 6 L JAVA @ </v>
      </c>
      <c r="BW594" s="4"/>
      <c r="BX594" s="4" t="str">
        <f ca="1">IFERROR(__xludf.DUMMYFUNCTION("""COMPUTED_VALUE"""),"| 5 L CPT @ | 6 L PHP-CGM @ ")</f>
        <v xml:space="preserve">| 5 L CPT @ | 6 L PHP-CGM @ </v>
      </c>
      <c r="BY594" s="4" t="str">
        <f ca="1">IFERROR(__xludf.DUMMYFUNCTION("""COMPUTED_VALUE"""),"| 5 L NS @ | 6 L CPT @ | 7 P PRO @ | 9 P JAVA @ ")</f>
        <v xml:space="preserve">| 5 L NS @ | 6 L CPT @ | 7 P PRO @ | 9 P JAVA @ </v>
      </c>
      <c r="BZ594" s="4" t="str">
        <f ca="1">IFERROR(__xludf.DUMMYFUNCTION("""COMPUTED_VALUE"""),"| 5 L NS @ | 6 L JAVA @ | 7 P JAVA @ | 9 P Python @ ")</f>
        <v xml:space="preserve">| 5 L NS @ | 6 L JAVA @ | 7 P JAVA @ | 9 P Python @ </v>
      </c>
      <c r="CA594" s="4" t="str">
        <f ca="1">IFERROR(__xludf.DUMMYFUNCTION("""COMPUTED_VALUE"""),"| 1 L PHP-CGM % | 6 L JAVA % | 3 P PHP-CGM @ ")</f>
        <v xml:space="preserve">| 1 L PHP-CGM % | 6 L JAVA % | 3 P PHP-CGM @ </v>
      </c>
      <c r="CB594" s="4" t="str">
        <f ca="1">IFERROR(__xludf.DUMMYFUNCTION("""COMPUTED_VALUE"""),"| 5 L JAVA % | 6 L NS % | 7 P NS @ | 9 L CPT % | 10 L PHP-CGM % ")</f>
        <v xml:space="preserve">| 5 L JAVA % | 6 L NS % | 7 P NS @ | 9 L CPT % | 10 L PHP-CGM % </v>
      </c>
      <c r="CC594" s="4" t="str">
        <f ca="1">IFERROR(__xludf.DUMMYFUNCTION("""COMPUTED_VALUE"""),"| 5 L CPT % | 6 L PHP-CGM @ | 7 P Python @ | 9 P CPT @ ")</f>
        <v xml:space="preserve">| 5 L CPT % | 6 L PHP-CGM @ | 7 P Python @ | 9 P CPT @ </v>
      </c>
      <c r="CD594" s="4" t="str">
        <f ca="1">IFERROR(__xludf.DUMMYFUNCTION("""COMPUTED_VALUE"""),"| 5 L NS % | 6 L CPT % | 7 P PRO @ ")</f>
        <v xml:space="preserve">| 5 L NS % | 6 L CPT % | 7 P PRO @ </v>
      </c>
      <c r="CE594" s="4" t="str">
        <f ca="1">IFERROR(__xludf.DUMMYFUNCTION("""COMPUTED_VALUE"""),"| 5 L NS % | 6 L JAVA % | 7 P JAVA @ ")</f>
        <v xml:space="preserve">| 5 L NS % | 6 L JAVA % | 7 P JAVA @ </v>
      </c>
      <c r="CF594" s="4" t="str">
        <f ca="1">IFERROR(__xludf.DUMMYFUNCTION("""COMPUTED_VALUE"""),"| 5 L PHP-CGM @ | 6 L JAVA @ | 7 P PHP-CGM @ | 9 L INE @ ")</f>
        <v xml:space="preserve">| 5 L PHP-CGM @ | 6 L JAVA @ | 7 P PHP-CGM @ | 9 L INE @ </v>
      </c>
      <c r="CG594" s="4" t="str">
        <f ca="1">IFERROR(__xludf.DUMMYFUNCTION("""COMPUTED_VALUE"""),"| 5 L JAVA @ | 6 L NS @ | 7 P NS @ ")</f>
        <v xml:space="preserve">| 5 L JAVA @ | 6 L NS @ | 7 P NS @ </v>
      </c>
      <c r="CH594" s="4" t="str">
        <f ca="1">IFERROR(__xludf.DUMMYFUNCTION("""COMPUTED_VALUE"""),"| 5 L CPT @ | 7 P Python @ | 9 P CPT % ")</f>
        <v xml:space="preserve">| 5 L CPT @ | 7 P Python @ | 9 P CPT % </v>
      </c>
      <c r="CI594" s="4" t="str">
        <f ca="1">IFERROR(__xludf.DUMMYFUNCTION("""COMPUTED_VALUE"""),"| 5 L NS @ | 6 L CPT @ ")</f>
        <v xml:space="preserve">| 5 L NS @ | 6 L CPT @ </v>
      </c>
      <c r="CJ594" s="4" t="str">
        <f ca="1">IFERROR(__xludf.DUMMYFUNCTION("""COMPUTED_VALUE"""),"| 5 L NS @ ")</f>
        <v xml:space="preserve">| 5 L NS @ </v>
      </c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</row>
    <row r="595" spans="1:102" ht="12.5" x14ac:dyDescent="0.25">
      <c r="A595" s="3">
        <f ca="1">IFERROR(__xludf.DUMMYFUNCTION("""COMPUTED_VALUE"""),2)</f>
        <v>2</v>
      </c>
      <c r="B595" s="3" t="str">
        <f ca="1">IFERROR(__xludf.DUMMYFUNCTION("""COMPUTED_VALUE"""),"ITD")</f>
        <v>ITD</v>
      </c>
      <c r="C595" s="32" t="str">
        <f ca="1">IFERROR(__xludf.DUMMYFUNCTION("""COMPUTED_VALUE"""),"23171371051")</f>
        <v>23171371051</v>
      </c>
      <c r="D595" s="4" t="str">
        <f ca="1">IFERROR(__xludf.DUMMYFUNCTION("""COMPUTED_VALUE"""),"PANDIT KRISH PARESHBHAI")</f>
        <v>PANDIT KRISH PARESHBHAI</v>
      </c>
      <c r="E595" s="3" t="str">
        <f ca="1">IFERROR(__xludf.DUMMYFUNCTION("""COMPUTED_VALUE"""),"SRC - Eve")</f>
        <v>SRC - Eve</v>
      </c>
      <c r="F595" s="3">
        <f ca="1">IFERROR(__xludf.DUMMYFUNCTION("""COMPUTED_VALUE"""),8141242017)</f>
        <v>8141242017</v>
      </c>
      <c r="G595" s="3">
        <f ca="1">IFERROR(__xludf.DUMMYFUNCTION("""COMPUTED_VALUE"""),6351374867)</f>
        <v>6351374867</v>
      </c>
      <c r="H595" s="33">
        <f ca="1">IFERROR(__xludf.DUMMYFUNCTION("""COMPUTED_VALUE"""),0.751152073732718)</f>
        <v>0.75115207373271797</v>
      </c>
      <c r="I595" s="25">
        <f ca="1">IFERROR(__xludf.DUMMYFUNCTION("""COMPUTED_VALUE"""),0.722222222222222)</f>
        <v>0.72222222222222199</v>
      </c>
      <c r="J595" s="25">
        <f ca="1">IFERROR(__xludf.DUMMYFUNCTION("""COMPUTED_VALUE"""),0.888888888888888)</f>
        <v>0.88888888888888795</v>
      </c>
      <c r="K595" s="25">
        <f ca="1">IFERROR(__xludf.DUMMYFUNCTION("""COMPUTED_VALUE"""),0.75)</f>
        <v>0.75</v>
      </c>
      <c r="L595" s="25">
        <f ca="1">IFERROR(__xludf.DUMMYFUNCTION("""COMPUTED_VALUE"""),0.818181818181818)</f>
        <v>0.81818181818181801</v>
      </c>
      <c r="M595" s="25">
        <f ca="1">IFERROR(__xludf.DUMMYFUNCTION("""COMPUTED_VALUE"""),0.6875)</f>
        <v>0.6875</v>
      </c>
      <c r="N595" s="25">
        <f ca="1">IFERROR(__xludf.DUMMYFUNCTION("""COMPUTED_VALUE"""),0.727272727272727)</f>
        <v>0.72727272727272696</v>
      </c>
      <c r="O595" s="25">
        <f ca="1">IFERROR(__xludf.DUMMYFUNCTION("""COMPUTED_VALUE"""),0.735294117647058)</f>
        <v>0.73529411764705799</v>
      </c>
      <c r="P595" s="25">
        <f ca="1">IFERROR(__xludf.DUMMYFUNCTION("""COMPUTED_VALUE"""),0.777777777777777)</f>
        <v>0.77777777777777701</v>
      </c>
      <c r="Q595" s="25">
        <f ca="1">IFERROR(__xludf.DUMMYFUNCTION("""COMPUTED_VALUE"""),0)</f>
        <v>0</v>
      </c>
      <c r="R595" s="25">
        <f ca="1">IFERROR(__xludf.DUMMYFUNCTION("""COMPUTED_VALUE"""),0.916666666666666)</f>
        <v>0.91666666666666596</v>
      </c>
      <c r="S595" s="25">
        <f ca="1">IFERROR(__xludf.DUMMYFUNCTION("""COMPUTED_VALUE"""),0)</f>
        <v>0</v>
      </c>
      <c r="T595" s="25">
        <f ca="1">IFERROR(__xludf.DUMMYFUNCTION("""COMPUTED_VALUE"""),0.818181818181818)</f>
        <v>0.81818181818181801</v>
      </c>
      <c r="U595" s="25">
        <f ca="1">IFERROR(__xludf.DUMMYFUNCTION("""COMPUTED_VALUE"""),0.571428571428571)</f>
        <v>0.57142857142857095</v>
      </c>
      <c r="V595" s="25">
        <f ca="1">IFERROR(__xludf.DUMMYFUNCTION("""COMPUTED_VALUE"""),0)</f>
        <v>0</v>
      </c>
      <c r="W595" s="4"/>
      <c r="X595" s="4" t="str">
        <f ca="1">IFERROR(__xludf.DUMMYFUNCTION("""COMPUTED_VALUE"""),"| 1 L PHP-CGM @ | 6 L JAVA @ | 3 P PHP-CGM @ ")</f>
        <v xml:space="preserve">| 1 L PHP-CGM @ | 6 L JAVA @ | 3 P PHP-CGM @ </v>
      </c>
      <c r="Y595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595" s="4" t="str">
        <f ca="1">IFERROR(__xludf.DUMMYFUNCTION("""COMPUTED_VALUE"""),"| 5 L CPT @ | 6 L PHP-CGM @ | 7 P Python @ | 9 P CPT @ ")</f>
        <v xml:space="preserve">| 5 L CPT @ | 6 L PHP-CGM @ | 7 P Python @ | 9 P CPT @ </v>
      </c>
      <c r="AA595" s="4" t="str">
        <f ca="1">IFERROR(__xludf.DUMMYFUNCTION("""COMPUTED_VALUE"""),"| 5 L NS @ | 6 L CPT @ | 7 P PRO % | 9 P JAVA % ")</f>
        <v xml:space="preserve">| 5 L NS @ | 6 L CPT @ | 7 P PRO % | 9 P JAVA % </v>
      </c>
      <c r="AB595" s="4" t="str">
        <f ca="1">IFERROR(__xludf.DUMMYFUNCTION("""COMPUTED_VALUE"""),"| 5 L NS % | 6 L JAVA % | 7 P JAVA % | 9 P Python % ")</f>
        <v xml:space="preserve">| 5 L NS % | 6 L JAVA % | 7 P JAVA % | 9 P Python % </v>
      </c>
      <c r="AC595" s="4" t="str">
        <f ca="1">IFERROR(__xludf.DUMMYFUNCTION("""COMPUTED_VALUE"""),"| 1 L PHP-CGM % | 6 L JAVA % | 3 P PHP-CGM % ")</f>
        <v xml:space="preserve">| 1 L PHP-CGM % | 6 L JAVA % | 3 P PHP-CGM % </v>
      </c>
      <c r="AD595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595" s="4" t="str">
        <f ca="1">IFERROR(__xludf.DUMMYFUNCTION("""COMPUTED_VALUE"""),"| 5 L CPT % | 6 L PHP-CGM % | 7 P Python % | 9 P CPT % ")</f>
        <v xml:space="preserve">| 5 L CPT % | 6 L PHP-CGM % | 7 P Python % | 9 P CPT % </v>
      </c>
      <c r="AF595" s="4" t="str">
        <f ca="1">IFERROR(__xludf.DUMMYFUNCTION("""COMPUTED_VALUE"""),"| 5 L NS % | 6 L CPT % | 7 P PRO % | 9 P JAVA % ")</f>
        <v xml:space="preserve">| 5 L NS % | 6 L CPT % | 7 P PRO % | 9 P JAVA % </v>
      </c>
      <c r="AG595" s="4" t="str">
        <f ca="1">IFERROR(__xludf.DUMMYFUNCTION("""COMPUTED_VALUE"""),"| 5 L NS % | 6 L JAVA % | 7 P JAVA @ ")</f>
        <v xml:space="preserve">| 5 L NS % | 6 L JAVA % | 7 P JAVA @ </v>
      </c>
      <c r="AH595" s="4" t="str">
        <f ca="1">IFERROR(__xludf.DUMMYFUNCTION("""COMPUTED_VALUE"""),"| 5 L NS % | 6 L CPT % | 7 P PRO % | 9 P JAVA % ")</f>
        <v xml:space="preserve">| 5 L NS % | 6 L CPT % | 7 P PRO % | 9 P JAVA % </v>
      </c>
      <c r="AI595" s="4" t="str">
        <f ca="1">IFERROR(__xludf.DUMMYFUNCTION("""COMPUTED_VALUE"""),"| 5 L NS % | 6 L JAVA % | 7 P JAVA % | 9 P Python % ")</f>
        <v xml:space="preserve">| 5 L NS % | 6 L JAVA % | 7 P JAVA % | 9 P Python % </v>
      </c>
      <c r="AJ595" s="4" t="str">
        <f ca="1">IFERROR(__xludf.DUMMYFUNCTION("""COMPUTED_VALUE"""),"| 1 L PHP-CGM % | 6 L JAVA % | 3 P PHP-CGM % ")</f>
        <v xml:space="preserve">| 1 L PHP-CGM % | 6 L JAVA % | 3 P PHP-CGM % </v>
      </c>
      <c r="AK595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595" s="4" t="str">
        <f ca="1">IFERROR(__xludf.DUMMYFUNCTION("""COMPUTED_VALUE"""),"| 5 L CPT % | 7 P Python % | 6 L PHP-CGM % | 9 P CPT % ")</f>
        <v xml:space="preserve">| 5 L CPT % | 7 P Python % | 6 L PHP-CGM % | 9 P CPT % </v>
      </c>
      <c r="AM595" s="4" t="str">
        <f ca="1">IFERROR(__xludf.DUMMYFUNCTION("""COMPUTED_VALUE"""),"| 5 L NS @ | 6 L CPT @ | 9 P JAVA @ ")</f>
        <v xml:space="preserve">| 5 L NS @ | 6 L CPT @ | 9 P JAVA @ </v>
      </c>
      <c r="AN595" s="4" t="str">
        <f ca="1">IFERROR(__xludf.DUMMYFUNCTION("""COMPUTED_VALUE"""),"| 5 L NS @ | 6 L JAVA @ ")</f>
        <v xml:space="preserve">| 5 L NS @ | 6 L JAVA @ </v>
      </c>
      <c r="AO595" s="4" t="str">
        <f ca="1">IFERROR(__xludf.DUMMYFUNCTION("""COMPUTED_VALUE"""),"| 1 L PHP-CGM @ | 6 L JAVA @ | 3 P PHP-CGM @ | 9 L INE @ ")</f>
        <v xml:space="preserve">| 1 L PHP-CGM @ | 6 L JAVA @ | 3 P PHP-CGM @ | 9 L INE @ </v>
      </c>
      <c r="AP595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Q595" s="4" t="str">
        <f ca="1">IFERROR(__xludf.DUMMYFUNCTION("""COMPUTED_VALUE"""),"| 5 L CPT % | 6 L PHP-CGM % | 9 P CPT % ")</f>
        <v xml:space="preserve">| 5 L CPT % | 6 L PHP-CGM % | 9 P CPT % </v>
      </c>
      <c r="AR595" s="4" t="str">
        <f ca="1">IFERROR(__xludf.DUMMYFUNCTION("""COMPUTED_VALUE"""),"| 5 L NS % | 6 L CPT % | 7 P PRO @ ")</f>
        <v xml:space="preserve">| 5 L NS % | 6 L CPT % | 7 P PRO @ </v>
      </c>
      <c r="AS595" s="4" t="str">
        <f ca="1">IFERROR(__xludf.DUMMYFUNCTION("""COMPUTED_VALUE"""),"| 1 L PHP-CGM % | 6 L JAVA % | 3 P PHP-CGM % | 9 L INE % ")</f>
        <v xml:space="preserve">| 1 L PHP-CGM % | 6 L JAVA % | 3 P PHP-CGM % | 9 L INE % </v>
      </c>
      <c r="AT595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U595" s="4" t="str">
        <f ca="1">IFERROR(__xludf.DUMMYFUNCTION("""COMPUTED_VALUE"""),"| 5 L CPT % | 6 L PHP-CGM % | 7 P Python % | 9 P CPT % ")</f>
        <v xml:space="preserve">| 5 L CPT % | 6 L PHP-CGM % | 7 P Python % | 9 P CPT % </v>
      </c>
      <c r="AV595" s="4" t="str">
        <f ca="1">IFERROR(__xludf.DUMMYFUNCTION("""COMPUTED_VALUE"""),"| 5 L NS % | 6 L CPT % | 7 P PRO % | 9 P JAVA @ ")</f>
        <v xml:space="preserve">| 5 L NS % | 6 L CPT % | 7 P PRO % | 9 P JAVA @ </v>
      </c>
      <c r="AW595" s="4" t="str">
        <f ca="1">IFERROR(__xludf.DUMMYFUNCTION("""COMPUTED_VALUE"""),"| 5 L NS % | 6 L JAVA % | 7 P JAVA % | 9 P Python % ")</f>
        <v xml:space="preserve">| 5 L NS % | 6 L JAVA % | 7 P JAVA % | 9 P Python % </v>
      </c>
      <c r="AX595" s="4" t="str">
        <f ca="1">IFERROR(__xludf.DUMMYFUNCTION("""COMPUTED_VALUE"""),"| 1 L PHP-CGM % | 6 L JAVA % | 3 P PHP-CGM % | 9 L INE % ")</f>
        <v xml:space="preserve">| 1 L PHP-CGM % | 6 L JAVA % | 3 P PHP-CGM % | 9 L INE % </v>
      </c>
      <c r="AY595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595" s="4" t="str">
        <f ca="1">IFERROR(__xludf.DUMMYFUNCTION("""COMPUTED_VALUE"""),"| 5 L NS % | 6 L CPT % | 7 P PRO % | 9 P JAVA % ")</f>
        <v xml:space="preserve">| 5 L NS % | 6 L CPT % | 7 P PRO % | 9 P JAVA % </v>
      </c>
      <c r="BA595" s="4" t="str">
        <f ca="1">IFERROR(__xludf.DUMMYFUNCTION("""COMPUTED_VALUE"""),"| 5 L NS % | 6 L JAVA % | 7 P JAVA % ")</f>
        <v xml:space="preserve">| 5 L NS % | 6 L JAVA % | 7 P JAVA % </v>
      </c>
      <c r="BB595" s="4" t="str">
        <f ca="1">IFERROR(__xludf.DUMMYFUNCTION("""COMPUTED_VALUE"""),"| 1 L PHP-CGM % | 6 L JAVA % | 3 P PHP-CGM % | 9 L INE % ")</f>
        <v xml:space="preserve">| 1 L PHP-CGM % | 6 L JAVA % | 3 P PHP-CGM % | 9 L INE % </v>
      </c>
      <c r="BC595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595" s="4" t="str">
        <f ca="1">IFERROR(__xludf.DUMMYFUNCTION("""COMPUTED_VALUE"""),"| 5 L CPT % | 7 P Python % | 6 L PHP-CGM % | 9 P CPT % ")</f>
        <v xml:space="preserve">| 5 L CPT % | 7 P Python % | 6 L PHP-CGM % | 9 P CPT % </v>
      </c>
      <c r="BE595" s="4" t="str">
        <f ca="1">IFERROR(__xludf.DUMMYFUNCTION("""COMPUTED_VALUE"""),"| 5 L NS % | 6 L CPT % | 9 P JAVA % | 7 P PRO % ")</f>
        <v xml:space="preserve">| 5 L NS % | 6 L CPT % | 9 P JAVA % | 7 P PRO % </v>
      </c>
      <c r="BF595" s="4" t="str">
        <f ca="1">IFERROR(__xludf.DUMMYFUNCTION("""COMPUTED_VALUE"""),"| 5 L NS @ | 6 L JAVA % | 7 P JAVA % ")</f>
        <v xml:space="preserve">| 5 L NS @ | 6 L JAVA % | 7 P JAVA % </v>
      </c>
      <c r="BG595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595" s="4" t="str">
        <f ca="1">IFERROR(__xludf.DUMMYFUNCTION("""COMPUTED_VALUE"""),"| 5 L CPT % | 7 P Python % | 6 L PHP-CGM % | 9 P CPT % ")</f>
        <v xml:space="preserve">| 5 L CPT % | 7 P Python % | 6 L PHP-CGM % | 9 P CPT % </v>
      </c>
      <c r="BI595" s="4" t="str">
        <f ca="1">IFERROR(__xludf.DUMMYFUNCTION("""COMPUTED_VALUE"""),"| 5 L NS % | 6 L CPT % | 7 P PRO % ")</f>
        <v xml:space="preserve">| 5 L NS % | 6 L CPT % | 7 P PRO % </v>
      </c>
      <c r="BJ595" s="4" t="str">
        <f ca="1">IFERROR(__xludf.DUMMYFUNCTION("""COMPUTED_VALUE"""),"| 5 L NS % | 6 L JAVA % | 7 P JAVA % ")</f>
        <v xml:space="preserve">| 5 L NS % | 6 L JAVA % | 7 P JAVA % </v>
      </c>
      <c r="BK595" s="4" t="str">
        <f ca="1">IFERROR(__xludf.DUMMYFUNCTION("""COMPUTED_VALUE"""),"| 1 L PHP-CGM @ | 6 L JAVA @ | 3 P PHP-CGM @ | 9 L INE @ ")</f>
        <v xml:space="preserve">| 1 L PHP-CGM @ | 6 L JAVA @ | 3 P PHP-CGM @ | 9 L INE @ </v>
      </c>
      <c r="BL595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M595" s="4" t="str">
        <f ca="1">IFERROR(__xludf.DUMMYFUNCTION("""COMPUTED_VALUE"""),"| 5 L CPT @ | 6 L PHP-CGM @ ")</f>
        <v xml:space="preserve">| 5 L CPT @ | 6 L PHP-CGM @ </v>
      </c>
      <c r="BN595" s="4" t="str">
        <f ca="1">IFERROR(__xludf.DUMMYFUNCTION("""COMPUTED_VALUE"""),"| 5 L NS @ | 6 L CPT @ | 7 P PRO @ ")</f>
        <v xml:space="preserve">| 5 L NS @ | 6 L CPT @ | 7 P PRO @ </v>
      </c>
      <c r="BO595" s="4" t="str">
        <f ca="1">IFERROR(__xludf.DUMMYFUNCTION("""COMPUTED_VALUE"""),"| 5 L NS @ | 6 L JAVA @ | 7 P JAVA @ ")</f>
        <v xml:space="preserve">| 5 L NS @ | 6 L JAVA @ | 7 P JAVA @ </v>
      </c>
      <c r="BP595" s="4" t="str">
        <f ca="1">IFERROR(__xludf.DUMMYFUNCTION("""COMPUTED_VALUE"""),"| 1 L PHP-CGM @ | 6 L JAVA @ | 3 P PHP-CGM % | 9 L INE @ ")</f>
        <v xml:space="preserve">| 1 L PHP-CGM @ | 6 L JAVA @ | 3 P PHP-CGM % | 9 L INE @ </v>
      </c>
      <c r="BQ595" s="4" t="str">
        <f ca="1">IFERROR(__xludf.DUMMYFUNCTION("""COMPUTED_VALUE"""),"| 5 L CPT % ")</f>
        <v xml:space="preserve">| 5 L CPT % </v>
      </c>
      <c r="BR595" s="4"/>
      <c r="BS595" s="4" t="str">
        <f ca="1">IFERROR(__xludf.DUMMYFUNCTION("""COMPUTED_VALUE"""),"| 6 L CPT @ ")</f>
        <v xml:space="preserve">| 6 L CPT @ </v>
      </c>
      <c r="BT595" s="4"/>
      <c r="BU595" s="4"/>
      <c r="BV595" s="4" t="str">
        <f ca="1">IFERROR(__xludf.DUMMYFUNCTION("""COMPUTED_VALUE"""),"| 5 L PHP-CGM @ | 6 L JAVA @ ")</f>
        <v xml:space="preserve">| 5 L PHP-CGM @ | 6 L JAVA @ </v>
      </c>
      <c r="BW595" s="4"/>
      <c r="BX595" s="4" t="str">
        <f ca="1">IFERROR(__xludf.DUMMYFUNCTION("""COMPUTED_VALUE"""),"| 5 L CPT @ | 6 L PHP-CGM @ ")</f>
        <v xml:space="preserve">| 5 L CPT @ | 6 L PHP-CGM @ </v>
      </c>
      <c r="BY595" s="4" t="str">
        <f ca="1">IFERROR(__xludf.DUMMYFUNCTION("""COMPUTED_VALUE"""),"| 5 L NS @ | 6 L CPT @ | 7 P PRO % | 9 P JAVA % ")</f>
        <v xml:space="preserve">| 5 L NS @ | 6 L CPT @ | 7 P PRO % | 9 P JAVA % </v>
      </c>
      <c r="BZ595" s="4" t="str">
        <f ca="1">IFERROR(__xludf.DUMMYFUNCTION("""COMPUTED_VALUE"""),"| 5 L NS % | 6 L JAVA % | 7 P JAVA % | 9 P Python % ")</f>
        <v xml:space="preserve">| 5 L NS % | 6 L JAVA % | 7 P JAVA % | 9 P Python % </v>
      </c>
      <c r="CA595" s="4" t="str">
        <f ca="1">IFERROR(__xludf.DUMMYFUNCTION("""COMPUTED_VALUE"""),"| 1 L PHP-CGM % | 6 L JAVA % | 3 P PHP-CGM % ")</f>
        <v xml:space="preserve">| 1 L PHP-CGM % | 6 L JAVA % | 3 P PHP-CGM % </v>
      </c>
      <c r="CB595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CC595" s="4" t="str">
        <f ca="1">IFERROR(__xludf.DUMMYFUNCTION("""COMPUTED_VALUE"""),"| 5 L CPT % | 6 L PHP-CGM % | 7 P Python % | 9 P CPT % ")</f>
        <v xml:space="preserve">| 5 L CPT % | 6 L PHP-CGM % | 7 P Python % | 9 P CPT % </v>
      </c>
      <c r="CD595" s="4" t="str">
        <f ca="1">IFERROR(__xludf.DUMMYFUNCTION("""COMPUTED_VALUE"""),"| 5 L NS % | 6 L CPT % | 7 P PRO % ")</f>
        <v xml:space="preserve">| 5 L NS % | 6 L CPT % | 7 P PRO % </v>
      </c>
      <c r="CE595" s="4" t="str">
        <f ca="1">IFERROR(__xludf.DUMMYFUNCTION("""COMPUTED_VALUE"""),"| 5 L NS % | 6 L JAVA % | 7 P JAVA % ")</f>
        <v xml:space="preserve">| 5 L NS % | 6 L JAVA % | 7 P JAVA % </v>
      </c>
      <c r="CF595" s="4" t="str">
        <f ca="1">IFERROR(__xludf.DUMMYFUNCTION("""COMPUTED_VALUE"""),"| 5 L PHP-CGM % | 6 L JAVA % | 7 P PHP-CGM % | 9 L INE % ")</f>
        <v xml:space="preserve">| 5 L PHP-CGM % | 6 L JAVA % | 7 P PHP-CGM % | 9 L INE % </v>
      </c>
      <c r="CG595" s="4" t="str">
        <f ca="1">IFERROR(__xludf.DUMMYFUNCTION("""COMPUTED_VALUE"""),"| 5 L JAVA % | 6 L NS % | 7 P NS % ")</f>
        <v xml:space="preserve">| 5 L JAVA % | 6 L NS % | 7 P NS % </v>
      </c>
      <c r="CH595" s="4" t="str">
        <f ca="1">IFERROR(__xludf.DUMMYFUNCTION("""COMPUTED_VALUE"""),"| 5 L CPT % | 7 P Python % | 9 P CPT % ")</f>
        <v xml:space="preserve">| 5 L CPT % | 7 P Python % | 9 P CPT % </v>
      </c>
      <c r="CI595" s="4" t="str">
        <f ca="1">IFERROR(__xludf.DUMMYFUNCTION("""COMPUTED_VALUE"""),"| 5 L NS % | 6 L CPT % ")</f>
        <v xml:space="preserve">| 5 L NS % | 6 L CPT % </v>
      </c>
      <c r="CJ595" s="4" t="str">
        <f ca="1">IFERROR(__xludf.DUMMYFUNCTION("""COMPUTED_VALUE"""),"| 5 L NS % ")</f>
        <v xml:space="preserve">| 5 L NS % </v>
      </c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</row>
    <row r="596" spans="1:102" ht="12.5" x14ac:dyDescent="0.25">
      <c r="A596" s="3">
        <f ca="1">IFERROR(__xludf.DUMMYFUNCTION("""COMPUTED_VALUE"""),2)</f>
        <v>2</v>
      </c>
      <c r="B596" s="3" t="str">
        <f ca="1">IFERROR(__xludf.DUMMYFUNCTION("""COMPUTED_VALUE"""),"ITD")</f>
        <v>ITD</v>
      </c>
      <c r="C596" s="32" t="str">
        <f ca="1">IFERROR(__xludf.DUMMYFUNCTION("""COMPUTED_VALUE"""),"23171371055")</f>
        <v>23171371055</v>
      </c>
      <c r="D596" s="4" t="str">
        <f ca="1">IFERROR(__xludf.DUMMYFUNCTION("""COMPUTED_VALUE"""),"PARMAR VANSH RAKESHKUMAR")</f>
        <v>PARMAR VANSH RAKESHKUMAR</v>
      </c>
      <c r="E596" s="3" t="str">
        <f ca="1">IFERROR(__xludf.DUMMYFUNCTION("""COMPUTED_VALUE"""),"SRC - Eve")</f>
        <v>SRC - Eve</v>
      </c>
      <c r="F596" s="3">
        <f ca="1">IFERROR(__xludf.DUMMYFUNCTION("""COMPUTED_VALUE"""),9724874963)</f>
        <v>9724874963</v>
      </c>
      <c r="G596" s="3">
        <f ca="1">IFERROR(__xludf.DUMMYFUNCTION("""COMPUTED_VALUE"""),9104365050)</f>
        <v>9104365050</v>
      </c>
      <c r="H596" s="33">
        <f ca="1">IFERROR(__xludf.DUMMYFUNCTION("""COMPUTED_VALUE"""),0.133640552995391)</f>
        <v>0.13364055299539099</v>
      </c>
      <c r="I596" s="25">
        <f ca="1">IFERROR(__xludf.DUMMYFUNCTION("""COMPUTED_VALUE"""),0.138888888888888)</f>
        <v>0.13888888888888801</v>
      </c>
      <c r="J596" s="25">
        <f ca="1">IFERROR(__xludf.DUMMYFUNCTION("""COMPUTED_VALUE"""),0)</f>
        <v>0</v>
      </c>
      <c r="K596" s="25">
        <f ca="1">IFERROR(__xludf.DUMMYFUNCTION("""COMPUTED_VALUE"""),0.194444444444444)</f>
        <v>0.194444444444444</v>
      </c>
      <c r="L596" s="25">
        <f ca="1">IFERROR(__xludf.DUMMYFUNCTION("""COMPUTED_VALUE"""),0.0909090909090909)</f>
        <v>9.0909090909090898E-2</v>
      </c>
      <c r="M596" s="25">
        <f ca="1">IFERROR(__xludf.DUMMYFUNCTION("""COMPUTED_VALUE"""),0.15625)</f>
        <v>0.15625</v>
      </c>
      <c r="N596" s="25">
        <f ca="1">IFERROR(__xludf.DUMMYFUNCTION("""COMPUTED_VALUE"""),0.0909090909090909)</f>
        <v>9.0909090909090898E-2</v>
      </c>
      <c r="O596" s="25">
        <f ca="1">IFERROR(__xludf.DUMMYFUNCTION("""COMPUTED_VALUE"""),0.264705882352941)</f>
        <v>0.26470588235294101</v>
      </c>
      <c r="P596" s="25">
        <f ca="1">IFERROR(__xludf.DUMMYFUNCTION("""COMPUTED_VALUE"""),0)</f>
        <v>0</v>
      </c>
      <c r="Q596" s="25">
        <f ca="1">IFERROR(__xludf.DUMMYFUNCTION("""COMPUTED_VALUE"""),0)</f>
        <v>0</v>
      </c>
      <c r="R596" s="25">
        <f ca="1">IFERROR(__xludf.DUMMYFUNCTION("""COMPUTED_VALUE"""),0)</f>
        <v>0</v>
      </c>
      <c r="S596" s="25">
        <f ca="1">IFERROR(__xludf.DUMMYFUNCTION("""COMPUTED_VALUE"""),0)</f>
        <v>0</v>
      </c>
      <c r="T596" s="25">
        <f ca="1">IFERROR(__xludf.DUMMYFUNCTION("""COMPUTED_VALUE"""),0.0909090909090909)</f>
        <v>9.0909090909090898E-2</v>
      </c>
      <c r="U596" s="25">
        <f ca="1">IFERROR(__xludf.DUMMYFUNCTION("""COMPUTED_VALUE"""),0)</f>
        <v>0</v>
      </c>
      <c r="V596" s="25">
        <f ca="1">IFERROR(__xludf.DUMMYFUNCTION("""COMPUTED_VALUE"""),0)</f>
        <v>0</v>
      </c>
      <c r="W596" s="4"/>
      <c r="X596" s="4" t="str">
        <f ca="1">IFERROR(__xludf.DUMMYFUNCTION("""COMPUTED_VALUE"""),"| 1 L PHP-CGM @ | 6 L JAVA @ | 3 P PHP-CGM @ ")</f>
        <v xml:space="preserve">| 1 L PHP-CGM @ | 6 L JAVA @ | 3 P PHP-CGM @ </v>
      </c>
      <c r="Y596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596" s="4" t="str">
        <f ca="1">IFERROR(__xludf.DUMMYFUNCTION("""COMPUTED_VALUE"""),"| 5 L CPT @ | 6 L PHP-CGM @ | 7 P Python @ | 9 P CPT @ ")</f>
        <v xml:space="preserve">| 5 L CPT @ | 6 L PHP-CGM @ | 7 P Python @ | 9 P CPT @ </v>
      </c>
      <c r="AA596" s="4" t="str">
        <f ca="1">IFERROR(__xludf.DUMMYFUNCTION("""COMPUTED_VALUE"""),"| 5 L NS @ | 6 L CPT @ | 7 P PRO @ | 9 P JAVA @ ")</f>
        <v xml:space="preserve">| 5 L NS @ | 6 L CPT @ | 7 P PRO @ | 9 P JAVA @ </v>
      </c>
      <c r="AB596" s="4" t="str">
        <f ca="1">IFERROR(__xludf.DUMMYFUNCTION("""COMPUTED_VALUE"""),"| 5 L NS @ | 6 L JAVA @ | 7 P JAVA @ | 9 P Python @ ")</f>
        <v xml:space="preserve">| 5 L NS @ | 6 L JAVA @ | 7 P JAVA @ | 9 P Python @ </v>
      </c>
      <c r="AC596" s="4" t="str">
        <f ca="1">IFERROR(__xludf.DUMMYFUNCTION("""COMPUTED_VALUE"""),"| 1 L PHP-CGM @ | 6 L JAVA @ | 3 P PHP-CGM @ ")</f>
        <v xml:space="preserve">| 1 L PHP-CGM @ | 6 L JAVA @ | 3 P PHP-CGM @ </v>
      </c>
      <c r="AD596" s="4" t="str">
        <f ca="1">IFERROR(__xludf.DUMMYFUNCTION("""COMPUTED_VALUE"""),"| 5 L JAVA % | 6 L NS @ | 7 P NS @ | 9 L CPT @ | 6 L PHP-CGM @ ")</f>
        <v xml:space="preserve">| 5 L JAVA % | 6 L NS @ | 7 P NS @ | 9 L CPT @ | 6 L PHP-CGM @ </v>
      </c>
      <c r="AE596" s="4" t="str">
        <f ca="1">IFERROR(__xludf.DUMMYFUNCTION("""COMPUTED_VALUE"""),"| 5 L CPT @ | 6 L PHP-CGM @ | 7 P Python @ | 9 P CPT @ ")</f>
        <v xml:space="preserve">| 5 L CPT @ | 6 L PHP-CGM @ | 7 P Python @ | 9 P CPT @ </v>
      </c>
      <c r="AF596" s="4" t="str">
        <f ca="1">IFERROR(__xludf.DUMMYFUNCTION("""COMPUTED_VALUE"""),"| 5 L NS % | 6 L CPT % | 7 P PRO @ | 9 P JAVA @ ")</f>
        <v xml:space="preserve">| 5 L NS % | 6 L CPT % | 7 P PRO @ | 9 P JAVA @ </v>
      </c>
      <c r="AG596" s="4" t="str">
        <f ca="1">IFERROR(__xludf.DUMMYFUNCTION("""COMPUTED_VALUE"""),"| 5 L NS @ | 6 L JAVA @ | 7 P JAVA @ ")</f>
        <v xml:space="preserve">| 5 L NS @ | 6 L JAVA @ | 7 P JAVA @ </v>
      </c>
      <c r="AH596" s="4" t="str">
        <f ca="1">IFERROR(__xludf.DUMMYFUNCTION("""COMPUTED_VALUE"""),"| 5 L NS % | 6 L CPT % | 7 P PRO @ | 9 P JAVA @ ")</f>
        <v xml:space="preserve">| 5 L NS % | 6 L CPT % | 7 P PRO @ | 9 P JAVA @ </v>
      </c>
      <c r="AI596" s="4" t="str">
        <f ca="1">IFERROR(__xludf.DUMMYFUNCTION("""COMPUTED_VALUE"""),"| 5 L NS @ | 6 L JAVA @ | 7 P JAVA @ | 9 P Python @ ")</f>
        <v xml:space="preserve">| 5 L NS @ | 6 L JAVA @ | 7 P JAVA @ | 9 P Python @ </v>
      </c>
      <c r="AJ596" s="4" t="str">
        <f ca="1">IFERROR(__xludf.DUMMYFUNCTION("""COMPUTED_VALUE"""),"| 1 L PHP-CGM @ | 6 L JAVA @ | 3 P PHP-CGM @ ")</f>
        <v xml:space="preserve">| 1 L PHP-CGM @ | 6 L JAVA @ | 3 P PHP-CGM @ </v>
      </c>
      <c r="AK596" s="4" t="str">
        <f ca="1">IFERROR(__xludf.DUMMYFUNCTION("""COMPUTED_VALUE"""),"| 5 L JAVA % | 6 L NS % | 7 P NS % | 9 L CPT % | 6 L PHP-CGM @ ")</f>
        <v xml:space="preserve">| 5 L JAVA % | 6 L NS % | 7 P NS % | 9 L CPT % | 6 L PHP-CGM @ </v>
      </c>
      <c r="AL596" s="4" t="str">
        <f ca="1">IFERROR(__xludf.DUMMYFUNCTION("""COMPUTED_VALUE"""),"| 5 L CPT @ | 7 P Python @ | 6 L PHP-CGM @ | 9 P CPT @ ")</f>
        <v xml:space="preserve">| 5 L CPT @ | 7 P Python @ | 6 L PHP-CGM @ | 9 P CPT @ </v>
      </c>
      <c r="AM596" s="4" t="str">
        <f ca="1">IFERROR(__xludf.DUMMYFUNCTION("""COMPUTED_VALUE"""),"| 5 L NS @ | 6 L CPT @ | 9 P JAVA @ ")</f>
        <v xml:space="preserve">| 5 L NS @ | 6 L CPT @ | 9 P JAVA @ </v>
      </c>
      <c r="AN596" s="4" t="str">
        <f ca="1">IFERROR(__xludf.DUMMYFUNCTION("""COMPUTED_VALUE"""),"| 5 L NS @ | 6 L JAVA @ ")</f>
        <v xml:space="preserve">| 5 L NS @ | 6 L JAVA @ </v>
      </c>
      <c r="AO596" s="4" t="str">
        <f ca="1">IFERROR(__xludf.DUMMYFUNCTION("""COMPUTED_VALUE"""),"| 1 L PHP-CGM @ | 6 L JAVA @ | 3 P PHP-CGM @ | 9 L INE @ ")</f>
        <v xml:space="preserve">| 1 L PHP-CGM @ | 6 L JAVA @ | 3 P PHP-CGM @ | 9 L INE @ </v>
      </c>
      <c r="AP596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Q596" s="4" t="str">
        <f ca="1">IFERROR(__xludf.DUMMYFUNCTION("""COMPUTED_VALUE"""),"| 5 L CPT % | 6 L PHP-CGM % | 9 P CPT @ ")</f>
        <v xml:space="preserve">| 5 L CPT % | 6 L PHP-CGM % | 9 P CPT @ </v>
      </c>
      <c r="AR596" s="4" t="str">
        <f ca="1">IFERROR(__xludf.DUMMYFUNCTION("""COMPUTED_VALUE"""),"| 5 L NS @ | 6 L CPT @ | 7 P PRO @ ")</f>
        <v xml:space="preserve">| 5 L NS @ | 6 L CPT @ | 7 P PRO @ </v>
      </c>
      <c r="AS596" s="4" t="str">
        <f ca="1">IFERROR(__xludf.DUMMYFUNCTION("""COMPUTED_VALUE"""),"| 1 L PHP-CGM @ | 6 L JAVA @ | 3 P PHP-CGM @ | 9 L INE @ ")</f>
        <v xml:space="preserve">| 1 L PHP-CGM @ | 6 L JAVA @ | 3 P PHP-CGM @ | 9 L INE @ </v>
      </c>
      <c r="AT596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AU596" s="4" t="str">
        <f ca="1">IFERROR(__xludf.DUMMYFUNCTION("""COMPUTED_VALUE"""),"| 5 L CPT @ | 6 L PHP-CGM @ | 7 P Python @ | 9 P CPT @ ")</f>
        <v xml:space="preserve">| 5 L CPT @ | 6 L PHP-CGM @ | 7 P Python @ | 9 P CPT @ </v>
      </c>
      <c r="AV596" s="4" t="str">
        <f ca="1">IFERROR(__xludf.DUMMYFUNCTION("""COMPUTED_VALUE"""),"| 5 L NS @ | 6 L CPT @ | 7 P PRO @ | 9 P JAVA @ ")</f>
        <v xml:space="preserve">| 5 L NS @ | 6 L CPT @ | 7 P PRO @ | 9 P JAVA @ </v>
      </c>
      <c r="AW596" s="4" t="str">
        <f ca="1">IFERROR(__xludf.DUMMYFUNCTION("""COMPUTED_VALUE"""),"| 5 L NS @ | 6 L JAVA @ | 7 P JAVA @ | 9 P Python @ ")</f>
        <v xml:space="preserve">| 5 L NS @ | 6 L JAVA @ | 7 P JAVA @ | 9 P Python @ </v>
      </c>
      <c r="AX596" s="4" t="str">
        <f ca="1">IFERROR(__xludf.DUMMYFUNCTION("""COMPUTED_VALUE"""),"| 1 L PHP-CGM @ | 6 L JAVA @ | 3 P PHP-CGM @ | 9 L INE @ ")</f>
        <v xml:space="preserve">| 1 L PHP-CGM @ | 6 L JAVA @ | 3 P PHP-CGM @ | 9 L INE @ </v>
      </c>
      <c r="AY596" s="4" t="str">
        <f ca="1">IFERROR(__xludf.DUMMYFUNCTION("""COMPUTED_VALUE"""),"| 5 L JAVA @ | 6 L NS @ | 7 P NS @ | 9 L CPT @ | 11 L PHP-CGM @ ")</f>
        <v xml:space="preserve">| 5 L JAVA @ | 6 L NS @ | 7 P NS @ | 9 L CPT @ | 11 L PHP-CGM @ </v>
      </c>
      <c r="AZ596" s="4" t="str">
        <f ca="1">IFERROR(__xludf.DUMMYFUNCTION("""COMPUTED_VALUE"""),"| 5 L NS @ | 6 L CPT @ | 7 P PRO @ | 9 P JAVA @ ")</f>
        <v xml:space="preserve">| 5 L NS @ | 6 L CPT @ | 7 P PRO @ | 9 P JAVA @ </v>
      </c>
      <c r="BA596" s="4" t="str">
        <f ca="1">IFERROR(__xludf.DUMMYFUNCTION("""COMPUTED_VALUE"""),"| 5 L NS @ | 6 L JAVA @ | 7 P JAVA @ ")</f>
        <v xml:space="preserve">| 5 L NS @ | 6 L JAVA @ | 7 P JAVA @ </v>
      </c>
      <c r="BB596" s="4" t="str">
        <f ca="1">IFERROR(__xludf.DUMMYFUNCTION("""COMPUTED_VALUE"""),"| 1 L PHP-CGM @ | 6 L JAVA @ | 3 P PHP-CGM @ | 9 L INE @ ")</f>
        <v xml:space="preserve">| 1 L PHP-CGM @ | 6 L JAVA @ | 3 P PHP-CGM @ | 9 L INE @ </v>
      </c>
      <c r="BC596" s="4" t="str">
        <f ca="1">IFERROR(__xludf.DUMMYFUNCTION("""COMPUTED_VALUE"""),"| 5 L JAVA @ | 6 L NS @ | 7 P NS @ | 10 L PHP-CGM @ | 9 L CPT @ ")</f>
        <v xml:space="preserve">| 5 L JAVA @ | 6 L NS @ | 7 P NS @ | 10 L PHP-CGM @ | 9 L CPT @ </v>
      </c>
      <c r="BD596" s="4" t="str">
        <f ca="1">IFERROR(__xludf.DUMMYFUNCTION("""COMPUTED_VALUE"""),"| 5 L CPT @ | 7 P Python @ | 6 L PHP-CGM @ | 9 P CPT @ ")</f>
        <v xml:space="preserve">| 5 L CPT @ | 7 P Python @ | 6 L PHP-CGM @ | 9 P CPT @ </v>
      </c>
      <c r="BE596" s="4" t="str">
        <f ca="1">IFERROR(__xludf.DUMMYFUNCTION("""COMPUTED_VALUE"""),"| 5 L NS @ | 6 L CPT @ | 9 P JAVA @ | 7 P PRO @ ")</f>
        <v xml:space="preserve">| 5 L NS @ | 6 L CPT @ | 9 P JAVA @ | 7 P PRO @ </v>
      </c>
      <c r="BF596" s="4" t="str">
        <f ca="1">IFERROR(__xludf.DUMMYFUNCTION("""COMPUTED_VALUE"""),"| 5 L NS @ | 6 L JAVA @ | 7 P JAVA @ ")</f>
        <v xml:space="preserve">| 5 L NS @ | 6 L JAVA @ | 7 P JAVA @ </v>
      </c>
      <c r="BG596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H596" s="4" t="str">
        <f ca="1">IFERROR(__xludf.DUMMYFUNCTION("""COMPUTED_VALUE"""),"| 5 L CPT @ | 7 P Python @ | 6 L PHP-CGM @ | 9 P CPT @ ")</f>
        <v xml:space="preserve">| 5 L CPT @ | 7 P Python @ | 6 L PHP-CGM @ | 9 P CPT @ </v>
      </c>
      <c r="BI596" s="4" t="str">
        <f ca="1">IFERROR(__xludf.DUMMYFUNCTION("""COMPUTED_VALUE"""),"| 5 L NS @ | 6 L CPT @ | 7 P PRO @ ")</f>
        <v xml:space="preserve">| 5 L NS @ | 6 L CPT @ | 7 P PRO @ </v>
      </c>
      <c r="BJ596" s="4" t="str">
        <f ca="1">IFERROR(__xludf.DUMMYFUNCTION("""COMPUTED_VALUE"""),"| 5 L NS @ | 6 L JAVA @ | 7 P JAVA @ ")</f>
        <v xml:space="preserve">| 5 L NS @ | 6 L JAVA @ | 7 P JAVA @ </v>
      </c>
      <c r="BK596" s="4" t="str">
        <f ca="1">IFERROR(__xludf.DUMMYFUNCTION("""COMPUTED_VALUE"""),"| 1 L PHP-CGM % | 6 L JAVA % | 3 P PHP-CGM @ | 9 L INE @ ")</f>
        <v xml:space="preserve">| 1 L PHP-CGM % | 6 L JAVA % | 3 P PHP-CGM @ | 9 L INE @ </v>
      </c>
      <c r="BL596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M596" s="4" t="str">
        <f ca="1">IFERROR(__xludf.DUMMYFUNCTION("""COMPUTED_VALUE"""),"| 5 L CPT @ | 6 L PHP-CGM @ ")</f>
        <v xml:space="preserve">| 5 L CPT @ | 6 L PHP-CGM @ </v>
      </c>
      <c r="BN596" s="4" t="str">
        <f ca="1">IFERROR(__xludf.DUMMYFUNCTION("""COMPUTED_VALUE"""),"| 5 L NS @ | 6 L CPT @ | 7 P PRO @ ")</f>
        <v xml:space="preserve">| 5 L NS @ | 6 L CPT @ | 7 P PRO @ </v>
      </c>
      <c r="BO596" s="4" t="str">
        <f ca="1">IFERROR(__xludf.DUMMYFUNCTION("""COMPUTED_VALUE"""),"| 5 L NS @ | 6 L JAVA @ | 7 P JAVA @ ")</f>
        <v xml:space="preserve">| 5 L NS @ | 6 L JAVA @ | 7 P JAVA @ </v>
      </c>
      <c r="BP596" s="4" t="str">
        <f ca="1">IFERROR(__xludf.DUMMYFUNCTION("""COMPUTED_VALUE"""),"| 1 L PHP-CGM @ | 6 L JAVA @ | 3 P PHP-CGM @ | 9 L INE @ ")</f>
        <v xml:space="preserve">| 1 L PHP-CGM @ | 6 L JAVA @ | 3 P PHP-CGM @ | 9 L INE @ </v>
      </c>
      <c r="BQ596" s="4" t="str">
        <f ca="1">IFERROR(__xludf.DUMMYFUNCTION("""COMPUTED_VALUE"""),"| 5 L CPT @ ")</f>
        <v xml:space="preserve">| 5 L CPT @ </v>
      </c>
      <c r="BR596" s="4"/>
      <c r="BS596" s="4" t="str">
        <f ca="1">IFERROR(__xludf.DUMMYFUNCTION("""COMPUTED_VALUE"""),"| 6 L CPT @ ")</f>
        <v xml:space="preserve">| 6 L CPT @ </v>
      </c>
      <c r="BT596" s="4"/>
      <c r="BU596" s="4"/>
      <c r="BV596" s="4" t="str">
        <f ca="1">IFERROR(__xludf.DUMMYFUNCTION("""COMPUTED_VALUE"""),"| 5 L PHP-CGM % | 6 L JAVA % ")</f>
        <v xml:space="preserve">| 5 L PHP-CGM % | 6 L JAVA % </v>
      </c>
      <c r="BW596" s="4"/>
      <c r="BX596" s="4" t="str">
        <f ca="1">IFERROR(__xludf.DUMMYFUNCTION("""COMPUTED_VALUE"""),"| 5 L CPT @ | 6 L PHP-CGM @ ")</f>
        <v xml:space="preserve">| 5 L CPT @ | 6 L PHP-CGM @ </v>
      </c>
      <c r="BY596" s="4" t="str">
        <f ca="1">IFERROR(__xludf.DUMMYFUNCTION("""COMPUTED_VALUE"""),"| 5 L NS % | 6 L CPT % | 7 P PRO % | 9 P JAVA @ ")</f>
        <v xml:space="preserve">| 5 L NS % | 6 L CPT % | 7 P PRO % | 9 P JAVA @ </v>
      </c>
      <c r="BZ596" s="4" t="str">
        <f ca="1">IFERROR(__xludf.DUMMYFUNCTION("""COMPUTED_VALUE"""),"| 5 L NS @ | 6 L JAVA @ | 7 P JAVA @ | 9 P Python @ ")</f>
        <v xml:space="preserve">| 5 L NS @ | 6 L JAVA @ | 7 P JAVA @ | 9 P Python @ </v>
      </c>
      <c r="CA596" s="4" t="str">
        <f ca="1">IFERROR(__xludf.DUMMYFUNCTION("""COMPUTED_VALUE"""),"| 1 L PHP-CGM % | 6 L JAVA % | 3 P PHP-CGM % ")</f>
        <v xml:space="preserve">| 1 L PHP-CGM % | 6 L JAVA % | 3 P PHP-CGM % </v>
      </c>
      <c r="CB596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CC596" s="4" t="str">
        <f ca="1">IFERROR(__xludf.DUMMYFUNCTION("""COMPUTED_VALUE"""),"| 5 L CPT @ | 6 L PHP-CGM @ | 7 P Python @ | 9 P CPT @ ")</f>
        <v xml:space="preserve">| 5 L CPT @ | 6 L PHP-CGM @ | 7 P Python @ | 9 P CPT @ </v>
      </c>
      <c r="CD596" s="4" t="str">
        <f ca="1">IFERROR(__xludf.DUMMYFUNCTION("""COMPUTED_VALUE"""),"| 5 L NS @ | 6 L CPT @ | 7 P PRO @ ")</f>
        <v xml:space="preserve">| 5 L NS @ | 6 L CPT @ | 7 P PRO @ </v>
      </c>
      <c r="CE596" s="4" t="str">
        <f ca="1">IFERROR(__xludf.DUMMYFUNCTION("""COMPUTED_VALUE"""),"| 5 L NS @ | 6 L JAVA @ | 7 P JAVA @ ")</f>
        <v xml:space="preserve">| 5 L NS @ | 6 L JAVA @ | 7 P JAVA @ </v>
      </c>
      <c r="CF596" s="4" t="str">
        <f ca="1">IFERROR(__xludf.DUMMYFUNCTION("""COMPUTED_VALUE"""),"| 5 L PHP-CGM % | 6 L JAVA % | 7 P PHP-CGM @ | 9 L INE @ ")</f>
        <v xml:space="preserve">| 5 L PHP-CGM % | 6 L JAVA % | 7 P PHP-CGM @ | 9 L INE @ </v>
      </c>
      <c r="CG596" s="4" t="str">
        <f ca="1">IFERROR(__xludf.DUMMYFUNCTION("""COMPUTED_VALUE"""),"| 5 L JAVA % | 6 L NS % | 7 P NS @ ")</f>
        <v xml:space="preserve">| 5 L JAVA % | 6 L NS % | 7 P NS @ </v>
      </c>
      <c r="CH596" s="4" t="str">
        <f ca="1">IFERROR(__xludf.DUMMYFUNCTION("""COMPUTED_VALUE"""),"| 5 L CPT @ | 7 P Python @ | 9 P CPT @ ")</f>
        <v xml:space="preserve">| 5 L CPT @ | 7 P Python @ | 9 P CPT @ </v>
      </c>
      <c r="CI596" s="4" t="str">
        <f ca="1">IFERROR(__xludf.DUMMYFUNCTION("""COMPUTED_VALUE"""),"| 5 L NS @ | 6 L CPT @ ")</f>
        <v xml:space="preserve">| 5 L NS @ | 6 L CPT @ </v>
      </c>
      <c r="CJ596" s="4" t="str">
        <f ca="1">IFERROR(__xludf.DUMMYFUNCTION("""COMPUTED_VALUE"""),"| 5 L NS @ ")</f>
        <v xml:space="preserve">| 5 L NS @ </v>
      </c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</row>
    <row r="597" spans="1:102" ht="12.5" x14ac:dyDescent="0.25">
      <c r="A597" s="3">
        <f ca="1">IFERROR(__xludf.DUMMYFUNCTION("""COMPUTED_VALUE"""),2)</f>
        <v>2</v>
      </c>
      <c r="B597" s="3" t="str">
        <f ca="1">IFERROR(__xludf.DUMMYFUNCTION("""COMPUTED_VALUE"""),"ITD")</f>
        <v>ITD</v>
      </c>
      <c r="C597" s="32" t="str">
        <f ca="1">IFERROR(__xludf.DUMMYFUNCTION("""COMPUTED_VALUE"""),"23171371059")</f>
        <v>23171371059</v>
      </c>
      <c r="D597" s="4" t="str">
        <f ca="1">IFERROR(__xludf.DUMMYFUNCTION("""COMPUTED_VALUE"""),"PATEL AVIKUMAR MANISHBHAI")</f>
        <v>PATEL AVIKUMAR MANISHBHAI</v>
      </c>
      <c r="E597" s="3" t="str">
        <f ca="1">IFERROR(__xludf.DUMMYFUNCTION("""COMPUTED_VALUE"""),"SRC - Eve")</f>
        <v>SRC - Eve</v>
      </c>
      <c r="F597" s="3">
        <f ca="1">IFERROR(__xludf.DUMMYFUNCTION("""COMPUTED_VALUE"""),9265538238)</f>
        <v>9265538238</v>
      </c>
      <c r="G597" s="3">
        <f ca="1">IFERROR(__xludf.DUMMYFUNCTION("""COMPUTED_VALUE"""),9726979471)</f>
        <v>9726979471</v>
      </c>
      <c r="H597" s="33">
        <f ca="1">IFERROR(__xludf.DUMMYFUNCTION("""COMPUTED_VALUE"""),0.377880184331797)</f>
        <v>0.37788018433179699</v>
      </c>
      <c r="I597" s="25">
        <f ca="1">IFERROR(__xludf.DUMMYFUNCTION("""COMPUTED_VALUE"""),0.527777777777777)</f>
        <v>0.52777777777777701</v>
      </c>
      <c r="J597" s="25">
        <f ca="1">IFERROR(__xludf.DUMMYFUNCTION("""COMPUTED_VALUE"""),0)</f>
        <v>0</v>
      </c>
      <c r="K597" s="25">
        <f ca="1">IFERROR(__xludf.DUMMYFUNCTION("""COMPUTED_VALUE"""),0.694444444444444)</f>
        <v>0.69444444444444398</v>
      </c>
      <c r="L597" s="25">
        <f ca="1">IFERROR(__xludf.DUMMYFUNCTION("""COMPUTED_VALUE"""),0)</f>
        <v>0</v>
      </c>
      <c r="M597" s="25">
        <f ca="1">IFERROR(__xludf.DUMMYFUNCTION("""COMPUTED_VALUE"""),0.46875)</f>
        <v>0.46875</v>
      </c>
      <c r="N597" s="25">
        <f ca="1">IFERROR(__xludf.DUMMYFUNCTION("""COMPUTED_VALUE"""),0)</f>
        <v>0</v>
      </c>
      <c r="O597" s="25">
        <f ca="1">IFERROR(__xludf.DUMMYFUNCTION("""COMPUTED_VALUE"""),0.676470588235294)</f>
        <v>0.67647058823529405</v>
      </c>
      <c r="P597" s="25">
        <f ca="1">IFERROR(__xludf.DUMMYFUNCTION("""COMPUTED_VALUE"""),0)</f>
        <v>0</v>
      </c>
      <c r="Q597" s="25">
        <f ca="1">IFERROR(__xludf.DUMMYFUNCTION("""COMPUTED_VALUE"""),0)</f>
        <v>0</v>
      </c>
      <c r="R597" s="25">
        <f ca="1">IFERROR(__xludf.DUMMYFUNCTION("""COMPUTED_VALUE"""),0)</f>
        <v>0</v>
      </c>
      <c r="S597" s="25">
        <f ca="1">IFERROR(__xludf.DUMMYFUNCTION("""COMPUTED_VALUE"""),0)</f>
        <v>0</v>
      </c>
      <c r="T597" s="25">
        <f ca="1">IFERROR(__xludf.DUMMYFUNCTION("""COMPUTED_VALUE"""),0)</f>
        <v>0</v>
      </c>
      <c r="U597" s="25">
        <f ca="1">IFERROR(__xludf.DUMMYFUNCTION("""COMPUTED_VALUE"""),0)</f>
        <v>0</v>
      </c>
      <c r="V597" s="25">
        <f ca="1">IFERROR(__xludf.DUMMYFUNCTION("""COMPUTED_VALUE"""),0)</f>
        <v>0</v>
      </c>
      <c r="W597" s="4"/>
      <c r="X597" s="4" t="str">
        <f ca="1">IFERROR(__xludf.DUMMYFUNCTION("""COMPUTED_VALUE"""),"| 1 L PHP-CGM @ | 6 L JAVA @ | 3 P PHP-CGM @ ")</f>
        <v xml:space="preserve">| 1 L PHP-CGM @ | 6 L JAVA @ | 3 P PHP-CGM @ </v>
      </c>
      <c r="Y597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597" s="4" t="str">
        <f ca="1">IFERROR(__xludf.DUMMYFUNCTION("""COMPUTED_VALUE"""),"| 5 L CPT % | 6 L PHP-CGM % | 7 P Python @ | 9 P CPT @ ")</f>
        <v xml:space="preserve">| 5 L CPT % | 6 L PHP-CGM % | 7 P Python @ | 9 P CPT @ </v>
      </c>
      <c r="AA597" s="4" t="str">
        <f ca="1">IFERROR(__xludf.DUMMYFUNCTION("""COMPUTED_VALUE"""),"| 5 L NS % | 6 L CPT % | 7 P PRO @ | 9 P JAVA @ ")</f>
        <v xml:space="preserve">| 5 L NS % | 6 L CPT % | 7 P PRO @ | 9 P JAVA @ </v>
      </c>
      <c r="AB597" s="4" t="str">
        <f ca="1">IFERROR(__xludf.DUMMYFUNCTION("""COMPUTED_VALUE"""),"| 5 L NS @ | 6 L JAVA @ | 7 P JAVA @ | 9 P Python @ ")</f>
        <v xml:space="preserve">| 5 L NS @ | 6 L JAVA @ | 7 P JAVA @ | 9 P Python @ </v>
      </c>
      <c r="AC597" s="4" t="str">
        <f ca="1">IFERROR(__xludf.DUMMYFUNCTION("""COMPUTED_VALUE"""),"| 1 L PHP-CGM @ | 6 L JAVA @ | 3 P PHP-CGM @ ")</f>
        <v xml:space="preserve">| 1 L PHP-CGM @ | 6 L JAVA @ | 3 P PHP-CGM @ </v>
      </c>
      <c r="AD597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E597" s="4" t="str">
        <f ca="1">IFERROR(__xludf.DUMMYFUNCTION("""COMPUTED_VALUE"""),"| 5 L CPT % | 6 L PHP-CGM % | 7 P Python @ | 9 P CPT @ ")</f>
        <v xml:space="preserve">| 5 L CPT % | 6 L PHP-CGM % | 7 P Python @ | 9 P CPT @ </v>
      </c>
      <c r="AF597" s="4" t="str">
        <f ca="1">IFERROR(__xludf.DUMMYFUNCTION("""COMPUTED_VALUE"""),"| 5 L NS % | 6 L CPT % | 7 P PRO @ | 9 P JAVA @ ")</f>
        <v xml:space="preserve">| 5 L NS % | 6 L CPT % | 7 P PRO @ | 9 P JAVA @ </v>
      </c>
      <c r="AG597" s="4" t="str">
        <f ca="1">IFERROR(__xludf.DUMMYFUNCTION("""COMPUTED_VALUE"""),"| 5 L NS % | 6 L JAVA % | 7 P JAVA @ ")</f>
        <v xml:space="preserve">| 5 L NS % | 6 L JAVA % | 7 P JAVA @ </v>
      </c>
      <c r="AH597" s="4" t="str">
        <f ca="1">IFERROR(__xludf.DUMMYFUNCTION("""COMPUTED_VALUE"""),"| 5 L NS % | 6 L CPT % | 7 P PRO @ | 9 P JAVA @ ")</f>
        <v xml:space="preserve">| 5 L NS % | 6 L CPT % | 7 P PRO @ | 9 P JAVA @ </v>
      </c>
      <c r="AI597" s="4" t="str">
        <f ca="1">IFERROR(__xludf.DUMMYFUNCTION("""COMPUTED_VALUE"""),"| 5 L NS % | 6 L JAVA % | 7 P JAVA @ | 9 P Python @ ")</f>
        <v xml:space="preserve">| 5 L NS % | 6 L JAVA % | 7 P JAVA @ | 9 P Python @ </v>
      </c>
      <c r="AJ597" s="4" t="str">
        <f ca="1">IFERROR(__xludf.DUMMYFUNCTION("""COMPUTED_VALUE"""),"| 1 L PHP-CGM % | 6 L JAVA % | 3 P PHP-CGM @ ")</f>
        <v xml:space="preserve">| 1 L PHP-CGM % | 6 L JAVA % | 3 P PHP-CGM @ </v>
      </c>
      <c r="AK597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L597" s="4" t="str">
        <f ca="1">IFERROR(__xludf.DUMMYFUNCTION("""COMPUTED_VALUE"""),"| 5 L CPT % | 7 P Python @ | 6 L PHP-CGM % | 9 P CPT @ ")</f>
        <v xml:space="preserve">| 5 L CPT % | 7 P Python @ | 6 L PHP-CGM % | 9 P CPT @ </v>
      </c>
      <c r="AM597" s="4" t="str">
        <f ca="1">IFERROR(__xludf.DUMMYFUNCTION("""COMPUTED_VALUE"""),"| 5 L NS % | 6 L CPT % | 9 P JAVA @ ")</f>
        <v xml:space="preserve">| 5 L NS % | 6 L CPT % | 9 P JAVA @ </v>
      </c>
      <c r="AN597" s="4" t="str">
        <f ca="1">IFERROR(__xludf.DUMMYFUNCTION("""COMPUTED_VALUE"""),"| 5 L NS % | 6 L JAVA % ")</f>
        <v xml:space="preserve">| 5 L NS % | 6 L JAVA % </v>
      </c>
      <c r="AO597" s="4" t="str">
        <f ca="1">IFERROR(__xludf.DUMMYFUNCTION("""COMPUTED_VALUE"""),"| 1 L PHP-CGM % | 6 L JAVA % | 3 P PHP-CGM @ | 9 L INE @ ")</f>
        <v xml:space="preserve">| 1 L PHP-CGM % | 6 L JAVA % | 3 P PHP-CGM @ | 9 L INE @ </v>
      </c>
      <c r="AP597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Q597" s="4" t="str">
        <f ca="1">IFERROR(__xludf.DUMMYFUNCTION("""COMPUTED_VALUE"""),"| 5 L CPT % | 6 L PHP-CGM % | 9 P CPT @ ")</f>
        <v xml:space="preserve">| 5 L CPT % | 6 L PHP-CGM % | 9 P CPT @ </v>
      </c>
      <c r="AR597" s="4" t="str">
        <f ca="1">IFERROR(__xludf.DUMMYFUNCTION("""COMPUTED_VALUE"""),"| 5 L NS % | 6 L CPT % | 7 P PRO @ ")</f>
        <v xml:space="preserve">| 5 L NS % | 6 L CPT % | 7 P PRO @ </v>
      </c>
      <c r="AS597" s="4" t="str">
        <f ca="1">IFERROR(__xludf.DUMMYFUNCTION("""COMPUTED_VALUE"""),"| 1 L PHP-CGM % | 6 L JAVA % | 3 P PHP-CGM @ | 9 L INE @ ")</f>
        <v xml:space="preserve">| 1 L PHP-CGM % | 6 L JAVA % | 3 P PHP-CGM @ | 9 L INE @ </v>
      </c>
      <c r="AT597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U597" s="4" t="str">
        <f ca="1">IFERROR(__xludf.DUMMYFUNCTION("""COMPUTED_VALUE"""),"| 5 L CPT % | 6 L PHP-CGM % | 7 P Python @ | 9 P CPT @ ")</f>
        <v xml:space="preserve">| 5 L CPT % | 6 L PHP-CGM % | 7 P Python @ | 9 P CPT @ </v>
      </c>
      <c r="AV597" s="4" t="str">
        <f ca="1">IFERROR(__xludf.DUMMYFUNCTION("""COMPUTED_VALUE"""),"| 5 L NS % | 6 L CPT % | 7 P PRO @ | 9 P JAVA @ ")</f>
        <v xml:space="preserve">| 5 L NS % | 6 L CPT % | 7 P PRO @ | 9 P JAVA @ </v>
      </c>
      <c r="AW597" s="4" t="str">
        <f ca="1">IFERROR(__xludf.DUMMYFUNCTION("""COMPUTED_VALUE"""),"| 5 L NS % | 6 L JAVA % | 7 P JAVA @ | 9 P Python @ ")</f>
        <v xml:space="preserve">| 5 L NS % | 6 L JAVA % | 7 P JAVA @ | 9 P Python @ </v>
      </c>
      <c r="AX597" s="4" t="str">
        <f ca="1">IFERROR(__xludf.DUMMYFUNCTION("""COMPUTED_VALUE"""),"| 1 L PHP-CGM % | 6 L JAVA % | 3 P PHP-CGM @ | 9 L INE @ ")</f>
        <v xml:space="preserve">| 1 L PHP-CGM % | 6 L JAVA % | 3 P PHP-CGM @ | 9 L INE @ </v>
      </c>
      <c r="AY597" s="4" t="str">
        <f ca="1">IFERROR(__xludf.DUMMYFUNCTION("""COMPUTED_VALUE"""),"| 5 L JAVA % | 6 L NS % | 7 P NS @ | 9 L CPT @ | 11 L PHP-CGM @ ")</f>
        <v xml:space="preserve">| 5 L JAVA % | 6 L NS % | 7 P NS @ | 9 L CPT @ | 11 L PHP-CGM @ </v>
      </c>
      <c r="AZ597" s="4" t="str">
        <f ca="1">IFERROR(__xludf.DUMMYFUNCTION("""COMPUTED_VALUE"""),"| 5 L NS % | 6 L CPT % | 7 P PRO @ | 9 P JAVA @ ")</f>
        <v xml:space="preserve">| 5 L NS % | 6 L CPT % | 7 P PRO @ | 9 P JAVA @ </v>
      </c>
      <c r="BA597" s="4" t="str">
        <f ca="1">IFERROR(__xludf.DUMMYFUNCTION("""COMPUTED_VALUE"""),"| 5 L NS % | 6 L JAVA % | 7 P JAVA @ ")</f>
        <v xml:space="preserve">| 5 L NS % | 6 L JAVA % | 7 P JAVA @ </v>
      </c>
      <c r="BB597" s="4" t="str">
        <f ca="1">IFERROR(__xludf.DUMMYFUNCTION("""COMPUTED_VALUE"""),"| 1 L PHP-CGM % | 6 L JAVA % | 3 P PHP-CGM @ | 9 L INE @ ")</f>
        <v xml:space="preserve">| 1 L PHP-CGM % | 6 L JAVA % | 3 P PHP-CGM @ | 9 L INE @ </v>
      </c>
      <c r="BC597" s="4" t="str">
        <f ca="1">IFERROR(__xludf.DUMMYFUNCTION("""COMPUTED_VALUE"""),"| 5 L JAVA % | 6 L NS % | 7 P NS @ | 10 L PHP-CGM % | 9 L CPT % ")</f>
        <v xml:space="preserve">| 5 L JAVA % | 6 L NS % | 7 P NS @ | 10 L PHP-CGM % | 9 L CPT % </v>
      </c>
      <c r="BD597" s="4" t="str">
        <f ca="1">IFERROR(__xludf.DUMMYFUNCTION("""COMPUTED_VALUE"""),"| 5 L CPT % | 7 P Python @ | 6 L PHP-CGM % | 9 P CPT @ ")</f>
        <v xml:space="preserve">| 5 L CPT % | 7 P Python @ | 6 L PHP-CGM % | 9 P CPT @ </v>
      </c>
      <c r="BE597" s="4" t="str">
        <f ca="1">IFERROR(__xludf.DUMMYFUNCTION("""COMPUTED_VALUE"""),"| 5 L NS % | 6 L CPT % | 9 P JAVA @ | 7 P PRO @ ")</f>
        <v xml:space="preserve">| 5 L NS % | 6 L CPT % | 9 P JAVA @ | 7 P PRO @ </v>
      </c>
      <c r="BF597" s="4" t="str">
        <f ca="1">IFERROR(__xludf.DUMMYFUNCTION("""COMPUTED_VALUE"""),"| 5 L NS @ | 6 L JAVA % | 7 P JAVA @ ")</f>
        <v xml:space="preserve">| 5 L NS @ | 6 L JAVA % | 7 P JAVA @ </v>
      </c>
      <c r="BG597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H597" s="4" t="str">
        <f ca="1">IFERROR(__xludf.DUMMYFUNCTION("""COMPUTED_VALUE"""),"| 5 L CPT @ | 7 P Python @ | 6 L PHP-CGM @ | 9 P CPT @ ")</f>
        <v xml:space="preserve">| 5 L CPT @ | 7 P Python @ | 6 L PHP-CGM @ | 9 P CPT @ </v>
      </c>
      <c r="BI597" s="4" t="str">
        <f ca="1">IFERROR(__xludf.DUMMYFUNCTION("""COMPUTED_VALUE"""),"| 5 L NS @ | 6 L CPT @ | 7 P PRO @ ")</f>
        <v xml:space="preserve">| 5 L NS @ | 6 L CPT @ | 7 P PRO @ </v>
      </c>
      <c r="BJ597" s="4" t="str">
        <f ca="1">IFERROR(__xludf.DUMMYFUNCTION("""COMPUTED_VALUE"""),"| 5 L NS % | 6 L JAVA % | 7 P JAVA @ ")</f>
        <v xml:space="preserve">| 5 L NS % | 6 L JAVA % | 7 P JAVA @ </v>
      </c>
      <c r="BK597" s="4" t="str">
        <f ca="1">IFERROR(__xludf.DUMMYFUNCTION("""COMPUTED_VALUE"""),"| 1 L PHP-CGM @ | 6 L JAVA @ | 3 P PHP-CGM @ | 9 L INE @ ")</f>
        <v xml:space="preserve">| 1 L PHP-CGM @ | 6 L JAVA @ | 3 P PHP-CGM @ | 9 L INE @ </v>
      </c>
      <c r="BL597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M597" s="4" t="str">
        <f ca="1">IFERROR(__xludf.DUMMYFUNCTION("""COMPUTED_VALUE"""),"| 5 L CPT @ | 6 L PHP-CGM @ ")</f>
        <v xml:space="preserve">| 5 L CPT @ | 6 L PHP-CGM @ </v>
      </c>
      <c r="BN597" s="4" t="str">
        <f ca="1">IFERROR(__xludf.DUMMYFUNCTION("""COMPUTED_VALUE"""),"| 5 L NS @ | 6 L CPT @ | 7 P PRO @ ")</f>
        <v xml:space="preserve">| 5 L NS @ | 6 L CPT @ | 7 P PRO @ </v>
      </c>
      <c r="BO597" s="4" t="str">
        <f ca="1">IFERROR(__xludf.DUMMYFUNCTION("""COMPUTED_VALUE"""),"| 5 L NS @ | 6 L JAVA @ | 7 P JAVA @ ")</f>
        <v xml:space="preserve">| 5 L NS @ | 6 L JAVA @ | 7 P JAVA @ </v>
      </c>
      <c r="BP597" s="4" t="str">
        <f ca="1">IFERROR(__xludf.DUMMYFUNCTION("""COMPUTED_VALUE"""),"| 1 L PHP-CGM @ | 6 L JAVA @ | 3 P PHP-CGM @ | 9 L INE @ ")</f>
        <v xml:space="preserve">| 1 L PHP-CGM @ | 6 L JAVA @ | 3 P PHP-CGM @ | 9 L INE @ </v>
      </c>
      <c r="BQ597" s="4" t="str">
        <f ca="1">IFERROR(__xludf.DUMMYFUNCTION("""COMPUTED_VALUE"""),"| 5 L CPT @ ")</f>
        <v xml:space="preserve">| 5 L CPT @ </v>
      </c>
      <c r="BR597" s="4"/>
      <c r="BS597" s="4" t="str">
        <f ca="1">IFERROR(__xludf.DUMMYFUNCTION("""COMPUTED_VALUE"""),"| 6 L CPT @ ")</f>
        <v xml:space="preserve">| 6 L CPT @ </v>
      </c>
      <c r="BT597" s="4"/>
      <c r="BU597" s="4"/>
      <c r="BV597" s="4" t="str">
        <f ca="1">IFERROR(__xludf.DUMMYFUNCTION("""COMPUTED_VALUE"""),"| 5 L PHP-CGM @ | 6 L JAVA @ ")</f>
        <v xml:space="preserve">| 5 L PHP-CGM @ | 6 L JAVA @ </v>
      </c>
      <c r="BW597" s="4"/>
      <c r="BX597" s="4" t="str">
        <f ca="1">IFERROR(__xludf.DUMMYFUNCTION("""COMPUTED_VALUE"""),"| 5 L CPT @ | 6 L PHP-CGM @ ")</f>
        <v xml:space="preserve">| 5 L CPT @ | 6 L PHP-CGM @ </v>
      </c>
      <c r="BY597" s="4" t="str">
        <f ca="1">IFERROR(__xludf.DUMMYFUNCTION("""COMPUTED_VALUE"""),"| 5 L NS @ | 6 L CPT @ | 7 P PRO @ | 9 P JAVA @ ")</f>
        <v xml:space="preserve">| 5 L NS @ | 6 L CPT @ | 7 P PRO @ | 9 P JAVA @ </v>
      </c>
      <c r="BZ597" s="4" t="str">
        <f ca="1">IFERROR(__xludf.DUMMYFUNCTION("""COMPUTED_VALUE"""),"| 5 L NS @ | 6 L JAVA @ | 7 P JAVA @ | 9 P Python @ ")</f>
        <v xml:space="preserve">| 5 L NS @ | 6 L JAVA @ | 7 P JAVA @ | 9 P Python @ </v>
      </c>
      <c r="CA597" s="4" t="str">
        <f ca="1">IFERROR(__xludf.DUMMYFUNCTION("""COMPUTED_VALUE"""),"| 1 L PHP-CGM % | 6 L JAVA % | 3 P PHP-CGM @ ")</f>
        <v xml:space="preserve">| 1 L PHP-CGM % | 6 L JAVA % | 3 P PHP-CGM @ </v>
      </c>
      <c r="CB597" s="4" t="str">
        <f ca="1">IFERROR(__xludf.DUMMYFUNCTION("""COMPUTED_VALUE"""),"| 5 L JAVA % | 6 L NS % | 7 P NS @ | 9 L CPT % | 10 L PHP-CGM % ")</f>
        <v xml:space="preserve">| 5 L JAVA % | 6 L NS % | 7 P NS @ | 9 L CPT % | 10 L PHP-CGM % </v>
      </c>
      <c r="CC597" s="4" t="str">
        <f ca="1">IFERROR(__xludf.DUMMYFUNCTION("""COMPUTED_VALUE"""),"| 5 L CPT % | 6 L PHP-CGM @ | 7 P Python @ | 9 P CPT @ ")</f>
        <v xml:space="preserve">| 5 L CPT % | 6 L PHP-CGM @ | 7 P Python @ | 9 P CPT @ </v>
      </c>
      <c r="CD597" s="4" t="str">
        <f ca="1">IFERROR(__xludf.DUMMYFUNCTION("""COMPUTED_VALUE"""),"| 5 L NS % | 6 L CPT % | 7 P PRO @ ")</f>
        <v xml:space="preserve">| 5 L NS % | 6 L CPT % | 7 P PRO @ </v>
      </c>
      <c r="CE597" s="4" t="str">
        <f ca="1">IFERROR(__xludf.DUMMYFUNCTION("""COMPUTED_VALUE"""),"| 5 L NS % | 6 L JAVA % | 7 P JAVA @ ")</f>
        <v xml:space="preserve">| 5 L NS % | 6 L JAVA % | 7 P JAVA @ </v>
      </c>
      <c r="CF597" s="4" t="str">
        <f ca="1">IFERROR(__xludf.DUMMYFUNCTION("""COMPUTED_VALUE"""),"| 5 L PHP-CGM @ | 6 L JAVA @ | 7 P PHP-CGM @ | 9 L INE @ ")</f>
        <v xml:space="preserve">| 5 L PHP-CGM @ | 6 L JAVA @ | 7 P PHP-CGM @ | 9 L INE @ </v>
      </c>
      <c r="CG597" s="4" t="str">
        <f ca="1">IFERROR(__xludf.DUMMYFUNCTION("""COMPUTED_VALUE"""),"| 5 L JAVA @ | 6 L NS @ | 7 P NS @ ")</f>
        <v xml:space="preserve">| 5 L JAVA @ | 6 L NS @ | 7 P NS @ </v>
      </c>
      <c r="CH597" s="4" t="str">
        <f ca="1">IFERROR(__xludf.DUMMYFUNCTION("""COMPUTED_VALUE"""),"| 5 L CPT @ | 7 P Python @ | 9 P CPT @ ")</f>
        <v xml:space="preserve">| 5 L CPT @ | 7 P Python @ | 9 P CPT @ </v>
      </c>
      <c r="CI597" s="4" t="str">
        <f ca="1">IFERROR(__xludf.DUMMYFUNCTION("""COMPUTED_VALUE"""),"| 5 L NS @ | 6 L CPT @ ")</f>
        <v xml:space="preserve">| 5 L NS @ | 6 L CPT @ </v>
      </c>
      <c r="CJ597" s="4" t="str">
        <f ca="1">IFERROR(__xludf.DUMMYFUNCTION("""COMPUTED_VALUE"""),"| 5 L NS @ ")</f>
        <v xml:space="preserve">| 5 L NS @ </v>
      </c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</row>
    <row r="598" spans="1:102" ht="12.5" x14ac:dyDescent="0.25">
      <c r="A598" s="3">
        <f ca="1">IFERROR(__xludf.DUMMYFUNCTION("""COMPUTED_VALUE"""),2)</f>
        <v>2</v>
      </c>
      <c r="B598" s="3" t="str">
        <f ca="1">IFERROR(__xludf.DUMMYFUNCTION("""COMPUTED_VALUE"""),"ITD")</f>
        <v>ITD</v>
      </c>
      <c r="C598" s="32" t="str">
        <f ca="1">IFERROR(__xludf.DUMMYFUNCTION("""COMPUTED_VALUE"""),"23171371060")</f>
        <v>23171371060</v>
      </c>
      <c r="D598" s="4" t="str">
        <f ca="1">IFERROR(__xludf.DUMMYFUNCTION("""COMPUTED_VALUE"""),"PATEL BANSIL NARENDRAKUMAR")</f>
        <v>PATEL BANSIL NARENDRAKUMAR</v>
      </c>
      <c r="E598" s="3" t="str">
        <f ca="1">IFERROR(__xludf.DUMMYFUNCTION("""COMPUTED_VALUE"""),"SRC - Eve")</f>
        <v>SRC - Eve</v>
      </c>
      <c r="F598" s="3">
        <f ca="1">IFERROR(__xludf.DUMMYFUNCTION("""COMPUTED_VALUE"""),8141757745)</f>
        <v>8141757745</v>
      </c>
      <c r="G598" s="3">
        <f ca="1">IFERROR(__xludf.DUMMYFUNCTION("""COMPUTED_VALUE"""),8511484912)</f>
        <v>8511484912</v>
      </c>
      <c r="H598" s="33">
        <f ca="1">IFERROR(__xludf.DUMMYFUNCTION("""COMPUTED_VALUE"""),0.783410138248848)</f>
        <v>0.78341013824884798</v>
      </c>
      <c r="I598" s="25">
        <f ca="1">IFERROR(__xludf.DUMMYFUNCTION("""COMPUTED_VALUE"""),0.75)</f>
        <v>0.75</v>
      </c>
      <c r="J598" s="25">
        <f ca="1">IFERROR(__xludf.DUMMYFUNCTION("""COMPUTED_VALUE"""),0.777777777777777)</f>
        <v>0.77777777777777701</v>
      </c>
      <c r="K598" s="25">
        <f ca="1">IFERROR(__xludf.DUMMYFUNCTION("""COMPUTED_VALUE"""),0.75)</f>
        <v>0.75</v>
      </c>
      <c r="L598" s="25">
        <f ca="1">IFERROR(__xludf.DUMMYFUNCTION("""COMPUTED_VALUE"""),1)</f>
        <v>1</v>
      </c>
      <c r="M598" s="25">
        <f ca="1">IFERROR(__xludf.DUMMYFUNCTION("""COMPUTED_VALUE"""),0.84375)</f>
        <v>0.84375</v>
      </c>
      <c r="N598" s="25">
        <f ca="1">IFERROR(__xludf.DUMMYFUNCTION("""COMPUTED_VALUE"""),0.818181818181818)</f>
        <v>0.81818181818181801</v>
      </c>
      <c r="O598" s="25">
        <f ca="1">IFERROR(__xludf.DUMMYFUNCTION("""COMPUTED_VALUE"""),0.823529411764705)</f>
        <v>0.82352941176470495</v>
      </c>
      <c r="P598" s="25">
        <f ca="1">IFERROR(__xludf.DUMMYFUNCTION("""COMPUTED_VALUE"""),0.666666666666666)</f>
        <v>0.66666666666666596</v>
      </c>
      <c r="Q598" s="25">
        <f ca="1">IFERROR(__xludf.DUMMYFUNCTION("""COMPUTED_VALUE"""),0)</f>
        <v>0</v>
      </c>
      <c r="R598" s="25">
        <f ca="1">IFERROR(__xludf.DUMMYFUNCTION("""COMPUTED_VALUE"""),0.916666666666666)</f>
        <v>0.91666666666666596</v>
      </c>
      <c r="S598" s="25">
        <f ca="1">IFERROR(__xludf.DUMMYFUNCTION("""COMPUTED_VALUE"""),0)</f>
        <v>0</v>
      </c>
      <c r="T598" s="25">
        <f ca="1">IFERROR(__xludf.DUMMYFUNCTION("""COMPUTED_VALUE"""),0.818181818181818)</f>
        <v>0.81818181818181801</v>
      </c>
      <c r="U598" s="25">
        <f ca="1">IFERROR(__xludf.DUMMYFUNCTION("""COMPUTED_VALUE"""),0.285714285714285)</f>
        <v>0.28571428571428498</v>
      </c>
      <c r="V598" s="25">
        <f ca="1">IFERROR(__xludf.DUMMYFUNCTION("""COMPUTED_VALUE"""),0)</f>
        <v>0</v>
      </c>
      <c r="W598" s="4"/>
      <c r="X598" s="4" t="str">
        <f ca="1">IFERROR(__xludf.DUMMYFUNCTION("""COMPUTED_VALUE"""),"| 1 L PHP-CGM % | 6 L JAVA % | 3 P PHP-CGM % ")</f>
        <v xml:space="preserve">| 1 L PHP-CGM % | 6 L JAVA % | 3 P PHP-CGM % </v>
      </c>
      <c r="Y598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Z598" s="4" t="str">
        <f ca="1">IFERROR(__xludf.DUMMYFUNCTION("""COMPUTED_VALUE"""),"| 5 L CPT % | 6 L PHP-CGM % | 7 P Python % | 9 P CPT % ")</f>
        <v xml:space="preserve">| 5 L CPT % | 6 L PHP-CGM % | 7 P Python % | 9 P CPT % </v>
      </c>
      <c r="AA598" s="4" t="str">
        <f ca="1">IFERROR(__xludf.DUMMYFUNCTION("""COMPUTED_VALUE"""),"| 5 L NS % | 6 L CPT % | 7 P PRO % | 9 P JAVA % ")</f>
        <v xml:space="preserve">| 5 L NS % | 6 L CPT % | 7 P PRO % | 9 P JAVA % </v>
      </c>
      <c r="AB598" s="4" t="str">
        <f ca="1">IFERROR(__xludf.DUMMYFUNCTION("""COMPUTED_VALUE"""),"| 5 L NS % | 6 L JAVA % | 7 P JAVA % | 9 P Python % ")</f>
        <v xml:space="preserve">| 5 L NS % | 6 L JAVA % | 7 P JAVA % | 9 P Python % </v>
      </c>
      <c r="AC598" s="4" t="str">
        <f ca="1">IFERROR(__xludf.DUMMYFUNCTION("""COMPUTED_VALUE"""),"| 1 L PHP-CGM @ | 6 L JAVA @ | 3 P PHP-CGM @ ")</f>
        <v xml:space="preserve">| 1 L PHP-CGM @ | 6 L JAVA @ | 3 P PHP-CGM @ </v>
      </c>
      <c r="AD598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598" s="4" t="str">
        <f ca="1">IFERROR(__xludf.DUMMYFUNCTION("""COMPUTED_VALUE"""),"| 5 L CPT % | 6 L PHP-CGM % | 7 P Python % | 9 P CPT % ")</f>
        <v xml:space="preserve">| 5 L CPT % | 6 L PHP-CGM % | 7 P Python % | 9 P CPT % </v>
      </c>
      <c r="AF598" s="4" t="str">
        <f ca="1">IFERROR(__xludf.DUMMYFUNCTION("""COMPUTED_VALUE"""),"| 5 L NS % | 6 L CPT % | 7 P PRO % | 9 P JAVA % ")</f>
        <v xml:space="preserve">| 5 L NS % | 6 L CPT % | 7 P PRO % | 9 P JAVA % </v>
      </c>
      <c r="AG598" s="4" t="str">
        <f ca="1">IFERROR(__xludf.DUMMYFUNCTION("""COMPUTED_VALUE"""),"| 5 L NS % | 6 L JAVA % | 7 P JAVA % ")</f>
        <v xml:space="preserve">| 5 L NS % | 6 L JAVA % | 7 P JAVA % </v>
      </c>
      <c r="AH598" s="4" t="str">
        <f ca="1">IFERROR(__xludf.DUMMYFUNCTION("""COMPUTED_VALUE"""),"| 5 L NS % | 6 L CPT % | 7 P PRO % | 9 P JAVA % ")</f>
        <v xml:space="preserve">| 5 L NS % | 6 L CPT % | 7 P PRO % | 9 P JAVA % </v>
      </c>
      <c r="AI598" s="4" t="str">
        <f ca="1">IFERROR(__xludf.DUMMYFUNCTION("""COMPUTED_VALUE"""),"| 5 L NS % | 6 L JAVA @ | 7 P JAVA % | 9 P Python % ")</f>
        <v xml:space="preserve">| 5 L NS % | 6 L JAVA @ | 7 P JAVA % | 9 P Python % </v>
      </c>
      <c r="AJ598" s="4" t="str">
        <f ca="1">IFERROR(__xludf.DUMMYFUNCTION("""COMPUTED_VALUE"""),"| 1 L PHP-CGM % | 6 L JAVA % | 3 P PHP-CGM % ")</f>
        <v xml:space="preserve">| 1 L PHP-CGM % | 6 L JAVA % | 3 P PHP-CGM % </v>
      </c>
      <c r="AK598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598" s="4" t="str">
        <f ca="1">IFERROR(__xludf.DUMMYFUNCTION("""COMPUTED_VALUE"""),"| 5 L CPT % | 7 P Python % | 6 L PHP-CGM % | 9 P CPT @ ")</f>
        <v xml:space="preserve">| 5 L CPT % | 7 P Python % | 6 L PHP-CGM % | 9 P CPT @ </v>
      </c>
      <c r="AM598" s="4" t="str">
        <f ca="1">IFERROR(__xludf.DUMMYFUNCTION("""COMPUTED_VALUE"""),"| 5 L NS % | 6 L CPT % | 9 P JAVA % ")</f>
        <v xml:space="preserve">| 5 L NS % | 6 L CPT % | 9 P JAVA % </v>
      </c>
      <c r="AN598" s="4" t="str">
        <f ca="1">IFERROR(__xludf.DUMMYFUNCTION("""COMPUTED_VALUE"""),"| 5 L NS % | 6 L JAVA % ")</f>
        <v xml:space="preserve">| 5 L NS % | 6 L JAVA % </v>
      </c>
      <c r="AO598" s="4" t="str">
        <f ca="1">IFERROR(__xludf.DUMMYFUNCTION("""COMPUTED_VALUE"""),"| 1 L PHP-CGM % | 6 L JAVA % | 3 P PHP-CGM % | 9 L INE @ ")</f>
        <v xml:space="preserve">| 1 L PHP-CGM % | 6 L JAVA % | 3 P PHP-CGM % | 9 L INE @ </v>
      </c>
      <c r="AP598" s="4" t="str">
        <f ca="1">IFERROR(__xludf.DUMMYFUNCTION("""COMPUTED_VALUE"""),"| 5 L JAVA % | 6 L NS % | 7 P NS % | 9 L CPT @ | 6 L PHP-CGM @ ")</f>
        <v xml:space="preserve">| 5 L JAVA % | 6 L NS % | 7 P NS % | 9 L CPT @ | 6 L PHP-CGM @ </v>
      </c>
      <c r="AQ598" s="4" t="str">
        <f ca="1">IFERROR(__xludf.DUMMYFUNCTION("""COMPUTED_VALUE"""),"| 5 L CPT % | 6 L PHP-CGM % | 9 P CPT @ ")</f>
        <v xml:space="preserve">| 5 L CPT % | 6 L PHP-CGM % | 9 P CPT @ </v>
      </c>
      <c r="AR598" s="4" t="str">
        <f ca="1">IFERROR(__xludf.DUMMYFUNCTION("""COMPUTED_VALUE"""),"| 5 L NS @ | 6 L CPT @ | 7 P PRO @ ")</f>
        <v xml:space="preserve">| 5 L NS @ | 6 L CPT @ | 7 P PRO @ </v>
      </c>
      <c r="AS598" s="4" t="str">
        <f ca="1">IFERROR(__xludf.DUMMYFUNCTION("""COMPUTED_VALUE"""),"| 1 L PHP-CGM % | 6 L JAVA % | 3 P PHP-CGM % | 9 L INE @ ")</f>
        <v xml:space="preserve">| 1 L PHP-CGM % | 6 L JAVA % | 3 P PHP-CGM % | 9 L INE @ </v>
      </c>
      <c r="AT598" s="4" t="str">
        <f ca="1">IFERROR(__xludf.DUMMYFUNCTION("""COMPUTED_VALUE"""),"| 5 L JAVA % | 6 L NS % | 7 P NS % | 9 L CPT % | 6 L PHP-CGM @ ")</f>
        <v xml:space="preserve">| 5 L JAVA % | 6 L NS % | 7 P NS % | 9 L CPT % | 6 L PHP-CGM @ </v>
      </c>
      <c r="AU598" s="4" t="str">
        <f ca="1">IFERROR(__xludf.DUMMYFUNCTION("""COMPUTED_VALUE"""),"| 5 L CPT % | 6 L PHP-CGM % | 7 P Python % | 9 P CPT % ")</f>
        <v xml:space="preserve">| 5 L CPT % | 6 L PHP-CGM % | 7 P Python % | 9 P CPT % </v>
      </c>
      <c r="AV598" s="4" t="str">
        <f ca="1">IFERROR(__xludf.DUMMYFUNCTION("""COMPUTED_VALUE"""),"| 5 L NS % | 6 L CPT % | 7 P PRO % | 9 P JAVA @ ")</f>
        <v xml:space="preserve">| 5 L NS % | 6 L CPT % | 7 P PRO % | 9 P JAVA @ </v>
      </c>
      <c r="AW598" s="4" t="str">
        <f ca="1">IFERROR(__xludf.DUMMYFUNCTION("""COMPUTED_VALUE"""),"| 5 L NS % | 6 L JAVA % | 7 P JAVA % | 9 P Python % ")</f>
        <v xml:space="preserve">| 5 L NS % | 6 L JAVA % | 7 P JAVA % | 9 P Python % </v>
      </c>
      <c r="AX598" s="4" t="str">
        <f ca="1">IFERROR(__xludf.DUMMYFUNCTION("""COMPUTED_VALUE"""),"| 1 L PHP-CGM % | 6 L JAVA % | 3 P PHP-CGM % | 9 L INE % ")</f>
        <v xml:space="preserve">| 1 L PHP-CGM % | 6 L JAVA % | 3 P PHP-CGM % | 9 L INE % </v>
      </c>
      <c r="AY598" s="4" t="str">
        <f ca="1">IFERROR(__xludf.DUMMYFUNCTION("""COMPUTED_VALUE"""),"| 5 L JAVA % | 6 L NS % | 7 P NS % | 9 L CPT @ | 11 L PHP-CGM @ ")</f>
        <v xml:space="preserve">| 5 L JAVA % | 6 L NS % | 7 P NS % | 9 L CPT @ | 11 L PHP-CGM @ </v>
      </c>
      <c r="AZ598" s="4" t="str">
        <f ca="1">IFERROR(__xludf.DUMMYFUNCTION("""COMPUTED_VALUE"""),"| 5 L NS % | 6 L CPT % | 7 P PRO % | 9 P JAVA @ ")</f>
        <v xml:space="preserve">| 5 L NS % | 6 L CPT % | 7 P PRO % | 9 P JAVA @ </v>
      </c>
      <c r="BA598" s="4" t="str">
        <f ca="1">IFERROR(__xludf.DUMMYFUNCTION("""COMPUTED_VALUE"""),"| 5 L NS @ | 6 L JAVA @ | 7 P JAVA @ ")</f>
        <v xml:space="preserve">| 5 L NS @ | 6 L JAVA @ | 7 P JAVA @ </v>
      </c>
      <c r="BB598" s="4" t="str">
        <f ca="1">IFERROR(__xludf.DUMMYFUNCTION("""COMPUTED_VALUE"""),"| 1 L PHP-CGM % | 6 L JAVA % | 3 P PHP-CGM % | 9 L INE % ")</f>
        <v xml:space="preserve">| 1 L PHP-CGM % | 6 L JAVA % | 3 P PHP-CGM % | 9 L INE % </v>
      </c>
      <c r="BC598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598" s="4" t="str">
        <f ca="1">IFERROR(__xludf.DUMMYFUNCTION("""COMPUTED_VALUE"""),"| 5 L CPT % | 7 P Python % | 6 L PHP-CGM % | 9 P CPT % ")</f>
        <v xml:space="preserve">| 5 L CPT % | 7 P Python % | 6 L PHP-CGM % | 9 P CPT % </v>
      </c>
      <c r="BE598" s="4" t="str">
        <f ca="1">IFERROR(__xludf.DUMMYFUNCTION("""COMPUTED_VALUE"""),"| 5 L NS % | 6 L CPT % | 9 P JAVA % | 7 P PRO % ")</f>
        <v xml:space="preserve">| 5 L NS % | 6 L CPT % | 9 P JAVA % | 7 P PRO % </v>
      </c>
      <c r="BF598" s="4" t="str">
        <f ca="1">IFERROR(__xludf.DUMMYFUNCTION("""COMPUTED_VALUE"""),"| 5 L NS @ | 6 L JAVA % | 7 P JAVA % ")</f>
        <v xml:space="preserve">| 5 L NS @ | 6 L JAVA % | 7 P JAVA % </v>
      </c>
      <c r="BG598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598" s="4" t="str">
        <f ca="1">IFERROR(__xludf.DUMMYFUNCTION("""COMPUTED_VALUE"""),"| 5 L CPT % | 7 P Python % | 6 L PHP-CGM % | 9 P CPT % ")</f>
        <v xml:space="preserve">| 5 L CPT % | 7 P Python % | 6 L PHP-CGM % | 9 P CPT % </v>
      </c>
      <c r="BI598" s="4" t="str">
        <f ca="1">IFERROR(__xludf.DUMMYFUNCTION("""COMPUTED_VALUE"""),"| 5 L NS % | 6 L CPT % | 7 P PRO % ")</f>
        <v xml:space="preserve">| 5 L NS % | 6 L CPT % | 7 P PRO % </v>
      </c>
      <c r="BJ598" s="4" t="str">
        <f ca="1">IFERROR(__xludf.DUMMYFUNCTION("""COMPUTED_VALUE"""),"| 5 L NS @ | 6 L JAVA @ | 7 P JAVA @ ")</f>
        <v xml:space="preserve">| 5 L NS @ | 6 L JAVA @ | 7 P JAVA @ </v>
      </c>
      <c r="BK598" s="4" t="str">
        <f ca="1">IFERROR(__xludf.DUMMYFUNCTION("""COMPUTED_VALUE"""),"| 1 L PHP-CGM % | 6 L JAVA % | 3 P PHP-CGM % | 9 L INE @ ")</f>
        <v xml:space="preserve">| 1 L PHP-CGM % | 6 L JAVA % | 3 P PHP-CGM % | 9 L INE @ </v>
      </c>
      <c r="BL598" s="4" t="str">
        <f ca="1">IFERROR(__xludf.DUMMYFUNCTION("""COMPUTED_VALUE"""),"| 5 L JAVA % | 6 L NS % | 7 P NS % | 9 L CPT @ | 10 L PHP-CGM @ ")</f>
        <v xml:space="preserve">| 5 L JAVA % | 6 L NS % | 7 P NS % | 9 L CPT @ | 10 L PHP-CGM @ </v>
      </c>
      <c r="BM598" s="4" t="str">
        <f ca="1">IFERROR(__xludf.DUMMYFUNCTION("""COMPUTED_VALUE"""),"| 5 L CPT % | 6 L PHP-CGM % ")</f>
        <v xml:space="preserve">| 5 L CPT % | 6 L PHP-CGM % </v>
      </c>
      <c r="BN598" s="4" t="str">
        <f ca="1">IFERROR(__xludf.DUMMYFUNCTION("""COMPUTED_VALUE"""),"| 5 L NS @ | 6 L CPT @ | 7 P PRO @ ")</f>
        <v xml:space="preserve">| 5 L NS @ | 6 L CPT @ | 7 P PRO @ </v>
      </c>
      <c r="BO598" s="4" t="str">
        <f ca="1">IFERROR(__xludf.DUMMYFUNCTION("""COMPUTED_VALUE"""),"| 5 L NS @ | 6 L JAVA @ | 7 P JAVA @ ")</f>
        <v xml:space="preserve">| 5 L NS @ | 6 L JAVA @ | 7 P JAVA @ </v>
      </c>
      <c r="BP598" s="4" t="str">
        <f ca="1">IFERROR(__xludf.DUMMYFUNCTION("""COMPUTED_VALUE"""),"| 1 L PHP-CGM % | 6 L JAVA % | 3 P PHP-CGM @ | 9 L INE @ ")</f>
        <v xml:space="preserve">| 1 L PHP-CGM % | 6 L JAVA % | 3 P PHP-CGM @ | 9 L INE @ </v>
      </c>
      <c r="BQ598" s="4" t="str">
        <f ca="1">IFERROR(__xludf.DUMMYFUNCTION("""COMPUTED_VALUE"""),"| 5 L CPT @ ")</f>
        <v xml:space="preserve">| 5 L CPT @ </v>
      </c>
      <c r="BR598" s="4"/>
      <c r="BS598" s="4" t="str">
        <f ca="1">IFERROR(__xludf.DUMMYFUNCTION("""COMPUTED_VALUE"""),"| 6 L CPT @ ")</f>
        <v xml:space="preserve">| 6 L CPT @ </v>
      </c>
      <c r="BT598" s="4"/>
      <c r="BU598" s="4"/>
      <c r="BV598" s="4" t="str">
        <f ca="1">IFERROR(__xludf.DUMMYFUNCTION("""COMPUTED_VALUE"""),"| 5 L PHP-CGM % | 6 L JAVA % ")</f>
        <v xml:space="preserve">| 5 L PHP-CGM % | 6 L JAVA % </v>
      </c>
      <c r="BW598" s="4"/>
      <c r="BX598" s="4" t="str">
        <f ca="1">IFERROR(__xludf.DUMMYFUNCTION("""COMPUTED_VALUE"""),"| 5 L CPT % | 6 L PHP-CGM % ")</f>
        <v xml:space="preserve">| 5 L CPT % | 6 L PHP-CGM % </v>
      </c>
      <c r="BY598" s="4" t="str">
        <f ca="1">IFERROR(__xludf.DUMMYFUNCTION("""COMPUTED_VALUE"""),"| 5 L NS % | 6 L CPT % | 7 P PRO % | 9 P JAVA % ")</f>
        <v xml:space="preserve">| 5 L NS % | 6 L CPT % | 7 P PRO % | 9 P JAVA % </v>
      </c>
      <c r="BZ598" s="4" t="str">
        <f ca="1">IFERROR(__xludf.DUMMYFUNCTION("""COMPUTED_VALUE"""),"| 5 L NS @ | 6 L JAVA @ | 7 P JAVA @ | 9 P Python @ ")</f>
        <v xml:space="preserve">| 5 L NS @ | 6 L JAVA @ | 7 P JAVA @ | 9 P Python @ </v>
      </c>
      <c r="CA598" s="4" t="str">
        <f ca="1">IFERROR(__xludf.DUMMYFUNCTION("""COMPUTED_VALUE"""),"| 1 L PHP-CGM % | 6 L JAVA % | 3 P PHP-CGM % ")</f>
        <v xml:space="preserve">| 1 L PHP-CGM % | 6 L JAVA % | 3 P PHP-CGM % </v>
      </c>
      <c r="CB598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CC598" s="4" t="str">
        <f ca="1">IFERROR(__xludf.DUMMYFUNCTION("""COMPUTED_VALUE"""),"| 5 L CPT @ | 6 L PHP-CGM % | 7 P Python % | 9 P CPT % ")</f>
        <v xml:space="preserve">| 5 L CPT @ | 6 L PHP-CGM % | 7 P Python % | 9 P CPT % </v>
      </c>
      <c r="CD598" s="4" t="str">
        <f ca="1">IFERROR(__xludf.DUMMYFUNCTION("""COMPUTED_VALUE"""),"| 5 L NS % | 6 L CPT % | 7 P PRO % ")</f>
        <v xml:space="preserve">| 5 L NS % | 6 L CPT % | 7 P PRO % </v>
      </c>
      <c r="CE598" s="4" t="str">
        <f ca="1">IFERROR(__xludf.DUMMYFUNCTION("""COMPUTED_VALUE"""),"| 5 L NS % | 6 L JAVA % | 7 P JAVA % ")</f>
        <v xml:space="preserve">| 5 L NS % | 6 L JAVA % | 7 P JAVA % </v>
      </c>
      <c r="CF598" s="4" t="str">
        <f ca="1">IFERROR(__xludf.DUMMYFUNCTION("""COMPUTED_VALUE"""),"| 5 L PHP-CGM % | 6 L JAVA % | 7 P PHP-CGM % | 9 L INE @ ")</f>
        <v xml:space="preserve">| 5 L PHP-CGM % | 6 L JAVA % | 7 P PHP-CGM % | 9 L INE @ </v>
      </c>
      <c r="CG598" s="4" t="str">
        <f ca="1">IFERROR(__xludf.DUMMYFUNCTION("""COMPUTED_VALUE"""),"| 5 L JAVA % | 6 L NS % | 7 P NS % ")</f>
        <v xml:space="preserve">| 5 L JAVA % | 6 L NS % | 7 P NS % </v>
      </c>
      <c r="CH598" s="4" t="str">
        <f ca="1">IFERROR(__xludf.DUMMYFUNCTION("""COMPUTED_VALUE"""),"| 5 L CPT % | 7 P Python % | 9 P CPT % ")</f>
        <v xml:space="preserve">| 5 L CPT % | 7 P Python % | 9 P CPT % </v>
      </c>
      <c r="CI598" s="4" t="str">
        <f ca="1">IFERROR(__xludf.DUMMYFUNCTION("""COMPUTED_VALUE"""),"| 5 L NS @ | 6 L CPT @ ")</f>
        <v xml:space="preserve">| 5 L NS @ | 6 L CPT @ </v>
      </c>
      <c r="CJ598" s="4" t="str">
        <f ca="1">IFERROR(__xludf.DUMMYFUNCTION("""COMPUTED_VALUE"""),"| 5 L NS @ ")</f>
        <v xml:space="preserve">| 5 L NS @ </v>
      </c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</row>
    <row r="599" spans="1:102" ht="12.5" x14ac:dyDescent="0.25">
      <c r="A599" s="3">
        <f ca="1">IFERROR(__xludf.DUMMYFUNCTION("""COMPUTED_VALUE"""),2)</f>
        <v>2</v>
      </c>
      <c r="B599" s="3" t="str">
        <f ca="1">IFERROR(__xludf.DUMMYFUNCTION("""COMPUTED_VALUE"""),"ITD")</f>
        <v>ITD</v>
      </c>
      <c r="C599" s="32" t="str">
        <f ca="1">IFERROR(__xludf.DUMMYFUNCTION("""COMPUTED_VALUE"""),"23171371061")</f>
        <v>23171371061</v>
      </c>
      <c r="D599" s="4" t="str">
        <f ca="1">IFERROR(__xludf.DUMMYFUNCTION("""COMPUTED_VALUE"""),"PATEL BHAVYA RAKESHKUMAR")</f>
        <v>PATEL BHAVYA RAKESHKUMAR</v>
      </c>
      <c r="E599" s="3" t="str">
        <f ca="1">IFERROR(__xludf.DUMMYFUNCTION("""COMPUTED_VALUE"""),"SRC - Eve")</f>
        <v>SRC - Eve</v>
      </c>
      <c r="F599" s="3">
        <f ca="1">IFERROR(__xludf.DUMMYFUNCTION("""COMPUTED_VALUE"""),9979698955)</f>
        <v>9979698955</v>
      </c>
      <c r="G599" s="3">
        <f ca="1">IFERROR(__xludf.DUMMYFUNCTION("""COMPUTED_VALUE"""),9913192955)</f>
        <v>9913192955</v>
      </c>
      <c r="H599" s="33">
        <f ca="1">IFERROR(__xludf.DUMMYFUNCTION("""COMPUTED_VALUE"""),0.525345622119815)</f>
        <v>0.52534562211981495</v>
      </c>
      <c r="I599" s="25">
        <f ca="1">IFERROR(__xludf.DUMMYFUNCTION("""COMPUTED_VALUE"""),0.555555555555555)</f>
        <v>0.55555555555555503</v>
      </c>
      <c r="J599" s="25">
        <f ca="1">IFERROR(__xludf.DUMMYFUNCTION("""COMPUTED_VALUE"""),0.333333333333333)</f>
        <v>0.33333333333333298</v>
      </c>
      <c r="K599" s="25">
        <f ca="1">IFERROR(__xludf.DUMMYFUNCTION("""COMPUTED_VALUE"""),0.583333333333333)</f>
        <v>0.58333333333333304</v>
      </c>
      <c r="L599" s="25">
        <f ca="1">IFERROR(__xludf.DUMMYFUNCTION("""COMPUTED_VALUE"""),0.636363636363636)</f>
        <v>0.63636363636363602</v>
      </c>
      <c r="M599" s="25">
        <f ca="1">IFERROR(__xludf.DUMMYFUNCTION("""COMPUTED_VALUE"""),0.5)</f>
        <v>0.5</v>
      </c>
      <c r="N599" s="25">
        <f ca="1">IFERROR(__xludf.DUMMYFUNCTION("""COMPUTED_VALUE"""),0.545454545454545)</f>
        <v>0.54545454545454497</v>
      </c>
      <c r="O599" s="25">
        <f ca="1">IFERROR(__xludf.DUMMYFUNCTION("""COMPUTED_VALUE"""),0.588235294117647)</f>
        <v>0.58823529411764697</v>
      </c>
      <c r="P599" s="25">
        <f ca="1">IFERROR(__xludf.DUMMYFUNCTION("""COMPUTED_VALUE"""),0.333333333333333)</f>
        <v>0.33333333333333298</v>
      </c>
      <c r="Q599" s="25">
        <f ca="1">IFERROR(__xludf.DUMMYFUNCTION("""COMPUTED_VALUE"""),0)</f>
        <v>0</v>
      </c>
      <c r="R599" s="25">
        <f ca="1">IFERROR(__xludf.DUMMYFUNCTION("""COMPUTED_VALUE"""),0.5)</f>
        <v>0.5</v>
      </c>
      <c r="S599" s="25">
        <f ca="1">IFERROR(__xludf.DUMMYFUNCTION("""COMPUTED_VALUE"""),0)</f>
        <v>0</v>
      </c>
      <c r="T599" s="25">
        <f ca="1">IFERROR(__xludf.DUMMYFUNCTION("""COMPUTED_VALUE"""),0.545454545454545)</f>
        <v>0.54545454545454497</v>
      </c>
      <c r="U599" s="25">
        <f ca="1">IFERROR(__xludf.DUMMYFUNCTION("""COMPUTED_VALUE"""),0.428571428571428)</f>
        <v>0.42857142857142799</v>
      </c>
      <c r="V599" s="25">
        <f ca="1">IFERROR(__xludf.DUMMYFUNCTION("""COMPUTED_VALUE"""),0)</f>
        <v>0</v>
      </c>
      <c r="W599" s="4"/>
      <c r="X599" s="4" t="str">
        <f ca="1">IFERROR(__xludf.DUMMYFUNCTION("""COMPUTED_VALUE"""),"| 1 L PHP-CGM @ | 6 L JAVA @ | 3 P PHP-CGM @ ")</f>
        <v xml:space="preserve">| 1 L PHP-CGM @ | 6 L JAVA @ | 3 P PHP-CGM @ </v>
      </c>
      <c r="Y599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599" s="4" t="str">
        <f ca="1">IFERROR(__xludf.DUMMYFUNCTION("""COMPUTED_VALUE"""),"| 5 L CPT % | 6 L PHP-CGM % | 7 P Python @ | 9 P CPT @ ")</f>
        <v xml:space="preserve">| 5 L CPT % | 6 L PHP-CGM % | 7 P Python @ | 9 P CPT @ </v>
      </c>
      <c r="AA599" s="4" t="str">
        <f ca="1">IFERROR(__xludf.DUMMYFUNCTION("""COMPUTED_VALUE"""),"| 5 L NS % | 6 L CPT % | 7 P PRO % | 9 P JAVA % ")</f>
        <v xml:space="preserve">| 5 L NS % | 6 L CPT % | 7 P PRO % | 9 P JAVA % </v>
      </c>
      <c r="AB599" s="4" t="str">
        <f ca="1">IFERROR(__xludf.DUMMYFUNCTION("""COMPUTED_VALUE"""),"| 5 L NS % | 6 L JAVA % | 7 P JAVA @ | 9 P Python @ ")</f>
        <v xml:space="preserve">| 5 L NS % | 6 L JAVA % | 7 P JAVA @ | 9 P Python @ </v>
      </c>
      <c r="AC599" s="4" t="str">
        <f ca="1">IFERROR(__xludf.DUMMYFUNCTION("""COMPUTED_VALUE"""),"| 1 L PHP-CGM % | 6 L JAVA % | 3 P PHP-CGM % ")</f>
        <v xml:space="preserve">| 1 L PHP-CGM % | 6 L JAVA % | 3 P PHP-CGM % </v>
      </c>
      <c r="AD599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599" s="4" t="str">
        <f ca="1">IFERROR(__xludf.DUMMYFUNCTION("""COMPUTED_VALUE"""),"| 5 L CPT % | 6 L PHP-CGM % | 7 P Python % | 9 P CPT @ ")</f>
        <v xml:space="preserve">| 5 L CPT % | 6 L PHP-CGM % | 7 P Python % | 9 P CPT @ </v>
      </c>
      <c r="AF599" s="4" t="str">
        <f ca="1">IFERROR(__xludf.DUMMYFUNCTION("""COMPUTED_VALUE"""),"| 5 L NS % | 6 L CPT % | 7 P PRO @ | 9 P JAVA @ ")</f>
        <v xml:space="preserve">| 5 L NS % | 6 L CPT % | 7 P PRO @ | 9 P JAVA @ </v>
      </c>
      <c r="AG599" s="4" t="str">
        <f ca="1">IFERROR(__xludf.DUMMYFUNCTION("""COMPUTED_VALUE"""),"| 5 L NS % | 6 L JAVA % | 7 P JAVA % ")</f>
        <v xml:space="preserve">| 5 L NS % | 6 L JAVA % | 7 P JAVA % </v>
      </c>
      <c r="AH599" s="4" t="str">
        <f ca="1">IFERROR(__xludf.DUMMYFUNCTION("""COMPUTED_VALUE"""),"| 5 L NS @ | 6 L CPT @ | 7 P PRO @ | 9 P JAVA @ ")</f>
        <v xml:space="preserve">| 5 L NS @ | 6 L CPT @ | 7 P PRO @ | 9 P JAVA @ </v>
      </c>
      <c r="AI599" s="4" t="str">
        <f ca="1">IFERROR(__xludf.DUMMYFUNCTION("""COMPUTED_VALUE"""),"| 5 L NS @ | 6 L JAVA @ | 7 P JAVA @ | 9 P Python @ ")</f>
        <v xml:space="preserve">| 5 L NS @ | 6 L JAVA @ | 7 P JAVA @ | 9 P Python @ </v>
      </c>
      <c r="AJ599" s="4" t="str">
        <f ca="1">IFERROR(__xludf.DUMMYFUNCTION("""COMPUTED_VALUE"""),"| 1 L PHP-CGM % | 6 L JAVA % | 3 P PHP-CGM @ ")</f>
        <v xml:space="preserve">| 1 L PHP-CGM % | 6 L JAVA % | 3 P PHP-CGM @ </v>
      </c>
      <c r="AK599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AL599" s="4" t="str">
        <f ca="1">IFERROR(__xludf.DUMMYFUNCTION("""COMPUTED_VALUE"""),"| 5 L CPT @ | 7 P Python @ | 6 L PHP-CGM @ | 9 P CPT @ ")</f>
        <v xml:space="preserve">| 5 L CPT @ | 7 P Python @ | 6 L PHP-CGM @ | 9 P CPT @ </v>
      </c>
      <c r="AM599" s="4" t="str">
        <f ca="1">IFERROR(__xludf.DUMMYFUNCTION("""COMPUTED_VALUE"""),"| 5 L NS @ | 6 L CPT @ | 9 P JAVA @ ")</f>
        <v xml:space="preserve">| 5 L NS @ | 6 L CPT @ | 9 P JAVA @ </v>
      </c>
      <c r="AN599" s="4" t="str">
        <f ca="1">IFERROR(__xludf.DUMMYFUNCTION("""COMPUTED_VALUE"""),"| 5 L NS % | 6 L JAVA % ")</f>
        <v xml:space="preserve">| 5 L NS % | 6 L JAVA % </v>
      </c>
      <c r="AO599" s="4" t="str">
        <f ca="1">IFERROR(__xludf.DUMMYFUNCTION("""COMPUTED_VALUE"""),"| 1 L PHP-CGM @ | 6 L JAVA @ | 3 P PHP-CGM @ | 9 L INE @ ")</f>
        <v xml:space="preserve">| 1 L PHP-CGM @ | 6 L JAVA @ | 3 P PHP-CGM @ | 9 L INE @ </v>
      </c>
      <c r="AP599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Q599" s="4" t="str">
        <f ca="1">IFERROR(__xludf.DUMMYFUNCTION("""COMPUTED_VALUE"""),"| 5 L CPT % | 6 L PHP-CGM % | 9 P CPT @ ")</f>
        <v xml:space="preserve">| 5 L CPT % | 6 L PHP-CGM % | 9 P CPT @ </v>
      </c>
      <c r="AR599" s="4" t="str">
        <f ca="1">IFERROR(__xludf.DUMMYFUNCTION("""COMPUTED_VALUE"""),"| 5 L NS % | 6 L CPT % | 7 P PRO % ")</f>
        <v xml:space="preserve">| 5 L NS % | 6 L CPT % | 7 P PRO % </v>
      </c>
      <c r="AS599" s="4" t="str">
        <f ca="1">IFERROR(__xludf.DUMMYFUNCTION("""COMPUTED_VALUE"""),"| 1 L PHP-CGM @ | 6 L JAVA @ | 3 P PHP-CGM % | 9 L INE % ")</f>
        <v xml:space="preserve">| 1 L PHP-CGM @ | 6 L JAVA @ | 3 P PHP-CGM % | 9 L INE % </v>
      </c>
      <c r="AT599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U599" s="4" t="str">
        <f ca="1">IFERROR(__xludf.DUMMYFUNCTION("""COMPUTED_VALUE"""),"| 5 L CPT % | 6 L PHP-CGM % | 7 P Python % | 9 P CPT % ")</f>
        <v xml:space="preserve">| 5 L CPT % | 6 L PHP-CGM % | 7 P Python % | 9 P CPT % </v>
      </c>
      <c r="AV599" s="4" t="str">
        <f ca="1">IFERROR(__xludf.DUMMYFUNCTION("""COMPUTED_VALUE"""),"| 5 L NS % | 6 L CPT % | 7 P PRO % | 9 P JAVA @ ")</f>
        <v xml:space="preserve">| 5 L NS % | 6 L CPT % | 7 P PRO % | 9 P JAVA @ </v>
      </c>
      <c r="AW599" s="4" t="str">
        <f ca="1">IFERROR(__xludf.DUMMYFUNCTION("""COMPUTED_VALUE"""),"| 5 L NS % | 6 L JAVA % | 7 P JAVA % | 9 P Python % ")</f>
        <v xml:space="preserve">| 5 L NS % | 6 L JAVA % | 7 P JAVA % | 9 P Python % </v>
      </c>
      <c r="AX599" s="4" t="str">
        <f ca="1">IFERROR(__xludf.DUMMYFUNCTION("""COMPUTED_VALUE"""),"| 1 L PHP-CGM % | 6 L JAVA % | 3 P PHP-CGM % | 9 L INE @ ")</f>
        <v xml:space="preserve">| 1 L PHP-CGM % | 6 L JAVA % | 3 P PHP-CGM % | 9 L INE @ </v>
      </c>
      <c r="AY599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599" s="4" t="str">
        <f ca="1">IFERROR(__xludf.DUMMYFUNCTION("""COMPUTED_VALUE"""),"| 5 L NS % | 6 L CPT % | 7 P PRO % | 9 P JAVA @ ")</f>
        <v xml:space="preserve">| 5 L NS % | 6 L CPT % | 7 P PRO % | 9 P JAVA @ </v>
      </c>
      <c r="BA599" s="4" t="str">
        <f ca="1">IFERROR(__xludf.DUMMYFUNCTION("""COMPUTED_VALUE"""),"| 5 L NS @ | 6 L JAVA @ | 7 P JAVA @ ")</f>
        <v xml:space="preserve">| 5 L NS @ | 6 L JAVA @ | 7 P JAVA @ </v>
      </c>
      <c r="BB599" s="4" t="str">
        <f ca="1">IFERROR(__xludf.DUMMYFUNCTION("""COMPUTED_VALUE"""),"| 1 L PHP-CGM % | 6 L JAVA % | 3 P PHP-CGM % | 9 L INE % ")</f>
        <v xml:space="preserve">| 1 L PHP-CGM % | 6 L JAVA % | 3 P PHP-CGM % | 9 L INE % </v>
      </c>
      <c r="BC599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599" s="4" t="str">
        <f ca="1">IFERROR(__xludf.DUMMYFUNCTION("""COMPUTED_VALUE"""),"| 5 L CPT % | 7 P Python % | 6 L PHP-CGM % | 9 P CPT % ")</f>
        <v xml:space="preserve">| 5 L CPT % | 7 P Python % | 6 L PHP-CGM % | 9 P CPT % </v>
      </c>
      <c r="BE599" s="4" t="str">
        <f ca="1">IFERROR(__xludf.DUMMYFUNCTION("""COMPUTED_VALUE"""),"| 5 L NS % | 6 L CPT % | 9 P JAVA % | 7 P PRO % ")</f>
        <v xml:space="preserve">| 5 L NS % | 6 L CPT % | 9 P JAVA % | 7 P PRO % </v>
      </c>
      <c r="BF599" s="4" t="str">
        <f ca="1">IFERROR(__xludf.DUMMYFUNCTION("""COMPUTED_VALUE"""),"| 5 L NS @ | 6 L JAVA @ | 7 P JAVA % ")</f>
        <v xml:space="preserve">| 5 L NS @ | 6 L JAVA @ | 7 P JAVA % </v>
      </c>
      <c r="BG599" s="4" t="str">
        <f ca="1">IFERROR(__xludf.DUMMYFUNCTION("""COMPUTED_VALUE"""),"| 5 L JAVA % | 6 L NS % | 7 P NS % | 9 L CPT % | 10 L PHP-CGM @ ")</f>
        <v xml:space="preserve">| 5 L JAVA % | 6 L NS % | 7 P NS % | 9 L CPT % | 10 L PHP-CGM @ </v>
      </c>
      <c r="BH599" s="4" t="str">
        <f ca="1">IFERROR(__xludf.DUMMYFUNCTION("""COMPUTED_VALUE"""),"| 5 L CPT % | 7 P Python @ | 6 L PHP-CGM % | 9 P CPT @ ")</f>
        <v xml:space="preserve">| 5 L CPT % | 7 P Python @ | 6 L PHP-CGM % | 9 P CPT @ </v>
      </c>
      <c r="BI599" s="4" t="str">
        <f ca="1">IFERROR(__xludf.DUMMYFUNCTION("""COMPUTED_VALUE"""),"| 5 L NS % | 6 L CPT % | 7 P PRO @ ")</f>
        <v xml:space="preserve">| 5 L NS % | 6 L CPT % | 7 P PRO @ </v>
      </c>
      <c r="BJ599" s="4" t="str">
        <f ca="1">IFERROR(__xludf.DUMMYFUNCTION("""COMPUTED_VALUE"""),"| 5 L NS % | 6 L JAVA % | 7 P JAVA @ ")</f>
        <v xml:space="preserve">| 5 L NS % | 6 L JAVA % | 7 P JAVA @ </v>
      </c>
      <c r="BK599" s="4" t="str">
        <f ca="1">IFERROR(__xludf.DUMMYFUNCTION("""COMPUTED_VALUE"""),"| 1 L PHP-CGM @ | 6 L JAVA @ | 3 P PHP-CGM @ | 9 L INE @ ")</f>
        <v xml:space="preserve">| 1 L PHP-CGM @ | 6 L JAVA @ | 3 P PHP-CGM @ | 9 L INE @ </v>
      </c>
      <c r="BL599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M599" s="4" t="str">
        <f ca="1">IFERROR(__xludf.DUMMYFUNCTION("""COMPUTED_VALUE"""),"| 5 L CPT @ | 6 L PHP-CGM @ ")</f>
        <v xml:space="preserve">| 5 L CPT @ | 6 L PHP-CGM @ </v>
      </c>
      <c r="BN599" s="4" t="str">
        <f ca="1">IFERROR(__xludf.DUMMYFUNCTION("""COMPUTED_VALUE"""),"| 5 L NS @ | 6 L CPT @ | 7 P PRO @ ")</f>
        <v xml:space="preserve">| 5 L NS @ | 6 L CPT @ | 7 P PRO @ </v>
      </c>
      <c r="BO599" s="4" t="str">
        <f ca="1">IFERROR(__xludf.DUMMYFUNCTION("""COMPUTED_VALUE"""),"| 5 L NS @ | 6 L JAVA @ | 7 P JAVA @ ")</f>
        <v xml:space="preserve">| 5 L NS @ | 6 L JAVA @ | 7 P JAVA @ </v>
      </c>
      <c r="BP599" s="4" t="str">
        <f ca="1">IFERROR(__xludf.DUMMYFUNCTION("""COMPUTED_VALUE"""),"| 1 L PHP-CGM @ | 6 L JAVA @ | 3 P PHP-CGM @ | 9 L INE @ ")</f>
        <v xml:space="preserve">| 1 L PHP-CGM @ | 6 L JAVA @ | 3 P PHP-CGM @ | 9 L INE @ </v>
      </c>
      <c r="BQ599" s="4" t="str">
        <f ca="1">IFERROR(__xludf.DUMMYFUNCTION("""COMPUTED_VALUE"""),"| 5 L CPT @ ")</f>
        <v xml:space="preserve">| 5 L CPT @ </v>
      </c>
      <c r="BR599" s="4"/>
      <c r="BS599" s="4" t="str">
        <f ca="1">IFERROR(__xludf.DUMMYFUNCTION("""COMPUTED_VALUE"""),"| 6 L CPT @ ")</f>
        <v xml:space="preserve">| 6 L CPT @ </v>
      </c>
      <c r="BT599" s="4"/>
      <c r="BU599" s="4"/>
      <c r="BV599" s="4" t="str">
        <f ca="1">IFERROR(__xludf.DUMMYFUNCTION("""COMPUTED_VALUE"""),"| 5 L PHP-CGM @ | 6 L JAVA @ ")</f>
        <v xml:space="preserve">| 5 L PHP-CGM @ | 6 L JAVA @ </v>
      </c>
      <c r="BW599" s="4"/>
      <c r="BX599" s="4" t="str">
        <f ca="1">IFERROR(__xludf.DUMMYFUNCTION("""COMPUTED_VALUE"""),"| 5 L CPT % | 6 L PHP-CGM % ")</f>
        <v xml:space="preserve">| 5 L CPT % | 6 L PHP-CGM % </v>
      </c>
      <c r="BY599" s="4" t="str">
        <f ca="1">IFERROR(__xludf.DUMMYFUNCTION("""COMPUTED_VALUE"""),"| 5 L NS @ | 6 L CPT @ | 7 P PRO @ | 9 P JAVA @ ")</f>
        <v xml:space="preserve">| 5 L NS @ | 6 L CPT @ | 7 P PRO @ | 9 P JAVA @ </v>
      </c>
      <c r="BZ599" s="4" t="str">
        <f ca="1">IFERROR(__xludf.DUMMYFUNCTION("""COMPUTED_VALUE"""),"| 5 L NS @ | 6 L JAVA @ | 7 P JAVA % | 9 P Python % ")</f>
        <v xml:space="preserve">| 5 L NS @ | 6 L JAVA @ | 7 P JAVA % | 9 P Python % </v>
      </c>
      <c r="CA599" s="4" t="str">
        <f ca="1">IFERROR(__xludf.DUMMYFUNCTION("""COMPUTED_VALUE"""),"| 1 L PHP-CGM % | 6 L JAVA % | 3 P PHP-CGM % ")</f>
        <v xml:space="preserve">| 1 L PHP-CGM % | 6 L JAVA % | 3 P PHP-CGM % </v>
      </c>
      <c r="CB599" s="4" t="str">
        <f ca="1">IFERROR(__xludf.DUMMYFUNCTION("""COMPUTED_VALUE"""),"| 5 L JAVA % | 6 L NS % | 7 P NS % | 9 L CPT @ | 10 L PHP-CGM @ ")</f>
        <v xml:space="preserve">| 5 L JAVA % | 6 L NS % | 7 P NS % | 9 L CPT @ | 10 L PHP-CGM @ </v>
      </c>
      <c r="CC599" s="4" t="str">
        <f ca="1">IFERROR(__xludf.DUMMYFUNCTION("""COMPUTED_VALUE"""),"| 5 L CPT % | 6 L PHP-CGM @ | 7 P Python @ | 9 P CPT @ ")</f>
        <v xml:space="preserve">| 5 L CPT % | 6 L PHP-CGM @ | 7 P Python @ | 9 P CPT @ </v>
      </c>
      <c r="CD599" s="4" t="str">
        <f ca="1">IFERROR(__xludf.DUMMYFUNCTION("""COMPUTED_VALUE"""),"| 5 L NS @ | 6 L CPT @ | 7 P PRO % ")</f>
        <v xml:space="preserve">| 5 L NS @ | 6 L CPT @ | 7 P PRO % </v>
      </c>
      <c r="CE599" s="4" t="str">
        <f ca="1">IFERROR(__xludf.DUMMYFUNCTION("""COMPUTED_VALUE"""),"| 5 L NS % | 6 L JAVA % | 7 P JAVA @ ")</f>
        <v xml:space="preserve">| 5 L NS % | 6 L JAVA % | 7 P JAVA @ </v>
      </c>
      <c r="CF599" s="4" t="str">
        <f ca="1">IFERROR(__xludf.DUMMYFUNCTION("""COMPUTED_VALUE"""),"| 5 L PHP-CGM @ | 6 L JAVA % | 7 P PHP-CGM % | 9 L INE % ")</f>
        <v xml:space="preserve">| 5 L PHP-CGM @ | 6 L JAVA % | 7 P PHP-CGM % | 9 L INE % </v>
      </c>
      <c r="CG599" s="4" t="str">
        <f ca="1">IFERROR(__xludf.DUMMYFUNCTION("""COMPUTED_VALUE"""),"| 5 L JAVA @ | 6 L NS @ | 7 P NS % ")</f>
        <v xml:space="preserve">| 5 L JAVA @ | 6 L NS @ | 7 P NS % </v>
      </c>
      <c r="CH599" s="4" t="str">
        <f ca="1">IFERROR(__xludf.DUMMYFUNCTION("""COMPUTED_VALUE"""),"| 5 L CPT @ | 7 P Python % | 9 P CPT % ")</f>
        <v xml:space="preserve">| 5 L CPT @ | 7 P Python % | 9 P CPT % </v>
      </c>
      <c r="CI599" s="4" t="str">
        <f ca="1">IFERROR(__xludf.DUMMYFUNCTION("""COMPUTED_VALUE"""),"| 5 L NS @ | 6 L CPT @ ")</f>
        <v xml:space="preserve">| 5 L NS @ | 6 L CPT @ </v>
      </c>
      <c r="CJ599" s="4" t="str">
        <f ca="1">IFERROR(__xludf.DUMMYFUNCTION("""COMPUTED_VALUE"""),"| 5 L NS @ ")</f>
        <v xml:space="preserve">| 5 L NS @ </v>
      </c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</row>
    <row r="600" spans="1:102" ht="12.5" x14ac:dyDescent="0.25">
      <c r="A600" s="3">
        <f ca="1">IFERROR(__xludf.DUMMYFUNCTION("""COMPUTED_VALUE"""),2)</f>
        <v>2</v>
      </c>
      <c r="B600" s="3" t="str">
        <f ca="1">IFERROR(__xludf.DUMMYFUNCTION("""COMPUTED_VALUE"""),"ITD")</f>
        <v>ITD</v>
      </c>
      <c r="C600" s="32" t="str">
        <f ca="1">IFERROR(__xludf.DUMMYFUNCTION("""COMPUTED_VALUE"""),"23171371065")</f>
        <v>23171371065</v>
      </c>
      <c r="D600" s="4" t="str">
        <f ca="1">IFERROR(__xludf.DUMMYFUNCTION("""COMPUTED_VALUE"""),"PATEL DEEP CHANDRAKANT")</f>
        <v>PATEL DEEP CHANDRAKANT</v>
      </c>
      <c r="E600" s="3" t="str">
        <f ca="1">IFERROR(__xludf.DUMMYFUNCTION("""COMPUTED_VALUE"""),"SRC - Eve")</f>
        <v>SRC - Eve</v>
      </c>
      <c r="F600" s="3">
        <f ca="1">IFERROR(__xludf.DUMMYFUNCTION("""COMPUTED_VALUE"""),7359175814)</f>
        <v>7359175814</v>
      </c>
      <c r="G600" s="3">
        <f ca="1">IFERROR(__xludf.DUMMYFUNCTION("""COMPUTED_VALUE"""),9824323465)</f>
        <v>9824323465</v>
      </c>
      <c r="H600" s="33">
        <f ca="1">IFERROR(__xludf.DUMMYFUNCTION("""COMPUTED_VALUE"""),0.442396313364055)</f>
        <v>0.44239631336405499</v>
      </c>
      <c r="I600" s="25">
        <f ca="1">IFERROR(__xludf.DUMMYFUNCTION("""COMPUTED_VALUE"""),0.5)</f>
        <v>0.5</v>
      </c>
      <c r="J600" s="25">
        <f ca="1">IFERROR(__xludf.DUMMYFUNCTION("""COMPUTED_VALUE"""),0.333333333333333)</f>
        <v>0.33333333333333298</v>
      </c>
      <c r="K600" s="25">
        <f ca="1">IFERROR(__xludf.DUMMYFUNCTION("""COMPUTED_VALUE"""),0.416666666666666)</f>
        <v>0.41666666666666602</v>
      </c>
      <c r="L600" s="25">
        <f ca="1">IFERROR(__xludf.DUMMYFUNCTION("""COMPUTED_VALUE"""),0.363636363636363)</f>
        <v>0.36363636363636298</v>
      </c>
      <c r="M600" s="25">
        <f ca="1">IFERROR(__xludf.DUMMYFUNCTION("""COMPUTED_VALUE"""),0.625)</f>
        <v>0.625</v>
      </c>
      <c r="N600" s="25">
        <f ca="1">IFERROR(__xludf.DUMMYFUNCTION("""COMPUTED_VALUE"""),0.272727272727272)</f>
        <v>0.27272727272727199</v>
      </c>
      <c r="O600" s="25">
        <f ca="1">IFERROR(__xludf.DUMMYFUNCTION("""COMPUTED_VALUE"""),0.558823529411764)</f>
        <v>0.55882352941176405</v>
      </c>
      <c r="P600" s="25">
        <f ca="1">IFERROR(__xludf.DUMMYFUNCTION("""COMPUTED_VALUE"""),0.166666666666666)</f>
        <v>0.16666666666666599</v>
      </c>
      <c r="Q600" s="25">
        <f ca="1">IFERROR(__xludf.DUMMYFUNCTION("""COMPUTED_VALUE"""),0)</f>
        <v>0</v>
      </c>
      <c r="R600" s="25">
        <f ca="1">IFERROR(__xludf.DUMMYFUNCTION("""COMPUTED_VALUE"""),0.416666666666666)</f>
        <v>0.41666666666666602</v>
      </c>
      <c r="S600" s="25">
        <f ca="1">IFERROR(__xludf.DUMMYFUNCTION("""COMPUTED_VALUE"""),0)</f>
        <v>0</v>
      </c>
      <c r="T600" s="25">
        <f ca="1">IFERROR(__xludf.DUMMYFUNCTION("""COMPUTED_VALUE"""),0.272727272727272)</f>
        <v>0.27272727272727199</v>
      </c>
      <c r="U600" s="25">
        <f ca="1">IFERROR(__xludf.DUMMYFUNCTION("""COMPUTED_VALUE"""),0.428571428571428)</f>
        <v>0.42857142857142799</v>
      </c>
      <c r="V600" s="25">
        <f ca="1">IFERROR(__xludf.DUMMYFUNCTION("""COMPUTED_VALUE"""),0)</f>
        <v>0</v>
      </c>
      <c r="W600" s="4"/>
      <c r="X600" s="4" t="str">
        <f ca="1">IFERROR(__xludf.DUMMYFUNCTION("""COMPUTED_VALUE"""),"| 1 L PHP-CGM % | 6 L JAVA % | 3 P PHP-CGM @ ")</f>
        <v xml:space="preserve">| 1 L PHP-CGM % | 6 L JAVA % | 3 P PHP-CGM @ </v>
      </c>
      <c r="Y600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600" s="4" t="str">
        <f ca="1">IFERROR(__xludf.DUMMYFUNCTION("""COMPUTED_VALUE"""),"| 5 L CPT % | 6 L PHP-CGM % | 7 P Python % | 9 P CPT @ ")</f>
        <v xml:space="preserve">| 5 L CPT % | 6 L PHP-CGM % | 7 P Python % | 9 P CPT @ </v>
      </c>
      <c r="AA600" s="4" t="str">
        <f ca="1">IFERROR(__xludf.DUMMYFUNCTION("""COMPUTED_VALUE"""),"| 5 L NS @ | 6 L CPT % | 7 P PRO @ | 9 P JAVA @ ")</f>
        <v xml:space="preserve">| 5 L NS @ | 6 L CPT % | 7 P PRO @ | 9 P JAVA @ </v>
      </c>
      <c r="AB600" s="4" t="str">
        <f ca="1">IFERROR(__xludf.DUMMYFUNCTION("""COMPUTED_VALUE"""),"| 5 L NS @ | 6 L JAVA @ | 7 P JAVA @ | 9 P Python @ ")</f>
        <v xml:space="preserve">| 5 L NS @ | 6 L JAVA @ | 7 P JAVA @ | 9 P Python @ </v>
      </c>
      <c r="AC600" s="4" t="str">
        <f ca="1">IFERROR(__xludf.DUMMYFUNCTION("""COMPUTED_VALUE"""),"| 1 L PHP-CGM % | 6 L JAVA % | 3 P PHP-CGM % ")</f>
        <v xml:space="preserve">| 1 L PHP-CGM % | 6 L JAVA % | 3 P PHP-CGM % </v>
      </c>
      <c r="AD600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E600" s="4" t="str">
        <f ca="1">IFERROR(__xludf.DUMMYFUNCTION("""COMPUTED_VALUE"""),"| 5 L CPT % | 6 L PHP-CGM % | 7 P Python % | 9 P CPT @ ")</f>
        <v xml:space="preserve">| 5 L CPT % | 6 L PHP-CGM % | 7 P Python % | 9 P CPT @ </v>
      </c>
      <c r="AF600" s="4" t="str">
        <f ca="1">IFERROR(__xludf.DUMMYFUNCTION("""COMPUTED_VALUE"""),"| 5 L NS @ | 6 L CPT @ | 7 P PRO @ | 9 P JAVA @ ")</f>
        <v xml:space="preserve">| 5 L NS @ | 6 L CPT @ | 7 P PRO @ | 9 P JAVA @ </v>
      </c>
      <c r="AG600" s="4" t="str">
        <f ca="1">IFERROR(__xludf.DUMMYFUNCTION("""COMPUTED_VALUE"""),"| 5 L NS % | 6 L JAVA % | 7 P JAVA % ")</f>
        <v xml:space="preserve">| 5 L NS % | 6 L JAVA % | 7 P JAVA % </v>
      </c>
      <c r="AH600" s="4" t="str">
        <f ca="1">IFERROR(__xludf.DUMMYFUNCTION("""COMPUTED_VALUE"""),"| 5 L NS % | 6 L CPT % | 7 P PRO % | 9 P JAVA @ ")</f>
        <v xml:space="preserve">| 5 L NS % | 6 L CPT % | 7 P PRO % | 9 P JAVA @ </v>
      </c>
      <c r="AI600" s="4" t="str">
        <f ca="1">IFERROR(__xludf.DUMMYFUNCTION("""COMPUTED_VALUE"""),"| 5 L NS % | 6 L JAVA % | 7 P JAVA % | 9 P Python @ ")</f>
        <v xml:space="preserve">| 5 L NS % | 6 L JAVA % | 7 P JAVA % | 9 P Python @ </v>
      </c>
      <c r="AJ600" s="4" t="str">
        <f ca="1">IFERROR(__xludf.DUMMYFUNCTION("""COMPUTED_VALUE"""),"| 1 L PHP-CGM % | 6 L JAVA % | 3 P PHP-CGM @ ")</f>
        <v xml:space="preserve">| 1 L PHP-CGM % | 6 L JAVA % | 3 P PHP-CGM @ </v>
      </c>
      <c r="AK600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L600" s="4" t="str">
        <f ca="1">IFERROR(__xludf.DUMMYFUNCTION("""COMPUTED_VALUE"""),"| 5 L CPT % | 7 P Python @ | 6 L PHP-CGM % | 9 P CPT @ ")</f>
        <v xml:space="preserve">| 5 L CPT % | 7 P Python @ | 6 L PHP-CGM % | 9 P CPT @ </v>
      </c>
      <c r="AM600" s="4" t="str">
        <f ca="1">IFERROR(__xludf.DUMMYFUNCTION("""COMPUTED_VALUE"""),"| 5 L NS @ | 6 L CPT @ | 9 P JAVA @ ")</f>
        <v xml:space="preserve">| 5 L NS @ | 6 L CPT @ | 9 P JAVA @ </v>
      </c>
      <c r="AN600" s="4" t="str">
        <f ca="1">IFERROR(__xludf.DUMMYFUNCTION("""COMPUTED_VALUE"""),"| 5 L NS @ | 6 L JAVA @ ")</f>
        <v xml:space="preserve">| 5 L NS @ | 6 L JAVA @ </v>
      </c>
      <c r="AO600" s="4" t="str">
        <f ca="1">IFERROR(__xludf.DUMMYFUNCTION("""COMPUTED_VALUE"""),"| 1 L PHP-CGM % | 6 L JAVA % | 3 P PHP-CGM @ | 9 L INE @ ")</f>
        <v xml:space="preserve">| 1 L PHP-CGM % | 6 L JAVA % | 3 P PHP-CGM @ | 9 L INE @ </v>
      </c>
      <c r="AP600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Q600" s="4" t="str">
        <f ca="1">IFERROR(__xludf.DUMMYFUNCTION("""COMPUTED_VALUE"""),"| 5 L CPT % | 6 L PHP-CGM % | 9 P CPT @ ")</f>
        <v xml:space="preserve">| 5 L CPT % | 6 L PHP-CGM % | 9 P CPT @ </v>
      </c>
      <c r="AR600" s="4" t="str">
        <f ca="1">IFERROR(__xludf.DUMMYFUNCTION("""COMPUTED_VALUE"""),"| 5 L NS % | 6 L CPT % | 7 P PRO @ ")</f>
        <v xml:space="preserve">| 5 L NS % | 6 L CPT % | 7 P PRO @ </v>
      </c>
      <c r="AS600" s="4" t="str">
        <f ca="1">IFERROR(__xludf.DUMMYFUNCTION("""COMPUTED_VALUE"""),"| 1 L PHP-CGM @ | 6 L JAVA @ | 3 P PHP-CGM @ | 9 L INE @ ")</f>
        <v xml:space="preserve">| 1 L PHP-CGM @ | 6 L JAVA @ | 3 P PHP-CGM @ | 9 L INE @ </v>
      </c>
      <c r="AT600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U600" s="4" t="str">
        <f ca="1">IFERROR(__xludf.DUMMYFUNCTION("""COMPUTED_VALUE"""),"| 5 L CPT % | 6 L PHP-CGM % | 7 P Python @ | 9 P CPT @ ")</f>
        <v xml:space="preserve">| 5 L CPT % | 6 L PHP-CGM % | 7 P Python @ | 9 P CPT @ </v>
      </c>
      <c r="AV600" s="4" t="str">
        <f ca="1">IFERROR(__xludf.DUMMYFUNCTION("""COMPUTED_VALUE"""),"| 5 L NS % | 6 L CPT % | 7 P PRO % | 9 P JAVA @ ")</f>
        <v xml:space="preserve">| 5 L NS % | 6 L CPT % | 7 P PRO % | 9 P JAVA @ </v>
      </c>
      <c r="AW600" s="4" t="str">
        <f ca="1">IFERROR(__xludf.DUMMYFUNCTION("""COMPUTED_VALUE"""),"| 5 L NS @ | 6 L JAVA @ | 7 P JAVA @ | 9 P Python @ ")</f>
        <v xml:space="preserve">| 5 L NS @ | 6 L JAVA @ | 7 P JAVA @ | 9 P Python @ </v>
      </c>
      <c r="AX600" s="4" t="str">
        <f ca="1">IFERROR(__xludf.DUMMYFUNCTION("""COMPUTED_VALUE"""),"| 1 L PHP-CGM % | 6 L JAVA % | 3 P PHP-CGM @ | 9 L INE % ")</f>
        <v xml:space="preserve">| 1 L PHP-CGM % | 6 L JAVA % | 3 P PHP-CGM @ | 9 L INE % </v>
      </c>
      <c r="AY600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600" s="4" t="str">
        <f ca="1">IFERROR(__xludf.DUMMYFUNCTION("""COMPUTED_VALUE"""),"| 5 L NS @ | 6 L CPT @ | 7 P PRO @ | 9 P JAVA @ ")</f>
        <v xml:space="preserve">| 5 L NS @ | 6 L CPT @ | 7 P PRO @ | 9 P JAVA @ </v>
      </c>
      <c r="BA600" s="4" t="str">
        <f ca="1">IFERROR(__xludf.DUMMYFUNCTION("""COMPUTED_VALUE"""),"| 5 L NS % | 6 L JAVA % | 7 P JAVA @ ")</f>
        <v xml:space="preserve">| 5 L NS % | 6 L JAVA % | 7 P JAVA @ </v>
      </c>
      <c r="BB600" s="4" t="str">
        <f ca="1">IFERROR(__xludf.DUMMYFUNCTION("""COMPUTED_VALUE"""),"| 1 L PHP-CGM % | 6 L JAVA % | 3 P PHP-CGM % | 9 L INE % ")</f>
        <v xml:space="preserve">| 1 L PHP-CGM % | 6 L JAVA % | 3 P PHP-CGM % | 9 L INE % </v>
      </c>
      <c r="BC600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600" s="4" t="str">
        <f ca="1">IFERROR(__xludf.DUMMYFUNCTION("""COMPUTED_VALUE"""),"| 5 L CPT % | 7 P Python % | 6 L PHP-CGM % | 9 P CPT % ")</f>
        <v xml:space="preserve">| 5 L CPT % | 7 P Python % | 6 L PHP-CGM % | 9 P CPT % </v>
      </c>
      <c r="BE600" s="4" t="str">
        <f ca="1">IFERROR(__xludf.DUMMYFUNCTION("""COMPUTED_VALUE"""),"| 5 L NS @ | 6 L CPT % | 9 P JAVA % | 7 P PRO % ")</f>
        <v xml:space="preserve">| 5 L NS @ | 6 L CPT % | 9 P JAVA % | 7 P PRO % </v>
      </c>
      <c r="BF600" s="4" t="str">
        <f ca="1">IFERROR(__xludf.DUMMYFUNCTION("""COMPUTED_VALUE"""),"| 5 L NS @ | 6 L JAVA % | 7 P JAVA @ ")</f>
        <v xml:space="preserve">| 5 L NS @ | 6 L JAVA % | 7 P JAVA @ </v>
      </c>
      <c r="BG600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600" s="4" t="str">
        <f ca="1">IFERROR(__xludf.DUMMYFUNCTION("""COMPUTED_VALUE"""),"| 5 L CPT % | 7 P Python % | 6 L PHP-CGM % | 9 P CPT % ")</f>
        <v xml:space="preserve">| 5 L CPT % | 7 P Python % | 6 L PHP-CGM % | 9 P CPT % </v>
      </c>
      <c r="BI600" s="4" t="str">
        <f ca="1">IFERROR(__xludf.DUMMYFUNCTION("""COMPUTED_VALUE"""),"| 5 L NS % | 6 L CPT % | 7 P PRO @ ")</f>
        <v xml:space="preserve">| 5 L NS % | 6 L CPT % | 7 P PRO @ </v>
      </c>
      <c r="BJ600" s="4" t="str">
        <f ca="1">IFERROR(__xludf.DUMMYFUNCTION("""COMPUTED_VALUE"""),"| 5 L NS % | 6 L JAVA % | 7 P JAVA @ ")</f>
        <v xml:space="preserve">| 5 L NS % | 6 L JAVA % | 7 P JAVA @ </v>
      </c>
      <c r="BK600" s="4" t="str">
        <f ca="1">IFERROR(__xludf.DUMMYFUNCTION("""COMPUTED_VALUE"""),"| 1 L PHP-CGM @ | 6 L JAVA @ | 3 P PHP-CGM @ | 9 L INE @ ")</f>
        <v xml:space="preserve">| 1 L PHP-CGM @ | 6 L JAVA @ | 3 P PHP-CGM @ | 9 L INE @ </v>
      </c>
      <c r="BL600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M600" s="4" t="str">
        <f ca="1">IFERROR(__xludf.DUMMYFUNCTION("""COMPUTED_VALUE"""),"| 5 L CPT @ | 6 L PHP-CGM @ ")</f>
        <v xml:space="preserve">| 5 L CPT @ | 6 L PHP-CGM @ </v>
      </c>
      <c r="BN600" s="4" t="str">
        <f ca="1">IFERROR(__xludf.DUMMYFUNCTION("""COMPUTED_VALUE"""),"| 5 L NS @ | 6 L CPT @ | 7 P PRO @ ")</f>
        <v xml:space="preserve">| 5 L NS @ | 6 L CPT @ | 7 P PRO @ </v>
      </c>
      <c r="BO600" s="4" t="str">
        <f ca="1">IFERROR(__xludf.DUMMYFUNCTION("""COMPUTED_VALUE"""),"| 5 L NS @ | 6 L JAVA @ | 7 P JAVA @ ")</f>
        <v xml:space="preserve">| 5 L NS @ | 6 L JAVA @ | 7 P JAVA @ </v>
      </c>
      <c r="BP600" s="4" t="str">
        <f ca="1">IFERROR(__xludf.DUMMYFUNCTION("""COMPUTED_VALUE"""),"| 1 L PHP-CGM @ | 6 L JAVA @ | 3 P PHP-CGM @ | 9 L INE @ ")</f>
        <v xml:space="preserve">| 1 L PHP-CGM @ | 6 L JAVA @ | 3 P PHP-CGM @ | 9 L INE @ </v>
      </c>
      <c r="BQ600" s="4" t="str">
        <f ca="1">IFERROR(__xludf.DUMMYFUNCTION("""COMPUTED_VALUE"""),"| 5 L CPT @ ")</f>
        <v xml:space="preserve">| 5 L CPT @ </v>
      </c>
      <c r="BR600" s="4"/>
      <c r="BS600" s="4" t="str">
        <f ca="1">IFERROR(__xludf.DUMMYFUNCTION("""COMPUTED_VALUE"""),"| 6 L CPT @ ")</f>
        <v xml:space="preserve">| 6 L CPT @ </v>
      </c>
      <c r="BT600" s="4"/>
      <c r="BU600" s="4"/>
      <c r="BV600" s="4" t="str">
        <f ca="1">IFERROR(__xludf.DUMMYFUNCTION("""COMPUTED_VALUE"""),"| 5 L PHP-CGM @ | 6 L JAVA @ ")</f>
        <v xml:space="preserve">| 5 L PHP-CGM @ | 6 L JAVA @ </v>
      </c>
      <c r="BW600" s="4"/>
      <c r="BX600" s="4" t="str">
        <f ca="1">IFERROR(__xludf.DUMMYFUNCTION("""COMPUTED_VALUE"""),"| 5 L CPT @ | 6 L PHP-CGM @ ")</f>
        <v xml:space="preserve">| 5 L CPT @ | 6 L PHP-CGM @ </v>
      </c>
      <c r="BY600" s="4" t="str">
        <f ca="1">IFERROR(__xludf.DUMMYFUNCTION("""COMPUTED_VALUE"""),"| 5 L NS @ | 6 L CPT @ | 7 P PRO @ | 9 P JAVA @ ")</f>
        <v xml:space="preserve">| 5 L NS @ | 6 L CPT @ | 7 P PRO @ | 9 P JAVA @ </v>
      </c>
      <c r="BZ600" s="4" t="str">
        <f ca="1">IFERROR(__xludf.DUMMYFUNCTION("""COMPUTED_VALUE"""),"| 5 L NS @ | 6 L JAVA @ | 7 P JAVA @ | 9 P Python @ ")</f>
        <v xml:space="preserve">| 5 L NS @ | 6 L JAVA @ | 7 P JAVA @ | 9 P Python @ </v>
      </c>
      <c r="CA600" s="4" t="str">
        <f ca="1">IFERROR(__xludf.DUMMYFUNCTION("""COMPUTED_VALUE"""),"| 1 L PHP-CGM % | 6 L JAVA % | 3 P PHP-CGM @ ")</f>
        <v xml:space="preserve">| 1 L PHP-CGM % | 6 L JAVA % | 3 P PHP-CGM @ </v>
      </c>
      <c r="CB600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CC600" s="4" t="str">
        <f ca="1">IFERROR(__xludf.DUMMYFUNCTION("""COMPUTED_VALUE"""),"| 5 L CPT @ | 6 L PHP-CGM @ | 7 P Python @ | 9 P CPT @ ")</f>
        <v xml:space="preserve">| 5 L CPT @ | 6 L PHP-CGM @ | 7 P Python @ | 9 P CPT @ </v>
      </c>
      <c r="CD600" s="4" t="str">
        <f ca="1">IFERROR(__xludf.DUMMYFUNCTION("""COMPUTED_VALUE"""),"| 5 L NS @ | 6 L CPT @ | 7 P PRO @ ")</f>
        <v xml:space="preserve">| 5 L NS @ | 6 L CPT @ | 7 P PRO @ </v>
      </c>
      <c r="CE600" s="4" t="str">
        <f ca="1">IFERROR(__xludf.DUMMYFUNCTION("""COMPUTED_VALUE"""),"| 5 L NS @ | 6 L JAVA @ | 7 P JAVA @ ")</f>
        <v xml:space="preserve">| 5 L NS @ | 6 L JAVA @ | 7 P JAVA @ </v>
      </c>
      <c r="CF600" s="4" t="str">
        <f ca="1">IFERROR(__xludf.DUMMYFUNCTION("""COMPUTED_VALUE"""),"| 5 L PHP-CGM % | 6 L JAVA @ | 7 P PHP-CGM % | 9 L INE % ")</f>
        <v xml:space="preserve">| 5 L PHP-CGM % | 6 L JAVA @ | 7 P PHP-CGM % | 9 L INE % </v>
      </c>
      <c r="CG600" s="4" t="str">
        <f ca="1">IFERROR(__xludf.DUMMYFUNCTION("""COMPUTED_VALUE"""),"| 5 L JAVA @ | 6 L NS @ | 7 P NS % ")</f>
        <v xml:space="preserve">| 5 L JAVA @ | 6 L NS @ | 7 P NS % </v>
      </c>
      <c r="CH600" s="4" t="str">
        <f ca="1">IFERROR(__xludf.DUMMYFUNCTION("""COMPUTED_VALUE"""),"| 5 L CPT @ | 7 P Python % | 9 P CPT % ")</f>
        <v xml:space="preserve">| 5 L CPT @ | 7 P Python % | 9 P CPT % </v>
      </c>
      <c r="CI600" s="4" t="str">
        <f ca="1">IFERROR(__xludf.DUMMYFUNCTION("""COMPUTED_VALUE"""),"| 5 L NS @ | 6 L CPT @ ")</f>
        <v xml:space="preserve">| 5 L NS @ | 6 L CPT @ </v>
      </c>
      <c r="CJ600" s="4" t="str">
        <f ca="1">IFERROR(__xludf.DUMMYFUNCTION("""COMPUTED_VALUE"""),"| 5 L NS @ ")</f>
        <v xml:space="preserve">| 5 L NS @ </v>
      </c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</row>
    <row r="601" spans="1:102" ht="12.5" x14ac:dyDescent="0.25">
      <c r="A601" s="3">
        <f ca="1">IFERROR(__xludf.DUMMYFUNCTION("""COMPUTED_VALUE"""),2)</f>
        <v>2</v>
      </c>
      <c r="B601" s="3" t="str">
        <f ca="1">IFERROR(__xludf.DUMMYFUNCTION("""COMPUTED_VALUE"""),"ITD")</f>
        <v>ITD</v>
      </c>
      <c r="C601" s="32" t="str">
        <f ca="1">IFERROR(__xludf.DUMMYFUNCTION("""COMPUTED_VALUE"""),"23171371070")</f>
        <v>23171371070</v>
      </c>
      <c r="D601" s="4" t="str">
        <f ca="1">IFERROR(__xludf.DUMMYFUNCTION("""COMPUTED_VALUE"""),"PATEL DHRUV PRAVINBHAI")</f>
        <v>PATEL DHRUV PRAVINBHAI</v>
      </c>
      <c r="E601" s="3" t="str">
        <f ca="1">IFERROR(__xludf.DUMMYFUNCTION("""COMPUTED_VALUE"""),"SRC - Eve")</f>
        <v>SRC - Eve</v>
      </c>
      <c r="F601" s="3">
        <f ca="1">IFERROR(__xludf.DUMMYFUNCTION("""COMPUTED_VALUE"""),9408858965)</f>
        <v>9408858965</v>
      </c>
      <c r="G601" s="3">
        <f ca="1">IFERROR(__xludf.DUMMYFUNCTION("""COMPUTED_VALUE"""),9428386564)</f>
        <v>9428386564</v>
      </c>
      <c r="H601" s="33">
        <f ca="1">IFERROR(__xludf.DUMMYFUNCTION("""COMPUTED_VALUE"""),0.921658986175115)</f>
        <v>0.92165898617511499</v>
      </c>
      <c r="I601" s="25">
        <f ca="1">IFERROR(__xludf.DUMMYFUNCTION("""COMPUTED_VALUE"""),0.916666666666666)</f>
        <v>0.91666666666666596</v>
      </c>
      <c r="J601" s="25">
        <f ca="1">IFERROR(__xludf.DUMMYFUNCTION("""COMPUTED_VALUE"""),0.888888888888888)</f>
        <v>0.88888888888888795</v>
      </c>
      <c r="K601" s="25">
        <f ca="1">IFERROR(__xludf.DUMMYFUNCTION("""COMPUTED_VALUE"""),0.888888888888888)</f>
        <v>0.88888888888888795</v>
      </c>
      <c r="L601" s="25">
        <f ca="1">IFERROR(__xludf.DUMMYFUNCTION("""COMPUTED_VALUE"""),1)</f>
        <v>1</v>
      </c>
      <c r="M601" s="25">
        <f ca="1">IFERROR(__xludf.DUMMYFUNCTION("""COMPUTED_VALUE"""),0.96875)</f>
        <v>0.96875</v>
      </c>
      <c r="N601" s="25">
        <f ca="1">IFERROR(__xludf.DUMMYFUNCTION("""COMPUTED_VALUE"""),0.909090909090909)</f>
        <v>0.90909090909090895</v>
      </c>
      <c r="O601" s="25">
        <f ca="1">IFERROR(__xludf.DUMMYFUNCTION("""COMPUTED_VALUE"""),0.970588235294117)</f>
        <v>0.97058823529411697</v>
      </c>
      <c r="P601" s="25">
        <f ca="1">IFERROR(__xludf.DUMMYFUNCTION("""COMPUTED_VALUE"""),0.833333333333333)</f>
        <v>0.83333333333333304</v>
      </c>
      <c r="Q601" s="25">
        <f ca="1">IFERROR(__xludf.DUMMYFUNCTION("""COMPUTED_VALUE"""),0)</f>
        <v>0</v>
      </c>
      <c r="R601" s="25">
        <f ca="1">IFERROR(__xludf.DUMMYFUNCTION("""COMPUTED_VALUE"""),1)</f>
        <v>1</v>
      </c>
      <c r="S601" s="25">
        <f ca="1">IFERROR(__xludf.DUMMYFUNCTION("""COMPUTED_VALUE"""),0)</f>
        <v>0</v>
      </c>
      <c r="T601" s="25">
        <f ca="1">IFERROR(__xludf.DUMMYFUNCTION("""COMPUTED_VALUE"""),0.909090909090909)</f>
        <v>0.90909090909090895</v>
      </c>
      <c r="U601" s="25">
        <f ca="1">IFERROR(__xludf.DUMMYFUNCTION("""COMPUTED_VALUE"""),0.714285714285714)</f>
        <v>0.71428571428571397</v>
      </c>
      <c r="V601" s="25">
        <f ca="1">IFERROR(__xludf.DUMMYFUNCTION("""COMPUTED_VALUE"""),0)</f>
        <v>0</v>
      </c>
      <c r="W601" s="4"/>
      <c r="X601" s="4" t="str">
        <f ca="1">IFERROR(__xludf.DUMMYFUNCTION("""COMPUTED_VALUE"""),"| 1 L PHP-CGM % | 6 L JAVA % | 3 P PHP-CGM % ")</f>
        <v xml:space="preserve">| 1 L PHP-CGM % | 6 L JAVA % | 3 P PHP-CGM % </v>
      </c>
      <c r="Y601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Z601" s="4" t="str">
        <f ca="1">IFERROR(__xludf.DUMMYFUNCTION("""COMPUTED_VALUE"""),"| 5 L CPT % | 6 L PHP-CGM % | 7 P Python % | 9 P CPT % ")</f>
        <v xml:space="preserve">| 5 L CPT % | 6 L PHP-CGM % | 7 P Python % | 9 P CPT % </v>
      </c>
      <c r="AA601" s="4" t="str">
        <f ca="1">IFERROR(__xludf.DUMMYFUNCTION("""COMPUTED_VALUE"""),"| 5 L NS % | 6 L CPT @ | 7 P PRO % | 9 P JAVA % ")</f>
        <v xml:space="preserve">| 5 L NS % | 6 L CPT @ | 7 P PRO % | 9 P JAVA % </v>
      </c>
      <c r="AB601" s="4" t="str">
        <f ca="1">IFERROR(__xludf.DUMMYFUNCTION("""COMPUTED_VALUE"""),"| 5 L NS % | 6 L JAVA % | 7 P JAVA % | 9 P Python % ")</f>
        <v xml:space="preserve">| 5 L NS % | 6 L JAVA % | 7 P JAVA % | 9 P Python % </v>
      </c>
      <c r="AC601" s="4" t="str">
        <f ca="1">IFERROR(__xludf.DUMMYFUNCTION("""COMPUTED_VALUE"""),"| 1 L PHP-CGM % | 6 L JAVA % | 3 P PHP-CGM % ")</f>
        <v xml:space="preserve">| 1 L PHP-CGM % | 6 L JAVA % | 3 P PHP-CGM % </v>
      </c>
      <c r="AD601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601" s="4" t="str">
        <f ca="1">IFERROR(__xludf.DUMMYFUNCTION("""COMPUTED_VALUE"""),"| 5 L CPT % | 6 L PHP-CGM % | 7 P Python % | 9 P CPT % ")</f>
        <v xml:space="preserve">| 5 L CPT % | 6 L PHP-CGM % | 7 P Python % | 9 P CPT % </v>
      </c>
      <c r="AF601" s="4" t="str">
        <f ca="1">IFERROR(__xludf.DUMMYFUNCTION("""COMPUTED_VALUE"""),"| 5 L NS % | 6 L CPT % | 7 P PRO % | 9 P JAVA % ")</f>
        <v xml:space="preserve">| 5 L NS % | 6 L CPT % | 7 P PRO % | 9 P JAVA % </v>
      </c>
      <c r="AG601" s="4" t="str">
        <f ca="1">IFERROR(__xludf.DUMMYFUNCTION("""COMPUTED_VALUE"""),"| 5 L NS % | 6 L JAVA % | 7 P JAVA % ")</f>
        <v xml:space="preserve">| 5 L NS % | 6 L JAVA % | 7 P JAVA % </v>
      </c>
      <c r="AH601" s="4" t="str">
        <f ca="1">IFERROR(__xludf.DUMMYFUNCTION("""COMPUTED_VALUE"""),"| 5 L NS % | 6 L CPT % | 7 P PRO % | 9 P JAVA % ")</f>
        <v xml:space="preserve">| 5 L NS % | 6 L CPT % | 7 P PRO % | 9 P JAVA % </v>
      </c>
      <c r="AI601" s="4" t="str">
        <f ca="1">IFERROR(__xludf.DUMMYFUNCTION("""COMPUTED_VALUE"""),"| 5 L NS % | 6 L JAVA % | 7 P JAVA % | 9 P Python % ")</f>
        <v xml:space="preserve">| 5 L NS % | 6 L JAVA % | 7 P JAVA % | 9 P Python % </v>
      </c>
      <c r="AJ601" s="4" t="str">
        <f ca="1">IFERROR(__xludf.DUMMYFUNCTION("""COMPUTED_VALUE"""),"| 1 L PHP-CGM % | 6 L JAVA % | 3 P PHP-CGM % ")</f>
        <v xml:space="preserve">| 1 L PHP-CGM % | 6 L JAVA % | 3 P PHP-CGM % </v>
      </c>
      <c r="AK601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601" s="4" t="str">
        <f ca="1">IFERROR(__xludf.DUMMYFUNCTION("""COMPUTED_VALUE"""),"| 5 L CPT % | 7 P Python % | 6 L PHP-CGM % | 9 P CPT % ")</f>
        <v xml:space="preserve">| 5 L CPT % | 7 P Python % | 6 L PHP-CGM % | 9 P CPT % </v>
      </c>
      <c r="AM601" s="4" t="str">
        <f ca="1">IFERROR(__xludf.DUMMYFUNCTION("""COMPUTED_VALUE"""),"| 5 L NS % | 6 L CPT % | 9 P JAVA % ")</f>
        <v xml:space="preserve">| 5 L NS % | 6 L CPT % | 9 P JAVA % </v>
      </c>
      <c r="AN601" s="4" t="str">
        <f ca="1">IFERROR(__xludf.DUMMYFUNCTION("""COMPUTED_VALUE"""),"| 5 L NS % | 6 L JAVA % ")</f>
        <v xml:space="preserve">| 5 L NS % | 6 L JAVA % </v>
      </c>
      <c r="AO601" s="4" t="str">
        <f ca="1">IFERROR(__xludf.DUMMYFUNCTION("""COMPUTED_VALUE"""),"| 1 L PHP-CGM % | 6 L JAVA % | 3 P PHP-CGM % | 9 L INE @ ")</f>
        <v xml:space="preserve">| 1 L PHP-CGM % | 6 L JAVA % | 3 P PHP-CGM % | 9 L INE @ </v>
      </c>
      <c r="AP601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Q601" s="4" t="str">
        <f ca="1">IFERROR(__xludf.DUMMYFUNCTION("""COMPUTED_VALUE"""),"| 5 L CPT % | 6 L PHP-CGM % | 9 P CPT @ ")</f>
        <v xml:space="preserve">| 5 L CPT % | 6 L PHP-CGM % | 9 P CPT @ </v>
      </c>
      <c r="AR601" s="4" t="str">
        <f ca="1">IFERROR(__xludf.DUMMYFUNCTION("""COMPUTED_VALUE"""),"| 5 L NS % | 6 L CPT % | 7 P PRO % ")</f>
        <v xml:space="preserve">| 5 L NS % | 6 L CPT % | 7 P PRO % </v>
      </c>
      <c r="AS601" s="4" t="str">
        <f ca="1">IFERROR(__xludf.DUMMYFUNCTION("""COMPUTED_VALUE"""),"| 1 L PHP-CGM % | 6 L JAVA % | 3 P PHP-CGM % | 9 L INE % ")</f>
        <v xml:space="preserve">| 1 L PHP-CGM % | 6 L JAVA % | 3 P PHP-CGM % | 9 L INE % </v>
      </c>
      <c r="AT601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U601" s="4" t="str">
        <f ca="1">IFERROR(__xludf.DUMMYFUNCTION("""COMPUTED_VALUE"""),"| 5 L CPT % | 6 L PHP-CGM % | 7 P Python % | 9 P CPT % ")</f>
        <v xml:space="preserve">| 5 L CPT % | 6 L PHP-CGM % | 7 P Python % | 9 P CPT % </v>
      </c>
      <c r="AV601" s="4" t="str">
        <f ca="1">IFERROR(__xludf.DUMMYFUNCTION("""COMPUTED_VALUE"""),"| 5 L NS % | 6 L CPT % | 7 P PRO % | 9 P JAVA @ ")</f>
        <v xml:space="preserve">| 5 L NS % | 6 L CPT % | 7 P PRO % | 9 P JAVA @ </v>
      </c>
      <c r="AW601" s="4" t="str">
        <f ca="1">IFERROR(__xludf.DUMMYFUNCTION("""COMPUTED_VALUE"""),"| 5 L NS % | 6 L JAVA % | 7 P JAVA % | 9 P Python % ")</f>
        <v xml:space="preserve">| 5 L NS % | 6 L JAVA % | 7 P JAVA % | 9 P Python % </v>
      </c>
      <c r="AX601" s="4" t="str">
        <f ca="1">IFERROR(__xludf.DUMMYFUNCTION("""COMPUTED_VALUE"""),"| 1 L PHP-CGM % | 6 L JAVA % | 3 P PHP-CGM % | 9 L INE % ")</f>
        <v xml:space="preserve">| 1 L PHP-CGM % | 6 L JAVA % | 3 P PHP-CGM % | 9 L INE % </v>
      </c>
      <c r="AY601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601" s="4" t="str">
        <f ca="1">IFERROR(__xludf.DUMMYFUNCTION("""COMPUTED_VALUE"""),"| 5 L NS % | 6 L CPT % | 7 P PRO % | 9 P JAVA % ")</f>
        <v xml:space="preserve">| 5 L NS % | 6 L CPT % | 7 P PRO % | 9 P JAVA % </v>
      </c>
      <c r="BA601" s="4" t="str">
        <f ca="1">IFERROR(__xludf.DUMMYFUNCTION("""COMPUTED_VALUE"""),"| 5 L NS % | 6 L JAVA % | 7 P JAVA % ")</f>
        <v xml:space="preserve">| 5 L NS % | 6 L JAVA % | 7 P JAVA % </v>
      </c>
      <c r="BB601" s="4" t="str">
        <f ca="1">IFERROR(__xludf.DUMMYFUNCTION("""COMPUTED_VALUE"""),"| 1 L PHP-CGM % | 6 L JAVA % | 3 P PHP-CGM % | 9 L INE % ")</f>
        <v xml:space="preserve">| 1 L PHP-CGM % | 6 L JAVA % | 3 P PHP-CGM % | 9 L INE % </v>
      </c>
      <c r="BC601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601" s="4" t="str">
        <f ca="1">IFERROR(__xludf.DUMMYFUNCTION("""COMPUTED_VALUE"""),"| 5 L CPT % | 7 P Python % | 6 L PHP-CGM % | 9 P CPT % ")</f>
        <v xml:space="preserve">| 5 L CPT % | 7 P Python % | 6 L PHP-CGM % | 9 P CPT % </v>
      </c>
      <c r="BE601" s="4" t="str">
        <f ca="1">IFERROR(__xludf.DUMMYFUNCTION("""COMPUTED_VALUE"""),"| 5 L NS % | 6 L CPT % | 9 P JAVA % | 7 P PRO % ")</f>
        <v xml:space="preserve">| 5 L NS % | 6 L CPT % | 9 P JAVA % | 7 P PRO % </v>
      </c>
      <c r="BF601" s="4" t="str">
        <f ca="1">IFERROR(__xludf.DUMMYFUNCTION("""COMPUTED_VALUE"""),"| 5 L NS @ | 6 L JAVA % | 7 P JAVA % ")</f>
        <v xml:space="preserve">| 5 L NS @ | 6 L JAVA % | 7 P JAVA % </v>
      </c>
      <c r="BG601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601" s="4" t="str">
        <f ca="1">IFERROR(__xludf.DUMMYFUNCTION("""COMPUTED_VALUE"""),"| 5 L CPT % | 7 P Python % | 6 L PHP-CGM % | 9 P CPT % ")</f>
        <v xml:space="preserve">| 5 L CPT % | 7 P Python % | 6 L PHP-CGM % | 9 P CPT % </v>
      </c>
      <c r="BI601" s="4" t="str">
        <f ca="1">IFERROR(__xludf.DUMMYFUNCTION("""COMPUTED_VALUE"""),"| 5 L NS % | 6 L CPT % | 7 P PRO % ")</f>
        <v xml:space="preserve">| 5 L NS % | 6 L CPT % | 7 P PRO % </v>
      </c>
      <c r="BJ601" s="4" t="str">
        <f ca="1">IFERROR(__xludf.DUMMYFUNCTION("""COMPUTED_VALUE"""),"| 5 L NS % | 6 L JAVA % | 7 P JAVA @ ")</f>
        <v xml:space="preserve">| 5 L NS % | 6 L JAVA % | 7 P JAVA @ </v>
      </c>
      <c r="BK601" s="4" t="str">
        <f ca="1">IFERROR(__xludf.DUMMYFUNCTION("""COMPUTED_VALUE"""),"| 1 L PHP-CGM % | 6 L JAVA % | 3 P PHP-CGM % | 9 L INE % ")</f>
        <v xml:space="preserve">| 1 L PHP-CGM % | 6 L JAVA % | 3 P PHP-CGM % | 9 L INE % </v>
      </c>
      <c r="BL601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M601" s="4" t="str">
        <f ca="1">IFERROR(__xludf.DUMMYFUNCTION("""COMPUTED_VALUE"""),"| 5 L CPT % | 6 L PHP-CGM % ")</f>
        <v xml:space="preserve">| 5 L CPT % | 6 L PHP-CGM % </v>
      </c>
      <c r="BN601" s="4" t="str">
        <f ca="1">IFERROR(__xludf.DUMMYFUNCTION("""COMPUTED_VALUE"""),"| 5 L NS % | 6 L CPT % | 7 P PRO @ ")</f>
        <v xml:space="preserve">| 5 L NS % | 6 L CPT % | 7 P PRO @ </v>
      </c>
      <c r="BO601" s="4" t="str">
        <f ca="1">IFERROR(__xludf.DUMMYFUNCTION("""COMPUTED_VALUE"""),"| 5 L NS @ | 6 L JAVA @ | 7 P JAVA @ ")</f>
        <v xml:space="preserve">| 5 L NS @ | 6 L JAVA @ | 7 P JAVA @ </v>
      </c>
      <c r="BP601" s="4" t="str">
        <f ca="1">IFERROR(__xludf.DUMMYFUNCTION("""COMPUTED_VALUE"""),"| 1 L PHP-CGM % | 6 L JAVA % | 3 P PHP-CGM @ | 9 L INE @ ")</f>
        <v xml:space="preserve">| 1 L PHP-CGM % | 6 L JAVA % | 3 P PHP-CGM @ | 9 L INE @ </v>
      </c>
      <c r="BQ601" s="4" t="str">
        <f ca="1">IFERROR(__xludf.DUMMYFUNCTION("""COMPUTED_VALUE"""),"| 5 L CPT % ")</f>
        <v xml:space="preserve">| 5 L CPT % </v>
      </c>
      <c r="BR601" s="4"/>
      <c r="BS601" s="4" t="str">
        <f ca="1">IFERROR(__xludf.DUMMYFUNCTION("""COMPUTED_VALUE"""),"| 6 L CPT @ ")</f>
        <v xml:space="preserve">| 6 L CPT @ </v>
      </c>
      <c r="BT601" s="4"/>
      <c r="BU601" s="4"/>
      <c r="BV601" s="4" t="str">
        <f ca="1">IFERROR(__xludf.DUMMYFUNCTION("""COMPUTED_VALUE"""),"| 5 L PHP-CGM % | 6 L JAVA % ")</f>
        <v xml:space="preserve">| 5 L PHP-CGM % | 6 L JAVA % </v>
      </c>
      <c r="BW601" s="4"/>
      <c r="BX601" s="4" t="str">
        <f ca="1">IFERROR(__xludf.DUMMYFUNCTION("""COMPUTED_VALUE"""),"| 5 L CPT % | 6 L PHP-CGM % ")</f>
        <v xml:space="preserve">| 5 L CPT % | 6 L PHP-CGM % </v>
      </c>
      <c r="BY601" s="4" t="str">
        <f ca="1">IFERROR(__xludf.DUMMYFUNCTION("""COMPUTED_VALUE"""),"| 5 L NS % | 6 L CPT % | 7 P PRO % | 9 P JAVA % ")</f>
        <v xml:space="preserve">| 5 L NS % | 6 L CPT % | 7 P PRO % | 9 P JAVA % </v>
      </c>
      <c r="BZ601" s="4" t="str">
        <f ca="1">IFERROR(__xludf.DUMMYFUNCTION("""COMPUTED_VALUE"""),"| 5 L NS % | 6 L JAVA % | 7 P JAVA % | 9 P Python % ")</f>
        <v xml:space="preserve">| 5 L NS % | 6 L JAVA % | 7 P JAVA % | 9 P Python % </v>
      </c>
      <c r="CA601" s="4" t="str">
        <f ca="1">IFERROR(__xludf.DUMMYFUNCTION("""COMPUTED_VALUE"""),"| 1 L PHP-CGM % | 6 L JAVA % | 3 P PHP-CGM % ")</f>
        <v xml:space="preserve">| 1 L PHP-CGM % | 6 L JAVA % | 3 P PHP-CGM % </v>
      </c>
      <c r="CB601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CC601" s="4" t="str">
        <f ca="1">IFERROR(__xludf.DUMMYFUNCTION("""COMPUTED_VALUE"""),"| 5 L CPT % | 6 L PHP-CGM @ | 7 P Python % | 9 P CPT % ")</f>
        <v xml:space="preserve">| 5 L CPT % | 6 L PHP-CGM @ | 7 P Python % | 9 P CPT % </v>
      </c>
      <c r="CD601" s="4" t="str">
        <f ca="1">IFERROR(__xludf.DUMMYFUNCTION("""COMPUTED_VALUE"""),"| 5 L NS % | 6 L CPT % | 7 P PRO % ")</f>
        <v xml:space="preserve">| 5 L NS % | 6 L CPT % | 7 P PRO % </v>
      </c>
      <c r="CE601" s="4" t="str">
        <f ca="1">IFERROR(__xludf.DUMMYFUNCTION("""COMPUTED_VALUE"""),"| 5 L NS % | 6 L JAVA % | 7 P JAVA % ")</f>
        <v xml:space="preserve">| 5 L NS % | 6 L JAVA % | 7 P JAVA % </v>
      </c>
      <c r="CF601" s="4" t="str">
        <f ca="1">IFERROR(__xludf.DUMMYFUNCTION("""COMPUTED_VALUE"""),"| 5 L PHP-CGM % | 6 L JAVA % | 7 P PHP-CGM % | 9 L INE % ")</f>
        <v xml:space="preserve">| 5 L PHP-CGM % | 6 L JAVA % | 7 P PHP-CGM % | 9 L INE % </v>
      </c>
      <c r="CG601" s="4" t="str">
        <f ca="1">IFERROR(__xludf.DUMMYFUNCTION("""COMPUTED_VALUE"""),"| 5 L JAVA % | 6 L NS % | 7 P NS % ")</f>
        <v xml:space="preserve">| 5 L JAVA % | 6 L NS % | 7 P NS % </v>
      </c>
      <c r="CH601" s="4" t="str">
        <f ca="1">IFERROR(__xludf.DUMMYFUNCTION("""COMPUTED_VALUE"""),"| 5 L CPT % | 7 P Python % | 9 P CPT % ")</f>
        <v xml:space="preserve">| 5 L CPT % | 7 P Python % | 9 P CPT % </v>
      </c>
      <c r="CI601" s="4" t="str">
        <f ca="1">IFERROR(__xludf.DUMMYFUNCTION("""COMPUTED_VALUE"""),"| 5 L NS @ | 6 L CPT @ ")</f>
        <v xml:space="preserve">| 5 L NS @ | 6 L CPT @ </v>
      </c>
      <c r="CJ601" s="4" t="str">
        <f ca="1">IFERROR(__xludf.DUMMYFUNCTION("""COMPUTED_VALUE"""),"| 5 L NS @ ")</f>
        <v xml:space="preserve">| 5 L NS @ </v>
      </c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</row>
    <row r="602" spans="1:102" ht="12.5" x14ac:dyDescent="0.25">
      <c r="A602" s="3">
        <f ca="1">IFERROR(__xludf.DUMMYFUNCTION("""COMPUTED_VALUE"""),2)</f>
        <v>2</v>
      </c>
      <c r="B602" s="3" t="str">
        <f ca="1">IFERROR(__xludf.DUMMYFUNCTION("""COMPUTED_VALUE"""),"ITD")</f>
        <v>ITD</v>
      </c>
      <c r="C602" s="32" t="str">
        <f ca="1">IFERROR(__xludf.DUMMYFUNCTION("""COMPUTED_VALUE"""),"23171371071")</f>
        <v>23171371071</v>
      </c>
      <c r="D602" s="4" t="str">
        <f ca="1">IFERROR(__xludf.DUMMYFUNCTION("""COMPUTED_VALUE"""),"PATEL DHRUV SURESHBHAI")</f>
        <v>PATEL DHRUV SURESHBHAI</v>
      </c>
      <c r="E602" s="3" t="str">
        <f ca="1">IFERROR(__xludf.DUMMYFUNCTION("""COMPUTED_VALUE"""),"SRC - Eve")</f>
        <v>SRC - Eve</v>
      </c>
      <c r="F602" s="3">
        <f ca="1">IFERROR(__xludf.DUMMYFUNCTION("""COMPUTED_VALUE"""),6351752260)</f>
        <v>6351752260</v>
      </c>
      <c r="G602" s="3">
        <f ca="1">IFERROR(__xludf.DUMMYFUNCTION("""COMPUTED_VALUE"""),9328095978)</f>
        <v>9328095978</v>
      </c>
      <c r="H602" s="33">
        <f ca="1">IFERROR(__xludf.DUMMYFUNCTION("""COMPUTED_VALUE"""),0.373271889400921)</f>
        <v>0.37327188940092099</v>
      </c>
      <c r="I602" s="25">
        <f ca="1">IFERROR(__xludf.DUMMYFUNCTION("""COMPUTED_VALUE"""),0.583333333333333)</f>
        <v>0.58333333333333304</v>
      </c>
      <c r="J602" s="25">
        <f ca="1">IFERROR(__xludf.DUMMYFUNCTION("""COMPUTED_VALUE"""),0.111111111111111)</f>
        <v>0.11111111111111099</v>
      </c>
      <c r="K602" s="25">
        <f ca="1">IFERROR(__xludf.DUMMYFUNCTION("""COMPUTED_VALUE"""),0.611111111111111)</f>
        <v>0.61111111111111105</v>
      </c>
      <c r="L602" s="25">
        <f ca="1">IFERROR(__xludf.DUMMYFUNCTION("""COMPUTED_VALUE"""),0)</f>
        <v>0</v>
      </c>
      <c r="M602" s="25">
        <f ca="1">IFERROR(__xludf.DUMMYFUNCTION("""COMPUTED_VALUE"""),0.53125)</f>
        <v>0.53125</v>
      </c>
      <c r="N602" s="25">
        <f ca="1">IFERROR(__xludf.DUMMYFUNCTION("""COMPUTED_VALUE"""),0)</f>
        <v>0</v>
      </c>
      <c r="O602" s="25">
        <f ca="1">IFERROR(__xludf.DUMMYFUNCTION("""COMPUTED_VALUE"""),0.588235294117647)</f>
        <v>0.58823529411764697</v>
      </c>
      <c r="P602" s="25">
        <f ca="1">IFERROR(__xludf.DUMMYFUNCTION("""COMPUTED_VALUE"""),0)</f>
        <v>0</v>
      </c>
      <c r="Q602" s="25">
        <f ca="1">IFERROR(__xludf.DUMMYFUNCTION("""COMPUTED_VALUE"""),0)</f>
        <v>0</v>
      </c>
      <c r="R602" s="25">
        <f ca="1">IFERROR(__xludf.DUMMYFUNCTION("""COMPUTED_VALUE"""),0)</f>
        <v>0</v>
      </c>
      <c r="S602" s="25">
        <f ca="1">IFERROR(__xludf.DUMMYFUNCTION("""COMPUTED_VALUE"""),0)</f>
        <v>0</v>
      </c>
      <c r="T602" s="25">
        <f ca="1">IFERROR(__xludf.DUMMYFUNCTION("""COMPUTED_VALUE"""),0)</f>
        <v>0</v>
      </c>
      <c r="U602" s="25">
        <f ca="1">IFERROR(__xludf.DUMMYFUNCTION("""COMPUTED_VALUE"""),0)</f>
        <v>0</v>
      </c>
      <c r="V602" s="25">
        <f ca="1">IFERROR(__xludf.DUMMYFUNCTION("""COMPUTED_VALUE"""),0)</f>
        <v>0</v>
      </c>
      <c r="W602" s="4"/>
      <c r="X602" s="4" t="str">
        <f ca="1">IFERROR(__xludf.DUMMYFUNCTION("""COMPUTED_VALUE"""),"| 1 L PHP-CGM @ | 6 L JAVA @ | 3 P PHP-CGM @ ")</f>
        <v xml:space="preserve">| 1 L PHP-CGM @ | 6 L JAVA @ | 3 P PHP-CGM @ </v>
      </c>
      <c r="Y602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602" s="4" t="str">
        <f ca="1">IFERROR(__xludf.DUMMYFUNCTION("""COMPUTED_VALUE"""),"| 5 L CPT % | 6 L PHP-CGM % | 7 P Python @ | 9 P CPT @ ")</f>
        <v xml:space="preserve">| 5 L CPT % | 6 L PHP-CGM % | 7 P Python @ | 9 P CPT @ </v>
      </c>
      <c r="AA602" s="4" t="str">
        <f ca="1">IFERROR(__xludf.DUMMYFUNCTION("""COMPUTED_VALUE"""),"| 5 L NS % | 6 L CPT % | 7 P PRO @ | 9 P JAVA @ ")</f>
        <v xml:space="preserve">| 5 L NS % | 6 L CPT % | 7 P PRO @ | 9 P JAVA @ </v>
      </c>
      <c r="AB602" s="4" t="str">
        <f ca="1">IFERROR(__xludf.DUMMYFUNCTION("""COMPUTED_VALUE"""),"| 5 L NS @ | 6 L JAVA @ | 7 P JAVA @ | 9 P Python @ ")</f>
        <v xml:space="preserve">| 5 L NS @ | 6 L JAVA @ | 7 P JAVA @ | 9 P Python @ </v>
      </c>
      <c r="AC602" s="4" t="str">
        <f ca="1">IFERROR(__xludf.DUMMYFUNCTION("""COMPUTED_VALUE"""),"| 1 L PHP-CGM @ | 6 L JAVA @ | 3 P PHP-CGM @ ")</f>
        <v xml:space="preserve">| 1 L PHP-CGM @ | 6 L JAVA @ | 3 P PHP-CGM @ </v>
      </c>
      <c r="AD602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E602" s="4" t="str">
        <f ca="1">IFERROR(__xludf.DUMMYFUNCTION("""COMPUTED_VALUE"""),"| 5 L CPT % | 6 L PHP-CGM % | 7 P Python @ | 9 P CPT @ ")</f>
        <v xml:space="preserve">| 5 L CPT % | 6 L PHP-CGM % | 7 P Python @ | 9 P CPT @ </v>
      </c>
      <c r="AF602" s="4" t="str">
        <f ca="1">IFERROR(__xludf.DUMMYFUNCTION("""COMPUTED_VALUE"""),"| 5 L NS % | 6 L CPT % | 7 P PRO @ | 9 P JAVA @ ")</f>
        <v xml:space="preserve">| 5 L NS % | 6 L CPT % | 7 P PRO @ | 9 P JAVA @ </v>
      </c>
      <c r="AG602" s="4" t="str">
        <f ca="1">IFERROR(__xludf.DUMMYFUNCTION("""COMPUTED_VALUE"""),"| 5 L NS % | 6 L JAVA % | 7 P JAVA @ ")</f>
        <v xml:space="preserve">| 5 L NS % | 6 L JAVA % | 7 P JAVA @ </v>
      </c>
      <c r="AH602" s="4" t="str">
        <f ca="1">IFERROR(__xludf.DUMMYFUNCTION("""COMPUTED_VALUE"""),"| 5 L NS @ | 6 L CPT @ | 7 P PRO @ | 9 P JAVA @ ")</f>
        <v xml:space="preserve">| 5 L NS @ | 6 L CPT @ | 7 P PRO @ | 9 P JAVA @ </v>
      </c>
      <c r="AI602" s="4" t="str">
        <f ca="1">IFERROR(__xludf.DUMMYFUNCTION("""COMPUTED_VALUE"""),"| 5 L NS % | 6 L JAVA % | 7 P JAVA @ | 9 P Python @ ")</f>
        <v xml:space="preserve">| 5 L NS % | 6 L JAVA % | 7 P JAVA @ | 9 P Python @ </v>
      </c>
      <c r="AJ602" s="4" t="str">
        <f ca="1">IFERROR(__xludf.DUMMYFUNCTION("""COMPUTED_VALUE"""),"| 1 L PHP-CGM @ | 6 L JAVA @ | 3 P PHP-CGM @ ")</f>
        <v xml:space="preserve">| 1 L PHP-CGM @ | 6 L JAVA @ | 3 P PHP-CGM @ </v>
      </c>
      <c r="AK602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L602" s="4" t="str">
        <f ca="1">IFERROR(__xludf.DUMMYFUNCTION("""COMPUTED_VALUE"""),"| 5 L CPT % | 7 P Python @ | 6 L PHP-CGM % | 9 P CPT @ ")</f>
        <v xml:space="preserve">| 5 L CPT % | 7 P Python @ | 6 L PHP-CGM % | 9 P CPT @ </v>
      </c>
      <c r="AM602" s="4" t="str">
        <f ca="1">IFERROR(__xludf.DUMMYFUNCTION("""COMPUTED_VALUE"""),"| 5 L NS % | 6 L CPT % | 9 P JAVA @ ")</f>
        <v xml:space="preserve">| 5 L NS % | 6 L CPT % | 9 P JAVA @ </v>
      </c>
      <c r="AN602" s="4" t="str">
        <f ca="1">IFERROR(__xludf.DUMMYFUNCTION("""COMPUTED_VALUE"""),"| 5 L NS % | 6 L JAVA % ")</f>
        <v xml:space="preserve">| 5 L NS % | 6 L JAVA % </v>
      </c>
      <c r="AO602" s="4" t="str">
        <f ca="1">IFERROR(__xludf.DUMMYFUNCTION("""COMPUTED_VALUE"""),"| 1 L PHP-CGM % | 6 L JAVA % | 3 P PHP-CGM @ | 9 L INE @ ")</f>
        <v xml:space="preserve">| 1 L PHP-CGM % | 6 L JAVA % | 3 P PHP-CGM @ | 9 L INE @ </v>
      </c>
      <c r="AP602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Q602" s="4" t="str">
        <f ca="1">IFERROR(__xludf.DUMMYFUNCTION("""COMPUTED_VALUE"""),"| 5 L CPT % | 6 L PHP-CGM % | 9 P CPT @ ")</f>
        <v xml:space="preserve">| 5 L CPT % | 6 L PHP-CGM % | 9 P CPT @ </v>
      </c>
      <c r="AR602" s="4" t="str">
        <f ca="1">IFERROR(__xludf.DUMMYFUNCTION("""COMPUTED_VALUE"""),"| 5 L NS % | 6 L CPT % | 7 P PRO @ ")</f>
        <v xml:space="preserve">| 5 L NS % | 6 L CPT % | 7 P PRO @ </v>
      </c>
      <c r="AS602" s="4" t="str">
        <f ca="1">IFERROR(__xludf.DUMMYFUNCTION("""COMPUTED_VALUE"""),"| 1 L PHP-CGM % | 6 L JAVA % | 3 P PHP-CGM @ | 9 L INE @ ")</f>
        <v xml:space="preserve">| 1 L PHP-CGM % | 6 L JAVA % | 3 P PHP-CGM @ | 9 L INE @ </v>
      </c>
      <c r="AT602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U602" s="4" t="str">
        <f ca="1">IFERROR(__xludf.DUMMYFUNCTION("""COMPUTED_VALUE"""),"| 5 L CPT % | 6 L PHP-CGM % | 7 P Python @ | 9 P CPT @ ")</f>
        <v xml:space="preserve">| 5 L CPT % | 6 L PHP-CGM % | 7 P Python @ | 9 P CPT @ </v>
      </c>
      <c r="AV602" s="4" t="str">
        <f ca="1">IFERROR(__xludf.DUMMYFUNCTION("""COMPUTED_VALUE"""),"| 5 L NS % | 6 L CPT % | 7 P PRO @ | 9 P JAVA @ ")</f>
        <v xml:space="preserve">| 5 L NS % | 6 L CPT % | 7 P PRO @ | 9 P JAVA @ </v>
      </c>
      <c r="AW602" s="4" t="str">
        <f ca="1">IFERROR(__xludf.DUMMYFUNCTION("""COMPUTED_VALUE"""),"| 5 L NS % | 6 L JAVA % | 7 P JAVA @ | 9 P Python @ ")</f>
        <v xml:space="preserve">| 5 L NS % | 6 L JAVA % | 7 P JAVA @ | 9 P Python @ </v>
      </c>
      <c r="AX602" s="4" t="str">
        <f ca="1">IFERROR(__xludf.DUMMYFUNCTION("""COMPUTED_VALUE"""),"| 1 L PHP-CGM % | 6 L JAVA % | 3 P PHP-CGM @ | 9 L INE @ ")</f>
        <v xml:space="preserve">| 1 L PHP-CGM % | 6 L JAVA % | 3 P PHP-CGM @ | 9 L INE @ </v>
      </c>
      <c r="AY602" s="4" t="str">
        <f ca="1">IFERROR(__xludf.DUMMYFUNCTION("""COMPUTED_VALUE"""),"| 5 L JAVA % | 6 L NS % | 7 P NS @ | 9 L CPT @ | 11 L PHP-CGM @ ")</f>
        <v xml:space="preserve">| 5 L JAVA % | 6 L NS % | 7 P NS @ | 9 L CPT @ | 11 L PHP-CGM @ </v>
      </c>
      <c r="AZ602" s="4" t="str">
        <f ca="1">IFERROR(__xludf.DUMMYFUNCTION("""COMPUTED_VALUE"""),"| 5 L NS % | 6 L CPT % | 7 P PRO @ | 9 P JAVA @ ")</f>
        <v xml:space="preserve">| 5 L NS % | 6 L CPT % | 7 P PRO @ | 9 P JAVA @ </v>
      </c>
      <c r="BA602" s="4" t="str">
        <f ca="1">IFERROR(__xludf.DUMMYFUNCTION("""COMPUTED_VALUE"""),"| 5 L NS @ | 6 L JAVA @ | 7 P JAVA @ ")</f>
        <v xml:space="preserve">| 5 L NS @ | 6 L JAVA @ | 7 P JAVA @ </v>
      </c>
      <c r="BB602" s="4" t="str">
        <f ca="1">IFERROR(__xludf.DUMMYFUNCTION("""COMPUTED_VALUE"""),"| 1 L PHP-CGM % | 6 L JAVA % | 3 P PHP-CGM @ | 9 L INE @ ")</f>
        <v xml:space="preserve">| 1 L PHP-CGM % | 6 L JAVA % | 3 P PHP-CGM @ | 9 L INE @ </v>
      </c>
      <c r="BC602" s="4" t="str">
        <f ca="1">IFERROR(__xludf.DUMMYFUNCTION("""COMPUTED_VALUE"""),"| 5 L JAVA % | 6 L NS % | 7 P NS @ | 10 L PHP-CGM % | 9 L CPT % ")</f>
        <v xml:space="preserve">| 5 L JAVA % | 6 L NS % | 7 P NS @ | 10 L PHP-CGM % | 9 L CPT % </v>
      </c>
      <c r="BD602" s="4" t="str">
        <f ca="1">IFERROR(__xludf.DUMMYFUNCTION("""COMPUTED_VALUE"""),"| 5 L CPT % | 7 P Python @ | 6 L PHP-CGM % | 9 P CPT @ ")</f>
        <v xml:space="preserve">| 5 L CPT % | 7 P Python @ | 6 L PHP-CGM % | 9 P CPT @ </v>
      </c>
      <c r="BE602" s="4" t="str">
        <f ca="1">IFERROR(__xludf.DUMMYFUNCTION("""COMPUTED_VALUE"""),"| 5 L NS % | 6 L CPT % | 9 P JAVA @ | 7 P PRO @ ")</f>
        <v xml:space="preserve">| 5 L NS % | 6 L CPT % | 9 P JAVA @ | 7 P PRO @ </v>
      </c>
      <c r="BF602" s="4" t="str">
        <f ca="1">IFERROR(__xludf.DUMMYFUNCTION("""COMPUTED_VALUE"""),"| 5 L NS @ | 6 L JAVA % | 7 P JAVA @ ")</f>
        <v xml:space="preserve">| 5 L NS @ | 6 L JAVA % | 7 P JAVA @ </v>
      </c>
      <c r="BG602" s="4" t="str">
        <f ca="1">IFERROR(__xludf.DUMMYFUNCTION("""COMPUTED_VALUE"""),"| 5 L JAVA % | 6 L NS % | 7 P NS @ | 9 L CPT % | 10 L PHP-CGM % ")</f>
        <v xml:space="preserve">| 5 L JAVA % | 6 L NS % | 7 P NS @ | 9 L CPT % | 10 L PHP-CGM % </v>
      </c>
      <c r="BH602" s="4" t="str">
        <f ca="1">IFERROR(__xludf.DUMMYFUNCTION("""COMPUTED_VALUE"""),"| 5 L CPT % | 7 P Python @ | 6 L PHP-CGM % | 9 P CPT @ ")</f>
        <v xml:space="preserve">| 5 L CPT % | 7 P Python @ | 6 L PHP-CGM % | 9 P CPT @ </v>
      </c>
      <c r="BI602" s="4" t="str">
        <f ca="1">IFERROR(__xludf.DUMMYFUNCTION("""COMPUTED_VALUE"""),"| 5 L NS @ | 6 L CPT @ | 7 P PRO @ ")</f>
        <v xml:space="preserve">| 5 L NS @ | 6 L CPT @ | 7 P PRO @ </v>
      </c>
      <c r="BJ602" s="4" t="str">
        <f ca="1">IFERROR(__xludf.DUMMYFUNCTION("""COMPUTED_VALUE"""),"| 5 L NS @ | 6 L JAVA @ | 7 P JAVA @ ")</f>
        <v xml:space="preserve">| 5 L NS @ | 6 L JAVA @ | 7 P JAVA @ </v>
      </c>
      <c r="BK602" s="4" t="str">
        <f ca="1">IFERROR(__xludf.DUMMYFUNCTION("""COMPUTED_VALUE"""),"| 1 L PHP-CGM @ | 6 L JAVA @ | 3 P PHP-CGM @ | 9 L INE @ ")</f>
        <v xml:space="preserve">| 1 L PHP-CGM @ | 6 L JAVA @ | 3 P PHP-CGM @ | 9 L INE @ </v>
      </c>
      <c r="BL602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M602" s="4" t="str">
        <f ca="1">IFERROR(__xludf.DUMMYFUNCTION("""COMPUTED_VALUE"""),"| 5 L CPT @ | 6 L PHP-CGM @ ")</f>
        <v xml:space="preserve">| 5 L CPT @ | 6 L PHP-CGM @ </v>
      </c>
      <c r="BN602" s="4" t="str">
        <f ca="1">IFERROR(__xludf.DUMMYFUNCTION("""COMPUTED_VALUE"""),"| 5 L NS @ | 6 L CPT @ | 7 P PRO @ ")</f>
        <v xml:space="preserve">| 5 L NS @ | 6 L CPT @ | 7 P PRO @ </v>
      </c>
      <c r="BO602" s="4" t="str">
        <f ca="1">IFERROR(__xludf.DUMMYFUNCTION("""COMPUTED_VALUE"""),"| 5 L NS @ | 6 L JAVA @ | 7 P JAVA @ ")</f>
        <v xml:space="preserve">| 5 L NS @ | 6 L JAVA @ | 7 P JAVA @ </v>
      </c>
      <c r="BP602" s="4" t="str">
        <f ca="1">IFERROR(__xludf.DUMMYFUNCTION("""COMPUTED_VALUE"""),"| 1 L PHP-CGM @ | 6 L JAVA @ | 3 P PHP-CGM @ | 9 L INE @ ")</f>
        <v xml:space="preserve">| 1 L PHP-CGM @ | 6 L JAVA @ | 3 P PHP-CGM @ | 9 L INE @ </v>
      </c>
      <c r="BQ602" s="4" t="str">
        <f ca="1">IFERROR(__xludf.DUMMYFUNCTION("""COMPUTED_VALUE"""),"| 5 L CPT @ ")</f>
        <v xml:space="preserve">| 5 L CPT @ </v>
      </c>
      <c r="BR602" s="4"/>
      <c r="BS602" s="4" t="str">
        <f ca="1">IFERROR(__xludf.DUMMYFUNCTION("""COMPUTED_VALUE"""),"| 6 L CPT @ ")</f>
        <v xml:space="preserve">| 6 L CPT @ </v>
      </c>
      <c r="BT602" s="4"/>
      <c r="BU602" s="4"/>
      <c r="BV602" s="4" t="str">
        <f ca="1">IFERROR(__xludf.DUMMYFUNCTION("""COMPUTED_VALUE"""),"| 5 L PHP-CGM @ | 6 L JAVA @ ")</f>
        <v xml:space="preserve">| 5 L PHP-CGM @ | 6 L JAVA @ </v>
      </c>
      <c r="BW602" s="4"/>
      <c r="BX602" s="4" t="str">
        <f ca="1">IFERROR(__xludf.DUMMYFUNCTION("""COMPUTED_VALUE"""),"| 5 L CPT @ | 6 L PHP-CGM @ ")</f>
        <v xml:space="preserve">| 5 L CPT @ | 6 L PHP-CGM @ </v>
      </c>
      <c r="BY602" s="4" t="str">
        <f ca="1">IFERROR(__xludf.DUMMYFUNCTION("""COMPUTED_VALUE"""),"| 5 L NS @ | 6 L CPT @ | 7 P PRO @ | 9 P JAVA @ ")</f>
        <v xml:space="preserve">| 5 L NS @ | 6 L CPT @ | 7 P PRO @ | 9 P JAVA @ </v>
      </c>
      <c r="BZ602" s="4" t="str">
        <f ca="1">IFERROR(__xludf.DUMMYFUNCTION("""COMPUTED_VALUE"""),"| 5 L NS @ | 6 L JAVA @ | 7 P JAVA @ | 9 P Python @ ")</f>
        <v xml:space="preserve">| 5 L NS @ | 6 L JAVA @ | 7 P JAVA @ | 9 P Python @ </v>
      </c>
      <c r="CA602" s="4" t="str">
        <f ca="1">IFERROR(__xludf.DUMMYFUNCTION("""COMPUTED_VALUE"""),"| 1 L PHP-CGM % | 6 L JAVA % | 3 P PHP-CGM @ ")</f>
        <v xml:space="preserve">| 1 L PHP-CGM % | 6 L JAVA % | 3 P PHP-CGM @ </v>
      </c>
      <c r="CB602" s="4" t="str">
        <f ca="1">IFERROR(__xludf.DUMMYFUNCTION("""COMPUTED_VALUE"""),"| 5 L JAVA % | 6 L NS % | 7 P NS @ | 9 L CPT % | 10 L PHP-CGM % ")</f>
        <v xml:space="preserve">| 5 L JAVA % | 6 L NS % | 7 P NS @ | 9 L CPT % | 10 L PHP-CGM % </v>
      </c>
      <c r="CC602" s="4" t="str">
        <f ca="1">IFERROR(__xludf.DUMMYFUNCTION("""COMPUTED_VALUE"""),"| 5 L CPT % | 6 L PHP-CGM @ | 7 P Python @ | 9 P CPT @ ")</f>
        <v xml:space="preserve">| 5 L CPT % | 6 L PHP-CGM @ | 7 P Python @ | 9 P CPT @ </v>
      </c>
      <c r="CD602" s="4" t="str">
        <f ca="1">IFERROR(__xludf.DUMMYFUNCTION("""COMPUTED_VALUE"""),"| 5 L NS % | 6 L CPT % | 7 P PRO @ ")</f>
        <v xml:space="preserve">| 5 L NS % | 6 L CPT % | 7 P PRO @ </v>
      </c>
      <c r="CE602" s="4" t="str">
        <f ca="1">IFERROR(__xludf.DUMMYFUNCTION("""COMPUTED_VALUE"""),"| 5 L NS % | 6 L JAVA % | 7 P JAVA @ ")</f>
        <v xml:space="preserve">| 5 L NS % | 6 L JAVA % | 7 P JAVA @ </v>
      </c>
      <c r="CF602" s="4" t="str">
        <f ca="1">IFERROR(__xludf.DUMMYFUNCTION("""COMPUTED_VALUE"""),"| 5 L PHP-CGM @ | 6 L JAVA @ | 7 P PHP-CGM @ | 9 L INE @ ")</f>
        <v xml:space="preserve">| 5 L PHP-CGM @ | 6 L JAVA @ | 7 P PHP-CGM @ | 9 L INE @ </v>
      </c>
      <c r="CG602" s="4" t="str">
        <f ca="1">IFERROR(__xludf.DUMMYFUNCTION("""COMPUTED_VALUE"""),"| 5 L JAVA @ | 6 L NS @ | 7 P NS @ ")</f>
        <v xml:space="preserve">| 5 L JAVA @ | 6 L NS @ | 7 P NS @ </v>
      </c>
      <c r="CH602" s="4" t="str">
        <f ca="1">IFERROR(__xludf.DUMMYFUNCTION("""COMPUTED_VALUE"""),"| 5 L CPT @ | 7 P Python @ | 9 P CPT % ")</f>
        <v xml:space="preserve">| 5 L CPT @ | 7 P Python @ | 9 P CPT % </v>
      </c>
      <c r="CI602" s="4" t="str">
        <f ca="1">IFERROR(__xludf.DUMMYFUNCTION("""COMPUTED_VALUE"""),"| 5 L NS @ | 6 L CPT @ ")</f>
        <v xml:space="preserve">| 5 L NS @ | 6 L CPT @ </v>
      </c>
      <c r="CJ602" s="4" t="str">
        <f ca="1">IFERROR(__xludf.DUMMYFUNCTION("""COMPUTED_VALUE"""),"| 5 L NS @ ")</f>
        <v xml:space="preserve">| 5 L NS @ </v>
      </c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</row>
    <row r="603" spans="1:102" ht="12.5" x14ac:dyDescent="0.25">
      <c r="A603" s="3">
        <f ca="1">IFERROR(__xludf.DUMMYFUNCTION("""COMPUTED_VALUE"""),2)</f>
        <v>2</v>
      </c>
      <c r="B603" s="3" t="str">
        <f ca="1">IFERROR(__xludf.DUMMYFUNCTION("""COMPUTED_VALUE"""),"ITD")</f>
        <v>ITD</v>
      </c>
      <c r="C603" s="32" t="str">
        <f ca="1">IFERROR(__xludf.DUMMYFUNCTION("""COMPUTED_VALUE"""),"23171371078")</f>
        <v>23171371078</v>
      </c>
      <c r="D603" s="4" t="str">
        <f ca="1">IFERROR(__xludf.DUMMYFUNCTION("""COMPUTED_VALUE"""),"PATEL HARMI VISHNUBHAI")</f>
        <v>PATEL HARMI VISHNUBHAI</v>
      </c>
      <c r="E603" s="3" t="str">
        <f ca="1">IFERROR(__xludf.DUMMYFUNCTION("""COMPUTED_VALUE"""),"SRC - Eve")</f>
        <v>SRC - Eve</v>
      </c>
      <c r="F603" s="3">
        <f ca="1">IFERROR(__xludf.DUMMYFUNCTION("""COMPUTED_VALUE"""),9687250251)</f>
        <v>9687250251</v>
      </c>
      <c r="G603" s="3">
        <f ca="1">IFERROR(__xludf.DUMMYFUNCTION("""COMPUTED_VALUE"""),6352945577)</f>
        <v>6352945577</v>
      </c>
      <c r="H603" s="33">
        <f ca="1">IFERROR(__xludf.DUMMYFUNCTION("""COMPUTED_VALUE"""),0.774193548387096)</f>
        <v>0.77419354838709598</v>
      </c>
      <c r="I603" s="25">
        <f ca="1">IFERROR(__xludf.DUMMYFUNCTION("""COMPUTED_VALUE"""),0.583333333333333)</f>
        <v>0.58333333333333304</v>
      </c>
      <c r="J603" s="25">
        <f ca="1">IFERROR(__xludf.DUMMYFUNCTION("""COMPUTED_VALUE"""),0.888888888888888)</f>
        <v>0.88888888888888795</v>
      </c>
      <c r="K603" s="25">
        <f ca="1">IFERROR(__xludf.DUMMYFUNCTION("""COMPUTED_VALUE"""),0.638888888888888)</f>
        <v>0.63888888888888795</v>
      </c>
      <c r="L603" s="25">
        <f ca="1">IFERROR(__xludf.DUMMYFUNCTION("""COMPUTED_VALUE"""),0.909090909090909)</f>
        <v>0.90909090909090895</v>
      </c>
      <c r="M603" s="25">
        <f ca="1">IFERROR(__xludf.DUMMYFUNCTION("""COMPUTED_VALUE"""),0.84375)</f>
        <v>0.84375</v>
      </c>
      <c r="N603" s="25">
        <f ca="1">IFERROR(__xludf.DUMMYFUNCTION("""COMPUTED_VALUE"""),0.909090909090909)</f>
        <v>0.90909090909090895</v>
      </c>
      <c r="O603" s="25">
        <f ca="1">IFERROR(__xludf.DUMMYFUNCTION("""COMPUTED_VALUE"""),0.88235294117647)</f>
        <v>0.88235294117647001</v>
      </c>
      <c r="P603" s="25">
        <f ca="1">IFERROR(__xludf.DUMMYFUNCTION("""COMPUTED_VALUE"""),0.833333333333333)</f>
        <v>0.83333333333333304</v>
      </c>
      <c r="Q603" s="25">
        <f ca="1">IFERROR(__xludf.DUMMYFUNCTION("""COMPUTED_VALUE"""),0)</f>
        <v>0</v>
      </c>
      <c r="R603" s="25">
        <f ca="1">IFERROR(__xludf.DUMMYFUNCTION("""COMPUTED_VALUE"""),1)</f>
        <v>1</v>
      </c>
      <c r="S603" s="25">
        <f ca="1">IFERROR(__xludf.DUMMYFUNCTION("""COMPUTED_VALUE"""),0)</f>
        <v>0</v>
      </c>
      <c r="T603" s="25">
        <f ca="1">IFERROR(__xludf.DUMMYFUNCTION("""COMPUTED_VALUE"""),0.727272727272727)</f>
        <v>0.72727272727272696</v>
      </c>
      <c r="U603" s="25">
        <f ca="1">IFERROR(__xludf.DUMMYFUNCTION("""COMPUTED_VALUE"""),0.571428571428571)</f>
        <v>0.57142857142857095</v>
      </c>
      <c r="V603" s="25">
        <f ca="1">IFERROR(__xludf.DUMMYFUNCTION("""COMPUTED_VALUE"""),0)</f>
        <v>0</v>
      </c>
      <c r="W603" s="4"/>
      <c r="X603" s="4" t="str">
        <f ca="1">IFERROR(__xludf.DUMMYFUNCTION("""COMPUTED_VALUE"""),"| 1 L PHP-CGM % | 6 L JAVA @ | 3 P PHP-CGM % ")</f>
        <v xml:space="preserve">| 1 L PHP-CGM % | 6 L JAVA @ | 3 P PHP-CGM % </v>
      </c>
      <c r="Y60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Z603" s="4" t="str">
        <f ca="1">IFERROR(__xludf.DUMMYFUNCTION("""COMPUTED_VALUE"""),"| 5 L CPT % | 6 L PHP-CGM % | 7 P Python % | 9 P CPT % ")</f>
        <v xml:space="preserve">| 5 L CPT % | 6 L PHP-CGM % | 7 P Python % | 9 P CPT % </v>
      </c>
      <c r="AA603" s="4" t="str">
        <f ca="1">IFERROR(__xludf.DUMMYFUNCTION("""COMPUTED_VALUE"""),"| 5 L NS % | 6 L CPT % | 7 P PRO % | 9 P JAVA % ")</f>
        <v xml:space="preserve">| 5 L NS % | 6 L CPT % | 7 P PRO % | 9 P JAVA % </v>
      </c>
      <c r="AB603" s="4" t="str">
        <f ca="1">IFERROR(__xludf.DUMMYFUNCTION("""COMPUTED_VALUE"""),"| 5 L NS % | 6 L JAVA % | 7 P JAVA % | 9 P Python % ")</f>
        <v xml:space="preserve">| 5 L NS % | 6 L JAVA % | 7 P JAVA % | 9 P Python % </v>
      </c>
      <c r="AC603" s="4" t="str">
        <f ca="1">IFERROR(__xludf.DUMMYFUNCTION("""COMPUTED_VALUE"""),"| 1 L PHP-CGM % | 6 L JAVA % | 3 P PHP-CGM % ")</f>
        <v xml:space="preserve">| 1 L PHP-CGM % | 6 L JAVA % | 3 P PHP-CGM % </v>
      </c>
      <c r="AD60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603" s="4" t="str">
        <f ca="1">IFERROR(__xludf.DUMMYFUNCTION("""COMPUTED_VALUE"""),"| 5 L CPT % | 6 L PHP-CGM % | 7 P Python % | 9 P CPT % ")</f>
        <v xml:space="preserve">| 5 L CPT % | 6 L PHP-CGM % | 7 P Python % | 9 P CPT % </v>
      </c>
      <c r="AF603" s="4" t="str">
        <f ca="1">IFERROR(__xludf.DUMMYFUNCTION("""COMPUTED_VALUE"""),"| 5 L NS @ | 6 L CPT @ | 7 P PRO % | 9 P JAVA % ")</f>
        <v xml:space="preserve">| 5 L NS @ | 6 L CPT @ | 7 P PRO % | 9 P JAVA % </v>
      </c>
      <c r="AG603" s="4" t="str">
        <f ca="1">IFERROR(__xludf.DUMMYFUNCTION("""COMPUTED_VALUE"""),"| 5 L NS % | 6 L JAVA % | 7 P JAVA % ")</f>
        <v xml:space="preserve">| 5 L NS % | 6 L JAVA % | 7 P JAVA % </v>
      </c>
      <c r="AH603" s="4" t="str">
        <f ca="1">IFERROR(__xludf.DUMMYFUNCTION("""COMPUTED_VALUE"""),"| 5 L NS % | 6 L CPT % | 7 P PRO % | 9 P JAVA % ")</f>
        <v xml:space="preserve">| 5 L NS % | 6 L CPT % | 7 P PRO % | 9 P JAVA % </v>
      </c>
      <c r="AI603" s="4" t="str">
        <f ca="1">IFERROR(__xludf.DUMMYFUNCTION("""COMPUTED_VALUE"""),"| 5 L NS % | 6 L JAVA % | 7 P JAVA % | 9 P Python % ")</f>
        <v xml:space="preserve">| 5 L NS % | 6 L JAVA % | 7 P JAVA % | 9 P Python % </v>
      </c>
      <c r="AJ603" s="4" t="str">
        <f ca="1">IFERROR(__xludf.DUMMYFUNCTION("""COMPUTED_VALUE"""),"| 1 L PHP-CGM % | 6 L JAVA % | 3 P PHP-CGM % ")</f>
        <v xml:space="preserve">| 1 L PHP-CGM % | 6 L JAVA % | 3 P PHP-CGM % </v>
      </c>
      <c r="AK60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603" s="4" t="str">
        <f ca="1">IFERROR(__xludf.DUMMYFUNCTION("""COMPUTED_VALUE"""),"| 5 L CPT % | 7 P Python % | 6 L PHP-CGM % | 9 P CPT % ")</f>
        <v xml:space="preserve">| 5 L CPT % | 7 P Python % | 6 L PHP-CGM % | 9 P CPT % </v>
      </c>
      <c r="AM603" s="4" t="str">
        <f ca="1">IFERROR(__xludf.DUMMYFUNCTION("""COMPUTED_VALUE"""),"| 5 L NS @ | 6 L CPT @ | 9 P JAVA % ")</f>
        <v xml:space="preserve">| 5 L NS @ | 6 L CPT @ | 9 P JAVA % </v>
      </c>
      <c r="AN603" s="4" t="str">
        <f ca="1">IFERROR(__xludf.DUMMYFUNCTION("""COMPUTED_VALUE"""),"| 5 L NS % | 6 L JAVA % ")</f>
        <v xml:space="preserve">| 5 L NS % | 6 L JAVA % </v>
      </c>
      <c r="AO603" s="4" t="str">
        <f ca="1">IFERROR(__xludf.DUMMYFUNCTION("""COMPUTED_VALUE"""),"| 1 L PHP-CGM % | 6 L JAVA % | 3 P PHP-CGM % | 9 L INE @ ")</f>
        <v xml:space="preserve">| 1 L PHP-CGM % | 6 L JAVA % | 3 P PHP-CGM % | 9 L INE @ </v>
      </c>
      <c r="AP603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Q603" s="4" t="str">
        <f ca="1">IFERROR(__xludf.DUMMYFUNCTION("""COMPUTED_VALUE"""),"| 5 L CPT % | 6 L PHP-CGM % | 9 P CPT @ ")</f>
        <v xml:space="preserve">| 5 L CPT % | 6 L PHP-CGM % | 9 P CPT @ </v>
      </c>
      <c r="AR603" s="4" t="str">
        <f ca="1">IFERROR(__xludf.DUMMYFUNCTION("""COMPUTED_VALUE"""),"| 5 L NS % | 6 L CPT % | 7 P PRO % ")</f>
        <v xml:space="preserve">| 5 L NS % | 6 L CPT % | 7 P PRO % </v>
      </c>
      <c r="AS603" s="4" t="str">
        <f ca="1">IFERROR(__xludf.DUMMYFUNCTION("""COMPUTED_VALUE"""),"| 1 L PHP-CGM % | 6 L JAVA % | 3 P PHP-CGM % | 9 L INE @ ")</f>
        <v xml:space="preserve">| 1 L PHP-CGM % | 6 L JAVA % | 3 P PHP-CGM % | 9 L INE @ </v>
      </c>
      <c r="AT603" s="4" t="str">
        <f ca="1">IFERROR(__xludf.DUMMYFUNCTION("""COMPUTED_VALUE"""),"| 5 L JAVA % | 6 L NS % | 7 P NS % | 9 L CPT @ | 6 L PHP-CGM @ ")</f>
        <v xml:space="preserve">| 5 L JAVA % | 6 L NS % | 7 P NS % | 9 L CPT @ | 6 L PHP-CGM @ </v>
      </c>
      <c r="AU603" s="4" t="str">
        <f ca="1">IFERROR(__xludf.DUMMYFUNCTION("""COMPUTED_VALUE"""),"| 5 L CPT % | 6 L PHP-CGM % | 7 P Python % | 9 P CPT % ")</f>
        <v xml:space="preserve">| 5 L CPT % | 6 L PHP-CGM % | 7 P Python % | 9 P CPT % </v>
      </c>
      <c r="AV603" s="4" t="str">
        <f ca="1">IFERROR(__xludf.DUMMYFUNCTION("""COMPUTED_VALUE"""),"| 5 L NS % | 6 L CPT % | 7 P PRO % | 9 P JAVA @ ")</f>
        <v xml:space="preserve">| 5 L NS % | 6 L CPT % | 7 P PRO % | 9 P JAVA @ </v>
      </c>
      <c r="AW603" s="4" t="str">
        <f ca="1">IFERROR(__xludf.DUMMYFUNCTION("""COMPUTED_VALUE"""),"| 5 L NS @ | 6 L JAVA @ | 7 P JAVA % | 9 P Python % ")</f>
        <v xml:space="preserve">| 5 L NS @ | 6 L JAVA @ | 7 P JAVA % | 9 P Python % </v>
      </c>
      <c r="AX603" s="4" t="str">
        <f ca="1">IFERROR(__xludf.DUMMYFUNCTION("""COMPUTED_VALUE"""),"| 1 L PHP-CGM % | 6 L JAVA % | 3 P PHP-CGM % | 9 L INE % ")</f>
        <v xml:space="preserve">| 1 L PHP-CGM % | 6 L JAVA % | 3 P PHP-CGM % | 9 L INE % </v>
      </c>
      <c r="AY603" s="4" t="str">
        <f ca="1">IFERROR(__xludf.DUMMYFUNCTION("""COMPUTED_VALUE"""),"| 5 L JAVA % | 6 L NS % | 7 P NS % | 9 L CPT @ | 11 L PHP-CGM @ ")</f>
        <v xml:space="preserve">| 5 L JAVA % | 6 L NS % | 7 P NS % | 9 L CPT @ | 11 L PHP-CGM @ </v>
      </c>
      <c r="AZ603" s="4" t="str">
        <f ca="1">IFERROR(__xludf.DUMMYFUNCTION("""COMPUTED_VALUE"""),"| 5 L NS % | 6 L CPT % | 7 P PRO % | 9 P JAVA % ")</f>
        <v xml:space="preserve">| 5 L NS % | 6 L CPT % | 7 P PRO % | 9 P JAVA % </v>
      </c>
      <c r="BA603" s="4" t="str">
        <f ca="1">IFERROR(__xludf.DUMMYFUNCTION("""COMPUTED_VALUE"""),"| 5 L NS % | 6 L JAVA % | 7 P JAVA % ")</f>
        <v xml:space="preserve">| 5 L NS % | 6 L JAVA % | 7 P JAVA % </v>
      </c>
      <c r="BB603" s="4" t="str">
        <f ca="1">IFERROR(__xludf.DUMMYFUNCTION("""COMPUTED_VALUE"""),"| 1 L PHP-CGM % | 6 L JAVA % | 3 P PHP-CGM % | 9 L INE % ")</f>
        <v xml:space="preserve">| 1 L PHP-CGM % | 6 L JAVA % | 3 P PHP-CGM % | 9 L INE % </v>
      </c>
      <c r="BC603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603" s="4" t="str">
        <f ca="1">IFERROR(__xludf.DUMMYFUNCTION("""COMPUTED_VALUE"""),"| 5 L CPT % | 7 P Python % | 6 L PHP-CGM % | 9 P CPT % ")</f>
        <v xml:space="preserve">| 5 L CPT % | 7 P Python % | 6 L PHP-CGM % | 9 P CPT % </v>
      </c>
      <c r="BE603" s="4" t="str">
        <f ca="1">IFERROR(__xludf.DUMMYFUNCTION("""COMPUTED_VALUE"""),"| 5 L NS @ | 6 L CPT @ | 9 P JAVA % | 7 P PRO % ")</f>
        <v xml:space="preserve">| 5 L NS @ | 6 L CPT @ | 9 P JAVA % | 7 P PRO % </v>
      </c>
      <c r="BF603" s="4" t="str">
        <f ca="1">IFERROR(__xludf.DUMMYFUNCTION("""COMPUTED_VALUE"""),"| 5 L NS @ | 6 L JAVA % | 7 P JAVA % ")</f>
        <v xml:space="preserve">| 5 L NS @ | 6 L JAVA % | 7 P JAVA % </v>
      </c>
      <c r="BG603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603" s="4" t="str">
        <f ca="1">IFERROR(__xludf.DUMMYFUNCTION("""COMPUTED_VALUE"""),"| 5 L CPT % | 7 P Python % | 6 L PHP-CGM % | 9 P CPT % ")</f>
        <v xml:space="preserve">| 5 L CPT % | 7 P Python % | 6 L PHP-CGM % | 9 P CPT % </v>
      </c>
      <c r="BI603" s="4" t="str">
        <f ca="1">IFERROR(__xludf.DUMMYFUNCTION("""COMPUTED_VALUE"""),"| 5 L NS @ | 6 L CPT @ | 7 P PRO @ ")</f>
        <v xml:space="preserve">| 5 L NS @ | 6 L CPT @ | 7 P PRO @ </v>
      </c>
      <c r="BJ603" s="4" t="str">
        <f ca="1">IFERROR(__xludf.DUMMYFUNCTION("""COMPUTED_VALUE"""),"| 5 L NS % | 6 L JAVA % | 7 P JAVA @ ")</f>
        <v xml:space="preserve">| 5 L NS % | 6 L JAVA % | 7 P JAVA @ </v>
      </c>
      <c r="BK603" s="4" t="str">
        <f ca="1">IFERROR(__xludf.DUMMYFUNCTION("""COMPUTED_VALUE"""),"| 1 L PHP-CGM % | 6 L JAVA % | 3 P PHP-CGM % | 9 L INE % ")</f>
        <v xml:space="preserve">| 1 L PHP-CGM % | 6 L JAVA % | 3 P PHP-CGM % | 9 L INE % </v>
      </c>
      <c r="BL603" s="4" t="str">
        <f ca="1">IFERROR(__xludf.DUMMYFUNCTION("""COMPUTED_VALUE"""),"| 5 L JAVA % | 6 L NS % | 7 P NS @ | 9 L CPT @ | 10 L PHP-CGM @ ")</f>
        <v xml:space="preserve">| 5 L JAVA % | 6 L NS % | 7 P NS @ | 9 L CPT @ | 10 L PHP-CGM @ </v>
      </c>
      <c r="BM603" s="4" t="str">
        <f ca="1">IFERROR(__xludf.DUMMYFUNCTION("""COMPUTED_VALUE"""),"| 5 L CPT @ | 6 L PHP-CGM @ ")</f>
        <v xml:space="preserve">| 5 L CPT @ | 6 L PHP-CGM @ </v>
      </c>
      <c r="BN603" s="4" t="str">
        <f ca="1">IFERROR(__xludf.DUMMYFUNCTION("""COMPUTED_VALUE"""),"| 5 L NS @ | 6 L CPT @ | 7 P PRO @ ")</f>
        <v xml:space="preserve">| 5 L NS @ | 6 L CPT @ | 7 P PRO @ </v>
      </c>
      <c r="BO603" s="4" t="str">
        <f ca="1">IFERROR(__xludf.DUMMYFUNCTION("""COMPUTED_VALUE"""),"| 5 L NS @ | 6 L JAVA @ | 7 P JAVA @ ")</f>
        <v xml:space="preserve">| 5 L NS @ | 6 L JAVA @ | 7 P JAVA @ </v>
      </c>
      <c r="BP603" s="4" t="str">
        <f ca="1">IFERROR(__xludf.DUMMYFUNCTION("""COMPUTED_VALUE"""),"| 1 L PHP-CGM % | 6 L JAVA % | 3 P PHP-CGM @ | 9 L INE @ ")</f>
        <v xml:space="preserve">| 1 L PHP-CGM % | 6 L JAVA % | 3 P PHP-CGM @ | 9 L INE @ </v>
      </c>
      <c r="BQ603" s="4" t="str">
        <f ca="1">IFERROR(__xludf.DUMMYFUNCTION("""COMPUTED_VALUE"""),"| 5 L CPT % ")</f>
        <v xml:space="preserve">| 5 L CPT % </v>
      </c>
      <c r="BR603" s="4"/>
      <c r="BS603" s="4" t="str">
        <f ca="1">IFERROR(__xludf.DUMMYFUNCTION("""COMPUTED_VALUE"""),"| 6 L CPT @ ")</f>
        <v xml:space="preserve">| 6 L CPT @ </v>
      </c>
      <c r="BT603" s="4"/>
      <c r="BU603" s="4"/>
      <c r="BV603" s="4" t="str">
        <f ca="1">IFERROR(__xludf.DUMMYFUNCTION("""COMPUTED_VALUE"""),"| 5 L PHP-CGM % | 6 L JAVA % ")</f>
        <v xml:space="preserve">| 5 L PHP-CGM % | 6 L JAVA % </v>
      </c>
      <c r="BW603" s="4"/>
      <c r="BX603" s="4" t="str">
        <f ca="1">IFERROR(__xludf.DUMMYFUNCTION("""COMPUTED_VALUE"""),"| 5 L CPT % | 6 L PHP-CGM % ")</f>
        <v xml:space="preserve">| 5 L CPT % | 6 L PHP-CGM % </v>
      </c>
      <c r="BY603" s="4" t="str">
        <f ca="1">IFERROR(__xludf.DUMMYFUNCTION("""COMPUTED_VALUE"""),"| 5 L NS @ | 6 L CPT @ | 7 P PRO % | 9 P JAVA % ")</f>
        <v xml:space="preserve">| 5 L NS @ | 6 L CPT @ | 7 P PRO % | 9 P JAVA % </v>
      </c>
      <c r="BZ603" s="4" t="str">
        <f ca="1">IFERROR(__xludf.DUMMYFUNCTION("""COMPUTED_VALUE"""),"| 5 L NS % | 6 L JAVA % | 7 P JAVA % | 9 P Python % ")</f>
        <v xml:space="preserve">| 5 L NS % | 6 L JAVA % | 7 P JAVA % | 9 P Python % </v>
      </c>
      <c r="CA603" s="4" t="str">
        <f ca="1">IFERROR(__xludf.DUMMYFUNCTION("""COMPUTED_VALUE"""),"| 1 L PHP-CGM % | 6 L JAVA % | 3 P PHP-CGM % ")</f>
        <v xml:space="preserve">| 1 L PHP-CGM % | 6 L JAVA % | 3 P PHP-CGM % </v>
      </c>
      <c r="CB603" s="4" t="str">
        <f ca="1">IFERROR(__xludf.DUMMYFUNCTION("""COMPUTED_VALUE"""),"| 5 L JAVA @ | 6 L NS @ | 7 P NS % | 9 L CPT @ | 10 L PHP-CGM @ ")</f>
        <v xml:space="preserve">| 5 L JAVA @ | 6 L NS @ | 7 P NS % | 9 L CPT @ | 10 L PHP-CGM @ </v>
      </c>
      <c r="CC603" s="4" t="str">
        <f ca="1">IFERROR(__xludf.DUMMYFUNCTION("""COMPUTED_VALUE"""),"| 5 L CPT % | 6 L PHP-CGM % | 7 P Python % | 9 P CPT % ")</f>
        <v xml:space="preserve">| 5 L CPT % | 6 L PHP-CGM % | 7 P Python % | 9 P CPT % </v>
      </c>
      <c r="CD603" s="4" t="str">
        <f ca="1">IFERROR(__xludf.DUMMYFUNCTION("""COMPUTED_VALUE"""),"| 5 L NS @ | 6 L CPT @ | 7 P PRO @ ")</f>
        <v xml:space="preserve">| 5 L NS @ | 6 L CPT @ | 7 P PRO @ </v>
      </c>
      <c r="CE603" s="4" t="str">
        <f ca="1">IFERROR(__xludf.DUMMYFUNCTION("""COMPUTED_VALUE"""),"| 5 L NS % | 6 L JAVA % | 7 P JAVA % ")</f>
        <v xml:space="preserve">| 5 L NS % | 6 L JAVA % | 7 P JAVA % </v>
      </c>
      <c r="CF603" s="4" t="str">
        <f ca="1">IFERROR(__xludf.DUMMYFUNCTION("""COMPUTED_VALUE"""),"| 5 L PHP-CGM % | 6 L JAVA % | 7 P PHP-CGM % | 9 L INE % ")</f>
        <v xml:space="preserve">| 5 L PHP-CGM % | 6 L JAVA % | 7 P PHP-CGM % | 9 L INE % </v>
      </c>
      <c r="CG603" s="4" t="str">
        <f ca="1">IFERROR(__xludf.DUMMYFUNCTION("""COMPUTED_VALUE"""),"| 5 L JAVA % | 6 L NS % | 7 P NS % ")</f>
        <v xml:space="preserve">| 5 L JAVA % | 6 L NS % | 7 P NS % </v>
      </c>
      <c r="CH603" s="4" t="str">
        <f ca="1">IFERROR(__xludf.DUMMYFUNCTION("""COMPUTED_VALUE"""),"| 5 L CPT @ | 7 P Python % | 9 P CPT % ")</f>
        <v xml:space="preserve">| 5 L CPT @ | 7 P Python % | 9 P CPT % </v>
      </c>
      <c r="CI603" s="4" t="str">
        <f ca="1">IFERROR(__xludf.DUMMYFUNCTION("""COMPUTED_VALUE"""),"| 5 L NS @ | 6 L CPT @ ")</f>
        <v xml:space="preserve">| 5 L NS @ | 6 L CPT @ </v>
      </c>
      <c r="CJ603" s="4" t="str">
        <f ca="1">IFERROR(__xludf.DUMMYFUNCTION("""COMPUTED_VALUE"""),"| 5 L NS @ ")</f>
        <v xml:space="preserve">| 5 L NS @ </v>
      </c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</row>
    <row r="604" spans="1:102" ht="12.5" x14ac:dyDescent="0.25">
      <c r="A604" s="3">
        <f ca="1">IFERROR(__xludf.DUMMYFUNCTION("""COMPUTED_VALUE"""),2)</f>
        <v>2</v>
      </c>
      <c r="B604" s="3" t="str">
        <f ca="1">IFERROR(__xludf.DUMMYFUNCTION("""COMPUTED_VALUE"""),"ITD")</f>
        <v>ITD</v>
      </c>
      <c r="C604" s="32" t="str">
        <f ca="1">IFERROR(__xludf.DUMMYFUNCTION("""COMPUTED_VALUE"""),"23171371079")</f>
        <v>23171371079</v>
      </c>
      <c r="D604" s="4" t="str">
        <f ca="1">IFERROR(__xludf.DUMMYFUNCTION("""COMPUTED_VALUE"""),"PATEL HEER")</f>
        <v>PATEL HEER</v>
      </c>
      <c r="E604" s="3" t="str">
        <f ca="1">IFERROR(__xludf.DUMMYFUNCTION("""COMPUTED_VALUE"""),"SRC - Eve")</f>
        <v>SRC - Eve</v>
      </c>
      <c r="F604" s="3">
        <f ca="1">IFERROR(__xludf.DUMMYFUNCTION("""COMPUTED_VALUE"""),8200611246)</f>
        <v>8200611246</v>
      </c>
      <c r="G604" s="3">
        <f ca="1">IFERROR(__xludf.DUMMYFUNCTION("""COMPUTED_VALUE"""),9925746044)</f>
        <v>9925746044</v>
      </c>
      <c r="H604" s="33">
        <f ca="1">IFERROR(__xludf.DUMMYFUNCTION("""COMPUTED_VALUE"""),0.396313364055299)</f>
        <v>0.39631336405529899</v>
      </c>
      <c r="I604" s="25">
        <f ca="1">IFERROR(__xludf.DUMMYFUNCTION("""COMPUTED_VALUE"""),0.444444444444444)</f>
        <v>0.44444444444444398</v>
      </c>
      <c r="J604" s="25">
        <f ca="1">IFERROR(__xludf.DUMMYFUNCTION("""COMPUTED_VALUE"""),0.222222222222222)</f>
        <v>0.22222222222222199</v>
      </c>
      <c r="K604" s="25">
        <f ca="1">IFERROR(__xludf.DUMMYFUNCTION("""COMPUTED_VALUE"""),0.388888888888888)</f>
        <v>0.38888888888888801</v>
      </c>
      <c r="L604" s="25">
        <f ca="1">IFERROR(__xludf.DUMMYFUNCTION("""COMPUTED_VALUE"""),0.545454545454545)</f>
        <v>0.54545454545454497</v>
      </c>
      <c r="M604" s="25">
        <f ca="1">IFERROR(__xludf.DUMMYFUNCTION("""COMPUTED_VALUE"""),0.53125)</f>
        <v>0.53125</v>
      </c>
      <c r="N604" s="25">
        <f ca="1">IFERROR(__xludf.DUMMYFUNCTION("""COMPUTED_VALUE"""),0.363636363636363)</f>
        <v>0.36363636363636298</v>
      </c>
      <c r="O604" s="25">
        <f ca="1">IFERROR(__xludf.DUMMYFUNCTION("""COMPUTED_VALUE"""),0.411764705882352)</f>
        <v>0.41176470588235198</v>
      </c>
      <c r="P604" s="25">
        <f ca="1">IFERROR(__xludf.DUMMYFUNCTION("""COMPUTED_VALUE"""),0.166666666666666)</f>
        <v>0.16666666666666599</v>
      </c>
      <c r="Q604" s="25">
        <f ca="1">IFERROR(__xludf.DUMMYFUNCTION("""COMPUTED_VALUE"""),0)</f>
        <v>0</v>
      </c>
      <c r="R604" s="25">
        <f ca="1">IFERROR(__xludf.DUMMYFUNCTION("""COMPUTED_VALUE"""),0.333333333333333)</f>
        <v>0.33333333333333298</v>
      </c>
      <c r="S604" s="25">
        <f ca="1">IFERROR(__xludf.DUMMYFUNCTION("""COMPUTED_VALUE"""),0)</f>
        <v>0</v>
      </c>
      <c r="T604" s="25">
        <f ca="1">IFERROR(__xludf.DUMMYFUNCTION("""COMPUTED_VALUE"""),0.272727272727272)</f>
        <v>0.27272727272727199</v>
      </c>
      <c r="U604" s="25">
        <f ca="1">IFERROR(__xludf.DUMMYFUNCTION("""COMPUTED_VALUE"""),0.428571428571428)</f>
        <v>0.42857142857142799</v>
      </c>
      <c r="V604" s="25">
        <f ca="1">IFERROR(__xludf.DUMMYFUNCTION("""COMPUTED_VALUE"""),0)</f>
        <v>0</v>
      </c>
      <c r="W604" s="4"/>
      <c r="X604" s="4" t="str">
        <f ca="1">IFERROR(__xludf.DUMMYFUNCTION("""COMPUTED_VALUE"""),"| 1 L PHP-CGM @ | 6 L JAVA @ | 3 P PHP-CGM @ ")</f>
        <v xml:space="preserve">| 1 L PHP-CGM @ | 6 L JAVA @ | 3 P PHP-CGM @ </v>
      </c>
      <c r="Y604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604" s="4" t="str">
        <f ca="1">IFERROR(__xludf.DUMMYFUNCTION("""COMPUTED_VALUE"""),"| 5 L CPT % | 6 L PHP-CGM % | 7 P Python % | 9 P CPT @ ")</f>
        <v xml:space="preserve">| 5 L CPT % | 6 L PHP-CGM % | 7 P Python % | 9 P CPT @ </v>
      </c>
      <c r="AA604" s="4" t="str">
        <f ca="1">IFERROR(__xludf.DUMMYFUNCTION("""COMPUTED_VALUE"""),"| 5 L NS @ | 6 L CPT @ | 7 P PRO @ | 9 P JAVA @ ")</f>
        <v xml:space="preserve">| 5 L NS @ | 6 L CPT @ | 7 P PRO @ | 9 P JAVA @ </v>
      </c>
      <c r="AB604" s="4" t="str">
        <f ca="1">IFERROR(__xludf.DUMMYFUNCTION("""COMPUTED_VALUE"""),"| 5 L NS % | 6 L JAVA @ | 7 P JAVA @ | 9 P Python @ ")</f>
        <v xml:space="preserve">| 5 L NS % | 6 L JAVA @ | 7 P JAVA @ | 9 P Python @ </v>
      </c>
      <c r="AC604" s="4" t="str">
        <f ca="1">IFERROR(__xludf.DUMMYFUNCTION("""COMPUTED_VALUE"""),"| 1 L PHP-CGM % | 6 L JAVA % | 3 P PHP-CGM % ")</f>
        <v xml:space="preserve">| 1 L PHP-CGM % | 6 L JAVA % | 3 P PHP-CGM % </v>
      </c>
      <c r="AD604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E604" s="4" t="str">
        <f ca="1">IFERROR(__xludf.DUMMYFUNCTION("""COMPUTED_VALUE"""),"| 5 L CPT % | 6 L PHP-CGM % | 7 P Python % | 9 P CPT @ ")</f>
        <v xml:space="preserve">| 5 L CPT % | 6 L PHP-CGM % | 7 P Python % | 9 P CPT @ </v>
      </c>
      <c r="AF604" s="4" t="str">
        <f ca="1">IFERROR(__xludf.DUMMYFUNCTION("""COMPUTED_VALUE"""),"| 5 L NS @ | 6 L CPT @ | 7 P PRO @ | 9 P JAVA @ ")</f>
        <v xml:space="preserve">| 5 L NS @ | 6 L CPT @ | 7 P PRO @ | 9 P JAVA @ </v>
      </c>
      <c r="AG604" s="4" t="str">
        <f ca="1">IFERROR(__xludf.DUMMYFUNCTION("""COMPUTED_VALUE"""),"| 5 L NS % | 6 L JAVA % | 7 P JAVA % ")</f>
        <v xml:space="preserve">| 5 L NS % | 6 L JAVA % | 7 P JAVA % </v>
      </c>
      <c r="AH604" s="4" t="str">
        <f ca="1">IFERROR(__xludf.DUMMYFUNCTION("""COMPUTED_VALUE"""),"| 5 L NS % | 6 L CPT % | 7 P PRO % | 9 P JAVA @ ")</f>
        <v xml:space="preserve">| 5 L NS % | 6 L CPT % | 7 P PRO % | 9 P JAVA @ </v>
      </c>
      <c r="AI604" s="4" t="str">
        <f ca="1">IFERROR(__xludf.DUMMYFUNCTION("""COMPUTED_VALUE"""),"| 5 L NS @ | 6 L JAVA @ | 7 P JAVA @ | 9 P Python @ ")</f>
        <v xml:space="preserve">| 5 L NS @ | 6 L JAVA @ | 7 P JAVA @ | 9 P Python @ </v>
      </c>
      <c r="AJ604" s="4" t="str">
        <f ca="1">IFERROR(__xludf.DUMMYFUNCTION("""COMPUTED_VALUE"""),"| 1 L PHP-CGM % | 6 L JAVA % | 3 P PHP-CGM @ ")</f>
        <v xml:space="preserve">| 1 L PHP-CGM % | 6 L JAVA % | 3 P PHP-CGM @ </v>
      </c>
      <c r="AK604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AL604" s="4" t="str">
        <f ca="1">IFERROR(__xludf.DUMMYFUNCTION("""COMPUTED_VALUE"""),"| 5 L CPT % | 7 P Python @ | 6 L PHP-CGM % | 9 P CPT @ ")</f>
        <v xml:space="preserve">| 5 L CPT % | 7 P Python @ | 6 L PHP-CGM % | 9 P CPT @ </v>
      </c>
      <c r="AM604" s="4" t="str">
        <f ca="1">IFERROR(__xludf.DUMMYFUNCTION("""COMPUTED_VALUE"""),"| 5 L NS % | 6 L CPT % | 9 P JAVA % ")</f>
        <v xml:space="preserve">| 5 L NS % | 6 L CPT % | 9 P JAVA % </v>
      </c>
      <c r="AN604" s="4" t="str">
        <f ca="1">IFERROR(__xludf.DUMMYFUNCTION("""COMPUTED_VALUE"""),"| 5 L NS @ | 6 L JAVA @ ")</f>
        <v xml:space="preserve">| 5 L NS @ | 6 L JAVA @ </v>
      </c>
      <c r="AO604" s="4" t="str">
        <f ca="1">IFERROR(__xludf.DUMMYFUNCTION("""COMPUTED_VALUE"""),"| 1 L PHP-CGM % | 6 L JAVA % | 3 P PHP-CGM % | 9 L INE @ ")</f>
        <v xml:space="preserve">| 1 L PHP-CGM % | 6 L JAVA % | 3 P PHP-CGM % | 9 L INE @ </v>
      </c>
      <c r="AP604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Q604" s="4" t="str">
        <f ca="1">IFERROR(__xludf.DUMMYFUNCTION("""COMPUTED_VALUE"""),"| 5 L CPT % | 6 L PHP-CGM % | 9 P CPT @ ")</f>
        <v xml:space="preserve">| 5 L CPT % | 6 L PHP-CGM % | 9 P CPT @ </v>
      </c>
      <c r="AR604" s="4" t="str">
        <f ca="1">IFERROR(__xludf.DUMMYFUNCTION("""COMPUTED_VALUE"""),"| 5 L NS % | 6 L CPT % | 7 P PRO @ ")</f>
        <v xml:space="preserve">| 5 L NS % | 6 L CPT % | 7 P PRO @ </v>
      </c>
      <c r="AS604" s="4" t="str">
        <f ca="1">IFERROR(__xludf.DUMMYFUNCTION("""COMPUTED_VALUE"""),"| 1 L PHP-CGM @ | 6 L JAVA @ | 3 P PHP-CGM @ | 9 L INE @ ")</f>
        <v xml:space="preserve">| 1 L PHP-CGM @ | 6 L JAVA @ | 3 P PHP-CGM @ | 9 L INE @ </v>
      </c>
      <c r="AT604" s="4" t="str">
        <f ca="1">IFERROR(__xludf.DUMMYFUNCTION("""COMPUTED_VALUE"""),"| 5 L JAVA % | 6 L NS % | 7 P NS % | 9 L CPT @ | 6 L PHP-CGM @ ")</f>
        <v xml:space="preserve">| 5 L JAVA % | 6 L NS % | 7 P NS % | 9 L CPT @ | 6 L PHP-CGM @ </v>
      </c>
      <c r="AU604" s="4" t="str">
        <f ca="1">IFERROR(__xludf.DUMMYFUNCTION("""COMPUTED_VALUE"""),"| 5 L CPT % | 6 L PHP-CGM % | 7 P Python @ | 9 P CPT @ ")</f>
        <v xml:space="preserve">| 5 L CPT % | 6 L PHP-CGM % | 7 P Python @ | 9 P CPT @ </v>
      </c>
      <c r="AV604" s="4" t="str">
        <f ca="1">IFERROR(__xludf.DUMMYFUNCTION("""COMPUTED_VALUE"""),"| 5 L NS % | 6 L CPT % | 7 P PRO % | 9 P JAVA @ ")</f>
        <v xml:space="preserve">| 5 L NS % | 6 L CPT % | 7 P PRO % | 9 P JAVA @ </v>
      </c>
      <c r="AW604" s="4" t="str">
        <f ca="1">IFERROR(__xludf.DUMMYFUNCTION("""COMPUTED_VALUE"""),"| 5 L NS @ | 6 L JAVA @ | 7 P JAVA @ | 9 P Python @ ")</f>
        <v xml:space="preserve">| 5 L NS @ | 6 L JAVA @ | 7 P JAVA @ | 9 P Python @ </v>
      </c>
      <c r="AX604" s="4" t="str">
        <f ca="1">IFERROR(__xludf.DUMMYFUNCTION("""COMPUTED_VALUE"""),"| 1 L PHP-CGM % | 6 L JAVA % | 3 P PHP-CGM @ | 9 L INE % ")</f>
        <v xml:space="preserve">| 1 L PHP-CGM % | 6 L JAVA % | 3 P PHP-CGM @ | 9 L INE % </v>
      </c>
      <c r="AY604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604" s="4" t="str">
        <f ca="1">IFERROR(__xludf.DUMMYFUNCTION("""COMPUTED_VALUE"""),"| 5 L NS @ | 6 L CPT @ | 7 P PRO @ | 9 P JAVA @ ")</f>
        <v xml:space="preserve">| 5 L NS @ | 6 L CPT @ | 7 P PRO @ | 9 P JAVA @ </v>
      </c>
      <c r="BA604" s="4" t="str">
        <f ca="1">IFERROR(__xludf.DUMMYFUNCTION("""COMPUTED_VALUE"""),"| 5 L NS @ | 6 L JAVA @ | 7 P JAVA @ ")</f>
        <v xml:space="preserve">| 5 L NS @ | 6 L JAVA @ | 7 P JAVA @ </v>
      </c>
      <c r="BB604" s="4" t="str">
        <f ca="1">IFERROR(__xludf.DUMMYFUNCTION("""COMPUTED_VALUE"""),"| 1 L PHP-CGM % | 6 L JAVA % | 3 P PHP-CGM % | 9 L INE % ")</f>
        <v xml:space="preserve">| 1 L PHP-CGM % | 6 L JAVA % | 3 P PHP-CGM % | 9 L INE % </v>
      </c>
      <c r="BC604" s="4" t="str">
        <f ca="1">IFERROR(__xludf.DUMMYFUNCTION("""COMPUTED_VALUE"""),"| 5 L JAVA % | 6 L NS % | 7 P NS % | 10 L PHP-CGM @ | 9 L CPT @ ")</f>
        <v xml:space="preserve">| 5 L JAVA % | 6 L NS % | 7 P NS % | 10 L PHP-CGM @ | 9 L CPT @ </v>
      </c>
      <c r="BD604" s="4" t="str">
        <f ca="1">IFERROR(__xludf.DUMMYFUNCTION("""COMPUTED_VALUE"""),"| 5 L CPT % | 7 P Python % | 6 L PHP-CGM % | 9 P CPT @ ")</f>
        <v xml:space="preserve">| 5 L CPT % | 7 P Python % | 6 L PHP-CGM % | 9 P CPT @ </v>
      </c>
      <c r="BE604" s="4" t="str">
        <f ca="1">IFERROR(__xludf.DUMMYFUNCTION("""COMPUTED_VALUE"""),"| 5 L NS % | 6 L CPT % | 9 P JAVA % | 7 P PRO % ")</f>
        <v xml:space="preserve">| 5 L NS % | 6 L CPT % | 9 P JAVA % | 7 P PRO % </v>
      </c>
      <c r="BF604" s="4" t="str">
        <f ca="1">IFERROR(__xludf.DUMMYFUNCTION("""COMPUTED_VALUE"""),"| 5 L NS @ | 6 L JAVA @ | 7 P JAVA @ ")</f>
        <v xml:space="preserve">| 5 L NS @ | 6 L JAVA @ | 7 P JAVA @ </v>
      </c>
      <c r="BG604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604" s="4" t="str">
        <f ca="1">IFERROR(__xludf.DUMMYFUNCTION("""COMPUTED_VALUE"""),"| 5 L CPT % | 7 P Python @ | 6 L PHP-CGM % | 9 P CPT % ")</f>
        <v xml:space="preserve">| 5 L CPT % | 7 P Python @ | 6 L PHP-CGM % | 9 P CPT % </v>
      </c>
      <c r="BI604" s="4" t="str">
        <f ca="1">IFERROR(__xludf.DUMMYFUNCTION("""COMPUTED_VALUE"""),"| 5 L NS % | 6 L CPT % | 7 P PRO @ ")</f>
        <v xml:space="preserve">| 5 L NS % | 6 L CPT % | 7 P PRO @ </v>
      </c>
      <c r="BJ604" s="4" t="str">
        <f ca="1">IFERROR(__xludf.DUMMYFUNCTION("""COMPUTED_VALUE"""),"| 5 L NS @ | 6 L JAVA @ | 7 P JAVA @ ")</f>
        <v xml:space="preserve">| 5 L NS @ | 6 L JAVA @ | 7 P JAVA @ </v>
      </c>
      <c r="BK604" s="4" t="str">
        <f ca="1">IFERROR(__xludf.DUMMYFUNCTION("""COMPUTED_VALUE"""),"| 1 L PHP-CGM @ | 6 L JAVA @ | 3 P PHP-CGM @ | 9 L INE @ ")</f>
        <v xml:space="preserve">| 1 L PHP-CGM @ | 6 L JAVA @ | 3 P PHP-CGM @ | 9 L INE @ </v>
      </c>
      <c r="BL604" s="4" t="str">
        <f ca="1">IFERROR(__xludf.DUMMYFUNCTION("""COMPUTED_VALUE"""),"| 5 L JAVA % | 6 L NS @ | 7 P NS @ | 9 L CPT @ | 10 L PHP-CGM @ ")</f>
        <v xml:space="preserve">| 5 L JAVA % | 6 L NS @ | 7 P NS @ | 9 L CPT @ | 10 L PHP-CGM @ </v>
      </c>
      <c r="BM604" s="4" t="str">
        <f ca="1">IFERROR(__xludf.DUMMYFUNCTION("""COMPUTED_VALUE"""),"| 5 L CPT @ | 6 L PHP-CGM @ ")</f>
        <v xml:space="preserve">| 5 L CPT @ | 6 L PHP-CGM @ </v>
      </c>
      <c r="BN604" s="4" t="str">
        <f ca="1">IFERROR(__xludf.DUMMYFUNCTION("""COMPUTED_VALUE"""),"| 5 L NS @ | 6 L CPT @ | 7 P PRO @ ")</f>
        <v xml:space="preserve">| 5 L NS @ | 6 L CPT @ | 7 P PRO @ </v>
      </c>
      <c r="BO604" s="4" t="str">
        <f ca="1">IFERROR(__xludf.DUMMYFUNCTION("""COMPUTED_VALUE"""),"| 5 L NS @ | 6 L JAVA @ | 7 P JAVA @ ")</f>
        <v xml:space="preserve">| 5 L NS @ | 6 L JAVA @ | 7 P JAVA @ </v>
      </c>
      <c r="BP604" s="4" t="str">
        <f ca="1">IFERROR(__xludf.DUMMYFUNCTION("""COMPUTED_VALUE"""),"| 1 L PHP-CGM @ | 6 L JAVA @ | 3 P PHP-CGM @ | 9 L INE @ ")</f>
        <v xml:space="preserve">| 1 L PHP-CGM @ | 6 L JAVA @ | 3 P PHP-CGM @ | 9 L INE @ </v>
      </c>
      <c r="BQ604" s="4" t="str">
        <f ca="1">IFERROR(__xludf.DUMMYFUNCTION("""COMPUTED_VALUE"""),"| 5 L CPT @ ")</f>
        <v xml:space="preserve">| 5 L CPT @ </v>
      </c>
      <c r="BR604" s="4"/>
      <c r="BS604" s="4" t="str">
        <f ca="1">IFERROR(__xludf.DUMMYFUNCTION("""COMPUTED_VALUE"""),"| 6 L CPT @ ")</f>
        <v xml:space="preserve">| 6 L CPT @ </v>
      </c>
      <c r="BT604" s="4"/>
      <c r="BU604" s="4"/>
      <c r="BV604" s="4" t="str">
        <f ca="1">IFERROR(__xludf.DUMMYFUNCTION("""COMPUTED_VALUE"""),"| 5 L PHP-CGM @ | 6 L JAVA @ ")</f>
        <v xml:space="preserve">| 5 L PHP-CGM @ | 6 L JAVA @ </v>
      </c>
      <c r="BW604" s="4"/>
      <c r="BX604" s="4" t="str">
        <f ca="1">IFERROR(__xludf.DUMMYFUNCTION("""COMPUTED_VALUE"""),"| 5 L CPT @ | 6 L PHP-CGM @ ")</f>
        <v xml:space="preserve">| 5 L CPT @ | 6 L PHP-CGM @ </v>
      </c>
      <c r="BY604" s="4" t="str">
        <f ca="1">IFERROR(__xludf.DUMMYFUNCTION("""COMPUTED_VALUE"""),"| 5 L NS @ | 6 L CPT @ | 7 P PRO @ | 9 P JAVA @ ")</f>
        <v xml:space="preserve">| 5 L NS @ | 6 L CPT @ | 7 P PRO @ | 9 P JAVA @ </v>
      </c>
      <c r="BZ604" s="4" t="str">
        <f ca="1">IFERROR(__xludf.DUMMYFUNCTION("""COMPUTED_VALUE"""),"| 5 L NS @ | 6 L JAVA @ | 7 P JAVA @ | 9 P Python @ ")</f>
        <v xml:space="preserve">| 5 L NS @ | 6 L JAVA @ | 7 P JAVA @ | 9 P Python @ </v>
      </c>
      <c r="CA604" s="4" t="str">
        <f ca="1">IFERROR(__xludf.DUMMYFUNCTION("""COMPUTED_VALUE"""),"| 1 L PHP-CGM % | 6 L JAVA % | 3 P PHP-CGM @ ")</f>
        <v xml:space="preserve">| 1 L PHP-CGM % | 6 L JAVA % | 3 P PHP-CGM @ </v>
      </c>
      <c r="CB604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CC604" s="4" t="str">
        <f ca="1">IFERROR(__xludf.DUMMYFUNCTION("""COMPUTED_VALUE"""),"| 5 L CPT @ | 6 L PHP-CGM @ | 7 P Python @ | 9 P CPT @ ")</f>
        <v xml:space="preserve">| 5 L CPT @ | 6 L PHP-CGM @ | 7 P Python @ | 9 P CPT @ </v>
      </c>
      <c r="CD604" s="4" t="str">
        <f ca="1">IFERROR(__xludf.DUMMYFUNCTION("""COMPUTED_VALUE"""),"| 5 L NS @ | 6 L CPT @ | 7 P PRO @ ")</f>
        <v xml:space="preserve">| 5 L NS @ | 6 L CPT @ | 7 P PRO @ </v>
      </c>
      <c r="CE604" s="4" t="str">
        <f ca="1">IFERROR(__xludf.DUMMYFUNCTION("""COMPUTED_VALUE"""),"| 5 L NS @ | 6 L JAVA @ | 7 P JAVA @ ")</f>
        <v xml:space="preserve">| 5 L NS @ | 6 L JAVA @ | 7 P JAVA @ </v>
      </c>
      <c r="CF604" s="4" t="str">
        <f ca="1">IFERROR(__xludf.DUMMYFUNCTION("""COMPUTED_VALUE"""),"| 5 L PHP-CGM % | 6 L JAVA @ | 7 P PHP-CGM % | 9 L INE % ")</f>
        <v xml:space="preserve">| 5 L PHP-CGM % | 6 L JAVA @ | 7 P PHP-CGM % | 9 L INE % </v>
      </c>
      <c r="CG604" s="4" t="str">
        <f ca="1">IFERROR(__xludf.DUMMYFUNCTION("""COMPUTED_VALUE"""),"| 5 L JAVA @ | 6 L NS @ | 7 P NS % ")</f>
        <v xml:space="preserve">| 5 L JAVA @ | 6 L NS @ | 7 P NS % </v>
      </c>
      <c r="CH604" s="4" t="str">
        <f ca="1">IFERROR(__xludf.DUMMYFUNCTION("""COMPUTED_VALUE"""),"| 5 L CPT @ | 7 P Python % | 9 P CPT % ")</f>
        <v xml:space="preserve">| 5 L CPT @ | 7 P Python % | 9 P CPT % </v>
      </c>
      <c r="CI604" s="4" t="str">
        <f ca="1">IFERROR(__xludf.DUMMYFUNCTION("""COMPUTED_VALUE"""),"| 5 L NS @ | 6 L CPT @ ")</f>
        <v xml:space="preserve">| 5 L NS @ | 6 L CPT @ </v>
      </c>
      <c r="CJ604" s="4" t="str">
        <f ca="1">IFERROR(__xludf.DUMMYFUNCTION("""COMPUTED_VALUE"""),"| 5 L NS @ ")</f>
        <v xml:space="preserve">| 5 L NS @ </v>
      </c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</row>
    <row r="605" spans="1:102" ht="12.5" x14ac:dyDescent="0.25">
      <c r="A605" s="3">
        <f ca="1">IFERROR(__xludf.DUMMYFUNCTION("""COMPUTED_VALUE"""),2)</f>
        <v>2</v>
      </c>
      <c r="B605" s="3" t="str">
        <f ca="1">IFERROR(__xludf.DUMMYFUNCTION("""COMPUTED_VALUE"""),"ITD")</f>
        <v>ITD</v>
      </c>
      <c r="C605" s="32" t="str">
        <f ca="1">IFERROR(__xludf.DUMMYFUNCTION("""COMPUTED_VALUE"""),"23171371082")</f>
        <v>23171371082</v>
      </c>
      <c r="D605" s="4" t="str">
        <f ca="1">IFERROR(__xludf.DUMMYFUNCTION("""COMPUTED_VALUE"""),"PATEL HET ASHISHKUMAR")</f>
        <v>PATEL HET ASHISHKUMAR</v>
      </c>
      <c r="E605" s="3" t="str">
        <f ca="1">IFERROR(__xludf.DUMMYFUNCTION("""COMPUTED_VALUE"""),"SRC - Eve")</f>
        <v>SRC - Eve</v>
      </c>
      <c r="F605" s="3">
        <f ca="1">IFERROR(__xludf.DUMMYFUNCTION("""COMPUTED_VALUE"""),9638981877)</f>
        <v>9638981877</v>
      </c>
      <c r="G605" s="3">
        <f ca="1">IFERROR(__xludf.DUMMYFUNCTION("""COMPUTED_VALUE"""),9879713447)</f>
        <v>9879713447</v>
      </c>
      <c r="H605" s="33">
        <f ca="1">IFERROR(__xludf.DUMMYFUNCTION("""COMPUTED_VALUE"""),0.410138248847926)</f>
        <v>0.41013824884792599</v>
      </c>
      <c r="I605" s="25">
        <f ca="1">IFERROR(__xludf.DUMMYFUNCTION("""COMPUTED_VALUE"""),0.444444444444444)</f>
        <v>0.44444444444444398</v>
      </c>
      <c r="J605" s="25">
        <f ca="1">IFERROR(__xludf.DUMMYFUNCTION("""COMPUTED_VALUE"""),0.333333333333333)</f>
        <v>0.33333333333333298</v>
      </c>
      <c r="K605" s="25">
        <f ca="1">IFERROR(__xludf.DUMMYFUNCTION("""COMPUTED_VALUE"""),0.388888888888888)</f>
        <v>0.38888888888888801</v>
      </c>
      <c r="L605" s="25">
        <f ca="1">IFERROR(__xludf.DUMMYFUNCTION("""COMPUTED_VALUE"""),0.363636363636363)</f>
        <v>0.36363636363636298</v>
      </c>
      <c r="M605" s="25">
        <f ca="1">IFERROR(__xludf.DUMMYFUNCTION("""COMPUTED_VALUE"""),0.625)</f>
        <v>0.625</v>
      </c>
      <c r="N605" s="25">
        <f ca="1">IFERROR(__xludf.DUMMYFUNCTION("""COMPUTED_VALUE"""),0.272727272727272)</f>
        <v>0.27272727272727199</v>
      </c>
      <c r="O605" s="25">
        <f ca="1">IFERROR(__xludf.DUMMYFUNCTION("""COMPUTED_VALUE"""),0.5)</f>
        <v>0.5</v>
      </c>
      <c r="P605" s="25">
        <f ca="1">IFERROR(__xludf.DUMMYFUNCTION("""COMPUTED_VALUE"""),0.166666666666666)</f>
        <v>0.16666666666666599</v>
      </c>
      <c r="Q605" s="25">
        <f ca="1">IFERROR(__xludf.DUMMYFUNCTION("""COMPUTED_VALUE"""),0)</f>
        <v>0</v>
      </c>
      <c r="R605" s="25">
        <f ca="1">IFERROR(__xludf.DUMMYFUNCTION("""COMPUTED_VALUE"""),0.333333333333333)</f>
        <v>0.33333333333333298</v>
      </c>
      <c r="S605" s="25">
        <f ca="1">IFERROR(__xludf.DUMMYFUNCTION("""COMPUTED_VALUE"""),0)</f>
        <v>0</v>
      </c>
      <c r="T605" s="25">
        <f ca="1">IFERROR(__xludf.DUMMYFUNCTION("""COMPUTED_VALUE"""),0.181818181818181)</f>
        <v>0.18181818181818099</v>
      </c>
      <c r="U605" s="25">
        <f ca="1">IFERROR(__xludf.DUMMYFUNCTION("""COMPUTED_VALUE"""),0.428571428571428)</f>
        <v>0.42857142857142799</v>
      </c>
      <c r="V605" s="25">
        <f ca="1">IFERROR(__xludf.DUMMYFUNCTION("""COMPUTED_VALUE"""),0)</f>
        <v>0</v>
      </c>
      <c r="W605" s="4"/>
      <c r="X605" s="4" t="str">
        <f ca="1">IFERROR(__xludf.DUMMYFUNCTION("""COMPUTED_VALUE"""),"| 1 L PHP-CGM % | 6 L JAVA % | 3 P PHP-CGM @ ")</f>
        <v xml:space="preserve">| 1 L PHP-CGM % | 6 L JAVA % | 3 P PHP-CGM @ </v>
      </c>
      <c r="Y605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Z605" s="4" t="str">
        <f ca="1">IFERROR(__xludf.DUMMYFUNCTION("""COMPUTED_VALUE"""),"| 5 L CPT % | 6 L PHP-CGM % | 7 P Python % | 9 P CPT @ ")</f>
        <v xml:space="preserve">| 5 L CPT % | 6 L PHP-CGM % | 7 P Python % | 9 P CPT @ </v>
      </c>
      <c r="AA605" s="4" t="str">
        <f ca="1">IFERROR(__xludf.DUMMYFUNCTION("""COMPUTED_VALUE"""),"| 5 L NS @ | 6 L CPT @ | 7 P PRO @ | 9 P JAVA @ ")</f>
        <v xml:space="preserve">| 5 L NS @ | 6 L CPT @ | 7 P PRO @ | 9 P JAVA @ </v>
      </c>
      <c r="AB605" s="4" t="str">
        <f ca="1">IFERROR(__xludf.DUMMYFUNCTION("""COMPUTED_VALUE"""),"| 5 L NS @ | 6 L JAVA @ | 7 P JAVA @ | 9 P Python @ ")</f>
        <v xml:space="preserve">| 5 L NS @ | 6 L JAVA @ | 7 P JAVA @ | 9 P Python @ </v>
      </c>
      <c r="AC605" s="4" t="str">
        <f ca="1">IFERROR(__xludf.DUMMYFUNCTION("""COMPUTED_VALUE"""),"| 1 L PHP-CGM % | 6 L JAVA % | 3 P PHP-CGM % ")</f>
        <v xml:space="preserve">| 1 L PHP-CGM % | 6 L JAVA % | 3 P PHP-CGM % </v>
      </c>
      <c r="AD605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E605" s="4" t="str">
        <f ca="1">IFERROR(__xludf.DUMMYFUNCTION("""COMPUTED_VALUE"""),"| 5 L CPT % | 6 L PHP-CGM % | 7 P Python % | 9 P CPT @ ")</f>
        <v xml:space="preserve">| 5 L CPT % | 6 L PHP-CGM % | 7 P Python % | 9 P CPT @ </v>
      </c>
      <c r="AF605" s="4" t="str">
        <f ca="1">IFERROR(__xludf.DUMMYFUNCTION("""COMPUTED_VALUE"""),"| 5 L NS @ | 6 L CPT @ | 7 P PRO @ | 9 P JAVA @ ")</f>
        <v xml:space="preserve">| 5 L NS @ | 6 L CPT @ | 7 P PRO @ | 9 P JAVA @ </v>
      </c>
      <c r="AG605" s="4" t="str">
        <f ca="1">IFERROR(__xludf.DUMMYFUNCTION("""COMPUTED_VALUE"""),"| 5 L NS % | 6 L JAVA % | 7 P JAVA % ")</f>
        <v xml:space="preserve">| 5 L NS % | 6 L JAVA % | 7 P JAVA % </v>
      </c>
      <c r="AH605" s="4" t="str">
        <f ca="1">IFERROR(__xludf.DUMMYFUNCTION("""COMPUTED_VALUE"""),"| 5 L NS % | 6 L CPT % | 7 P PRO % | 9 P JAVA @ ")</f>
        <v xml:space="preserve">| 5 L NS % | 6 L CPT % | 7 P PRO % | 9 P JAVA @ </v>
      </c>
      <c r="AI605" s="4" t="str">
        <f ca="1">IFERROR(__xludf.DUMMYFUNCTION("""COMPUTED_VALUE"""),"| 5 L NS % | 6 L JAVA % | 7 P JAVA % | 9 P Python @ ")</f>
        <v xml:space="preserve">| 5 L NS % | 6 L JAVA % | 7 P JAVA % | 9 P Python @ </v>
      </c>
      <c r="AJ605" s="4" t="str">
        <f ca="1">IFERROR(__xludf.DUMMYFUNCTION("""COMPUTED_VALUE"""),"| 1 L PHP-CGM % | 6 L JAVA % | 3 P PHP-CGM @ ")</f>
        <v xml:space="preserve">| 1 L PHP-CGM % | 6 L JAVA % | 3 P PHP-CGM @ </v>
      </c>
      <c r="AK605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L605" s="4" t="str">
        <f ca="1">IFERROR(__xludf.DUMMYFUNCTION("""COMPUTED_VALUE"""),"| 5 L CPT % | 7 P Python @ | 6 L PHP-CGM % | 9 P CPT @ ")</f>
        <v xml:space="preserve">| 5 L CPT % | 7 P Python @ | 6 L PHP-CGM % | 9 P CPT @ </v>
      </c>
      <c r="AM605" s="4" t="str">
        <f ca="1">IFERROR(__xludf.DUMMYFUNCTION("""COMPUTED_VALUE"""),"| 5 L NS @ | 6 L CPT @ | 9 P JAVA @ ")</f>
        <v xml:space="preserve">| 5 L NS @ | 6 L CPT @ | 9 P JAVA @ </v>
      </c>
      <c r="AN605" s="4" t="str">
        <f ca="1">IFERROR(__xludf.DUMMYFUNCTION("""COMPUTED_VALUE"""),"| 5 L NS @ | 6 L JAVA @ ")</f>
        <v xml:space="preserve">| 5 L NS @ | 6 L JAVA @ </v>
      </c>
      <c r="AO605" s="4" t="str">
        <f ca="1">IFERROR(__xludf.DUMMYFUNCTION("""COMPUTED_VALUE"""),"| 1 L PHP-CGM % | 6 L JAVA % | 3 P PHP-CGM @ | 9 L INE @ ")</f>
        <v xml:space="preserve">| 1 L PHP-CGM % | 6 L JAVA % | 3 P PHP-CGM @ | 9 L INE @ </v>
      </c>
      <c r="AP605" s="4" t="str">
        <f ca="1">IFERROR(__xludf.DUMMYFUNCTION("""COMPUTED_VALUE"""),"| 5 L JAVA % | 6 L NS % | 7 P NS @ | 9 L CPT % | 6 L PHP-CGM % ")</f>
        <v xml:space="preserve">| 5 L JAVA % | 6 L NS % | 7 P NS @ | 9 L CPT % | 6 L PHP-CGM % </v>
      </c>
      <c r="AQ605" s="4" t="str">
        <f ca="1">IFERROR(__xludf.DUMMYFUNCTION("""COMPUTED_VALUE"""),"| 5 L CPT % | 6 L PHP-CGM % | 9 P CPT @ ")</f>
        <v xml:space="preserve">| 5 L CPT % | 6 L PHP-CGM % | 9 P CPT @ </v>
      </c>
      <c r="AR605" s="4" t="str">
        <f ca="1">IFERROR(__xludf.DUMMYFUNCTION("""COMPUTED_VALUE"""),"| 5 L NS @ | 6 L CPT @ | 7 P PRO @ ")</f>
        <v xml:space="preserve">| 5 L NS @ | 6 L CPT @ | 7 P PRO @ </v>
      </c>
      <c r="AS605" s="4" t="str">
        <f ca="1">IFERROR(__xludf.DUMMYFUNCTION("""COMPUTED_VALUE"""),"| 1 L PHP-CGM @ | 6 L JAVA @ | 3 P PHP-CGM @ | 9 L INE @ ")</f>
        <v xml:space="preserve">| 1 L PHP-CGM @ | 6 L JAVA @ | 3 P PHP-CGM @ | 9 L INE @ </v>
      </c>
      <c r="AT605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U605" s="4" t="str">
        <f ca="1">IFERROR(__xludf.DUMMYFUNCTION("""COMPUTED_VALUE"""),"| 5 L CPT % | 6 L PHP-CGM % | 7 P Python @ | 9 P CPT @ ")</f>
        <v xml:space="preserve">| 5 L CPT % | 6 L PHP-CGM % | 7 P Python @ | 9 P CPT @ </v>
      </c>
      <c r="AV605" s="4" t="str">
        <f ca="1">IFERROR(__xludf.DUMMYFUNCTION("""COMPUTED_VALUE"""),"| 5 L NS % | 6 L CPT % | 7 P PRO @ | 9 P JAVA @ ")</f>
        <v xml:space="preserve">| 5 L NS % | 6 L CPT % | 7 P PRO @ | 9 P JAVA @ </v>
      </c>
      <c r="AW605" s="4" t="str">
        <f ca="1">IFERROR(__xludf.DUMMYFUNCTION("""COMPUTED_VALUE"""),"| 5 L NS @ | 6 L JAVA @ | 7 P JAVA @ | 9 P Python @ ")</f>
        <v xml:space="preserve">| 5 L NS @ | 6 L JAVA @ | 7 P JAVA @ | 9 P Python @ </v>
      </c>
      <c r="AX605" s="4" t="str">
        <f ca="1">IFERROR(__xludf.DUMMYFUNCTION("""COMPUTED_VALUE"""),"| 1 L PHP-CGM % | 6 L JAVA % | 3 P PHP-CGM @ | 9 L INE % ")</f>
        <v xml:space="preserve">| 1 L PHP-CGM % | 6 L JAVA % | 3 P PHP-CGM @ | 9 L INE % </v>
      </c>
      <c r="AY605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605" s="4" t="str">
        <f ca="1">IFERROR(__xludf.DUMMYFUNCTION("""COMPUTED_VALUE"""),"| 5 L NS @ | 6 L CPT @ | 7 P PRO @ | 9 P JAVA @ ")</f>
        <v xml:space="preserve">| 5 L NS @ | 6 L CPT @ | 7 P PRO @ | 9 P JAVA @ </v>
      </c>
      <c r="BA605" s="4" t="str">
        <f ca="1">IFERROR(__xludf.DUMMYFUNCTION("""COMPUTED_VALUE"""),"| 5 L NS % | 6 L JAVA % | 7 P JAVA @ ")</f>
        <v xml:space="preserve">| 5 L NS % | 6 L JAVA % | 7 P JAVA @ </v>
      </c>
      <c r="BB605" s="4" t="str">
        <f ca="1">IFERROR(__xludf.DUMMYFUNCTION("""COMPUTED_VALUE"""),"| 1 L PHP-CGM % | 6 L JAVA % | 3 P PHP-CGM % | 9 L INE % ")</f>
        <v xml:space="preserve">| 1 L PHP-CGM % | 6 L JAVA % | 3 P PHP-CGM % | 9 L INE % </v>
      </c>
      <c r="BC605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605" s="4" t="str">
        <f ca="1">IFERROR(__xludf.DUMMYFUNCTION("""COMPUTED_VALUE"""),"| 5 L CPT % | 7 P Python % | 6 L PHP-CGM % | 9 P CPT % ")</f>
        <v xml:space="preserve">| 5 L CPT % | 7 P Python % | 6 L PHP-CGM % | 9 P CPT % </v>
      </c>
      <c r="BE605" s="4" t="str">
        <f ca="1">IFERROR(__xludf.DUMMYFUNCTION("""COMPUTED_VALUE"""),"| 5 L NS % | 6 L CPT % | 9 P JAVA % | 7 P PRO % ")</f>
        <v xml:space="preserve">| 5 L NS % | 6 L CPT % | 9 P JAVA % | 7 P PRO % </v>
      </c>
      <c r="BF605" s="4" t="str">
        <f ca="1">IFERROR(__xludf.DUMMYFUNCTION("""COMPUTED_VALUE"""),"| 5 L NS @ | 6 L JAVA @ | 7 P JAVA @ ")</f>
        <v xml:space="preserve">| 5 L NS @ | 6 L JAVA @ | 7 P JAVA @ </v>
      </c>
      <c r="BG605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605" s="4" t="str">
        <f ca="1">IFERROR(__xludf.DUMMYFUNCTION("""COMPUTED_VALUE"""),"| 5 L CPT % | 7 P Python @ | 6 L PHP-CGM % | 9 P CPT % ")</f>
        <v xml:space="preserve">| 5 L CPT % | 7 P Python @ | 6 L PHP-CGM % | 9 P CPT % </v>
      </c>
      <c r="BI605" s="4" t="str">
        <f ca="1">IFERROR(__xludf.DUMMYFUNCTION("""COMPUTED_VALUE"""),"| 5 L NS % | 6 L CPT % | 7 P PRO @ ")</f>
        <v xml:space="preserve">| 5 L NS % | 6 L CPT % | 7 P PRO @ </v>
      </c>
      <c r="BJ605" s="4" t="str">
        <f ca="1">IFERROR(__xludf.DUMMYFUNCTION("""COMPUTED_VALUE"""),"| 5 L NS @ | 6 L JAVA @ | 7 P JAVA @ ")</f>
        <v xml:space="preserve">| 5 L NS @ | 6 L JAVA @ | 7 P JAVA @ </v>
      </c>
      <c r="BK605" s="4" t="str">
        <f ca="1">IFERROR(__xludf.DUMMYFUNCTION("""COMPUTED_VALUE"""),"| 1 L PHP-CGM @ | 6 L JAVA @ | 3 P PHP-CGM @ | 9 L INE @ ")</f>
        <v xml:space="preserve">| 1 L PHP-CGM @ | 6 L JAVA @ | 3 P PHP-CGM @ | 9 L INE @ </v>
      </c>
      <c r="BL605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M605" s="4" t="str">
        <f ca="1">IFERROR(__xludf.DUMMYFUNCTION("""COMPUTED_VALUE"""),"| 5 L CPT @ | 6 L PHP-CGM @ ")</f>
        <v xml:space="preserve">| 5 L CPT @ | 6 L PHP-CGM @ </v>
      </c>
      <c r="BN605" s="4" t="str">
        <f ca="1">IFERROR(__xludf.DUMMYFUNCTION("""COMPUTED_VALUE"""),"| 5 L NS @ | 6 L CPT @ | 7 P PRO @ ")</f>
        <v xml:space="preserve">| 5 L NS @ | 6 L CPT @ | 7 P PRO @ </v>
      </c>
      <c r="BO605" s="4" t="str">
        <f ca="1">IFERROR(__xludf.DUMMYFUNCTION("""COMPUTED_VALUE"""),"| 5 L NS @ | 6 L JAVA @ | 7 P JAVA @ ")</f>
        <v xml:space="preserve">| 5 L NS @ | 6 L JAVA @ | 7 P JAVA @ </v>
      </c>
      <c r="BP605" s="4" t="str">
        <f ca="1">IFERROR(__xludf.DUMMYFUNCTION("""COMPUTED_VALUE"""),"| 1 L PHP-CGM @ | 6 L JAVA @ | 3 P PHP-CGM @ | 9 L INE @ ")</f>
        <v xml:space="preserve">| 1 L PHP-CGM @ | 6 L JAVA @ | 3 P PHP-CGM @ | 9 L INE @ </v>
      </c>
      <c r="BQ605" s="4" t="str">
        <f ca="1">IFERROR(__xludf.DUMMYFUNCTION("""COMPUTED_VALUE"""),"| 5 L CPT @ ")</f>
        <v xml:space="preserve">| 5 L CPT @ </v>
      </c>
      <c r="BR605" s="4"/>
      <c r="BS605" s="4" t="str">
        <f ca="1">IFERROR(__xludf.DUMMYFUNCTION("""COMPUTED_VALUE"""),"| 6 L CPT @ ")</f>
        <v xml:space="preserve">| 6 L CPT @ </v>
      </c>
      <c r="BT605" s="4"/>
      <c r="BU605" s="4"/>
      <c r="BV605" s="4" t="str">
        <f ca="1">IFERROR(__xludf.DUMMYFUNCTION("""COMPUTED_VALUE"""),"| 5 L PHP-CGM @ | 6 L JAVA @ ")</f>
        <v xml:space="preserve">| 5 L PHP-CGM @ | 6 L JAVA @ </v>
      </c>
      <c r="BW605" s="4"/>
      <c r="BX605" s="4" t="str">
        <f ca="1">IFERROR(__xludf.DUMMYFUNCTION("""COMPUTED_VALUE"""),"| 5 L CPT @ | 6 L PHP-CGM @ ")</f>
        <v xml:space="preserve">| 5 L CPT @ | 6 L PHP-CGM @ </v>
      </c>
      <c r="BY605" s="4" t="str">
        <f ca="1">IFERROR(__xludf.DUMMYFUNCTION("""COMPUTED_VALUE"""),"| 5 L NS @ | 6 L CPT @ | 7 P PRO @ | 9 P JAVA @ ")</f>
        <v xml:space="preserve">| 5 L NS @ | 6 L CPT @ | 7 P PRO @ | 9 P JAVA @ </v>
      </c>
      <c r="BZ605" s="4" t="str">
        <f ca="1">IFERROR(__xludf.DUMMYFUNCTION("""COMPUTED_VALUE"""),"| 5 L NS @ | 6 L JAVA @ | 7 P JAVA @ | 9 P Python @ ")</f>
        <v xml:space="preserve">| 5 L NS @ | 6 L JAVA @ | 7 P JAVA @ | 9 P Python @ </v>
      </c>
      <c r="CA605" s="4" t="str">
        <f ca="1">IFERROR(__xludf.DUMMYFUNCTION("""COMPUTED_VALUE"""),"| 1 L PHP-CGM % | 6 L JAVA % | 3 P PHP-CGM @ ")</f>
        <v xml:space="preserve">| 1 L PHP-CGM % | 6 L JAVA % | 3 P PHP-CGM @ </v>
      </c>
      <c r="CB605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CC605" s="4" t="str">
        <f ca="1">IFERROR(__xludf.DUMMYFUNCTION("""COMPUTED_VALUE"""),"| 5 L CPT @ | 6 L PHP-CGM @ | 7 P Python @ | 9 P CPT @ ")</f>
        <v xml:space="preserve">| 5 L CPT @ | 6 L PHP-CGM @ | 7 P Python @ | 9 P CPT @ </v>
      </c>
      <c r="CD605" s="4" t="str">
        <f ca="1">IFERROR(__xludf.DUMMYFUNCTION("""COMPUTED_VALUE"""),"| 5 L NS @ | 6 L CPT @ | 7 P PRO @ ")</f>
        <v xml:space="preserve">| 5 L NS @ | 6 L CPT @ | 7 P PRO @ </v>
      </c>
      <c r="CE605" s="4" t="str">
        <f ca="1">IFERROR(__xludf.DUMMYFUNCTION("""COMPUTED_VALUE"""),"| 5 L NS @ | 6 L JAVA @ | 7 P JAVA @ ")</f>
        <v xml:space="preserve">| 5 L NS @ | 6 L JAVA @ | 7 P JAVA @ </v>
      </c>
      <c r="CF605" s="4" t="str">
        <f ca="1">IFERROR(__xludf.DUMMYFUNCTION("""COMPUTED_VALUE"""),"| 5 L PHP-CGM % | 6 L JAVA @ | 7 P PHP-CGM % | 9 L INE % ")</f>
        <v xml:space="preserve">| 5 L PHP-CGM % | 6 L JAVA @ | 7 P PHP-CGM % | 9 L INE % </v>
      </c>
      <c r="CG605" s="4" t="str">
        <f ca="1">IFERROR(__xludf.DUMMYFUNCTION("""COMPUTED_VALUE"""),"| 5 L JAVA @ | 6 L NS @ | 7 P NS % ")</f>
        <v xml:space="preserve">| 5 L JAVA @ | 6 L NS @ | 7 P NS % </v>
      </c>
      <c r="CH605" s="4" t="str">
        <f ca="1">IFERROR(__xludf.DUMMYFUNCTION("""COMPUTED_VALUE"""),"| 5 L CPT @ | 7 P Python % | 9 P CPT % ")</f>
        <v xml:space="preserve">| 5 L CPT @ | 7 P Python % | 9 P CPT % </v>
      </c>
      <c r="CI605" s="4" t="str">
        <f ca="1">IFERROR(__xludf.DUMMYFUNCTION("""COMPUTED_VALUE"""),"| 5 L NS @ | 6 L CPT @ ")</f>
        <v xml:space="preserve">| 5 L NS @ | 6 L CPT @ </v>
      </c>
      <c r="CJ605" s="4" t="str">
        <f ca="1">IFERROR(__xludf.DUMMYFUNCTION("""COMPUTED_VALUE"""),"| 5 L NS @ ")</f>
        <v xml:space="preserve">| 5 L NS @ </v>
      </c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</row>
    <row r="606" spans="1:102" ht="12.5" x14ac:dyDescent="0.25">
      <c r="A606" s="3">
        <f ca="1">IFERROR(__xludf.DUMMYFUNCTION("""COMPUTED_VALUE"""),2)</f>
        <v>2</v>
      </c>
      <c r="B606" s="3" t="str">
        <f ca="1">IFERROR(__xludf.DUMMYFUNCTION("""COMPUTED_VALUE"""),"ITD")</f>
        <v>ITD</v>
      </c>
      <c r="C606" s="32" t="str">
        <f ca="1">IFERROR(__xludf.DUMMYFUNCTION("""COMPUTED_VALUE"""),"23171371085")</f>
        <v>23171371085</v>
      </c>
      <c r="D606" s="4" t="str">
        <f ca="1">IFERROR(__xludf.DUMMYFUNCTION("""COMPUTED_VALUE"""),"PATEL HETKUMAR SHAILESHKUMAR")</f>
        <v>PATEL HETKUMAR SHAILESHKUMAR</v>
      </c>
      <c r="E606" s="3" t="str">
        <f ca="1">IFERROR(__xludf.DUMMYFUNCTION("""COMPUTED_VALUE"""),"SRC - Eve")</f>
        <v>SRC - Eve</v>
      </c>
      <c r="F606" s="3">
        <f ca="1">IFERROR(__xludf.DUMMYFUNCTION("""COMPUTED_VALUE"""),9428903416)</f>
        <v>9428903416</v>
      </c>
      <c r="G606" s="3">
        <f ca="1">IFERROR(__xludf.DUMMYFUNCTION("""COMPUTED_VALUE"""),9428903416)</f>
        <v>9428903416</v>
      </c>
      <c r="H606" s="33">
        <f ca="1">IFERROR(__xludf.DUMMYFUNCTION("""COMPUTED_VALUE"""),0.677419354838709)</f>
        <v>0.67741935483870896</v>
      </c>
      <c r="I606" s="25">
        <f ca="1">IFERROR(__xludf.DUMMYFUNCTION("""COMPUTED_VALUE"""),0.666666666666666)</f>
        <v>0.66666666666666596</v>
      </c>
      <c r="J606" s="25">
        <f ca="1">IFERROR(__xludf.DUMMYFUNCTION("""COMPUTED_VALUE"""),0.666666666666666)</f>
        <v>0.66666666666666596</v>
      </c>
      <c r="K606" s="25">
        <f ca="1">IFERROR(__xludf.DUMMYFUNCTION("""COMPUTED_VALUE"""),0.666666666666666)</f>
        <v>0.66666666666666596</v>
      </c>
      <c r="L606" s="25">
        <f ca="1">IFERROR(__xludf.DUMMYFUNCTION("""COMPUTED_VALUE"""),0.818181818181818)</f>
        <v>0.81818181818181801</v>
      </c>
      <c r="M606" s="25">
        <f ca="1">IFERROR(__xludf.DUMMYFUNCTION("""COMPUTED_VALUE"""),0.71875)</f>
        <v>0.71875</v>
      </c>
      <c r="N606" s="25">
        <f ca="1">IFERROR(__xludf.DUMMYFUNCTION("""COMPUTED_VALUE"""),0.727272727272727)</f>
        <v>0.72727272727272696</v>
      </c>
      <c r="O606" s="25">
        <f ca="1">IFERROR(__xludf.DUMMYFUNCTION("""COMPUTED_VALUE"""),0.676470588235294)</f>
        <v>0.67647058823529405</v>
      </c>
      <c r="P606" s="25">
        <f ca="1">IFERROR(__xludf.DUMMYFUNCTION("""COMPUTED_VALUE"""),0.611111111111111)</f>
        <v>0.61111111111111105</v>
      </c>
      <c r="Q606" s="25">
        <f ca="1">IFERROR(__xludf.DUMMYFUNCTION("""COMPUTED_VALUE"""),0)</f>
        <v>0</v>
      </c>
      <c r="R606" s="25">
        <f ca="1">IFERROR(__xludf.DUMMYFUNCTION("""COMPUTED_VALUE"""),0.75)</f>
        <v>0.75</v>
      </c>
      <c r="S606" s="25">
        <f ca="1">IFERROR(__xludf.DUMMYFUNCTION("""COMPUTED_VALUE"""),0)</f>
        <v>0</v>
      </c>
      <c r="T606" s="25">
        <f ca="1">IFERROR(__xludf.DUMMYFUNCTION("""COMPUTED_VALUE"""),0.545454545454545)</f>
        <v>0.54545454545454497</v>
      </c>
      <c r="U606" s="25">
        <f ca="1">IFERROR(__xludf.DUMMYFUNCTION("""COMPUTED_VALUE"""),0.571428571428571)</f>
        <v>0.57142857142857095</v>
      </c>
      <c r="V606" s="25">
        <f ca="1">IFERROR(__xludf.DUMMYFUNCTION("""COMPUTED_VALUE"""),0)</f>
        <v>0</v>
      </c>
      <c r="W606" s="4"/>
      <c r="X606" s="4" t="str">
        <f ca="1">IFERROR(__xludf.DUMMYFUNCTION("""COMPUTED_VALUE"""),"| 1 L PHP-CGM % | 6 L JAVA % | 3 P PHP-CGM % ")</f>
        <v xml:space="preserve">| 1 L PHP-CGM % | 6 L JAVA % | 3 P PHP-CGM % </v>
      </c>
      <c r="Y606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Z606" s="4" t="str">
        <f ca="1">IFERROR(__xludf.DUMMYFUNCTION("""COMPUTED_VALUE"""),"| 5 L CPT % | 6 L PHP-CGM % | 7 P Python % | 9 P CPT % ")</f>
        <v xml:space="preserve">| 5 L CPT % | 6 L PHP-CGM % | 7 P Python % | 9 P CPT % </v>
      </c>
      <c r="AA606" s="4" t="str">
        <f ca="1">IFERROR(__xludf.DUMMYFUNCTION("""COMPUTED_VALUE"""),"| 5 L NS % | 6 L CPT % | 7 P PRO % | 9 P JAVA % ")</f>
        <v xml:space="preserve">| 5 L NS % | 6 L CPT % | 7 P PRO % | 9 P JAVA % </v>
      </c>
      <c r="AB606" s="4" t="str">
        <f ca="1">IFERROR(__xludf.DUMMYFUNCTION("""COMPUTED_VALUE"""),"| 5 L NS @ | 6 L JAVA @ | 7 P JAVA @ | 9 P Python @ ")</f>
        <v xml:space="preserve">| 5 L NS @ | 6 L JAVA @ | 7 P JAVA @ | 9 P Python @ </v>
      </c>
      <c r="AC606" s="4" t="str">
        <f ca="1">IFERROR(__xludf.DUMMYFUNCTION("""COMPUTED_VALUE"""),"| 1 L PHP-CGM % | 6 L JAVA % | 3 P PHP-CGM % ")</f>
        <v xml:space="preserve">| 1 L PHP-CGM % | 6 L JAVA % | 3 P PHP-CGM % </v>
      </c>
      <c r="AD606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606" s="4" t="str">
        <f ca="1">IFERROR(__xludf.DUMMYFUNCTION("""COMPUTED_VALUE"""),"| 5 L CPT % | 6 L PHP-CGM % | 7 P Python % | 9 P CPT % ")</f>
        <v xml:space="preserve">| 5 L CPT % | 6 L PHP-CGM % | 7 P Python % | 9 P CPT % </v>
      </c>
      <c r="AF606" s="4" t="str">
        <f ca="1">IFERROR(__xludf.DUMMYFUNCTION("""COMPUTED_VALUE"""),"| 5 L NS % | 6 L CPT % | 7 P PRO % | 9 P JAVA % ")</f>
        <v xml:space="preserve">| 5 L NS % | 6 L CPT % | 7 P PRO % | 9 P JAVA % </v>
      </c>
      <c r="AG606" s="4" t="str">
        <f ca="1">IFERROR(__xludf.DUMMYFUNCTION("""COMPUTED_VALUE"""),"| 5 L NS % | 6 L JAVA % | 7 P JAVA @ ")</f>
        <v xml:space="preserve">| 5 L NS % | 6 L JAVA % | 7 P JAVA @ </v>
      </c>
      <c r="AH606" s="4" t="str">
        <f ca="1">IFERROR(__xludf.DUMMYFUNCTION("""COMPUTED_VALUE"""),"| 5 L NS % | 6 L CPT % | 7 P PRO % | 9 P JAVA % ")</f>
        <v xml:space="preserve">| 5 L NS % | 6 L CPT % | 7 P PRO % | 9 P JAVA % </v>
      </c>
      <c r="AI606" s="4" t="str">
        <f ca="1">IFERROR(__xludf.DUMMYFUNCTION("""COMPUTED_VALUE"""),"| 5 L NS % | 6 L JAVA % | 7 P JAVA % | 9 P Python % ")</f>
        <v xml:space="preserve">| 5 L NS % | 6 L JAVA % | 7 P JAVA % | 9 P Python % </v>
      </c>
      <c r="AJ606" s="4" t="str">
        <f ca="1">IFERROR(__xludf.DUMMYFUNCTION("""COMPUTED_VALUE"""),"| 1 L PHP-CGM % | 6 L JAVA % | 3 P PHP-CGM % ")</f>
        <v xml:space="preserve">| 1 L PHP-CGM % | 6 L JAVA % | 3 P PHP-CGM % </v>
      </c>
      <c r="AK606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606" s="4" t="str">
        <f ca="1">IFERROR(__xludf.DUMMYFUNCTION("""COMPUTED_VALUE"""),"| 5 L CPT % | 7 P Python % | 6 L PHP-CGM % | 9 P CPT % ")</f>
        <v xml:space="preserve">| 5 L CPT % | 7 P Python % | 6 L PHP-CGM % | 9 P CPT % </v>
      </c>
      <c r="AM606" s="4" t="str">
        <f ca="1">IFERROR(__xludf.DUMMYFUNCTION("""COMPUTED_VALUE"""),"| 5 L NS % | 6 L CPT % | 9 P JAVA % ")</f>
        <v xml:space="preserve">| 5 L NS % | 6 L CPT % | 9 P JAVA % </v>
      </c>
      <c r="AN606" s="4" t="str">
        <f ca="1">IFERROR(__xludf.DUMMYFUNCTION("""COMPUTED_VALUE"""),"| 5 L NS @ | 6 L JAVA @ ")</f>
        <v xml:space="preserve">| 5 L NS @ | 6 L JAVA @ </v>
      </c>
      <c r="AO606" s="4" t="str">
        <f ca="1">IFERROR(__xludf.DUMMYFUNCTION("""COMPUTED_VALUE"""),"| 1 L PHP-CGM @ | 6 L JAVA @ | 3 P PHP-CGM @ | 9 L INE @ ")</f>
        <v xml:space="preserve">| 1 L PHP-CGM @ | 6 L JAVA @ | 3 P PHP-CGM @ | 9 L INE @ </v>
      </c>
      <c r="AP606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AQ606" s="4" t="str">
        <f ca="1">IFERROR(__xludf.DUMMYFUNCTION("""COMPUTED_VALUE"""),"| 5 L CPT % | 6 L PHP-CGM % | 9 P CPT @ ")</f>
        <v xml:space="preserve">| 5 L CPT % | 6 L PHP-CGM % | 9 P CPT @ </v>
      </c>
      <c r="AR606" s="4" t="str">
        <f ca="1">IFERROR(__xludf.DUMMYFUNCTION("""COMPUTED_VALUE"""),"| 5 L NS @ | 6 L CPT @ | 7 P PRO @ ")</f>
        <v xml:space="preserve">| 5 L NS @ | 6 L CPT @ | 7 P PRO @ </v>
      </c>
      <c r="AS606" s="4" t="str">
        <f ca="1">IFERROR(__xludf.DUMMYFUNCTION("""COMPUTED_VALUE"""),"| 1 L PHP-CGM % | 6 L JAVA % | 3 P PHP-CGM % | 9 L INE % ")</f>
        <v xml:space="preserve">| 1 L PHP-CGM % | 6 L JAVA % | 3 P PHP-CGM % | 9 L INE % </v>
      </c>
      <c r="AT606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U606" s="4" t="str">
        <f ca="1">IFERROR(__xludf.DUMMYFUNCTION("""COMPUTED_VALUE"""),"| 5 L CPT % | 6 L PHP-CGM % | 7 P Python % | 9 P CPT % ")</f>
        <v xml:space="preserve">| 5 L CPT % | 6 L PHP-CGM % | 7 P Python % | 9 P CPT % </v>
      </c>
      <c r="AV606" s="4" t="str">
        <f ca="1">IFERROR(__xludf.DUMMYFUNCTION("""COMPUTED_VALUE"""),"| 5 L NS % | 6 L CPT % | 7 P PRO % | 9 P JAVA % ")</f>
        <v xml:space="preserve">| 5 L NS % | 6 L CPT % | 7 P PRO % | 9 P JAVA % </v>
      </c>
      <c r="AW606" s="4" t="str">
        <f ca="1">IFERROR(__xludf.DUMMYFUNCTION("""COMPUTED_VALUE"""),"| 5 L NS % | 6 L JAVA % | 7 P JAVA % | 9 P Python % ")</f>
        <v xml:space="preserve">| 5 L NS % | 6 L JAVA % | 7 P JAVA % | 9 P Python % </v>
      </c>
      <c r="AX606" s="4" t="str">
        <f ca="1">IFERROR(__xludf.DUMMYFUNCTION("""COMPUTED_VALUE"""),"| 1 L PHP-CGM % | 6 L JAVA % | 3 P PHP-CGM % | 9 L INE % ")</f>
        <v xml:space="preserve">| 1 L PHP-CGM % | 6 L JAVA % | 3 P PHP-CGM % | 9 L INE % </v>
      </c>
      <c r="AY606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606" s="4" t="str">
        <f ca="1">IFERROR(__xludf.DUMMYFUNCTION("""COMPUTED_VALUE"""),"| 5 L NS % | 6 L CPT @ | 7 P PRO % | 9 P JAVA @ ")</f>
        <v xml:space="preserve">| 5 L NS % | 6 L CPT @ | 7 P PRO % | 9 P JAVA @ </v>
      </c>
      <c r="BA606" s="4" t="str">
        <f ca="1">IFERROR(__xludf.DUMMYFUNCTION("""COMPUTED_VALUE"""),"| 5 L NS % | 6 L JAVA % | 7 P JAVA % ")</f>
        <v xml:space="preserve">| 5 L NS % | 6 L JAVA % | 7 P JAVA % </v>
      </c>
      <c r="BB606" s="4" t="str">
        <f ca="1">IFERROR(__xludf.DUMMYFUNCTION("""COMPUTED_VALUE"""),"| 1 L PHP-CGM % | 6 L JAVA % | 3 P PHP-CGM % | 9 L INE % ")</f>
        <v xml:space="preserve">| 1 L PHP-CGM % | 6 L JAVA % | 3 P PHP-CGM % | 9 L INE % </v>
      </c>
      <c r="BC606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606" s="4" t="str">
        <f ca="1">IFERROR(__xludf.DUMMYFUNCTION("""COMPUTED_VALUE"""),"| 5 L CPT % | 7 P Python % | 6 L PHP-CGM % | 9 P CPT % ")</f>
        <v xml:space="preserve">| 5 L CPT % | 7 P Python % | 6 L PHP-CGM % | 9 P CPT % </v>
      </c>
      <c r="BE606" s="4" t="str">
        <f ca="1">IFERROR(__xludf.DUMMYFUNCTION("""COMPUTED_VALUE"""),"| 5 L NS % | 6 L CPT % | 9 P JAVA % | 7 P PRO % ")</f>
        <v xml:space="preserve">| 5 L NS % | 6 L CPT % | 9 P JAVA % | 7 P PRO % </v>
      </c>
      <c r="BF606" s="4" t="str">
        <f ca="1">IFERROR(__xludf.DUMMYFUNCTION("""COMPUTED_VALUE"""),"| 5 L NS @ | 6 L JAVA @ | 7 P JAVA % ")</f>
        <v xml:space="preserve">| 5 L NS @ | 6 L JAVA @ | 7 P JAVA % </v>
      </c>
      <c r="BG606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BH606" s="4" t="str">
        <f ca="1">IFERROR(__xludf.DUMMYFUNCTION("""COMPUTED_VALUE"""),"| 5 L CPT % | 7 P Python % | 6 L PHP-CGM % | 9 P CPT @ ")</f>
        <v xml:space="preserve">| 5 L CPT % | 7 P Python % | 6 L PHP-CGM % | 9 P CPT @ </v>
      </c>
      <c r="BI606" s="4" t="str">
        <f ca="1">IFERROR(__xludf.DUMMYFUNCTION("""COMPUTED_VALUE"""),"| 5 L NS % | 6 L CPT % | 7 P PRO @ ")</f>
        <v xml:space="preserve">| 5 L NS % | 6 L CPT % | 7 P PRO @ </v>
      </c>
      <c r="BJ606" s="4" t="str">
        <f ca="1">IFERROR(__xludf.DUMMYFUNCTION("""COMPUTED_VALUE"""),"| 5 L NS % | 6 L JAVA % | 7 P JAVA @ ")</f>
        <v xml:space="preserve">| 5 L NS % | 6 L JAVA % | 7 P JAVA @ </v>
      </c>
      <c r="BK606" s="4" t="str">
        <f ca="1">IFERROR(__xludf.DUMMYFUNCTION("""COMPUTED_VALUE"""),"| 1 L PHP-CGM @ | 6 L JAVA @ | 3 P PHP-CGM @ | 9 L INE @ ")</f>
        <v xml:space="preserve">| 1 L PHP-CGM @ | 6 L JAVA @ | 3 P PHP-CGM @ | 9 L INE @ </v>
      </c>
      <c r="BL606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M606" s="4" t="str">
        <f ca="1">IFERROR(__xludf.DUMMYFUNCTION("""COMPUTED_VALUE"""),"| 5 L CPT @ | 6 L PHP-CGM @ ")</f>
        <v xml:space="preserve">| 5 L CPT @ | 6 L PHP-CGM @ </v>
      </c>
      <c r="BN606" s="4" t="str">
        <f ca="1">IFERROR(__xludf.DUMMYFUNCTION("""COMPUTED_VALUE"""),"| 5 L NS @ | 6 L CPT @ | 7 P PRO @ ")</f>
        <v xml:space="preserve">| 5 L NS @ | 6 L CPT @ | 7 P PRO @ </v>
      </c>
      <c r="BO606" s="4" t="str">
        <f ca="1">IFERROR(__xludf.DUMMYFUNCTION("""COMPUTED_VALUE"""),"| 5 L NS @ | 6 L JAVA @ | 7 P JAVA @ ")</f>
        <v xml:space="preserve">| 5 L NS @ | 6 L JAVA @ | 7 P JAVA @ </v>
      </c>
      <c r="BP606" s="4" t="str">
        <f ca="1">IFERROR(__xludf.DUMMYFUNCTION("""COMPUTED_VALUE"""),"| 1 L PHP-CGM @ | 6 L JAVA @ | 3 P PHP-CGM @ | 9 L INE @ ")</f>
        <v xml:space="preserve">| 1 L PHP-CGM @ | 6 L JAVA @ | 3 P PHP-CGM @ | 9 L INE @ </v>
      </c>
      <c r="BQ606" s="4" t="str">
        <f ca="1">IFERROR(__xludf.DUMMYFUNCTION("""COMPUTED_VALUE"""),"| 5 L CPT @ ")</f>
        <v xml:space="preserve">| 5 L CPT @ </v>
      </c>
      <c r="BR606" s="4"/>
      <c r="BS606" s="4" t="str">
        <f ca="1">IFERROR(__xludf.DUMMYFUNCTION("""COMPUTED_VALUE"""),"| 6 L CPT @ ")</f>
        <v xml:space="preserve">| 6 L CPT @ </v>
      </c>
      <c r="BT606" s="4"/>
      <c r="BU606" s="4"/>
      <c r="BV606" s="4" t="str">
        <f ca="1">IFERROR(__xludf.DUMMYFUNCTION("""COMPUTED_VALUE"""),"| 5 L PHP-CGM % | 6 L JAVA % ")</f>
        <v xml:space="preserve">| 5 L PHP-CGM % | 6 L JAVA % </v>
      </c>
      <c r="BW606" s="4"/>
      <c r="BX606" s="4" t="str">
        <f ca="1">IFERROR(__xludf.DUMMYFUNCTION("""COMPUTED_VALUE"""),"| 5 L CPT % | 6 L PHP-CGM % ")</f>
        <v xml:space="preserve">| 5 L CPT % | 6 L PHP-CGM % </v>
      </c>
      <c r="BY606" s="4" t="str">
        <f ca="1">IFERROR(__xludf.DUMMYFUNCTION("""COMPUTED_VALUE"""),"| 5 L NS % | 6 L CPT % | 7 P PRO @ | 9 P JAVA @ ")</f>
        <v xml:space="preserve">| 5 L NS % | 6 L CPT % | 7 P PRO @ | 9 P JAVA @ </v>
      </c>
      <c r="BZ606" s="4" t="str">
        <f ca="1">IFERROR(__xludf.DUMMYFUNCTION("""COMPUTED_VALUE"""),"| 5 L NS % | 6 L JAVA % | 7 P JAVA @ | 9 P Python @ ")</f>
        <v xml:space="preserve">| 5 L NS % | 6 L JAVA % | 7 P JAVA @ | 9 P Python @ </v>
      </c>
      <c r="CA606" s="4" t="str">
        <f ca="1">IFERROR(__xludf.DUMMYFUNCTION("""COMPUTED_VALUE"""),"| 1 L PHP-CGM % | 6 L JAVA % | 3 P PHP-CGM % ")</f>
        <v xml:space="preserve">| 1 L PHP-CGM % | 6 L JAVA % | 3 P PHP-CGM % </v>
      </c>
      <c r="CB606" s="4" t="str">
        <f ca="1">IFERROR(__xludf.DUMMYFUNCTION("""COMPUTED_VALUE"""),"| 5 L JAVA % | 6 L NS % | 7 P NS % | 9 L CPT @ | 10 L PHP-CGM @ ")</f>
        <v xml:space="preserve">| 5 L JAVA % | 6 L NS % | 7 P NS % | 9 L CPT @ | 10 L PHP-CGM @ </v>
      </c>
      <c r="CC606" s="4" t="str">
        <f ca="1">IFERROR(__xludf.DUMMYFUNCTION("""COMPUTED_VALUE"""),"| 5 L CPT % | 6 L PHP-CGM @ | 7 P Python @ | 9 P CPT @ ")</f>
        <v xml:space="preserve">| 5 L CPT % | 6 L PHP-CGM @ | 7 P Python @ | 9 P CPT @ </v>
      </c>
      <c r="CD606" s="4" t="str">
        <f ca="1">IFERROR(__xludf.DUMMYFUNCTION("""COMPUTED_VALUE"""),"| 5 L NS % | 6 L CPT @ | 7 P PRO @ ")</f>
        <v xml:space="preserve">| 5 L NS % | 6 L CPT @ | 7 P PRO @ </v>
      </c>
      <c r="CE606" s="4" t="str">
        <f ca="1">IFERROR(__xludf.DUMMYFUNCTION("""COMPUTED_VALUE"""),"| 5 L NS @ | 6 L JAVA @ | 7 P JAVA % ")</f>
        <v xml:space="preserve">| 5 L NS @ | 6 L JAVA @ | 7 P JAVA % </v>
      </c>
      <c r="CF606" s="4" t="str">
        <f ca="1">IFERROR(__xludf.DUMMYFUNCTION("""COMPUTED_VALUE"""),"| 5 L PHP-CGM @ | 6 L JAVA @ | 7 P PHP-CGM % | 9 L INE % ")</f>
        <v xml:space="preserve">| 5 L PHP-CGM @ | 6 L JAVA @ | 7 P PHP-CGM % | 9 L INE % </v>
      </c>
      <c r="CG606" s="4" t="str">
        <f ca="1">IFERROR(__xludf.DUMMYFUNCTION("""COMPUTED_VALUE"""),"| 5 L JAVA % | 6 L NS @ | 7 P NS % ")</f>
        <v xml:space="preserve">| 5 L JAVA % | 6 L NS @ | 7 P NS % </v>
      </c>
      <c r="CH606" s="4" t="str">
        <f ca="1">IFERROR(__xludf.DUMMYFUNCTION("""COMPUTED_VALUE"""),"| 5 L CPT @ | 7 P Python % | 9 P CPT % ")</f>
        <v xml:space="preserve">| 5 L CPT @ | 7 P Python % | 9 P CPT % </v>
      </c>
      <c r="CI606" s="4" t="str">
        <f ca="1">IFERROR(__xludf.DUMMYFUNCTION("""COMPUTED_VALUE"""),"| 5 L NS @ | 6 L CPT @ ")</f>
        <v xml:space="preserve">| 5 L NS @ | 6 L CPT @ </v>
      </c>
      <c r="CJ606" s="4" t="str">
        <f ca="1">IFERROR(__xludf.DUMMYFUNCTION("""COMPUTED_VALUE"""),"| 5 L NS @ ")</f>
        <v xml:space="preserve">| 5 L NS @ </v>
      </c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</row>
    <row r="607" spans="1:102" ht="12.5" x14ac:dyDescent="0.25">
      <c r="A607" s="3">
        <f ca="1">IFERROR(__xludf.DUMMYFUNCTION("""COMPUTED_VALUE"""),2)</f>
        <v>2</v>
      </c>
      <c r="B607" s="3" t="str">
        <f ca="1">IFERROR(__xludf.DUMMYFUNCTION("""COMPUTED_VALUE"""),"ITD")</f>
        <v>ITD</v>
      </c>
      <c r="C607" s="32" t="str">
        <f ca="1">IFERROR(__xludf.DUMMYFUNCTION("""COMPUTED_VALUE"""),"23171371086")</f>
        <v>23171371086</v>
      </c>
      <c r="D607" s="4" t="str">
        <f ca="1">IFERROR(__xludf.DUMMYFUNCTION("""COMPUTED_VALUE"""),"PATEL HETUL BHAVESHKUMAR")</f>
        <v>PATEL HETUL BHAVESHKUMAR</v>
      </c>
      <c r="E607" s="3" t="str">
        <f ca="1">IFERROR(__xludf.DUMMYFUNCTION("""COMPUTED_VALUE"""),"SRC - Eve")</f>
        <v>SRC - Eve</v>
      </c>
      <c r="F607" s="3">
        <f ca="1">IFERROR(__xludf.DUMMYFUNCTION("""COMPUTED_VALUE"""),9427289597)</f>
        <v>9427289597</v>
      </c>
      <c r="G607" s="3">
        <f ca="1">IFERROR(__xludf.DUMMYFUNCTION("""COMPUTED_VALUE"""),9898922550)</f>
        <v>9898922550</v>
      </c>
      <c r="H607" s="33">
        <f ca="1">IFERROR(__xludf.DUMMYFUNCTION("""COMPUTED_VALUE"""),0.235023041474654)</f>
        <v>0.235023041474654</v>
      </c>
      <c r="I607" s="25">
        <f ca="1">IFERROR(__xludf.DUMMYFUNCTION("""COMPUTED_VALUE"""),0.222222222222222)</f>
        <v>0.22222222222222199</v>
      </c>
      <c r="J607" s="25">
        <f ca="1">IFERROR(__xludf.DUMMYFUNCTION("""COMPUTED_VALUE"""),0)</f>
        <v>0</v>
      </c>
      <c r="K607" s="25">
        <f ca="1">IFERROR(__xludf.DUMMYFUNCTION("""COMPUTED_VALUE"""),0.361111111111111)</f>
        <v>0.36111111111111099</v>
      </c>
      <c r="L607" s="25">
        <f ca="1">IFERROR(__xludf.DUMMYFUNCTION("""COMPUTED_VALUE"""),0.0909090909090909)</f>
        <v>9.0909090909090898E-2</v>
      </c>
      <c r="M607" s="25">
        <f ca="1">IFERROR(__xludf.DUMMYFUNCTION("""COMPUTED_VALUE"""),0.25)</f>
        <v>0.25</v>
      </c>
      <c r="N607" s="25">
        <f ca="1">IFERROR(__xludf.DUMMYFUNCTION("""COMPUTED_VALUE"""),0.181818181818181)</f>
        <v>0.18181818181818099</v>
      </c>
      <c r="O607" s="25">
        <f ca="1">IFERROR(__xludf.DUMMYFUNCTION("""COMPUTED_VALUE"""),0.352941176470588)</f>
        <v>0.35294117647058798</v>
      </c>
      <c r="P607" s="25">
        <f ca="1">IFERROR(__xludf.DUMMYFUNCTION("""COMPUTED_VALUE"""),0.111111111111111)</f>
        <v>0.11111111111111099</v>
      </c>
      <c r="Q607" s="25">
        <f ca="1">IFERROR(__xludf.DUMMYFUNCTION("""COMPUTED_VALUE"""),0)</f>
        <v>0</v>
      </c>
      <c r="R607" s="25">
        <f ca="1">IFERROR(__xludf.DUMMYFUNCTION("""COMPUTED_VALUE"""),0.166666666666666)</f>
        <v>0.16666666666666599</v>
      </c>
      <c r="S607" s="25">
        <f ca="1">IFERROR(__xludf.DUMMYFUNCTION("""COMPUTED_VALUE"""),0)</f>
        <v>0</v>
      </c>
      <c r="T607" s="25">
        <f ca="1">IFERROR(__xludf.DUMMYFUNCTION("""COMPUTED_VALUE"""),0.272727272727272)</f>
        <v>0.27272727272727199</v>
      </c>
      <c r="U607" s="25">
        <f ca="1">IFERROR(__xludf.DUMMYFUNCTION("""COMPUTED_VALUE"""),0)</f>
        <v>0</v>
      </c>
      <c r="V607" s="25">
        <f ca="1">IFERROR(__xludf.DUMMYFUNCTION("""COMPUTED_VALUE"""),0)</f>
        <v>0</v>
      </c>
      <c r="W607" s="4"/>
      <c r="X607" s="4" t="str">
        <f ca="1">IFERROR(__xludf.DUMMYFUNCTION("""COMPUTED_VALUE"""),"| 1 L PHP-CGM % | 6 L JAVA % | 3 P PHP-CGM % ")</f>
        <v xml:space="preserve">| 1 L PHP-CGM % | 6 L JAVA % | 3 P PHP-CGM % </v>
      </c>
      <c r="Y607" s="4" t="str">
        <f ca="1">IFERROR(__xludf.DUMMYFUNCTION("""COMPUTED_VALUE"""),"| 5 L JAVA % | 6 L NS @ | 7 P NS @ | 9 L CPT @ | 6 L PHP-CGM @ ")</f>
        <v xml:space="preserve">| 5 L JAVA % | 6 L NS @ | 7 P NS @ | 9 L CPT @ | 6 L PHP-CGM @ </v>
      </c>
      <c r="Z607" s="4" t="str">
        <f ca="1">IFERROR(__xludf.DUMMYFUNCTION("""COMPUTED_VALUE"""),"| 5 L CPT @ | 6 L PHP-CGM @ | 7 P Python @ | 9 P CPT @ ")</f>
        <v xml:space="preserve">| 5 L CPT @ | 6 L PHP-CGM @ | 7 P Python @ | 9 P CPT @ </v>
      </c>
      <c r="AA607" s="4" t="str">
        <f ca="1">IFERROR(__xludf.DUMMYFUNCTION("""COMPUTED_VALUE"""),"| 5 L NS @ | 6 L CPT @ | 7 P PRO @ | 9 P JAVA @ ")</f>
        <v xml:space="preserve">| 5 L NS @ | 6 L CPT @ | 7 P PRO @ | 9 P JAVA @ </v>
      </c>
      <c r="AB607" s="4" t="str">
        <f ca="1">IFERROR(__xludf.DUMMYFUNCTION("""COMPUTED_VALUE"""),"| 5 L NS @ | 6 L JAVA @ | 7 P JAVA @ | 9 P Python @ ")</f>
        <v xml:space="preserve">| 5 L NS @ | 6 L JAVA @ | 7 P JAVA @ | 9 P Python @ </v>
      </c>
      <c r="AC607" s="4" t="str">
        <f ca="1">IFERROR(__xludf.DUMMYFUNCTION("""COMPUTED_VALUE"""),"| 1 L PHP-CGM % | 6 L JAVA % | 3 P PHP-CGM % ")</f>
        <v xml:space="preserve">| 1 L PHP-CGM % | 6 L JAVA % | 3 P PHP-CGM % </v>
      </c>
      <c r="AD607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AE607" s="4" t="str">
        <f ca="1">IFERROR(__xludf.DUMMYFUNCTION("""COMPUTED_VALUE"""),"| 5 L CPT @ | 6 L PHP-CGM @ | 7 P Python @ | 9 P CPT @ ")</f>
        <v xml:space="preserve">| 5 L CPT @ | 6 L PHP-CGM @ | 7 P Python @ | 9 P CPT @ </v>
      </c>
      <c r="AF607" s="4" t="str">
        <f ca="1">IFERROR(__xludf.DUMMYFUNCTION("""COMPUTED_VALUE"""),"| 5 L NS % | 6 L CPT % | 7 P PRO % | 9 P JAVA @ ")</f>
        <v xml:space="preserve">| 5 L NS % | 6 L CPT % | 7 P PRO % | 9 P JAVA @ </v>
      </c>
      <c r="AG607" s="4" t="str">
        <f ca="1">IFERROR(__xludf.DUMMYFUNCTION("""COMPUTED_VALUE"""),"| 5 L NS % | 6 L JAVA @ | 7 P JAVA @ ")</f>
        <v xml:space="preserve">| 5 L NS % | 6 L JAVA @ | 7 P JAVA @ </v>
      </c>
      <c r="AH607" s="4" t="str">
        <f ca="1">IFERROR(__xludf.DUMMYFUNCTION("""COMPUTED_VALUE"""),"| 5 L NS % | 6 L CPT % | 7 P PRO % | 9 P JAVA @ ")</f>
        <v xml:space="preserve">| 5 L NS % | 6 L CPT % | 7 P PRO % | 9 P JAVA @ </v>
      </c>
      <c r="AI607" s="4" t="str">
        <f ca="1">IFERROR(__xludf.DUMMYFUNCTION("""COMPUTED_VALUE"""),"| 5 L NS @ | 6 L JAVA @ | 7 P JAVA % | 9 P Python % ")</f>
        <v xml:space="preserve">| 5 L NS @ | 6 L JAVA @ | 7 P JAVA % | 9 P Python % </v>
      </c>
      <c r="AJ607" s="4" t="str">
        <f ca="1">IFERROR(__xludf.DUMMYFUNCTION("""COMPUTED_VALUE"""),"| 1 L PHP-CGM % | 6 L JAVA @ | 3 P PHP-CGM @ ")</f>
        <v xml:space="preserve">| 1 L PHP-CGM % | 6 L JAVA @ | 3 P PHP-CGM @ </v>
      </c>
      <c r="AK607" s="4" t="str">
        <f ca="1">IFERROR(__xludf.DUMMYFUNCTION("""COMPUTED_VALUE"""),"| 5 L JAVA % | 6 L NS % | 7 P NS % | 9 L CPT @ | 6 L PHP-CGM @ ")</f>
        <v xml:space="preserve">| 5 L JAVA % | 6 L NS % | 7 P NS % | 9 L CPT @ | 6 L PHP-CGM @ </v>
      </c>
      <c r="AL607" s="4" t="str">
        <f ca="1">IFERROR(__xludf.DUMMYFUNCTION("""COMPUTED_VALUE"""),"| 5 L CPT @ | 7 P Python @ | 6 L PHP-CGM @ | 9 P CPT @ ")</f>
        <v xml:space="preserve">| 5 L CPT @ | 7 P Python @ | 6 L PHP-CGM @ | 9 P CPT @ </v>
      </c>
      <c r="AM607" s="4" t="str">
        <f ca="1">IFERROR(__xludf.DUMMYFUNCTION("""COMPUTED_VALUE"""),"| 5 L NS % | 6 L CPT @ | 9 P JAVA @ ")</f>
        <v xml:space="preserve">| 5 L NS % | 6 L CPT @ | 9 P JAVA @ </v>
      </c>
      <c r="AN607" s="4" t="str">
        <f ca="1">IFERROR(__xludf.DUMMYFUNCTION("""COMPUTED_VALUE"""),"| 5 L NS @ | 6 L JAVA @ ")</f>
        <v xml:space="preserve">| 5 L NS @ | 6 L JAVA @ </v>
      </c>
      <c r="AO607" s="4" t="str">
        <f ca="1">IFERROR(__xludf.DUMMYFUNCTION("""COMPUTED_VALUE"""),"| 1 L PHP-CGM @ | 6 L JAVA @ | 3 P PHP-CGM @ | 9 L INE @ ")</f>
        <v xml:space="preserve">| 1 L PHP-CGM @ | 6 L JAVA @ | 3 P PHP-CGM @ | 9 L INE @ </v>
      </c>
      <c r="AP607" s="4" t="str">
        <f ca="1">IFERROR(__xludf.DUMMYFUNCTION("""COMPUTED_VALUE"""),"| 5 L JAVA % | 6 L NS % | 7 P NS @ | 9 L CPT @ | 6 L PHP-CGM @ ")</f>
        <v xml:space="preserve">| 5 L JAVA % | 6 L NS % | 7 P NS @ | 9 L CPT @ | 6 L PHP-CGM @ </v>
      </c>
      <c r="AQ607" s="4" t="str">
        <f ca="1">IFERROR(__xludf.DUMMYFUNCTION("""COMPUTED_VALUE"""),"| 5 L CPT @ | 6 L PHP-CGM @ | 9 P CPT @ ")</f>
        <v xml:space="preserve">| 5 L CPT @ | 6 L PHP-CGM @ | 9 P CPT @ </v>
      </c>
      <c r="AR607" s="4" t="str">
        <f ca="1">IFERROR(__xludf.DUMMYFUNCTION("""COMPUTED_VALUE"""),"| 5 L NS @ | 6 L CPT @ | 7 P PRO @ ")</f>
        <v xml:space="preserve">| 5 L NS @ | 6 L CPT @ | 7 P PRO @ </v>
      </c>
      <c r="AS607" s="4" t="str">
        <f ca="1">IFERROR(__xludf.DUMMYFUNCTION("""COMPUTED_VALUE"""),"| 1 L PHP-CGM % | 6 L JAVA % | 3 P PHP-CGM @ | 9 L INE @ ")</f>
        <v xml:space="preserve">| 1 L PHP-CGM % | 6 L JAVA % | 3 P PHP-CGM @ | 9 L INE @ </v>
      </c>
      <c r="AT607" s="4" t="str">
        <f ca="1">IFERROR(__xludf.DUMMYFUNCTION("""COMPUTED_VALUE"""),"| 5 L JAVA @ | 6 L NS @ | 7 P NS @ | 9 L CPT @ | 6 L PHP-CGM @ ")</f>
        <v xml:space="preserve">| 5 L JAVA @ | 6 L NS @ | 7 P NS @ | 9 L CPT @ | 6 L PHP-CGM @ </v>
      </c>
      <c r="AU607" s="4" t="str">
        <f ca="1">IFERROR(__xludf.DUMMYFUNCTION("""COMPUTED_VALUE"""),"| 5 L CPT @ | 6 L PHP-CGM @ | 7 P Python @ | 9 P CPT @ ")</f>
        <v xml:space="preserve">| 5 L CPT @ | 6 L PHP-CGM @ | 7 P Python @ | 9 P CPT @ </v>
      </c>
      <c r="AV607" s="4" t="str">
        <f ca="1">IFERROR(__xludf.DUMMYFUNCTION("""COMPUTED_VALUE"""),"| 5 L NS @ | 6 L CPT @ | 7 P PRO @ | 9 P JAVA @ ")</f>
        <v xml:space="preserve">| 5 L NS @ | 6 L CPT @ | 7 P PRO @ | 9 P JAVA @ </v>
      </c>
      <c r="AW607" s="4" t="str">
        <f ca="1">IFERROR(__xludf.DUMMYFUNCTION("""COMPUTED_VALUE"""),"| 5 L NS % | 6 L JAVA % | 7 P JAVA @ | 9 P Python @ ")</f>
        <v xml:space="preserve">| 5 L NS % | 6 L JAVA % | 7 P JAVA @ | 9 P Python @ </v>
      </c>
      <c r="AX607" s="4" t="str">
        <f ca="1">IFERROR(__xludf.DUMMYFUNCTION("""COMPUTED_VALUE"""),"| 1 L PHP-CGM % | 6 L JAVA % | 3 P PHP-CGM @ | 9 L INE @ ")</f>
        <v xml:space="preserve">| 1 L PHP-CGM % | 6 L JAVA % | 3 P PHP-CGM @ | 9 L INE @ </v>
      </c>
      <c r="AY607" s="4" t="str">
        <f ca="1">IFERROR(__xludf.DUMMYFUNCTION("""COMPUTED_VALUE"""),"| 5 L JAVA % | 6 L NS % | 7 P NS @ | 9 L CPT % | 11 L PHP-CGM % ")</f>
        <v xml:space="preserve">| 5 L JAVA % | 6 L NS % | 7 P NS @ | 9 L CPT % | 11 L PHP-CGM % </v>
      </c>
      <c r="AZ607" s="4" t="str">
        <f ca="1">IFERROR(__xludf.DUMMYFUNCTION("""COMPUTED_VALUE"""),"| 5 L NS % | 6 L CPT % | 7 P PRO % | 9 P JAVA % ")</f>
        <v xml:space="preserve">| 5 L NS % | 6 L CPT % | 7 P PRO % | 9 P JAVA % </v>
      </c>
      <c r="BA607" s="4" t="str">
        <f ca="1">IFERROR(__xludf.DUMMYFUNCTION("""COMPUTED_VALUE"""),"| 5 L NS % | 6 L JAVA % | 7 P JAVA @ ")</f>
        <v xml:space="preserve">| 5 L NS % | 6 L JAVA % | 7 P JAVA @ </v>
      </c>
      <c r="BB607" s="4" t="str">
        <f ca="1">IFERROR(__xludf.DUMMYFUNCTION("""COMPUTED_VALUE"""),"| 1 L PHP-CGM @ | 6 L JAVA @ | 3 P PHP-CGM @ | 9 L INE @ ")</f>
        <v xml:space="preserve">| 1 L PHP-CGM @ | 6 L JAVA @ | 3 P PHP-CGM @ | 9 L INE @ </v>
      </c>
      <c r="BC607" s="4" t="str">
        <f ca="1">IFERROR(__xludf.DUMMYFUNCTION("""COMPUTED_VALUE"""),"| 5 L JAVA @ | 6 L NS @ | 7 P NS @ | 10 L PHP-CGM @ | 9 L CPT @ ")</f>
        <v xml:space="preserve">| 5 L JAVA @ | 6 L NS @ | 7 P NS @ | 10 L PHP-CGM @ | 9 L CPT @ </v>
      </c>
      <c r="BD607" s="4" t="str">
        <f ca="1">IFERROR(__xludf.DUMMYFUNCTION("""COMPUTED_VALUE"""),"| 5 L CPT % | 7 P Python % | 6 L PHP-CGM % | 9 P CPT @ ")</f>
        <v xml:space="preserve">| 5 L CPT % | 7 P Python % | 6 L PHP-CGM % | 9 P CPT @ </v>
      </c>
      <c r="BE607" s="4" t="str">
        <f ca="1">IFERROR(__xludf.DUMMYFUNCTION("""COMPUTED_VALUE"""),"| 5 L NS @ | 6 L CPT @ | 9 P JAVA @ | 7 P PRO @ ")</f>
        <v xml:space="preserve">| 5 L NS @ | 6 L CPT @ | 9 P JAVA @ | 7 P PRO @ </v>
      </c>
      <c r="BF607" s="4" t="str">
        <f ca="1">IFERROR(__xludf.DUMMYFUNCTION("""COMPUTED_VALUE"""),"| 5 L NS @ | 6 L JAVA @ | 7 P JAVA @ ")</f>
        <v xml:space="preserve">| 5 L NS @ | 6 L JAVA @ | 7 P JAVA @ </v>
      </c>
      <c r="BG607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H607" s="4" t="str">
        <f ca="1">IFERROR(__xludf.DUMMYFUNCTION("""COMPUTED_VALUE"""),"| 5 L CPT % | 7 P Python @ | 6 L PHP-CGM % | 9 P CPT @ ")</f>
        <v xml:space="preserve">| 5 L CPT % | 7 P Python @ | 6 L PHP-CGM % | 9 P CPT @ </v>
      </c>
      <c r="BI607" s="4" t="str">
        <f ca="1">IFERROR(__xludf.DUMMYFUNCTION("""COMPUTED_VALUE"""),"| 5 L NS % | 6 L CPT % | 7 P PRO @ ")</f>
        <v xml:space="preserve">| 5 L NS % | 6 L CPT % | 7 P PRO @ </v>
      </c>
      <c r="BJ607" s="4" t="str">
        <f ca="1">IFERROR(__xludf.DUMMYFUNCTION("""COMPUTED_VALUE"""),"| 5 L NS % | 6 L JAVA % | 7 P JAVA @ ")</f>
        <v xml:space="preserve">| 5 L NS % | 6 L JAVA % | 7 P JAVA @ </v>
      </c>
      <c r="BK607" s="4" t="str">
        <f ca="1">IFERROR(__xludf.DUMMYFUNCTION("""COMPUTED_VALUE"""),"| 1 L PHP-CGM @ | 6 L JAVA @ | 3 P PHP-CGM @ | 9 L INE @ ")</f>
        <v xml:space="preserve">| 1 L PHP-CGM @ | 6 L JAVA @ | 3 P PHP-CGM @ | 9 L INE @ </v>
      </c>
      <c r="BL607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BM607" s="4" t="str">
        <f ca="1">IFERROR(__xludf.DUMMYFUNCTION("""COMPUTED_VALUE"""),"| 5 L CPT @ | 6 L PHP-CGM @ ")</f>
        <v xml:space="preserve">| 5 L CPT @ | 6 L PHP-CGM @ </v>
      </c>
      <c r="BN607" s="4" t="str">
        <f ca="1">IFERROR(__xludf.DUMMYFUNCTION("""COMPUTED_VALUE"""),"| 5 L NS @ | 6 L CPT @ | 7 P PRO @ ")</f>
        <v xml:space="preserve">| 5 L NS @ | 6 L CPT @ | 7 P PRO @ </v>
      </c>
      <c r="BO607" s="4" t="str">
        <f ca="1">IFERROR(__xludf.DUMMYFUNCTION("""COMPUTED_VALUE"""),"| 5 L NS @ | 6 L JAVA @ | 7 P JAVA @ ")</f>
        <v xml:space="preserve">| 5 L NS @ | 6 L JAVA @ | 7 P JAVA @ </v>
      </c>
      <c r="BP607" s="4" t="str">
        <f ca="1">IFERROR(__xludf.DUMMYFUNCTION("""COMPUTED_VALUE"""),"| 1 L PHP-CGM @ | 6 L JAVA @ | 3 P PHP-CGM @ | 9 L INE @ ")</f>
        <v xml:space="preserve">| 1 L PHP-CGM @ | 6 L JAVA @ | 3 P PHP-CGM @ | 9 L INE @ </v>
      </c>
      <c r="BQ607" s="4" t="str">
        <f ca="1">IFERROR(__xludf.DUMMYFUNCTION("""COMPUTED_VALUE"""),"| 5 L CPT @ ")</f>
        <v xml:space="preserve">| 5 L CPT @ </v>
      </c>
      <c r="BR607" s="4"/>
      <c r="BS607" s="4" t="str">
        <f ca="1">IFERROR(__xludf.DUMMYFUNCTION("""COMPUTED_VALUE"""),"| 6 L CPT @ ")</f>
        <v xml:space="preserve">| 6 L CPT @ </v>
      </c>
      <c r="BT607" s="4"/>
      <c r="BU607" s="4"/>
      <c r="BV607" s="4" t="str">
        <f ca="1">IFERROR(__xludf.DUMMYFUNCTION("""COMPUTED_VALUE"""),"| 5 L PHP-CGM @ | 6 L JAVA @ ")</f>
        <v xml:space="preserve">| 5 L PHP-CGM @ | 6 L JAVA @ </v>
      </c>
      <c r="BW607" s="4"/>
      <c r="BX607" s="4" t="str">
        <f ca="1">IFERROR(__xludf.DUMMYFUNCTION("""COMPUTED_VALUE"""),"| 5 L CPT @ | 6 L PHP-CGM @ ")</f>
        <v xml:space="preserve">| 5 L CPT @ | 6 L PHP-CGM @ </v>
      </c>
      <c r="BY607" s="4" t="str">
        <f ca="1">IFERROR(__xludf.DUMMYFUNCTION("""COMPUTED_VALUE"""),"| 5 L NS % | 6 L CPT % | 7 P PRO @ | 9 P JAVA @ ")</f>
        <v xml:space="preserve">| 5 L NS % | 6 L CPT % | 7 P PRO @ | 9 P JAVA @ </v>
      </c>
      <c r="BZ607" s="4" t="str">
        <f ca="1">IFERROR(__xludf.DUMMYFUNCTION("""COMPUTED_VALUE"""),"| 5 L NS @ | 6 L JAVA @ | 7 P JAVA @ | 9 P Python @ ")</f>
        <v xml:space="preserve">| 5 L NS @ | 6 L JAVA @ | 7 P JAVA @ | 9 P Python @ </v>
      </c>
      <c r="CA607" s="4" t="str">
        <f ca="1">IFERROR(__xludf.DUMMYFUNCTION("""COMPUTED_VALUE"""),"| 1 L PHP-CGM @ | 6 L JAVA @ | 3 P PHP-CGM @ ")</f>
        <v xml:space="preserve">| 1 L PHP-CGM @ | 6 L JAVA @ | 3 P PHP-CGM @ </v>
      </c>
      <c r="CB607" s="4" t="str">
        <f ca="1">IFERROR(__xludf.DUMMYFUNCTION("""COMPUTED_VALUE"""),"| 5 L JAVA @ | 6 L NS @ | 7 P NS @ | 9 L CPT @ | 10 L PHP-CGM @ ")</f>
        <v xml:space="preserve">| 5 L JAVA @ | 6 L NS @ | 7 P NS @ | 9 L CPT @ | 10 L PHP-CGM @ </v>
      </c>
      <c r="CC607" s="4" t="str">
        <f ca="1">IFERROR(__xludf.DUMMYFUNCTION("""COMPUTED_VALUE"""),"| 5 L CPT @ | 6 L PHP-CGM @ | 7 P Python @ | 9 P CPT @ ")</f>
        <v xml:space="preserve">| 5 L CPT @ | 6 L PHP-CGM @ | 7 P Python @ | 9 P CPT @ </v>
      </c>
      <c r="CD607" s="4" t="str">
        <f ca="1">IFERROR(__xludf.DUMMYFUNCTION("""COMPUTED_VALUE"""),"| 5 L NS @ | 6 L CPT @ | 7 P PRO @ ")</f>
        <v xml:space="preserve">| 5 L NS @ | 6 L CPT @ | 7 P PRO @ </v>
      </c>
      <c r="CE607" s="4" t="str">
        <f ca="1">IFERROR(__xludf.DUMMYFUNCTION("""COMPUTED_VALUE"""),"| 5 L NS @ | 6 L JAVA @ | 7 P JAVA @ ")</f>
        <v xml:space="preserve">| 5 L NS @ | 6 L JAVA @ | 7 P JAVA @ </v>
      </c>
      <c r="CF607" s="4" t="str">
        <f ca="1">IFERROR(__xludf.DUMMYFUNCTION("""COMPUTED_VALUE"""),"| 5 L PHP-CGM @ | 6 L JAVA @ | 7 P PHP-CGM @ | 9 L INE @ ")</f>
        <v xml:space="preserve">| 5 L PHP-CGM @ | 6 L JAVA @ | 7 P PHP-CGM @ | 9 L INE @ </v>
      </c>
      <c r="CG607" s="4" t="str">
        <f ca="1">IFERROR(__xludf.DUMMYFUNCTION("""COMPUTED_VALUE"""),"| 5 L JAVA % | 6 L NS @ | 7 P NS @ ")</f>
        <v xml:space="preserve">| 5 L JAVA % | 6 L NS @ | 7 P NS @ </v>
      </c>
      <c r="CH607" s="4" t="str">
        <f ca="1">IFERROR(__xludf.DUMMYFUNCTION("""COMPUTED_VALUE"""),"| 5 L CPT @ | 7 P Python @ | 9 P CPT @ ")</f>
        <v xml:space="preserve">| 5 L CPT @ | 7 P Python @ | 9 P CPT @ </v>
      </c>
      <c r="CI607" s="4" t="str">
        <f ca="1">IFERROR(__xludf.DUMMYFUNCTION("""COMPUTED_VALUE"""),"| 5 L NS @ | 6 L CPT @ ")</f>
        <v xml:space="preserve">| 5 L NS @ | 6 L CPT @ </v>
      </c>
      <c r="CJ607" s="4" t="str">
        <f ca="1">IFERROR(__xludf.DUMMYFUNCTION("""COMPUTED_VALUE"""),"| 5 L NS @ ")</f>
        <v xml:space="preserve">| 5 L NS @ </v>
      </c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</row>
    <row r="608" spans="1:102" ht="12.5" x14ac:dyDescent="0.25">
      <c r="A608" s="3">
        <f ca="1">IFERROR(__xludf.DUMMYFUNCTION("""COMPUTED_VALUE"""),2)</f>
        <v>2</v>
      </c>
      <c r="B608" s="3" t="str">
        <f ca="1">IFERROR(__xludf.DUMMYFUNCTION("""COMPUTED_VALUE"""),"ITD")</f>
        <v>ITD</v>
      </c>
      <c r="C608" s="32" t="str">
        <f ca="1">IFERROR(__xludf.DUMMYFUNCTION("""COMPUTED_VALUE"""),"23171371089")</f>
        <v>23171371089</v>
      </c>
      <c r="D608" s="4" t="str">
        <f ca="1">IFERROR(__xludf.DUMMYFUNCTION("""COMPUTED_VALUE"""),"PATEL JAY BHARATBHAI")</f>
        <v>PATEL JAY BHARATBHAI</v>
      </c>
      <c r="E608" s="3" t="str">
        <f ca="1">IFERROR(__xludf.DUMMYFUNCTION("""COMPUTED_VALUE"""),"SRC - Eve")</f>
        <v>SRC - Eve</v>
      </c>
      <c r="F608" s="3">
        <f ca="1">IFERROR(__xludf.DUMMYFUNCTION("""COMPUTED_VALUE"""),9328876676)</f>
        <v>9328876676</v>
      </c>
      <c r="G608" s="3">
        <f ca="1">IFERROR(__xludf.DUMMYFUNCTION("""COMPUTED_VALUE"""),9586582383)</f>
        <v>9586582383</v>
      </c>
      <c r="H608" s="33">
        <f ca="1">IFERROR(__xludf.DUMMYFUNCTION("""COMPUTED_VALUE"""),0.870967741935483)</f>
        <v>0.87096774193548299</v>
      </c>
      <c r="I608" s="25">
        <f ca="1">IFERROR(__xludf.DUMMYFUNCTION("""COMPUTED_VALUE"""),0.833333333333333)</f>
        <v>0.83333333333333304</v>
      </c>
      <c r="J608" s="25">
        <f ca="1">IFERROR(__xludf.DUMMYFUNCTION("""COMPUTED_VALUE"""),0.777777777777777)</f>
        <v>0.77777777777777701</v>
      </c>
      <c r="K608" s="25">
        <f ca="1">IFERROR(__xludf.DUMMYFUNCTION("""COMPUTED_VALUE"""),0.833333333333333)</f>
        <v>0.83333333333333304</v>
      </c>
      <c r="L608" s="25">
        <f ca="1">IFERROR(__xludf.DUMMYFUNCTION("""COMPUTED_VALUE"""),1)</f>
        <v>1</v>
      </c>
      <c r="M608" s="25">
        <f ca="1">IFERROR(__xludf.DUMMYFUNCTION("""COMPUTED_VALUE"""),0.90625)</f>
        <v>0.90625</v>
      </c>
      <c r="N608" s="25">
        <f ca="1">IFERROR(__xludf.DUMMYFUNCTION("""COMPUTED_VALUE"""),0.909090909090909)</f>
        <v>0.90909090909090895</v>
      </c>
      <c r="O608" s="25">
        <f ca="1">IFERROR(__xludf.DUMMYFUNCTION("""COMPUTED_VALUE"""),0.941176470588235)</f>
        <v>0.94117647058823495</v>
      </c>
      <c r="P608" s="25">
        <f ca="1">IFERROR(__xludf.DUMMYFUNCTION("""COMPUTED_VALUE"""),0.833333333333333)</f>
        <v>0.83333333333333304</v>
      </c>
      <c r="Q608" s="25">
        <f ca="1">IFERROR(__xludf.DUMMYFUNCTION("""COMPUTED_VALUE"""),0)</f>
        <v>0</v>
      </c>
      <c r="R608" s="25">
        <f ca="1">IFERROR(__xludf.DUMMYFUNCTION("""COMPUTED_VALUE"""),1)</f>
        <v>1</v>
      </c>
      <c r="S608" s="25">
        <f ca="1">IFERROR(__xludf.DUMMYFUNCTION("""COMPUTED_VALUE"""),0)</f>
        <v>0</v>
      </c>
      <c r="T608" s="25">
        <f ca="1">IFERROR(__xludf.DUMMYFUNCTION("""COMPUTED_VALUE"""),0.909090909090909)</f>
        <v>0.90909090909090895</v>
      </c>
      <c r="U608" s="25">
        <f ca="1">IFERROR(__xludf.DUMMYFUNCTION("""COMPUTED_VALUE"""),0.428571428571428)</f>
        <v>0.42857142857142799</v>
      </c>
      <c r="V608" s="25">
        <f ca="1">IFERROR(__xludf.DUMMYFUNCTION("""COMPUTED_VALUE"""),0)</f>
        <v>0</v>
      </c>
      <c r="W608" s="4"/>
      <c r="X608" s="4" t="str">
        <f ca="1">IFERROR(__xludf.DUMMYFUNCTION("""COMPUTED_VALUE"""),"| 1 L PHP-CGM % | 6 L JAVA % | 7 P Python % ")</f>
        <v xml:space="preserve">| 1 L PHP-CGM % | 6 L JAVA % | 7 P Python % </v>
      </c>
      <c r="Y608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Z608" s="4" t="str">
        <f ca="1">IFERROR(__xludf.DUMMYFUNCTION("""COMPUTED_VALUE"""),"| 5 L CPT % | 6 L PHP-CGM % | 7 P JAVA % | 9 P Python % ")</f>
        <v xml:space="preserve">| 5 L CPT % | 6 L PHP-CGM % | 7 P JAVA % | 9 P Python % </v>
      </c>
      <c r="AA608" s="4" t="str">
        <f ca="1">IFERROR(__xludf.DUMMYFUNCTION("""COMPUTED_VALUE"""),"| 5 L NS % | 6 L CPT % | 7 P PRO % | 9 P NS % ")</f>
        <v xml:space="preserve">| 5 L NS % | 6 L CPT % | 7 P PRO % | 9 P NS % </v>
      </c>
      <c r="AB608" s="4" t="str">
        <f ca="1">IFERROR(__xludf.DUMMYFUNCTION("""COMPUTED_VALUE"""),"| 5 L NS % | 6 L JAVA % | 7 P PHP-CGM % | 9 P JAVA % ")</f>
        <v xml:space="preserve">| 5 L NS % | 6 L JAVA % | 7 P PHP-CGM % | 9 P JAVA % </v>
      </c>
      <c r="AC608" s="4" t="str">
        <f ca="1">IFERROR(__xludf.DUMMYFUNCTION("""COMPUTED_VALUE"""),"| 1 L PHP-CGM % | 6 L JAVA % | 3 P PHP-CGM % ")</f>
        <v xml:space="preserve">| 1 L PHP-CGM % | 6 L JAVA % | 3 P PHP-CGM % </v>
      </c>
      <c r="AD608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E608" s="4" t="str">
        <f ca="1">IFERROR(__xludf.DUMMYFUNCTION("""COMPUTED_VALUE"""),"| 5 L CPT % | 6 L PHP-CGM % | 7 P Python % | 9 P CPT % ")</f>
        <v xml:space="preserve">| 5 L CPT % | 6 L PHP-CGM % | 7 P Python % | 9 P CPT % </v>
      </c>
      <c r="AF608" s="4" t="str">
        <f ca="1">IFERROR(__xludf.DUMMYFUNCTION("""COMPUTED_VALUE"""),"| 5 L NS % | 6 L CPT % | 7 P PRO % | 9 P JAVA % ")</f>
        <v xml:space="preserve">| 5 L NS % | 6 L CPT % | 7 P PRO % | 9 P JAVA % </v>
      </c>
      <c r="AG608" s="4" t="str">
        <f ca="1">IFERROR(__xludf.DUMMYFUNCTION("""COMPUTED_VALUE"""),"| 5 L NS % | 6 L JAVA % | 7 P JAVA % ")</f>
        <v xml:space="preserve">| 5 L NS % | 6 L JAVA % | 7 P JAVA % </v>
      </c>
      <c r="AH608" s="4" t="str">
        <f ca="1">IFERROR(__xludf.DUMMYFUNCTION("""COMPUTED_VALUE"""),"| 5 L NS % | 6 L CPT % | 7 P PRO % | 9 P JAVA % ")</f>
        <v xml:space="preserve">| 5 L NS % | 6 L CPT % | 7 P PRO % | 9 P JAVA % </v>
      </c>
      <c r="AI608" s="4" t="str">
        <f ca="1">IFERROR(__xludf.DUMMYFUNCTION("""COMPUTED_VALUE"""),"| 5 L NS % | 6 L JAVA % | 7 P JAVA % | 9 P Python % ")</f>
        <v xml:space="preserve">| 5 L NS % | 6 L JAVA % | 7 P JAVA % | 9 P Python % </v>
      </c>
      <c r="AJ608" s="4" t="str">
        <f ca="1">IFERROR(__xludf.DUMMYFUNCTION("""COMPUTED_VALUE"""),"| 1 L PHP-CGM @ | 6 L JAVA % | 3 P PHP-CGM % ")</f>
        <v xml:space="preserve">| 1 L PHP-CGM @ | 6 L JAVA % | 3 P PHP-CGM % </v>
      </c>
      <c r="AK608" s="4" t="str">
        <f ca="1">IFERROR(__xludf.DUMMYFUNCTION("""COMPUTED_VALUE"""),"| 5 L JAVA % | 6 L NS % | 7 P NS % | 9 L CPT % | 6 L PHP-CGM % ")</f>
        <v xml:space="preserve">| 5 L JAVA % | 6 L NS % | 7 P NS % | 9 L CPT % | 6 L PHP-CGM % </v>
      </c>
      <c r="AL608" s="4" t="str">
        <f ca="1">IFERROR(__xludf.DUMMYFUNCTION("""COMPUTED_VALUE"""),"| 5 L CPT % | 7 P Python % | 6 L PHP-CGM % | 9 P CPT @ ")</f>
        <v xml:space="preserve">| 5 L CPT % | 7 P Python % | 6 L PHP-CGM % | 9 P CPT @ </v>
      </c>
      <c r="AM608" s="4" t="str">
        <f ca="1">IFERROR(__xludf.DUMMYFUNCTION("""COMPUTED_VALUE"""),"| 5 L NS % | 6 L CPT % | 9 P JAVA % ")</f>
        <v xml:space="preserve">| 5 L NS % | 6 L CPT % | 9 P JAVA % </v>
      </c>
      <c r="AN608" s="4" t="str">
        <f ca="1">IFERROR(__xludf.DUMMYFUNCTION("""COMPUTED_VALUE"""),"| 5 L NS % | 6 L JAVA % ")</f>
        <v xml:space="preserve">| 5 L NS % | 6 L JAVA % </v>
      </c>
      <c r="AO608" s="4" t="str">
        <f ca="1">IFERROR(__xludf.DUMMYFUNCTION("""COMPUTED_VALUE"""),"| 1 L PHP-CGM % | 6 L JAVA % | 3 P PHP-CGM % | 9 L INE @ ")</f>
        <v xml:space="preserve">| 1 L PHP-CGM % | 6 L JAVA % | 3 P PHP-CGM % | 9 L INE @ </v>
      </c>
      <c r="AP608" s="4" t="str">
        <f ca="1">IFERROR(__xludf.DUMMYFUNCTION("""COMPUTED_VALUE"""),"| 5 L JAVA % | 6 L NS % | 7 P NS % | 9 L CPT @ | 6 L PHP-CGM % ")</f>
        <v xml:space="preserve">| 5 L JAVA % | 6 L NS % | 7 P NS % | 9 L CPT @ | 6 L PHP-CGM % </v>
      </c>
      <c r="AQ608" s="4" t="str">
        <f ca="1">IFERROR(__xludf.DUMMYFUNCTION("""COMPUTED_VALUE"""),"| 5 L CPT % | 6 L PHP-CGM % | 9 P CPT @ ")</f>
        <v xml:space="preserve">| 5 L CPT % | 6 L PHP-CGM % | 9 P CPT @ </v>
      </c>
      <c r="AR608" s="4" t="str">
        <f ca="1">IFERROR(__xludf.DUMMYFUNCTION("""COMPUTED_VALUE"""),"| 5 L NS % | 6 L CPT % | 7 P PRO % ")</f>
        <v xml:space="preserve">| 5 L NS % | 6 L CPT % | 7 P PRO % </v>
      </c>
      <c r="AS608" s="4" t="str">
        <f ca="1">IFERROR(__xludf.DUMMYFUNCTION("""COMPUTED_VALUE"""),"| 1 L PHP-CGM % | 6 L JAVA % | 3 P PHP-CGM % | 9 L INE @ ")</f>
        <v xml:space="preserve">| 1 L PHP-CGM % | 6 L JAVA % | 3 P PHP-CGM % | 9 L INE @ </v>
      </c>
      <c r="AT608" s="4" t="str">
        <f ca="1">IFERROR(__xludf.DUMMYFUNCTION("""COMPUTED_VALUE"""),"| 5 L JAVA % | 6 L NS % | 7 P NS % | 9 L CPT % | 6 L PHP-CGM @ ")</f>
        <v xml:space="preserve">| 5 L JAVA % | 6 L NS % | 7 P NS % | 9 L CPT % | 6 L PHP-CGM @ </v>
      </c>
      <c r="AU608" s="4" t="str">
        <f ca="1">IFERROR(__xludf.DUMMYFUNCTION("""COMPUTED_VALUE"""),"| 5 L CPT % | 6 L PHP-CGM % | 7 P Python % | 9 P CPT % ")</f>
        <v xml:space="preserve">| 5 L CPT % | 6 L PHP-CGM % | 7 P Python % | 9 P CPT % </v>
      </c>
      <c r="AV608" s="4" t="str">
        <f ca="1">IFERROR(__xludf.DUMMYFUNCTION("""COMPUTED_VALUE"""),"| 5 L NS % | 6 L CPT % | 7 P PRO % | 9 P JAVA @ ")</f>
        <v xml:space="preserve">| 5 L NS % | 6 L CPT % | 7 P PRO % | 9 P JAVA @ </v>
      </c>
      <c r="AW608" s="4" t="str">
        <f ca="1">IFERROR(__xludf.DUMMYFUNCTION("""COMPUTED_VALUE"""),"| 5 L NS % | 6 L JAVA % | 7 P JAVA % | 9 P Python % ")</f>
        <v xml:space="preserve">| 5 L NS % | 6 L JAVA % | 7 P JAVA % | 9 P Python % </v>
      </c>
      <c r="AX608" s="4" t="str">
        <f ca="1">IFERROR(__xludf.DUMMYFUNCTION("""COMPUTED_VALUE"""),"| 1 L PHP-CGM % | 6 L JAVA % | 3 P PHP-CGM % | 9 L INE % ")</f>
        <v xml:space="preserve">| 1 L PHP-CGM % | 6 L JAVA % | 3 P PHP-CGM % | 9 L INE % </v>
      </c>
      <c r="AY608" s="4" t="str">
        <f ca="1">IFERROR(__xludf.DUMMYFUNCTION("""COMPUTED_VALUE"""),"| 5 L JAVA % | 6 L NS % | 7 P NS % | 9 L CPT % | 11 L PHP-CGM % ")</f>
        <v xml:space="preserve">| 5 L JAVA % | 6 L NS % | 7 P NS % | 9 L CPT % | 11 L PHP-CGM % </v>
      </c>
      <c r="AZ608" s="4" t="str">
        <f ca="1">IFERROR(__xludf.DUMMYFUNCTION("""COMPUTED_VALUE"""),"| 5 L NS % | 6 L CPT % | 7 P PRO % | 9 P JAVA % ")</f>
        <v xml:space="preserve">| 5 L NS % | 6 L CPT % | 7 P PRO % | 9 P JAVA % </v>
      </c>
      <c r="BA608" s="4" t="str">
        <f ca="1">IFERROR(__xludf.DUMMYFUNCTION("""COMPUTED_VALUE"""),"| 5 L NS % | 6 L JAVA % | 7 P JAVA % ")</f>
        <v xml:space="preserve">| 5 L NS % | 6 L JAVA % | 7 P JAVA % </v>
      </c>
      <c r="BB608" s="4" t="str">
        <f ca="1">IFERROR(__xludf.DUMMYFUNCTION("""COMPUTED_VALUE"""),"| 1 L PHP-CGM % | 6 L JAVA % | 3 P PHP-CGM % | 9 L INE % ")</f>
        <v xml:space="preserve">| 1 L PHP-CGM % | 6 L JAVA % | 3 P PHP-CGM % | 9 L INE % </v>
      </c>
      <c r="BC608" s="4" t="str">
        <f ca="1">IFERROR(__xludf.DUMMYFUNCTION("""COMPUTED_VALUE"""),"| 5 L JAVA % | 6 L NS % | 7 P NS % | 10 L PHP-CGM % | 9 L CPT % ")</f>
        <v xml:space="preserve">| 5 L JAVA % | 6 L NS % | 7 P NS % | 10 L PHP-CGM % | 9 L CPT % </v>
      </c>
      <c r="BD608" s="4" t="str">
        <f ca="1">IFERROR(__xludf.DUMMYFUNCTION("""COMPUTED_VALUE"""),"| 5 L CPT % | 7 P Python % | 6 L PHP-CGM % | 9 P CPT % ")</f>
        <v xml:space="preserve">| 5 L CPT % | 7 P Python % | 6 L PHP-CGM % | 9 P CPT % </v>
      </c>
      <c r="BE608" s="4" t="str">
        <f ca="1">IFERROR(__xludf.DUMMYFUNCTION("""COMPUTED_VALUE"""),"| 5 L NS % | 6 L CPT % | 9 P JAVA % | 7 P PRO % ")</f>
        <v xml:space="preserve">| 5 L NS % | 6 L CPT % | 9 P JAVA % | 7 P PRO % </v>
      </c>
      <c r="BF608" s="4" t="str">
        <f ca="1">IFERROR(__xludf.DUMMYFUNCTION("""COMPUTED_VALUE"""),"| 5 L NS @ | 6 L JAVA % | 7 P JAVA % ")</f>
        <v xml:space="preserve">| 5 L NS @ | 6 L JAVA % | 7 P JAVA % </v>
      </c>
      <c r="BG608" s="4" t="str">
        <f ca="1">IFERROR(__xludf.DUMMYFUNCTION("""COMPUTED_VALUE"""),"| 5 L JAVA @ | 6 L NS % | 7 P NS % | 9 L CPT % | 10 L PHP-CGM % ")</f>
        <v xml:space="preserve">| 5 L JAVA @ | 6 L NS % | 7 P NS % | 9 L CPT % | 10 L PHP-CGM % </v>
      </c>
      <c r="BH608" s="4" t="str">
        <f ca="1">IFERROR(__xludf.DUMMYFUNCTION("""COMPUTED_VALUE"""),"| 5 L CPT % | 7 P Python % | 6 L PHP-CGM % | 9 P CPT % ")</f>
        <v xml:space="preserve">| 5 L CPT % | 7 P Python % | 6 L PHP-CGM % | 9 P CPT % </v>
      </c>
      <c r="BI608" s="4" t="str">
        <f ca="1">IFERROR(__xludf.DUMMYFUNCTION("""COMPUTED_VALUE"""),"| 5 L NS % | 6 L CPT % | 7 P PRO % ")</f>
        <v xml:space="preserve">| 5 L NS % | 6 L CPT % | 7 P PRO % </v>
      </c>
      <c r="BJ608" s="4" t="str">
        <f ca="1">IFERROR(__xludf.DUMMYFUNCTION("""COMPUTED_VALUE"""),"| 5 L NS % | 6 L JAVA % | 7 P JAVA @ ")</f>
        <v xml:space="preserve">| 5 L NS % | 6 L JAVA % | 7 P JAVA @ </v>
      </c>
      <c r="BK608" s="4" t="str">
        <f ca="1">IFERROR(__xludf.DUMMYFUNCTION("""COMPUTED_VALUE"""),"| 1 L PHP-CGM % | 6 L JAVA % | 3 P PHP-CGM % | 9 L INE @ ")</f>
        <v xml:space="preserve">| 1 L PHP-CGM % | 6 L JAVA % | 3 P PHP-CGM % | 9 L INE @ </v>
      </c>
      <c r="BL608" s="4" t="str">
        <f ca="1">IFERROR(__xludf.DUMMYFUNCTION("""COMPUTED_VALUE"""),"| 5 L JAVA % | 6 L NS % | 7 P NS % | 9 L CPT @ | 10 L PHP-CGM @ ")</f>
        <v xml:space="preserve">| 5 L JAVA % | 6 L NS % | 7 P NS % | 9 L CPT @ | 10 L PHP-CGM @ </v>
      </c>
      <c r="BM608" s="4" t="str">
        <f ca="1">IFERROR(__xludf.DUMMYFUNCTION("""COMPUTED_VALUE"""),"| 5 L CPT % | 6 L PHP-CGM % ")</f>
        <v xml:space="preserve">| 5 L CPT % | 6 L PHP-CGM % </v>
      </c>
      <c r="BN608" s="4" t="str">
        <f ca="1">IFERROR(__xludf.DUMMYFUNCTION("""COMPUTED_VALUE"""),"| 5 L NS @ | 6 L CPT @ | 7 P PRO @ ")</f>
        <v xml:space="preserve">| 5 L NS @ | 6 L CPT @ | 7 P PRO @ </v>
      </c>
      <c r="BO608" s="4" t="str">
        <f ca="1">IFERROR(__xludf.DUMMYFUNCTION("""COMPUTED_VALUE"""),"| 5 L NS @ | 6 L JAVA @ | 7 P JAVA @ ")</f>
        <v xml:space="preserve">| 5 L NS @ | 6 L JAVA @ | 7 P JAVA @ </v>
      </c>
      <c r="BP608" s="4" t="str">
        <f ca="1">IFERROR(__xludf.DUMMYFUNCTION("""COMPUTED_VALUE"""),"| 1 L PHP-CGM % | 6 L JAVA % | 3 P PHP-CGM @ | 9 L INE @ ")</f>
        <v xml:space="preserve">| 1 L PHP-CGM % | 6 L JAVA % | 3 P PHP-CGM @ | 9 L INE @ </v>
      </c>
      <c r="BQ608" s="4" t="str">
        <f ca="1">IFERROR(__xludf.DUMMYFUNCTION("""COMPUTED_VALUE"""),"| 5 L CPT @ ")</f>
        <v xml:space="preserve">| 5 L CPT @ </v>
      </c>
      <c r="BR608" s="4"/>
      <c r="BS608" s="4" t="str">
        <f ca="1">IFERROR(__xludf.DUMMYFUNCTION("""COMPUTED_VALUE"""),"| 6 L CPT @ ")</f>
        <v xml:space="preserve">| 6 L CPT @ </v>
      </c>
      <c r="BT608" s="4"/>
      <c r="BU608" s="4"/>
      <c r="BV608" s="4" t="str">
        <f ca="1">IFERROR(__xludf.DUMMYFUNCTION("""COMPUTED_VALUE"""),"| 5 L PHP-CGM % | 6 L JAVA % ")</f>
        <v xml:space="preserve">| 5 L PHP-CGM % | 6 L JAVA % </v>
      </c>
      <c r="BW608" s="4"/>
      <c r="BX608" s="4" t="str">
        <f ca="1">IFERROR(__xludf.DUMMYFUNCTION("""COMPUTED_VALUE"""),"| 5 L CPT % | 6 L PHP-CGM % ")</f>
        <v xml:space="preserve">| 5 L CPT % | 6 L PHP-CGM % </v>
      </c>
      <c r="BY608" s="4" t="str">
        <f ca="1">IFERROR(__xludf.DUMMYFUNCTION("""COMPUTED_VALUE"""),"| 5 L NS % | 6 L CPT % | 7 P PRO % | 9 P JAVA % ")</f>
        <v xml:space="preserve">| 5 L NS % | 6 L CPT % | 7 P PRO % | 9 P JAVA % </v>
      </c>
      <c r="BZ608" s="4" t="str">
        <f ca="1">IFERROR(__xludf.DUMMYFUNCTION("""COMPUTED_VALUE"""),"| 5 L NS % | 6 L JAVA % | 7 P JAVA % | 9 P Python % ")</f>
        <v xml:space="preserve">| 5 L NS % | 6 L JAVA % | 7 P JAVA % | 9 P Python % </v>
      </c>
      <c r="CA608" s="4" t="str">
        <f ca="1">IFERROR(__xludf.DUMMYFUNCTION("""COMPUTED_VALUE"""),"| 1 L PHP-CGM % | 6 L JAVA % | 3 P PHP-CGM % ")</f>
        <v xml:space="preserve">| 1 L PHP-CGM % | 6 L JAVA % | 3 P PHP-CGM % </v>
      </c>
      <c r="CB608" s="4" t="str">
        <f ca="1">IFERROR(__xludf.DUMMYFUNCTION("""COMPUTED_VALUE"""),"| 5 L JAVA % | 6 L NS % | 7 P NS % | 9 L CPT % | 10 L PHP-CGM % ")</f>
        <v xml:space="preserve">| 5 L JAVA % | 6 L NS % | 7 P NS % | 9 L CPT % | 10 L PHP-CGM % </v>
      </c>
      <c r="CC608" s="4" t="str">
        <f ca="1">IFERROR(__xludf.DUMMYFUNCTION("""COMPUTED_VALUE"""),"| 5 L CPT % | 6 L PHP-CGM % | 7 P Python % | 9 P CPT % ")</f>
        <v xml:space="preserve">| 5 L CPT % | 6 L PHP-CGM % | 7 P Python % | 9 P CPT % </v>
      </c>
      <c r="CD608" s="4" t="str">
        <f ca="1">IFERROR(__xludf.DUMMYFUNCTION("""COMPUTED_VALUE"""),"| 5 L NS % | 6 L CPT % | 7 P PRO % ")</f>
        <v xml:space="preserve">| 5 L NS % | 6 L CPT % | 7 P PRO % </v>
      </c>
      <c r="CE608" s="4" t="str">
        <f ca="1">IFERROR(__xludf.DUMMYFUNCTION("""COMPUTED_VALUE"""),"| 5 L NS % | 6 L JAVA % | 7 P JAVA % ")</f>
        <v xml:space="preserve">| 5 L NS % | 6 L JAVA % | 7 P JAVA % </v>
      </c>
      <c r="CF608" s="4" t="str">
        <f ca="1">IFERROR(__xludf.DUMMYFUNCTION("""COMPUTED_VALUE"""),"| 5 L PHP-CGM % | 6 L JAVA % | 7 P PHP-CGM % | 9 L INE % ")</f>
        <v xml:space="preserve">| 5 L PHP-CGM % | 6 L JAVA % | 7 P PHP-CGM % | 9 L INE % </v>
      </c>
      <c r="CG608" s="4" t="str">
        <f ca="1">IFERROR(__xludf.DUMMYFUNCTION("""COMPUTED_VALUE"""),"| 5 L JAVA % | 6 L NS @ | 7 P NS % ")</f>
        <v xml:space="preserve">| 5 L JAVA % | 6 L NS @ | 7 P NS % </v>
      </c>
      <c r="CH608" s="4" t="str">
        <f ca="1">IFERROR(__xludf.DUMMYFUNCTION("""COMPUTED_VALUE"""),"| 5 L CPT % | 7 P Python % | 9 P CPT % ")</f>
        <v xml:space="preserve">| 5 L CPT % | 7 P Python % | 9 P CPT % </v>
      </c>
      <c r="CI608" s="4" t="str">
        <f ca="1">IFERROR(__xludf.DUMMYFUNCTION("""COMPUTED_VALUE"""),"| 5 L NS @ | 6 L CPT @ ")</f>
        <v xml:space="preserve">| 5 L NS @ | 6 L CPT @ </v>
      </c>
      <c r="CJ608" s="4" t="str">
        <f ca="1">IFERROR(__xludf.DUMMYFUNCTION("""COMPUTED_VALUE"""),"| 5 L NS @ ")</f>
        <v xml:space="preserve">| 5 L NS @ </v>
      </c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</row>
    <row r="609" spans="1:102" ht="12.5" x14ac:dyDescent="0.25">
      <c r="A609" s="3">
        <f ca="1">IFERROR(__xludf.DUMMYFUNCTION("""COMPUTED_VALUE"""),3)</f>
        <v>3</v>
      </c>
      <c r="B609" s="3" t="str">
        <f ca="1">IFERROR(__xludf.DUMMYFUNCTION("""COMPUTED_VALUE"""),"ITD")</f>
        <v>ITD</v>
      </c>
      <c r="C609" s="32" t="str">
        <f ca="1">IFERROR(__xludf.DUMMYFUNCTION("""COMPUTED_VALUE"""),"23171371091")</f>
        <v>23171371091</v>
      </c>
      <c r="D609" s="4" t="str">
        <f ca="1">IFERROR(__xludf.DUMMYFUNCTION("""COMPUTED_VALUE"""),"PATEL JEELKUMAR PRESHBHAI")</f>
        <v>PATEL JEELKUMAR PRESHBHAI</v>
      </c>
      <c r="E609" s="3" t="str">
        <f ca="1">IFERROR(__xludf.DUMMYFUNCTION("""COMPUTED_VALUE"""),"SRC - Eve")</f>
        <v>SRC - Eve</v>
      </c>
      <c r="F609" s="3">
        <f ca="1">IFERROR(__xludf.DUMMYFUNCTION("""COMPUTED_VALUE"""),9925167614)</f>
        <v>9925167614</v>
      </c>
      <c r="G609" s="3">
        <f ca="1">IFERROR(__xludf.DUMMYFUNCTION("""COMPUTED_VALUE"""),9925167682)</f>
        <v>9925167682</v>
      </c>
      <c r="H609" s="33">
        <f ca="1">IFERROR(__xludf.DUMMYFUNCTION("""COMPUTED_VALUE"""),0.589041095890411)</f>
        <v>0.58904109589041098</v>
      </c>
      <c r="I609" s="25">
        <f ca="1">IFERROR(__xludf.DUMMYFUNCTION("""COMPUTED_VALUE"""),0.75)</f>
        <v>0.75</v>
      </c>
      <c r="J609" s="25">
        <f ca="1">IFERROR(__xludf.DUMMYFUNCTION("""COMPUTED_VALUE"""),0.6)</f>
        <v>0.6</v>
      </c>
      <c r="K609" s="25">
        <f ca="1">IFERROR(__xludf.DUMMYFUNCTION("""COMPUTED_VALUE"""),0.555555555555555)</f>
        <v>0.55555555555555503</v>
      </c>
      <c r="L609" s="25">
        <f ca="1">IFERROR(__xludf.DUMMYFUNCTION("""COMPUTED_VALUE"""),0.4)</f>
        <v>0.4</v>
      </c>
      <c r="M609" s="25">
        <f ca="1">IFERROR(__xludf.DUMMYFUNCTION("""COMPUTED_VALUE"""),0.78125)</f>
        <v>0.78125</v>
      </c>
      <c r="N609" s="25">
        <f ca="1">IFERROR(__xludf.DUMMYFUNCTION("""COMPUTED_VALUE"""),0.25)</f>
        <v>0.25</v>
      </c>
      <c r="O609" s="25">
        <f ca="1">IFERROR(__xludf.DUMMYFUNCTION("""COMPUTED_VALUE"""),0.588235294117647)</f>
        <v>0.58823529411764697</v>
      </c>
      <c r="P609" s="25">
        <f ca="1">IFERROR(__xludf.DUMMYFUNCTION("""COMPUTED_VALUE"""),0.470588235294117)</f>
        <v>0.47058823529411697</v>
      </c>
      <c r="Q609" s="25">
        <f ca="1">IFERROR(__xludf.DUMMYFUNCTION("""COMPUTED_VALUE"""),0)</f>
        <v>0</v>
      </c>
      <c r="R609" s="25">
        <f ca="1">IFERROR(__xludf.DUMMYFUNCTION("""COMPUTED_VALUE"""),0.555555555555555)</f>
        <v>0.55555555555555503</v>
      </c>
      <c r="S609" s="25">
        <f ca="1">IFERROR(__xludf.DUMMYFUNCTION("""COMPUTED_VALUE"""),0)</f>
        <v>0</v>
      </c>
      <c r="T609" s="25">
        <f ca="1">IFERROR(__xludf.DUMMYFUNCTION("""COMPUTED_VALUE"""),0.454545454545454)</f>
        <v>0.45454545454545398</v>
      </c>
      <c r="U609" s="25">
        <f ca="1">IFERROR(__xludf.DUMMYFUNCTION("""COMPUTED_VALUE"""),0.285714285714285)</f>
        <v>0.28571428571428498</v>
      </c>
      <c r="V609" s="25">
        <f ca="1">IFERROR(__xludf.DUMMYFUNCTION("""COMPUTED_VALUE"""),0)</f>
        <v>0</v>
      </c>
      <c r="W609" s="4"/>
      <c r="X609" s="4" t="str">
        <f ca="1">IFERROR(__xludf.DUMMYFUNCTION("""COMPUTED_VALUE"""),"| 1 L PHP-CGM % | 6 L JAVA % | 7 P Python @ ")</f>
        <v xml:space="preserve">| 1 L PHP-CGM % | 6 L JAVA % | 7 P Python @ </v>
      </c>
      <c r="Y609" s="4" t="str">
        <f ca="1">IFERROR(__xludf.DUMMYFUNCTION("""COMPUTED_VALUE"""),"| 5 L JAVA % | 6 L NS % | 7 P CPT @ | 9 L CPT % | 6 L PHP-CGM % ")</f>
        <v xml:space="preserve">| 5 L JAVA % | 6 L NS % | 7 P CPT @ | 9 L CPT % | 6 L PHP-CGM % </v>
      </c>
      <c r="Z609" s="4" t="str">
        <f ca="1">IFERROR(__xludf.DUMMYFUNCTION("""COMPUTED_VALUE"""),"| 5 L CPT % | 6 L PHP-CGM % | 7 P JAVA % | 9 P Python % ")</f>
        <v xml:space="preserve">| 5 L CPT % | 6 L PHP-CGM % | 7 P JAVA % | 9 P Python % </v>
      </c>
      <c r="AA609" s="4" t="str">
        <f ca="1">IFERROR(__xludf.DUMMYFUNCTION("""COMPUTED_VALUE"""),"| 5 L NS % | 6 L CPT % | 7 P PRO % | 9 P NS % ")</f>
        <v xml:space="preserve">| 5 L NS % | 6 L CPT % | 7 P PRO % | 9 P NS % </v>
      </c>
      <c r="AB609" s="4" t="str">
        <f ca="1">IFERROR(__xludf.DUMMYFUNCTION("""COMPUTED_VALUE"""),"| 5 L NS % | 6 L JAVA % | 7 P PHP-CGM @ | 9 P JAVA @ ")</f>
        <v xml:space="preserve">| 5 L NS % | 6 L JAVA % | 7 P PHP-CGM @ | 9 P JAVA @ </v>
      </c>
      <c r="AC609" s="4" t="str">
        <f ca="1">IFERROR(__xludf.DUMMYFUNCTION("""COMPUTED_VALUE"""),"| 1 L PHP-CGM % | 6 L JAVA % | 7 P Python % ")</f>
        <v xml:space="preserve">| 1 L PHP-CGM % | 6 L JAVA % | 7 P Python % </v>
      </c>
      <c r="AD609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09" s="4" t="str">
        <f ca="1">IFERROR(__xludf.DUMMYFUNCTION("""COMPUTED_VALUE"""),"| 5 L CPT % | 6 L PHP-CGM % | 7 P JAVA % | 9 P Python % ")</f>
        <v xml:space="preserve">| 5 L CPT % | 6 L PHP-CGM % | 7 P JAVA % | 9 P Python % </v>
      </c>
      <c r="AF609" s="4" t="str">
        <f ca="1">IFERROR(__xludf.DUMMYFUNCTION("""COMPUTED_VALUE"""),"| 5 L NS % | 6 L CPT % | 7 P PRO % | 9 P NS @ ")</f>
        <v xml:space="preserve">| 5 L NS % | 6 L CPT % | 7 P PRO % | 9 P NS @ </v>
      </c>
      <c r="AG609" s="4" t="str">
        <f ca="1">IFERROR(__xludf.DUMMYFUNCTION("""COMPUTED_VALUE"""),"| 5 L NS @ | 6 L JAVA @ | 7 P PHP-CGM @ | 9 P JAVA @ ")</f>
        <v xml:space="preserve">| 5 L NS @ | 6 L JAVA @ | 7 P PHP-CGM @ | 9 P JAVA @ </v>
      </c>
      <c r="AH609" s="4" t="str">
        <f ca="1">IFERROR(__xludf.DUMMYFUNCTION("""COMPUTED_VALUE"""),"| 5 L NS % | 6 L CPT % | 7 P PRO % | 9 P NS % ")</f>
        <v xml:space="preserve">| 5 L NS % | 6 L CPT % | 7 P PRO % | 9 P NS % </v>
      </c>
      <c r="AI609" s="4" t="str">
        <f ca="1">IFERROR(__xludf.DUMMYFUNCTION("""COMPUTED_VALUE"""),"| 5 L NS % | 6 L JAVA % | 7 P PHP-CGM % | 9 P JAVA % ")</f>
        <v xml:space="preserve">| 5 L NS % | 6 L JAVA % | 7 P PHP-CGM % | 9 P JAVA % </v>
      </c>
      <c r="AJ609" s="4" t="str">
        <f ca="1">IFERROR(__xludf.DUMMYFUNCTION("""COMPUTED_VALUE"""),"| 1 L PHP-CGM % | 6 L JAVA % | 7 P Python % ")</f>
        <v xml:space="preserve">| 1 L PHP-CGM % | 6 L JAVA % | 7 P Python % </v>
      </c>
      <c r="AK609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09" s="4" t="str">
        <f ca="1">IFERROR(__xludf.DUMMYFUNCTION("""COMPUTED_VALUE"""),"| 5 L CPT % | 6 L PHP-CGM % | 7 P JAVA @ | 9 P Python @ ")</f>
        <v xml:space="preserve">| 5 L CPT % | 6 L PHP-CGM % | 7 P JAVA @ | 9 P Python @ </v>
      </c>
      <c r="AM609" s="4" t="str">
        <f ca="1">IFERROR(__xludf.DUMMYFUNCTION("""COMPUTED_VALUE"""),"| 5 L NS @ | 6 L CPT % | 9 P JAVA @ ")</f>
        <v xml:space="preserve">| 5 L NS @ | 6 L CPT % | 9 P JAVA @ </v>
      </c>
      <c r="AN609" s="4" t="str">
        <f ca="1">IFERROR(__xludf.DUMMYFUNCTION("""COMPUTED_VALUE"""),"| 5 L NS @ | 6 L JAVA @ ")</f>
        <v xml:space="preserve">| 5 L NS @ | 6 L JAVA @ </v>
      </c>
      <c r="AO609" s="4" t="str">
        <f ca="1">IFERROR(__xludf.DUMMYFUNCTION("""COMPUTED_VALUE"""),"| 1 L PHP-CGM % | 6 L JAVA % | 9 L INE @ ")</f>
        <v xml:space="preserve">| 1 L PHP-CGM % | 6 L JAVA % | 9 L INE @ </v>
      </c>
      <c r="AP609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09" s="4" t="str">
        <f ca="1">IFERROR(__xludf.DUMMYFUNCTION("""COMPUTED_VALUE"""),"| 5 L CPT % | 6 L PHP-CGM % ")</f>
        <v xml:space="preserve">| 5 L CPT % | 6 L PHP-CGM % </v>
      </c>
      <c r="AR609" s="4" t="str">
        <f ca="1">IFERROR(__xludf.DUMMYFUNCTION("""COMPUTED_VALUE"""),"| 5 L NS % | 6 L CPT % | 7 P PRO @ ")</f>
        <v xml:space="preserve">| 5 L NS % | 6 L CPT % | 7 P PRO @ </v>
      </c>
      <c r="AS609" s="4" t="str">
        <f ca="1">IFERROR(__xludf.DUMMYFUNCTION("""COMPUTED_VALUE"""),"| 1 L PHP-CGM % | 6 L JAVA % | 7 P Python % | 9 L INE @ ")</f>
        <v xml:space="preserve">| 1 L PHP-CGM % | 6 L JAVA % | 7 P Python % | 9 L INE @ </v>
      </c>
      <c r="AT609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09" s="4" t="str">
        <f ca="1">IFERROR(__xludf.DUMMYFUNCTION("""COMPUTED_VALUE"""),"| 5 L CPT % | 6 L PHP-CGM % | 7 P JAVA @ | 9 P Python @ ")</f>
        <v xml:space="preserve">| 5 L CPT % | 6 L PHP-CGM % | 7 P JAVA @ | 9 P Python @ </v>
      </c>
      <c r="AV609" s="4" t="str">
        <f ca="1">IFERROR(__xludf.DUMMYFUNCTION("""COMPUTED_VALUE"""),"| 5 L NS @ | 6 L CPT @ | 7 P PRO @ | 9 P NS @ ")</f>
        <v xml:space="preserve">| 5 L NS @ | 6 L CPT @ | 7 P PRO @ | 9 P NS @ </v>
      </c>
      <c r="AW609" s="4" t="str">
        <f ca="1">IFERROR(__xludf.DUMMYFUNCTION("""COMPUTED_VALUE"""),"| 5 L NS @ | 6 L JAVA @ | 7 P PHP-CGM @ | 9 P JAVA @ ")</f>
        <v xml:space="preserve">| 5 L NS @ | 6 L JAVA @ | 7 P PHP-CGM @ | 9 P JAVA @ </v>
      </c>
      <c r="AX609" s="4" t="str">
        <f ca="1">IFERROR(__xludf.DUMMYFUNCTION("""COMPUTED_VALUE"""),"| 1 L PHP-CGM @ | 6 L JAVA @ | 7 P Python @ | 9 L INE @ ")</f>
        <v xml:space="preserve">| 1 L PHP-CGM @ | 6 L JAVA @ | 7 P Python @ | 9 L INE @ </v>
      </c>
      <c r="AY609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09" s="4" t="str">
        <f ca="1">IFERROR(__xludf.DUMMYFUNCTION("""COMPUTED_VALUE"""),"| 5 L NS @ | 6 L CPT @ | 7 P PRO @ | 9 P NS @ ")</f>
        <v xml:space="preserve">| 5 L NS @ | 6 L CPT @ | 7 P PRO @ | 9 P NS @ </v>
      </c>
      <c r="BA609" s="4" t="str">
        <f ca="1">IFERROR(__xludf.DUMMYFUNCTION("""COMPUTED_VALUE"""),"| 5 L NS % | 6 L JAVA % ")</f>
        <v xml:space="preserve">| 5 L NS % | 6 L JAVA % </v>
      </c>
      <c r="BB609" s="4" t="str">
        <f ca="1">IFERROR(__xludf.DUMMYFUNCTION("""COMPUTED_VALUE"""),"| 1 L PHP-CGM % | 6 L JAVA % | 7 P Python @ | 9 L INE % ")</f>
        <v xml:space="preserve">| 1 L PHP-CGM % | 6 L JAVA % | 7 P Python @ | 9 L INE % </v>
      </c>
      <c r="BC609" s="4" t="str">
        <f ca="1">IFERROR(__xludf.DUMMYFUNCTION("""COMPUTED_VALUE"""),"| 5 L JAVA % | 6 L NS % | 7 P CPT @ | 10 L PHP-CGM % | 9 L CPT % ")</f>
        <v xml:space="preserve">| 5 L JAVA % | 6 L NS % | 7 P CPT @ | 10 L PHP-CGM % | 9 L CPT % </v>
      </c>
      <c r="BD609" s="4" t="str">
        <f ca="1">IFERROR(__xludf.DUMMYFUNCTION("""COMPUTED_VALUE"""),"| 5 L CPT % | 6 L PHP-CGM % | 7 P JAVA % | 9 P Python % ")</f>
        <v xml:space="preserve">| 5 L CPT % | 6 L PHP-CGM % | 7 P JAVA % | 9 P Python % </v>
      </c>
      <c r="BE609" s="4" t="str">
        <f ca="1">IFERROR(__xludf.DUMMYFUNCTION("""COMPUTED_VALUE"""),"| 5 L NS % | 6 L CPT % | 9 P JAVA % | 7 P PRO @ | 9 P NS % ")</f>
        <v xml:space="preserve">| 5 L NS % | 6 L CPT % | 9 P JAVA % | 7 P PRO @ | 9 P NS % </v>
      </c>
      <c r="BF609" s="4" t="str">
        <f ca="1">IFERROR(__xludf.DUMMYFUNCTION("""COMPUTED_VALUE"""),"| 5 L NS @ | 6 L JAVA @ | 7 P PHP-CGM @ | 9 P JAVA @ ")</f>
        <v xml:space="preserve">| 5 L NS @ | 6 L JAVA @ | 7 P PHP-CGM @ | 9 P JAVA @ </v>
      </c>
      <c r="BG609" s="4" t="str">
        <f ca="1">IFERROR(__xludf.DUMMYFUNCTION("""COMPUTED_VALUE"""),"| 5 L JAVA % | 6 L NS % | 9 L CPT @ | 7 P CPT @ | 10 L PHP-CGM @ ")</f>
        <v xml:space="preserve">| 5 L JAVA % | 6 L NS % | 9 L CPT @ | 7 P CPT @ | 10 L PHP-CGM @ </v>
      </c>
      <c r="BH609" s="4" t="str">
        <f ca="1">IFERROR(__xludf.DUMMYFUNCTION("""COMPUTED_VALUE"""),"| 5 L CPT % | 7 P JAVA % | 6 L PHP-CGM % | 9 P Python % ")</f>
        <v xml:space="preserve">| 5 L CPT % | 7 P JAVA % | 6 L PHP-CGM % | 9 P Python % </v>
      </c>
      <c r="BI609" s="4" t="str">
        <f ca="1">IFERROR(__xludf.DUMMYFUNCTION("""COMPUTED_VALUE"""),"| 5 L NS % | 6 L CPT % | 7 P PRO @ | 9 P NS @ ")</f>
        <v xml:space="preserve">| 5 L NS % | 6 L CPT % | 7 P PRO @ | 9 P NS @ </v>
      </c>
      <c r="BJ609" s="4" t="str">
        <f ca="1">IFERROR(__xludf.DUMMYFUNCTION("""COMPUTED_VALUE"""),"| 5 L NS @ | 6 L JAVA @ | 7 P PHP-CGM @ ")</f>
        <v xml:space="preserve">| 5 L NS @ | 6 L JAVA @ | 7 P PHP-CGM @ </v>
      </c>
      <c r="BK609" s="4" t="str">
        <f ca="1">IFERROR(__xludf.DUMMYFUNCTION("""COMPUTED_VALUE"""),"| 1 L PHP-CGM @ | 6 L JAVA @ | 7 P Python @ | 9 L INE @ ")</f>
        <v xml:space="preserve">| 1 L PHP-CGM @ | 6 L JAVA @ | 7 P Python @ | 9 L INE @ </v>
      </c>
      <c r="BL609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09" s="4" t="str">
        <f ca="1">IFERROR(__xludf.DUMMYFUNCTION("""COMPUTED_VALUE"""),"| 5 L CPT @ | 6 L PHP-CGM @ | 7 P JAVA @ | 9 P Python @ ")</f>
        <v xml:space="preserve">| 5 L CPT @ | 6 L PHP-CGM @ | 7 P JAVA @ | 9 P Python @ </v>
      </c>
      <c r="BN609" s="4" t="str">
        <f ca="1">IFERROR(__xludf.DUMMYFUNCTION("""COMPUTED_VALUE"""),"| 5 L NS @ | 6 L CPT @ | 7 P PRO @ | 9 P NS @ ")</f>
        <v xml:space="preserve">| 5 L NS @ | 6 L CPT @ | 7 P PRO @ | 9 P NS @ </v>
      </c>
      <c r="BO609" s="4" t="str">
        <f ca="1">IFERROR(__xludf.DUMMYFUNCTION("""COMPUTED_VALUE"""),"| 5 L NS @ | 6 L JAVA @ ")</f>
        <v xml:space="preserve">| 5 L NS @ | 6 L JAVA @ </v>
      </c>
      <c r="BP609" s="4" t="str">
        <f ca="1">IFERROR(__xludf.DUMMYFUNCTION("""COMPUTED_VALUE"""),"| 1 L PHP-CGM @ | 6 L JAVA @ | 9 L INE @ ")</f>
        <v xml:space="preserve">| 1 L PHP-CGM @ | 6 L JAVA @ | 9 L INE @ </v>
      </c>
      <c r="BQ609" s="4" t="str">
        <f ca="1">IFERROR(__xludf.DUMMYFUNCTION("""COMPUTED_VALUE"""),"| 5 L CPT % ")</f>
        <v xml:space="preserve">| 5 L CPT % </v>
      </c>
      <c r="BR609" s="4"/>
      <c r="BS609" s="4" t="str">
        <f ca="1">IFERROR(__xludf.DUMMYFUNCTION("""COMPUTED_VALUE"""),"| 6 L CPT @ ")</f>
        <v xml:space="preserve">| 6 L CPT @ </v>
      </c>
      <c r="BT609" s="4"/>
      <c r="BU609" s="4"/>
      <c r="BV609" s="4" t="str">
        <f ca="1">IFERROR(__xludf.DUMMYFUNCTION("""COMPUTED_VALUE"""),"| 5 L PHP-CGM % | 6 L JAVA % ")</f>
        <v xml:space="preserve">| 5 L PHP-CGM % | 6 L JAVA % </v>
      </c>
      <c r="BW609" s="4"/>
      <c r="BX609" s="4" t="str">
        <f ca="1">IFERROR(__xludf.DUMMYFUNCTION("""COMPUTED_VALUE"""),"| 5 L CPT % | 7 P JAVA % | 6 L PHP-CGM % ")</f>
        <v xml:space="preserve">| 5 L CPT % | 7 P JAVA % | 6 L PHP-CGM % </v>
      </c>
      <c r="BY609" s="4" t="str">
        <f ca="1">IFERROR(__xludf.DUMMYFUNCTION("""COMPUTED_VALUE"""),"| 5 L NS % | 6 L CPT % | 7 P PRO % | 9 P NS % ")</f>
        <v xml:space="preserve">| 5 L NS % | 6 L CPT % | 7 P PRO % | 9 P NS % </v>
      </c>
      <c r="BZ609" s="4" t="str">
        <f ca="1">IFERROR(__xludf.DUMMYFUNCTION("""COMPUTED_VALUE"""),"| 5 L NS % | 6 L JAVA @ | 7 P PHP-CGM % ")</f>
        <v xml:space="preserve">| 5 L NS % | 6 L JAVA @ | 7 P PHP-CGM % </v>
      </c>
      <c r="CA609" s="4" t="str">
        <f ca="1">IFERROR(__xludf.DUMMYFUNCTION("""COMPUTED_VALUE"""),"| 1 L PHP-CGM % | 6 L JAVA % | 7 P Python % ")</f>
        <v xml:space="preserve">| 1 L PHP-CGM % | 6 L JAVA % | 7 P Python % </v>
      </c>
      <c r="CB609" s="4" t="str">
        <f ca="1">IFERROR(__xludf.DUMMYFUNCTION("""COMPUTED_VALUE"""),"| 5 L JAVA @ | 6 L NS @ | 7 P CPT % | 9 L CPT % | 10 L PHP-CGM % ")</f>
        <v xml:space="preserve">| 5 L JAVA @ | 6 L NS @ | 7 P CPT % | 9 L CPT % | 10 L PHP-CGM % </v>
      </c>
      <c r="CC609" s="4" t="str">
        <f ca="1">IFERROR(__xludf.DUMMYFUNCTION("""COMPUTED_VALUE"""),"| 5 L CPT % | 6 L PHP-CGM % | 7 P JAVA % | 9 P Python % ")</f>
        <v xml:space="preserve">| 5 L CPT % | 6 L PHP-CGM % | 7 P JAVA % | 9 P Python % </v>
      </c>
      <c r="CD609" s="4" t="str">
        <f ca="1">IFERROR(__xludf.DUMMYFUNCTION("""COMPUTED_VALUE"""),"| 5 L NS % | 6 L CPT % | 7 P PRO % ")</f>
        <v xml:space="preserve">| 5 L NS % | 6 L CPT % | 7 P PRO % </v>
      </c>
      <c r="CE609" s="4" t="str">
        <f ca="1">IFERROR(__xludf.DUMMYFUNCTION("""COMPUTED_VALUE"""),"| 5 L NS @ | 6 L JAVA @ | 7 P PHP-CGM @ | 9 P JAVA @ ")</f>
        <v xml:space="preserve">| 5 L NS @ | 6 L JAVA @ | 7 P PHP-CGM @ | 9 P JAVA @ </v>
      </c>
      <c r="CF609" s="4" t="str">
        <f ca="1">IFERROR(__xludf.DUMMYFUNCTION("""COMPUTED_VALUE"""),"| 5 L PHP-CGM @ | 6 L JAVA % | 7 P Python % | 9 L INE % ")</f>
        <v xml:space="preserve">| 5 L PHP-CGM @ | 6 L JAVA % | 7 P Python % | 9 L INE % </v>
      </c>
      <c r="CG609" s="4" t="str">
        <f ca="1">IFERROR(__xludf.DUMMYFUNCTION("""COMPUTED_VALUE"""),"| 5 L JAVA @ | 6 L NS @ ")</f>
        <v xml:space="preserve">| 5 L JAVA @ | 6 L NS @ </v>
      </c>
      <c r="CH609" s="4" t="str">
        <f ca="1">IFERROR(__xludf.DUMMYFUNCTION("""COMPUTED_VALUE"""),"| 5 L CPT @ | 9 P Python @ ")</f>
        <v xml:space="preserve">| 5 L CPT @ | 9 P Python @ </v>
      </c>
      <c r="CI609" s="4" t="str">
        <f ca="1">IFERROR(__xludf.DUMMYFUNCTION("""COMPUTED_VALUE"""),"| 5 L NS @ | 6 L CPT @ | 9 P NS @ ")</f>
        <v xml:space="preserve">| 5 L NS @ | 6 L CPT @ | 9 P NS @ </v>
      </c>
      <c r="CJ609" s="4" t="str">
        <f ca="1">IFERROR(__xludf.DUMMYFUNCTION("""COMPUTED_VALUE"""),"| 5 L NS @ ")</f>
        <v xml:space="preserve">| 5 L NS @ </v>
      </c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</row>
    <row r="610" spans="1:102" ht="12.5" x14ac:dyDescent="0.25">
      <c r="A610" s="3">
        <f ca="1">IFERROR(__xludf.DUMMYFUNCTION("""COMPUTED_VALUE"""),3)</f>
        <v>3</v>
      </c>
      <c r="B610" s="3" t="str">
        <f ca="1">IFERROR(__xludf.DUMMYFUNCTION("""COMPUTED_VALUE"""),"ITD")</f>
        <v>ITD</v>
      </c>
      <c r="C610" s="32" t="str">
        <f ca="1">IFERROR(__xludf.DUMMYFUNCTION("""COMPUTED_VALUE"""),"23171371092")</f>
        <v>23171371092</v>
      </c>
      <c r="D610" s="4" t="str">
        <f ca="1">IFERROR(__xludf.DUMMYFUNCTION("""COMPUTED_VALUE"""),"PATEL KAVAN PARESHBHAI")</f>
        <v>PATEL KAVAN PARESHBHAI</v>
      </c>
      <c r="E610" s="3" t="str">
        <f ca="1">IFERROR(__xludf.DUMMYFUNCTION("""COMPUTED_VALUE"""),"SRC - Eve")</f>
        <v>SRC - Eve</v>
      </c>
      <c r="F610" s="3">
        <f ca="1">IFERROR(__xludf.DUMMYFUNCTION("""COMPUTED_VALUE"""),7435010004)</f>
        <v>7435010004</v>
      </c>
      <c r="G610" s="3">
        <f ca="1">IFERROR(__xludf.DUMMYFUNCTION("""COMPUTED_VALUE"""),9428642924)</f>
        <v>9428642924</v>
      </c>
      <c r="H610" s="33">
        <f ca="1">IFERROR(__xludf.DUMMYFUNCTION("""COMPUTED_VALUE"""),0.721461187214611)</f>
        <v>0.72146118721461105</v>
      </c>
      <c r="I610" s="25">
        <f ca="1">IFERROR(__xludf.DUMMYFUNCTION("""COMPUTED_VALUE"""),0.805555555555555)</f>
        <v>0.80555555555555503</v>
      </c>
      <c r="J610" s="25">
        <f ca="1">IFERROR(__xludf.DUMMYFUNCTION("""COMPUTED_VALUE"""),0.7)</f>
        <v>0.7</v>
      </c>
      <c r="K610" s="25">
        <f ca="1">IFERROR(__xludf.DUMMYFUNCTION("""COMPUTED_VALUE"""),0.666666666666666)</f>
        <v>0.66666666666666596</v>
      </c>
      <c r="L610" s="25">
        <f ca="1">IFERROR(__xludf.DUMMYFUNCTION("""COMPUTED_VALUE"""),0.9)</f>
        <v>0.9</v>
      </c>
      <c r="M610" s="25">
        <f ca="1">IFERROR(__xludf.DUMMYFUNCTION("""COMPUTED_VALUE"""),0.65625)</f>
        <v>0.65625</v>
      </c>
      <c r="N610" s="25">
        <f ca="1">IFERROR(__xludf.DUMMYFUNCTION("""COMPUTED_VALUE"""),0.75)</f>
        <v>0.75</v>
      </c>
      <c r="O610" s="25">
        <f ca="1">IFERROR(__xludf.DUMMYFUNCTION("""COMPUTED_VALUE"""),0.588235294117647)</f>
        <v>0.58823529411764697</v>
      </c>
      <c r="P610" s="25">
        <f ca="1">IFERROR(__xludf.DUMMYFUNCTION("""COMPUTED_VALUE"""),0.823529411764705)</f>
        <v>0.82352941176470495</v>
      </c>
      <c r="Q610" s="25">
        <f ca="1">IFERROR(__xludf.DUMMYFUNCTION("""COMPUTED_VALUE"""),0)</f>
        <v>0</v>
      </c>
      <c r="R610" s="25">
        <f ca="1">IFERROR(__xludf.DUMMYFUNCTION("""COMPUTED_VALUE"""),0.833333333333333)</f>
        <v>0.83333333333333304</v>
      </c>
      <c r="S610" s="25">
        <f ca="1">IFERROR(__xludf.DUMMYFUNCTION("""COMPUTED_VALUE"""),0)</f>
        <v>0</v>
      </c>
      <c r="T610" s="25">
        <f ca="1">IFERROR(__xludf.DUMMYFUNCTION("""COMPUTED_VALUE"""),0.909090909090909)</f>
        <v>0.90909090909090895</v>
      </c>
      <c r="U610" s="25">
        <f ca="1">IFERROR(__xludf.DUMMYFUNCTION("""COMPUTED_VALUE"""),0.428571428571428)</f>
        <v>0.42857142857142799</v>
      </c>
      <c r="V610" s="25">
        <f ca="1">IFERROR(__xludf.DUMMYFUNCTION("""COMPUTED_VALUE"""),0)</f>
        <v>0</v>
      </c>
      <c r="W610" s="4"/>
      <c r="X610" s="4" t="str">
        <f ca="1">IFERROR(__xludf.DUMMYFUNCTION("""COMPUTED_VALUE"""),"| 1 L PHP-CGM @ | 6 L JAVA @ | 7 P Python % ")</f>
        <v xml:space="preserve">| 1 L PHP-CGM @ | 6 L JAVA @ | 7 P Python % </v>
      </c>
      <c r="Y610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10" s="4" t="str">
        <f ca="1">IFERROR(__xludf.DUMMYFUNCTION("""COMPUTED_VALUE"""),"| 5 L CPT % | 6 L PHP-CGM % | 7 P JAVA @ | 9 P Python @ ")</f>
        <v xml:space="preserve">| 5 L CPT % | 6 L PHP-CGM % | 7 P JAVA @ | 9 P Python @ </v>
      </c>
      <c r="AA610" s="4" t="str">
        <f ca="1">IFERROR(__xludf.DUMMYFUNCTION("""COMPUTED_VALUE"""),"| 5 L NS % | 6 L CPT % | 7 P PRO % | 9 P NS % ")</f>
        <v xml:space="preserve">| 5 L NS % | 6 L CPT % | 7 P PRO % | 9 P NS % </v>
      </c>
      <c r="AB610" s="4" t="str">
        <f ca="1">IFERROR(__xludf.DUMMYFUNCTION("""COMPUTED_VALUE"""),"| 5 L NS % | 6 L JAVA % | 7 P PHP-CGM % | 9 P JAVA % ")</f>
        <v xml:space="preserve">| 5 L NS % | 6 L JAVA % | 7 P PHP-CGM % | 9 P JAVA % </v>
      </c>
      <c r="AC610" s="4" t="str">
        <f ca="1">IFERROR(__xludf.DUMMYFUNCTION("""COMPUTED_VALUE"""),"| 1 L PHP-CGM % | 6 L JAVA % | 7 P Python % ")</f>
        <v xml:space="preserve">| 1 L PHP-CGM % | 6 L JAVA % | 7 P Python % </v>
      </c>
      <c r="AD610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10" s="4" t="str">
        <f ca="1">IFERROR(__xludf.DUMMYFUNCTION("""COMPUTED_VALUE"""),"| 5 L CPT % | 6 L PHP-CGM % | 7 P JAVA % | 9 P Python % ")</f>
        <v xml:space="preserve">| 5 L CPT % | 6 L PHP-CGM % | 7 P JAVA % | 9 P Python % </v>
      </c>
      <c r="AF610" s="4" t="str">
        <f ca="1">IFERROR(__xludf.DUMMYFUNCTION("""COMPUTED_VALUE"""),"| 5 L NS % | 6 L CPT % | 7 P PRO % | 9 P NS % ")</f>
        <v xml:space="preserve">| 5 L NS % | 6 L CPT % | 7 P PRO % | 9 P NS % </v>
      </c>
      <c r="AG610" s="4" t="str">
        <f ca="1">IFERROR(__xludf.DUMMYFUNCTION("""COMPUTED_VALUE"""),"| 5 L NS % | 6 L JAVA % | 7 P PHP-CGM % | 9 P JAVA @ ")</f>
        <v xml:space="preserve">| 5 L NS % | 6 L JAVA % | 7 P PHP-CGM % | 9 P JAVA @ </v>
      </c>
      <c r="AH610" s="4" t="str">
        <f ca="1">IFERROR(__xludf.DUMMYFUNCTION("""COMPUTED_VALUE"""),"| 5 L NS % | 6 L CPT % | 7 P PRO % | 9 P NS % ")</f>
        <v xml:space="preserve">| 5 L NS % | 6 L CPT % | 7 P PRO % | 9 P NS % </v>
      </c>
      <c r="AI610" s="4" t="str">
        <f ca="1">IFERROR(__xludf.DUMMYFUNCTION("""COMPUTED_VALUE"""),"| 5 L NS % | 6 L JAVA % | 7 P PHP-CGM % | 9 P JAVA % ")</f>
        <v xml:space="preserve">| 5 L NS % | 6 L JAVA % | 7 P PHP-CGM % | 9 P JAVA % </v>
      </c>
      <c r="AJ610" s="4" t="str">
        <f ca="1">IFERROR(__xludf.DUMMYFUNCTION("""COMPUTED_VALUE"""),"| 1 L PHP-CGM % | 6 L JAVA % | 7 P Python % ")</f>
        <v xml:space="preserve">| 1 L PHP-CGM % | 6 L JAVA % | 7 P Python % </v>
      </c>
      <c r="AK610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10" s="4" t="str">
        <f ca="1">IFERROR(__xludf.DUMMYFUNCTION("""COMPUTED_VALUE"""),"| 5 L CPT % | 6 L PHP-CGM % | 7 P JAVA % | 9 P Python % ")</f>
        <v xml:space="preserve">| 5 L CPT % | 6 L PHP-CGM % | 7 P JAVA % | 9 P Python % </v>
      </c>
      <c r="AM610" s="4" t="str">
        <f ca="1">IFERROR(__xludf.DUMMYFUNCTION("""COMPUTED_VALUE"""),"| 5 L NS % | 6 L CPT % | 9 P JAVA % ")</f>
        <v xml:space="preserve">| 5 L NS % | 6 L CPT % | 9 P JAVA % </v>
      </c>
      <c r="AN610" s="4" t="str">
        <f ca="1">IFERROR(__xludf.DUMMYFUNCTION("""COMPUTED_VALUE"""),"| 5 L NS @ | 6 L JAVA @ ")</f>
        <v xml:space="preserve">| 5 L NS @ | 6 L JAVA @ </v>
      </c>
      <c r="AO610" s="4" t="str">
        <f ca="1">IFERROR(__xludf.DUMMYFUNCTION("""COMPUTED_VALUE"""),"| 1 L PHP-CGM @ | 6 L JAVA @ | 9 L INE @ ")</f>
        <v xml:space="preserve">| 1 L PHP-CGM @ | 6 L JAVA @ | 9 L INE @ </v>
      </c>
      <c r="AP610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AQ610" s="4" t="str">
        <f ca="1">IFERROR(__xludf.DUMMYFUNCTION("""COMPUTED_VALUE"""),"| 5 L CPT % | 6 L PHP-CGM % ")</f>
        <v xml:space="preserve">| 5 L CPT % | 6 L PHP-CGM % </v>
      </c>
      <c r="AR610" s="4" t="str">
        <f ca="1">IFERROR(__xludf.DUMMYFUNCTION("""COMPUTED_VALUE"""),"| 5 L NS @ | 6 L CPT @ | 7 P PRO @ ")</f>
        <v xml:space="preserve">| 5 L NS @ | 6 L CPT @ | 7 P PRO @ </v>
      </c>
      <c r="AS610" s="4" t="str">
        <f ca="1">IFERROR(__xludf.DUMMYFUNCTION("""COMPUTED_VALUE"""),"| 1 L PHP-CGM @ | 6 L JAVA @ | 7 P Python @ | 9 L INE @ ")</f>
        <v xml:space="preserve">| 1 L PHP-CGM @ | 6 L JAVA @ | 7 P Python @ | 9 L INE @ </v>
      </c>
      <c r="AT610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AU610" s="4" t="str">
        <f ca="1">IFERROR(__xludf.DUMMYFUNCTION("""COMPUTED_VALUE"""),"| 5 L CPT % | 6 L PHP-CGM % | 7 P JAVA % | 9 P Python % ")</f>
        <v xml:space="preserve">| 5 L CPT % | 6 L PHP-CGM % | 7 P JAVA % | 9 P Python % </v>
      </c>
      <c r="AV610" s="4" t="str">
        <f ca="1">IFERROR(__xludf.DUMMYFUNCTION("""COMPUTED_VALUE"""),"| 5 L NS % | 6 L CPT % | 7 P PRO % | 9 P NS % ")</f>
        <v xml:space="preserve">| 5 L NS % | 6 L CPT % | 7 P PRO % | 9 P NS % </v>
      </c>
      <c r="AW610" s="4" t="str">
        <f ca="1">IFERROR(__xludf.DUMMYFUNCTION("""COMPUTED_VALUE"""),"| 5 L NS % | 6 L JAVA % | 7 P PHP-CGM % | 9 P JAVA % ")</f>
        <v xml:space="preserve">| 5 L NS % | 6 L JAVA % | 7 P PHP-CGM % | 9 P JAVA % </v>
      </c>
      <c r="AX610" s="4" t="str">
        <f ca="1">IFERROR(__xludf.DUMMYFUNCTION("""COMPUTED_VALUE"""),"| 1 L PHP-CGM % | 6 L JAVA % | 7 P Python % | 9 L INE % ")</f>
        <v xml:space="preserve">| 1 L PHP-CGM % | 6 L JAVA % | 7 P Python % | 9 L INE % </v>
      </c>
      <c r="AY610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0" s="4" t="str">
        <f ca="1">IFERROR(__xludf.DUMMYFUNCTION("""COMPUTED_VALUE"""),"| 5 L NS % | 6 L CPT % | 7 P PRO % | 9 P NS @ ")</f>
        <v xml:space="preserve">| 5 L NS % | 6 L CPT % | 7 P PRO % | 9 P NS @ </v>
      </c>
      <c r="BA610" s="4" t="str">
        <f ca="1">IFERROR(__xludf.DUMMYFUNCTION("""COMPUTED_VALUE"""),"| 5 L NS % | 6 L JAVA % ")</f>
        <v xml:space="preserve">| 5 L NS % | 6 L JAVA % </v>
      </c>
      <c r="BB610" s="4" t="str">
        <f ca="1">IFERROR(__xludf.DUMMYFUNCTION("""COMPUTED_VALUE"""),"| 1 L PHP-CGM % | 6 L JAVA % | 7 P Python % | 9 L INE % ")</f>
        <v xml:space="preserve">| 1 L PHP-CGM % | 6 L JAVA % | 7 P Python % | 9 L INE % </v>
      </c>
      <c r="BC610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10" s="4" t="str">
        <f ca="1">IFERROR(__xludf.DUMMYFUNCTION("""COMPUTED_VALUE"""),"| 5 L CPT % | 6 L PHP-CGM % | 7 P JAVA % | 9 P Python % ")</f>
        <v xml:space="preserve">| 5 L CPT % | 6 L PHP-CGM % | 7 P JAVA % | 9 P Python % </v>
      </c>
      <c r="BE610" s="4" t="str">
        <f ca="1">IFERROR(__xludf.DUMMYFUNCTION("""COMPUTED_VALUE"""),"| 5 L NS % | 6 L CPT % | 9 P JAVA % | 7 P PRO % | 9 P NS % ")</f>
        <v xml:space="preserve">| 5 L NS % | 6 L CPT % | 9 P JAVA % | 7 P PRO % | 9 P NS % </v>
      </c>
      <c r="BF610" s="4" t="str">
        <f ca="1">IFERROR(__xludf.DUMMYFUNCTION("""COMPUTED_VALUE"""),"| 5 L NS @ | 6 L JAVA % | 7 P PHP-CGM % | 9 P JAVA % ")</f>
        <v xml:space="preserve">| 5 L NS @ | 6 L JAVA % | 7 P PHP-CGM % | 9 P JAVA % </v>
      </c>
      <c r="BG610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10" s="4" t="str">
        <f ca="1">IFERROR(__xludf.DUMMYFUNCTION("""COMPUTED_VALUE"""),"| 5 L CPT % | 7 P JAVA % | 6 L PHP-CGM % | 9 P Python % ")</f>
        <v xml:space="preserve">| 5 L CPT % | 7 P JAVA % | 6 L PHP-CGM % | 9 P Python % </v>
      </c>
      <c r="BI610" s="4" t="str">
        <f ca="1">IFERROR(__xludf.DUMMYFUNCTION("""COMPUTED_VALUE"""),"| 5 L NS % | 6 L CPT % | 7 P PRO % | 9 P NS % ")</f>
        <v xml:space="preserve">| 5 L NS % | 6 L CPT % | 7 P PRO % | 9 P NS % </v>
      </c>
      <c r="BJ610" s="4" t="str">
        <f ca="1">IFERROR(__xludf.DUMMYFUNCTION("""COMPUTED_VALUE"""),"| 5 L NS % | 6 L JAVA % | 7 P PHP-CGM @ ")</f>
        <v xml:space="preserve">| 5 L NS % | 6 L JAVA % | 7 P PHP-CGM @ </v>
      </c>
      <c r="BK610" s="4" t="str">
        <f ca="1">IFERROR(__xludf.DUMMYFUNCTION("""COMPUTED_VALUE"""),"| 1 L PHP-CGM @ | 6 L JAVA @ | 7 P Python @ | 9 L INE @ ")</f>
        <v xml:space="preserve">| 1 L PHP-CGM @ | 6 L JAVA @ | 7 P Python @ | 9 L INE @ </v>
      </c>
      <c r="BL610" s="4" t="str">
        <f ca="1">IFERROR(__xludf.DUMMYFUNCTION("""COMPUTED_VALUE"""),"| 5 L JAVA % | 6 L NS % | 7 P CPT % | 9 L CPT % | 10 L PHP-CGM % ")</f>
        <v xml:space="preserve">| 5 L JAVA % | 6 L NS % | 7 P CPT % | 9 L CPT % | 10 L PHP-CGM % </v>
      </c>
      <c r="BM610" s="4" t="str">
        <f ca="1">IFERROR(__xludf.DUMMYFUNCTION("""COMPUTED_VALUE"""),"| 5 L CPT % | 6 L PHP-CGM % | 7 P JAVA % | 9 P Python % ")</f>
        <v xml:space="preserve">| 5 L CPT % | 6 L PHP-CGM % | 7 P JAVA % | 9 P Python % </v>
      </c>
      <c r="BN610" s="4" t="str">
        <f ca="1">IFERROR(__xludf.DUMMYFUNCTION("""COMPUTED_VALUE"""),"| 5 L NS % | 6 L CPT % | 7 P PRO % | 9 P NS % ")</f>
        <v xml:space="preserve">| 5 L NS % | 6 L CPT % | 7 P PRO % | 9 P NS % </v>
      </c>
      <c r="BO610" s="4" t="str">
        <f ca="1">IFERROR(__xludf.DUMMYFUNCTION("""COMPUTED_VALUE"""),"| 5 L NS @ | 6 L JAVA @ ")</f>
        <v xml:space="preserve">| 5 L NS @ | 6 L JAVA @ </v>
      </c>
      <c r="BP610" s="4" t="str">
        <f ca="1">IFERROR(__xludf.DUMMYFUNCTION("""COMPUTED_VALUE"""),"| 1 L PHP-CGM @ | 6 L JAVA @ | 9 L INE @ ")</f>
        <v xml:space="preserve">| 1 L PHP-CGM @ | 6 L JAVA @ | 9 L INE @ </v>
      </c>
      <c r="BQ610" s="4" t="str">
        <f ca="1">IFERROR(__xludf.DUMMYFUNCTION("""COMPUTED_VALUE"""),"| 5 L CPT % ")</f>
        <v xml:space="preserve">| 5 L CPT % </v>
      </c>
      <c r="BR610" s="4"/>
      <c r="BS610" s="4" t="str">
        <f ca="1">IFERROR(__xludf.DUMMYFUNCTION("""COMPUTED_VALUE"""),"| 6 L CPT % ")</f>
        <v xml:space="preserve">| 6 L CPT % </v>
      </c>
      <c r="BT610" s="4"/>
      <c r="BU610" s="4"/>
      <c r="BV610" s="4" t="str">
        <f ca="1">IFERROR(__xludf.DUMMYFUNCTION("""COMPUTED_VALUE"""),"| 5 L PHP-CGM @ | 6 L JAVA @ ")</f>
        <v xml:space="preserve">| 5 L PHP-CGM @ | 6 L JAVA @ </v>
      </c>
      <c r="BW610" s="4"/>
      <c r="BX610" s="4" t="str">
        <f ca="1">IFERROR(__xludf.DUMMYFUNCTION("""COMPUTED_VALUE"""),"| 5 L CPT % | 7 P JAVA % | 6 L PHP-CGM % ")</f>
        <v xml:space="preserve">| 5 L CPT % | 7 P JAVA % | 6 L PHP-CGM % </v>
      </c>
      <c r="BY610" s="4" t="str">
        <f ca="1">IFERROR(__xludf.DUMMYFUNCTION("""COMPUTED_VALUE"""),"| 5 L NS % | 6 L CPT % | 7 P PRO % | 9 P NS % ")</f>
        <v xml:space="preserve">| 5 L NS % | 6 L CPT % | 7 P PRO % | 9 P NS % </v>
      </c>
      <c r="BZ610" s="4" t="str">
        <f ca="1">IFERROR(__xludf.DUMMYFUNCTION("""COMPUTED_VALUE"""),"| 5 L NS % | 6 L JAVA @ | 7 P PHP-CGM @ ")</f>
        <v xml:space="preserve">| 5 L NS % | 6 L JAVA @ | 7 P PHP-CGM @ </v>
      </c>
      <c r="CA610" s="4" t="str">
        <f ca="1">IFERROR(__xludf.DUMMYFUNCTION("""COMPUTED_VALUE"""),"| 1 L PHP-CGM % | 6 L JAVA % | 7 P Python % ")</f>
        <v xml:space="preserve">| 1 L PHP-CGM % | 6 L JAVA % | 7 P Python % </v>
      </c>
      <c r="CB610" s="4" t="str">
        <f ca="1">IFERROR(__xludf.DUMMYFUNCTION("""COMPUTED_VALUE"""),"| 5 L JAVA % | 6 L NS % | 7 P CPT % | 9 L CPT % | 10 L PHP-CGM @ ")</f>
        <v xml:space="preserve">| 5 L JAVA % | 6 L NS % | 7 P CPT % | 9 L CPT % | 10 L PHP-CGM @ </v>
      </c>
      <c r="CC610" s="4" t="str">
        <f ca="1">IFERROR(__xludf.DUMMYFUNCTION("""COMPUTED_VALUE"""),"| 5 L CPT % | 6 L PHP-CGM % | 7 P JAVA % | 9 P Python % ")</f>
        <v xml:space="preserve">| 5 L CPT % | 6 L PHP-CGM % | 7 P JAVA % | 9 P Python % </v>
      </c>
      <c r="CD610" s="4" t="str">
        <f ca="1">IFERROR(__xludf.DUMMYFUNCTION("""COMPUTED_VALUE"""),"| 5 L NS @ | 6 L CPT @ | 7 P PRO % ")</f>
        <v xml:space="preserve">| 5 L NS @ | 6 L CPT @ | 7 P PRO % </v>
      </c>
      <c r="CE610" s="4" t="str">
        <f ca="1">IFERROR(__xludf.DUMMYFUNCTION("""COMPUTED_VALUE"""),"| 5 L NS @ | 6 L JAVA @ | 7 P PHP-CGM % | 9 P JAVA @ ")</f>
        <v xml:space="preserve">| 5 L NS @ | 6 L JAVA @ | 7 P PHP-CGM % | 9 P JAVA @ </v>
      </c>
      <c r="CF610" s="4" t="str">
        <f ca="1">IFERROR(__xludf.DUMMYFUNCTION("""COMPUTED_VALUE"""),"| 5 L PHP-CGM @ | 6 L JAVA @ | 7 P Python % | 9 L INE % ")</f>
        <v xml:space="preserve">| 5 L PHP-CGM @ | 6 L JAVA @ | 7 P Python % | 9 L INE % </v>
      </c>
      <c r="CG610" s="4" t="str">
        <f ca="1">IFERROR(__xludf.DUMMYFUNCTION("""COMPUTED_VALUE"""),"| 5 L JAVA % | 6 L NS @ ")</f>
        <v xml:space="preserve">| 5 L JAVA % | 6 L NS @ </v>
      </c>
      <c r="CH610" s="4" t="str">
        <f ca="1">IFERROR(__xludf.DUMMYFUNCTION("""COMPUTED_VALUE"""),"| 5 L CPT @ | 9 P Python % ")</f>
        <v xml:space="preserve">| 5 L CPT @ | 9 P Python % </v>
      </c>
      <c r="CI610" s="4" t="str">
        <f ca="1">IFERROR(__xludf.DUMMYFUNCTION("""COMPUTED_VALUE"""),"| 5 L NS @ | 6 L CPT @ | 9 P NS % ")</f>
        <v xml:space="preserve">| 5 L NS @ | 6 L CPT @ | 9 P NS % </v>
      </c>
      <c r="CJ610" s="4" t="str">
        <f ca="1">IFERROR(__xludf.DUMMYFUNCTION("""COMPUTED_VALUE"""),"| 5 L NS @ ")</f>
        <v xml:space="preserve">| 5 L NS @ </v>
      </c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</row>
    <row r="611" spans="1:102" ht="12.5" x14ac:dyDescent="0.25">
      <c r="A611" s="3">
        <f ca="1">IFERROR(__xludf.DUMMYFUNCTION("""COMPUTED_VALUE"""),3)</f>
        <v>3</v>
      </c>
      <c r="B611" s="3" t="str">
        <f ca="1">IFERROR(__xludf.DUMMYFUNCTION("""COMPUTED_VALUE"""),"ITD")</f>
        <v>ITD</v>
      </c>
      <c r="C611" s="32" t="str">
        <f ca="1">IFERROR(__xludf.DUMMYFUNCTION("""COMPUTED_VALUE"""),"23171371097")</f>
        <v>23171371097</v>
      </c>
      <c r="D611" s="4" t="str">
        <f ca="1">IFERROR(__xludf.DUMMYFUNCTION("""COMPUTED_VALUE"""),"PATEL MEETKUMAR VISHNUBHAI")</f>
        <v>PATEL MEETKUMAR VISHNUBHAI</v>
      </c>
      <c r="E611" s="3" t="str">
        <f ca="1">IFERROR(__xludf.DUMMYFUNCTION("""COMPUTED_VALUE"""),"SRC - Eve")</f>
        <v>SRC - Eve</v>
      </c>
      <c r="F611" s="3">
        <f ca="1">IFERROR(__xludf.DUMMYFUNCTION("""COMPUTED_VALUE"""),9727056096)</f>
        <v>9727056096</v>
      </c>
      <c r="G611" s="3">
        <f ca="1">IFERROR(__xludf.DUMMYFUNCTION("""COMPUTED_VALUE"""),8980707501)</f>
        <v>8980707501</v>
      </c>
      <c r="H611" s="33">
        <f ca="1">IFERROR(__xludf.DUMMYFUNCTION("""COMPUTED_VALUE"""),0.671232876712328)</f>
        <v>0.67123287671232801</v>
      </c>
      <c r="I611" s="25">
        <f ca="1">IFERROR(__xludf.DUMMYFUNCTION("""COMPUTED_VALUE"""),0.75)</f>
        <v>0.75</v>
      </c>
      <c r="J611" s="25">
        <f ca="1">IFERROR(__xludf.DUMMYFUNCTION("""COMPUTED_VALUE"""),0.7)</f>
        <v>0.7</v>
      </c>
      <c r="K611" s="25">
        <f ca="1">IFERROR(__xludf.DUMMYFUNCTION("""COMPUTED_VALUE"""),0.611111111111111)</f>
        <v>0.61111111111111105</v>
      </c>
      <c r="L611" s="25">
        <f ca="1">IFERROR(__xludf.DUMMYFUNCTION("""COMPUTED_VALUE"""),0.9)</f>
        <v>0.9</v>
      </c>
      <c r="M611" s="25">
        <f ca="1">IFERROR(__xludf.DUMMYFUNCTION("""COMPUTED_VALUE"""),0.71875)</f>
        <v>0.71875</v>
      </c>
      <c r="N611" s="25">
        <f ca="1">IFERROR(__xludf.DUMMYFUNCTION("""COMPUTED_VALUE"""),0.375)</f>
        <v>0.375</v>
      </c>
      <c r="O611" s="25">
        <f ca="1">IFERROR(__xludf.DUMMYFUNCTION("""COMPUTED_VALUE"""),0.558823529411764)</f>
        <v>0.55882352941176405</v>
      </c>
      <c r="P611" s="25">
        <f ca="1">IFERROR(__xludf.DUMMYFUNCTION("""COMPUTED_VALUE"""),0.647058823529411)</f>
        <v>0.64705882352941102</v>
      </c>
      <c r="Q611" s="25">
        <f ca="1">IFERROR(__xludf.DUMMYFUNCTION("""COMPUTED_VALUE"""),0)</f>
        <v>0</v>
      </c>
      <c r="R611" s="25">
        <f ca="1">IFERROR(__xludf.DUMMYFUNCTION("""COMPUTED_VALUE"""),0.777777777777777)</f>
        <v>0.77777777777777701</v>
      </c>
      <c r="S611" s="25">
        <f ca="1">IFERROR(__xludf.DUMMYFUNCTION("""COMPUTED_VALUE"""),0)</f>
        <v>0</v>
      </c>
      <c r="T611" s="25">
        <f ca="1">IFERROR(__xludf.DUMMYFUNCTION("""COMPUTED_VALUE"""),0.818181818181818)</f>
        <v>0.81818181818181801</v>
      </c>
      <c r="U611" s="25">
        <f ca="1">IFERROR(__xludf.DUMMYFUNCTION("""COMPUTED_VALUE"""),0.428571428571428)</f>
        <v>0.42857142857142799</v>
      </c>
      <c r="V611" s="25">
        <f ca="1">IFERROR(__xludf.DUMMYFUNCTION("""COMPUTED_VALUE"""),0)</f>
        <v>0</v>
      </c>
      <c r="W611" s="4"/>
      <c r="X611" s="4" t="str">
        <f ca="1">IFERROR(__xludf.DUMMYFUNCTION("""COMPUTED_VALUE"""),"| 1 L PHP-CGM @ | 6 L JAVA @ | 7 P Python @ ")</f>
        <v xml:space="preserve">| 1 L PHP-CGM @ | 6 L JAVA @ | 7 P Python @ </v>
      </c>
      <c r="Y611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Z611" s="4" t="str">
        <f ca="1">IFERROR(__xludf.DUMMYFUNCTION("""COMPUTED_VALUE"""),"| 5 L CPT % | 6 L PHP-CGM % | 7 P JAVA % | 9 P Python % ")</f>
        <v xml:space="preserve">| 5 L CPT % | 6 L PHP-CGM % | 7 P JAVA % | 9 P Python % </v>
      </c>
      <c r="AA611" s="4" t="str">
        <f ca="1">IFERROR(__xludf.DUMMYFUNCTION("""COMPUTED_VALUE"""),"| 5 L NS % | 6 L CPT % | 7 P PRO % | 9 P NS % ")</f>
        <v xml:space="preserve">| 5 L NS % | 6 L CPT % | 7 P PRO % | 9 P NS % </v>
      </c>
      <c r="AB611" s="4" t="str">
        <f ca="1">IFERROR(__xludf.DUMMYFUNCTION("""COMPUTED_VALUE"""),"| 5 L NS @ | 6 L JAVA @ | 7 P PHP-CGM @ | 9 P JAVA @ ")</f>
        <v xml:space="preserve">| 5 L NS @ | 6 L JAVA @ | 7 P PHP-CGM @ | 9 P JAVA @ </v>
      </c>
      <c r="AC611" s="4" t="str">
        <f ca="1">IFERROR(__xludf.DUMMYFUNCTION("""COMPUTED_VALUE"""),"| 1 L PHP-CGM % | 6 L JAVA % | 7 P Python % ")</f>
        <v xml:space="preserve">| 1 L PHP-CGM % | 6 L JAVA % | 7 P Python % </v>
      </c>
      <c r="AD611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11" s="4" t="str">
        <f ca="1">IFERROR(__xludf.DUMMYFUNCTION("""COMPUTED_VALUE"""),"| 5 L CPT % | 6 L PHP-CGM % | 7 P JAVA % | 9 P Python % ")</f>
        <v xml:space="preserve">| 5 L CPT % | 6 L PHP-CGM % | 7 P JAVA % | 9 P Python % </v>
      </c>
      <c r="AF611" s="4" t="str">
        <f ca="1">IFERROR(__xludf.DUMMYFUNCTION("""COMPUTED_VALUE"""),"| 5 L NS % | 6 L CPT % | 7 P PRO % | 9 P NS % ")</f>
        <v xml:space="preserve">| 5 L NS % | 6 L CPT % | 7 P PRO % | 9 P NS % </v>
      </c>
      <c r="AG611" s="4" t="str">
        <f ca="1">IFERROR(__xludf.DUMMYFUNCTION("""COMPUTED_VALUE"""),"| 5 L NS @ | 6 L JAVA @ | 7 P PHP-CGM @ | 9 P JAVA @ ")</f>
        <v xml:space="preserve">| 5 L NS @ | 6 L JAVA @ | 7 P PHP-CGM @ | 9 P JAVA @ </v>
      </c>
      <c r="AH611" s="4" t="str">
        <f ca="1">IFERROR(__xludf.DUMMYFUNCTION("""COMPUTED_VALUE"""),"| 5 L NS % | 6 L CPT % | 7 P PRO % | 9 P NS % ")</f>
        <v xml:space="preserve">| 5 L NS % | 6 L CPT % | 7 P PRO % | 9 P NS % </v>
      </c>
      <c r="AI611" s="4" t="str">
        <f ca="1">IFERROR(__xludf.DUMMYFUNCTION("""COMPUTED_VALUE"""),"| 5 L NS % | 6 L JAVA % | 7 P PHP-CGM % | 9 P JAVA % ")</f>
        <v xml:space="preserve">| 5 L NS % | 6 L JAVA % | 7 P PHP-CGM % | 9 P JAVA % </v>
      </c>
      <c r="AJ611" s="4" t="str">
        <f ca="1">IFERROR(__xludf.DUMMYFUNCTION("""COMPUTED_VALUE"""),"| 1 L PHP-CGM % | 6 L JAVA % | 7 P Python % ")</f>
        <v xml:space="preserve">| 1 L PHP-CGM % | 6 L JAVA % | 7 P Python % </v>
      </c>
      <c r="AK611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11" s="4" t="str">
        <f ca="1">IFERROR(__xludf.DUMMYFUNCTION("""COMPUTED_VALUE"""),"| 5 L CPT % | 6 L PHP-CGM % | 7 P JAVA % | 9 P Python % ")</f>
        <v xml:space="preserve">| 5 L CPT % | 6 L PHP-CGM % | 7 P JAVA % | 9 P Python % </v>
      </c>
      <c r="AM611" s="4" t="str">
        <f ca="1">IFERROR(__xludf.DUMMYFUNCTION("""COMPUTED_VALUE"""),"| 5 L NS @ | 6 L CPT @ | 9 P JAVA @ ")</f>
        <v xml:space="preserve">| 5 L NS @ | 6 L CPT @ | 9 P JAVA @ </v>
      </c>
      <c r="AN611" s="4" t="str">
        <f ca="1">IFERROR(__xludf.DUMMYFUNCTION("""COMPUTED_VALUE"""),"| 5 L NS @ | 6 L JAVA @ ")</f>
        <v xml:space="preserve">| 5 L NS @ | 6 L JAVA @ </v>
      </c>
      <c r="AO611" s="4" t="str">
        <f ca="1">IFERROR(__xludf.DUMMYFUNCTION("""COMPUTED_VALUE"""),"| 1 L PHP-CGM @ | 6 L JAVA @ | 9 L INE @ ")</f>
        <v xml:space="preserve">| 1 L PHP-CGM @ | 6 L JAVA @ | 9 L INE @ </v>
      </c>
      <c r="AP611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AQ611" s="4" t="str">
        <f ca="1">IFERROR(__xludf.DUMMYFUNCTION("""COMPUTED_VALUE"""),"| 5 L CPT % | 6 L PHP-CGM % ")</f>
        <v xml:space="preserve">| 5 L CPT % | 6 L PHP-CGM % </v>
      </c>
      <c r="AR611" s="4" t="str">
        <f ca="1">IFERROR(__xludf.DUMMYFUNCTION("""COMPUTED_VALUE"""),"| 5 L NS @ | 6 L CPT @ | 7 P PRO @ ")</f>
        <v xml:space="preserve">| 5 L NS @ | 6 L CPT @ | 7 P PRO @ </v>
      </c>
      <c r="AS611" s="4" t="str">
        <f ca="1">IFERROR(__xludf.DUMMYFUNCTION("""COMPUTED_VALUE"""),"| 1 L PHP-CGM @ | 6 L JAVA @ | 7 P Python @ | 9 L INE @ ")</f>
        <v xml:space="preserve">| 1 L PHP-CGM @ | 6 L JAVA @ | 7 P Python @ | 9 L INE @ </v>
      </c>
      <c r="AT611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11" s="4" t="str">
        <f ca="1">IFERROR(__xludf.DUMMYFUNCTION("""COMPUTED_VALUE"""),"| 5 L CPT % | 6 L PHP-CGM % | 7 P JAVA % | 9 P Python % ")</f>
        <v xml:space="preserve">| 5 L CPT % | 6 L PHP-CGM % | 7 P JAVA % | 9 P Python % </v>
      </c>
      <c r="AV611" s="4" t="str">
        <f ca="1">IFERROR(__xludf.DUMMYFUNCTION("""COMPUTED_VALUE"""),"| 5 L NS % | 6 L CPT % | 7 P PRO % | 9 P NS % ")</f>
        <v xml:space="preserve">| 5 L NS % | 6 L CPT % | 7 P PRO % | 9 P NS % </v>
      </c>
      <c r="AW611" s="4" t="str">
        <f ca="1">IFERROR(__xludf.DUMMYFUNCTION("""COMPUTED_VALUE"""),"| 5 L NS % | 6 L JAVA % | 7 P PHP-CGM % | 9 P JAVA % ")</f>
        <v xml:space="preserve">| 5 L NS % | 6 L JAVA % | 7 P PHP-CGM % | 9 P JAVA % </v>
      </c>
      <c r="AX611" s="4" t="str">
        <f ca="1">IFERROR(__xludf.DUMMYFUNCTION("""COMPUTED_VALUE"""),"| 1 L PHP-CGM % | 6 L JAVA % | 7 P Python % | 9 L INE % ")</f>
        <v xml:space="preserve">| 1 L PHP-CGM % | 6 L JAVA % | 7 P Python % | 9 L INE % </v>
      </c>
      <c r="AY611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1" s="4" t="str">
        <f ca="1">IFERROR(__xludf.DUMMYFUNCTION("""COMPUTED_VALUE"""),"| 5 L NS % | 6 L CPT % | 7 P PRO % | 9 P NS % ")</f>
        <v xml:space="preserve">| 5 L NS % | 6 L CPT % | 7 P PRO % | 9 P NS % </v>
      </c>
      <c r="BA611" s="4" t="str">
        <f ca="1">IFERROR(__xludf.DUMMYFUNCTION("""COMPUTED_VALUE"""),"| 5 L NS % | 6 L JAVA % ")</f>
        <v xml:space="preserve">| 5 L NS % | 6 L JAVA % </v>
      </c>
      <c r="BB611" s="4" t="str">
        <f ca="1">IFERROR(__xludf.DUMMYFUNCTION("""COMPUTED_VALUE"""),"| 1 L PHP-CGM % | 6 L JAVA % | 7 P Python @ | 9 L INE % ")</f>
        <v xml:space="preserve">| 1 L PHP-CGM % | 6 L JAVA % | 7 P Python @ | 9 L INE % </v>
      </c>
      <c r="BC611" s="4" t="str">
        <f ca="1">IFERROR(__xludf.DUMMYFUNCTION("""COMPUTED_VALUE"""),"| 5 L JAVA % | 6 L NS % | 7 P CPT @ | 10 L PHP-CGM % | 9 L CPT % ")</f>
        <v xml:space="preserve">| 5 L JAVA % | 6 L NS % | 7 P CPT @ | 10 L PHP-CGM % | 9 L CPT % </v>
      </c>
      <c r="BD611" s="4" t="str">
        <f ca="1">IFERROR(__xludf.DUMMYFUNCTION("""COMPUTED_VALUE"""),"| 5 L CPT % | 6 L PHP-CGM % | 7 P JAVA % | 9 P Python % ")</f>
        <v xml:space="preserve">| 5 L CPT % | 6 L PHP-CGM % | 7 P JAVA % | 9 P Python % </v>
      </c>
      <c r="BE611" s="4" t="str">
        <f ca="1">IFERROR(__xludf.DUMMYFUNCTION("""COMPUTED_VALUE"""),"| 5 L NS % | 6 L CPT % | 9 P JAVA @ | 7 P PRO % | 9 P NS % ")</f>
        <v xml:space="preserve">| 5 L NS % | 6 L CPT % | 9 P JAVA @ | 7 P PRO % | 9 P NS % </v>
      </c>
      <c r="BF611" s="4" t="str">
        <f ca="1">IFERROR(__xludf.DUMMYFUNCTION("""COMPUTED_VALUE"""),"| 5 L NS @ | 6 L JAVA @ | 7 P PHP-CGM @ | 9 P JAVA @ ")</f>
        <v xml:space="preserve">| 5 L NS @ | 6 L JAVA @ | 7 P PHP-CGM @ | 9 P JAVA @ </v>
      </c>
      <c r="BG611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11" s="4" t="str">
        <f ca="1">IFERROR(__xludf.DUMMYFUNCTION("""COMPUTED_VALUE"""),"| 5 L CPT % | 7 P JAVA % | 6 L PHP-CGM % | 9 P Python % ")</f>
        <v xml:space="preserve">| 5 L CPT % | 7 P JAVA % | 6 L PHP-CGM % | 9 P Python % </v>
      </c>
      <c r="BI611" s="4" t="str">
        <f ca="1">IFERROR(__xludf.DUMMYFUNCTION("""COMPUTED_VALUE"""),"| 5 L NS % | 6 L CPT % | 7 P PRO % | 9 P NS % ")</f>
        <v xml:space="preserve">| 5 L NS % | 6 L CPT % | 7 P PRO % | 9 P NS % </v>
      </c>
      <c r="BJ611" s="4" t="str">
        <f ca="1">IFERROR(__xludf.DUMMYFUNCTION("""COMPUTED_VALUE"""),"| 5 L NS % | 6 L JAVA % | 7 P PHP-CGM @ ")</f>
        <v xml:space="preserve">| 5 L NS % | 6 L JAVA % | 7 P PHP-CGM @ </v>
      </c>
      <c r="BK611" s="4" t="str">
        <f ca="1">IFERROR(__xludf.DUMMYFUNCTION("""COMPUTED_VALUE"""),"| 1 L PHP-CGM @ | 6 L JAVA @ | 7 P Python @ | 9 L INE @ ")</f>
        <v xml:space="preserve">| 1 L PHP-CGM @ | 6 L JAVA @ | 7 P Python @ | 9 L INE @ </v>
      </c>
      <c r="BL611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11" s="4" t="str">
        <f ca="1">IFERROR(__xludf.DUMMYFUNCTION("""COMPUTED_VALUE"""),"| 5 L CPT % | 6 L PHP-CGM % | 7 P JAVA % | 9 P Python % ")</f>
        <v xml:space="preserve">| 5 L CPT % | 6 L PHP-CGM % | 7 P JAVA % | 9 P Python % </v>
      </c>
      <c r="BN611" s="4" t="str">
        <f ca="1">IFERROR(__xludf.DUMMYFUNCTION("""COMPUTED_VALUE"""),"| 5 L NS @ | 6 L CPT @ | 7 P PRO @ | 9 P NS @ ")</f>
        <v xml:space="preserve">| 5 L NS @ | 6 L CPT @ | 7 P PRO @ | 9 P NS @ </v>
      </c>
      <c r="BO611" s="4" t="str">
        <f ca="1">IFERROR(__xludf.DUMMYFUNCTION("""COMPUTED_VALUE"""),"| 5 L NS @ | 6 L JAVA @ ")</f>
        <v xml:space="preserve">| 5 L NS @ | 6 L JAVA @ </v>
      </c>
      <c r="BP611" s="4" t="str">
        <f ca="1">IFERROR(__xludf.DUMMYFUNCTION("""COMPUTED_VALUE"""),"| 1 L PHP-CGM @ | 6 L JAVA @ | 9 L INE @ ")</f>
        <v xml:space="preserve">| 1 L PHP-CGM @ | 6 L JAVA @ | 9 L INE @ </v>
      </c>
      <c r="BQ611" s="4" t="str">
        <f ca="1">IFERROR(__xludf.DUMMYFUNCTION("""COMPUTED_VALUE"""),"| 5 L CPT % ")</f>
        <v xml:space="preserve">| 5 L CPT % </v>
      </c>
      <c r="BR611" s="4"/>
      <c r="BS611" s="4" t="str">
        <f ca="1">IFERROR(__xludf.DUMMYFUNCTION("""COMPUTED_VALUE"""),"| 6 L CPT @ ")</f>
        <v xml:space="preserve">| 6 L CPT @ </v>
      </c>
      <c r="BT611" s="4"/>
      <c r="BU611" s="4"/>
      <c r="BV611" s="4" t="str">
        <f ca="1">IFERROR(__xludf.DUMMYFUNCTION("""COMPUTED_VALUE"""),"| 5 L PHP-CGM % | 6 L JAVA % ")</f>
        <v xml:space="preserve">| 5 L PHP-CGM % | 6 L JAVA % </v>
      </c>
      <c r="BW611" s="4"/>
      <c r="BX611" s="4" t="str">
        <f ca="1">IFERROR(__xludf.DUMMYFUNCTION("""COMPUTED_VALUE"""),"| 5 L CPT % | 7 P JAVA % | 6 L PHP-CGM % ")</f>
        <v xml:space="preserve">| 5 L CPT % | 7 P JAVA % | 6 L PHP-CGM % </v>
      </c>
      <c r="BY611" s="4" t="str">
        <f ca="1">IFERROR(__xludf.DUMMYFUNCTION("""COMPUTED_VALUE"""),"| 5 L NS % | 6 L CPT % | 7 P PRO % | 9 P NS % ")</f>
        <v xml:space="preserve">| 5 L NS % | 6 L CPT % | 7 P PRO % | 9 P NS % </v>
      </c>
      <c r="BZ611" s="4" t="str">
        <f ca="1">IFERROR(__xludf.DUMMYFUNCTION("""COMPUTED_VALUE"""),"| 5 L NS % | 6 L JAVA % | 7 P PHP-CGM % ")</f>
        <v xml:space="preserve">| 5 L NS % | 6 L JAVA % | 7 P PHP-CGM % </v>
      </c>
      <c r="CA611" s="4" t="str">
        <f ca="1">IFERROR(__xludf.DUMMYFUNCTION("""COMPUTED_VALUE"""),"| 1 L PHP-CGM % | 6 L JAVA % | 7 P Python % ")</f>
        <v xml:space="preserve">| 1 L PHP-CGM % | 6 L JAVA % | 7 P Python % </v>
      </c>
      <c r="CB611" s="4" t="str">
        <f ca="1">IFERROR(__xludf.DUMMYFUNCTION("""COMPUTED_VALUE"""),"| 5 L JAVA % | 6 L NS % | 7 P CPT % | 9 L CPT @ | 10 L PHP-CGM @ ")</f>
        <v xml:space="preserve">| 5 L JAVA % | 6 L NS % | 7 P CPT % | 9 L CPT @ | 10 L PHP-CGM @ </v>
      </c>
      <c r="CC611" s="4" t="str">
        <f ca="1">IFERROR(__xludf.DUMMYFUNCTION("""COMPUTED_VALUE"""),"| 5 L CPT % | 6 L PHP-CGM % | 7 P JAVA % | 9 P Python % ")</f>
        <v xml:space="preserve">| 5 L CPT % | 6 L PHP-CGM % | 7 P JAVA % | 9 P Python % </v>
      </c>
      <c r="CD611" s="4" t="str">
        <f ca="1">IFERROR(__xludf.DUMMYFUNCTION("""COMPUTED_VALUE"""),"| 5 L NS % | 6 L CPT % | 7 P PRO % ")</f>
        <v xml:space="preserve">| 5 L NS % | 6 L CPT % | 7 P PRO % </v>
      </c>
      <c r="CE611" s="4" t="str">
        <f ca="1">IFERROR(__xludf.DUMMYFUNCTION("""COMPUTED_VALUE"""),"| 5 L NS @ | 6 L JAVA @ | 7 P PHP-CGM @ | 9 P JAVA @ ")</f>
        <v xml:space="preserve">| 5 L NS @ | 6 L JAVA @ | 7 P PHP-CGM @ | 9 P JAVA @ </v>
      </c>
      <c r="CF611" s="4" t="str">
        <f ca="1">IFERROR(__xludf.DUMMYFUNCTION("""COMPUTED_VALUE"""),"| 5 L PHP-CGM @ | 6 L JAVA @ | 7 P Python % | 9 L INE % ")</f>
        <v xml:space="preserve">| 5 L PHP-CGM @ | 6 L JAVA @ | 7 P Python % | 9 L INE % </v>
      </c>
      <c r="CG611" s="4" t="str">
        <f ca="1">IFERROR(__xludf.DUMMYFUNCTION("""COMPUTED_VALUE"""),"| 5 L JAVA @ | 6 L NS @ ")</f>
        <v xml:space="preserve">| 5 L JAVA @ | 6 L NS @ </v>
      </c>
      <c r="CH611" s="4" t="str">
        <f ca="1">IFERROR(__xludf.DUMMYFUNCTION("""COMPUTED_VALUE"""),"| 5 L CPT @ | 9 P Python % ")</f>
        <v xml:space="preserve">| 5 L CPT @ | 9 P Python % </v>
      </c>
      <c r="CI611" s="4" t="str">
        <f ca="1">IFERROR(__xludf.DUMMYFUNCTION("""COMPUTED_VALUE"""),"| 5 L NS @ | 6 L CPT @ | 9 P NS % ")</f>
        <v xml:space="preserve">| 5 L NS @ | 6 L CPT @ | 9 P NS % </v>
      </c>
      <c r="CJ611" s="4" t="str">
        <f ca="1">IFERROR(__xludf.DUMMYFUNCTION("""COMPUTED_VALUE"""),"| 5 L NS @ ")</f>
        <v xml:space="preserve">| 5 L NS @ </v>
      </c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</row>
    <row r="612" spans="1:102" ht="12.5" x14ac:dyDescent="0.25">
      <c r="A612" s="3">
        <f ca="1">IFERROR(__xludf.DUMMYFUNCTION("""COMPUTED_VALUE"""),3)</f>
        <v>3</v>
      </c>
      <c r="B612" s="3" t="str">
        <f ca="1">IFERROR(__xludf.DUMMYFUNCTION("""COMPUTED_VALUE"""),"ITD")</f>
        <v>ITD</v>
      </c>
      <c r="C612" s="32" t="str">
        <f ca="1">IFERROR(__xludf.DUMMYFUNCTION("""COMPUTED_VALUE"""),"23171371098")</f>
        <v>23171371098</v>
      </c>
      <c r="D612" s="4" t="str">
        <f ca="1">IFERROR(__xludf.DUMMYFUNCTION("""COMPUTED_VALUE"""),"PATEL MEGHKUMAR PRAKASHKUMAR")</f>
        <v>PATEL MEGHKUMAR PRAKASHKUMAR</v>
      </c>
      <c r="E612" s="3" t="str">
        <f ca="1">IFERROR(__xludf.DUMMYFUNCTION("""COMPUTED_VALUE"""),"SRC - Eve")</f>
        <v>SRC - Eve</v>
      </c>
      <c r="F612" s="3">
        <f ca="1">IFERROR(__xludf.DUMMYFUNCTION("""COMPUTED_VALUE"""),9925973367)</f>
        <v>9925973367</v>
      </c>
      <c r="G612" s="3">
        <f ca="1">IFERROR(__xludf.DUMMYFUNCTION("""COMPUTED_VALUE"""),9998973367)</f>
        <v>9998973367</v>
      </c>
      <c r="H612" s="33">
        <f ca="1">IFERROR(__xludf.DUMMYFUNCTION("""COMPUTED_VALUE"""),0.840182648401826)</f>
        <v>0.84018264840182599</v>
      </c>
      <c r="I612" s="25">
        <f ca="1">IFERROR(__xludf.DUMMYFUNCTION("""COMPUTED_VALUE"""),0.833333333333333)</f>
        <v>0.83333333333333304</v>
      </c>
      <c r="J612" s="25">
        <f ca="1">IFERROR(__xludf.DUMMYFUNCTION("""COMPUTED_VALUE"""),0.7)</f>
        <v>0.7</v>
      </c>
      <c r="K612" s="25">
        <f ca="1">IFERROR(__xludf.DUMMYFUNCTION("""COMPUTED_VALUE"""),0.833333333333333)</f>
        <v>0.83333333333333304</v>
      </c>
      <c r="L612" s="25">
        <f ca="1">IFERROR(__xludf.DUMMYFUNCTION("""COMPUTED_VALUE"""),0.9)</f>
        <v>0.9</v>
      </c>
      <c r="M612" s="25">
        <f ca="1">IFERROR(__xludf.DUMMYFUNCTION("""COMPUTED_VALUE"""),0.90625)</f>
        <v>0.90625</v>
      </c>
      <c r="N612" s="25">
        <f ca="1">IFERROR(__xludf.DUMMYFUNCTION("""COMPUTED_VALUE"""),0.75)</f>
        <v>0.75</v>
      </c>
      <c r="O612" s="25">
        <f ca="1">IFERROR(__xludf.DUMMYFUNCTION("""COMPUTED_VALUE"""),0.911764705882352)</f>
        <v>0.91176470588235203</v>
      </c>
      <c r="P612" s="25">
        <f ca="1">IFERROR(__xludf.DUMMYFUNCTION("""COMPUTED_VALUE"""),0.88235294117647)</f>
        <v>0.88235294117647001</v>
      </c>
      <c r="Q612" s="25">
        <f ca="1">IFERROR(__xludf.DUMMYFUNCTION("""COMPUTED_VALUE"""),0)</f>
        <v>0</v>
      </c>
      <c r="R612" s="25">
        <f ca="1">IFERROR(__xludf.DUMMYFUNCTION("""COMPUTED_VALUE"""),0.833333333333333)</f>
        <v>0.83333333333333304</v>
      </c>
      <c r="S612" s="25">
        <f ca="1">IFERROR(__xludf.DUMMYFUNCTION("""COMPUTED_VALUE"""),0)</f>
        <v>0</v>
      </c>
      <c r="T612" s="25">
        <f ca="1">IFERROR(__xludf.DUMMYFUNCTION("""COMPUTED_VALUE"""),0.909090909090909)</f>
        <v>0.90909090909090895</v>
      </c>
      <c r="U612" s="25">
        <f ca="1">IFERROR(__xludf.DUMMYFUNCTION("""COMPUTED_VALUE"""),0.285714285714285)</f>
        <v>0.28571428571428498</v>
      </c>
      <c r="V612" s="25">
        <f ca="1">IFERROR(__xludf.DUMMYFUNCTION("""COMPUTED_VALUE"""),0)</f>
        <v>0</v>
      </c>
      <c r="W612" s="4"/>
      <c r="X612" s="4" t="str">
        <f ca="1">IFERROR(__xludf.DUMMYFUNCTION("""COMPUTED_VALUE"""),"| 1 L PHP-CGM % | 6 L JAVA % | 7 P Python % ")</f>
        <v xml:space="preserve">| 1 L PHP-CGM % | 6 L JAVA % | 7 P Python % </v>
      </c>
      <c r="Y612" s="4" t="str">
        <f ca="1">IFERROR(__xludf.DUMMYFUNCTION("""COMPUTED_VALUE"""),"| 5 L JAVA @ | 6 L NS @ | 7 P CPT @ | 9 L CPT % | 6 L PHP-CGM % ")</f>
        <v xml:space="preserve">| 5 L JAVA @ | 6 L NS @ | 7 P CPT @ | 9 L CPT % | 6 L PHP-CGM % </v>
      </c>
      <c r="Z612" s="4" t="str">
        <f ca="1">IFERROR(__xludf.DUMMYFUNCTION("""COMPUTED_VALUE"""),"| 5 L CPT @ | 6 L PHP-CGM @ | 7 P JAVA % | 9 P Python % ")</f>
        <v xml:space="preserve">| 5 L CPT @ | 6 L PHP-CGM @ | 7 P JAVA % | 9 P Python % </v>
      </c>
      <c r="AA612" s="4" t="str">
        <f ca="1">IFERROR(__xludf.DUMMYFUNCTION("""COMPUTED_VALUE"""),"| 5 L NS % | 6 L CPT % | 7 P PRO % | 9 P NS @ ")</f>
        <v xml:space="preserve">| 5 L NS % | 6 L CPT % | 7 P PRO % | 9 P NS @ </v>
      </c>
      <c r="AB612" s="4" t="str">
        <f ca="1">IFERROR(__xludf.DUMMYFUNCTION("""COMPUTED_VALUE"""),"| 5 L NS % | 6 L JAVA % | 7 P PHP-CGM % | 9 P JAVA % ")</f>
        <v xml:space="preserve">| 5 L NS % | 6 L JAVA % | 7 P PHP-CGM % | 9 P JAVA % </v>
      </c>
      <c r="AC612" s="4" t="str">
        <f ca="1">IFERROR(__xludf.DUMMYFUNCTION("""COMPUTED_VALUE"""),"| 1 L PHP-CGM % | 6 L JAVA % | 7 P Python % ")</f>
        <v xml:space="preserve">| 1 L PHP-CGM % | 6 L JAVA % | 7 P Python % </v>
      </c>
      <c r="AD612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12" s="4" t="str">
        <f ca="1">IFERROR(__xludf.DUMMYFUNCTION("""COMPUTED_VALUE"""),"| 5 L CPT % | 6 L PHP-CGM % | 7 P JAVA % | 9 P Python % ")</f>
        <v xml:space="preserve">| 5 L CPT % | 6 L PHP-CGM % | 7 P JAVA % | 9 P Python % </v>
      </c>
      <c r="AF612" s="4" t="str">
        <f ca="1">IFERROR(__xludf.DUMMYFUNCTION("""COMPUTED_VALUE"""),"| 5 L NS % | 6 L CPT % | 7 P PRO % | 9 P NS % ")</f>
        <v xml:space="preserve">| 5 L NS % | 6 L CPT % | 7 P PRO % | 9 P NS % </v>
      </c>
      <c r="AG612" s="4" t="str">
        <f ca="1">IFERROR(__xludf.DUMMYFUNCTION("""COMPUTED_VALUE"""),"| 5 L NS % | 6 L JAVA % | 7 P PHP-CGM % | 9 P JAVA % ")</f>
        <v xml:space="preserve">| 5 L NS % | 6 L JAVA % | 7 P PHP-CGM % | 9 P JAVA % </v>
      </c>
      <c r="AH612" s="4" t="str">
        <f ca="1">IFERROR(__xludf.DUMMYFUNCTION("""COMPUTED_VALUE"""),"| 5 L NS % | 6 L CPT % | 7 P PRO % | 9 P NS % ")</f>
        <v xml:space="preserve">| 5 L NS % | 6 L CPT % | 7 P PRO % | 9 P NS % </v>
      </c>
      <c r="AI612" s="4" t="str">
        <f ca="1">IFERROR(__xludf.DUMMYFUNCTION("""COMPUTED_VALUE"""),"| 5 L NS % | 6 L JAVA % | 7 P PHP-CGM % | 9 P JAVA % ")</f>
        <v xml:space="preserve">| 5 L NS % | 6 L JAVA % | 7 P PHP-CGM % | 9 P JAVA % </v>
      </c>
      <c r="AJ612" s="4" t="str">
        <f ca="1">IFERROR(__xludf.DUMMYFUNCTION("""COMPUTED_VALUE"""),"| 1 L PHP-CGM % | 6 L JAVA % | 7 P Python % ")</f>
        <v xml:space="preserve">| 1 L PHP-CGM % | 6 L JAVA % | 7 P Python % </v>
      </c>
      <c r="AK612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12" s="4" t="str">
        <f ca="1">IFERROR(__xludf.DUMMYFUNCTION("""COMPUTED_VALUE"""),"| 5 L CPT % | 6 L PHP-CGM % | 7 P JAVA % | 9 P Python % ")</f>
        <v xml:space="preserve">| 5 L CPT % | 6 L PHP-CGM % | 7 P JAVA % | 9 P Python % </v>
      </c>
      <c r="AM612" s="4" t="str">
        <f ca="1">IFERROR(__xludf.DUMMYFUNCTION("""COMPUTED_VALUE"""),"| 5 L NS % | 6 L CPT % | 9 P JAVA % ")</f>
        <v xml:space="preserve">| 5 L NS % | 6 L CPT % | 9 P JAVA % </v>
      </c>
      <c r="AN612" s="4" t="str">
        <f ca="1">IFERROR(__xludf.DUMMYFUNCTION("""COMPUTED_VALUE"""),"| 5 L NS % | 6 L JAVA % ")</f>
        <v xml:space="preserve">| 5 L NS % | 6 L JAVA % </v>
      </c>
      <c r="AO612" s="4" t="str">
        <f ca="1">IFERROR(__xludf.DUMMYFUNCTION("""COMPUTED_VALUE"""),"| 1 L PHP-CGM % | 6 L JAVA % | 9 L INE @ ")</f>
        <v xml:space="preserve">| 1 L PHP-CGM % | 6 L JAVA % | 9 L INE @ </v>
      </c>
      <c r="AP612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12" s="4" t="str">
        <f ca="1">IFERROR(__xludf.DUMMYFUNCTION("""COMPUTED_VALUE"""),"| 5 L CPT % | 6 L PHP-CGM % ")</f>
        <v xml:space="preserve">| 5 L CPT % | 6 L PHP-CGM % </v>
      </c>
      <c r="AR612" s="4" t="str">
        <f ca="1">IFERROR(__xludf.DUMMYFUNCTION("""COMPUTED_VALUE"""),"| 5 L NS % | 6 L CPT % | 7 P PRO % ")</f>
        <v xml:space="preserve">| 5 L NS % | 6 L CPT % | 7 P PRO % </v>
      </c>
      <c r="AS612" s="4" t="str">
        <f ca="1">IFERROR(__xludf.DUMMYFUNCTION("""COMPUTED_VALUE"""),"| 1 L PHP-CGM % | 6 L JAVA % | 7 P Python @ | 9 L INE @ ")</f>
        <v xml:space="preserve">| 1 L PHP-CGM % | 6 L JAVA % | 7 P Python @ | 9 L INE @ </v>
      </c>
      <c r="AT612" s="4" t="str">
        <f ca="1">IFERROR(__xludf.DUMMYFUNCTION("""COMPUTED_VALUE"""),"| 5 L JAVA % | 6 L NS % | 7 P CPT @ | 9 L CPT % | 6 L PHP-CGM % ")</f>
        <v xml:space="preserve">| 5 L JAVA % | 6 L NS % | 7 P CPT @ | 9 L CPT % | 6 L PHP-CGM % </v>
      </c>
      <c r="AU612" s="4" t="str">
        <f ca="1">IFERROR(__xludf.DUMMYFUNCTION("""COMPUTED_VALUE"""),"| 5 L CPT % | 6 L PHP-CGM @ | 7 P JAVA % | 9 P Python % ")</f>
        <v xml:space="preserve">| 5 L CPT % | 6 L PHP-CGM @ | 7 P JAVA % | 9 P Python % </v>
      </c>
      <c r="AV612" s="4" t="str">
        <f ca="1">IFERROR(__xludf.DUMMYFUNCTION("""COMPUTED_VALUE"""),"| 5 L NS % | 6 L CPT % | 7 P PRO % | 9 P NS % ")</f>
        <v xml:space="preserve">| 5 L NS % | 6 L CPT % | 7 P PRO % | 9 P NS % </v>
      </c>
      <c r="AW612" s="4" t="str">
        <f ca="1">IFERROR(__xludf.DUMMYFUNCTION("""COMPUTED_VALUE"""),"| 5 L NS @ | 6 L JAVA @ | 7 P PHP-CGM @ | 9 P JAVA @ ")</f>
        <v xml:space="preserve">| 5 L NS @ | 6 L JAVA @ | 7 P PHP-CGM @ | 9 P JAVA @ </v>
      </c>
      <c r="AX612" s="4" t="str">
        <f ca="1">IFERROR(__xludf.DUMMYFUNCTION("""COMPUTED_VALUE"""),"| 1 L PHP-CGM % | 6 L JAVA % | 7 P Python % | 9 L INE % ")</f>
        <v xml:space="preserve">| 1 L PHP-CGM % | 6 L JAVA % | 7 P Python % | 9 L INE % </v>
      </c>
      <c r="AY612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2" s="4" t="str">
        <f ca="1">IFERROR(__xludf.DUMMYFUNCTION("""COMPUTED_VALUE"""),"| 5 L NS % | 6 L CPT % | 7 P PRO % | 9 P NS % ")</f>
        <v xml:space="preserve">| 5 L NS % | 6 L CPT % | 7 P PRO % | 9 P NS % </v>
      </c>
      <c r="BA612" s="4" t="str">
        <f ca="1">IFERROR(__xludf.DUMMYFUNCTION("""COMPUTED_VALUE"""),"| 5 L NS % | 6 L JAVA % ")</f>
        <v xml:space="preserve">| 5 L NS % | 6 L JAVA % </v>
      </c>
      <c r="BB612" s="4" t="str">
        <f ca="1">IFERROR(__xludf.DUMMYFUNCTION("""COMPUTED_VALUE"""),"| 1 L PHP-CGM % | 6 L JAVA % | 7 P Python % | 9 L INE @ ")</f>
        <v xml:space="preserve">| 1 L PHP-CGM % | 6 L JAVA % | 7 P Python % | 9 L INE @ </v>
      </c>
      <c r="BC612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12" s="4" t="str">
        <f ca="1">IFERROR(__xludf.DUMMYFUNCTION("""COMPUTED_VALUE"""),"| 5 L CPT % | 6 L PHP-CGM % | 7 P JAVA % | 9 P Python % ")</f>
        <v xml:space="preserve">| 5 L CPT % | 6 L PHP-CGM % | 7 P JAVA % | 9 P Python % </v>
      </c>
      <c r="BE612" s="4" t="str">
        <f ca="1">IFERROR(__xludf.DUMMYFUNCTION("""COMPUTED_VALUE"""),"| 5 L NS % | 6 L CPT % | 9 P JAVA % | 7 P PRO % | 9 P NS % ")</f>
        <v xml:space="preserve">| 5 L NS % | 6 L CPT % | 9 P JAVA % | 7 P PRO % | 9 P NS % </v>
      </c>
      <c r="BF612" s="4" t="str">
        <f ca="1">IFERROR(__xludf.DUMMYFUNCTION("""COMPUTED_VALUE"""),"| 5 L NS @ | 6 L JAVA % | 7 P PHP-CGM % | 9 P JAVA % ")</f>
        <v xml:space="preserve">| 5 L NS @ | 6 L JAVA % | 7 P PHP-CGM % | 9 P JAVA % </v>
      </c>
      <c r="BG612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12" s="4" t="str">
        <f ca="1">IFERROR(__xludf.DUMMYFUNCTION("""COMPUTED_VALUE"""),"| 5 L CPT % | 7 P JAVA % | 6 L PHP-CGM % | 9 P Python % ")</f>
        <v xml:space="preserve">| 5 L CPT % | 7 P JAVA % | 6 L PHP-CGM % | 9 P Python % </v>
      </c>
      <c r="BI612" s="4" t="str">
        <f ca="1">IFERROR(__xludf.DUMMYFUNCTION("""COMPUTED_VALUE"""),"| 5 L NS % | 6 L CPT % | 7 P PRO % | 9 P NS % ")</f>
        <v xml:space="preserve">| 5 L NS % | 6 L CPT % | 7 P PRO % | 9 P NS % </v>
      </c>
      <c r="BJ612" s="4" t="str">
        <f ca="1">IFERROR(__xludf.DUMMYFUNCTION("""COMPUTED_VALUE"""),"| 5 L NS % | 6 L JAVA % | 7 P PHP-CGM @ ")</f>
        <v xml:space="preserve">| 5 L NS % | 6 L JAVA % | 7 P PHP-CGM @ </v>
      </c>
      <c r="BK612" s="4" t="str">
        <f ca="1">IFERROR(__xludf.DUMMYFUNCTION("""COMPUTED_VALUE"""),"| 1 L PHP-CGM % | 6 L JAVA % | 7 P Python % | 9 L INE @ ")</f>
        <v xml:space="preserve">| 1 L PHP-CGM % | 6 L JAVA % | 7 P Python % | 9 L INE @ </v>
      </c>
      <c r="BL612" s="4" t="str">
        <f ca="1">IFERROR(__xludf.DUMMYFUNCTION("""COMPUTED_VALUE"""),"| 5 L JAVA % | 6 L NS % | 7 P CPT @ | 9 L CPT @ | 10 L PHP-CGM @ ")</f>
        <v xml:space="preserve">| 5 L JAVA % | 6 L NS % | 7 P CPT @ | 9 L CPT @ | 10 L PHP-CGM @ </v>
      </c>
      <c r="BM612" s="4" t="str">
        <f ca="1">IFERROR(__xludf.DUMMYFUNCTION("""COMPUTED_VALUE"""),"| 5 L CPT % | 6 L PHP-CGM % | 7 P JAVA % | 9 P Python @ ")</f>
        <v xml:space="preserve">| 5 L CPT % | 6 L PHP-CGM % | 7 P JAVA % | 9 P Python @ </v>
      </c>
      <c r="BN612" s="4" t="str">
        <f ca="1">IFERROR(__xludf.DUMMYFUNCTION("""COMPUTED_VALUE"""),"| 5 L NS % | 6 L CPT % | 7 P PRO % | 9 P NS % ")</f>
        <v xml:space="preserve">| 5 L NS % | 6 L CPT % | 7 P PRO % | 9 P NS % </v>
      </c>
      <c r="BO612" s="4" t="str">
        <f ca="1">IFERROR(__xludf.DUMMYFUNCTION("""COMPUTED_VALUE"""),"| 5 L NS % | 6 L JAVA % ")</f>
        <v xml:space="preserve">| 5 L NS % | 6 L JAVA % </v>
      </c>
      <c r="BP612" s="4" t="str">
        <f ca="1">IFERROR(__xludf.DUMMYFUNCTION("""COMPUTED_VALUE"""),"| 1 L PHP-CGM % | 6 L JAVA % | 9 L INE @ ")</f>
        <v xml:space="preserve">| 1 L PHP-CGM % | 6 L JAVA % | 9 L INE @ </v>
      </c>
      <c r="BQ612" s="4" t="str">
        <f ca="1">IFERROR(__xludf.DUMMYFUNCTION("""COMPUTED_VALUE"""),"| 5 L CPT @ ")</f>
        <v xml:space="preserve">| 5 L CPT @ </v>
      </c>
      <c r="BR612" s="4"/>
      <c r="BS612" s="4" t="str">
        <f ca="1">IFERROR(__xludf.DUMMYFUNCTION("""COMPUTED_VALUE"""),"| 6 L CPT @ ")</f>
        <v xml:space="preserve">| 6 L CPT @ </v>
      </c>
      <c r="BT612" s="4"/>
      <c r="BU612" s="4"/>
      <c r="BV612" s="4" t="str">
        <f ca="1">IFERROR(__xludf.DUMMYFUNCTION("""COMPUTED_VALUE"""),"| 5 L PHP-CGM % | 6 L JAVA % ")</f>
        <v xml:space="preserve">| 5 L PHP-CGM % | 6 L JAVA % </v>
      </c>
      <c r="BW612" s="4"/>
      <c r="BX612" s="4" t="str">
        <f ca="1">IFERROR(__xludf.DUMMYFUNCTION("""COMPUTED_VALUE"""),"| 5 L CPT % | 7 P JAVA @ | 6 L PHP-CGM % ")</f>
        <v xml:space="preserve">| 5 L CPT % | 7 P JAVA @ | 6 L PHP-CGM % </v>
      </c>
      <c r="BY612" s="4" t="str">
        <f ca="1">IFERROR(__xludf.DUMMYFUNCTION("""COMPUTED_VALUE"""),"| 5 L NS % | 6 L CPT % | 7 P PRO % | 9 P NS % ")</f>
        <v xml:space="preserve">| 5 L NS % | 6 L CPT % | 7 P PRO % | 9 P NS % </v>
      </c>
      <c r="BZ612" s="4" t="str">
        <f ca="1">IFERROR(__xludf.DUMMYFUNCTION("""COMPUTED_VALUE"""),"| 5 L NS % | 6 L JAVA % | 7 P PHP-CGM % ")</f>
        <v xml:space="preserve">| 5 L NS % | 6 L JAVA % | 7 P PHP-CGM % </v>
      </c>
      <c r="CA612" s="4" t="str">
        <f ca="1">IFERROR(__xludf.DUMMYFUNCTION("""COMPUTED_VALUE"""),"| 1 L PHP-CGM % | 6 L JAVA % | 7 P Python % ")</f>
        <v xml:space="preserve">| 1 L PHP-CGM % | 6 L JAVA % | 7 P Python % </v>
      </c>
      <c r="CB612" s="4" t="str">
        <f ca="1">IFERROR(__xludf.DUMMYFUNCTION("""COMPUTED_VALUE"""),"| 5 L JAVA % | 6 L NS % | 7 P CPT % | 9 L CPT % | 10 L PHP-CGM % ")</f>
        <v xml:space="preserve">| 5 L JAVA % | 6 L NS % | 7 P CPT % | 9 L CPT % | 10 L PHP-CGM % </v>
      </c>
      <c r="CC612" s="4" t="str">
        <f ca="1">IFERROR(__xludf.DUMMYFUNCTION("""COMPUTED_VALUE"""),"| 5 L CPT % | 6 L PHP-CGM % | 7 P JAVA % | 9 P Python % ")</f>
        <v xml:space="preserve">| 5 L CPT % | 6 L PHP-CGM % | 7 P JAVA % | 9 P Python % </v>
      </c>
      <c r="CD612" s="4" t="str">
        <f ca="1">IFERROR(__xludf.DUMMYFUNCTION("""COMPUTED_VALUE"""),"| 5 L NS @ | 6 L CPT @ | 7 P PRO @ ")</f>
        <v xml:space="preserve">| 5 L NS @ | 6 L CPT @ | 7 P PRO @ </v>
      </c>
      <c r="CE612" s="4" t="str">
        <f ca="1">IFERROR(__xludf.DUMMYFUNCTION("""COMPUTED_VALUE"""),"| 5 L NS % | 6 L JAVA % | 7 P PHP-CGM % | 9 P JAVA % ")</f>
        <v xml:space="preserve">| 5 L NS % | 6 L JAVA % | 7 P PHP-CGM % | 9 P JAVA % </v>
      </c>
      <c r="CF612" s="4" t="str">
        <f ca="1">IFERROR(__xludf.DUMMYFUNCTION("""COMPUTED_VALUE"""),"| 5 L PHP-CGM % | 6 L JAVA % | 7 P Python % | 9 L INE % ")</f>
        <v xml:space="preserve">| 5 L PHP-CGM % | 6 L JAVA % | 7 P Python % | 9 L INE % </v>
      </c>
      <c r="CG612" s="4" t="str">
        <f ca="1">IFERROR(__xludf.DUMMYFUNCTION("""COMPUTED_VALUE"""),"| 5 L JAVA @ | 6 L NS @ ")</f>
        <v xml:space="preserve">| 5 L JAVA @ | 6 L NS @ </v>
      </c>
      <c r="CH612" s="4" t="str">
        <f ca="1">IFERROR(__xludf.DUMMYFUNCTION("""COMPUTED_VALUE"""),"| 5 L CPT % | 9 P Python @ ")</f>
        <v xml:space="preserve">| 5 L CPT % | 9 P Python @ </v>
      </c>
      <c r="CI612" s="4" t="str">
        <f ca="1">IFERROR(__xludf.DUMMYFUNCTION("""COMPUTED_VALUE"""),"| 5 L NS @ | 6 L CPT @ | 9 P NS % ")</f>
        <v xml:space="preserve">| 5 L NS @ | 6 L CPT @ | 9 P NS % </v>
      </c>
      <c r="CJ612" s="4" t="str">
        <f ca="1">IFERROR(__xludf.DUMMYFUNCTION("""COMPUTED_VALUE"""),"| 5 L NS % ")</f>
        <v xml:space="preserve">| 5 L NS % </v>
      </c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</row>
    <row r="613" spans="1:102" ht="12.5" x14ac:dyDescent="0.25">
      <c r="A613" s="3">
        <f ca="1">IFERROR(__xludf.DUMMYFUNCTION("""COMPUTED_VALUE"""),3)</f>
        <v>3</v>
      </c>
      <c r="B613" s="3" t="str">
        <f ca="1">IFERROR(__xludf.DUMMYFUNCTION("""COMPUTED_VALUE"""),"ITD")</f>
        <v>ITD</v>
      </c>
      <c r="C613" s="32" t="str">
        <f ca="1">IFERROR(__xludf.DUMMYFUNCTION("""COMPUTED_VALUE"""),"23171371100")</f>
        <v>23171371100</v>
      </c>
      <c r="D613" s="4" t="str">
        <f ca="1">IFERROR(__xludf.DUMMYFUNCTION("""COMPUTED_VALUE"""),"PATEL NIRAV HITESHKUMAR")</f>
        <v>PATEL NIRAV HITESHKUMAR</v>
      </c>
      <c r="E613" s="3" t="str">
        <f ca="1">IFERROR(__xludf.DUMMYFUNCTION("""COMPUTED_VALUE"""),"SRC - Eve")</f>
        <v>SRC - Eve</v>
      </c>
      <c r="F613" s="3">
        <f ca="1">IFERROR(__xludf.DUMMYFUNCTION("""COMPUTED_VALUE"""),9327602820)</f>
        <v>9327602820</v>
      </c>
      <c r="G613" s="3">
        <f ca="1">IFERROR(__xludf.DUMMYFUNCTION("""COMPUTED_VALUE"""),9737987258)</f>
        <v>9737987258</v>
      </c>
      <c r="H613" s="33">
        <f ca="1">IFERROR(__xludf.DUMMYFUNCTION("""COMPUTED_VALUE"""),0.803652968036529)</f>
        <v>0.80365296803652897</v>
      </c>
      <c r="I613" s="25">
        <f ca="1">IFERROR(__xludf.DUMMYFUNCTION("""COMPUTED_VALUE"""),0.833333333333333)</f>
        <v>0.83333333333333304</v>
      </c>
      <c r="J613" s="25">
        <f ca="1">IFERROR(__xludf.DUMMYFUNCTION("""COMPUTED_VALUE"""),0.6)</f>
        <v>0.6</v>
      </c>
      <c r="K613" s="25">
        <f ca="1">IFERROR(__xludf.DUMMYFUNCTION("""COMPUTED_VALUE"""),0.75)</f>
        <v>0.75</v>
      </c>
      <c r="L613" s="25">
        <f ca="1">IFERROR(__xludf.DUMMYFUNCTION("""COMPUTED_VALUE"""),0.9)</f>
        <v>0.9</v>
      </c>
      <c r="M613" s="25">
        <f ca="1">IFERROR(__xludf.DUMMYFUNCTION("""COMPUTED_VALUE"""),0.84375)</f>
        <v>0.84375</v>
      </c>
      <c r="N613" s="25">
        <f ca="1">IFERROR(__xludf.DUMMYFUNCTION("""COMPUTED_VALUE"""),0.625)</f>
        <v>0.625</v>
      </c>
      <c r="O613" s="25">
        <f ca="1">IFERROR(__xludf.DUMMYFUNCTION("""COMPUTED_VALUE"""),0.823529411764705)</f>
        <v>0.82352941176470495</v>
      </c>
      <c r="P613" s="25">
        <f ca="1">IFERROR(__xludf.DUMMYFUNCTION("""COMPUTED_VALUE"""),0.823529411764705)</f>
        <v>0.82352941176470495</v>
      </c>
      <c r="Q613" s="25">
        <f ca="1">IFERROR(__xludf.DUMMYFUNCTION("""COMPUTED_VALUE"""),0)</f>
        <v>0</v>
      </c>
      <c r="R613" s="25">
        <f ca="1">IFERROR(__xludf.DUMMYFUNCTION("""COMPUTED_VALUE"""),0.888888888888888)</f>
        <v>0.88888888888888795</v>
      </c>
      <c r="S613" s="25">
        <f ca="1">IFERROR(__xludf.DUMMYFUNCTION("""COMPUTED_VALUE"""),0)</f>
        <v>0</v>
      </c>
      <c r="T613" s="25">
        <f ca="1">IFERROR(__xludf.DUMMYFUNCTION("""COMPUTED_VALUE"""),0.909090909090909)</f>
        <v>0.90909090909090895</v>
      </c>
      <c r="U613" s="25">
        <f ca="1">IFERROR(__xludf.DUMMYFUNCTION("""COMPUTED_VALUE"""),0.571428571428571)</f>
        <v>0.57142857142857095</v>
      </c>
      <c r="V613" s="25">
        <f ca="1">IFERROR(__xludf.DUMMYFUNCTION("""COMPUTED_VALUE"""),0)</f>
        <v>0</v>
      </c>
      <c r="W613" s="4"/>
      <c r="X613" s="4" t="str">
        <f ca="1">IFERROR(__xludf.DUMMYFUNCTION("""COMPUTED_VALUE"""),"| 1 L PHP-CGM % | 6 L JAVA % | 7 P Python % ")</f>
        <v xml:space="preserve">| 1 L PHP-CGM % | 6 L JAVA % | 7 P Python % </v>
      </c>
      <c r="Y613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Z613" s="4" t="str">
        <f ca="1">IFERROR(__xludf.DUMMYFUNCTION("""COMPUTED_VALUE"""),"| 5 L CPT % | 6 L PHP-CGM % | 7 P JAVA % | 9 P Python % ")</f>
        <v xml:space="preserve">| 5 L CPT % | 6 L PHP-CGM % | 7 P JAVA % | 9 P Python % </v>
      </c>
      <c r="AA613" s="4" t="str">
        <f ca="1">IFERROR(__xludf.DUMMYFUNCTION("""COMPUTED_VALUE"""),"| 5 L NS % | 6 L CPT % | 7 P PRO % | 9 P NS % ")</f>
        <v xml:space="preserve">| 5 L NS % | 6 L CPT % | 7 P PRO % | 9 P NS % </v>
      </c>
      <c r="AB613" s="4" t="str">
        <f ca="1">IFERROR(__xludf.DUMMYFUNCTION("""COMPUTED_VALUE"""),"| 5 L NS % | 6 L JAVA % | 7 P PHP-CGM % | 9 P JAVA % ")</f>
        <v xml:space="preserve">| 5 L NS % | 6 L JAVA % | 7 P PHP-CGM % | 9 P JAVA % </v>
      </c>
      <c r="AC613" s="4" t="str">
        <f ca="1">IFERROR(__xludf.DUMMYFUNCTION("""COMPUTED_VALUE"""),"| 1 L PHP-CGM % | 6 L JAVA % | 7 P Python % ")</f>
        <v xml:space="preserve">| 1 L PHP-CGM % | 6 L JAVA % | 7 P Python % </v>
      </c>
      <c r="AD613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13" s="4" t="str">
        <f ca="1">IFERROR(__xludf.DUMMYFUNCTION("""COMPUTED_VALUE"""),"| 5 L CPT % | 6 L PHP-CGM % | 7 P JAVA % | 9 P Python % ")</f>
        <v xml:space="preserve">| 5 L CPT % | 6 L PHP-CGM % | 7 P JAVA % | 9 P Python % </v>
      </c>
      <c r="AF613" s="4" t="str">
        <f ca="1">IFERROR(__xludf.DUMMYFUNCTION("""COMPUTED_VALUE"""),"| 5 L NS % | 6 L CPT % | 7 P PRO % | 9 P NS % ")</f>
        <v xml:space="preserve">| 5 L NS % | 6 L CPT % | 7 P PRO % | 9 P NS % </v>
      </c>
      <c r="AG613" s="4" t="str">
        <f ca="1">IFERROR(__xludf.DUMMYFUNCTION("""COMPUTED_VALUE"""),"| 5 L NS % | 6 L JAVA % | 7 P PHP-CGM % | 9 P JAVA % ")</f>
        <v xml:space="preserve">| 5 L NS % | 6 L JAVA % | 7 P PHP-CGM % | 9 P JAVA % </v>
      </c>
      <c r="AH613" s="4" t="str">
        <f ca="1">IFERROR(__xludf.DUMMYFUNCTION("""COMPUTED_VALUE"""),"| 5 L NS % | 6 L CPT % | 7 P PRO % | 9 P NS % ")</f>
        <v xml:space="preserve">| 5 L NS % | 6 L CPT % | 7 P PRO % | 9 P NS % </v>
      </c>
      <c r="AI613" s="4" t="str">
        <f ca="1">IFERROR(__xludf.DUMMYFUNCTION("""COMPUTED_VALUE"""),"| 5 L NS % | 6 L JAVA % | 7 P PHP-CGM % | 9 P JAVA % ")</f>
        <v xml:space="preserve">| 5 L NS % | 6 L JAVA % | 7 P PHP-CGM % | 9 P JAVA % </v>
      </c>
      <c r="AJ613" s="4" t="str">
        <f ca="1">IFERROR(__xludf.DUMMYFUNCTION("""COMPUTED_VALUE"""),"| 1 L PHP-CGM % | 6 L JAVA % | 7 P Python % ")</f>
        <v xml:space="preserve">| 1 L PHP-CGM % | 6 L JAVA % | 7 P Python % </v>
      </c>
      <c r="AK613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13" s="4" t="str">
        <f ca="1">IFERROR(__xludf.DUMMYFUNCTION("""COMPUTED_VALUE"""),"| 5 L CPT % | 6 L PHP-CGM % | 7 P JAVA % | 9 P Python % ")</f>
        <v xml:space="preserve">| 5 L CPT % | 6 L PHP-CGM % | 7 P JAVA % | 9 P Python % </v>
      </c>
      <c r="AM613" s="4" t="str">
        <f ca="1">IFERROR(__xludf.DUMMYFUNCTION("""COMPUTED_VALUE"""),"| 5 L NS % | 6 L CPT % | 9 P JAVA % ")</f>
        <v xml:space="preserve">| 5 L NS % | 6 L CPT % | 9 P JAVA % </v>
      </c>
      <c r="AN613" s="4" t="str">
        <f ca="1">IFERROR(__xludf.DUMMYFUNCTION("""COMPUTED_VALUE"""),"| 5 L NS @ | 6 L JAVA @ ")</f>
        <v xml:space="preserve">| 5 L NS @ | 6 L JAVA @ </v>
      </c>
      <c r="AO613" s="4" t="str">
        <f ca="1">IFERROR(__xludf.DUMMYFUNCTION("""COMPUTED_VALUE"""),"| 1 L PHP-CGM @ | 6 L JAVA @ | 9 L INE @ ")</f>
        <v xml:space="preserve">| 1 L PHP-CGM @ | 6 L JAVA @ | 9 L INE @ </v>
      </c>
      <c r="AP613" s="4" t="str">
        <f ca="1">IFERROR(__xludf.DUMMYFUNCTION("""COMPUTED_VALUE"""),"| 5 L JAVA @ | 6 L NS % | 7 P CPT @ | 9 L CPT @ | 6 L PHP-CGM @ ")</f>
        <v xml:space="preserve">| 5 L JAVA @ | 6 L NS % | 7 P CPT @ | 9 L CPT @ | 6 L PHP-CGM @ </v>
      </c>
      <c r="AQ613" s="4" t="str">
        <f ca="1">IFERROR(__xludf.DUMMYFUNCTION("""COMPUTED_VALUE"""),"| 5 L CPT % | 6 L PHP-CGM % ")</f>
        <v xml:space="preserve">| 5 L CPT % | 6 L PHP-CGM % </v>
      </c>
      <c r="AR613" s="4" t="str">
        <f ca="1">IFERROR(__xludf.DUMMYFUNCTION("""COMPUTED_VALUE"""),"| 5 L NS @ | 6 L CPT @ | 7 P PRO @ ")</f>
        <v xml:space="preserve">| 5 L NS @ | 6 L CPT @ | 7 P PRO @ </v>
      </c>
      <c r="AS613" s="4" t="str">
        <f ca="1">IFERROR(__xludf.DUMMYFUNCTION("""COMPUTED_VALUE"""),"| 1 L PHP-CGM % | 6 L JAVA % | 7 P Python % | 9 L INE % ")</f>
        <v xml:space="preserve">| 1 L PHP-CGM % | 6 L JAVA % | 7 P Python % | 9 L INE % </v>
      </c>
      <c r="AT613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13" s="4" t="str">
        <f ca="1">IFERROR(__xludf.DUMMYFUNCTION("""COMPUTED_VALUE"""),"| 5 L CPT % | 6 L PHP-CGM % | 7 P JAVA % | 9 P Python % ")</f>
        <v xml:space="preserve">| 5 L CPT % | 6 L PHP-CGM % | 7 P JAVA % | 9 P Python % </v>
      </c>
      <c r="AV613" s="4" t="str">
        <f ca="1">IFERROR(__xludf.DUMMYFUNCTION("""COMPUTED_VALUE"""),"| 5 L NS % | 6 L CPT % | 7 P PRO % | 9 P NS % ")</f>
        <v xml:space="preserve">| 5 L NS % | 6 L CPT % | 7 P PRO % | 9 P NS % </v>
      </c>
      <c r="AW613" s="4" t="str">
        <f ca="1">IFERROR(__xludf.DUMMYFUNCTION("""COMPUTED_VALUE"""),"| 5 L NS % | 6 L JAVA % | 7 P PHP-CGM % | 9 P JAVA @ ")</f>
        <v xml:space="preserve">| 5 L NS % | 6 L JAVA % | 7 P PHP-CGM % | 9 P JAVA @ </v>
      </c>
      <c r="AX613" s="4" t="str">
        <f ca="1">IFERROR(__xludf.DUMMYFUNCTION("""COMPUTED_VALUE"""),"| 1 L PHP-CGM % | 6 L JAVA % | 7 P Python % | 9 L INE % ")</f>
        <v xml:space="preserve">| 1 L PHP-CGM % | 6 L JAVA % | 7 P Python % | 9 L INE % </v>
      </c>
      <c r="AY613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3" s="4" t="str">
        <f ca="1">IFERROR(__xludf.DUMMYFUNCTION("""COMPUTED_VALUE"""),"| 5 L NS % | 6 L CPT % | 7 P PRO % | 9 P NS % ")</f>
        <v xml:space="preserve">| 5 L NS % | 6 L CPT % | 7 P PRO % | 9 P NS % </v>
      </c>
      <c r="BA613" s="4" t="str">
        <f ca="1">IFERROR(__xludf.DUMMYFUNCTION("""COMPUTED_VALUE"""),"| 5 L NS @ | 6 L JAVA @ ")</f>
        <v xml:space="preserve">| 5 L NS @ | 6 L JAVA @ </v>
      </c>
      <c r="BB613" s="4" t="str">
        <f ca="1">IFERROR(__xludf.DUMMYFUNCTION("""COMPUTED_VALUE"""),"| 1 L PHP-CGM % | 6 L JAVA % | 7 P Python % | 9 L INE @ ")</f>
        <v xml:space="preserve">| 1 L PHP-CGM % | 6 L JAVA % | 7 P Python % | 9 L INE @ </v>
      </c>
      <c r="BC613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13" s="4" t="str">
        <f ca="1">IFERROR(__xludf.DUMMYFUNCTION("""COMPUTED_VALUE"""),"| 5 L CPT % | 6 L PHP-CGM % | 7 P JAVA % | 9 P Python % ")</f>
        <v xml:space="preserve">| 5 L CPT % | 6 L PHP-CGM % | 7 P JAVA % | 9 P Python % </v>
      </c>
      <c r="BE613" s="4" t="str">
        <f ca="1">IFERROR(__xludf.DUMMYFUNCTION("""COMPUTED_VALUE"""),"| 5 L NS % | 6 L CPT % | 9 P JAVA % | 7 P PRO % | 9 P NS % ")</f>
        <v xml:space="preserve">| 5 L NS % | 6 L CPT % | 9 P JAVA % | 7 P PRO % | 9 P NS % </v>
      </c>
      <c r="BF613" s="4" t="str">
        <f ca="1">IFERROR(__xludf.DUMMYFUNCTION("""COMPUTED_VALUE"""),"| 5 L NS @ | 6 L JAVA % | 7 P PHP-CGM % | 9 P JAVA % ")</f>
        <v xml:space="preserve">| 5 L NS @ | 6 L JAVA % | 7 P PHP-CGM % | 9 P JAVA % </v>
      </c>
      <c r="BG613" s="4" t="str">
        <f ca="1">IFERROR(__xludf.DUMMYFUNCTION("""COMPUTED_VALUE"""),"| 5 L JAVA % | 6 L NS % | 9 L CPT % | 7 P CPT @ | 10 L PHP-CGM % ")</f>
        <v xml:space="preserve">| 5 L JAVA % | 6 L NS % | 9 L CPT % | 7 P CPT @ | 10 L PHP-CGM % </v>
      </c>
      <c r="BH613" s="4" t="str">
        <f ca="1">IFERROR(__xludf.DUMMYFUNCTION("""COMPUTED_VALUE"""),"| 5 L CPT % | 7 P JAVA % | 6 L PHP-CGM % | 9 P Python % ")</f>
        <v xml:space="preserve">| 5 L CPT % | 7 P JAVA % | 6 L PHP-CGM % | 9 P Python % </v>
      </c>
      <c r="BI613" s="4" t="str">
        <f ca="1">IFERROR(__xludf.DUMMYFUNCTION("""COMPUTED_VALUE"""),"| 5 L NS % | 6 L CPT % | 7 P PRO % | 9 P NS % ")</f>
        <v xml:space="preserve">| 5 L NS % | 6 L CPT % | 7 P PRO % | 9 P NS % </v>
      </c>
      <c r="BJ613" s="4" t="str">
        <f ca="1">IFERROR(__xludf.DUMMYFUNCTION("""COMPUTED_VALUE"""),"| 5 L NS % | 6 L JAVA % | 7 P PHP-CGM @ ")</f>
        <v xml:space="preserve">| 5 L NS % | 6 L JAVA % | 7 P PHP-CGM @ </v>
      </c>
      <c r="BK613" s="4" t="str">
        <f ca="1">IFERROR(__xludf.DUMMYFUNCTION("""COMPUTED_VALUE"""),"| 1 L PHP-CGM % | 6 L JAVA % | 7 P Python % | 9 L INE % ")</f>
        <v xml:space="preserve">| 1 L PHP-CGM % | 6 L JAVA % | 7 P Python % | 9 L INE % </v>
      </c>
      <c r="BL613" s="4" t="str">
        <f ca="1">IFERROR(__xludf.DUMMYFUNCTION("""COMPUTED_VALUE"""),"| 5 L JAVA % | 6 L NS % | 7 P CPT @ | 9 L CPT @ | 10 L PHP-CGM @ ")</f>
        <v xml:space="preserve">| 5 L JAVA % | 6 L NS % | 7 P CPT @ | 9 L CPT @ | 10 L PHP-CGM @ </v>
      </c>
      <c r="BM613" s="4" t="str">
        <f ca="1">IFERROR(__xludf.DUMMYFUNCTION("""COMPUTED_VALUE"""),"| 5 L CPT % | 6 L PHP-CGM % | 7 P JAVA % | 9 P Python @ ")</f>
        <v xml:space="preserve">| 5 L CPT % | 6 L PHP-CGM % | 7 P JAVA % | 9 P Python @ </v>
      </c>
      <c r="BN613" s="4" t="str">
        <f ca="1">IFERROR(__xludf.DUMMYFUNCTION("""COMPUTED_VALUE"""),"| 5 L NS % | 6 L CPT % | 7 P PRO % | 9 P NS % ")</f>
        <v xml:space="preserve">| 5 L NS % | 6 L CPT % | 7 P PRO % | 9 P NS % </v>
      </c>
      <c r="BO613" s="4" t="str">
        <f ca="1">IFERROR(__xludf.DUMMYFUNCTION("""COMPUTED_VALUE"""),"| 5 L NS % | 6 L JAVA % ")</f>
        <v xml:space="preserve">| 5 L NS % | 6 L JAVA % </v>
      </c>
      <c r="BP613" s="4" t="str">
        <f ca="1">IFERROR(__xludf.DUMMYFUNCTION("""COMPUTED_VALUE"""),"| 1 L PHP-CGM @ | 6 L JAVA @ | 9 L INE @ ")</f>
        <v xml:space="preserve">| 1 L PHP-CGM @ | 6 L JAVA @ | 9 L INE @ </v>
      </c>
      <c r="BQ613" s="4" t="str">
        <f ca="1">IFERROR(__xludf.DUMMYFUNCTION("""COMPUTED_VALUE"""),"| 5 L CPT % ")</f>
        <v xml:space="preserve">| 5 L CPT % </v>
      </c>
      <c r="BR613" s="4"/>
      <c r="BS613" s="4" t="str">
        <f ca="1">IFERROR(__xludf.DUMMYFUNCTION("""COMPUTED_VALUE"""),"| 6 L CPT @ ")</f>
        <v xml:space="preserve">| 6 L CPT @ </v>
      </c>
      <c r="BT613" s="4"/>
      <c r="BU613" s="4"/>
      <c r="BV613" s="4" t="str">
        <f ca="1">IFERROR(__xludf.DUMMYFUNCTION("""COMPUTED_VALUE"""),"| 5 L PHP-CGM % | 6 L JAVA % ")</f>
        <v xml:space="preserve">| 5 L PHP-CGM % | 6 L JAVA % </v>
      </c>
      <c r="BW613" s="4"/>
      <c r="BX613" s="4" t="str">
        <f ca="1">IFERROR(__xludf.DUMMYFUNCTION("""COMPUTED_VALUE"""),"| 5 L CPT % | 7 P JAVA % | 6 L PHP-CGM % ")</f>
        <v xml:space="preserve">| 5 L CPT % | 7 P JAVA % | 6 L PHP-CGM % </v>
      </c>
      <c r="BY613" s="4" t="str">
        <f ca="1">IFERROR(__xludf.DUMMYFUNCTION("""COMPUTED_VALUE"""),"| 5 L NS % | 6 L CPT % | 7 P PRO % | 9 P NS @ ")</f>
        <v xml:space="preserve">| 5 L NS % | 6 L CPT % | 7 P PRO % | 9 P NS @ </v>
      </c>
      <c r="BZ613" s="4" t="str">
        <f ca="1">IFERROR(__xludf.DUMMYFUNCTION("""COMPUTED_VALUE"""),"| 5 L NS % | 6 L JAVA % | 7 P PHP-CGM @ ")</f>
        <v xml:space="preserve">| 5 L NS % | 6 L JAVA % | 7 P PHP-CGM @ </v>
      </c>
      <c r="CA613" s="4" t="str">
        <f ca="1">IFERROR(__xludf.DUMMYFUNCTION("""COMPUTED_VALUE"""),"| 1 L PHP-CGM % | 6 L JAVA % | 7 P Python % ")</f>
        <v xml:space="preserve">| 1 L PHP-CGM % | 6 L JAVA % | 7 P Python % </v>
      </c>
      <c r="CB613" s="4" t="str">
        <f ca="1">IFERROR(__xludf.DUMMYFUNCTION("""COMPUTED_VALUE"""),"| 5 L JAVA % | 6 L NS % | 7 P CPT @ | 9 L CPT % | 10 L PHP-CGM @ ")</f>
        <v xml:space="preserve">| 5 L JAVA % | 6 L NS % | 7 P CPT @ | 9 L CPT % | 10 L PHP-CGM @ </v>
      </c>
      <c r="CC613" s="4" t="str">
        <f ca="1">IFERROR(__xludf.DUMMYFUNCTION("""COMPUTED_VALUE"""),"| 5 L CPT % | 6 L PHP-CGM % | 7 P JAVA @ | 9 P Python @ ")</f>
        <v xml:space="preserve">| 5 L CPT % | 6 L PHP-CGM % | 7 P JAVA @ | 9 P Python @ </v>
      </c>
      <c r="CD613" s="4" t="str">
        <f ca="1">IFERROR(__xludf.DUMMYFUNCTION("""COMPUTED_VALUE"""),"| 5 L NS @ | 6 L CPT @ | 7 P PRO % ")</f>
        <v xml:space="preserve">| 5 L NS @ | 6 L CPT @ | 7 P PRO % </v>
      </c>
      <c r="CE613" s="4" t="str">
        <f ca="1">IFERROR(__xludf.DUMMYFUNCTION("""COMPUTED_VALUE"""),"| 5 L NS @ | 6 L JAVA @ | 7 P PHP-CGM @ | 9 P JAVA @ ")</f>
        <v xml:space="preserve">| 5 L NS @ | 6 L JAVA @ | 7 P PHP-CGM @ | 9 P JAVA @ </v>
      </c>
      <c r="CF613" s="4" t="str">
        <f ca="1">IFERROR(__xludf.DUMMYFUNCTION("""COMPUTED_VALUE"""),"| 5 L PHP-CGM % | 6 L JAVA % | 7 P Python % | 9 L INE % ")</f>
        <v xml:space="preserve">| 5 L PHP-CGM % | 6 L JAVA % | 7 P Python % | 9 L INE % </v>
      </c>
      <c r="CG613" s="4" t="str">
        <f ca="1">IFERROR(__xludf.DUMMYFUNCTION("""COMPUTED_VALUE"""),"| 5 L JAVA % | 6 L NS @ ")</f>
        <v xml:space="preserve">| 5 L JAVA % | 6 L NS @ </v>
      </c>
      <c r="CH613" s="4" t="str">
        <f ca="1">IFERROR(__xludf.DUMMYFUNCTION("""COMPUTED_VALUE"""),"| 5 L CPT % | 9 P Python % ")</f>
        <v xml:space="preserve">| 5 L CPT % | 9 P Python % </v>
      </c>
      <c r="CI613" s="4" t="str">
        <f ca="1">IFERROR(__xludf.DUMMYFUNCTION("""COMPUTED_VALUE"""),"| 5 L NS @ | 6 L CPT @ | 9 P NS % ")</f>
        <v xml:space="preserve">| 5 L NS @ | 6 L CPT @ | 9 P NS % </v>
      </c>
      <c r="CJ613" s="4" t="str">
        <f ca="1">IFERROR(__xludf.DUMMYFUNCTION("""COMPUTED_VALUE"""),"| 5 L NS @ ")</f>
        <v xml:space="preserve">| 5 L NS @ </v>
      </c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</row>
    <row r="614" spans="1:102" ht="12.5" x14ac:dyDescent="0.25">
      <c r="A614" s="3">
        <f ca="1">IFERROR(__xludf.DUMMYFUNCTION("""COMPUTED_VALUE"""),3)</f>
        <v>3</v>
      </c>
      <c r="B614" s="3" t="str">
        <f ca="1">IFERROR(__xludf.DUMMYFUNCTION("""COMPUTED_VALUE"""),"ITD")</f>
        <v>ITD</v>
      </c>
      <c r="C614" s="32" t="str">
        <f ca="1">IFERROR(__xludf.DUMMYFUNCTION("""COMPUTED_VALUE"""),"23171371102")</f>
        <v>23171371102</v>
      </c>
      <c r="D614" s="4" t="str">
        <f ca="1">IFERROR(__xludf.DUMMYFUNCTION("""COMPUTED_VALUE"""),"PATEL PRINCEKUMAR PANKAJBHAI")</f>
        <v>PATEL PRINCEKUMAR PANKAJBHAI</v>
      </c>
      <c r="E614" s="3" t="str">
        <f ca="1">IFERROR(__xludf.DUMMYFUNCTION("""COMPUTED_VALUE"""),"SRC - Eve")</f>
        <v>SRC - Eve</v>
      </c>
      <c r="F614" s="3">
        <f ca="1">IFERROR(__xludf.DUMMYFUNCTION("""COMPUTED_VALUE"""),9313606031)</f>
        <v>9313606031</v>
      </c>
      <c r="G614" s="3">
        <f ca="1">IFERROR(__xludf.DUMMYFUNCTION("""COMPUTED_VALUE"""),9427324905)</f>
        <v>9427324905</v>
      </c>
      <c r="H614" s="33">
        <f ca="1">IFERROR(__xludf.DUMMYFUNCTION("""COMPUTED_VALUE"""),0.365296803652968)</f>
        <v>0.36529680365296802</v>
      </c>
      <c r="I614" s="25">
        <f ca="1">IFERROR(__xludf.DUMMYFUNCTION("""COMPUTED_VALUE"""),0.5)</f>
        <v>0.5</v>
      </c>
      <c r="J614" s="25">
        <f ca="1">IFERROR(__xludf.DUMMYFUNCTION("""COMPUTED_VALUE"""),0.2)</f>
        <v>0.2</v>
      </c>
      <c r="K614" s="25">
        <f ca="1">IFERROR(__xludf.DUMMYFUNCTION("""COMPUTED_VALUE"""),0.666666666666666)</f>
        <v>0.66666666666666596</v>
      </c>
      <c r="L614" s="25">
        <f ca="1">IFERROR(__xludf.DUMMYFUNCTION("""COMPUTED_VALUE"""),0)</f>
        <v>0</v>
      </c>
      <c r="M614" s="25">
        <f ca="1">IFERROR(__xludf.DUMMYFUNCTION("""COMPUTED_VALUE"""),0.4375)</f>
        <v>0.4375</v>
      </c>
      <c r="N614" s="25">
        <f ca="1">IFERROR(__xludf.DUMMYFUNCTION("""COMPUTED_VALUE"""),0)</f>
        <v>0</v>
      </c>
      <c r="O614" s="25">
        <f ca="1">IFERROR(__xludf.DUMMYFUNCTION("""COMPUTED_VALUE"""),0.647058823529411)</f>
        <v>0.64705882352941102</v>
      </c>
      <c r="P614" s="25">
        <f ca="1">IFERROR(__xludf.DUMMYFUNCTION("""COMPUTED_VALUE"""),0)</f>
        <v>0</v>
      </c>
      <c r="Q614" s="25">
        <f ca="1">IFERROR(__xludf.DUMMYFUNCTION("""COMPUTED_VALUE"""),0)</f>
        <v>0</v>
      </c>
      <c r="R614" s="25">
        <f ca="1">IFERROR(__xludf.DUMMYFUNCTION("""COMPUTED_VALUE"""),0)</f>
        <v>0</v>
      </c>
      <c r="S614" s="25">
        <f ca="1">IFERROR(__xludf.DUMMYFUNCTION("""COMPUTED_VALUE"""),0)</f>
        <v>0</v>
      </c>
      <c r="T614" s="25">
        <f ca="1">IFERROR(__xludf.DUMMYFUNCTION("""COMPUTED_VALUE"""),0)</f>
        <v>0</v>
      </c>
      <c r="U614" s="25">
        <f ca="1">IFERROR(__xludf.DUMMYFUNCTION("""COMPUTED_VALUE"""),0)</f>
        <v>0</v>
      </c>
      <c r="V614" s="25">
        <f ca="1">IFERROR(__xludf.DUMMYFUNCTION("""COMPUTED_VALUE"""),0)</f>
        <v>0</v>
      </c>
      <c r="W614" s="4"/>
      <c r="X614" s="4" t="str">
        <f ca="1">IFERROR(__xludf.DUMMYFUNCTION("""COMPUTED_VALUE"""),"| 1 L PHP-CGM @ | 6 L JAVA @ | 7 P Python @ ")</f>
        <v xml:space="preserve">| 1 L PHP-CGM @ | 6 L JAVA @ | 7 P Python @ </v>
      </c>
      <c r="Y614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14" s="4" t="str">
        <f ca="1">IFERROR(__xludf.DUMMYFUNCTION("""COMPUTED_VALUE"""),"| 5 L CPT % | 6 L PHP-CGM % | 7 P JAVA @ | 9 P Python @ ")</f>
        <v xml:space="preserve">| 5 L CPT % | 6 L PHP-CGM % | 7 P JAVA @ | 9 P Python @ </v>
      </c>
      <c r="AA614" s="4" t="str">
        <f ca="1">IFERROR(__xludf.DUMMYFUNCTION("""COMPUTED_VALUE"""),"| 5 L NS % | 6 L CPT % | 7 P PRO @ | 9 P NS @ ")</f>
        <v xml:space="preserve">| 5 L NS % | 6 L CPT % | 7 P PRO @ | 9 P NS @ </v>
      </c>
      <c r="AB614" s="4" t="str">
        <f ca="1">IFERROR(__xludf.DUMMYFUNCTION("""COMPUTED_VALUE"""),"| 5 L NS @ | 6 L JAVA @ | 7 P PHP-CGM @ | 9 P JAVA @ ")</f>
        <v xml:space="preserve">| 5 L NS @ | 6 L JAVA @ | 7 P PHP-CGM @ | 9 P JAVA @ </v>
      </c>
      <c r="AC614" s="4" t="str">
        <f ca="1">IFERROR(__xludf.DUMMYFUNCTION("""COMPUTED_VALUE"""),"| 1 L PHP-CGM @ | 6 L JAVA @ | 7 P Python @ ")</f>
        <v xml:space="preserve">| 1 L PHP-CGM @ | 6 L JAVA @ | 7 P Python @ </v>
      </c>
      <c r="AD614" s="4" t="str">
        <f ca="1">IFERROR(__xludf.DUMMYFUNCTION("""COMPUTED_VALUE"""),"| 5 L JAVA % | 6 L NS % | 7 P CPT @ | 9 L CPT % | 6 L PHP-CGM % ")</f>
        <v xml:space="preserve">| 5 L JAVA % | 6 L NS % | 7 P CPT @ | 9 L CPT % | 6 L PHP-CGM % </v>
      </c>
      <c r="AE614" s="4" t="str">
        <f ca="1">IFERROR(__xludf.DUMMYFUNCTION("""COMPUTED_VALUE"""),"| 5 L CPT % | 6 L PHP-CGM % | 7 P JAVA @ | 9 P Python @ ")</f>
        <v xml:space="preserve">| 5 L CPT % | 6 L PHP-CGM % | 7 P JAVA @ | 9 P Python @ </v>
      </c>
      <c r="AF614" s="4" t="str">
        <f ca="1">IFERROR(__xludf.DUMMYFUNCTION("""COMPUTED_VALUE"""),"| 5 L NS % | 6 L CPT % | 7 P PRO @ | 9 P NS @ ")</f>
        <v xml:space="preserve">| 5 L NS % | 6 L CPT % | 7 P PRO @ | 9 P NS @ </v>
      </c>
      <c r="AG614" s="4" t="str">
        <f ca="1">IFERROR(__xludf.DUMMYFUNCTION("""COMPUTED_VALUE"""),"| 5 L NS % | 6 L JAVA % | 7 P PHP-CGM @ | 9 P JAVA @ ")</f>
        <v xml:space="preserve">| 5 L NS % | 6 L JAVA % | 7 P PHP-CGM @ | 9 P JAVA @ </v>
      </c>
      <c r="AH614" s="4" t="str">
        <f ca="1">IFERROR(__xludf.DUMMYFUNCTION("""COMPUTED_VALUE"""),"| 5 L NS % | 6 L CPT % | 7 P PRO @ | 9 P NS @ ")</f>
        <v xml:space="preserve">| 5 L NS % | 6 L CPT % | 7 P PRO @ | 9 P NS @ </v>
      </c>
      <c r="AI614" s="4" t="str">
        <f ca="1">IFERROR(__xludf.DUMMYFUNCTION("""COMPUTED_VALUE"""),"| 5 L NS % | 6 L JAVA % | 7 P PHP-CGM @ | 9 P JAVA @ ")</f>
        <v xml:space="preserve">| 5 L NS % | 6 L JAVA % | 7 P PHP-CGM @ | 9 P JAVA @ </v>
      </c>
      <c r="AJ614" s="4" t="str">
        <f ca="1">IFERROR(__xludf.DUMMYFUNCTION("""COMPUTED_VALUE"""),"| 1 L PHP-CGM % | 6 L JAVA % | 7 P Python @ ")</f>
        <v xml:space="preserve">| 1 L PHP-CGM % | 6 L JAVA % | 7 P Python @ </v>
      </c>
      <c r="AK614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L614" s="4" t="str">
        <f ca="1">IFERROR(__xludf.DUMMYFUNCTION("""COMPUTED_VALUE"""),"| 5 L CPT % | 6 L PHP-CGM % | 7 P JAVA @ | 9 P Python @ ")</f>
        <v xml:space="preserve">| 5 L CPT % | 6 L PHP-CGM % | 7 P JAVA @ | 9 P Python @ </v>
      </c>
      <c r="AM614" s="4" t="str">
        <f ca="1">IFERROR(__xludf.DUMMYFUNCTION("""COMPUTED_VALUE"""),"| 5 L NS % | 6 L CPT % | 9 P JAVA @ ")</f>
        <v xml:space="preserve">| 5 L NS % | 6 L CPT % | 9 P JAVA @ </v>
      </c>
      <c r="AN614" s="4" t="str">
        <f ca="1">IFERROR(__xludf.DUMMYFUNCTION("""COMPUTED_VALUE"""),"| 5 L NS % | 6 L JAVA % ")</f>
        <v xml:space="preserve">| 5 L NS % | 6 L JAVA % </v>
      </c>
      <c r="AO614" s="4" t="str">
        <f ca="1">IFERROR(__xludf.DUMMYFUNCTION("""COMPUTED_VALUE"""),"| 1 L PHP-CGM % | 6 L JAVA % | 9 L INE @ ")</f>
        <v xml:space="preserve">| 1 L PHP-CGM % | 6 L JAVA % | 9 L INE @ </v>
      </c>
      <c r="AP614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Q614" s="4" t="str">
        <f ca="1">IFERROR(__xludf.DUMMYFUNCTION("""COMPUTED_VALUE"""),"| 5 L CPT % | 6 L PHP-CGM % ")</f>
        <v xml:space="preserve">| 5 L CPT % | 6 L PHP-CGM % </v>
      </c>
      <c r="AR614" s="4" t="str">
        <f ca="1">IFERROR(__xludf.DUMMYFUNCTION("""COMPUTED_VALUE"""),"| 5 L NS % | 6 L CPT % | 7 P PRO @ ")</f>
        <v xml:space="preserve">| 5 L NS % | 6 L CPT % | 7 P PRO @ </v>
      </c>
      <c r="AS614" s="4" t="str">
        <f ca="1">IFERROR(__xludf.DUMMYFUNCTION("""COMPUTED_VALUE"""),"| 1 L PHP-CGM @ | 6 L JAVA % | 7 P Python @ | 9 L INE @ ")</f>
        <v xml:space="preserve">| 1 L PHP-CGM @ | 6 L JAVA % | 7 P Python @ | 9 L INE @ </v>
      </c>
      <c r="AT614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U614" s="4" t="str">
        <f ca="1">IFERROR(__xludf.DUMMYFUNCTION("""COMPUTED_VALUE"""),"| 5 L CPT % | 6 L PHP-CGM % | 7 P JAVA @ | 9 P Python @ ")</f>
        <v xml:space="preserve">| 5 L CPT % | 6 L PHP-CGM % | 7 P JAVA @ | 9 P Python @ </v>
      </c>
      <c r="AV614" s="4" t="str">
        <f ca="1">IFERROR(__xludf.DUMMYFUNCTION("""COMPUTED_VALUE"""),"| 5 L NS % | 6 L CPT % | 7 P PRO @ | 9 P NS @ ")</f>
        <v xml:space="preserve">| 5 L NS % | 6 L CPT % | 7 P PRO @ | 9 P NS @ </v>
      </c>
      <c r="AW614" s="4" t="str">
        <f ca="1">IFERROR(__xludf.DUMMYFUNCTION("""COMPUTED_VALUE"""),"| 5 L NS % | 6 L JAVA % | 7 P PHP-CGM @ | 9 P JAVA @ ")</f>
        <v xml:space="preserve">| 5 L NS % | 6 L JAVA % | 7 P PHP-CGM @ | 9 P JAVA @ </v>
      </c>
      <c r="AX614" s="4" t="str">
        <f ca="1">IFERROR(__xludf.DUMMYFUNCTION("""COMPUTED_VALUE"""),"| 1 L PHP-CGM % | 6 L JAVA % | 7 P Python @ | 9 L INE @ ")</f>
        <v xml:space="preserve">| 1 L PHP-CGM % | 6 L JAVA % | 7 P Python @ | 9 L INE @ </v>
      </c>
      <c r="AY614" s="4" t="str">
        <f ca="1">IFERROR(__xludf.DUMMYFUNCTION("""COMPUTED_VALUE"""),"| 5 L JAVA % | 6 L NS % | 7 P CPT % | 9 L CPT @ | 11 L PHP-CGM @ ")</f>
        <v xml:space="preserve">| 5 L JAVA % | 6 L NS % | 7 P CPT % | 9 L CPT @ | 11 L PHP-CGM @ </v>
      </c>
      <c r="AZ614" s="4" t="str">
        <f ca="1">IFERROR(__xludf.DUMMYFUNCTION("""COMPUTED_VALUE"""),"| 5 L NS % | 6 L CPT % | 7 P PRO @ | 9 P NS @ ")</f>
        <v xml:space="preserve">| 5 L NS % | 6 L CPT % | 7 P PRO @ | 9 P NS @ </v>
      </c>
      <c r="BA614" s="4" t="str">
        <f ca="1">IFERROR(__xludf.DUMMYFUNCTION("""COMPUTED_VALUE"""),"| 5 L NS % | 6 L JAVA % ")</f>
        <v xml:space="preserve">| 5 L NS % | 6 L JAVA % </v>
      </c>
      <c r="BB614" s="4" t="str">
        <f ca="1">IFERROR(__xludf.DUMMYFUNCTION("""COMPUTED_VALUE"""),"| 1 L PHP-CGM % | 6 L JAVA % | 7 P Python @ | 9 L INE @ ")</f>
        <v xml:space="preserve">| 1 L PHP-CGM % | 6 L JAVA % | 7 P Python @ | 9 L INE @ </v>
      </c>
      <c r="BC614" s="4" t="str">
        <f ca="1">IFERROR(__xludf.DUMMYFUNCTION("""COMPUTED_VALUE"""),"| 5 L JAVA % | 6 L NS % | 7 P CPT @ | 10 L PHP-CGM @ | 9 L CPT @ ")</f>
        <v xml:space="preserve">| 5 L JAVA % | 6 L NS % | 7 P CPT @ | 10 L PHP-CGM @ | 9 L CPT @ </v>
      </c>
      <c r="BD614" s="4" t="str">
        <f ca="1">IFERROR(__xludf.DUMMYFUNCTION("""COMPUTED_VALUE"""),"| 5 L CPT % | 6 L PHP-CGM % | 7 P JAVA @ | 9 P Python @ ")</f>
        <v xml:space="preserve">| 5 L CPT % | 6 L PHP-CGM % | 7 P JAVA @ | 9 P Python @ </v>
      </c>
      <c r="BE614" s="4" t="str">
        <f ca="1">IFERROR(__xludf.DUMMYFUNCTION("""COMPUTED_VALUE"""),"| 5 L NS % | 6 L CPT % | 9 P JAVA @ | 7 P PRO @ | 9 P NS @ ")</f>
        <v xml:space="preserve">| 5 L NS % | 6 L CPT % | 9 P JAVA @ | 7 P PRO @ | 9 P NS @ </v>
      </c>
      <c r="BF614" s="4" t="str">
        <f ca="1">IFERROR(__xludf.DUMMYFUNCTION("""COMPUTED_VALUE"""),"| 5 L NS @ | 6 L JAVA % | 7 P PHP-CGM @ | 9 P JAVA @ ")</f>
        <v xml:space="preserve">| 5 L NS @ | 6 L JAVA % | 7 P PHP-CGM @ | 9 P JAVA @ </v>
      </c>
      <c r="BG614" s="4" t="str">
        <f ca="1">IFERROR(__xludf.DUMMYFUNCTION("""COMPUTED_VALUE"""),"| 5 L JAVA % | 6 L NS % | 9 L CPT @ | 7 P CPT % | 10 L PHP-CGM @ ")</f>
        <v xml:space="preserve">| 5 L JAVA % | 6 L NS % | 9 L CPT @ | 7 P CPT % | 10 L PHP-CGM @ </v>
      </c>
      <c r="BH614" s="4" t="str">
        <f ca="1">IFERROR(__xludf.DUMMYFUNCTION("""COMPUTED_VALUE"""),"| 5 L CPT @ | 7 P JAVA @ | 6 L PHP-CGM @ | 9 P Python @ ")</f>
        <v xml:space="preserve">| 5 L CPT @ | 7 P JAVA @ | 6 L PHP-CGM @ | 9 P Python @ </v>
      </c>
      <c r="BI614" s="4" t="str">
        <f ca="1">IFERROR(__xludf.DUMMYFUNCTION("""COMPUTED_VALUE"""),"| 5 L NS @ | 6 L CPT @ | 7 P PRO @ | 9 P NS @ ")</f>
        <v xml:space="preserve">| 5 L NS @ | 6 L CPT @ | 7 P PRO @ | 9 P NS @ </v>
      </c>
      <c r="BJ614" s="4" t="str">
        <f ca="1">IFERROR(__xludf.DUMMYFUNCTION("""COMPUTED_VALUE"""),"| 5 L NS @ | 6 L JAVA @ | 7 P PHP-CGM @ ")</f>
        <v xml:space="preserve">| 5 L NS @ | 6 L JAVA @ | 7 P PHP-CGM @ </v>
      </c>
      <c r="BK614" s="4" t="str">
        <f ca="1">IFERROR(__xludf.DUMMYFUNCTION("""COMPUTED_VALUE"""),"| 1 L PHP-CGM @ | 6 L JAVA @ | 7 P Python @ | 9 L INE @ ")</f>
        <v xml:space="preserve">| 1 L PHP-CGM @ | 6 L JAVA @ | 7 P Python @ | 9 L INE @ </v>
      </c>
      <c r="BL614" s="4" t="str">
        <f ca="1">IFERROR(__xludf.DUMMYFUNCTION("""COMPUTED_VALUE"""),"| 5 L JAVA % | 6 L NS % | 7 P CPT @ | 9 L CPT @ | 10 L PHP-CGM @ ")</f>
        <v xml:space="preserve">| 5 L JAVA % | 6 L NS % | 7 P CPT @ | 9 L CPT @ | 10 L PHP-CGM @ </v>
      </c>
      <c r="BM614" s="4" t="str">
        <f ca="1">IFERROR(__xludf.DUMMYFUNCTION("""COMPUTED_VALUE"""),"| 5 L CPT @ | 6 L PHP-CGM @ | 7 P JAVA @ | 9 P Python @ ")</f>
        <v xml:space="preserve">| 5 L CPT @ | 6 L PHP-CGM @ | 7 P JAVA @ | 9 P Python @ </v>
      </c>
      <c r="BN614" s="4" t="str">
        <f ca="1">IFERROR(__xludf.DUMMYFUNCTION("""COMPUTED_VALUE"""),"| 5 L NS @ | 6 L CPT @ | 7 P PRO @ | 9 P NS @ ")</f>
        <v xml:space="preserve">| 5 L NS @ | 6 L CPT @ | 7 P PRO @ | 9 P NS @ </v>
      </c>
      <c r="BO614" s="4" t="str">
        <f ca="1">IFERROR(__xludf.DUMMYFUNCTION("""COMPUTED_VALUE"""),"| 5 L NS @ | 6 L JAVA @ ")</f>
        <v xml:space="preserve">| 5 L NS @ | 6 L JAVA @ </v>
      </c>
      <c r="BP614" s="4" t="str">
        <f ca="1">IFERROR(__xludf.DUMMYFUNCTION("""COMPUTED_VALUE"""),"| 1 L PHP-CGM @ | 6 L JAVA @ | 9 L INE @ ")</f>
        <v xml:space="preserve">| 1 L PHP-CGM @ | 6 L JAVA @ | 9 L INE @ </v>
      </c>
      <c r="BQ614" s="4" t="str">
        <f ca="1">IFERROR(__xludf.DUMMYFUNCTION("""COMPUTED_VALUE"""),"| 5 L CPT @ ")</f>
        <v xml:space="preserve">| 5 L CPT @ </v>
      </c>
      <c r="BR614" s="4"/>
      <c r="BS614" s="4" t="str">
        <f ca="1">IFERROR(__xludf.DUMMYFUNCTION("""COMPUTED_VALUE"""),"| 6 L CPT @ ")</f>
        <v xml:space="preserve">| 6 L CPT @ </v>
      </c>
      <c r="BT614" s="4"/>
      <c r="BU614" s="4"/>
      <c r="BV614" s="4" t="str">
        <f ca="1">IFERROR(__xludf.DUMMYFUNCTION("""COMPUTED_VALUE"""),"| 5 L PHP-CGM @ | 6 L JAVA @ ")</f>
        <v xml:space="preserve">| 5 L PHP-CGM @ | 6 L JAVA @ </v>
      </c>
      <c r="BW614" s="4"/>
      <c r="BX614" s="4" t="str">
        <f ca="1">IFERROR(__xludf.DUMMYFUNCTION("""COMPUTED_VALUE"""),"| 5 L CPT @ | 7 P JAVA @ | 6 L PHP-CGM @ ")</f>
        <v xml:space="preserve">| 5 L CPT @ | 7 P JAVA @ | 6 L PHP-CGM @ </v>
      </c>
      <c r="BY614" s="4" t="str">
        <f ca="1">IFERROR(__xludf.DUMMYFUNCTION("""COMPUTED_VALUE"""),"| 5 L NS @ | 6 L CPT @ | 7 P PRO @ | 9 P NS @ ")</f>
        <v xml:space="preserve">| 5 L NS @ | 6 L CPT @ | 7 P PRO @ | 9 P NS @ </v>
      </c>
      <c r="BZ614" s="4" t="str">
        <f ca="1">IFERROR(__xludf.DUMMYFUNCTION("""COMPUTED_VALUE"""),"| 5 L NS @ | 6 L JAVA @ | 7 P PHP-CGM @ ")</f>
        <v xml:space="preserve">| 5 L NS @ | 6 L JAVA @ | 7 P PHP-CGM @ </v>
      </c>
      <c r="CA614" s="4" t="str">
        <f ca="1">IFERROR(__xludf.DUMMYFUNCTION("""COMPUTED_VALUE"""),"| 1 L PHP-CGM % | 6 L JAVA % | 7 P Python @ ")</f>
        <v xml:space="preserve">| 1 L PHP-CGM % | 6 L JAVA % | 7 P Python @ </v>
      </c>
      <c r="CB614" s="4" t="str">
        <f ca="1">IFERROR(__xludf.DUMMYFUNCTION("""COMPUTED_VALUE"""),"| 5 L JAVA % | 6 L NS % | 7 P CPT @ | 9 L CPT % | 10 L PHP-CGM % ")</f>
        <v xml:space="preserve">| 5 L JAVA % | 6 L NS % | 7 P CPT @ | 9 L CPT % | 10 L PHP-CGM % </v>
      </c>
      <c r="CC614" s="4" t="str">
        <f ca="1">IFERROR(__xludf.DUMMYFUNCTION("""COMPUTED_VALUE"""),"| 5 L CPT % | 6 L PHP-CGM % | 7 P JAVA @ | 9 P Python @ ")</f>
        <v xml:space="preserve">| 5 L CPT % | 6 L PHP-CGM % | 7 P JAVA @ | 9 P Python @ </v>
      </c>
      <c r="CD614" s="4" t="str">
        <f ca="1">IFERROR(__xludf.DUMMYFUNCTION("""COMPUTED_VALUE"""),"| 5 L NS % | 6 L CPT % | 7 P PRO @ ")</f>
        <v xml:space="preserve">| 5 L NS % | 6 L CPT % | 7 P PRO @ </v>
      </c>
      <c r="CE614" s="4" t="str">
        <f ca="1">IFERROR(__xludf.DUMMYFUNCTION("""COMPUTED_VALUE"""),"| 5 L NS % | 6 L JAVA % | 7 P PHP-CGM @ | 9 P JAVA @ ")</f>
        <v xml:space="preserve">| 5 L NS % | 6 L JAVA % | 7 P PHP-CGM @ | 9 P JAVA @ </v>
      </c>
      <c r="CF614" s="4" t="str">
        <f ca="1">IFERROR(__xludf.DUMMYFUNCTION("""COMPUTED_VALUE"""),"| 5 L PHP-CGM @ | 6 L JAVA @ | 7 P Python @ | 9 L INE @ ")</f>
        <v xml:space="preserve">| 5 L PHP-CGM @ | 6 L JAVA @ | 7 P Python @ | 9 L INE @ </v>
      </c>
      <c r="CG614" s="4" t="str">
        <f ca="1">IFERROR(__xludf.DUMMYFUNCTION("""COMPUTED_VALUE"""),"| 5 L JAVA @ | 6 L NS @ ")</f>
        <v xml:space="preserve">| 5 L JAVA @ | 6 L NS @ </v>
      </c>
      <c r="CH614" s="4" t="str">
        <f ca="1">IFERROR(__xludf.DUMMYFUNCTION("""COMPUTED_VALUE"""),"| 5 L CPT @ | 9 P Python @ ")</f>
        <v xml:space="preserve">| 5 L CPT @ | 9 P Python @ </v>
      </c>
      <c r="CI614" s="4" t="str">
        <f ca="1">IFERROR(__xludf.DUMMYFUNCTION("""COMPUTED_VALUE"""),"| 5 L NS @ | 6 L CPT @ | 9 P NS @ ")</f>
        <v xml:space="preserve">| 5 L NS @ | 6 L CPT @ | 9 P NS @ </v>
      </c>
      <c r="CJ614" s="4" t="str">
        <f ca="1">IFERROR(__xludf.DUMMYFUNCTION("""COMPUTED_VALUE"""),"| 5 L NS @ ")</f>
        <v xml:space="preserve">| 5 L NS @ </v>
      </c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</row>
    <row r="615" spans="1:102" ht="12.5" x14ac:dyDescent="0.25">
      <c r="A615" s="3">
        <f ca="1">IFERROR(__xludf.DUMMYFUNCTION("""COMPUTED_VALUE"""),3)</f>
        <v>3</v>
      </c>
      <c r="B615" s="3" t="str">
        <f ca="1">IFERROR(__xludf.DUMMYFUNCTION("""COMPUTED_VALUE"""),"ITD")</f>
        <v>ITD</v>
      </c>
      <c r="C615" s="32" t="str">
        <f ca="1">IFERROR(__xludf.DUMMYFUNCTION("""COMPUTED_VALUE"""),"23171371103")</f>
        <v>23171371103</v>
      </c>
      <c r="D615" s="4" t="str">
        <f ca="1">IFERROR(__xludf.DUMMYFUNCTION("""COMPUTED_VALUE"""),"PATEL PRIYANSHU TARUNKUMAR")</f>
        <v>PATEL PRIYANSHU TARUNKUMAR</v>
      </c>
      <c r="E615" s="3" t="str">
        <f ca="1">IFERROR(__xludf.DUMMYFUNCTION("""COMPUTED_VALUE"""),"SRC - Eve")</f>
        <v>SRC - Eve</v>
      </c>
      <c r="F615" s="3">
        <f ca="1">IFERROR(__xludf.DUMMYFUNCTION("""COMPUTED_VALUE"""),8200327872)</f>
        <v>8200327872</v>
      </c>
      <c r="G615" s="3">
        <f ca="1">IFERROR(__xludf.DUMMYFUNCTION("""COMPUTED_VALUE"""),9924006133)</f>
        <v>9924006133</v>
      </c>
      <c r="H615" s="33">
        <f ca="1">IFERROR(__xludf.DUMMYFUNCTION("""COMPUTED_VALUE"""),0.712328767123287)</f>
        <v>0.71232876712328697</v>
      </c>
      <c r="I615" s="25">
        <f ca="1">IFERROR(__xludf.DUMMYFUNCTION("""COMPUTED_VALUE"""),0.666666666666666)</f>
        <v>0.66666666666666596</v>
      </c>
      <c r="J615" s="25">
        <f ca="1">IFERROR(__xludf.DUMMYFUNCTION("""COMPUTED_VALUE"""),0.6)</f>
        <v>0.6</v>
      </c>
      <c r="K615" s="25">
        <f ca="1">IFERROR(__xludf.DUMMYFUNCTION("""COMPUTED_VALUE"""),0.694444444444444)</f>
        <v>0.69444444444444398</v>
      </c>
      <c r="L615" s="25">
        <f ca="1">IFERROR(__xludf.DUMMYFUNCTION("""COMPUTED_VALUE"""),0.6)</f>
        <v>0.6</v>
      </c>
      <c r="M615" s="25">
        <f ca="1">IFERROR(__xludf.DUMMYFUNCTION("""COMPUTED_VALUE"""),0.78125)</f>
        <v>0.78125</v>
      </c>
      <c r="N615" s="25">
        <f ca="1">IFERROR(__xludf.DUMMYFUNCTION("""COMPUTED_VALUE"""),0.5)</f>
        <v>0.5</v>
      </c>
      <c r="O615" s="25">
        <f ca="1">IFERROR(__xludf.DUMMYFUNCTION("""COMPUTED_VALUE"""),0.794117647058823)</f>
        <v>0.79411764705882304</v>
      </c>
      <c r="P615" s="25">
        <f ca="1">IFERROR(__xludf.DUMMYFUNCTION("""COMPUTED_VALUE"""),0.823529411764705)</f>
        <v>0.82352941176470495</v>
      </c>
      <c r="Q615" s="25">
        <f ca="1">IFERROR(__xludf.DUMMYFUNCTION("""COMPUTED_VALUE"""),0)</f>
        <v>0</v>
      </c>
      <c r="R615" s="25">
        <f ca="1">IFERROR(__xludf.DUMMYFUNCTION("""COMPUTED_VALUE"""),0.833333333333333)</f>
        <v>0.83333333333333304</v>
      </c>
      <c r="S615" s="25">
        <f ca="1">IFERROR(__xludf.DUMMYFUNCTION("""COMPUTED_VALUE"""),0)</f>
        <v>0</v>
      </c>
      <c r="T615" s="25">
        <f ca="1">IFERROR(__xludf.DUMMYFUNCTION("""COMPUTED_VALUE"""),0.727272727272727)</f>
        <v>0.72727272727272696</v>
      </c>
      <c r="U615" s="25">
        <f ca="1">IFERROR(__xludf.DUMMYFUNCTION("""COMPUTED_VALUE"""),0.285714285714285)</f>
        <v>0.28571428571428498</v>
      </c>
      <c r="V615" s="25">
        <f ca="1">IFERROR(__xludf.DUMMYFUNCTION("""COMPUTED_VALUE"""),0)</f>
        <v>0</v>
      </c>
      <c r="W615" s="4"/>
      <c r="X615" s="4" t="str">
        <f ca="1">IFERROR(__xludf.DUMMYFUNCTION("""COMPUTED_VALUE"""),"| 1 L PHP-CGM % | 6 L JAVA % | 7 P Python % ")</f>
        <v xml:space="preserve">| 1 L PHP-CGM % | 6 L JAVA % | 7 P Python % </v>
      </c>
      <c r="Y615" s="4" t="str">
        <f ca="1">IFERROR(__xludf.DUMMYFUNCTION("""COMPUTED_VALUE"""),"| 5 L JAVA @ | 6 L NS @ | 7 P CPT @ | 9 L CPT % | 6 L PHP-CGM % ")</f>
        <v xml:space="preserve">| 5 L JAVA @ | 6 L NS @ | 7 P CPT @ | 9 L CPT % | 6 L PHP-CGM % </v>
      </c>
      <c r="Z615" s="4" t="str">
        <f ca="1">IFERROR(__xludf.DUMMYFUNCTION("""COMPUTED_VALUE"""),"| 5 L CPT @ | 6 L PHP-CGM @ | 7 P JAVA % | 9 P Python % ")</f>
        <v xml:space="preserve">| 5 L CPT @ | 6 L PHP-CGM @ | 7 P JAVA % | 9 P Python % </v>
      </c>
      <c r="AA615" s="4" t="str">
        <f ca="1">IFERROR(__xludf.DUMMYFUNCTION("""COMPUTED_VALUE"""),"| 5 L NS % | 6 L CPT % | 7 P PRO % | 9 P NS @ ")</f>
        <v xml:space="preserve">| 5 L NS % | 6 L CPT % | 7 P PRO % | 9 P NS @ </v>
      </c>
      <c r="AB615" s="4" t="str">
        <f ca="1">IFERROR(__xludf.DUMMYFUNCTION("""COMPUTED_VALUE"""),"| 5 L NS % | 6 L JAVA % | 7 P PHP-CGM % | 9 P JAVA % ")</f>
        <v xml:space="preserve">| 5 L NS % | 6 L JAVA % | 7 P PHP-CGM % | 9 P JAVA % </v>
      </c>
      <c r="AC615" s="4" t="str">
        <f ca="1">IFERROR(__xludf.DUMMYFUNCTION("""COMPUTED_VALUE"""),"| 1 L PHP-CGM % | 6 L JAVA % | 7 P Python % ")</f>
        <v xml:space="preserve">| 1 L PHP-CGM % | 6 L JAVA % | 7 P Python % </v>
      </c>
      <c r="AD615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15" s="4" t="str">
        <f ca="1">IFERROR(__xludf.DUMMYFUNCTION("""COMPUTED_VALUE"""),"| 5 L CPT % | 6 L PHP-CGM % | 7 P JAVA % | 9 P Python % ")</f>
        <v xml:space="preserve">| 5 L CPT % | 6 L PHP-CGM % | 7 P JAVA % | 9 P Python % </v>
      </c>
      <c r="AF615" s="4" t="str">
        <f ca="1">IFERROR(__xludf.DUMMYFUNCTION("""COMPUTED_VALUE"""),"| 5 L NS @ | 6 L CPT @ | 7 P PRO @ | 9 P NS @ ")</f>
        <v xml:space="preserve">| 5 L NS @ | 6 L CPT @ | 7 P PRO @ | 9 P NS @ </v>
      </c>
      <c r="AG615" s="4" t="str">
        <f ca="1">IFERROR(__xludf.DUMMYFUNCTION("""COMPUTED_VALUE"""),"| 5 L NS % | 6 L JAVA % | 7 P PHP-CGM % | 9 P JAVA % ")</f>
        <v xml:space="preserve">| 5 L NS % | 6 L JAVA % | 7 P PHP-CGM % | 9 P JAVA % </v>
      </c>
      <c r="AH615" s="4" t="str">
        <f ca="1">IFERROR(__xludf.DUMMYFUNCTION("""COMPUTED_VALUE"""),"| 5 L NS % | 6 L CPT % | 7 P PRO % | 9 P NS % ")</f>
        <v xml:space="preserve">| 5 L NS % | 6 L CPT % | 7 P PRO % | 9 P NS % </v>
      </c>
      <c r="AI615" s="4" t="str">
        <f ca="1">IFERROR(__xludf.DUMMYFUNCTION("""COMPUTED_VALUE"""),"| 5 L NS % | 6 L JAVA % | 7 P PHP-CGM % | 9 P JAVA % ")</f>
        <v xml:space="preserve">| 5 L NS % | 6 L JAVA % | 7 P PHP-CGM % | 9 P JAVA % </v>
      </c>
      <c r="AJ615" s="4" t="str">
        <f ca="1">IFERROR(__xludf.DUMMYFUNCTION("""COMPUTED_VALUE"""),"| 1 L PHP-CGM % | 6 L JAVA % | 7 P Python % ")</f>
        <v xml:space="preserve">| 1 L PHP-CGM % | 6 L JAVA % | 7 P Python % </v>
      </c>
      <c r="AK615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L615" s="4" t="str">
        <f ca="1">IFERROR(__xludf.DUMMYFUNCTION("""COMPUTED_VALUE"""),"| 5 L CPT @ | 6 L PHP-CGM @ | 7 P JAVA % | 9 P Python % ")</f>
        <v xml:space="preserve">| 5 L CPT @ | 6 L PHP-CGM @ | 7 P JAVA % | 9 P Python % </v>
      </c>
      <c r="AM615" s="4" t="str">
        <f ca="1">IFERROR(__xludf.DUMMYFUNCTION("""COMPUTED_VALUE"""),"| 5 L NS % | 6 L CPT % | 9 P JAVA % ")</f>
        <v xml:space="preserve">| 5 L NS % | 6 L CPT % | 9 P JAVA % </v>
      </c>
      <c r="AN615" s="4" t="str">
        <f ca="1">IFERROR(__xludf.DUMMYFUNCTION("""COMPUTED_VALUE"""),"| 5 L NS % | 6 L JAVA % ")</f>
        <v xml:space="preserve">| 5 L NS % | 6 L JAVA % </v>
      </c>
      <c r="AO615" s="4" t="str">
        <f ca="1">IFERROR(__xludf.DUMMYFUNCTION("""COMPUTED_VALUE"""),"| 1 L PHP-CGM % | 6 L JAVA % | 9 L INE @ ")</f>
        <v xml:space="preserve">| 1 L PHP-CGM % | 6 L JAVA % | 9 L INE @ </v>
      </c>
      <c r="AP615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15" s="4" t="str">
        <f ca="1">IFERROR(__xludf.DUMMYFUNCTION("""COMPUTED_VALUE"""),"| 5 L CPT % | 6 L PHP-CGM % ")</f>
        <v xml:space="preserve">| 5 L CPT % | 6 L PHP-CGM % </v>
      </c>
      <c r="AR615" s="4" t="str">
        <f ca="1">IFERROR(__xludf.DUMMYFUNCTION("""COMPUTED_VALUE"""),"| 5 L NS % | 6 L CPT % | 7 P PRO % ")</f>
        <v xml:space="preserve">| 5 L NS % | 6 L CPT % | 7 P PRO % </v>
      </c>
      <c r="AS615" s="4" t="str">
        <f ca="1">IFERROR(__xludf.DUMMYFUNCTION("""COMPUTED_VALUE"""),"| 1 L PHP-CGM @ | 6 L JAVA @ | 7 P Python @ | 9 L INE @ ")</f>
        <v xml:space="preserve">| 1 L PHP-CGM @ | 6 L JAVA @ | 7 P Python @ | 9 L INE @ </v>
      </c>
      <c r="AT615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15" s="4" t="str">
        <f ca="1">IFERROR(__xludf.DUMMYFUNCTION("""COMPUTED_VALUE"""),"| 5 L CPT @ | 6 L PHP-CGM @ | 7 P JAVA % | 9 P Python % ")</f>
        <v xml:space="preserve">| 5 L CPT @ | 6 L PHP-CGM @ | 7 P JAVA % | 9 P Python % </v>
      </c>
      <c r="AV615" s="4" t="str">
        <f ca="1">IFERROR(__xludf.DUMMYFUNCTION("""COMPUTED_VALUE"""),"| 5 L NS % | 6 L CPT % | 7 P PRO % | 9 P NS % ")</f>
        <v xml:space="preserve">| 5 L NS % | 6 L CPT % | 7 P PRO % | 9 P NS % </v>
      </c>
      <c r="AW615" s="4" t="str">
        <f ca="1">IFERROR(__xludf.DUMMYFUNCTION("""COMPUTED_VALUE"""),"| 5 L NS % | 6 L JAVA % | 7 P PHP-CGM @ | 9 P JAVA @ ")</f>
        <v xml:space="preserve">| 5 L NS % | 6 L JAVA % | 7 P PHP-CGM @ | 9 P JAVA @ </v>
      </c>
      <c r="AX615" s="4" t="str">
        <f ca="1">IFERROR(__xludf.DUMMYFUNCTION("""COMPUTED_VALUE"""),"| 1 L PHP-CGM % | 6 L JAVA % | 7 P Python % | 9 L INE % ")</f>
        <v xml:space="preserve">| 1 L PHP-CGM % | 6 L JAVA % | 7 P Python % | 9 L INE % </v>
      </c>
      <c r="AY615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5" s="4" t="str">
        <f ca="1">IFERROR(__xludf.DUMMYFUNCTION("""COMPUTED_VALUE"""),"| 5 L NS % | 6 L CPT % | 7 P PRO % | 9 P NS % ")</f>
        <v xml:space="preserve">| 5 L NS % | 6 L CPT % | 7 P PRO % | 9 P NS % </v>
      </c>
      <c r="BA615" s="4" t="str">
        <f ca="1">IFERROR(__xludf.DUMMYFUNCTION("""COMPUTED_VALUE"""),"| 5 L NS % | 6 L JAVA % ")</f>
        <v xml:space="preserve">| 5 L NS % | 6 L JAVA % </v>
      </c>
      <c r="BB615" s="4" t="str">
        <f ca="1">IFERROR(__xludf.DUMMYFUNCTION("""COMPUTED_VALUE"""),"| 1 L PHP-CGM % | 6 L JAVA % | 7 P Python % | 9 L INE @ ")</f>
        <v xml:space="preserve">| 1 L PHP-CGM % | 6 L JAVA % | 7 P Python % | 9 L INE @ </v>
      </c>
      <c r="BC615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15" s="4" t="str">
        <f ca="1">IFERROR(__xludf.DUMMYFUNCTION("""COMPUTED_VALUE"""),"| 5 L CPT % | 6 L PHP-CGM % | 7 P JAVA % | 9 P Python % ")</f>
        <v xml:space="preserve">| 5 L CPT % | 6 L PHP-CGM % | 7 P JAVA % | 9 P Python % </v>
      </c>
      <c r="BE615" s="4" t="str">
        <f ca="1">IFERROR(__xludf.DUMMYFUNCTION("""COMPUTED_VALUE"""),"| 5 L NS % | 6 L CPT % | 9 P JAVA % | 7 P PRO % | 9 P NS % ")</f>
        <v xml:space="preserve">| 5 L NS % | 6 L CPT % | 9 P JAVA % | 7 P PRO % | 9 P NS % </v>
      </c>
      <c r="BF615" s="4" t="str">
        <f ca="1">IFERROR(__xludf.DUMMYFUNCTION("""COMPUTED_VALUE"""),"| 5 L NS @ | 6 L JAVA % | 7 P PHP-CGM % | 9 P JAVA % ")</f>
        <v xml:space="preserve">| 5 L NS @ | 6 L JAVA % | 7 P PHP-CGM % | 9 P JAVA % </v>
      </c>
      <c r="BG615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15" s="4" t="str">
        <f ca="1">IFERROR(__xludf.DUMMYFUNCTION("""COMPUTED_VALUE"""),"| 5 L CPT % | 7 P JAVA % | 6 L PHP-CGM % | 9 P Python % ")</f>
        <v xml:space="preserve">| 5 L CPT % | 7 P JAVA % | 6 L PHP-CGM % | 9 P Python % </v>
      </c>
      <c r="BI615" s="4" t="str">
        <f ca="1">IFERROR(__xludf.DUMMYFUNCTION("""COMPUTED_VALUE"""),"| 5 L NS % | 6 L CPT % | 7 P PRO % | 9 P NS % ")</f>
        <v xml:space="preserve">| 5 L NS % | 6 L CPT % | 7 P PRO % | 9 P NS % </v>
      </c>
      <c r="BJ615" s="4" t="str">
        <f ca="1">IFERROR(__xludf.DUMMYFUNCTION("""COMPUTED_VALUE"""),"| 5 L NS @ | 6 L JAVA @ | 7 P PHP-CGM @ ")</f>
        <v xml:space="preserve">| 5 L NS @ | 6 L JAVA @ | 7 P PHP-CGM @ </v>
      </c>
      <c r="BK615" s="4" t="str">
        <f ca="1">IFERROR(__xludf.DUMMYFUNCTION("""COMPUTED_VALUE"""),"| 1 L PHP-CGM % | 6 L JAVA % | 7 P Python % | 9 L INE @ ")</f>
        <v xml:space="preserve">| 1 L PHP-CGM % | 6 L JAVA % | 7 P Python % | 9 L INE @ </v>
      </c>
      <c r="BL615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15" s="4" t="str">
        <f ca="1">IFERROR(__xludf.DUMMYFUNCTION("""COMPUTED_VALUE"""),"| 5 L CPT % | 6 L PHP-CGM % | 7 P JAVA % | 9 P Python @ ")</f>
        <v xml:space="preserve">| 5 L CPT % | 6 L PHP-CGM % | 7 P JAVA % | 9 P Python @ </v>
      </c>
      <c r="BN615" s="4" t="str">
        <f ca="1">IFERROR(__xludf.DUMMYFUNCTION("""COMPUTED_VALUE"""),"| 5 L NS @ | 6 L CPT @ | 7 P PRO @ | 9 P NS @ ")</f>
        <v xml:space="preserve">| 5 L NS @ | 6 L CPT @ | 7 P PRO @ | 9 P NS @ </v>
      </c>
      <c r="BO615" s="4" t="str">
        <f ca="1">IFERROR(__xludf.DUMMYFUNCTION("""COMPUTED_VALUE"""),"| 5 L NS @ | 6 L JAVA @ ")</f>
        <v xml:space="preserve">| 5 L NS @ | 6 L JAVA @ </v>
      </c>
      <c r="BP615" s="4" t="str">
        <f ca="1">IFERROR(__xludf.DUMMYFUNCTION("""COMPUTED_VALUE"""),"| 1 L PHP-CGM % | 6 L JAVA % | 9 L INE @ ")</f>
        <v xml:space="preserve">| 1 L PHP-CGM % | 6 L JAVA % | 9 L INE @ </v>
      </c>
      <c r="BQ615" s="4" t="str">
        <f ca="1">IFERROR(__xludf.DUMMYFUNCTION("""COMPUTED_VALUE"""),"| 5 L CPT @ ")</f>
        <v xml:space="preserve">| 5 L CPT @ </v>
      </c>
      <c r="BR615" s="4"/>
      <c r="BS615" s="4" t="str">
        <f ca="1">IFERROR(__xludf.DUMMYFUNCTION("""COMPUTED_VALUE"""),"| 6 L CPT @ ")</f>
        <v xml:space="preserve">| 6 L CPT @ </v>
      </c>
      <c r="BT615" s="4"/>
      <c r="BU615" s="4"/>
      <c r="BV615" s="4" t="str">
        <f ca="1">IFERROR(__xludf.DUMMYFUNCTION("""COMPUTED_VALUE"""),"| 5 L PHP-CGM % | 6 L JAVA % ")</f>
        <v xml:space="preserve">| 5 L PHP-CGM % | 6 L JAVA % </v>
      </c>
      <c r="BW615" s="4"/>
      <c r="BX615" s="4" t="str">
        <f ca="1">IFERROR(__xludf.DUMMYFUNCTION("""COMPUTED_VALUE"""),"| 5 L CPT % | 7 P JAVA @ | 6 L PHP-CGM % ")</f>
        <v xml:space="preserve">| 5 L CPT % | 7 P JAVA @ | 6 L PHP-CGM % </v>
      </c>
      <c r="BY615" s="4" t="str">
        <f ca="1">IFERROR(__xludf.DUMMYFUNCTION("""COMPUTED_VALUE"""),"| 5 L NS @ | 6 L CPT @ | 7 P PRO @ | 9 P NS @ ")</f>
        <v xml:space="preserve">| 5 L NS @ | 6 L CPT @ | 7 P PRO @ | 9 P NS @ </v>
      </c>
      <c r="BZ615" s="4" t="str">
        <f ca="1">IFERROR(__xludf.DUMMYFUNCTION("""COMPUTED_VALUE"""),"| 5 L NS % | 6 L JAVA % | 7 P PHP-CGM @ ")</f>
        <v xml:space="preserve">| 5 L NS % | 6 L JAVA % | 7 P PHP-CGM @ </v>
      </c>
      <c r="CA615" s="4" t="str">
        <f ca="1">IFERROR(__xludf.DUMMYFUNCTION("""COMPUTED_VALUE"""),"| 1 L PHP-CGM % | 6 L JAVA % | 7 P Python % ")</f>
        <v xml:space="preserve">| 1 L PHP-CGM % | 6 L JAVA % | 7 P Python % </v>
      </c>
      <c r="CB615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CC615" s="4" t="str">
        <f ca="1">IFERROR(__xludf.DUMMYFUNCTION("""COMPUTED_VALUE"""),"| 5 L CPT % | 6 L PHP-CGM % | 7 P JAVA % | 9 P Python % ")</f>
        <v xml:space="preserve">| 5 L CPT % | 6 L PHP-CGM % | 7 P JAVA % | 9 P Python % </v>
      </c>
      <c r="CD615" s="4" t="str">
        <f ca="1">IFERROR(__xludf.DUMMYFUNCTION("""COMPUTED_VALUE"""),"| 5 L NS % | 6 L CPT % | 7 P PRO % ")</f>
        <v xml:space="preserve">| 5 L NS % | 6 L CPT % | 7 P PRO % </v>
      </c>
      <c r="CE615" s="4" t="str">
        <f ca="1">IFERROR(__xludf.DUMMYFUNCTION("""COMPUTED_VALUE"""),"| 5 L NS % | 6 L JAVA % | 7 P PHP-CGM @ | 9 P JAVA @ ")</f>
        <v xml:space="preserve">| 5 L NS % | 6 L JAVA % | 7 P PHP-CGM @ | 9 P JAVA @ </v>
      </c>
      <c r="CF615" s="4" t="str">
        <f ca="1">IFERROR(__xludf.DUMMYFUNCTION("""COMPUTED_VALUE"""),"| 5 L PHP-CGM % | 6 L JAVA % | 7 P Python % | 9 L INE % ")</f>
        <v xml:space="preserve">| 5 L PHP-CGM % | 6 L JAVA % | 7 P Python % | 9 L INE % </v>
      </c>
      <c r="CG615" s="4" t="str">
        <f ca="1">IFERROR(__xludf.DUMMYFUNCTION("""COMPUTED_VALUE"""),"| 5 L JAVA @ | 6 L NS @ ")</f>
        <v xml:space="preserve">| 5 L JAVA @ | 6 L NS @ </v>
      </c>
      <c r="CH615" s="4" t="str">
        <f ca="1">IFERROR(__xludf.DUMMYFUNCTION("""COMPUTED_VALUE"""),"| 5 L CPT % | 9 P Python @ ")</f>
        <v xml:space="preserve">| 5 L CPT % | 9 P Python @ </v>
      </c>
      <c r="CI615" s="4" t="str">
        <f ca="1">IFERROR(__xludf.DUMMYFUNCTION("""COMPUTED_VALUE"""),"| 5 L NS @ | 6 L CPT @ | 9 P NS % ")</f>
        <v xml:space="preserve">| 5 L NS @ | 6 L CPT @ | 9 P NS % </v>
      </c>
      <c r="CJ615" s="4" t="str">
        <f ca="1">IFERROR(__xludf.DUMMYFUNCTION("""COMPUTED_VALUE"""),"| 5 L NS % ")</f>
        <v xml:space="preserve">| 5 L NS % </v>
      </c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</row>
    <row r="616" spans="1:102" ht="12.5" x14ac:dyDescent="0.25">
      <c r="A616" s="3">
        <f ca="1">IFERROR(__xludf.DUMMYFUNCTION("""COMPUTED_VALUE"""),3)</f>
        <v>3</v>
      </c>
      <c r="B616" s="3" t="str">
        <f ca="1">IFERROR(__xludf.DUMMYFUNCTION("""COMPUTED_VALUE"""),"ITD")</f>
        <v>ITD</v>
      </c>
      <c r="C616" s="32" t="str">
        <f ca="1">IFERROR(__xludf.DUMMYFUNCTION("""COMPUTED_VALUE"""),"23171371105")</f>
        <v>23171371105</v>
      </c>
      <c r="D616" s="4" t="str">
        <f ca="1">IFERROR(__xludf.DUMMYFUNCTION("""COMPUTED_VALUE"""),"PATEL RUDRA DINESHBHAI")</f>
        <v>PATEL RUDRA DINESHBHAI</v>
      </c>
      <c r="E616" s="3" t="str">
        <f ca="1">IFERROR(__xludf.DUMMYFUNCTION("""COMPUTED_VALUE"""),"SRC - Eve")</f>
        <v>SRC - Eve</v>
      </c>
      <c r="F616" s="3">
        <f ca="1">IFERROR(__xludf.DUMMYFUNCTION("""COMPUTED_VALUE"""),6353448075)</f>
        <v>6353448075</v>
      </c>
      <c r="G616" s="3">
        <f ca="1">IFERROR(__xludf.DUMMYFUNCTION("""COMPUTED_VALUE"""),9824929625)</f>
        <v>9824929625</v>
      </c>
      <c r="H616" s="33">
        <f ca="1">IFERROR(__xludf.DUMMYFUNCTION("""COMPUTED_VALUE"""),0.383561643835616)</f>
        <v>0.38356164383561597</v>
      </c>
      <c r="I616" s="25">
        <f ca="1">IFERROR(__xludf.DUMMYFUNCTION("""COMPUTED_VALUE"""),0.555555555555555)</f>
        <v>0.55555555555555503</v>
      </c>
      <c r="J616" s="25">
        <f ca="1">IFERROR(__xludf.DUMMYFUNCTION("""COMPUTED_VALUE"""),0.2)</f>
        <v>0.2</v>
      </c>
      <c r="K616" s="25">
        <f ca="1">IFERROR(__xludf.DUMMYFUNCTION("""COMPUTED_VALUE"""),0.638888888888888)</f>
        <v>0.63888888888888795</v>
      </c>
      <c r="L616" s="25">
        <f ca="1">IFERROR(__xludf.DUMMYFUNCTION("""COMPUTED_VALUE"""),0)</f>
        <v>0</v>
      </c>
      <c r="M616" s="25">
        <f ca="1">IFERROR(__xludf.DUMMYFUNCTION("""COMPUTED_VALUE"""),0.53125)</f>
        <v>0.53125</v>
      </c>
      <c r="N616" s="25">
        <f ca="1">IFERROR(__xludf.DUMMYFUNCTION("""COMPUTED_VALUE"""),0)</f>
        <v>0</v>
      </c>
      <c r="O616" s="25">
        <f ca="1">IFERROR(__xludf.DUMMYFUNCTION("""COMPUTED_VALUE"""),0.617647058823529)</f>
        <v>0.61764705882352899</v>
      </c>
      <c r="P616" s="25">
        <f ca="1">IFERROR(__xludf.DUMMYFUNCTION("""COMPUTED_VALUE"""),0.0588235294117647)</f>
        <v>5.8823529411764698E-2</v>
      </c>
      <c r="Q616" s="25">
        <f ca="1">IFERROR(__xludf.DUMMYFUNCTION("""COMPUTED_VALUE"""),0)</f>
        <v>0</v>
      </c>
      <c r="R616" s="25">
        <f ca="1">IFERROR(__xludf.DUMMYFUNCTION("""COMPUTED_VALUE"""),0)</f>
        <v>0</v>
      </c>
      <c r="S616" s="25">
        <f ca="1">IFERROR(__xludf.DUMMYFUNCTION("""COMPUTED_VALUE"""),0)</f>
        <v>0</v>
      </c>
      <c r="T616" s="25">
        <f ca="1">IFERROR(__xludf.DUMMYFUNCTION("""COMPUTED_VALUE"""),0)</f>
        <v>0</v>
      </c>
      <c r="U616" s="25">
        <f ca="1">IFERROR(__xludf.DUMMYFUNCTION("""COMPUTED_VALUE"""),0)</f>
        <v>0</v>
      </c>
      <c r="V616" s="25">
        <f ca="1">IFERROR(__xludf.DUMMYFUNCTION("""COMPUTED_VALUE"""),0)</f>
        <v>0</v>
      </c>
      <c r="W616" s="4"/>
      <c r="X616" s="4" t="str">
        <f ca="1">IFERROR(__xludf.DUMMYFUNCTION("""COMPUTED_VALUE"""),"| 1 L PHP-CGM @ | 6 L JAVA @ | 7 P Python @ ")</f>
        <v xml:space="preserve">| 1 L PHP-CGM @ | 6 L JAVA @ | 7 P Python @ </v>
      </c>
      <c r="Y616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16" s="4" t="str">
        <f ca="1">IFERROR(__xludf.DUMMYFUNCTION("""COMPUTED_VALUE"""),"| 5 L CPT % | 6 L PHP-CGM % | 7 P JAVA @ | 9 P Python @ ")</f>
        <v xml:space="preserve">| 5 L CPT % | 6 L PHP-CGM % | 7 P JAVA @ | 9 P Python @ </v>
      </c>
      <c r="AA616" s="4" t="str">
        <f ca="1">IFERROR(__xludf.DUMMYFUNCTION("""COMPUTED_VALUE"""),"| 5 L NS % | 6 L CPT % | 7 P PRO @ | 9 P NS @ ")</f>
        <v xml:space="preserve">| 5 L NS % | 6 L CPT % | 7 P PRO @ | 9 P NS @ </v>
      </c>
      <c r="AB616" s="4" t="str">
        <f ca="1">IFERROR(__xludf.DUMMYFUNCTION("""COMPUTED_VALUE"""),"| 5 L NS @ | 6 L JAVA @ | 7 P PHP-CGM @ | 9 P JAVA @ ")</f>
        <v xml:space="preserve">| 5 L NS @ | 6 L JAVA @ | 7 P PHP-CGM @ | 9 P JAVA @ </v>
      </c>
      <c r="AC616" s="4" t="str">
        <f ca="1">IFERROR(__xludf.DUMMYFUNCTION("""COMPUTED_VALUE"""),"| 1 L PHP-CGM @ | 6 L JAVA @ | 7 P Python @ ")</f>
        <v xml:space="preserve">| 1 L PHP-CGM @ | 6 L JAVA @ | 7 P Python @ </v>
      </c>
      <c r="AD616" s="4" t="str">
        <f ca="1">IFERROR(__xludf.DUMMYFUNCTION("""COMPUTED_VALUE"""),"| 5 L JAVA % | 6 L NS % | 7 P CPT @ | 9 L CPT % | 6 L PHP-CGM % ")</f>
        <v xml:space="preserve">| 5 L JAVA % | 6 L NS % | 7 P CPT @ | 9 L CPT % | 6 L PHP-CGM % </v>
      </c>
      <c r="AE616" s="4" t="str">
        <f ca="1">IFERROR(__xludf.DUMMYFUNCTION("""COMPUTED_VALUE"""),"| 5 L CPT % | 6 L PHP-CGM % | 7 P JAVA % | 9 P Python @ ")</f>
        <v xml:space="preserve">| 5 L CPT % | 6 L PHP-CGM % | 7 P JAVA % | 9 P Python @ </v>
      </c>
      <c r="AF616" s="4" t="str">
        <f ca="1">IFERROR(__xludf.DUMMYFUNCTION("""COMPUTED_VALUE"""),"| 5 L NS % | 6 L CPT % | 7 P PRO @ | 9 P NS @ ")</f>
        <v xml:space="preserve">| 5 L NS % | 6 L CPT % | 7 P PRO @ | 9 P NS @ </v>
      </c>
      <c r="AG616" s="4" t="str">
        <f ca="1">IFERROR(__xludf.DUMMYFUNCTION("""COMPUTED_VALUE"""),"| 5 L NS % | 6 L JAVA % | 7 P PHP-CGM @ | 9 P JAVA @ ")</f>
        <v xml:space="preserve">| 5 L NS % | 6 L JAVA % | 7 P PHP-CGM @ | 9 P JAVA @ </v>
      </c>
      <c r="AH616" s="4" t="str">
        <f ca="1">IFERROR(__xludf.DUMMYFUNCTION("""COMPUTED_VALUE"""),"| 5 L NS % | 6 L CPT % | 7 P PRO @ | 9 P NS @ ")</f>
        <v xml:space="preserve">| 5 L NS % | 6 L CPT % | 7 P PRO @ | 9 P NS @ </v>
      </c>
      <c r="AI616" s="4" t="str">
        <f ca="1">IFERROR(__xludf.DUMMYFUNCTION("""COMPUTED_VALUE"""),"| 5 L NS % | 6 L JAVA % | 7 P PHP-CGM @ | 9 P JAVA @ ")</f>
        <v xml:space="preserve">| 5 L NS % | 6 L JAVA % | 7 P PHP-CGM @ | 9 P JAVA @ </v>
      </c>
      <c r="AJ616" s="4" t="str">
        <f ca="1">IFERROR(__xludf.DUMMYFUNCTION("""COMPUTED_VALUE"""),"| 1 L PHP-CGM % | 6 L JAVA % | 7 P Python @ ")</f>
        <v xml:space="preserve">| 1 L PHP-CGM % | 6 L JAVA % | 7 P Python @ </v>
      </c>
      <c r="AK616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L616" s="4" t="str">
        <f ca="1">IFERROR(__xludf.DUMMYFUNCTION("""COMPUTED_VALUE"""),"| 5 L CPT % | 6 L PHP-CGM % | 7 P JAVA @ | 9 P Python @ ")</f>
        <v xml:space="preserve">| 5 L CPT % | 6 L PHP-CGM % | 7 P JAVA @ | 9 P Python @ </v>
      </c>
      <c r="AM616" s="4" t="str">
        <f ca="1">IFERROR(__xludf.DUMMYFUNCTION("""COMPUTED_VALUE"""),"| 5 L NS % | 6 L CPT % | 9 P JAVA @ ")</f>
        <v xml:space="preserve">| 5 L NS % | 6 L CPT % | 9 P JAVA @ </v>
      </c>
      <c r="AN616" s="4" t="str">
        <f ca="1">IFERROR(__xludf.DUMMYFUNCTION("""COMPUTED_VALUE"""),"| 5 L NS % | 6 L JAVA % ")</f>
        <v xml:space="preserve">| 5 L NS % | 6 L JAVA % </v>
      </c>
      <c r="AO616" s="4" t="str">
        <f ca="1">IFERROR(__xludf.DUMMYFUNCTION("""COMPUTED_VALUE"""),"| 1 L PHP-CGM % | 6 L JAVA % | 9 L INE @ ")</f>
        <v xml:space="preserve">| 1 L PHP-CGM % | 6 L JAVA % | 9 L INE @ </v>
      </c>
      <c r="AP616" s="4" t="str">
        <f ca="1">IFERROR(__xludf.DUMMYFUNCTION("""COMPUTED_VALUE"""),"| 5 L JAVA % | 6 L NS % | 7 P CPT @ | 9 L CPT % | 6 L PHP-CGM % ")</f>
        <v xml:space="preserve">| 5 L JAVA % | 6 L NS % | 7 P CPT @ | 9 L CPT % | 6 L PHP-CGM % </v>
      </c>
      <c r="AQ616" s="4" t="str">
        <f ca="1">IFERROR(__xludf.DUMMYFUNCTION("""COMPUTED_VALUE"""),"| 5 L CPT % | 6 L PHP-CGM % ")</f>
        <v xml:space="preserve">| 5 L CPT % | 6 L PHP-CGM % </v>
      </c>
      <c r="AR616" s="4" t="str">
        <f ca="1">IFERROR(__xludf.DUMMYFUNCTION("""COMPUTED_VALUE"""),"| 5 L NS % | 6 L CPT % | 7 P PRO @ ")</f>
        <v xml:space="preserve">| 5 L NS % | 6 L CPT % | 7 P PRO @ </v>
      </c>
      <c r="AS616" s="4" t="str">
        <f ca="1">IFERROR(__xludf.DUMMYFUNCTION("""COMPUTED_VALUE"""),"| 1 L PHP-CGM % | 6 L JAVA % | 7 P Python @ | 9 L INE @ ")</f>
        <v xml:space="preserve">| 1 L PHP-CGM % | 6 L JAVA % | 7 P Python @ | 9 L INE @ </v>
      </c>
      <c r="AT616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U616" s="4" t="str">
        <f ca="1">IFERROR(__xludf.DUMMYFUNCTION("""COMPUTED_VALUE"""),"| 5 L CPT @ | 6 L PHP-CGM % | 7 P JAVA @ | 9 P Python @ ")</f>
        <v xml:space="preserve">| 5 L CPT @ | 6 L PHP-CGM % | 7 P JAVA @ | 9 P Python @ </v>
      </c>
      <c r="AV616" s="4" t="str">
        <f ca="1">IFERROR(__xludf.DUMMYFUNCTION("""COMPUTED_VALUE"""),"| 5 L NS % | 6 L CPT % | 7 P PRO @ | 9 P NS @ ")</f>
        <v xml:space="preserve">| 5 L NS % | 6 L CPT % | 7 P PRO @ | 9 P NS @ </v>
      </c>
      <c r="AW616" s="4" t="str">
        <f ca="1">IFERROR(__xludf.DUMMYFUNCTION("""COMPUTED_VALUE"""),"| 5 L NS % | 6 L JAVA % | 7 P PHP-CGM @ | 9 P JAVA @ ")</f>
        <v xml:space="preserve">| 5 L NS % | 6 L JAVA % | 7 P PHP-CGM @ | 9 P JAVA @ </v>
      </c>
      <c r="AX616" s="4" t="str">
        <f ca="1">IFERROR(__xludf.DUMMYFUNCTION("""COMPUTED_VALUE"""),"| 1 L PHP-CGM % | 6 L JAVA % | 7 P Python @ | 9 L INE @ ")</f>
        <v xml:space="preserve">| 1 L PHP-CGM % | 6 L JAVA % | 7 P Python @ | 9 L INE @ </v>
      </c>
      <c r="AY616" s="4" t="str">
        <f ca="1">IFERROR(__xludf.DUMMYFUNCTION("""COMPUTED_VALUE"""),"| 5 L JAVA % | 6 L NS % | 7 P CPT % | 9 L CPT @ | 11 L PHP-CGM @ ")</f>
        <v xml:space="preserve">| 5 L JAVA % | 6 L NS % | 7 P CPT % | 9 L CPT @ | 11 L PHP-CGM @ </v>
      </c>
      <c r="AZ616" s="4" t="str">
        <f ca="1">IFERROR(__xludf.DUMMYFUNCTION("""COMPUTED_VALUE"""),"| 5 L NS % | 6 L CPT % | 7 P PRO @ | 9 P NS @ ")</f>
        <v xml:space="preserve">| 5 L NS % | 6 L CPT % | 7 P PRO @ | 9 P NS @ </v>
      </c>
      <c r="BA616" s="4" t="str">
        <f ca="1">IFERROR(__xludf.DUMMYFUNCTION("""COMPUTED_VALUE"""),"| 5 L NS % | 6 L JAVA % ")</f>
        <v xml:space="preserve">| 5 L NS % | 6 L JAVA % </v>
      </c>
      <c r="BB616" s="4" t="str">
        <f ca="1">IFERROR(__xludf.DUMMYFUNCTION("""COMPUTED_VALUE"""),"| 1 L PHP-CGM % | 6 L JAVA % | 7 P Python @ | 9 L INE @ ")</f>
        <v xml:space="preserve">| 1 L PHP-CGM % | 6 L JAVA % | 7 P Python @ | 9 L INE @ </v>
      </c>
      <c r="BC616" s="4" t="str">
        <f ca="1">IFERROR(__xludf.DUMMYFUNCTION("""COMPUTED_VALUE"""),"| 5 L JAVA % | 6 L NS % | 7 P CPT @ | 10 L PHP-CGM % | 9 L CPT % ")</f>
        <v xml:space="preserve">| 5 L JAVA % | 6 L NS % | 7 P CPT @ | 10 L PHP-CGM % | 9 L CPT % </v>
      </c>
      <c r="BD616" s="4" t="str">
        <f ca="1">IFERROR(__xludf.DUMMYFUNCTION("""COMPUTED_VALUE"""),"| 5 L CPT % | 6 L PHP-CGM % | 7 P JAVA @ | 9 P Python @ ")</f>
        <v xml:space="preserve">| 5 L CPT % | 6 L PHP-CGM % | 7 P JAVA @ | 9 P Python @ </v>
      </c>
      <c r="BE616" s="4" t="str">
        <f ca="1">IFERROR(__xludf.DUMMYFUNCTION("""COMPUTED_VALUE"""),"| 5 L NS % | 6 L CPT % | 9 P JAVA @ | 7 P PRO @ | 9 P NS @ ")</f>
        <v xml:space="preserve">| 5 L NS % | 6 L CPT % | 9 P JAVA @ | 7 P PRO @ | 9 P NS @ </v>
      </c>
      <c r="BF616" s="4" t="str">
        <f ca="1">IFERROR(__xludf.DUMMYFUNCTION("""COMPUTED_VALUE"""),"| 5 L NS @ | 6 L JAVA % | 7 P PHP-CGM @ | 9 P JAVA @ ")</f>
        <v xml:space="preserve">| 5 L NS @ | 6 L JAVA % | 7 P PHP-CGM @ | 9 P JAVA @ </v>
      </c>
      <c r="BG616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16" s="4" t="str">
        <f ca="1">IFERROR(__xludf.DUMMYFUNCTION("""COMPUTED_VALUE"""),"| 5 L CPT @ | 7 P JAVA @ | 6 L PHP-CGM @ | 9 P Python @ ")</f>
        <v xml:space="preserve">| 5 L CPT @ | 7 P JAVA @ | 6 L PHP-CGM @ | 9 P Python @ </v>
      </c>
      <c r="BI616" s="4" t="str">
        <f ca="1">IFERROR(__xludf.DUMMYFUNCTION("""COMPUTED_VALUE"""),"| 5 L NS @ | 6 L CPT @ | 7 P PRO @ | 9 P NS @ ")</f>
        <v xml:space="preserve">| 5 L NS @ | 6 L CPT @ | 7 P PRO @ | 9 P NS @ </v>
      </c>
      <c r="BJ616" s="4" t="str">
        <f ca="1">IFERROR(__xludf.DUMMYFUNCTION("""COMPUTED_VALUE"""),"| 5 L NS @ | 6 L JAVA @ | 7 P PHP-CGM @ ")</f>
        <v xml:space="preserve">| 5 L NS @ | 6 L JAVA @ | 7 P PHP-CGM @ </v>
      </c>
      <c r="BK616" s="4" t="str">
        <f ca="1">IFERROR(__xludf.DUMMYFUNCTION("""COMPUTED_VALUE"""),"| 1 L PHP-CGM @ | 6 L JAVA @ | 7 P Python @ | 9 L INE @ ")</f>
        <v xml:space="preserve">| 1 L PHP-CGM @ | 6 L JAVA @ | 7 P Python @ | 9 L INE @ </v>
      </c>
      <c r="BL616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16" s="4" t="str">
        <f ca="1">IFERROR(__xludf.DUMMYFUNCTION("""COMPUTED_VALUE"""),"| 5 L CPT @ | 6 L PHP-CGM @ | 7 P JAVA @ | 9 P Python @ ")</f>
        <v xml:space="preserve">| 5 L CPT @ | 6 L PHP-CGM @ | 7 P JAVA @ | 9 P Python @ </v>
      </c>
      <c r="BN616" s="4" t="str">
        <f ca="1">IFERROR(__xludf.DUMMYFUNCTION("""COMPUTED_VALUE"""),"| 5 L NS @ | 6 L CPT @ | 7 P PRO @ | 9 P NS @ ")</f>
        <v xml:space="preserve">| 5 L NS @ | 6 L CPT @ | 7 P PRO @ | 9 P NS @ </v>
      </c>
      <c r="BO616" s="4" t="str">
        <f ca="1">IFERROR(__xludf.DUMMYFUNCTION("""COMPUTED_VALUE"""),"| 5 L NS @ | 6 L JAVA @ ")</f>
        <v xml:space="preserve">| 5 L NS @ | 6 L JAVA @ </v>
      </c>
      <c r="BP616" s="4" t="str">
        <f ca="1">IFERROR(__xludf.DUMMYFUNCTION("""COMPUTED_VALUE"""),"| 1 L PHP-CGM @ | 6 L JAVA @ | 9 L INE @ ")</f>
        <v xml:space="preserve">| 1 L PHP-CGM @ | 6 L JAVA @ | 9 L INE @ </v>
      </c>
      <c r="BQ616" s="4" t="str">
        <f ca="1">IFERROR(__xludf.DUMMYFUNCTION("""COMPUTED_VALUE"""),"| 5 L CPT @ ")</f>
        <v xml:space="preserve">| 5 L CPT @ </v>
      </c>
      <c r="BR616" s="4"/>
      <c r="BS616" s="4" t="str">
        <f ca="1">IFERROR(__xludf.DUMMYFUNCTION("""COMPUTED_VALUE"""),"| 6 L CPT @ ")</f>
        <v xml:space="preserve">| 6 L CPT @ </v>
      </c>
      <c r="BT616" s="4"/>
      <c r="BU616" s="4"/>
      <c r="BV616" s="4" t="str">
        <f ca="1">IFERROR(__xludf.DUMMYFUNCTION("""COMPUTED_VALUE"""),"| 5 L PHP-CGM @ | 6 L JAVA @ ")</f>
        <v xml:space="preserve">| 5 L PHP-CGM @ | 6 L JAVA @ </v>
      </c>
      <c r="BW616" s="4"/>
      <c r="BX616" s="4" t="str">
        <f ca="1">IFERROR(__xludf.DUMMYFUNCTION("""COMPUTED_VALUE"""),"| 5 L CPT @ | 7 P JAVA @ | 6 L PHP-CGM @ ")</f>
        <v xml:space="preserve">| 5 L CPT @ | 7 P JAVA @ | 6 L PHP-CGM @ </v>
      </c>
      <c r="BY616" s="4" t="str">
        <f ca="1">IFERROR(__xludf.DUMMYFUNCTION("""COMPUTED_VALUE"""),"| 5 L NS @ | 6 L CPT @ | 7 P PRO @ | 9 P NS @ ")</f>
        <v xml:space="preserve">| 5 L NS @ | 6 L CPT @ | 7 P PRO @ | 9 P NS @ </v>
      </c>
      <c r="BZ616" s="4" t="str">
        <f ca="1">IFERROR(__xludf.DUMMYFUNCTION("""COMPUTED_VALUE"""),"| 5 L NS @ | 6 L JAVA @ | 7 P PHP-CGM @ ")</f>
        <v xml:space="preserve">| 5 L NS @ | 6 L JAVA @ | 7 P PHP-CGM @ </v>
      </c>
      <c r="CA616" s="4" t="str">
        <f ca="1">IFERROR(__xludf.DUMMYFUNCTION("""COMPUTED_VALUE"""),"| 1 L PHP-CGM % | 6 L JAVA % | 7 P Python @ ")</f>
        <v xml:space="preserve">| 1 L PHP-CGM % | 6 L JAVA % | 7 P Python @ </v>
      </c>
      <c r="CB616" s="4" t="str">
        <f ca="1">IFERROR(__xludf.DUMMYFUNCTION("""COMPUTED_VALUE"""),"| 5 L JAVA % | 6 L NS % | 7 P CPT @ | 9 L CPT % | 10 L PHP-CGM % ")</f>
        <v xml:space="preserve">| 5 L JAVA % | 6 L NS % | 7 P CPT @ | 9 L CPT % | 10 L PHP-CGM % </v>
      </c>
      <c r="CC616" s="4" t="str">
        <f ca="1">IFERROR(__xludf.DUMMYFUNCTION("""COMPUTED_VALUE"""),"| 5 L CPT % | 6 L PHP-CGM @ | 7 P JAVA @ | 9 P Python @ ")</f>
        <v xml:space="preserve">| 5 L CPT % | 6 L PHP-CGM @ | 7 P JAVA @ | 9 P Python @ </v>
      </c>
      <c r="CD616" s="4" t="str">
        <f ca="1">IFERROR(__xludf.DUMMYFUNCTION("""COMPUTED_VALUE"""),"| 5 L NS % | 6 L CPT % | 7 P PRO @ ")</f>
        <v xml:space="preserve">| 5 L NS % | 6 L CPT % | 7 P PRO @ </v>
      </c>
      <c r="CE616" s="4" t="str">
        <f ca="1">IFERROR(__xludf.DUMMYFUNCTION("""COMPUTED_VALUE"""),"| 5 L NS % | 6 L JAVA % | 7 P PHP-CGM @ | 9 P JAVA @ ")</f>
        <v xml:space="preserve">| 5 L NS % | 6 L JAVA % | 7 P PHP-CGM @ | 9 P JAVA @ </v>
      </c>
      <c r="CF616" s="4" t="str">
        <f ca="1">IFERROR(__xludf.DUMMYFUNCTION("""COMPUTED_VALUE"""),"| 5 L PHP-CGM @ | 6 L JAVA @ | 7 P Python @ | 9 L INE @ ")</f>
        <v xml:space="preserve">| 5 L PHP-CGM @ | 6 L JAVA @ | 7 P Python @ | 9 L INE @ </v>
      </c>
      <c r="CG616" s="4" t="str">
        <f ca="1">IFERROR(__xludf.DUMMYFUNCTION("""COMPUTED_VALUE"""),"| 5 L JAVA @ | 6 L NS @ ")</f>
        <v xml:space="preserve">| 5 L JAVA @ | 6 L NS @ </v>
      </c>
      <c r="CH616" s="4" t="str">
        <f ca="1">IFERROR(__xludf.DUMMYFUNCTION("""COMPUTED_VALUE"""),"| 5 L CPT @ | 9 P Python @ ")</f>
        <v xml:space="preserve">| 5 L CPT @ | 9 P Python @ </v>
      </c>
      <c r="CI616" s="4" t="str">
        <f ca="1">IFERROR(__xludf.DUMMYFUNCTION("""COMPUTED_VALUE"""),"| 5 L NS @ | 6 L CPT @ | 9 P NS @ ")</f>
        <v xml:space="preserve">| 5 L NS @ | 6 L CPT @ | 9 P NS @ </v>
      </c>
      <c r="CJ616" s="4" t="str">
        <f ca="1">IFERROR(__xludf.DUMMYFUNCTION("""COMPUTED_VALUE"""),"| 5 L NS @ ")</f>
        <v xml:space="preserve">| 5 L NS @ </v>
      </c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</row>
    <row r="617" spans="1:102" ht="12.5" x14ac:dyDescent="0.25">
      <c r="A617" s="3">
        <f ca="1">IFERROR(__xludf.DUMMYFUNCTION("""COMPUTED_VALUE"""),3)</f>
        <v>3</v>
      </c>
      <c r="B617" s="3" t="str">
        <f ca="1">IFERROR(__xludf.DUMMYFUNCTION("""COMPUTED_VALUE"""),"ITD")</f>
        <v>ITD</v>
      </c>
      <c r="C617" s="32" t="str">
        <f ca="1">IFERROR(__xludf.DUMMYFUNCTION("""COMPUTED_VALUE"""),"23171371111")</f>
        <v>23171371111</v>
      </c>
      <c r="D617" s="4" t="str">
        <f ca="1">IFERROR(__xludf.DUMMYFUNCTION("""COMPUTED_VALUE"""),"PATEL SMIT VASUBHAI")</f>
        <v>PATEL SMIT VASUBHAI</v>
      </c>
      <c r="E617" s="3" t="str">
        <f ca="1">IFERROR(__xludf.DUMMYFUNCTION("""COMPUTED_VALUE"""),"SRC - Eve")</f>
        <v>SRC - Eve</v>
      </c>
      <c r="F617" s="3">
        <f ca="1">IFERROR(__xludf.DUMMYFUNCTION("""COMPUTED_VALUE"""),7621082351)</f>
        <v>7621082351</v>
      </c>
      <c r="G617" s="3">
        <f ca="1">IFERROR(__xludf.DUMMYFUNCTION("""COMPUTED_VALUE"""),8511542063)</f>
        <v>8511542063</v>
      </c>
      <c r="H617" s="33">
        <f ca="1">IFERROR(__xludf.DUMMYFUNCTION("""COMPUTED_VALUE"""),0.515981735159817)</f>
        <v>0.51598173515981705</v>
      </c>
      <c r="I617" s="25">
        <f ca="1">IFERROR(__xludf.DUMMYFUNCTION("""COMPUTED_VALUE"""),0.5)</f>
        <v>0.5</v>
      </c>
      <c r="J617" s="25">
        <f ca="1">IFERROR(__xludf.DUMMYFUNCTION("""COMPUTED_VALUE"""),0.5)</f>
        <v>0.5</v>
      </c>
      <c r="K617" s="25">
        <f ca="1">IFERROR(__xludf.DUMMYFUNCTION("""COMPUTED_VALUE"""),0.527777777777777)</f>
        <v>0.52777777777777701</v>
      </c>
      <c r="L617" s="25">
        <f ca="1">IFERROR(__xludf.DUMMYFUNCTION("""COMPUTED_VALUE"""),0.5)</f>
        <v>0.5</v>
      </c>
      <c r="M617" s="25">
        <f ca="1">IFERROR(__xludf.DUMMYFUNCTION("""COMPUTED_VALUE"""),0.5625)</f>
        <v>0.5625</v>
      </c>
      <c r="N617" s="25">
        <f ca="1">IFERROR(__xludf.DUMMYFUNCTION("""COMPUTED_VALUE"""),0.375)</f>
        <v>0.375</v>
      </c>
      <c r="O617" s="25">
        <f ca="1">IFERROR(__xludf.DUMMYFUNCTION("""COMPUTED_VALUE"""),0.588235294117647)</f>
        <v>0.58823529411764697</v>
      </c>
      <c r="P617" s="25">
        <f ca="1">IFERROR(__xludf.DUMMYFUNCTION("""COMPUTED_VALUE"""),0.352941176470588)</f>
        <v>0.35294117647058798</v>
      </c>
      <c r="Q617" s="25">
        <f ca="1">IFERROR(__xludf.DUMMYFUNCTION("""COMPUTED_VALUE"""),0)</f>
        <v>0</v>
      </c>
      <c r="R617" s="25">
        <f ca="1">IFERROR(__xludf.DUMMYFUNCTION("""COMPUTED_VALUE"""),0.555555555555555)</f>
        <v>0.55555555555555503</v>
      </c>
      <c r="S617" s="25">
        <f ca="1">IFERROR(__xludf.DUMMYFUNCTION("""COMPUTED_VALUE"""),0)</f>
        <v>0</v>
      </c>
      <c r="T617" s="25">
        <f ca="1">IFERROR(__xludf.DUMMYFUNCTION("""COMPUTED_VALUE"""),0.545454545454545)</f>
        <v>0.54545454545454497</v>
      </c>
      <c r="U617" s="25">
        <f ca="1">IFERROR(__xludf.DUMMYFUNCTION("""COMPUTED_VALUE"""),0.428571428571428)</f>
        <v>0.42857142857142799</v>
      </c>
      <c r="V617" s="25">
        <f ca="1">IFERROR(__xludf.DUMMYFUNCTION("""COMPUTED_VALUE"""),0)</f>
        <v>0</v>
      </c>
      <c r="W617" s="4"/>
      <c r="X617" s="4" t="str">
        <f ca="1">IFERROR(__xludf.DUMMYFUNCTION("""COMPUTED_VALUE"""),"| 1 L PHP-CGM % | 6 L JAVA % | 7 P Python % ")</f>
        <v xml:space="preserve">| 1 L PHP-CGM % | 6 L JAVA % | 7 P Python % </v>
      </c>
      <c r="Y617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17" s="4" t="str">
        <f ca="1">IFERROR(__xludf.DUMMYFUNCTION("""COMPUTED_VALUE"""),"| 5 L CPT @ | 6 L PHP-CGM @ | 7 P JAVA @ | 9 P Python @ ")</f>
        <v xml:space="preserve">| 5 L CPT @ | 6 L PHP-CGM @ | 7 P JAVA @ | 9 P Python @ </v>
      </c>
      <c r="AA617" s="4" t="str">
        <f ca="1">IFERROR(__xludf.DUMMYFUNCTION("""COMPUTED_VALUE"""),"| 5 L NS @ | 6 L CPT @ | 7 P PRO @ | 9 P NS @ ")</f>
        <v xml:space="preserve">| 5 L NS @ | 6 L CPT @ | 7 P PRO @ | 9 P NS @ </v>
      </c>
      <c r="AB617" s="4" t="str">
        <f ca="1">IFERROR(__xludf.DUMMYFUNCTION("""COMPUTED_VALUE"""),"| 5 L NS @ | 6 L JAVA @ | 7 P PHP-CGM @ | 9 P JAVA @ ")</f>
        <v xml:space="preserve">| 5 L NS @ | 6 L JAVA @ | 7 P PHP-CGM @ | 9 P JAVA @ </v>
      </c>
      <c r="AC617" s="4" t="str">
        <f ca="1">IFERROR(__xludf.DUMMYFUNCTION("""COMPUTED_VALUE"""),"| 1 L PHP-CGM % | 6 L JAVA % | 7 P Python @ ")</f>
        <v xml:space="preserve">| 1 L PHP-CGM % | 6 L JAVA % | 7 P Python @ </v>
      </c>
      <c r="AD617" s="4" t="str">
        <f ca="1">IFERROR(__xludf.DUMMYFUNCTION("""COMPUTED_VALUE"""),"| 5 L JAVA % | 6 L NS % | 7 P CPT @ | 9 L CPT % | 6 L PHP-CGM % ")</f>
        <v xml:space="preserve">| 5 L JAVA % | 6 L NS % | 7 P CPT @ | 9 L CPT % | 6 L PHP-CGM % </v>
      </c>
      <c r="AE617" s="4" t="str">
        <f ca="1">IFERROR(__xludf.DUMMYFUNCTION("""COMPUTED_VALUE"""),"| 5 L CPT % | 6 L PHP-CGM % | 7 P JAVA @ | 9 P Python @ ")</f>
        <v xml:space="preserve">| 5 L CPT % | 6 L PHP-CGM % | 7 P JAVA @ | 9 P Python @ </v>
      </c>
      <c r="AF617" s="4" t="str">
        <f ca="1">IFERROR(__xludf.DUMMYFUNCTION("""COMPUTED_VALUE"""),"| 5 L NS % | 6 L CPT % | 7 P PRO % | 9 P NS % ")</f>
        <v xml:space="preserve">| 5 L NS % | 6 L CPT % | 7 P PRO % | 9 P NS % </v>
      </c>
      <c r="AG617" s="4" t="str">
        <f ca="1">IFERROR(__xludf.DUMMYFUNCTION("""COMPUTED_VALUE"""),"| 5 L NS % | 6 L JAVA % | 7 P PHP-CGM @ | 9 P JAVA @ ")</f>
        <v xml:space="preserve">| 5 L NS % | 6 L JAVA % | 7 P PHP-CGM @ | 9 P JAVA @ </v>
      </c>
      <c r="AH617" s="4" t="str">
        <f ca="1">IFERROR(__xludf.DUMMYFUNCTION("""COMPUTED_VALUE"""),"| 5 L NS % | 6 L CPT % | 7 P PRO % | 9 P NS @ ")</f>
        <v xml:space="preserve">| 5 L NS % | 6 L CPT % | 7 P PRO % | 9 P NS @ </v>
      </c>
      <c r="AI617" s="4" t="str">
        <f ca="1">IFERROR(__xludf.DUMMYFUNCTION("""COMPUTED_VALUE"""),"| 5 L NS @ | 6 L JAVA @ | 7 P PHP-CGM @ | 9 P JAVA @ ")</f>
        <v xml:space="preserve">| 5 L NS @ | 6 L JAVA @ | 7 P PHP-CGM @ | 9 P JAVA @ </v>
      </c>
      <c r="AJ617" s="4" t="str">
        <f ca="1">IFERROR(__xludf.DUMMYFUNCTION("""COMPUTED_VALUE"""),"| 1 L PHP-CGM % | 6 L JAVA % | 7 P Python % ")</f>
        <v xml:space="preserve">| 1 L PHP-CGM % | 6 L JAVA % | 7 P Python % </v>
      </c>
      <c r="AK617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L617" s="4" t="str">
        <f ca="1">IFERROR(__xludf.DUMMYFUNCTION("""COMPUTED_VALUE"""),"| 5 L CPT % | 6 L PHP-CGM % | 7 P JAVA % | 9 P Python % ")</f>
        <v xml:space="preserve">| 5 L CPT % | 6 L PHP-CGM % | 7 P JAVA % | 9 P Python % </v>
      </c>
      <c r="AM617" s="4" t="str">
        <f ca="1">IFERROR(__xludf.DUMMYFUNCTION("""COMPUTED_VALUE"""),"| 5 L NS % | 6 L CPT @ | 9 P JAVA @ ")</f>
        <v xml:space="preserve">| 5 L NS % | 6 L CPT @ | 9 P JAVA @ </v>
      </c>
      <c r="AN617" s="4" t="str">
        <f ca="1">IFERROR(__xludf.DUMMYFUNCTION("""COMPUTED_VALUE"""),"| 5 L NS @ | 6 L JAVA @ ")</f>
        <v xml:space="preserve">| 5 L NS @ | 6 L JAVA @ </v>
      </c>
      <c r="AO617" s="4" t="str">
        <f ca="1">IFERROR(__xludf.DUMMYFUNCTION("""COMPUTED_VALUE"""),"| 1 L PHP-CGM @ | 6 L JAVA @ | 9 L INE @ ")</f>
        <v xml:space="preserve">| 1 L PHP-CGM @ | 6 L JAVA @ | 9 L INE @ </v>
      </c>
      <c r="AP617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17" s="4" t="str">
        <f ca="1">IFERROR(__xludf.DUMMYFUNCTION("""COMPUTED_VALUE"""),"| 5 L CPT @ | 6 L PHP-CGM @ ")</f>
        <v xml:space="preserve">| 5 L CPT @ | 6 L PHP-CGM @ </v>
      </c>
      <c r="AR617" s="4" t="str">
        <f ca="1">IFERROR(__xludf.DUMMYFUNCTION("""COMPUTED_VALUE"""),"| 5 L NS % | 6 L CPT @ | 7 P PRO % ")</f>
        <v xml:space="preserve">| 5 L NS % | 6 L CPT @ | 7 P PRO % </v>
      </c>
      <c r="AS617" s="4" t="str">
        <f ca="1">IFERROR(__xludf.DUMMYFUNCTION("""COMPUTED_VALUE"""),"| 1 L PHP-CGM % | 6 L JAVA % | 7 P Python % | 9 L INE @ ")</f>
        <v xml:space="preserve">| 1 L PHP-CGM % | 6 L JAVA % | 7 P Python % | 9 L INE @ </v>
      </c>
      <c r="AT617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17" s="4" t="str">
        <f ca="1">IFERROR(__xludf.DUMMYFUNCTION("""COMPUTED_VALUE"""),"| 5 L CPT % | 6 L PHP-CGM % | 7 P JAVA % | 9 P Python % ")</f>
        <v xml:space="preserve">| 5 L CPT % | 6 L PHP-CGM % | 7 P JAVA % | 9 P Python % </v>
      </c>
      <c r="AV617" s="4" t="str">
        <f ca="1">IFERROR(__xludf.DUMMYFUNCTION("""COMPUTED_VALUE"""),"| 5 L NS % | 6 L CPT % | 7 P PRO % | 9 P NS % ")</f>
        <v xml:space="preserve">| 5 L NS % | 6 L CPT % | 7 P PRO % | 9 P NS % </v>
      </c>
      <c r="AW617" s="4" t="str">
        <f ca="1">IFERROR(__xludf.DUMMYFUNCTION("""COMPUTED_VALUE"""),"| 5 L NS % | 6 L JAVA % | 7 P PHP-CGM % | 9 P JAVA @ ")</f>
        <v xml:space="preserve">| 5 L NS % | 6 L JAVA % | 7 P PHP-CGM % | 9 P JAVA @ </v>
      </c>
      <c r="AX617" s="4" t="str">
        <f ca="1">IFERROR(__xludf.DUMMYFUNCTION("""COMPUTED_VALUE"""),"| 1 L PHP-CGM % | 6 L JAVA % | 7 P Python % | 9 L INE % ")</f>
        <v xml:space="preserve">| 1 L PHP-CGM % | 6 L JAVA % | 7 P Python % | 9 L INE % </v>
      </c>
      <c r="AY617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7" s="4" t="str">
        <f ca="1">IFERROR(__xludf.DUMMYFUNCTION("""COMPUTED_VALUE"""),"| 5 L NS @ | 6 L CPT @ | 7 P PRO @ | 9 P NS @ ")</f>
        <v xml:space="preserve">| 5 L NS @ | 6 L CPT @ | 7 P PRO @ | 9 P NS @ </v>
      </c>
      <c r="BA617" s="4" t="str">
        <f ca="1">IFERROR(__xludf.DUMMYFUNCTION("""COMPUTED_VALUE"""),"| 5 L NS % | 6 L JAVA % ")</f>
        <v xml:space="preserve">| 5 L NS % | 6 L JAVA % </v>
      </c>
      <c r="BB617" s="4" t="str">
        <f ca="1">IFERROR(__xludf.DUMMYFUNCTION("""COMPUTED_VALUE"""),"| 1 L PHP-CGM % | 6 L JAVA % | 7 P Python % | 9 L INE % ")</f>
        <v xml:space="preserve">| 1 L PHP-CGM % | 6 L JAVA % | 7 P Python % | 9 L INE % </v>
      </c>
      <c r="BC617" s="4" t="str">
        <f ca="1">IFERROR(__xludf.DUMMYFUNCTION("""COMPUTED_VALUE"""),"| 5 L JAVA @ | 6 L NS @ | 7 P CPT @ | 10 L PHP-CGM @ | 9 L CPT @ ")</f>
        <v xml:space="preserve">| 5 L JAVA @ | 6 L NS @ | 7 P CPT @ | 10 L PHP-CGM @ | 9 L CPT @ </v>
      </c>
      <c r="BD617" s="4" t="str">
        <f ca="1">IFERROR(__xludf.DUMMYFUNCTION("""COMPUTED_VALUE"""),"| 5 L CPT % | 6 L PHP-CGM % | 7 P JAVA @ | 9 P Python @ ")</f>
        <v xml:space="preserve">| 5 L CPT % | 6 L PHP-CGM % | 7 P JAVA @ | 9 P Python @ </v>
      </c>
      <c r="BE617" s="4" t="str">
        <f ca="1">IFERROR(__xludf.DUMMYFUNCTION("""COMPUTED_VALUE"""),"| 5 L NS % | 6 L CPT % | 9 P JAVA % | 7 P PRO @ | 9 P NS % ")</f>
        <v xml:space="preserve">| 5 L NS % | 6 L CPT % | 9 P JAVA % | 7 P PRO @ | 9 P NS % </v>
      </c>
      <c r="BF617" s="4" t="str">
        <f ca="1">IFERROR(__xludf.DUMMYFUNCTION("""COMPUTED_VALUE"""),"| 5 L NS @ | 6 L JAVA % | 7 P PHP-CGM % | 9 P JAVA % ")</f>
        <v xml:space="preserve">| 5 L NS @ | 6 L JAVA % | 7 P PHP-CGM % | 9 P JAVA % </v>
      </c>
      <c r="BG617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17" s="4" t="str">
        <f ca="1">IFERROR(__xludf.DUMMYFUNCTION("""COMPUTED_VALUE"""),"| 5 L CPT % | 7 P JAVA % | 6 L PHP-CGM % | 9 P Python % ")</f>
        <v xml:space="preserve">| 5 L CPT % | 7 P JAVA % | 6 L PHP-CGM % | 9 P Python % </v>
      </c>
      <c r="BI617" s="4" t="str">
        <f ca="1">IFERROR(__xludf.DUMMYFUNCTION("""COMPUTED_VALUE"""),"| 5 L NS % | 6 L CPT % | 7 P PRO % | 9 P NS % ")</f>
        <v xml:space="preserve">| 5 L NS % | 6 L CPT % | 7 P PRO % | 9 P NS % </v>
      </c>
      <c r="BJ617" s="4" t="str">
        <f ca="1">IFERROR(__xludf.DUMMYFUNCTION("""COMPUTED_VALUE"""),"| 5 L NS % | 6 L JAVA % | 7 P PHP-CGM @ ")</f>
        <v xml:space="preserve">| 5 L NS % | 6 L JAVA % | 7 P PHP-CGM @ </v>
      </c>
      <c r="BK617" s="4" t="str">
        <f ca="1">IFERROR(__xludf.DUMMYFUNCTION("""COMPUTED_VALUE"""),"| 1 L PHP-CGM @ | 6 L JAVA @ | 7 P Python @ | 9 L INE @ ")</f>
        <v xml:space="preserve">| 1 L PHP-CGM @ | 6 L JAVA @ | 7 P Python @ | 9 L INE @ </v>
      </c>
      <c r="BL617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17" s="4" t="str">
        <f ca="1">IFERROR(__xludf.DUMMYFUNCTION("""COMPUTED_VALUE"""),"| 5 L CPT @ | 6 L PHP-CGM @ | 7 P JAVA @ | 9 P Python @ ")</f>
        <v xml:space="preserve">| 5 L CPT @ | 6 L PHP-CGM @ | 7 P JAVA @ | 9 P Python @ </v>
      </c>
      <c r="BN617" s="4" t="str">
        <f ca="1">IFERROR(__xludf.DUMMYFUNCTION("""COMPUTED_VALUE"""),"| 5 L NS @ | 6 L CPT @ | 7 P PRO @ | 9 P NS @ ")</f>
        <v xml:space="preserve">| 5 L NS @ | 6 L CPT @ | 7 P PRO @ | 9 P NS @ </v>
      </c>
      <c r="BO617" s="4" t="str">
        <f ca="1">IFERROR(__xludf.DUMMYFUNCTION("""COMPUTED_VALUE"""),"| 5 L NS @ | 6 L JAVA @ ")</f>
        <v xml:space="preserve">| 5 L NS @ | 6 L JAVA @ </v>
      </c>
      <c r="BP617" s="4" t="str">
        <f ca="1">IFERROR(__xludf.DUMMYFUNCTION("""COMPUTED_VALUE"""),"| 1 L PHP-CGM @ | 6 L JAVA @ | 9 L INE @ ")</f>
        <v xml:space="preserve">| 1 L PHP-CGM @ | 6 L JAVA @ | 9 L INE @ </v>
      </c>
      <c r="BQ617" s="4" t="str">
        <f ca="1">IFERROR(__xludf.DUMMYFUNCTION("""COMPUTED_VALUE"""),"| 5 L CPT @ ")</f>
        <v xml:space="preserve">| 5 L CPT @ </v>
      </c>
      <c r="BR617" s="4"/>
      <c r="BS617" s="4" t="str">
        <f ca="1">IFERROR(__xludf.DUMMYFUNCTION("""COMPUTED_VALUE"""),"| 6 L CPT % ")</f>
        <v xml:space="preserve">| 6 L CPT % </v>
      </c>
      <c r="BT617" s="4"/>
      <c r="BU617" s="4"/>
      <c r="BV617" s="4" t="str">
        <f ca="1">IFERROR(__xludf.DUMMYFUNCTION("""COMPUTED_VALUE"""),"| 5 L PHP-CGM @ | 6 L JAVA @ ")</f>
        <v xml:space="preserve">| 5 L PHP-CGM @ | 6 L JAVA @ </v>
      </c>
      <c r="BW617" s="4"/>
      <c r="BX617" s="4" t="str">
        <f ca="1">IFERROR(__xludf.DUMMYFUNCTION("""COMPUTED_VALUE"""),"| 5 L CPT @ | 7 P JAVA @ | 6 L PHP-CGM @ ")</f>
        <v xml:space="preserve">| 5 L CPT @ | 7 P JAVA @ | 6 L PHP-CGM @ </v>
      </c>
      <c r="BY617" s="4" t="str">
        <f ca="1">IFERROR(__xludf.DUMMYFUNCTION("""COMPUTED_VALUE"""),"| 5 L NS @ | 6 L CPT @ | 7 P PRO @ | 9 P NS @ ")</f>
        <v xml:space="preserve">| 5 L NS @ | 6 L CPT @ | 7 P PRO @ | 9 P NS @ </v>
      </c>
      <c r="BZ617" s="4" t="str">
        <f ca="1">IFERROR(__xludf.DUMMYFUNCTION("""COMPUTED_VALUE"""),"| 5 L NS @ | 6 L JAVA @ | 7 P PHP-CGM @ ")</f>
        <v xml:space="preserve">| 5 L NS @ | 6 L JAVA @ | 7 P PHP-CGM @ </v>
      </c>
      <c r="CA617" s="4" t="str">
        <f ca="1">IFERROR(__xludf.DUMMYFUNCTION("""COMPUTED_VALUE"""),"| 1 L PHP-CGM @ | 6 L JAVA @ | 7 P Python @ ")</f>
        <v xml:space="preserve">| 1 L PHP-CGM @ | 6 L JAVA @ | 7 P Python @ </v>
      </c>
      <c r="CB617" s="4" t="str">
        <f ca="1">IFERROR(__xludf.DUMMYFUNCTION("""COMPUTED_VALUE"""),"| 5 L JAVA % | 6 L NS % | 7 P CPT % | 9 L CPT % | 10 L PHP-CGM % ")</f>
        <v xml:space="preserve">| 5 L JAVA % | 6 L NS % | 7 P CPT % | 9 L CPT % | 10 L PHP-CGM % </v>
      </c>
      <c r="CC617" s="4" t="str">
        <f ca="1">IFERROR(__xludf.DUMMYFUNCTION("""COMPUTED_VALUE"""),"| 5 L CPT % | 6 L PHP-CGM % | 7 P JAVA @ | 9 P Python @ ")</f>
        <v xml:space="preserve">| 5 L CPT % | 6 L PHP-CGM % | 7 P JAVA @ | 9 P Python @ </v>
      </c>
      <c r="CD617" s="4" t="str">
        <f ca="1">IFERROR(__xludf.DUMMYFUNCTION("""COMPUTED_VALUE"""),"| 5 L NS @ | 6 L CPT @ | 7 P PRO % ")</f>
        <v xml:space="preserve">| 5 L NS @ | 6 L CPT @ | 7 P PRO % </v>
      </c>
      <c r="CE617" s="4" t="str">
        <f ca="1">IFERROR(__xludf.DUMMYFUNCTION("""COMPUTED_VALUE"""),"| 5 L NS @ | 6 L JAVA @ | 7 P PHP-CGM % | 9 P JAVA % ")</f>
        <v xml:space="preserve">| 5 L NS @ | 6 L JAVA @ | 7 P PHP-CGM % | 9 P JAVA % </v>
      </c>
      <c r="CF617" s="4" t="str">
        <f ca="1">IFERROR(__xludf.DUMMYFUNCTION("""COMPUTED_VALUE"""),"| 5 L PHP-CGM @ | 6 L JAVA % | 7 P Python % | 9 L INE % ")</f>
        <v xml:space="preserve">| 5 L PHP-CGM @ | 6 L JAVA % | 7 P Python % | 9 L INE % </v>
      </c>
      <c r="CG617" s="4" t="str">
        <f ca="1">IFERROR(__xludf.DUMMYFUNCTION("""COMPUTED_VALUE"""),"| 5 L JAVA % | 6 L NS % ")</f>
        <v xml:space="preserve">| 5 L JAVA % | 6 L NS % </v>
      </c>
      <c r="CH617" s="4" t="str">
        <f ca="1">IFERROR(__xludf.DUMMYFUNCTION("""COMPUTED_VALUE"""),"| 5 L CPT @ | 9 P Python % ")</f>
        <v xml:space="preserve">| 5 L CPT @ | 9 P Python % </v>
      </c>
      <c r="CI617" s="4" t="str">
        <f ca="1">IFERROR(__xludf.DUMMYFUNCTION("""COMPUTED_VALUE"""),"| 5 L NS @ | 6 L CPT @ | 9 P NS % ")</f>
        <v xml:space="preserve">| 5 L NS @ | 6 L CPT @ | 9 P NS % </v>
      </c>
      <c r="CJ617" s="4" t="str">
        <f ca="1">IFERROR(__xludf.DUMMYFUNCTION("""COMPUTED_VALUE"""),"| 5 L NS @ ")</f>
        <v xml:space="preserve">| 5 L NS @ </v>
      </c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</row>
    <row r="618" spans="1:102" ht="12.5" x14ac:dyDescent="0.25">
      <c r="A618" s="3">
        <f ca="1">IFERROR(__xludf.DUMMYFUNCTION("""COMPUTED_VALUE"""),3)</f>
        <v>3</v>
      </c>
      <c r="B618" s="3" t="str">
        <f ca="1">IFERROR(__xludf.DUMMYFUNCTION("""COMPUTED_VALUE"""),"ITD")</f>
        <v>ITD</v>
      </c>
      <c r="C618" s="32" t="str">
        <f ca="1">IFERROR(__xludf.DUMMYFUNCTION("""COMPUTED_VALUE"""),"23171371112")</f>
        <v>23171371112</v>
      </c>
      <c r="D618" s="4" t="str">
        <f ca="1">IFERROR(__xludf.DUMMYFUNCTION("""COMPUTED_VALUE"""),"PATEL SMITKUMAR MAHENDRAKUMAR")</f>
        <v>PATEL SMITKUMAR MAHENDRAKUMAR</v>
      </c>
      <c r="E618" s="3" t="str">
        <f ca="1">IFERROR(__xludf.DUMMYFUNCTION("""COMPUTED_VALUE"""),"SRC - Eve")</f>
        <v>SRC - Eve</v>
      </c>
      <c r="F618" s="3">
        <f ca="1">IFERROR(__xludf.DUMMYFUNCTION("""COMPUTED_VALUE"""),6351591287)</f>
        <v>6351591287</v>
      </c>
      <c r="G618" s="3">
        <f ca="1">IFERROR(__xludf.DUMMYFUNCTION("""COMPUTED_VALUE"""),9898053802)</f>
        <v>9898053802</v>
      </c>
      <c r="H618" s="33">
        <f ca="1">IFERROR(__xludf.DUMMYFUNCTION("""COMPUTED_VALUE"""),0.82648401826484)</f>
        <v>0.82648401826483997</v>
      </c>
      <c r="I618" s="25">
        <f ca="1">IFERROR(__xludf.DUMMYFUNCTION("""COMPUTED_VALUE"""),0.805555555555555)</f>
        <v>0.80555555555555503</v>
      </c>
      <c r="J618" s="25">
        <f ca="1">IFERROR(__xludf.DUMMYFUNCTION("""COMPUTED_VALUE"""),0.6)</f>
        <v>0.6</v>
      </c>
      <c r="K618" s="25">
        <f ca="1">IFERROR(__xludf.DUMMYFUNCTION("""COMPUTED_VALUE"""),0.805555555555555)</f>
        <v>0.80555555555555503</v>
      </c>
      <c r="L618" s="25">
        <f ca="1">IFERROR(__xludf.DUMMYFUNCTION("""COMPUTED_VALUE"""),0.8)</f>
        <v>0.8</v>
      </c>
      <c r="M618" s="25">
        <f ca="1">IFERROR(__xludf.DUMMYFUNCTION("""COMPUTED_VALUE"""),0.875)</f>
        <v>0.875</v>
      </c>
      <c r="N618" s="25">
        <f ca="1">IFERROR(__xludf.DUMMYFUNCTION("""COMPUTED_VALUE"""),0.625)</f>
        <v>0.625</v>
      </c>
      <c r="O618" s="25">
        <f ca="1">IFERROR(__xludf.DUMMYFUNCTION("""COMPUTED_VALUE"""),0.941176470588235)</f>
        <v>0.94117647058823495</v>
      </c>
      <c r="P618" s="25">
        <f ca="1">IFERROR(__xludf.DUMMYFUNCTION("""COMPUTED_VALUE"""),0.823529411764705)</f>
        <v>0.82352941176470495</v>
      </c>
      <c r="Q618" s="25">
        <f ca="1">IFERROR(__xludf.DUMMYFUNCTION("""COMPUTED_VALUE"""),0)</f>
        <v>0</v>
      </c>
      <c r="R618" s="25">
        <f ca="1">IFERROR(__xludf.DUMMYFUNCTION("""COMPUTED_VALUE"""),0.888888888888888)</f>
        <v>0.88888888888888795</v>
      </c>
      <c r="S618" s="25">
        <f ca="1">IFERROR(__xludf.DUMMYFUNCTION("""COMPUTED_VALUE"""),0)</f>
        <v>0</v>
      </c>
      <c r="T618" s="25">
        <f ca="1">IFERROR(__xludf.DUMMYFUNCTION("""COMPUTED_VALUE"""),0.909090909090909)</f>
        <v>0.90909090909090895</v>
      </c>
      <c r="U618" s="25">
        <f ca="1">IFERROR(__xludf.DUMMYFUNCTION("""COMPUTED_VALUE"""),0.571428571428571)</f>
        <v>0.57142857142857095</v>
      </c>
      <c r="V618" s="25">
        <f ca="1">IFERROR(__xludf.DUMMYFUNCTION("""COMPUTED_VALUE"""),0)</f>
        <v>0</v>
      </c>
      <c r="W618" s="4"/>
      <c r="X618" s="4" t="str">
        <f ca="1">IFERROR(__xludf.DUMMYFUNCTION("""COMPUTED_VALUE"""),"| 1 L PHP-CGM % | 6 L JAVA % | 7 P Python % ")</f>
        <v xml:space="preserve">| 1 L PHP-CGM % | 6 L JAVA % | 7 P Python % </v>
      </c>
      <c r="Y618" s="4" t="str">
        <f ca="1">IFERROR(__xludf.DUMMYFUNCTION("""COMPUTED_VALUE"""),"| 5 L JAVA % | 6 L NS % | 7 P CPT % | 9 L CPT % | 6 L PHP-CGM @ ")</f>
        <v xml:space="preserve">| 5 L JAVA % | 6 L NS % | 7 P CPT % | 9 L CPT % | 6 L PHP-CGM @ </v>
      </c>
      <c r="Z618" s="4" t="str">
        <f ca="1">IFERROR(__xludf.DUMMYFUNCTION("""COMPUTED_VALUE"""),"| 5 L CPT % | 6 L PHP-CGM % | 7 P JAVA % | 9 P Python % ")</f>
        <v xml:space="preserve">| 5 L CPT % | 6 L PHP-CGM % | 7 P JAVA % | 9 P Python % </v>
      </c>
      <c r="AA618" s="4" t="str">
        <f ca="1">IFERROR(__xludf.DUMMYFUNCTION("""COMPUTED_VALUE"""),"| 5 L NS % | 6 L CPT % | 7 P PRO % | 9 P NS % ")</f>
        <v xml:space="preserve">| 5 L NS % | 6 L CPT % | 7 P PRO % | 9 P NS % </v>
      </c>
      <c r="AB618" s="4" t="str">
        <f ca="1">IFERROR(__xludf.DUMMYFUNCTION("""COMPUTED_VALUE"""),"| 5 L NS % | 6 L JAVA % | 7 P PHP-CGM % | 9 P JAVA % ")</f>
        <v xml:space="preserve">| 5 L NS % | 6 L JAVA % | 7 P PHP-CGM % | 9 P JAVA % </v>
      </c>
      <c r="AC618" s="4" t="str">
        <f ca="1">IFERROR(__xludf.DUMMYFUNCTION("""COMPUTED_VALUE"""),"| 1 L PHP-CGM % | 6 L JAVA % | 7 P Python % ")</f>
        <v xml:space="preserve">| 1 L PHP-CGM % | 6 L JAVA % | 7 P Python % </v>
      </c>
      <c r="AD618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18" s="4" t="str">
        <f ca="1">IFERROR(__xludf.DUMMYFUNCTION("""COMPUTED_VALUE"""),"| 5 L CPT % | 6 L PHP-CGM % | 7 P JAVA % | 9 P Python % ")</f>
        <v xml:space="preserve">| 5 L CPT % | 6 L PHP-CGM % | 7 P JAVA % | 9 P Python % </v>
      </c>
      <c r="AF618" s="4" t="str">
        <f ca="1">IFERROR(__xludf.DUMMYFUNCTION("""COMPUTED_VALUE"""),"| 5 L NS % | 6 L CPT % | 7 P PRO % | 9 P NS % ")</f>
        <v xml:space="preserve">| 5 L NS % | 6 L CPT % | 7 P PRO % | 9 P NS % </v>
      </c>
      <c r="AG618" s="4" t="str">
        <f ca="1">IFERROR(__xludf.DUMMYFUNCTION("""COMPUTED_VALUE"""),"| 5 L NS % | 6 L JAVA % | 7 P PHP-CGM % | 9 P JAVA % ")</f>
        <v xml:space="preserve">| 5 L NS % | 6 L JAVA % | 7 P PHP-CGM % | 9 P JAVA % </v>
      </c>
      <c r="AH618" s="4" t="str">
        <f ca="1">IFERROR(__xludf.DUMMYFUNCTION("""COMPUTED_VALUE"""),"| 5 L NS % | 6 L CPT % | 7 P PRO % | 9 P NS @ ")</f>
        <v xml:space="preserve">| 5 L NS % | 6 L CPT % | 7 P PRO % | 9 P NS @ </v>
      </c>
      <c r="AI618" s="4" t="str">
        <f ca="1">IFERROR(__xludf.DUMMYFUNCTION("""COMPUTED_VALUE"""),"| 5 L NS % | 6 L JAVA % | 7 P PHP-CGM % | 9 P JAVA % ")</f>
        <v xml:space="preserve">| 5 L NS % | 6 L JAVA % | 7 P PHP-CGM % | 9 P JAVA % </v>
      </c>
      <c r="AJ618" s="4" t="str">
        <f ca="1">IFERROR(__xludf.DUMMYFUNCTION("""COMPUTED_VALUE"""),"| 1 L PHP-CGM % | 6 L JAVA % | 7 P Python % ")</f>
        <v xml:space="preserve">| 1 L PHP-CGM % | 6 L JAVA % | 7 P Python % </v>
      </c>
      <c r="AK618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18" s="4" t="str">
        <f ca="1">IFERROR(__xludf.DUMMYFUNCTION("""COMPUTED_VALUE"""),"| 5 L CPT % | 6 L PHP-CGM % | 7 P JAVA % | 9 P Python % ")</f>
        <v xml:space="preserve">| 5 L CPT % | 6 L PHP-CGM % | 7 P JAVA % | 9 P Python % </v>
      </c>
      <c r="AM618" s="4" t="str">
        <f ca="1">IFERROR(__xludf.DUMMYFUNCTION("""COMPUTED_VALUE"""),"| 5 L NS % | 6 L CPT % | 9 P JAVA % ")</f>
        <v xml:space="preserve">| 5 L NS % | 6 L CPT % | 9 P JAVA % </v>
      </c>
      <c r="AN618" s="4" t="str">
        <f ca="1">IFERROR(__xludf.DUMMYFUNCTION("""COMPUTED_VALUE"""),"| 5 L NS % | 6 L JAVA % ")</f>
        <v xml:space="preserve">| 5 L NS % | 6 L JAVA % </v>
      </c>
      <c r="AO618" s="4" t="str">
        <f ca="1">IFERROR(__xludf.DUMMYFUNCTION("""COMPUTED_VALUE"""),"| 1 L PHP-CGM % | 6 L JAVA % | 9 L INE @ ")</f>
        <v xml:space="preserve">| 1 L PHP-CGM % | 6 L JAVA % | 9 L INE @ </v>
      </c>
      <c r="AP618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Q618" s="4" t="str">
        <f ca="1">IFERROR(__xludf.DUMMYFUNCTION("""COMPUTED_VALUE"""),"| 5 L CPT % | 6 L PHP-CGM % ")</f>
        <v xml:space="preserve">| 5 L CPT % | 6 L PHP-CGM % </v>
      </c>
      <c r="AR618" s="4" t="str">
        <f ca="1">IFERROR(__xludf.DUMMYFUNCTION("""COMPUTED_VALUE"""),"| 5 L NS @ | 6 L CPT @ | 7 P PRO @ ")</f>
        <v xml:space="preserve">| 5 L NS @ | 6 L CPT @ | 7 P PRO @ </v>
      </c>
      <c r="AS618" s="4" t="str">
        <f ca="1">IFERROR(__xludf.DUMMYFUNCTION("""COMPUTED_VALUE"""),"| 1 L PHP-CGM % | 6 L JAVA % | 7 P Python % | 9 L INE % ")</f>
        <v xml:space="preserve">| 1 L PHP-CGM % | 6 L JAVA % | 7 P Python % | 9 L INE % </v>
      </c>
      <c r="AT618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18" s="4" t="str">
        <f ca="1">IFERROR(__xludf.DUMMYFUNCTION("""COMPUTED_VALUE"""),"| 5 L CPT % | 6 L PHP-CGM % | 7 P JAVA % | 9 P Python % ")</f>
        <v xml:space="preserve">| 5 L CPT % | 6 L PHP-CGM % | 7 P JAVA % | 9 P Python % </v>
      </c>
      <c r="AV618" s="4" t="str">
        <f ca="1">IFERROR(__xludf.DUMMYFUNCTION("""COMPUTED_VALUE"""),"| 5 L NS % | 6 L CPT % | 7 P PRO % | 9 P NS % ")</f>
        <v xml:space="preserve">| 5 L NS % | 6 L CPT % | 7 P PRO % | 9 P NS % </v>
      </c>
      <c r="AW618" s="4" t="str">
        <f ca="1">IFERROR(__xludf.DUMMYFUNCTION("""COMPUTED_VALUE"""),"| 5 L NS % | 6 L JAVA % | 7 P PHP-CGM % | 9 P JAVA @ ")</f>
        <v xml:space="preserve">| 5 L NS % | 6 L JAVA % | 7 P PHP-CGM % | 9 P JAVA @ </v>
      </c>
      <c r="AX618" s="4" t="str">
        <f ca="1">IFERROR(__xludf.DUMMYFUNCTION("""COMPUTED_VALUE"""),"| 1 L PHP-CGM % | 6 L JAVA % | 7 P Python % | 9 L INE % ")</f>
        <v xml:space="preserve">| 1 L PHP-CGM % | 6 L JAVA % | 7 P Python % | 9 L INE % </v>
      </c>
      <c r="AY618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8" s="4" t="str">
        <f ca="1">IFERROR(__xludf.DUMMYFUNCTION("""COMPUTED_VALUE"""),"| 5 L NS % | 6 L CPT % | 7 P PRO % | 9 P NS % ")</f>
        <v xml:space="preserve">| 5 L NS % | 6 L CPT % | 7 P PRO % | 9 P NS % </v>
      </c>
      <c r="BA618" s="4" t="str">
        <f ca="1">IFERROR(__xludf.DUMMYFUNCTION("""COMPUTED_VALUE"""),"| 5 L NS % | 6 L JAVA % ")</f>
        <v xml:space="preserve">| 5 L NS % | 6 L JAVA % </v>
      </c>
      <c r="BB618" s="4" t="str">
        <f ca="1">IFERROR(__xludf.DUMMYFUNCTION("""COMPUTED_VALUE"""),"| 1 L PHP-CGM % | 6 L JAVA % | 7 P Python % | 9 L INE @ ")</f>
        <v xml:space="preserve">| 1 L PHP-CGM % | 6 L JAVA % | 7 P Python % | 9 L INE @ </v>
      </c>
      <c r="BC618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18" s="4" t="str">
        <f ca="1">IFERROR(__xludf.DUMMYFUNCTION("""COMPUTED_VALUE"""),"| 5 L CPT % | 6 L PHP-CGM % | 7 P JAVA % | 9 P Python % ")</f>
        <v xml:space="preserve">| 5 L CPT % | 6 L PHP-CGM % | 7 P JAVA % | 9 P Python % </v>
      </c>
      <c r="BE618" s="4" t="str">
        <f ca="1">IFERROR(__xludf.DUMMYFUNCTION("""COMPUTED_VALUE"""),"| 5 L NS % | 6 L CPT % | 9 P JAVA % | 7 P PRO % | 9 P NS % ")</f>
        <v xml:space="preserve">| 5 L NS % | 6 L CPT % | 9 P JAVA % | 7 P PRO % | 9 P NS % </v>
      </c>
      <c r="BF618" s="4" t="str">
        <f ca="1">IFERROR(__xludf.DUMMYFUNCTION("""COMPUTED_VALUE"""),"| 5 L NS @ | 6 L JAVA % | 7 P PHP-CGM % | 9 P JAVA % ")</f>
        <v xml:space="preserve">| 5 L NS @ | 6 L JAVA % | 7 P PHP-CGM % | 9 P JAVA % </v>
      </c>
      <c r="BG618" s="4" t="str">
        <f ca="1">IFERROR(__xludf.DUMMYFUNCTION("""COMPUTED_VALUE"""),"| 5 L JAVA % | 6 L NS % | 9 L CPT % | 7 P CPT @ | 10 L PHP-CGM % ")</f>
        <v xml:space="preserve">| 5 L JAVA % | 6 L NS % | 9 L CPT % | 7 P CPT @ | 10 L PHP-CGM % </v>
      </c>
      <c r="BH618" s="4" t="str">
        <f ca="1">IFERROR(__xludf.DUMMYFUNCTION("""COMPUTED_VALUE"""),"| 5 L CPT % | 7 P JAVA % | 6 L PHP-CGM % | 9 P Python % ")</f>
        <v xml:space="preserve">| 5 L CPT % | 7 P JAVA % | 6 L PHP-CGM % | 9 P Python % </v>
      </c>
      <c r="BI618" s="4" t="str">
        <f ca="1">IFERROR(__xludf.DUMMYFUNCTION("""COMPUTED_VALUE"""),"| 5 L NS % | 6 L CPT % | 7 P PRO % | 9 P NS % ")</f>
        <v xml:space="preserve">| 5 L NS % | 6 L CPT % | 7 P PRO % | 9 P NS % </v>
      </c>
      <c r="BJ618" s="4" t="str">
        <f ca="1">IFERROR(__xludf.DUMMYFUNCTION("""COMPUTED_VALUE"""),"| 5 L NS % | 6 L JAVA % | 7 P PHP-CGM @ ")</f>
        <v xml:space="preserve">| 5 L NS % | 6 L JAVA % | 7 P PHP-CGM @ </v>
      </c>
      <c r="BK618" s="4" t="str">
        <f ca="1">IFERROR(__xludf.DUMMYFUNCTION("""COMPUTED_VALUE"""),"| 1 L PHP-CGM % | 6 L JAVA % | 7 P Python % | 9 L INE % ")</f>
        <v xml:space="preserve">| 1 L PHP-CGM % | 6 L JAVA % | 7 P Python % | 9 L INE % </v>
      </c>
      <c r="BL618" s="4" t="str">
        <f ca="1">IFERROR(__xludf.DUMMYFUNCTION("""COMPUTED_VALUE"""),"| 5 L JAVA % | 6 L NS % | 7 P CPT @ | 9 L CPT % | 10 L PHP-CGM % ")</f>
        <v xml:space="preserve">| 5 L JAVA % | 6 L NS % | 7 P CPT @ | 9 L CPT % | 10 L PHP-CGM % </v>
      </c>
      <c r="BM618" s="4" t="str">
        <f ca="1">IFERROR(__xludf.DUMMYFUNCTION("""COMPUTED_VALUE"""),"| 5 L CPT % | 6 L PHP-CGM % | 7 P JAVA % | 9 P Python @ ")</f>
        <v xml:space="preserve">| 5 L CPT % | 6 L PHP-CGM % | 7 P JAVA % | 9 P Python @ </v>
      </c>
      <c r="BN618" s="4" t="str">
        <f ca="1">IFERROR(__xludf.DUMMYFUNCTION("""COMPUTED_VALUE"""),"| 5 L NS % | 6 L CPT % | 7 P PRO % | 9 P NS % ")</f>
        <v xml:space="preserve">| 5 L NS % | 6 L CPT % | 7 P PRO % | 9 P NS % </v>
      </c>
      <c r="BO618" s="4" t="str">
        <f ca="1">IFERROR(__xludf.DUMMYFUNCTION("""COMPUTED_VALUE"""),"| 5 L NS % | 6 L JAVA % ")</f>
        <v xml:space="preserve">| 5 L NS % | 6 L JAVA % </v>
      </c>
      <c r="BP618" s="4" t="str">
        <f ca="1">IFERROR(__xludf.DUMMYFUNCTION("""COMPUTED_VALUE"""),"| 1 L PHP-CGM % | 6 L JAVA % | 9 L INE @ ")</f>
        <v xml:space="preserve">| 1 L PHP-CGM % | 6 L JAVA % | 9 L INE @ </v>
      </c>
      <c r="BQ618" s="4" t="str">
        <f ca="1">IFERROR(__xludf.DUMMYFUNCTION("""COMPUTED_VALUE"""),"| 5 L CPT @ ")</f>
        <v xml:space="preserve">| 5 L CPT @ </v>
      </c>
      <c r="BR618" s="4"/>
      <c r="BS618" s="4" t="str">
        <f ca="1">IFERROR(__xludf.DUMMYFUNCTION("""COMPUTED_VALUE"""),"| 6 L CPT @ ")</f>
        <v xml:space="preserve">| 6 L CPT @ </v>
      </c>
      <c r="BT618" s="4"/>
      <c r="BU618" s="4"/>
      <c r="BV618" s="4" t="str">
        <f ca="1">IFERROR(__xludf.DUMMYFUNCTION("""COMPUTED_VALUE"""),"| 5 L PHP-CGM @ | 6 L JAVA @ ")</f>
        <v xml:space="preserve">| 5 L PHP-CGM @ | 6 L JAVA @ </v>
      </c>
      <c r="BW618" s="4"/>
      <c r="BX618" s="4" t="str">
        <f ca="1">IFERROR(__xludf.DUMMYFUNCTION("""COMPUTED_VALUE"""),"| 5 L CPT % | 7 P JAVA % | 6 L PHP-CGM % ")</f>
        <v xml:space="preserve">| 5 L CPT % | 7 P JAVA % | 6 L PHP-CGM % </v>
      </c>
      <c r="BY618" s="4" t="str">
        <f ca="1">IFERROR(__xludf.DUMMYFUNCTION("""COMPUTED_VALUE"""),"| 5 L NS % | 6 L CPT % | 7 P PRO % | 9 P NS @ ")</f>
        <v xml:space="preserve">| 5 L NS % | 6 L CPT % | 7 P PRO % | 9 P NS @ </v>
      </c>
      <c r="BZ618" s="4" t="str">
        <f ca="1">IFERROR(__xludf.DUMMYFUNCTION("""COMPUTED_VALUE"""),"| 5 L NS % | 6 L JAVA % | 7 P PHP-CGM @ ")</f>
        <v xml:space="preserve">| 5 L NS % | 6 L JAVA % | 7 P PHP-CGM @ </v>
      </c>
      <c r="CA618" s="4" t="str">
        <f ca="1">IFERROR(__xludf.DUMMYFUNCTION("""COMPUTED_VALUE"""),"| 1 L PHP-CGM % | 6 L JAVA % | 7 P Python % ")</f>
        <v xml:space="preserve">| 1 L PHP-CGM % | 6 L JAVA % | 7 P Python % </v>
      </c>
      <c r="CB618" s="4" t="str">
        <f ca="1">IFERROR(__xludf.DUMMYFUNCTION("""COMPUTED_VALUE"""),"| 5 L JAVA % | 6 L NS % | 7 P CPT @ | 9 L CPT @ | 10 L PHP-CGM @ ")</f>
        <v xml:space="preserve">| 5 L JAVA % | 6 L NS % | 7 P CPT @ | 9 L CPT @ | 10 L PHP-CGM @ </v>
      </c>
      <c r="CC618" s="4" t="str">
        <f ca="1">IFERROR(__xludf.DUMMYFUNCTION("""COMPUTED_VALUE"""),"| 5 L CPT % | 6 L PHP-CGM % | 7 P JAVA @ | 9 P Python @ ")</f>
        <v xml:space="preserve">| 5 L CPT % | 6 L PHP-CGM % | 7 P JAVA @ | 9 P Python @ </v>
      </c>
      <c r="CD618" s="4" t="str">
        <f ca="1">IFERROR(__xludf.DUMMYFUNCTION("""COMPUTED_VALUE"""),"| 5 L NS @ | 6 L CPT @ | 7 P PRO % ")</f>
        <v xml:space="preserve">| 5 L NS @ | 6 L CPT @ | 7 P PRO % </v>
      </c>
      <c r="CE618" s="4" t="str">
        <f ca="1">IFERROR(__xludf.DUMMYFUNCTION("""COMPUTED_VALUE"""),"| 5 L NS @ | 6 L JAVA @ | 7 P PHP-CGM @ | 9 P JAVA @ ")</f>
        <v xml:space="preserve">| 5 L NS @ | 6 L JAVA @ | 7 P PHP-CGM @ | 9 P JAVA @ </v>
      </c>
      <c r="CF618" s="4" t="str">
        <f ca="1">IFERROR(__xludf.DUMMYFUNCTION("""COMPUTED_VALUE"""),"| 5 L PHP-CGM % | 6 L JAVA % | 7 P Python % | 9 L INE % ")</f>
        <v xml:space="preserve">| 5 L PHP-CGM % | 6 L JAVA % | 7 P Python % | 9 L INE % </v>
      </c>
      <c r="CG618" s="4" t="str">
        <f ca="1">IFERROR(__xludf.DUMMYFUNCTION("""COMPUTED_VALUE"""),"| 5 L JAVA % | 6 L NS @ ")</f>
        <v xml:space="preserve">| 5 L JAVA % | 6 L NS @ </v>
      </c>
      <c r="CH618" s="4" t="str">
        <f ca="1">IFERROR(__xludf.DUMMYFUNCTION("""COMPUTED_VALUE"""),"| 5 L CPT % | 9 P Python % ")</f>
        <v xml:space="preserve">| 5 L CPT % | 9 P Python % </v>
      </c>
      <c r="CI618" s="4" t="str">
        <f ca="1">IFERROR(__xludf.DUMMYFUNCTION("""COMPUTED_VALUE"""),"| 5 L NS @ | 6 L CPT @ | 9 P NS % ")</f>
        <v xml:space="preserve">| 5 L NS @ | 6 L CPT @ | 9 P NS % </v>
      </c>
      <c r="CJ618" s="4" t="str">
        <f ca="1">IFERROR(__xludf.DUMMYFUNCTION("""COMPUTED_VALUE"""),"| 5 L NS @ ")</f>
        <v xml:space="preserve">| 5 L NS @ </v>
      </c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</row>
    <row r="619" spans="1:102" ht="12.5" x14ac:dyDescent="0.25">
      <c r="A619" s="3">
        <f ca="1">IFERROR(__xludf.DUMMYFUNCTION("""COMPUTED_VALUE"""),3)</f>
        <v>3</v>
      </c>
      <c r="B619" s="3" t="str">
        <f ca="1">IFERROR(__xludf.DUMMYFUNCTION("""COMPUTED_VALUE"""),"ITD")</f>
        <v>ITD</v>
      </c>
      <c r="C619" s="32" t="str">
        <f ca="1">IFERROR(__xludf.DUMMYFUNCTION("""COMPUTED_VALUE"""),"23171371113")</f>
        <v>23171371113</v>
      </c>
      <c r="D619" s="4" t="str">
        <f ca="1">IFERROR(__xludf.DUMMYFUNCTION("""COMPUTED_VALUE"""),"PATEL SNEH PIYUSHKUMAR")</f>
        <v>PATEL SNEH PIYUSHKUMAR</v>
      </c>
      <c r="E619" s="3" t="str">
        <f ca="1">IFERROR(__xludf.DUMMYFUNCTION("""COMPUTED_VALUE"""),"SRC - Eve")</f>
        <v>SRC - Eve</v>
      </c>
      <c r="F619" s="3">
        <f ca="1">IFERROR(__xludf.DUMMYFUNCTION("""COMPUTED_VALUE"""),9316755879)</f>
        <v>9316755879</v>
      </c>
      <c r="G619" s="3">
        <f ca="1">IFERROR(__xludf.DUMMYFUNCTION("""COMPUTED_VALUE"""),9574570871)</f>
        <v>9574570871</v>
      </c>
      <c r="H619" s="33">
        <f ca="1">IFERROR(__xludf.DUMMYFUNCTION("""COMPUTED_VALUE"""),0.584474885844748)</f>
        <v>0.58447488584474805</v>
      </c>
      <c r="I619" s="25">
        <f ca="1">IFERROR(__xludf.DUMMYFUNCTION("""COMPUTED_VALUE"""),0.555555555555555)</f>
        <v>0.55555555555555503</v>
      </c>
      <c r="J619" s="25">
        <f ca="1">IFERROR(__xludf.DUMMYFUNCTION("""COMPUTED_VALUE"""),0.6)</f>
        <v>0.6</v>
      </c>
      <c r="K619" s="25">
        <f ca="1">IFERROR(__xludf.DUMMYFUNCTION("""COMPUTED_VALUE"""),0.527777777777777)</f>
        <v>0.52777777777777701</v>
      </c>
      <c r="L619" s="25">
        <f ca="1">IFERROR(__xludf.DUMMYFUNCTION("""COMPUTED_VALUE"""),0.5)</f>
        <v>0.5</v>
      </c>
      <c r="M619" s="25">
        <f ca="1">IFERROR(__xludf.DUMMYFUNCTION("""COMPUTED_VALUE"""),0.625)</f>
        <v>0.625</v>
      </c>
      <c r="N619" s="25">
        <f ca="1">IFERROR(__xludf.DUMMYFUNCTION("""COMPUTED_VALUE"""),0.5)</f>
        <v>0.5</v>
      </c>
      <c r="O619" s="25">
        <f ca="1">IFERROR(__xludf.DUMMYFUNCTION("""COMPUTED_VALUE"""),0.647058823529411)</f>
        <v>0.64705882352941102</v>
      </c>
      <c r="P619" s="25">
        <f ca="1">IFERROR(__xludf.DUMMYFUNCTION("""COMPUTED_VALUE"""),0.470588235294117)</f>
        <v>0.47058823529411697</v>
      </c>
      <c r="Q619" s="25">
        <f ca="1">IFERROR(__xludf.DUMMYFUNCTION("""COMPUTED_VALUE"""),0)</f>
        <v>0</v>
      </c>
      <c r="R619" s="25">
        <f ca="1">IFERROR(__xludf.DUMMYFUNCTION("""COMPUTED_VALUE"""),0.777777777777777)</f>
        <v>0.77777777777777701</v>
      </c>
      <c r="S619" s="25">
        <f ca="1">IFERROR(__xludf.DUMMYFUNCTION("""COMPUTED_VALUE"""),0)</f>
        <v>0</v>
      </c>
      <c r="T619" s="25">
        <f ca="1">IFERROR(__xludf.DUMMYFUNCTION("""COMPUTED_VALUE"""),0.636363636363636)</f>
        <v>0.63636363636363602</v>
      </c>
      <c r="U619" s="25">
        <f ca="1">IFERROR(__xludf.DUMMYFUNCTION("""COMPUTED_VALUE"""),0.428571428571428)</f>
        <v>0.42857142857142799</v>
      </c>
      <c r="V619" s="25">
        <f ca="1">IFERROR(__xludf.DUMMYFUNCTION("""COMPUTED_VALUE"""),0)</f>
        <v>0</v>
      </c>
      <c r="W619" s="4"/>
      <c r="X619" s="4" t="str">
        <f ca="1">IFERROR(__xludf.DUMMYFUNCTION("""COMPUTED_VALUE"""),"| 1 L PHP-CGM % | 6 L JAVA % | 7 P Python % ")</f>
        <v xml:space="preserve">| 1 L PHP-CGM % | 6 L JAVA % | 7 P Python % </v>
      </c>
      <c r="Y619" s="4" t="str">
        <f ca="1">IFERROR(__xludf.DUMMYFUNCTION("""COMPUTED_VALUE"""),"| 5 L JAVA @ | 6 L NS @ | 7 P CPT @ | 9 L CPT @ | 6 L PHP-CGM % ")</f>
        <v xml:space="preserve">| 5 L JAVA @ | 6 L NS @ | 7 P CPT @ | 9 L CPT @ | 6 L PHP-CGM % </v>
      </c>
      <c r="Z619" s="4" t="str">
        <f ca="1">IFERROR(__xludf.DUMMYFUNCTION("""COMPUTED_VALUE"""),"| 5 L CPT @ | 6 L PHP-CGM @ | 7 P JAVA @ | 9 P Python @ ")</f>
        <v xml:space="preserve">| 5 L CPT @ | 6 L PHP-CGM @ | 7 P JAVA @ | 9 P Python @ </v>
      </c>
      <c r="AA619" s="4" t="str">
        <f ca="1">IFERROR(__xludf.DUMMYFUNCTION("""COMPUTED_VALUE"""),"| 5 L NS @ | 6 L CPT @ | 7 P PRO @ | 9 P NS @ ")</f>
        <v xml:space="preserve">| 5 L NS @ | 6 L CPT @ | 7 P PRO @ | 9 P NS @ </v>
      </c>
      <c r="AB619" s="4" t="str">
        <f ca="1">IFERROR(__xludf.DUMMYFUNCTION("""COMPUTED_VALUE"""),"| 5 L NS @ | 6 L JAVA @ | 7 P PHP-CGM @ | 9 P JAVA @ ")</f>
        <v xml:space="preserve">| 5 L NS @ | 6 L JAVA @ | 7 P PHP-CGM @ | 9 P JAVA @ </v>
      </c>
      <c r="AC619" s="4" t="str">
        <f ca="1">IFERROR(__xludf.DUMMYFUNCTION("""COMPUTED_VALUE"""),"| 1 L PHP-CGM % | 6 L JAVA % | 7 P Python % ")</f>
        <v xml:space="preserve">| 1 L PHP-CGM % | 6 L JAVA % | 7 P Python % </v>
      </c>
      <c r="AD619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19" s="4" t="str">
        <f ca="1">IFERROR(__xludf.DUMMYFUNCTION("""COMPUTED_VALUE"""),"| 5 L CPT % | 6 L PHP-CGM % | 7 P JAVA @ | 9 P Python % ")</f>
        <v xml:space="preserve">| 5 L CPT % | 6 L PHP-CGM % | 7 P JAVA @ | 9 P Python % </v>
      </c>
      <c r="AF619" s="4" t="str">
        <f ca="1">IFERROR(__xludf.DUMMYFUNCTION("""COMPUTED_VALUE"""),"| 5 L NS @ | 6 L CPT % | 7 P PRO % | 9 P NS % ")</f>
        <v xml:space="preserve">| 5 L NS @ | 6 L CPT % | 7 P PRO % | 9 P NS % </v>
      </c>
      <c r="AG619" s="4" t="str">
        <f ca="1">IFERROR(__xludf.DUMMYFUNCTION("""COMPUTED_VALUE"""),"| 5 L NS % | 6 L JAVA % | 7 P PHP-CGM @ | 9 P JAVA @ ")</f>
        <v xml:space="preserve">| 5 L NS % | 6 L JAVA % | 7 P PHP-CGM @ | 9 P JAVA @ </v>
      </c>
      <c r="AH619" s="4" t="str">
        <f ca="1">IFERROR(__xludf.DUMMYFUNCTION("""COMPUTED_VALUE"""),"| 5 L NS % | 6 L CPT % | 7 P PRO % | 9 P NS @ ")</f>
        <v xml:space="preserve">| 5 L NS % | 6 L CPT % | 7 P PRO % | 9 P NS @ </v>
      </c>
      <c r="AI619" s="4" t="str">
        <f ca="1">IFERROR(__xludf.DUMMYFUNCTION("""COMPUTED_VALUE"""),"| 5 L NS % | 6 L JAVA % | 7 P PHP-CGM % | 9 P JAVA @ ")</f>
        <v xml:space="preserve">| 5 L NS % | 6 L JAVA % | 7 P PHP-CGM % | 9 P JAVA @ </v>
      </c>
      <c r="AJ619" s="4" t="str">
        <f ca="1">IFERROR(__xludf.DUMMYFUNCTION("""COMPUTED_VALUE"""),"| 1 L PHP-CGM % | 6 L JAVA % | 7 P Python % ")</f>
        <v xml:space="preserve">| 1 L PHP-CGM % | 6 L JAVA % | 7 P Python % </v>
      </c>
      <c r="AK619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L619" s="4" t="str">
        <f ca="1">IFERROR(__xludf.DUMMYFUNCTION("""COMPUTED_VALUE"""),"| 5 L CPT % | 6 L PHP-CGM % | 7 P JAVA % | 9 P Python % ")</f>
        <v xml:space="preserve">| 5 L CPT % | 6 L PHP-CGM % | 7 P JAVA % | 9 P Python % </v>
      </c>
      <c r="AM619" s="4" t="str">
        <f ca="1">IFERROR(__xludf.DUMMYFUNCTION("""COMPUTED_VALUE"""),"| 5 L NS % | 6 L CPT % | 9 P JAVA % ")</f>
        <v xml:space="preserve">| 5 L NS % | 6 L CPT % | 9 P JAVA % </v>
      </c>
      <c r="AN619" s="4" t="str">
        <f ca="1">IFERROR(__xludf.DUMMYFUNCTION("""COMPUTED_VALUE"""),"| 5 L NS @ | 6 L JAVA @ ")</f>
        <v xml:space="preserve">| 5 L NS @ | 6 L JAVA @ </v>
      </c>
      <c r="AO619" s="4" t="str">
        <f ca="1">IFERROR(__xludf.DUMMYFUNCTION("""COMPUTED_VALUE"""),"| 1 L PHP-CGM @ | 6 L JAVA @ | 9 L INE @ ")</f>
        <v xml:space="preserve">| 1 L PHP-CGM @ | 6 L JAVA @ | 9 L INE @ </v>
      </c>
      <c r="AP619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19" s="4" t="str">
        <f ca="1">IFERROR(__xludf.DUMMYFUNCTION("""COMPUTED_VALUE"""),"| 5 L CPT % | 6 L PHP-CGM % ")</f>
        <v xml:space="preserve">| 5 L CPT % | 6 L PHP-CGM % </v>
      </c>
      <c r="AR619" s="4" t="str">
        <f ca="1">IFERROR(__xludf.DUMMYFUNCTION("""COMPUTED_VALUE"""),"| 5 L NS @ | 6 L CPT @ | 7 P PRO @ ")</f>
        <v xml:space="preserve">| 5 L NS @ | 6 L CPT @ | 7 P PRO @ </v>
      </c>
      <c r="AS619" s="4" t="str">
        <f ca="1">IFERROR(__xludf.DUMMYFUNCTION("""COMPUTED_VALUE"""),"| 1 L PHP-CGM % | 6 L JAVA % | 7 P Python % | 9 L INE @ ")</f>
        <v xml:space="preserve">| 1 L PHP-CGM % | 6 L JAVA % | 7 P Python % | 9 L INE @ </v>
      </c>
      <c r="AT619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19" s="4" t="str">
        <f ca="1">IFERROR(__xludf.DUMMYFUNCTION("""COMPUTED_VALUE"""),"| 5 L CPT % | 6 L PHP-CGM % | 7 P JAVA % | 9 P Python % ")</f>
        <v xml:space="preserve">| 5 L CPT % | 6 L PHP-CGM % | 7 P JAVA % | 9 P Python % </v>
      </c>
      <c r="AV619" s="4" t="str">
        <f ca="1">IFERROR(__xludf.DUMMYFUNCTION("""COMPUTED_VALUE"""),"| 5 L NS % | 6 L CPT % | 7 P PRO % | 9 P NS % ")</f>
        <v xml:space="preserve">| 5 L NS % | 6 L CPT % | 7 P PRO % | 9 P NS % </v>
      </c>
      <c r="AW619" s="4" t="str">
        <f ca="1">IFERROR(__xludf.DUMMYFUNCTION("""COMPUTED_VALUE"""),"| 5 L NS % | 6 L JAVA % | 7 P PHP-CGM % | 9 P JAVA @ ")</f>
        <v xml:space="preserve">| 5 L NS % | 6 L JAVA % | 7 P PHP-CGM % | 9 P JAVA @ </v>
      </c>
      <c r="AX619" s="4" t="str">
        <f ca="1">IFERROR(__xludf.DUMMYFUNCTION("""COMPUTED_VALUE"""),"| 1 L PHP-CGM % | 6 L JAVA % | 7 P Python % | 9 L INE % ")</f>
        <v xml:space="preserve">| 1 L PHP-CGM % | 6 L JAVA % | 7 P Python % | 9 L INE % </v>
      </c>
      <c r="AY619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19" s="4" t="str">
        <f ca="1">IFERROR(__xludf.DUMMYFUNCTION("""COMPUTED_VALUE"""),"| 5 L NS % | 6 L CPT % | 7 P PRO % | 9 P NS % ")</f>
        <v xml:space="preserve">| 5 L NS % | 6 L CPT % | 7 P PRO % | 9 P NS % </v>
      </c>
      <c r="BA619" s="4" t="str">
        <f ca="1">IFERROR(__xludf.DUMMYFUNCTION("""COMPUTED_VALUE"""),"| 5 L NS % | 6 L JAVA % ")</f>
        <v xml:space="preserve">| 5 L NS % | 6 L JAVA % </v>
      </c>
      <c r="BB619" s="4" t="str">
        <f ca="1">IFERROR(__xludf.DUMMYFUNCTION("""COMPUTED_VALUE"""),"| 1 L PHP-CGM % | 6 L JAVA % | 7 P Python % | 9 L INE % ")</f>
        <v xml:space="preserve">| 1 L PHP-CGM % | 6 L JAVA % | 7 P Python % | 9 L INE % </v>
      </c>
      <c r="BC619" s="4" t="str">
        <f ca="1">IFERROR(__xludf.DUMMYFUNCTION("""COMPUTED_VALUE"""),"| 5 L JAVA @ | 6 L NS @ | 7 P CPT @ | 10 L PHP-CGM @ | 9 L CPT @ ")</f>
        <v xml:space="preserve">| 5 L JAVA @ | 6 L NS @ | 7 P CPT @ | 10 L PHP-CGM @ | 9 L CPT @ </v>
      </c>
      <c r="BD619" s="4" t="str">
        <f ca="1">IFERROR(__xludf.DUMMYFUNCTION("""COMPUTED_VALUE"""),"| 5 L CPT % | 6 L PHP-CGM % | 7 P JAVA % | 9 P Python % ")</f>
        <v xml:space="preserve">| 5 L CPT % | 6 L PHP-CGM % | 7 P JAVA % | 9 P Python % </v>
      </c>
      <c r="BE619" s="4" t="str">
        <f ca="1">IFERROR(__xludf.DUMMYFUNCTION("""COMPUTED_VALUE"""),"| 5 L NS % | 6 L CPT % | 9 P JAVA % | 7 P PRO % | 9 P NS % ")</f>
        <v xml:space="preserve">| 5 L NS % | 6 L CPT % | 9 P JAVA % | 7 P PRO % | 9 P NS % </v>
      </c>
      <c r="BF619" s="4" t="str">
        <f ca="1">IFERROR(__xludf.DUMMYFUNCTION("""COMPUTED_VALUE"""),"| 5 L NS @ | 6 L JAVA % | 7 P PHP-CGM % | 9 P JAVA % ")</f>
        <v xml:space="preserve">| 5 L NS @ | 6 L JAVA % | 7 P PHP-CGM % | 9 P JAVA % </v>
      </c>
      <c r="BG619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19" s="4" t="str">
        <f ca="1">IFERROR(__xludf.DUMMYFUNCTION("""COMPUTED_VALUE"""),"| 5 L CPT % | 7 P JAVA % | 6 L PHP-CGM % | 9 P Python % ")</f>
        <v xml:space="preserve">| 5 L CPT % | 7 P JAVA % | 6 L PHP-CGM % | 9 P Python % </v>
      </c>
      <c r="BI619" s="4" t="str">
        <f ca="1">IFERROR(__xludf.DUMMYFUNCTION("""COMPUTED_VALUE"""),"| 5 L NS % | 6 L CPT % | 7 P PRO % | 9 P NS @ ")</f>
        <v xml:space="preserve">| 5 L NS % | 6 L CPT % | 7 P PRO % | 9 P NS @ </v>
      </c>
      <c r="BJ619" s="4" t="str">
        <f ca="1">IFERROR(__xludf.DUMMYFUNCTION("""COMPUTED_VALUE"""),"| 5 L NS % | 6 L JAVA % | 7 P PHP-CGM @ ")</f>
        <v xml:space="preserve">| 5 L NS % | 6 L JAVA % | 7 P PHP-CGM @ </v>
      </c>
      <c r="BK619" s="4" t="str">
        <f ca="1">IFERROR(__xludf.DUMMYFUNCTION("""COMPUTED_VALUE"""),"| 1 L PHP-CGM @ | 6 L JAVA @ | 7 P Python @ | 9 L INE @ ")</f>
        <v xml:space="preserve">| 1 L PHP-CGM @ | 6 L JAVA @ | 7 P Python @ | 9 L INE @ </v>
      </c>
      <c r="BL619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19" s="4" t="str">
        <f ca="1">IFERROR(__xludf.DUMMYFUNCTION("""COMPUTED_VALUE"""),"| 5 L CPT @ | 6 L PHP-CGM @ | 7 P JAVA @ | 9 P Python @ ")</f>
        <v xml:space="preserve">| 5 L CPT @ | 6 L PHP-CGM @ | 7 P JAVA @ | 9 P Python @ </v>
      </c>
      <c r="BN619" s="4" t="str">
        <f ca="1">IFERROR(__xludf.DUMMYFUNCTION("""COMPUTED_VALUE"""),"| 5 L NS @ | 6 L CPT @ | 7 P PRO @ | 9 P NS @ ")</f>
        <v xml:space="preserve">| 5 L NS @ | 6 L CPT @ | 7 P PRO @ | 9 P NS @ </v>
      </c>
      <c r="BO619" s="4" t="str">
        <f ca="1">IFERROR(__xludf.DUMMYFUNCTION("""COMPUTED_VALUE"""),"| 5 L NS @ | 6 L JAVA @ ")</f>
        <v xml:space="preserve">| 5 L NS @ | 6 L JAVA @ </v>
      </c>
      <c r="BP619" s="4" t="str">
        <f ca="1">IFERROR(__xludf.DUMMYFUNCTION("""COMPUTED_VALUE"""),"| 1 L PHP-CGM @ | 6 L JAVA @ | 9 L INE @ ")</f>
        <v xml:space="preserve">| 1 L PHP-CGM @ | 6 L JAVA @ | 9 L INE @ </v>
      </c>
      <c r="BQ619" s="4" t="str">
        <f ca="1">IFERROR(__xludf.DUMMYFUNCTION("""COMPUTED_VALUE"""),"| 5 L CPT @ ")</f>
        <v xml:space="preserve">| 5 L CPT @ </v>
      </c>
      <c r="BR619" s="4"/>
      <c r="BS619" s="4" t="str">
        <f ca="1">IFERROR(__xludf.DUMMYFUNCTION("""COMPUTED_VALUE"""),"| 6 L CPT % ")</f>
        <v xml:space="preserve">| 6 L CPT % </v>
      </c>
      <c r="BT619" s="4"/>
      <c r="BU619" s="4"/>
      <c r="BV619" s="4" t="str">
        <f ca="1">IFERROR(__xludf.DUMMYFUNCTION("""COMPUTED_VALUE"""),"| 5 L PHP-CGM @ | 6 L JAVA @ ")</f>
        <v xml:space="preserve">| 5 L PHP-CGM @ | 6 L JAVA @ </v>
      </c>
      <c r="BW619" s="4"/>
      <c r="BX619" s="4" t="str">
        <f ca="1">IFERROR(__xludf.DUMMYFUNCTION("""COMPUTED_VALUE"""),"| 5 L CPT @ | 7 P JAVA @ | 6 L PHP-CGM @ ")</f>
        <v xml:space="preserve">| 5 L CPT @ | 7 P JAVA @ | 6 L PHP-CGM @ </v>
      </c>
      <c r="BY619" s="4" t="str">
        <f ca="1">IFERROR(__xludf.DUMMYFUNCTION("""COMPUTED_VALUE"""),"| 5 L NS @ | 6 L CPT @ | 7 P PRO @ | 9 P NS @ ")</f>
        <v xml:space="preserve">| 5 L NS @ | 6 L CPT @ | 7 P PRO @ | 9 P NS @ </v>
      </c>
      <c r="BZ619" s="4" t="str">
        <f ca="1">IFERROR(__xludf.DUMMYFUNCTION("""COMPUTED_VALUE"""),"| 5 L NS @ | 6 L JAVA @ | 7 P PHP-CGM @ ")</f>
        <v xml:space="preserve">| 5 L NS @ | 6 L JAVA @ | 7 P PHP-CGM @ </v>
      </c>
      <c r="CA619" s="4" t="str">
        <f ca="1">IFERROR(__xludf.DUMMYFUNCTION("""COMPUTED_VALUE"""),"| 1 L PHP-CGM % | 6 L JAVA % | 7 P Python % ")</f>
        <v xml:space="preserve">| 1 L PHP-CGM % | 6 L JAVA % | 7 P Python % </v>
      </c>
      <c r="CB619" s="4" t="str">
        <f ca="1">IFERROR(__xludf.DUMMYFUNCTION("""COMPUTED_VALUE"""),"| 5 L JAVA % | 6 L NS % | 7 P CPT % | 9 L CPT % | 10 L PHP-CGM % ")</f>
        <v xml:space="preserve">| 5 L JAVA % | 6 L NS % | 7 P CPT % | 9 L CPT % | 10 L PHP-CGM % </v>
      </c>
      <c r="CC619" s="4" t="str">
        <f ca="1">IFERROR(__xludf.DUMMYFUNCTION("""COMPUTED_VALUE"""),"| 5 L CPT @ | 6 L PHP-CGM @ | 7 P JAVA @ | 9 P Python @ ")</f>
        <v xml:space="preserve">| 5 L CPT @ | 6 L PHP-CGM @ | 7 P JAVA @ | 9 P Python @ </v>
      </c>
      <c r="CD619" s="4" t="str">
        <f ca="1">IFERROR(__xludf.DUMMYFUNCTION("""COMPUTED_VALUE"""),"| 5 L NS @ | 6 L CPT @ | 7 P PRO % ")</f>
        <v xml:space="preserve">| 5 L NS @ | 6 L CPT @ | 7 P PRO % </v>
      </c>
      <c r="CE619" s="4" t="str">
        <f ca="1">IFERROR(__xludf.DUMMYFUNCTION("""COMPUTED_VALUE"""),"| 5 L NS @ | 6 L JAVA @ | 7 P PHP-CGM % | 9 P JAVA % ")</f>
        <v xml:space="preserve">| 5 L NS @ | 6 L JAVA @ | 7 P PHP-CGM % | 9 P JAVA % </v>
      </c>
      <c r="CF619" s="4" t="str">
        <f ca="1">IFERROR(__xludf.DUMMYFUNCTION("""COMPUTED_VALUE"""),"| 5 L PHP-CGM @ | 6 L JAVA % | 7 P Python % | 9 L INE % ")</f>
        <v xml:space="preserve">| 5 L PHP-CGM @ | 6 L JAVA % | 7 P Python % | 9 L INE % </v>
      </c>
      <c r="CG619" s="4" t="str">
        <f ca="1">IFERROR(__xludf.DUMMYFUNCTION("""COMPUTED_VALUE"""),"| 5 L JAVA % | 6 L NS % ")</f>
        <v xml:space="preserve">| 5 L JAVA % | 6 L NS % </v>
      </c>
      <c r="CH619" s="4" t="str">
        <f ca="1">IFERROR(__xludf.DUMMYFUNCTION("""COMPUTED_VALUE"""),"| 5 L CPT @ | 9 P Python % ")</f>
        <v xml:space="preserve">| 5 L CPT @ | 9 P Python % </v>
      </c>
      <c r="CI619" s="4" t="str">
        <f ca="1">IFERROR(__xludf.DUMMYFUNCTION("""COMPUTED_VALUE"""),"| 5 L NS @ | 6 L CPT @ | 9 P NS % ")</f>
        <v xml:space="preserve">| 5 L NS @ | 6 L CPT @ | 9 P NS % </v>
      </c>
      <c r="CJ619" s="4" t="str">
        <f ca="1">IFERROR(__xludf.DUMMYFUNCTION("""COMPUTED_VALUE"""),"| 5 L NS @ ")</f>
        <v xml:space="preserve">| 5 L NS @ </v>
      </c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</row>
    <row r="620" spans="1:102" ht="12.5" x14ac:dyDescent="0.25">
      <c r="A620" s="3">
        <f ca="1">IFERROR(__xludf.DUMMYFUNCTION("""COMPUTED_VALUE"""),3)</f>
        <v>3</v>
      </c>
      <c r="B620" s="3" t="str">
        <f ca="1">IFERROR(__xludf.DUMMYFUNCTION("""COMPUTED_VALUE"""),"ITD")</f>
        <v>ITD</v>
      </c>
      <c r="C620" s="32" t="str">
        <f ca="1">IFERROR(__xludf.DUMMYFUNCTION("""COMPUTED_VALUE"""),"23171371117")</f>
        <v>23171371117</v>
      </c>
      <c r="D620" s="4" t="str">
        <f ca="1">IFERROR(__xludf.DUMMYFUNCTION("""COMPUTED_VALUE"""),"PATEL UTSAV DIPAK")</f>
        <v>PATEL UTSAV DIPAK</v>
      </c>
      <c r="E620" s="3" t="str">
        <f ca="1">IFERROR(__xludf.DUMMYFUNCTION("""COMPUTED_VALUE"""),"SRC - Eve")</f>
        <v>SRC - Eve</v>
      </c>
      <c r="F620" s="3">
        <f ca="1">IFERROR(__xludf.DUMMYFUNCTION("""COMPUTED_VALUE"""),6352270148)</f>
        <v>6352270148</v>
      </c>
      <c r="G620" s="3">
        <f ca="1">IFERROR(__xludf.DUMMYFUNCTION("""COMPUTED_VALUE"""),9978440473)</f>
        <v>9978440473</v>
      </c>
      <c r="H620" s="33">
        <f ca="1">IFERROR(__xludf.DUMMYFUNCTION("""COMPUTED_VALUE"""),0.552511415525114)</f>
        <v>0.55251141552511396</v>
      </c>
      <c r="I620" s="25">
        <f ca="1">IFERROR(__xludf.DUMMYFUNCTION("""COMPUTED_VALUE"""),0.472222222222222)</f>
        <v>0.47222222222222199</v>
      </c>
      <c r="J620" s="25">
        <f ca="1">IFERROR(__xludf.DUMMYFUNCTION("""COMPUTED_VALUE"""),0.6)</f>
        <v>0.6</v>
      </c>
      <c r="K620" s="25">
        <f ca="1">IFERROR(__xludf.DUMMYFUNCTION("""COMPUTED_VALUE"""),0.611111111111111)</f>
        <v>0.61111111111111105</v>
      </c>
      <c r="L620" s="25">
        <f ca="1">IFERROR(__xludf.DUMMYFUNCTION("""COMPUTED_VALUE"""),0.7)</f>
        <v>0.7</v>
      </c>
      <c r="M620" s="25">
        <f ca="1">IFERROR(__xludf.DUMMYFUNCTION("""COMPUTED_VALUE"""),0.53125)</f>
        <v>0.53125</v>
      </c>
      <c r="N620" s="25">
        <f ca="1">IFERROR(__xludf.DUMMYFUNCTION("""COMPUTED_VALUE"""),0.375)</f>
        <v>0.375</v>
      </c>
      <c r="O620" s="25">
        <f ca="1">IFERROR(__xludf.DUMMYFUNCTION("""COMPUTED_VALUE"""),0.588235294117647)</f>
        <v>0.58823529411764697</v>
      </c>
      <c r="P620" s="25">
        <f ca="1">IFERROR(__xludf.DUMMYFUNCTION("""COMPUTED_VALUE"""),0.411764705882352)</f>
        <v>0.41176470588235198</v>
      </c>
      <c r="Q620" s="25">
        <f ca="1">IFERROR(__xludf.DUMMYFUNCTION("""COMPUTED_VALUE"""),0)</f>
        <v>0</v>
      </c>
      <c r="R620" s="25">
        <f ca="1">IFERROR(__xludf.DUMMYFUNCTION("""COMPUTED_VALUE"""),0.555555555555555)</f>
        <v>0.55555555555555503</v>
      </c>
      <c r="S620" s="25">
        <f ca="1">IFERROR(__xludf.DUMMYFUNCTION("""COMPUTED_VALUE"""),0)</f>
        <v>0</v>
      </c>
      <c r="T620" s="25">
        <f ca="1">IFERROR(__xludf.DUMMYFUNCTION("""COMPUTED_VALUE"""),0.818181818181818)</f>
        <v>0.81818181818181801</v>
      </c>
      <c r="U620" s="25">
        <f ca="1">IFERROR(__xludf.DUMMYFUNCTION("""COMPUTED_VALUE"""),0.428571428571428)</f>
        <v>0.42857142857142799</v>
      </c>
      <c r="V620" s="25">
        <f ca="1">IFERROR(__xludf.DUMMYFUNCTION("""COMPUTED_VALUE"""),0)</f>
        <v>0</v>
      </c>
      <c r="W620" s="4"/>
      <c r="X620" s="4" t="str">
        <f ca="1">IFERROR(__xludf.DUMMYFUNCTION("""COMPUTED_VALUE"""),"| 1 L PHP-CGM % | 6 L JAVA % | 7 P Python % ")</f>
        <v xml:space="preserve">| 1 L PHP-CGM % | 6 L JAVA % | 7 P Python % </v>
      </c>
      <c r="Y620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20" s="4" t="str">
        <f ca="1">IFERROR(__xludf.DUMMYFUNCTION("""COMPUTED_VALUE"""),"| 5 L CPT @ | 6 L PHP-CGM @ | 7 P JAVA @ | 9 P Python @ ")</f>
        <v xml:space="preserve">| 5 L CPT @ | 6 L PHP-CGM @ | 7 P JAVA @ | 9 P Python @ </v>
      </c>
      <c r="AA620" s="4" t="str">
        <f ca="1">IFERROR(__xludf.DUMMYFUNCTION("""COMPUTED_VALUE"""),"| 5 L NS @ | 6 L CPT @ | 7 P PRO @ | 9 P NS @ ")</f>
        <v xml:space="preserve">| 5 L NS @ | 6 L CPT @ | 7 P PRO @ | 9 P NS @ </v>
      </c>
      <c r="AB620" s="4" t="str">
        <f ca="1">IFERROR(__xludf.DUMMYFUNCTION("""COMPUTED_VALUE"""),"| 5 L NS % | 6 L JAVA % | 7 P PHP-CGM @ | 9 P JAVA @ ")</f>
        <v xml:space="preserve">| 5 L NS % | 6 L JAVA % | 7 P PHP-CGM @ | 9 P JAVA @ </v>
      </c>
      <c r="AC620" s="4" t="str">
        <f ca="1">IFERROR(__xludf.DUMMYFUNCTION("""COMPUTED_VALUE"""),"| 1 L PHP-CGM % | 6 L JAVA % | 7 P Python % ")</f>
        <v xml:space="preserve">| 1 L PHP-CGM % | 6 L JAVA % | 7 P Python % </v>
      </c>
      <c r="AD620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20" s="4" t="str">
        <f ca="1">IFERROR(__xludf.DUMMYFUNCTION("""COMPUTED_VALUE"""),"| 5 L CPT % | 6 L PHP-CGM % | 7 P JAVA @ | 9 P Python @ ")</f>
        <v xml:space="preserve">| 5 L CPT % | 6 L PHP-CGM % | 7 P JAVA @ | 9 P Python @ </v>
      </c>
      <c r="AF620" s="4" t="str">
        <f ca="1">IFERROR(__xludf.DUMMYFUNCTION("""COMPUTED_VALUE"""),"| 5 L NS % | 6 L CPT % | 7 P PRO % | 9 P NS % ")</f>
        <v xml:space="preserve">| 5 L NS % | 6 L CPT % | 7 P PRO % | 9 P NS % </v>
      </c>
      <c r="AG620" s="4" t="str">
        <f ca="1">IFERROR(__xludf.DUMMYFUNCTION("""COMPUTED_VALUE"""),"| 5 L NS % | 6 L JAVA % | 7 P PHP-CGM @ | 9 P JAVA @ ")</f>
        <v xml:space="preserve">| 5 L NS % | 6 L JAVA % | 7 P PHP-CGM @ | 9 P JAVA @ </v>
      </c>
      <c r="AH620" s="4" t="str">
        <f ca="1">IFERROR(__xludf.DUMMYFUNCTION("""COMPUTED_VALUE"""),"| 5 L NS % | 6 L CPT % | 7 P PRO % | 9 P NS @ ")</f>
        <v xml:space="preserve">| 5 L NS % | 6 L CPT % | 7 P PRO % | 9 P NS @ </v>
      </c>
      <c r="AI620" s="4" t="str">
        <f ca="1">IFERROR(__xludf.DUMMYFUNCTION("""COMPUTED_VALUE"""),"| 5 L NS % | 6 L JAVA @ | 7 P PHP-CGM @ | 9 P JAVA @ ")</f>
        <v xml:space="preserve">| 5 L NS % | 6 L JAVA @ | 7 P PHP-CGM @ | 9 P JAVA @ </v>
      </c>
      <c r="AJ620" s="4" t="str">
        <f ca="1">IFERROR(__xludf.DUMMYFUNCTION("""COMPUTED_VALUE"""),"| 1 L PHP-CGM @ | 6 L JAVA @ | 7 P Python @ ")</f>
        <v xml:space="preserve">| 1 L PHP-CGM @ | 6 L JAVA @ | 7 P Python @ </v>
      </c>
      <c r="AK620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AL620" s="4" t="str">
        <f ca="1">IFERROR(__xludf.DUMMYFUNCTION("""COMPUTED_VALUE"""),"| 5 L CPT @ | 6 L PHP-CGM @ | 7 P JAVA @ | 9 P Python @ ")</f>
        <v xml:space="preserve">| 5 L CPT @ | 6 L PHP-CGM @ | 7 P JAVA @ | 9 P Python @ </v>
      </c>
      <c r="AM620" s="4" t="str">
        <f ca="1">IFERROR(__xludf.DUMMYFUNCTION("""COMPUTED_VALUE"""),"| 5 L NS @ | 6 L CPT @ | 9 P JAVA @ ")</f>
        <v xml:space="preserve">| 5 L NS @ | 6 L CPT @ | 9 P JAVA @ </v>
      </c>
      <c r="AN620" s="4" t="str">
        <f ca="1">IFERROR(__xludf.DUMMYFUNCTION("""COMPUTED_VALUE"""),"| 5 L NS @ | 6 L JAVA @ ")</f>
        <v xml:space="preserve">| 5 L NS @ | 6 L JAVA @ </v>
      </c>
      <c r="AO620" s="4" t="str">
        <f ca="1">IFERROR(__xludf.DUMMYFUNCTION("""COMPUTED_VALUE"""),"| 1 L PHP-CGM @ | 6 L JAVA @ | 9 L INE @ ")</f>
        <v xml:space="preserve">| 1 L PHP-CGM @ | 6 L JAVA @ | 9 L INE @ </v>
      </c>
      <c r="AP620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20" s="4" t="str">
        <f ca="1">IFERROR(__xludf.DUMMYFUNCTION("""COMPUTED_VALUE"""),"| 5 L CPT % | 6 L PHP-CGM % ")</f>
        <v xml:space="preserve">| 5 L CPT % | 6 L PHP-CGM % </v>
      </c>
      <c r="AR620" s="4" t="str">
        <f ca="1">IFERROR(__xludf.DUMMYFUNCTION("""COMPUTED_VALUE"""),"| 5 L NS % | 6 L CPT @ | 7 P PRO % ")</f>
        <v xml:space="preserve">| 5 L NS % | 6 L CPT @ | 7 P PRO % </v>
      </c>
      <c r="AS620" s="4" t="str">
        <f ca="1">IFERROR(__xludf.DUMMYFUNCTION("""COMPUTED_VALUE"""),"| 1 L PHP-CGM % | 6 L JAVA % | 7 P Python % | 9 L INE % ")</f>
        <v xml:space="preserve">| 1 L PHP-CGM % | 6 L JAVA % | 7 P Python % | 9 L INE % </v>
      </c>
      <c r="AT620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20" s="4" t="str">
        <f ca="1">IFERROR(__xludf.DUMMYFUNCTION("""COMPUTED_VALUE"""),"| 5 L CPT % | 6 L PHP-CGM % | 7 P JAVA % | 9 P Python % ")</f>
        <v xml:space="preserve">| 5 L CPT % | 6 L PHP-CGM % | 7 P JAVA % | 9 P Python % </v>
      </c>
      <c r="AV620" s="4" t="str">
        <f ca="1">IFERROR(__xludf.DUMMYFUNCTION("""COMPUTED_VALUE"""),"| 5 L NS % | 6 L CPT % | 7 P PRO % | 9 P NS % ")</f>
        <v xml:space="preserve">| 5 L NS % | 6 L CPT % | 7 P PRO % | 9 P NS % </v>
      </c>
      <c r="AW620" s="4" t="str">
        <f ca="1">IFERROR(__xludf.DUMMYFUNCTION("""COMPUTED_VALUE"""),"| 5 L NS % | 6 L JAVA % | 7 P PHP-CGM % | 9 P JAVA % ")</f>
        <v xml:space="preserve">| 5 L NS % | 6 L JAVA % | 7 P PHP-CGM % | 9 P JAVA % </v>
      </c>
      <c r="AX620" s="4" t="str">
        <f ca="1">IFERROR(__xludf.DUMMYFUNCTION("""COMPUTED_VALUE"""),"| 1 L PHP-CGM % | 6 L JAVA % | 7 P Python % | 9 L INE % ")</f>
        <v xml:space="preserve">| 1 L PHP-CGM % | 6 L JAVA % | 7 P Python % | 9 L INE % </v>
      </c>
      <c r="AY620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20" s="4" t="str">
        <f ca="1">IFERROR(__xludf.DUMMYFUNCTION("""COMPUTED_VALUE"""),"| 5 L NS % | 6 L CPT % | 7 P PRO % | 9 P NS % ")</f>
        <v xml:space="preserve">| 5 L NS % | 6 L CPT % | 7 P PRO % | 9 P NS % </v>
      </c>
      <c r="BA620" s="4" t="str">
        <f ca="1">IFERROR(__xludf.DUMMYFUNCTION("""COMPUTED_VALUE"""),"| 5 L NS % | 6 L JAVA % ")</f>
        <v xml:space="preserve">| 5 L NS % | 6 L JAVA % </v>
      </c>
      <c r="BB620" s="4" t="str">
        <f ca="1">IFERROR(__xludf.DUMMYFUNCTION("""COMPUTED_VALUE"""),"| 1 L PHP-CGM % | 6 L JAVA @ | 7 P Python @ | 9 L INE @ ")</f>
        <v xml:space="preserve">| 1 L PHP-CGM % | 6 L JAVA @ | 7 P Python @ | 9 L INE @ </v>
      </c>
      <c r="BC620" s="4" t="str">
        <f ca="1">IFERROR(__xludf.DUMMYFUNCTION("""COMPUTED_VALUE"""),"| 5 L JAVA @ | 6 L NS @ | 7 P CPT @ | 10 L PHP-CGM @ | 9 L CPT @ ")</f>
        <v xml:space="preserve">| 5 L JAVA @ | 6 L NS @ | 7 P CPT @ | 10 L PHP-CGM @ | 9 L CPT @ </v>
      </c>
      <c r="BD620" s="4" t="str">
        <f ca="1">IFERROR(__xludf.DUMMYFUNCTION("""COMPUTED_VALUE"""),"| 5 L CPT % | 6 L PHP-CGM % | 7 P JAVA % | 9 P Python % ")</f>
        <v xml:space="preserve">| 5 L CPT % | 6 L PHP-CGM % | 7 P JAVA % | 9 P Python % </v>
      </c>
      <c r="BE620" s="4" t="str">
        <f ca="1">IFERROR(__xludf.DUMMYFUNCTION("""COMPUTED_VALUE"""),"| 5 L NS % | 6 L CPT % | 9 P JAVA % | 7 P PRO % | 9 P NS % ")</f>
        <v xml:space="preserve">| 5 L NS % | 6 L CPT % | 9 P JAVA % | 7 P PRO % | 9 P NS % </v>
      </c>
      <c r="BF620" s="4" t="str">
        <f ca="1">IFERROR(__xludf.DUMMYFUNCTION("""COMPUTED_VALUE"""),"| 5 L NS % | 6 L JAVA % | 7 P PHP-CGM % | 9 P JAVA % ")</f>
        <v xml:space="preserve">| 5 L NS % | 6 L JAVA % | 7 P PHP-CGM % | 9 P JAVA % </v>
      </c>
      <c r="BG620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20" s="4" t="str">
        <f ca="1">IFERROR(__xludf.DUMMYFUNCTION("""COMPUTED_VALUE"""),"| 5 L CPT % | 7 P JAVA % | 6 L PHP-CGM % | 9 P Python % ")</f>
        <v xml:space="preserve">| 5 L CPT % | 7 P JAVA % | 6 L PHP-CGM % | 9 P Python % </v>
      </c>
      <c r="BI620" s="4" t="str">
        <f ca="1">IFERROR(__xludf.DUMMYFUNCTION("""COMPUTED_VALUE"""),"| 5 L NS % | 6 L CPT % | 7 P PRO % | 9 P NS % ")</f>
        <v xml:space="preserve">| 5 L NS % | 6 L CPT % | 7 P PRO % | 9 P NS % </v>
      </c>
      <c r="BJ620" s="4" t="str">
        <f ca="1">IFERROR(__xludf.DUMMYFUNCTION("""COMPUTED_VALUE"""),"| 5 L NS % | 6 L JAVA % | 7 P PHP-CGM @ ")</f>
        <v xml:space="preserve">| 5 L NS % | 6 L JAVA % | 7 P PHP-CGM @ </v>
      </c>
      <c r="BK620" s="4" t="str">
        <f ca="1">IFERROR(__xludf.DUMMYFUNCTION("""COMPUTED_VALUE"""),"| 1 L PHP-CGM @ | 6 L JAVA % | 7 P Python @ | 9 L INE @ ")</f>
        <v xml:space="preserve">| 1 L PHP-CGM @ | 6 L JAVA % | 7 P Python @ | 9 L INE @ </v>
      </c>
      <c r="BL620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20" s="4" t="str">
        <f ca="1">IFERROR(__xludf.DUMMYFUNCTION("""COMPUTED_VALUE"""),"| 5 L CPT @ | 6 L PHP-CGM @ | 7 P JAVA @ | 9 P Python @ ")</f>
        <v xml:space="preserve">| 5 L CPT @ | 6 L PHP-CGM @ | 7 P JAVA @ | 9 P Python @ </v>
      </c>
      <c r="BN620" s="4" t="str">
        <f ca="1">IFERROR(__xludf.DUMMYFUNCTION("""COMPUTED_VALUE"""),"| 5 L NS % | 6 L CPT @ | 7 P PRO % | 9 P NS % ")</f>
        <v xml:space="preserve">| 5 L NS % | 6 L CPT @ | 7 P PRO % | 9 P NS % </v>
      </c>
      <c r="BO620" s="4" t="str">
        <f ca="1">IFERROR(__xludf.DUMMYFUNCTION("""COMPUTED_VALUE"""),"| 5 L NS @ | 6 L JAVA @ ")</f>
        <v xml:space="preserve">| 5 L NS @ | 6 L JAVA @ </v>
      </c>
      <c r="BP620" s="4" t="str">
        <f ca="1">IFERROR(__xludf.DUMMYFUNCTION("""COMPUTED_VALUE"""),"| 1 L PHP-CGM @ | 6 L JAVA @ | 9 L INE @ ")</f>
        <v xml:space="preserve">| 1 L PHP-CGM @ | 6 L JAVA @ | 9 L INE @ </v>
      </c>
      <c r="BQ620" s="4" t="str">
        <f ca="1">IFERROR(__xludf.DUMMYFUNCTION("""COMPUTED_VALUE"""),"| 5 L CPT @ ")</f>
        <v xml:space="preserve">| 5 L CPT @ </v>
      </c>
      <c r="BR620" s="4"/>
      <c r="BS620" s="4" t="str">
        <f ca="1">IFERROR(__xludf.DUMMYFUNCTION("""COMPUTED_VALUE"""),"| 6 L CPT @ ")</f>
        <v xml:space="preserve">| 6 L CPT @ </v>
      </c>
      <c r="BT620" s="4"/>
      <c r="BU620" s="4"/>
      <c r="BV620" s="4" t="str">
        <f ca="1">IFERROR(__xludf.DUMMYFUNCTION("""COMPUTED_VALUE"""),"| 5 L PHP-CGM @ | 6 L JAVA @ ")</f>
        <v xml:space="preserve">| 5 L PHP-CGM @ | 6 L JAVA @ </v>
      </c>
      <c r="BW620" s="4"/>
      <c r="BX620" s="4" t="str">
        <f ca="1">IFERROR(__xludf.DUMMYFUNCTION("""COMPUTED_VALUE"""),"| 5 L CPT @ | 7 P JAVA @ | 6 L PHP-CGM @ ")</f>
        <v xml:space="preserve">| 5 L CPT @ | 7 P JAVA @ | 6 L PHP-CGM @ </v>
      </c>
      <c r="BY620" s="4" t="str">
        <f ca="1">IFERROR(__xludf.DUMMYFUNCTION("""COMPUTED_VALUE"""),"| 5 L NS @ | 6 L CPT @ | 7 P PRO @ | 9 P NS @ ")</f>
        <v xml:space="preserve">| 5 L NS @ | 6 L CPT @ | 7 P PRO @ | 9 P NS @ </v>
      </c>
      <c r="BZ620" s="4" t="str">
        <f ca="1">IFERROR(__xludf.DUMMYFUNCTION("""COMPUTED_VALUE"""),"| 5 L NS @ | 6 L JAVA @ | 7 P PHP-CGM @ ")</f>
        <v xml:space="preserve">| 5 L NS @ | 6 L JAVA @ | 7 P PHP-CGM @ </v>
      </c>
      <c r="CA620" s="4" t="str">
        <f ca="1">IFERROR(__xludf.DUMMYFUNCTION("""COMPUTED_VALUE"""),"| 1 L PHP-CGM % | 6 L JAVA % | 7 P Python % ")</f>
        <v xml:space="preserve">| 1 L PHP-CGM % | 6 L JAVA % | 7 P Python % </v>
      </c>
      <c r="CB620" s="4" t="str">
        <f ca="1">IFERROR(__xludf.DUMMYFUNCTION("""COMPUTED_VALUE"""),"| 5 L JAVA % | 6 L NS % | 7 P CPT % | 9 L CPT % | 10 L PHP-CGM % ")</f>
        <v xml:space="preserve">| 5 L JAVA % | 6 L NS % | 7 P CPT % | 9 L CPT % | 10 L PHP-CGM % </v>
      </c>
      <c r="CC620" s="4" t="str">
        <f ca="1">IFERROR(__xludf.DUMMYFUNCTION("""COMPUTED_VALUE"""),"| 5 L CPT @ | 6 L PHP-CGM @ | 7 P JAVA @ | 9 P Python @ ")</f>
        <v xml:space="preserve">| 5 L CPT @ | 6 L PHP-CGM @ | 7 P JAVA @ | 9 P Python @ </v>
      </c>
      <c r="CD620" s="4" t="str">
        <f ca="1">IFERROR(__xludf.DUMMYFUNCTION("""COMPUTED_VALUE"""),"| 5 L NS @ | 6 L CPT @ | 7 P PRO % ")</f>
        <v xml:space="preserve">| 5 L NS @ | 6 L CPT @ | 7 P PRO % </v>
      </c>
      <c r="CE620" s="4" t="str">
        <f ca="1">IFERROR(__xludf.DUMMYFUNCTION("""COMPUTED_VALUE"""),"| 5 L NS @ | 6 L JAVA @ | 7 P PHP-CGM % | 9 P JAVA % ")</f>
        <v xml:space="preserve">| 5 L NS @ | 6 L JAVA @ | 7 P PHP-CGM % | 9 P JAVA % </v>
      </c>
      <c r="CF620" s="4" t="str">
        <f ca="1">IFERROR(__xludf.DUMMYFUNCTION("""COMPUTED_VALUE"""),"| 5 L PHP-CGM @ | 6 L JAVA % | 7 P Python % | 9 L INE % ")</f>
        <v xml:space="preserve">| 5 L PHP-CGM @ | 6 L JAVA % | 7 P Python % | 9 L INE % </v>
      </c>
      <c r="CG620" s="4" t="str">
        <f ca="1">IFERROR(__xludf.DUMMYFUNCTION("""COMPUTED_VALUE"""),"| 5 L JAVA % | 6 L NS % ")</f>
        <v xml:space="preserve">| 5 L JAVA % | 6 L NS % </v>
      </c>
      <c r="CH620" s="4" t="str">
        <f ca="1">IFERROR(__xludf.DUMMYFUNCTION("""COMPUTED_VALUE"""),"| 5 L CPT @ | 9 P Python % ")</f>
        <v xml:space="preserve">| 5 L CPT @ | 9 P Python % </v>
      </c>
      <c r="CI620" s="4" t="str">
        <f ca="1">IFERROR(__xludf.DUMMYFUNCTION("""COMPUTED_VALUE"""),"| 5 L NS @ | 6 L CPT @ | 9 P NS % ")</f>
        <v xml:space="preserve">| 5 L NS @ | 6 L CPT @ | 9 P NS % </v>
      </c>
      <c r="CJ620" s="4" t="str">
        <f ca="1">IFERROR(__xludf.DUMMYFUNCTION("""COMPUTED_VALUE"""),"| 5 L NS @ ")</f>
        <v xml:space="preserve">| 5 L NS @ </v>
      </c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</row>
    <row r="621" spans="1:102" ht="12.5" x14ac:dyDescent="0.25">
      <c r="A621" s="3">
        <f ca="1">IFERROR(__xludf.DUMMYFUNCTION("""COMPUTED_VALUE"""),3)</f>
        <v>3</v>
      </c>
      <c r="B621" s="3" t="str">
        <f ca="1">IFERROR(__xludf.DUMMYFUNCTION("""COMPUTED_VALUE"""),"ITD")</f>
        <v>ITD</v>
      </c>
      <c r="C621" s="32" t="str">
        <f ca="1">IFERROR(__xludf.DUMMYFUNCTION("""COMPUTED_VALUE"""),"23171371153")</f>
        <v>23171371153</v>
      </c>
      <c r="D621" s="4" t="str">
        <f ca="1">IFERROR(__xludf.DUMMYFUNCTION("""COMPUTED_VALUE"""),"SOLANKI DEVRAMBHAI DUDABHAI")</f>
        <v>SOLANKI DEVRAMBHAI DUDABHAI</v>
      </c>
      <c r="E621" s="3" t="str">
        <f ca="1">IFERROR(__xludf.DUMMYFUNCTION("""COMPUTED_VALUE"""),"SRC - Eve")</f>
        <v>SRC - Eve</v>
      </c>
      <c r="F621" s="3">
        <f ca="1">IFERROR(__xludf.DUMMYFUNCTION("""COMPUTED_VALUE"""),9879721131)</f>
        <v>9879721131</v>
      </c>
      <c r="G621" s="3">
        <f ca="1">IFERROR(__xludf.DUMMYFUNCTION("""COMPUTED_VALUE"""),9879721131)</f>
        <v>9879721131</v>
      </c>
      <c r="H621" s="33">
        <f ca="1">IFERROR(__xludf.DUMMYFUNCTION("""COMPUTED_VALUE"""),0.744292237442922)</f>
        <v>0.74429223744292194</v>
      </c>
      <c r="I621" s="25">
        <f ca="1">IFERROR(__xludf.DUMMYFUNCTION("""COMPUTED_VALUE"""),0.694444444444444)</f>
        <v>0.69444444444444398</v>
      </c>
      <c r="J621" s="25">
        <f ca="1">IFERROR(__xludf.DUMMYFUNCTION("""COMPUTED_VALUE"""),0.8)</f>
        <v>0.8</v>
      </c>
      <c r="K621" s="25">
        <f ca="1">IFERROR(__xludf.DUMMYFUNCTION("""COMPUTED_VALUE"""),0.722222222222222)</f>
        <v>0.72222222222222199</v>
      </c>
      <c r="L621" s="25">
        <f ca="1">IFERROR(__xludf.DUMMYFUNCTION("""COMPUTED_VALUE"""),0.8)</f>
        <v>0.8</v>
      </c>
      <c r="M621" s="25">
        <f ca="1">IFERROR(__xludf.DUMMYFUNCTION("""COMPUTED_VALUE"""),0.6875)</f>
        <v>0.6875</v>
      </c>
      <c r="N621" s="25">
        <f ca="1">IFERROR(__xludf.DUMMYFUNCTION("""COMPUTED_VALUE"""),0.875)</f>
        <v>0.875</v>
      </c>
      <c r="O621" s="25">
        <f ca="1">IFERROR(__xludf.DUMMYFUNCTION("""COMPUTED_VALUE"""),0.764705882352941)</f>
        <v>0.76470588235294101</v>
      </c>
      <c r="P621" s="25">
        <f ca="1">IFERROR(__xludf.DUMMYFUNCTION("""COMPUTED_VALUE"""),0.88235294117647)</f>
        <v>0.88235294117647001</v>
      </c>
      <c r="Q621" s="25">
        <f ca="1">IFERROR(__xludf.DUMMYFUNCTION("""COMPUTED_VALUE"""),0)</f>
        <v>0</v>
      </c>
      <c r="R621" s="25">
        <f ca="1">IFERROR(__xludf.DUMMYFUNCTION("""COMPUTED_VALUE"""),0.833333333333333)</f>
        <v>0.83333333333333304</v>
      </c>
      <c r="S621" s="25">
        <f ca="1">IFERROR(__xludf.DUMMYFUNCTION("""COMPUTED_VALUE"""),0)</f>
        <v>0</v>
      </c>
      <c r="T621" s="25">
        <f ca="1">IFERROR(__xludf.DUMMYFUNCTION("""COMPUTED_VALUE"""),0.636363636363636)</f>
        <v>0.63636363636363602</v>
      </c>
      <c r="U621" s="25">
        <f ca="1">IFERROR(__xludf.DUMMYFUNCTION("""COMPUTED_VALUE"""),0.571428571428571)</f>
        <v>0.57142857142857095</v>
      </c>
      <c r="V621" s="25">
        <f ca="1">IFERROR(__xludf.DUMMYFUNCTION("""COMPUTED_VALUE"""),0)</f>
        <v>0</v>
      </c>
      <c r="W621" s="4"/>
      <c r="X621" s="4" t="str">
        <f ca="1">IFERROR(__xludf.DUMMYFUNCTION("""COMPUTED_VALUE"""),"| 1 L PHP-CGM @ | 6 L JAVA @ | 7 P Python @ ")</f>
        <v xml:space="preserve">| 1 L PHP-CGM @ | 6 L JAVA @ | 7 P Python @ </v>
      </c>
      <c r="Y621" s="4" t="str">
        <f ca="1">IFERROR(__xludf.DUMMYFUNCTION("""COMPUTED_VALUE"""),"| 5 L JAVA % | 6 L NS % | 7 P CPT % | 9 L CPT @ | 6 L PHP-CGM @ ")</f>
        <v xml:space="preserve">| 5 L JAVA % | 6 L NS % | 7 P CPT % | 9 L CPT @ | 6 L PHP-CGM @ </v>
      </c>
      <c r="Z621" s="4" t="str">
        <f ca="1">IFERROR(__xludf.DUMMYFUNCTION("""COMPUTED_VALUE"""),"| 5 L CPT % | 6 L PHP-CGM % | 7 P JAVA % | 9 P Python % ")</f>
        <v xml:space="preserve">| 5 L CPT % | 6 L PHP-CGM % | 7 P JAVA % | 9 P Python % </v>
      </c>
      <c r="AA621" s="4" t="str">
        <f ca="1">IFERROR(__xludf.DUMMYFUNCTION("""COMPUTED_VALUE"""),"| 5 L NS % | 6 L CPT % | 7 P PRO % | 9 P NS % ")</f>
        <v xml:space="preserve">| 5 L NS % | 6 L CPT % | 7 P PRO % | 9 P NS % </v>
      </c>
      <c r="AB621" s="4" t="str">
        <f ca="1">IFERROR(__xludf.DUMMYFUNCTION("""COMPUTED_VALUE"""),"| 5 L NS % | 6 L JAVA % | 7 P PHP-CGM % | 9 P JAVA % ")</f>
        <v xml:space="preserve">| 5 L NS % | 6 L JAVA % | 7 P PHP-CGM % | 9 P JAVA % </v>
      </c>
      <c r="AC621" s="4" t="str">
        <f ca="1">IFERROR(__xludf.DUMMYFUNCTION("""COMPUTED_VALUE"""),"| 1 L PHP-CGM % | 6 L JAVA % | 7 P Python % ")</f>
        <v xml:space="preserve">| 1 L PHP-CGM % | 6 L JAVA % | 7 P Python % </v>
      </c>
      <c r="AD621" s="4" t="str">
        <f ca="1">IFERROR(__xludf.DUMMYFUNCTION("""COMPUTED_VALUE"""),"| 5 L JAVA % | 6 L NS % | 7 P CPT % | 9 L CPT @ | 6 L PHP-CGM @ ")</f>
        <v xml:space="preserve">| 5 L JAVA % | 6 L NS % | 7 P CPT % | 9 L CPT @ | 6 L PHP-CGM @ </v>
      </c>
      <c r="AE621" s="4" t="str">
        <f ca="1">IFERROR(__xludf.DUMMYFUNCTION("""COMPUTED_VALUE"""),"| 5 L CPT % | 6 L PHP-CGM % | 7 P JAVA % | 9 P Python @ ")</f>
        <v xml:space="preserve">| 5 L CPT % | 6 L PHP-CGM % | 7 P JAVA % | 9 P Python @ </v>
      </c>
      <c r="AF621" s="4" t="str">
        <f ca="1">IFERROR(__xludf.DUMMYFUNCTION("""COMPUTED_VALUE"""),"| 5 L NS % | 6 L CPT % | 7 P PRO % | 9 P NS % ")</f>
        <v xml:space="preserve">| 5 L NS % | 6 L CPT % | 7 P PRO % | 9 P NS % </v>
      </c>
      <c r="AG621" s="4" t="str">
        <f ca="1">IFERROR(__xludf.DUMMYFUNCTION("""COMPUTED_VALUE"""),"| 5 L NS % | 6 L JAVA % | 7 P PHP-CGM % | 9 P JAVA @ ")</f>
        <v xml:space="preserve">| 5 L NS % | 6 L JAVA % | 7 P PHP-CGM % | 9 P JAVA @ </v>
      </c>
      <c r="AH621" s="4" t="str">
        <f ca="1">IFERROR(__xludf.DUMMYFUNCTION("""COMPUTED_VALUE"""),"| 5 L NS % | 6 L CPT % | 7 P PRO % | 9 P NS % ")</f>
        <v xml:space="preserve">| 5 L NS % | 6 L CPT % | 7 P PRO % | 9 P NS % </v>
      </c>
      <c r="AI621" s="4" t="str">
        <f ca="1">IFERROR(__xludf.DUMMYFUNCTION("""COMPUTED_VALUE"""),"| 5 L NS % | 6 L JAVA % | 7 P PHP-CGM % | 9 P JAVA % ")</f>
        <v xml:space="preserve">| 5 L NS % | 6 L JAVA % | 7 P PHP-CGM % | 9 P JAVA % </v>
      </c>
      <c r="AJ621" s="4" t="str">
        <f ca="1">IFERROR(__xludf.DUMMYFUNCTION("""COMPUTED_VALUE"""),"| 1 L PHP-CGM % | 6 L JAVA % | 7 P Python % ")</f>
        <v xml:space="preserve">| 1 L PHP-CGM % | 6 L JAVA % | 7 P Python % </v>
      </c>
      <c r="AK621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21" s="4" t="str">
        <f ca="1">IFERROR(__xludf.DUMMYFUNCTION("""COMPUTED_VALUE"""),"| 5 L CPT % | 6 L PHP-CGM % | 7 P JAVA % | 9 P Python % ")</f>
        <v xml:space="preserve">| 5 L CPT % | 6 L PHP-CGM % | 7 P JAVA % | 9 P Python % </v>
      </c>
      <c r="AM621" s="4" t="str">
        <f ca="1">IFERROR(__xludf.DUMMYFUNCTION("""COMPUTED_VALUE"""),"| 5 L NS % | 6 L CPT % | 9 P JAVA % ")</f>
        <v xml:space="preserve">| 5 L NS % | 6 L CPT % | 9 P JAVA % </v>
      </c>
      <c r="AN621" s="4" t="str">
        <f ca="1">IFERROR(__xludf.DUMMYFUNCTION("""COMPUTED_VALUE"""),"| 5 L NS % | 6 L JAVA % ")</f>
        <v xml:space="preserve">| 5 L NS % | 6 L JAVA % </v>
      </c>
      <c r="AO621" s="4" t="str">
        <f ca="1">IFERROR(__xludf.DUMMYFUNCTION("""COMPUTED_VALUE"""),"| 1 L PHP-CGM @ | 6 L JAVA @ | 9 L INE @ ")</f>
        <v xml:space="preserve">| 1 L PHP-CGM @ | 6 L JAVA @ | 9 L INE @ </v>
      </c>
      <c r="AP621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AQ621" s="4" t="str">
        <f ca="1">IFERROR(__xludf.DUMMYFUNCTION("""COMPUTED_VALUE"""),"| 5 L CPT % | 6 L PHP-CGM % ")</f>
        <v xml:space="preserve">| 5 L CPT % | 6 L PHP-CGM % </v>
      </c>
      <c r="AR621" s="4" t="str">
        <f ca="1">IFERROR(__xludf.DUMMYFUNCTION("""COMPUTED_VALUE"""),"| 5 L NS @ | 6 L CPT @ | 7 P PRO @ ")</f>
        <v xml:space="preserve">| 5 L NS @ | 6 L CPT @ | 7 P PRO @ </v>
      </c>
      <c r="AS621" s="4" t="str">
        <f ca="1">IFERROR(__xludf.DUMMYFUNCTION("""COMPUTED_VALUE"""),"| 1 L PHP-CGM % | 6 L JAVA % | 7 P Python % | 9 L INE % ")</f>
        <v xml:space="preserve">| 1 L PHP-CGM % | 6 L JAVA % | 7 P Python % | 9 L INE % </v>
      </c>
      <c r="AT621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21" s="4" t="str">
        <f ca="1">IFERROR(__xludf.DUMMYFUNCTION("""COMPUTED_VALUE"""),"| 5 L CPT % | 6 L PHP-CGM % | 7 P JAVA % | 9 P Python % ")</f>
        <v xml:space="preserve">| 5 L CPT % | 6 L PHP-CGM % | 7 P JAVA % | 9 P Python % </v>
      </c>
      <c r="AV621" s="4" t="str">
        <f ca="1">IFERROR(__xludf.DUMMYFUNCTION("""COMPUTED_VALUE"""),"| 5 L NS % | 6 L CPT % | 7 P PRO % | 9 P NS % ")</f>
        <v xml:space="preserve">| 5 L NS % | 6 L CPT % | 7 P PRO % | 9 P NS % </v>
      </c>
      <c r="AW621" s="4" t="str">
        <f ca="1">IFERROR(__xludf.DUMMYFUNCTION("""COMPUTED_VALUE"""),"| 5 L NS % | 6 L JAVA % | 7 P PHP-CGM % | 9 P JAVA % ")</f>
        <v xml:space="preserve">| 5 L NS % | 6 L JAVA % | 7 P PHP-CGM % | 9 P JAVA % </v>
      </c>
      <c r="AX621" s="4" t="str">
        <f ca="1">IFERROR(__xludf.DUMMYFUNCTION("""COMPUTED_VALUE"""),"| 1 L PHP-CGM % | 6 L JAVA % | 7 P Python % | 9 L INE % ")</f>
        <v xml:space="preserve">| 1 L PHP-CGM % | 6 L JAVA % | 7 P Python % | 9 L INE % </v>
      </c>
      <c r="AY621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21" s="4" t="str">
        <f ca="1">IFERROR(__xludf.DUMMYFUNCTION("""COMPUTED_VALUE"""),"| 5 L NS @ | 6 L CPT @ | 7 P PRO % | 9 P NS % ")</f>
        <v xml:space="preserve">| 5 L NS @ | 6 L CPT @ | 7 P PRO % | 9 P NS % </v>
      </c>
      <c r="BA621" s="4" t="str">
        <f ca="1">IFERROR(__xludf.DUMMYFUNCTION("""COMPUTED_VALUE"""),"| 5 L NS @ | 6 L JAVA @ ")</f>
        <v xml:space="preserve">| 5 L NS @ | 6 L JAVA @ </v>
      </c>
      <c r="BB621" s="4" t="str">
        <f ca="1">IFERROR(__xludf.DUMMYFUNCTION("""COMPUTED_VALUE"""),"| 1 L PHP-CGM % | 6 L JAVA % | 7 P Python % | 9 L INE % ")</f>
        <v xml:space="preserve">| 1 L PHP-CGM % | 6 L JAVA % | 7 P Python % | 9 L INE % </v>
      </c>
      <c r="BC621" s="4" t="str">
        <f ca="1">IFERROR(__xludf.DUMMYFUNCTION("""COMPUTED_VALUE"""),"| 5 L JAVA % | 6 L NS % | 7 P CPT % | 10 L PHP-CGM @ | 9 L CPT @ ")</f>
        <v xml:space="preserve">| 5 L JAVA % | 6 L NS % | 7 P CPT % | 10 L PHP-CGM @ | 9 L CPT @ </v>
      </c>
      <c r="BD621" s="4" t="str">
        <f ca="1">IFERROR(__xludf.DUMMYFUNCTION("""COMPUTED_VALUE"""),"| 5 L CPT % | 6 L PHP-CGM % | 7 P JAVA % | 9 P Python % ")</f>
        <v xml:space="preserve">| 5 L CPT % | 6 L PHP-CGM % | 7 P JAVA % | 9 P Python % </v>
      </c>
      <c r="BE621" s="4" t="str">
        <f ca="1">IFERROR(__xludf.DUMMYFUNCTION("""COMPUTED_VALUE"""),"| 5 L NS @ | 6 L CPT % | 9 P JAVA % | 7 P PRO @ | 9 P NS % ")</f>
        <v xml:space="preserve">| 5 L NS @ | 6 L CPT % | 9 P JAVA % | 7 P PRO @ | 9 P NS % </v>
      </c>
      <c r="BF621" s="4" t="str">
        <f ca="1">IFERROR(__xludf.DUMMYFUNCTION("""COMPUTED_VALUE"""),"| 5 L NS @ | 6 L JAVA % | 7 P PHP-CGM % | 9 P JAVA % ")</f>
        <v xml:space="preserve">| 5 L NS @ | 6 L JAVA % | 7 P PHP-CGM % | 9 P JAVA % </v>
      </c>
      <c r="BG621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21" s="4" t="str">
        <f ca="1">IFERROR(__xludf.DUMMYFUNCTION("""COMPUTED_VALUE"""),"| 5 L CPT % | 7 P JAVA % | 6 L PHP-CGM % | 9 P Python % ")</f>
        <v xml:space="preserve">| 5 L CPT % | 7 P JAVA % | 6 L PHP-CGM % | 9 P Python % </v>
      </c>
      <c r="BI621" s="4" t="str">
        <f ca="1">IFERROR(__xludf.DUMMYFUNCTION("""COMPUTED_VALUE"""),"| 5 L NS % | 6 L CPT % | 7 P PRO @ | 9 P NS % ")</f>
        <v xml:space="preserve">| 5 L NS % | 6 L CPT % | 7 P PRO @ | 9 P NS % </v>
      </c>
      <c r="BJ621" s="4" t="str">
        <f ca="1">IFERROR(__xludf.DUMMYFUNCTION("""COMPUTED_VALUE"""),"| 5 L NS % | 6 L JAVA % | 7 P PHP-CGM @ ")</f>
        <v xml:space="preserve">| 5 L NS % | 6 L JAVA % | 7 P PHP-CGM @ </v>
      </c>
      <c r="BK621" s="4" t="str">
        <f ca="1">IFERROR(__xludf.DUMMYFUNCTION("""COMPUTED_VALUE"""),"| 1 L PHP-CGM % | 6 L JAVA % | 7 P Python % | 9 L INE % ")</f>
        <v xml:space="preserve">| 1 L PHP-CGM % | 6 L JAVA % | 7 P Python % | 9 L INE % </v>
      </c>
      <c r="BL621" s="4" t="str">
        <f ca="1">IFERROR(__xludf.DUMMYFUNCTION("""COMPUTED_VALUE"""),"| 5 L JAVA % | 6 L NS % | 7 P CPT @ | 9 L CPT % | 10 L PHP-CGM % ")</f>
        <v xml:space="preserve">| 5 L JAVA % | 6 L NS % | 7 P CPT @ | 9 L CPT % | 10 L PHP-CGM % </v>
      </c>
      <c r="BM621" s="4" t="str">
        <f ca="1">IFERROR(__xludf.DUMMYFUNCTION("""COMPUTED_VALUE"""),"| 5 L CPT % | 6 L PHP-CGM % | 7 P JAVA % | 9 P Python % ")</f>
        <v xml:space="preserve">| 5 L CPT % | 6 L PHP-CGM % | 7 P JAVA % | 9 P Python % </v>
      </c>
      <c r="BN621" s="4" t="str">
        <f ca="1">IFERROR(__xludf.DUMMYFUNCTION("""COMPUTED_VALUE"""),"| 5 L NS @ | 6 L CPT @ | 7 P PRO @ | 9 P NS @ ")</f>
        <v xml:space="preserve">| 5 L NS @ | 6 L CPT @ | 7 P PRO @ | 9 P NS @ </v>
      </c>
      <c r="BO621" s="4" t="str">
        <f ca="1">IFERROR(__xludf.DUMMYFUNCTION("""COMPUTED_VALUE"""),"| 5 L NS @ | 6 L JAVA @ ")</f>
        <v xml:space="preserve">| 5 L NS @ | 6 L JAVA @ </v>
      </c>
      <c r="BP621" s="4" t="str">
        <f ca="1">IFERROR(__xludf.DUMMYFUNCTION("""COMPUTED_VALUE"""),"| 1 L PHP-CGM @ | 6 L JAVA @ | 9 L INE @ ")</f>
        <v xml:space="preserve">| 1 L PHP-CGM @ | 6 L JAVA @ | 9 L INE @ </v>
      </c>
      <c r="BQ621" s="4" t="str">
        <f ca="1">IFERROR(__xludf.DUMMYFUNCTION("""COMPUTED_VALUE"""),"| 5 L CPT % ")</f>
        <v xml:space="preserve">| 5 L CPT % </v>
      </c>
      <c r="BR621" s="4"/>
      <c r="BS621" s="4" t="str">
        <f ca="1">IFERROR(__xludf.DUMMYFUNCTION("""COMPUTED_VALUE"""),"| 6 L CPT @ ")</f>
        <v xml:space="preserve">| 6 L CPT @ </v>
      </c>
      <c r="BT621" s="4"/>
      <c r="BU621" s="4"/>
      <c r="BV621" s="4" t="str">
        <f ca="1">IFERROR(__xludf.DUMMYFUNCTION("""COMPUTED_VALUE"""),"| 5 L PHP-CGM @ | 6 L JAVA @ ")</f>
        <v xml:space="preserve">| 5 L PHP-CGM @ | 6 L JAVA @ </v>
      </c>
      <c r="BW621" s="4"/>
      <c r="BX621" s="4" t="str">
        <f ca="1">IFERROR(__xludf.DUMMYFUNCTION("""COMPUTED_VALUE"""),"| 5 L CPT % | 7 P JAVA @ | 6 L PHP-CGM % ")</f>
        <v xml:space="preserve">| 5 L CPT % | 7 P JAVA @ | 6 L PHP-CGM % </v>
      </c>
      <c r="BY621" s="4" t="str">
        <f ca="1">IFERROR(__xludf.DUMMYFUNCTION("""COMPUTED_VALUE"""),"| 5 L NS % | 6 L CPT % | 7 P PRO % | 9 P NS @ ")</f>
        <v xml:space="preserve">| 5 L NS % | 6 L CPT % | 7 P PRO % | 9 P NS @ </v>
      </c>
      <c r="BZ621" s="4" t="str">
        <f ca="1">IFERROR(__xludf.DUMMYFUNCTION("""COMPUTED_VALUE"""),"| 5 L NS % | 6 L JAVA % | 7 P PHP-CGM % ")</f>
        <v xml:space="preserve">| 5 L NS % | 6 L JAVA % | 7 P PHP-CGM % </v>
      </c>
      <c r="CA621" s="4" t="str">
        <f ca="1">IFERROR(__xludf.DUMMYFUNCTION("""COMPUTED_VALUE"""),"| 1 L PHP-CGM % | 6 L JAVA % | 7 P Python % ")</f>
        <v xml:space="preserve">| 1 L PHP-CGM % | 6 L JAVA % | 7 P Python % </v>
      </c>
      <c r="CB621" s="4" t="str">
        <f ca="1">IFERROR(__xludf.DUMMYFUNCTION("""COMPUTED_VALUE"""),"| 5 L JAVA % | 6 L NS % | 7 P CPT % | 9 L CPT @ | 10 L PHP-CGM @ ")</f>
        <v xml:space="preserve">| 5 L JAVA % | 6 L NS % | 7 P CPT % | 9 L CPT @ | 10 L PHP-CGM @ </v>
      </c>
      <c r="CC621" s="4" t="str">
        <f ca="1">IFERROR(__xludf.DUMMYFUNCTION("""COMPUTED_VALUE"""),"| 5 L CPT % | 6 L PHP-CGM % | 7 P JAVA % | 9 P Python % ")</f>
        <v xml:space="preserve">| 5 L CPT % | 6 L PHP-CGM % | 7 P JAVA % | 9 P Python % </v>
      </c>
      <c r="CD621" s="4" t="str">
        <f ca="1">IFERROR(__xludf.DUMMYFUNCTION("""COMPUTED_VALUE"""),"| 5 L NS % | 6 L CPT % | 7 P PRO % ")</f>
        <v xml:space="preserve">| 5 L NS % | 6 L CPT % | 7 P PRO % </v>
      </c>
      <c r="CE621" s="4" t="str">
        <f ca="1">IFERROR(__xludf.DUMMYFUNCTION("""COMPUTED_VALUE"""),"| 5 L NS % | 6 L JAVA % | 7 P PHP-CGM % | 9 P JAVA % ")</f>
        <v xml:space="preserve">| 5 L NS % | 6 L JAVA % | 7 P PHP-CGM % | 9 P JAVA % </v>
      </c>
      <c r="CF621" s="4" t="str">
        <f ca="1">IFERROR(__xludf.DUMMYFUNCTION("""COMPUTED_VALUE"""),"| 5 L PHP-CGM @ | 6 L JAVA @ | 7 P Python @ | 9 L INE @ ")</f>
        <v xml:space="preserve">| 5 L PHP-CGM @ | 6 L JAVA @ | 7 P Python @ | 9 L INE @ </v>
      </c>
      <c r="CG621" s="4" t="str">
        <f ca="1">IFERROR(__xludf.DUMMYFUNCTION("""COMPUTED_VALUE"""),"| 5 L JAVA % | 6 L NS % ")</f>
        <v xml:space="preserve">| 5 L JAVA % | 6 L NS % </v>
      </c>
      <c r="CH621" s="4" t="str">
        <f ca="1">IFERROR(__xludf.DUMMYFUNCTION("""COMPUTED_VALUE"""),"| 5 L CPT @ | 9 P Python % ")</f>
        <v xml:space="preserve">| 5 L CPT @ | 9 P Python % </v>
      </c>
      <c r="CI621" s="4" t="str">
        <f ca="1">IFERROR(__xludf.DUMMYFUNCTION("""COMPUTED_VALUE"""),"| 5 L NS @ | 6 L CPT @ | 9 P NS % ")</f>
        <v xml:space="preserve">| 5 L NS @ | 6 L CPT @ | 9 P NS % </v>
      </c>
      <c r="CJ621" s="4" t="str">
        <f ca="1">IFERROR(__xludf.DUMMYFUNCTION("""COMPUTED_VALUE"""),"| 5 L NS @ ")</f>
        <v xml:space="preserve">| 5 L NS @ </v>
      </c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</row>
    <row r="622" spans="1:102" ht="12.5" x14ac:dyDescent="0.25">
      <c r="A622" s="3">
        <f ca="1">IFERROR(__xludf.DUMMYFUNCTION("""COMPUTED_VALUE"""),3)</f>
        <v>3</v>
      </c>
      <c r="B622" s="3" t="str">
        <f ca="1">IFERROR(__xludf.DUMMYFUNCTION("""COMPUTED_VALUE"""),"ITD")</f>
        <v>ITD</v>
      </c>
      <c r="C622" s="32" t="str">
        <f ca="1">IFERROR(__xludf.DUMMYFUNCTION("""COMPUTED_VALUE"""),"23171371158")</f>
        <v>23171371158</v>
      </c>
      <c r="D622" s="4" t="str">
        <f ca="1">IFERROR(__xludf.DUMMYFUNCTION("""COMPUTED_VALUE"""),"SONI TANISHA MANISHBHAI")</f>
        <v>SONI TANISHA MANISHBHAI</v>
      </c>
      <c r="E622" s="3" t="str">
        <f ca="1">IFERROR(__xludf.DUMMYFUNCTION("""COMPUTED_VALUE"""),"SRC - Eve")</f>
        <v>SRC - Eve</v>
      </c>
      <c r="F622" s="3">
        <f ca="1">IFERROR(__xludf.DUMMYFUNCTION("""COMPUTED_VALUE"""),7096022819)</f>
        <v>7096022819</v>
      </c>
      <c r="G622" s="3">
        <f ca="1">IFERROR(__xludf.DUMMYFUNCTION("""COMPUTED_VALUE"""),9737543771)</f>
        <v>9737543771</v>
      </c>
      <c r="H622" s="33">
        <f ca="1">IFERROR(__xludf.DUMMYFUNCTION("""COMPUTED_VALUE"""),0.621004566210045)</f>
        <v>0.62100456621004496</v>
      </c>
      <c r="I622" s="25">
        <f ca="1">IFERROR(__xludf.DUMMYFUNCTION("""COMPUTED_VALUE"""),0.583333333333333)</f>
        <v>0.58333333333333304</v>
      </c>
      <c r="J622" s="25">
        <f ca="1">IFERROR(__xludf.DUMMYFUNCTION("""COMPUTED_VALUE"""),0.6)</f>
        <v>0.6</v>
      </c>
      <c r="K622" s="25">
        <f ca="1">IFERROR(__xludf.DUMMYFUNCTION("""COMPUTED_VALUE"""),0.583333333333333)</f>
        <v>0.58333333333333304</v>
      </c>
      <c r="L622" s="25">
        <f ca="1">IFERROR(__xludf.DUMMYFUNCTION("""COMPUTED_VALUE"""),0.6)</f>
        <v>0.6</v>
      </c>
      <c r="M622" s="25">
        <f ca="1">IFERROR(__xludf.DUMMYFUNCTION("""COMPUTED_VALUE"""),0.6875)</f>
        <v>0.6875</v>
      </c>
      <c r="N622" s="25">
        <f ca="1">IFERROR(__xludf.DUMMYFUNCTION("""COMPUTED_VALUE"""),0.625)</f>
        <v>0.625</v>
      </c>
      <c r="O622" s="25">
        <f ca="1">IFERROR(__xludf.DUMMYFUNCTION("""COMPUTED_VALUE"""),0.676470588235294)</f>
        <v>0.67647058823529405</v>
      </c>
      <c r="P622" s="25">
        <f ca="1">IFERROR(__xludf.DUMMYFUNCTION("""COMPUTED_VALUE"""),0.529411764705882)</f>
        <v>0.52941176470588203</v>
      </c>
      <c r="Q622" s="25">
        <f ca="1">IFERROR(__xludf.DUMMYFUNCTION("""COMPUTED_VALUE"""),0)</f>
        <v>0</v>
      </c>
      <c r="R622" s="25">
        <f ca="1">IFERROR(__xludf.DUMMYFUNCTION("""COMPUTED_VALUE"""),0.722222222222222)</f>
        <v>0.72222222222222199</v>
      </c>
      <c r="S622" s="25">
        <f ca="1">IFERROR(__xludf.DUMMYFUNCTION("""COMPUTED_VALUE"""),0)</f>
        <v>0</v>
      </c>
      <c r="T622" s="25">
        <f ca="1">IFERROR(__xludf.DUMMYFUNCTION("""COMPUTED_VALUE"""),0.636363636363636)</f>
        <v>0.63636363636363602</v>
      </c>
      <c r="U622" s="25">
        <f ca="1">IFERROR(__xludf.DUMMYFUNCTION("""COMPUTED_VALUE"""),0.428571428571428)</f>
        <v>0.42857142857142799</v>
      </c>
      <c r="V622" s="25">
        <f ca="1">IFERROR(__xludf.DUMMYFUNCTION("""COMPUTED_VALUE"""),0)</f>
        <v>0</v>
      </c>
      <c r="W622" s="4"/>
      <c r="X622" s="4" t="str">
        <f ca="1">IFERROR(__xludf.DUMMYFUNCTION("""COMPUTED_VALUE"""),"| 1 L PHP-CGM % | 6 L JAVA % | 7 P Python % ")</f>
        <v xml:space="preserve">| 1 L PHP-CGM % | 6 L JAVA % | 7 P Python % </v>
      </c>
      <c r="Y622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22" s="4" t="str">
        <f ca="1">IFERROR(__xludf.DUMMYFUNCTION("""COMPUTED_VALUE"""),"| 5 L CPT % | 6 L PHP-CGM % | 7 P JAVA % | 9 P Python % ")</f>
        <v xml:space="preserve">| 5 L CPT % | 6 L PHP-CGM % | 7 P JAVA % | 9 P Python % </v>
      </c>
      <c r="AA622" s="4" t="str">
        <f ca="1">IFERROR(__xludf.DUMMYFUNCTION("""COMPUTED_VALUE"""),"| 5 L NS @ | 6 L CPT @ | 7 P PRO @ | 9 P NS @ ")</f>
        <v xml:space="preserve">| 5 L NS @ | 6 L CPT @ | 7 P PRO @ | 9 P NS @ </v>
      </c>
      <c r="AB622" s="4" t="str">
        <f ca="1">IFERROR(__xludf.DUMMYFUNCTION("""COMPUTED_VALUE"""),"| 5 L NS @ | 6 L JAVA @ | 7 P PHP-CGM @ | 9 P JAVA @ ")</f>
        <v xml:space="preserve">| 5 L NS @ | 6 L JAVA @ | 7 P PHP-CGM @ | 9 P JAVA @ </v>
      </c>
      <c r="AC622" s="4" t="str">
        <f ca="1">IFERROR(__xludf.DUMMYFUNCTION("""COMPUTED_VALUE"""),"| 1 L PHP-CGM % | 6 L JAVA % | 7 P Python % ")</f>
        <v xml:space="preserve">| 1 L PHP-CGM % | 6 L JAVA % | 7 P Python % </v>
      </c>
      <c r="AD622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22" s="4" t="str">
        <f ca="1">IFERROR(__xludf.DUMMYFUNCTION("""COMPUTED_VALUE"""),"| 5 L CPT % | 6 L PHP-CGM % | 7 P JAVA % | 9 P Python % ")</f>
        <v xml:space="preserve">| 5 L CPT % | 6 L PHP-CGM % | 7 P JAVA % | 9 P Python % </v>
      </c>
      <c r="AF622" s="4" t="str">
        <f ca="1">IFERROR(__xludf.DUMMYFUNCTION("""COMPUTED_VALUE"""),"| 5 L NS @ | 6 L CPT @ | 7 P PRO % | 9 P NS @ ")</f>
        <v xml:space="preserve">| 5 L NS @ | 6 L CPT @ | 7 P PRO % | 9 P NS @ </v>
      </c>
      <c r="AG622" s="4" t="str">
        <f ca="1">IFERROR(__xludf.DUMMYFUNCTION("""COMPUTED_VALUE"""),"| 5 L NS % | 6 L JAVA @ | 7 P PHP-CGM % | 9 P JAVA @ ")</f>
        <v xml:space="preserve">| 5 L NS % | 6 L JAVA @ | 7 P PHP-CGM % | 9 P JAVA @ </v>
      </c>
      <c r="AH622" s="4" t="str">
        <f ca="1">IFERROR(__xludf.DUMMYFUNCTION("""COMPUTED_VALUE"""),"| 5 L NS % | 6 L CPT % | 7 P PRO % | 9 P NS % ")</f>
        <v xml:space="preserve">| 5 L NS % | 6 L CPT % | 7 P PRO % | 9 P NS % </v>
      </c>
      <c r="AI622" s="4" t="str">
        <f ca="1">IFERROR(__xludf.DUMMYFUNCTION("""COMPUTED_VALUE"""),"| 5 L NS % | 6 L JAVA % | 7 P PHP-CGM % | 9 P JAVA % ")</f>
        <v xml:space="preserve">| 5 L NS % | 6 L JAVA % | 7 P PHP-CGM % | 9 P JAVA % </v>
      </c>
      <c r="AJ622" s="4" t="str">
        <f ca="1">IFERROR(__xludf.DUMMYFUNCTION("""COMPUTED_VALUE"""),"| 1 L PHP-CGM % | 6 L JAVA % | 7 P Python % ")</f>
        <v xml:space="preserve">| 1 L PHP-CGM % | 6 L JAVA % | 7 P Python % </v>
      </c>
      <c r="AK622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22" s="4" t="str">
        <f ca="1">IFERROR(__xludf.DUMMYFUNCTION("""COMPUTED_VALUE"""),"| 5 L CPT % | 6 L PHP-CGM % | 7 P JAVA @ | 9 P Python @ ")</f>
        <v xml:space="preserve">| 5 L CPT % | 6 L PHP-CGM % | 7 P JAVA @ | 9 P Python @ </v>
      </c>
      <c r="AM622" s="4" t="str">
        <f ca="1">IFERROR(__xludf.DUMMYFUNCTION("""COMPUTED_VALUE"""),"| 5 L NS @ | 6 L CPT @ | 9 P JAVA @ ")</f>
        <v xml:space="preserve">| 5 L NS @ | 6 L CPT @ | 9 P JAVA @ </v>
      </c>
      <c r="AN622" s="4" t="str">
        <f ca="1">IFERROR(__xludf.DUMMYFUNCTION("""COMPUTED_VALUE"""),"| 5 L NS % | 6 L JAVA % ")</f>
        <v xml:space="preserve">| 5 L NS % | 6 L JAVA % </v>
      </c>
      <c r="AO622" s="4" t="str">
        <f ca="1">IFERROR(__xludf.DUMMYFUNCTION("""COMPUTED_VALUE"""),"| 1 L PHP-CGM % | 6 L JAVA % | 9 L INE @ ")</f>
        <v xml:space="preserve">| 1 L PHP-CGM % | 6 L JAVA % | 9 L INE @ </v>
      </c>
      <c r="AP622" s="4" t="str">
        <f ca="1">IFERROR(__xludf.DUMMYFUNCTION("""COMPUTED_VALUE"""),"| 5 L JAVA % | 6 L NS @ | 7 P CPT % | 9 L CPT % | 6 L PHP-CGM % ")</f>
        <v xml:space="preserve">| 5 L JAVA % | 6 L NS @ | 7 P CPT % | 9 L CPT % | 6 L PHP-CGM % </v>
      </c>
      <c r="AQ622" s="4" t="str">
        <f ca="1">IFERROR(__xludf.DUMMYFUNCTION("""COMPUTED_VALUE"""),"| 5 L CPT % | 6 L PHP-CGM % ")</f>
        <v xml:space="preserve">| 5 L CPT % | 6 L PHP-CGM % </v>
      </c>
      <c r="AR622" s="4" t="str">
        <f ca="1">IFERROR(__xludf.DUMMYFUNCTION("""COMPUTED_VALUE"""),"| 5 L NS % | 6 L CPT % | 7 P PRO % ")</f>
        <v xml:space="preserve">| 5 L NS % | 6 L CPT % | 7 P PRO % </v>
      </c>
      <c r="AS622" s="4" t="str">
        <f ca="1">IFERROR(__xludf.DUMMYFUNCTION("""COMPUTED_VALUE"""),"| 1 L PHP-CGM @ | 6 L JAVA @ | 7 P Python @ | 9 L INE @ ")</f>
        <v xml:space="preserve">| 1 L PHP-CGM @ | 6 L JAVA @ | 7 P Python @ | 9 L INE @ </v>
      </c>
      <c r="AT622" s="4" t="str">
        <f ca="1">IFERROR(__xludf.DUMMYFUNCTION("""COMPUTED_VALUE"""),"| 5 L JAVA % | 6 L NS @ | 7 P CPT @ | 9 L CPT @ | 6 L PHP-CGM @ ")</f>
        <v xml:space="preserve">| 5 L JAVA % | 6 L NS @ | 7 P CPT @ | 9 L CPT @ | 6 L PHP-CGM @ </v>
      </c>
      <c r="AU622" s="4" t="str">
        <f ca="1">IFERROR(__xludf.DUMMYFUNCTION("""COMPUTED_VALUE"""),"| 5 L CPT @ | 6 L PHP-CGM @ | 7 P JAVA @ | 9 P Python @ ")</f>
        <v xml:space="preserve">| 5 L CPT @ | 6 L PHP-CGM @ | 7 P JAVA @ | 9 P Python @ </v>
      </c>
      <c r="AV622" s="4" t="str">
        <f ca="1">IFERROR(__xludf.DUMMYFUNCTION("""COMPUTED_VALUE"""),"| 5 L NS % | 6 L CPT % | 7 P PRO % | 9 P NS % ")</f>
        <v xml:space="preserve">| 5 L NS % | 6 L CPT % | 7 P PRO % | 9 P NS % </v>
      </c>
      <c r="AW622" s="4" t="str">
        <f ca="1">IFERROR(__xludf.DUMMYFUNCTION("""COMPUTED_VALUE"""),"| 5 L NS @ | 6 L JAVA @ | 7 P PHP-CGM @ | 9 P JAVA @ ")</f>
        <v xml:space="preserve">| 5 L NS @ | 6 L JAVA @ | 7 P PHP-CGM @ | 9 P JAVA @ </v>
      </c>
      <c r="AX622" s="4" t="str">
        <f ca="1">IFERROR(__xludf.DUMMYFUNCTION("""COMPUTED_VALUE"""),"| 1 L PHP-CGM % | 6 L JAVA % | 7 P Python % | 9 L INE % ")</f>
        <v xml:space="preserve">| 1 L PHP-CGM % | 6 L JAVA % | 7 P Python % | 9 L INE % </v>
      </c>
      <c r="AY622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22" s="4" t="str">
        <f ca="1">IFERROR(__xludf.DUMMYFUNCTION("""COMPUTED_VALUE"""),"| 5 L NS % | 6 L CPT % | 7 P PRO % | 9 P NS % ")</f>
        <v xml:space="preserve">| 5 L NS % | 6 L CPT % | 7 P PRO % | 9 P NS % </v>
      </c>
      <c r="BA622" s="4" t="str">
        <f ca="1">IFERROR(__xludf.DUMMYFUNCTION("""COMPUTED_VALUE"""),"| 5 L NS % | 6 L JAVA % ")</f>
        <v xml:space="preserve">| 5 L NS % | 6 L JAVA % </v>
      </c>
      <c r="BB622" s="4" t="str">
        <f ca="1">IFERROR(__xludf.DUMMYFUNCTION("""COMPUTED_VALUE"""),"| 1 L PHP-CGM % | 6 L JAVA % | 7 P Python % | 9 L INE % ")</f>
        <v xml:space="preserve">| 1 L PHP-CGM % | 6 L JAVA % | 7 P Python % | 9 L INE % </v>
      </c>
      <c r="BC622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22" s="4" t="str">
        <f ca="1">IFERROR(__xludf.DUMMYFUNCTION("""COMPUTED_VALUE"""),"| 5 L CPT % | 6 L PHP-CGM % | 7 P JAVA % | 9 P Python % ")</f>
        <v xml:space="preserve">| 5 L CPT % | 6 L PHP-CGM % | 7 P JAVA % | 9 P Python % </v>
      </c>
      <c r="BE622" s="4" t="str">
        <f ca="1">IFERROR(__xludf.DUMMYFUNCTION("""COMPUTED_VALUE"""),"| 5 L NS % | 6 L CPT % | 9 P JAVA % | 7 P PRO % | 9 P NS % ")</f>
        <v xml:space="preserve">| 5 L NS % | 6 L CPT % | 9 P JAVA % | 7 P PRO % | 9 P NS % </v>
      </c>
      <c r="BF622" s="4" t="str">
        <f ca="1">IFERROR(__xludf.DUMMYFUNCTION("""COMPUTED_VALUE"""),"| 5 L NS @ | 6 L JAVA % | 7 P PHP-CGM % | 9 P JAVA % ")</f>
        <v xml:space="preserve">| 5 L NS @ | 6 L JAVA % | 7 P PHP-CGM % | 9 P JAVA % </v>
      </c>
      <c r="BG622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22" s="4" t="str">
        <f ca="1">IFERROR(__xludf.DUMMYFUNCTION("""COMPUTED_VALUE"""),"| 5 L CPT % | 7 P JAVA % | 6 L PHP-CGM % | 9 P Python % ")</f>
        <v xml:space="preserve">| 5 L CPT % | 7 P JAVA % | 6 L PHP-CGM % | 9 P Python % </v>
      </c>
      <c r="BI622" s="4" t="str">
        <f ca="1">IFERROR(__xludf.DUMMYFUNCTION("""COMPUTED_VALUE"""),"| 5 L NS % | 6 L CPT @ | 7 P PRO @ | 9 P NS @ ")</f>
        <v xml:space="preserve">| 5 L NS % | 6 L CPT @ | 7 P PRO @ | 9 P NS @ </v>
      </c>
      <c r="BJ622" s="4" t="str">
        <f ca="1">IFERROR(__xludf.DUMMYFUNCTION("""COMPUTED_VALUE"""),"| 5 L NS % | 6 L JAVA % | 7 P PHP-CGM @ ")</f>
        <v xml:space="preserve">| 5 L NS % | 6 L JAVA % | 7 P PHP-CGM @ </v>
      </c>
      <c r="BK622" s="4" t="str">
        <f ca="1">IFERROR(__xludf.DUMMYFUNCTION("""COMPUTED_VALUE"""),"| 1 L PHP-CGM @ | 6 L JAVA @ | 7 P Python @ | 9 L INE @ ")</f>
        <v xml:space="preserve">| 1 L PHP-CGM @ | 6 L JAVA @ | 7 P Python @ | 9 L INE @ </v>
      </c>
      <c r="BL622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22" s="4" t="str">
        <f ca="1">IFERROR(__xludf.DUMMYFUNCTION("""COMPUTED_VALUE"""),"| 5 L CPT @ | 6 L PHP-CGM @ | 7 P JAVA @ | 9 P Python @ ")</f>
        <v xml:space="preserve">| 5 L CPT @ | 6 L PHP-CGM @ | 7 P JAVA @ | 9 P Python @ </v>
      </c>
      <c r="BN622" s="4" t="str">
        <f ca="1">IFERROR(__xludf.DUMMYFUNCTION("""COMPUTED_VALUE"""),"| 5 L NS @ | 6 L CPT @ | 7 P PRO @ | 9 P NS @ ")</f>
        <v xml:space="preserve">| 5 L NS @ | 6 L CPT @ | 7 P PRO @ | 9 P NS @ </v>
      </c>
      <c r="BO622" s="4" t="str">
        <f ca="1">IFERROR(__xludf.DUMMYFUNCTION("""COMPUTED_VALUE"""),"| 5 L NS @ | 6 L JAVA @ ")</f>
        <v xml:space="preserve">| 5 L NS @ | 6 L JAVA @ </v>
      </c>
      <c r="BP622" s="4" t="str">
        <f ca="1">IFERROR(__xludf.DUMMYFUNCTION("""COMPUTED_VALUE"""),"| 1 L PHP-CGM @ | 6 L JAVA @ | 9 L INE @ ")</f>
        <v xml:space="preserve">| 1 L PHP-CGM @ | 6 L JAVA @ | 9 L INE @ </v>
      </c>
      <c r="BQ622" s="4" t="str">
        <f ca="1">IFERROR(__xludf.DUMMYFUNCTION("""COMPUTED_VALUE"""),"| 5 L CPT @ ")</f>
        <v xml:space="preserve">| 5 L CPT @ </v>
      </c>
      <c r="BR622" s="4"/>
      <c r="BS622" s="4" t="str">
        <f ca="1">IFERROR(__xludf.DUMMYFUNCTION("""COMPUTED_VALUE"""),"| 6 L CPT % ")</f>
        <v xml:space="preserve">| 6 L CPT % </v>
      </c>
      <c r="BT622" s="4"/>
      <c r="BU622" s="4"/>
      <c r="BV622" s="4" t="str">
        <f ca="1">IFERROR(__xludf.DUMMYFUNCTION("""COMPUTED_VALUE"""),"| 5 L PHP-CGM % | 6 L JAVA % ")</f>
        <v xml:space="preserve">| 5 L PHP-CGM % | 6 L JAVA % </v>
      </c>
      <c r="BW622" s="4"/>
      <c r="BX622" s="4" t="str">
        <f ca="1">IFERROR(__xludf.DUMMYFUNCTION("""COMPUTED_VALUE"""),"| 5 L CPT % | 7 P JAVA % | 6 L PHP-CGM % ")</f>
        <v xml:space="preserve">| 5 L CPT % | 7 P JAVA % | 6 L PHP-CGM % </v>
      </c>
      <c r="BY622" s="4" t="str">
        <f ca="1">IFERROR(__xludf.DUMMYFUNCTION("""COMPUTED_VALUE"""),"| 5 L NS % | 6 L CPT % | 7 P PRO % | 9 P NS % ")</f>
        <v xml:space="preserve">| 5 L NS % | 6 L CPT % | 7 P PRO % | 9 P NS % </v>
      </c>
      <c r="BZ622" s="4" t="str">
        <f ca="1">IFERROR(__xludf.DUMMYFUNCTION("""COMPUTED_VALUE"""),"| 5 L NS % | 6 L JAVA % | 7 P PHP-CGM % ")</f>
        <v xml:space="preserve">| 5 L NS % | 6 L JAVA % | 7 P PHP-CGM % </v>
      </c>
      <c r="CA622" s="4" t="str">
        <f ca="1">IFERROR(__xludf.DUMMYFUNCTION("""COMPUTED_VALUE"""),"| 1 L PHP-CGM % | 6 L JAVA % | 7 P Python % ")</f>
        <v xml:space="preserve">| 1 L PHP-CGM % | 6 L JAVA % | 7 P Python % </v>
      </c>
      <c r="CB622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CC622" s="4" t="str">
        <f ca="1">IFERROR(__xludf.DUMMYFUNCTION("""COMPUTED_VALUE"""),"| 5 L CPT % | 6 L PHP-CGM % | 7 P JAVA % | 9 P Python % ")</f>
        <v xml:space="preserve">| 5 L CPT % | 6 L PHP-CGM % | 7 P JAVA % | 9 P Python % </v>
      </c>
      <c r="CD622" s="4" t="str">
        <f ca="1">IFERROR(__xludf.DUMMYFUNCTION("""COMPUTED_VALUE"""),"| 5 L NS @ | 6 L CPT @ | 7 P PRO @ ")</f>
        <v xml:space="preserve">| 5 L NS @ | 6 L CPT @ | 7 P PRO @ </v>
      </c>
      <c r="CE622" s="4" t="str">
        <f ca="1">IFERROR(__xludf.DUMMYFUNCTION("""COMPUTED_VALUE"""),"| 5 L NS % | 6 L JAVA % | 7 P PHP-CGM % | 9 P JAVA @ ")</f>
        <v xml:space="preserve">| 5 L NS % | 6 L JAVA % | 7 P PHP-CGM % | 9 P JAVA @ </v>
      </c>
      <c r="CF622" s="4" t="str">
        <f ca="1">IFERROR(__xludf.DUMMYFUNCTION("""COMPUTED_VALUE"""),"| 5 L PHP-CGM @ | 6 L JAVA @ | 7 P Python % | 9 L INE % ")</f>
        <v xml:space="preserve">| 5 L PHP-CGM @ | 6 L JAVA @ | 7 P Python % | 9 L INE % </v>
      </c>
      <c r="CG622" s="4" t="str">
        <f ca="1">IFERROR(__xludf.DUMMYFUNCTION("""COMPUTED_VALUE"""),"| 5 L JAVA % | 6 L NS % ")</f>
        <v xml:space="preserve">| 5 L JAVA % | 6 L NS % </v>
      </c>
      <c r="CH622" s="4" t="str">
        <f ca="1">IFERROR(__xludf.DUMMYFUNCTION("""COMPUTED_VALUE"""),"| 5 L CPT @ | 9 P Python % ")</f>
        <v xml:space="preserve">| 5 L CPT @ | 9 P Python % </v>
      </c>
      <c r="CI622" s="4" t="str">
        <f ca="1">IFERROR(__xludf.DUMMYFUNCTION("""COMPUTED_VALUE"""),"| 5 L NS @ | 6 L CPT @ | 9 P NS % ")</f>
        <v xml:space="preserve">| 5 L NS @ | 6 L CPT @ | 9 P NS % </v>
      </c>
      <c r="CJ622" s="4" t="str">
        <f ca="1">IFERROR(__xludf.DUMMYFUNCTION("""COMPUTED_VALUE"""),"| 5 L NS % ")</f>
        <v xml:space="preserve">| 5 L NS % </v>
      </c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</row>
    <row r="623" spans="1:102" ht="12.5" x14ac:dyDescent="0.25">
      <c r="A623" s="3">
        <f ca="1">IFERROR(__xludf.DUMMYFUNCTION("""COMPUTED_VALUE"""),3)</f>
        <v>3</v>
      </c>
      <c r="B623" s="3" t="str">
        <f ca="1">IFERROR(__xludf.DUMMYFUNCTION("""COMPUTED_VALUE"""),"ITD")</f>
        <v>ITD</v>
      </c>
      <c r="C623" s="32" t="str">
        <f ca="1">IFERROR(__xludf.DUMMYFUNCTION("""COMPUTED_VALUE"""),"23171371169")</f>
        <v>23171371169</v>
      </c>
      <c r="D623" s="4" t="str">
        <f ca="1">IFERROR(__xludf.DUMMYFUNCTION("""COMPUTED_VALUE"""),"TRIVEDI HEER HARPRAKASH")</f>
        <v>TRIVEDI HEER HARPRAKASH</v>
      </c>
      <c r="E623" s="3" t="str">
        <f ca="1">IFERROR(__xludf.DUMMYFUNCTION("""COMPUTED_VALUE"""),"SRC - Eve")</f>
        <v>SRC - Eve</v>
      </c>
      <c r="F623" s="3">
        <f ca="1">IFERROR(__xludf.DUMMYFUNCTION("""COMPUTED_VALUE"""),9879170851)</f>
        <v>9879170851</v>
      </c>
      <c r="G623" s="3">
        <f ca="1">IFERROR(__xludf.DUMMYFUNCTION("""COMPUTED_VALUE"""),9824311778)</f>
        <v>9824311778</v>
      </c>
      <c r="H623" s="33">
        <f ca="1">IFERROR(__xludf.DUMMYFUNCTION("""COMPUTED_VALUE"""),0.611872146118721)</f>
        <v>0.61187214611872098</v>
      </c>
      <c r="I623" s="25">
        <f ca="1">IFERROR(__xludf.DUMMYFUNCTION("""COMPUTED_VALUE"""),0.583333333333333)</f>
        <v>0.58333333333333304</v>
      </c>
      <c r="J623" s="25">
        <f ca="1">IFERROR(__xludf.DUMMYFUNCTION("""COMPUTED_VALUE"""),0.5)</f>
        <v>0.5</v>
      </c>
      <c r="K623" s="25">
        <f ca="1">IFERROR(__xludf.DUMMYFUNCTION("""COMPUTED_VALUE"""),0.638888888888888)</f>
        <v>0.63888888888888795</v>
      </c>
      <c r="L623" s="25">
        <f ca="1">IFERROR(__xludf.DUMMYFUNCTION("""COMPUTED_VALUE"""),0.6)</f>
        <v>0.6</v>
      </c>
      <c r="M623" s="25">
        <f ca="1">IFERROR(__xludf.DUMMYFUNCTION("""COMPUTED_VALUE"""),0.625)</f>
        <v>0.625</v>
      </c>
      <c r="N623" s="25">
        <f ca="1">IFERROR(__xludf.DUMMYFUNCTION("""COMPUTED_VALUE"""),0.5)</f>
        <v>0.5</v>
      </c>
      <c r="O623" s="25">
        <f ca="1">IFERROR(__xludf.DUMMYFUNCTION("""COMPUTED_VALUE"""),0.676470588235294)</f>
        <v>0.67647058823529405</v>
      </c>
      <c r="P623" s="25">
        <f ca="1">IFERROR(__xludf.DUMMYFUNCTION("""COMPUTED_VALUE"""),0.470588235294117)</f>
        <v>0.47058823529411697</v>
      </c>
      <c r="Q623" s="25">
        <f ca="1">IFERROR(__xludf.DUMMYFUNCTION("""COMPUTED_VALUE"""),0)</f>
        <v>0</v>
      </c>
      <c r="R623" s="25">
        <f ca="1">IFERROR(__xludf.DUMMYFUNCTION("""COMPUTED_VALUE"""),0.666666666666666)</f>
        <v>0.66666666666666596</v>
      </c>
      <c r="S623" s="25">
        <f ca="1">IFERROR(__xludf.DUMMYFUNCTION("""COMPUTED_VALUE"""),0)</f>
        <v>0</v>
      </c>
      <c r="T623" s="25">
        <f ca="1">IFERROR(__xludf.DUMMYFUNCTION("""COMPUTED_VALUE"""),0.818181818181818)</f>
        <v>0.81818181818181801</v>
      </c>
      <c r="U623" s="25">
        <f ca="1">IFERROR(__xludf.DUMMYFUNCTION("""COMPUTED_VALUE"""),0.428571428571428)</f>
        <v>0.42857142857142799</v>
      </c>
      <c r="V623" s="25">
        <f ca="1">IFERROR(__xludf.DUMMYFUNCTION("""COMPUTED_VALUE"""),0)</f>
        <v>0</v>
      </c>
      <c r="W623" s="4"/>
      <c r="X623" s="4" t="str">
        <f ca="1">IFERROR(__xludf.DUMMYFUNCTION("""COMPUTED_VALUE"""),"| 1 L PHP-CGM % | 6 L JAVA % | 7 P Python % ")</f>
        <v xml:space="preserve">| 1 L PHP-CGM % | 6 L JAVA % | 7 P Python % </v>
      </c>
      <c r="Y623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23" s="4" t="str">
        <f ca="1">IFERROR(__xludf.DUMMYFUNCTION("""COMPUTED_VALUE"""),"| 5 L CPT @ | 6 L PHP-CGM @ | 7 P JAVA @ | 9 P Python @ ")</f>
        <v xml:space="preserve">| 5 L CPT @ | 6 L PHP-CGM @ | 7 P JAVA @ | 9 P Python @ </v>
      </c>
      <c r="AA623" s="4" t="str">
        <f ca="1">IFERROR(__xludf.DUMMYFUNCTION("""COMPUTED_VALUE"""),"| 5 L NS @ | 6 L CPT @ | 7 P PRO @ | 9 P NS @ ")</f>
        <v xml:space="preserve">| 5 L NS @ | 6 L CPT @ | 7 P PRO @ | 9 P NS @ </v>
      </c>
      <c r="AB623" s="4" t="str">
        <f ca="1">IFERROR(__xludf.DUMMYFUNCTION("""COMPUTED_VALUE"""),"| 5 L NS % | 6 L JAVA % | 7 P PHP-CGM @ | 9 P JAVA @ ")</f>
        <v xml:space="preserve">| 5 L NS % | 6 L JAVA % | 7 P PHP-CGM @ | 9 P JAVA @ </v>
      </c>
      <c r="AC623" s="4" t="str">
        <f ca="1">IFERROR(__xludf.DUMMYFUNCTION("""COMPUTED_VALUE"""),"| 1 L PHP-CGM % | 6 L JAVA % | 7 P Python % ")</f>
        <v xml:space="preserve">| 1 L PHP-CGM % | 6 L JAVA % | 7 P Python % </v>
      </c>
      <c r="AD623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23" s="4" t="str">
        <f ca="1">IFERROR(__xludf.DUMMYFUNCTION("""COMPUTED_VALUE"""),"| 5 L CPT % | 6 L PHP-CGM % | 7 P JAVA @ | 9 P Python @ ")</f>
        <v xml:space="preserve">| 5 L CPT % | 6 L PHP-CGM % | 7 P JAVA @ | 9 P Python @ </v>
      </c>
      <c r="AF623" s="4" t="str">
        <f ca="1">IFERROR(__xludf.DUMMYFUNCTION("""COMPUTED_VALUE"""),"| 5 L NS % | 6 L CPT % | 7 P PRO % | 9 P NS % ")</f>
        <v xml:space="preserve">| 5 L NS % | 6 L CPT % | 7 P PRO % | 9 P NS % </v>
      </c>
      <c r="AG623" s="4" t="str">
        <f ca="1">IFERROR(__xludf.DUMMYFUNCTION("""COMPUTED_VALUE"""),"| 5 L NS % | 6 L JAVA % | 7 P PHP-CGM @ | 9 P JAVA @ ")</f>
        <v xml:space="preserve">| 5 L NS % | 6 L JAVA % | 7 P PHP-CGM @ | 9 P JAVA @ </v>
      </c>
      <c r="AH623" s="4" t="str">
        <f ca="1">IFERROR(__xludf.DUMMYFUNCTION("""COMPUTED_VALUE"""),"| 5 L NS % | 6 L CPT % | 7 P PRO % | 9 P NS @ ")</f>
        <v xml:space="preserve">| 5 L NS % | 6 L CPT % | 7 P PRO % | 9 P NS @ </v>
      </c>
      <c r="AI623" s="4" t="str">
        <f ca="1">IFERROR(__xludf.DUMMYFUNCTION("""COMPUTED_VALUE"""),"| 5 L NS % | 6 L JAVA % | 7 P PHP-CGM % | 9 P JAVA @ ")</f>
        <v xml:space="preserve">| 5 L NS % | 6 L JAVA % | 7 P PHP-CGM % | 9 P JAVA @ </v>
      </c>
      <c r="AJ623" s="4" t="str">
        <f ca="1">IFERROR(__xludf.DUMMYFUNCTION("""COMPUTED_VALUE"""),"| 1 L PHP-CGM % | 6 L JAVA % | 7 P Python % ")</f>
        <v xml:space="preserve">| 1 L PHP-CGM % | 6 L JAVA % | 7 P Python % </v>
      </c>
      <c r="AK623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L623" s="4" t="str">
        <f ca="1">IFERROR(__xludf.DUMMYFUNCTION("""COMPUTED_VALUE"""),"| 5 L CPT % | 6 L PHP-CGM % | 7 P JAVA % | 9 P Python % ")</f>
        <v xml:space="preserve">| 5 L CPT % | 6 L PHP-CGM % | 7 P JAVA % | 9 P Python % </v>
      </c>
      <c r="AM623" s="4" t="str">
        <f ca="1">IFERROR(__xludf.DUMMYFUNCTION("""COMPUTED_VALUE"""),"| 5 L NS % | 6 L CPT % | 9 P JAVA % ")</f>
        <v xml:space="preserve">| 5 L NS % | 6 L CPT % | 9 P JAVA % </v>
      </c>
      <c r="AN623" s="4" t="str">
        <f ca="1">IFERROR(__xludf.DUMMYFUNCTION("""COMPUTED_VALUE"""),"| 5 L NS @ | 6 L JAVA @ ")</f>
        <v xml:space="preserve">| 5 L NS @ | 6 L JAVA @ </v>
      </c>
      <c r="AO623" s="4" t="str">
        <f ca="1">IFERROR(__xludf.DUMMYFUNCTION("""COMPUTED_VALUE"""),"| 1 L PHP-CGM @ | 6 L JAVA @ | 9 L INE @ ")</f>
        <v xml:space="preserve">| 1 L PHP-CGM @ | 6 L JAVA @ | 9 L INE @ </v>
      </c>
      <c r="AP623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23" s="4" t="str">
        <f ca="1">IFERROR(__xludf.DUMMYFUNCTION("""COMPUTED_VALUE"""),"| 5 L CPT % | 6 L PHP-CGM % ")</f>
        <v xml:space="preserve">| 5 L CPT % | 6 L PHP-CGM % </v>
      </c>
      <c r="AR623" s="4" t="str">
        <f ca="1">IFERROR(__xludf.DUMMYFUNCTION("""COMPUTED_VALUE"""),"| 5 L NS % | 6 L CPT % | 7 P PRO % ")</f>
        <v xml:space="preserve">| 5 L NS % | 6 L CPT % | 7 P PRO % </v>
      </c>
      <c r="AS623" s="4" t="str">
        <f ca="1">IFERROR(__xludf.DUMMYFUNCTION("""COMPUTED_VALUE"""),"| 1 L PHP-CGM % | 6 L JAVA % | 7 P Python % | 9 L INE % ")</f>
        <v xml:space="preserve">| 1 L PHP-CGM % | 6 L JAVA % | 7 P Python % | 9 L INE % </v>
      </c>
      <c r="AT623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23" s="4" t="str">
        <f ca="1">IFERROR(__xludf.DUMMYFUNCTION("""COMPUTED_VALUE"""),"| 5 L CPT % | 6 L PHP-CGM % | 7 P JAVA % | 9 P Python % ")</f>
        <v xml:space="preserve">| 5 L CPT % | 6 L PHP-CGM % | 7 P JAVA % | 9 P Python % </v>
      </c>
      <c r="AV623" s="4" t="str">
        <f ca="1">IFERROR(__xludf.DUMMYFUNCTION("""COMPUTED_VALUE"""),"| 5 L NS % | 6 L CPT % | 7 P PRO % | 9 P NS % ")</f>
        <v xml:space="preserve">| 5 L NS % | 6 L CPT % | 7 P PRO % | 9 P NS % </v>
      </c>
      <c r="AW623" s="4" t="str">
        <f ca="1">IFERROR(__xludf.DUMMYFUNCTION("""COMPUTED_VALUE"""),"| 5 L NS % | 6 L JAVA % | 7 P PHP-CGM % | 9 P JAVA @ ")</f>
        <v xml:space="preserve">| 5 L NS % | 6 L JAVA % | 7 P PHP-CGM % | 9 P JAVA @ </v>
      </c>
      <c r="AX623" s="4" t="str">
        <f ca="1">IFERROR(__xludf.DUMMYFUNCTION("""COMPUTED_VALUE"""),"| 1 L PHP-CGM % | 6 L JAVA % | 7 P Python % | 9 L INE % ")</f>
        <v xml:space="preserve">| 1 L PHP-CGM % | 6 L JAVA % | 7 P Python % | 9 L INE % </v>
      </c>
      <c r="AY623" s="4" t="str">
        <f ca="1">IFERROR(__xludf.DUMMYFUNCTION("""COMPUTED_VALUE"""),"| 5 L JAVA % | 6 L NS % | 7 P CPT @ | 9 L CPT @ | 11 L PHP-CGM % ")</f>
        <v xml:space="preserve">| 5 L JAVA % | 6 L NS % | 7 P CPT @ | 9 L CPT @ | 11 L PHP-CGM % </v>
      </c>
      <c r="AZ623" s="4" t="str">
        <f ca="1">IFERROR(__xludf.DUMMYFUNCTION("""COMPUTED_VALUE"""),"| 5 L NS % | 6 L CPT % | 7 P PRO % | 9 P NS % ")</f>
        <v xml:space="preserve">| 5 L NS % | 6 L CPT % | 7 P PRO % | 9 P NS % </v>
      </c>
      <c r="BA623" s="4" t="str">
        <f ca="1">IFERROR(__xludf.DUMMYFUNCTION("""COMPUTED_VALUE"""),"| 5 L NS % | 6 L JAVA % ")</f>
        <v xml:space="preserve">| 5 L NS % | 6 L JAVA % </v>
      </c>
      <c r="BB623" s="4" t="str">
        <f ca="1">IFERROR(__xludf.DUMMYFUNCTION("""COMPUTED_VALUE"""),"| 1 L PHP-CGM @ | 6 L JAVA @ | 7 P Python @ | 9 L INE @ ")</f>
        <v xml:space="preserve">| 1 L PHP-CGM @ | 6 L JAVA @ | 7 P Python @ | 9 L INE @ </v>
      </c>
      <c r="BC623" s="4" t="str">
        <f ca="1">IFERROR(__xludf.DUMMYFUNCTION("""COMPUTED_VALUE"""),"| 5 L JAVA @ | 6 L NS @ | 7 P CPT @ | 10 L PHP-CGM @ | 9 L CPT @ ")</f>
        <v xml:space="preserve">| 5 L JAVA @ | 6 L NS @ | 7 P CPT @ | 10 L PHP-CGM @ | 9 L CPT @ </v>
      </c>
      <c r="BD623" s="4" t="str">
        <f ca="1">IFERROR(__xludf.DUMMYFUNCTION("""COMPUTED_VALUE"""),"| 5 L CPT % | 6 L PHP-CGM % | 7 P JAVA % | 9 P Python % ")</f>
        <v xml:space="preserve">| 5 L CPT % | 6 L PHP-CGM % | 7 P JAVA % | 9 P Python % </v>
      </c>
      <c r="BE623" s="4" t="str">
        <f ca="1">IFERROR(__xludf.DUMMYFUNCTION("""COMPUTED_VALUE"""),"| 5 L NS % | 6 L CPT % | 9 P JAVA % | 7 P PRO % | 9 P NS % ")</f>
        <v xml:space="preserve">| 5 L NS % | 6 L CPT % | 9 P JAVA % | 7 P PRO % | 9 P NS % </v>
      </c>
      <c r="BF623" s="4" t="str">
        <f ca="1">IFERROR(__xludf.DUMMYFUNCTION("""COMPUTED_VALUE"""),"| 5 L NS @ | 6 L JAVA % | 7 P PHP-CGM % | 9 P JAVA % ")</f>
        <v xml:space="preserve">| 5 L NS @ | 6 L JAVA % | 7 P PHP-CGM % | 9 P JAVA % </v>
      </c>
      <c r="BG623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23" s="4" t="str">
        <f ca="1">IFERROR(__xludf.DUMMYFUNCTION("""COMPUTED_VALUE"""),"| 5 L CPT % | 7 P JAVA % | 6 L PHP-CGM % | 9 P Python % ")</f>
        <v xml:space="preserve">| 5 L CPT % | 7 P JAVA % | 6 L PHP-CGM % | 9 P Python % </v>
      </c>
      <c r="BI623" s="4" t="str">
        <f ca="1">IFERROR(__xludf.DUMMYFUNCTION("""COMPUTED_VALUE"""),"| 5 L NS % | 6 L CPT % | 7 P PRO % | 9 P NS @ ")</f>
        <v xml:space="preserve">| 5 L NS % | 6 L CPT % | 7 P PRO % | 9 P NS @ </v>
      </c>
      <c r="BJ623" s="4" t="str">
        <f ca="1">IFERROR(__xludf.DUMMYFUNCTION("""COMPUTED_VALUE"""),"| 5 L NS % | 6 L JAVA % | 7 P PHP-CGM @ ")</f>
        <v xml:space="preserve">| 5 L NS % | 6 L JAVA % | 7 P PHP-CGM @ </v>
      </c>
      <c r="BK623" s="4" t="str">
        <f ca="1">IFERROR(__xludf.DUMMYFUNCTION("""COMPUTED_VALUE"""),"| 1 L PHP-CGM % | 6 L JAVA % | 7 P Python @ | 9 L INE @ ")</f>
        <v xml:space="preserve">| 1 L PHP-CGM % | 6 L JAVA % | 7 P Python @ | 9 L INE @ </v>
      </c>
      <c r="BL623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23" s="4" t="str">
        <f ca="1">IFERROR(__xludf.DUMMYFUNCTION("""COMPUTED_VALUE"""),"| 5 L CPT @ | 6 L PHP-CGM @ | 7 P JAVA @ | 9 P Python @ ")</f>
        <v xml:space="preserve">| 5 L CPT @ | 6 L PHP-CGM @ | 7 P JAVA @ | 9 P Python @ </v>
      </c>
      <c r="BN623" s="4" t="str">
        <f ca="1">IFERROR(__xludf.DUMMYFUNCTION("""COMPUTED_VALUE"""),"| 5 L NS % | 6 L CPT @ | 7 P PRO % | 9 P NS % ")</f>
        <v xml:space="preserve">| 5 L NS % | 6 L CPT @ | 7 P PRO % | 9 P NS % </v>
      </c>
      <c r="BO623" s="4" t="str">
        <f ca="1">IFERROR(__xludf.DUMMYFUNCTION("""COMPUTED_VALUE"""),"| 5 L NS @ | 6 L JAVA @ ")</f>
        <v xml:space="preserve">| 5 L NS @ | 6 L JAVA @ </v>
      </c>
      <c r="BP623" s="4" t="str">
        <f ca="1">IFERROR(__xludf.DUMMYFUNCTION("""COMPUTED_VALUE"""),"| 1 L PHP-CGM @ | 6 L JAVA @ | 9 L INE @ ")</f>
        <v xml:space="preserve">| 1 L PHP-CGM @ | 6 L JAVA @ | 9 L INE @ </v>
      </c>
      <c r="BQ623" s="4" t="str">
        <f ca="1">IFERROR(__xludf.DUMMYFUNCTION("""COMPUTED_VALUE"""),"| 5 L CPT @ ")</f>
        <v xml:space="preserve">| 5 L CPT @ </v>
      </c>
      <c r="BR623" s="4"/>
      <c r="BS623" s="4" t="str">
        <f ca="1">IFERROR(__xludf.DUMMYFUNCTION("""COMPUTED_VALUE"""),"| 6 L CPT % ")</f>
        <v xml:space="preserve">| 6 L CPT % </v>
      </c>
      <c r="BT623" s="4"/>
      <c r="BU623" s="4"/>
      <c r="BV623" s="4" t="str">
        <f ca="1">IFERROR(__xludf.DUMMYFUNCTION("""COMPUTED_VALUE"""),"| 5 L PHP-CGM @ | 6 L JAVA @ ")</f>
        <v xml:space="preserve">| 5 L PHP-CGM @ | 6 L JAVA @ </v>
      </c>
      <c r="BW623" s="4"/>
      <c r="BX623" s="4" t="str">
        <f ca="1">IFERROR(__xludf.DUMMYFUNCTION("""COMPUTED_VALUE"""),"| 5 L CPT % | 7 P JAVA @ | 6 L PHP-CGM % ")</f>
        <v xml:space="preserve">| 5 L CPT % | 7 P JAVA @ | 6 L PHP-CGM % </v>
      </c>
      <c r="BY623" s="4" t="str">
        <f ca="1">IFERROR(__xludf.DUMMYFUNCTION("""COMPUTED_VALUE"""),"| 5 L NS @ | 6 L CPT @ | 7 P PRO @ | 9 P NS @ ")</f>
        <v xml:space="preserve">| 5 L NS @ | 6 L CPT @ | 7 P PRO @ | 9 P NS @ </v>
      </c>
      <c r="BZ623" s="4" t="str">
        <f ca="1">IFERROR(__xludf.DUMMYFUNCTION("""COMPUTED_VALUE"""),"| 5 L NS @ | 6 L JAVA @ | 7 P PHP-CGM @ ")</f>
        <v xml:space="preserve">| 5 L NS @ | 6 L JAVA @ | 7 P PHP-CGM @ </v>
      </c>
      <c r="CA623" s="4" t="str">
        <f ca="1">IFERROR(__xludf.DUMMYFUNCTION("""COMPUTED_VALUE"""),"| 1 L PHP-CGM % | 6 L JAVA % | 7 P Python % ")</f>
        <v xml:space="preserve">| 1 L PHP-CGM % | 6 L JAVA % | 7 P Python % </v>
      </c>
      <c r="CB623" s="4" t="str">
        <f ca="1">IFERROR(__xludf.DUMMYFUNCTION("""COMPUTED_VALUE"""),"| 5 L JAVA % | 6 L NS % | 7 P CPT % | 9 L CPT % | 10 L PHP-CGM % ")</f>
        <v xml:space="preserve">| 5 L JAVA % | 6 L NS % | 7 P CPT % | 9 L CPT % | 10 L PHP-CGM % </v>
      </c>
      <c r="CC623" s="4" t="str">
        <f ca="1">IFERROR(__xludf.DUMMYFUNCTION("""COMPUTED_VALUE"""),"| 5 L CPT @ | 6 L PHP-CGM @ | 7 P JAVA @ | 9 P Python @ ")</f>
        <v xml:space="preserve">| 5 L CPT @ | 6 L PHP-CGM @ | 7 P JAVA @ | 9 P Python @ </v>
      </c>
      <c r="CD623" s="4" t="str">
        <f ca="1">IFERROR(__xludf.DUMMYFUNCTION("""COMPUTED_VALUE"""),"| 5 L NS @ | 6 L CPT @ | 7 P PRO % ")</f>
        <v xml:space="preserve">| 5 L NS @ | 6 L CPT @ | 7 P PRO % </v>
      </c>
      <c r="CE623" s="4" t="str">
        <f ca="1">IFERROR(__xludf.DUMMYFUNCTION("""COMPUTED_VALUE"""),"| 5 L NS @ | 6 L JAVA @ | 7 P PHP-CGM % | 9 P JAVA % ")</f>
        <v xml:space="preserve">| 5 L NS @ | 6 L JAVA @ | 7 P PHP-CGM % | 9 P JAVA % </v>
      </c>
      <c r="CF623" s="4" t="str">
        <f ca="1">IFERROR(__xludf.DUMMYFUNCTION("""COMPUTED_VALUE"""),"| 5 L PHP-CGM @ | 6 L JAVA % | 7 P Python % | 9 L INE % ")</f>
        <v xml:space="preserve">| 5 L PHP-CGM @ | 6 L JAVA % | 7 P Python % | 9 L INE % </v>
      </c>
      <c r="CG623" s="4" t="str">
        <f ca="1">IFERROR(__xludf.DUMMYFUNCTION("""COMPUTED_VALUE"""),"| 5 L JAVA % | 6 L NS % ")</f>
        <v xml:space="preserve">| 5 L JAVA % | 6 L NS % </v>
      </c>
      <c r="CH623" s="4" t="str">
        <f ca="1">IFERROR(__xludf.DUMMYFUNCTION("""COMPUTED_VALUE"""),"| 5 L CPT @ | 9 P Python % ")</f>
        <v xml:space="preserve">| 5 L CPT @ | 9 P Python % </v>
      </c>
      <c r="CI623" s="4" t="str">
        <f ca="1">IFERROR(__xludf.DUMMYFUNCTION("""COMPUTED_VALUE"""),"| 5 L NS @ | 6 L CPT @ | 9 P NS % ")</f>
        <v xml:space="preserve">| 5 L NS @ | 6 L CPT @ | 9 P NS % </v>
      </c>
      <c r="CJ623" s="4" t="str">
        <f ca="1">IFERROR(__xludf.DUMMYFUNCTION("""COMPUTED_VALUE"""),"| 5 L NS @ ")</f>
        <v xml:space="preserve">| 5 L NS @ </v>
      </c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</row>
    <row r="624" spans="1:102" ht="12.5" x14ac:dyDescent="0.25">
      <c r="A624" s="3">
        <f ca="1">IFERROR(__xludf.DUMMYFUNCTION("""COMPUTED_VALUE"""),3)</f>
        <v>3</v>
      </c>
      <c r="B624" s="3" t="str">
        <f ca="1">IFERROR(__xludf.DUMMYFUNCTION("""COMPUTED_VALUE"""),"ITD")</f>
        <v>ITD</v>
      </c>
      <c r="C624" s="32" t="str">
        <f ca="1">IFERROR(__xludf.DUMMYFUNCTION("""COMPUTED_VALUE"""),"23171371174")</f>
        <v>23171371174</v>
      </c>
      <c r="D624" s="4" t="str">
        <f ca="1">IFERROR(__xludf.DUMMYFUNCTION("""COMPUTED_VALUE"""),"YOGI KRUNAL SHANKARBHAI")</f>
        <v>YOGI KRUNAL SHANKARBHAI</v>
      </c>
      <c r="E624" s="3" t="str">
        <f ca="1">IFERROR(__xludf.DUMMYFUNCTION("""COMPUTED_VALUE"""),"SRC - Eve")</f>
        <v>SRC - Eve</v>
      </c>
      <c r="F624" s="3">
        <f ca="1">IFERROR(__xludf.DUMMYFUNCTION("""COMPUTED_VALUE"""),7863046114)</f>
        <v>7863046114</v>
      </c>
      <c r="G624" s="3">
        <f ca="1">IFERROR(__xludf.DUMMYFUNCTION("""COMPUTED_VALUE"""),9924930291)</f>
        <v>9924930291</v>
      </c>
      <c r="H624" s="33">
        <f ca="1">IFERROR(__xludf.DUMMYFUNCTION("""COMPUTED_VALUE"""),0.465753424657534)</f>
        <v>0.465753424657534</v>
      </c>
      <c r="I624" s="25">
        <f ca="1">IFERROR(__xludf.DUMMYFUNCTION("""COMPUTED_VALUE"""),0.444444444444444)</f>
        <v>0.44444444444444398</v>
      </c>
      <c r="J624" s="25">
        <f ca="1">IFERROR(__xludf.DUMMYFUNCTION("""COMPUTED_VALUE"""),0.6)</f>
        <v>0.6</v>
      </c>
      <c r="K624" s="25">
        <f ca="1">IFERROR(__xludf.DUMMYFUNCTION("""COMPUTED_VALUE"""),0.405405405405405)</f>
        <v>0.40540540540540498</v>
      </c>
      <c r="L624" s="25">
        <f ca="1">IFERROR(__xludf.DUMMYFUNCTION("""COMPUTED_VALUE"""),0.333333333333333)</f>
        <v>0.33333333333333298</v>
      </c>
      <c r="M624" s="25">
        <f ca="1">IFERROR(__xludf.DUMMYFUNCTION("""COMPUTED_VALUE"""),0.533333333333333)</f>
        <v>0.53333333333333299</v>
      </c>
      <c r="N624" s="25">
        <f ca="1">IFERROR(__xludf.DUMMYFUNCTION("""COMPUTED_VALUE"""),0.25)</f>
        <v>0.25</v>
      </c>
      <c r="O624" s="25">
        <f ca="1">IFERROR(__xludf.DUMMYFUNCTION("""COMPUTED_VALUE"""),0.558823529411764)</f>
        <v>0.55882352941176405</v>
      </c>
      <c r="P624" s="25">
        <f ca="1">IFERROR(__xludf.DUMMYFUNCTION("""COMPUTED_VALUE"""),0.375)</f>
        <v>0.375</v>
      </c>
      <c r="Q624" s="25">
        <f ca="1">IFERROR(__xludf.DUMMYFUNCTION("""COMPUTED_VALUE"""),0)</f>
        <v>0</v>
      </c>
      <c r="R624" s="25">
        <f ca="1">IFERROR(__xludf.DUMMYFUNCTION("""COMPUTED_VALUE"""),0.647058823529411)</f>
        <v>0.64705882352941102</v>
      </c>
      <c r="S624" s="25">
        <f ca="1">IFERROR(__xludf.DUMMYFUNCTION("""COMPUTED_VALUE"""),0)</f>
        <v>0</v>
      </c>
      <c r="T624" s="25">
        <f ca="1">IFERROR(__xludf.DUMMYFUNCTION("""COMPUTED_VALUE"""),0.416666666666666)</f>
        <v>0.41666666666666602</v>
      </c>
      <c r="U624" s="25">
        <f ca="1">IFERROR(__xludf.DUMMYFUNCTION("""COMPUTED_VALUE"""),0.285714285714285)</f>
        <v>0.28571428571428498</v>
      </c>
      <c r="V624" s="25">
        <f ca="1">IFERROR(__xludf.DUMMYFUNCTION("""COMPUTED_VALUE"""),0)</f>
        <v>0</v>
      </c>
      <c r="W624" s="4"/>
      <c r="X624" s="4" t="str">
        <f ca="1">IFERROR(__xludf.DUMMYFUNCTION("""COMPUTED_VALUE"""),"| 1 P NS @ | 3 L CPT @ | 4 L JAVA @ ")</f>
        <v xml:space="preserve">| 1 P NS @ | 3 L CPT @ | 4 L JAVA @ </v>
      </c>
      <c r="Y624" s="4" t="str">
        <f ca="1">IFERROR(__xludf.DUMMYFUNCTION("""COMPUTED_VALUE"""),"| 1 P CPT @ | 3 L JAVA @ | 4 L NS @ | 5 P PRO @ ")</f>
        <v xml:space="preserve">| 1 P CPT @ | 3 L JAVA @ | 4 L NS @ | 5 P PRO @ </v>
      </c>
      <c r="Z624" s="4" t="str">
        <f ca="1">IFERROR(__xludf.DUMMYFUNCTION("""COMPUTED_VALUE"""),"| 3 L PHP-CGM @ | 4 L NS @ | 5 P Python @ ")</f>
        <v xml:space="preserve">| 3 L PHP-CGM @ | 4 L NS @ | 5 P Python @ </v>
      </c>
      <c r="AA624" s="4" t="str">
        <f ca="1">IFERROR(__xludf.DUMMYFUNCTION("""COMPUTED_VALUE"""),"| 1 P NS @ | 3 L CPT @ | 5 L NS @ | 6 L CPT % | 7 P PRO @ | 9 P NS @ ")</f>
        <v xml:space="preserve">| 1 P NS @ | 3 L CPT @ | 5 L NS @ | 6 L CPT % | 7 P PRO @ | 9 P NS @ </v>
      </c>
      <c r="AB624" s="4" t="str">
        <f ca="1">IFERROR(__xludf.DUMMYFUNCTION("""COMPUTED_VALUE"""),"| 5 L NS % | 6 L JAVA % | 7 P PHP-CGM % | 9 P JAVA % ")</f>
        <v xml:space="preserve">| 5 L NS % | 6 L JAVA % | 7 P PHP-CGM % | 9 P JAVA % </v>
      </c>
      <c r="AC624" s="4" t="str">
        <f ca="1">IFERROR(__xludf.DUMMYFUNCTION("""COMPUTED_VALUE"""),"| 1 L PHP-CGM % | 6 L JAVA % | 7 P Python % ")</f>
        <v xml:space="preserve">| 1 L PHP-CGM % | 6 L JAVA % | 7 P Python % </v>
      </c>
      <c r="AD624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24" s="4" t="str">
        <f ca="1">IFERROR(__xludf.DUMMYFUNCTION("""COMPUTED_VALUE"""),"| 5 L CPT @ | 6 L PHP-CGM @ | 7 P JAVA @ | 9 P Python @ ")</f>
        <v xml:space="preserve">| 5 L CPT @ | 6 L PHP-CGM @ | 7 P JAVA @ | 9 P Python @ </v>
      </c>
      <c r="AF624" s="4" t="str">
        <f ca="1">IFERROR(__xludf.DUMMYFUNCTION("""COMPUTED_VALUE"""),"| 5 L NS % | 6 L CPT % | 7 P PRO % | 9 P NS % ")</f>
        <v xml:space="preserve">| 5 L NS % | 6 L CPT % | 7 P PRO % | 9 P NS % </v>
      </c>
      <c r="AG624" s="4" t="str">
        <f ca="1">IFERROR(__xludf.DUMMYFUNCTION("""COMPUTED_VALUE"""),"| 5 L NS % | 6 L JAVA % | 7 P PHP-CGM % | 9 P JAVA % ")</f>
        <v xml:space="preserve">| 5 L NS % | 6 L JAVA % | 7 P PHP-CGM % | 9 P JAVA % </v>
      </c>
      <c r="AH624" s="4" t="str">
        <f ca="1">IFERROR(__xludf.DUMMYFUNCTION("""COMPUTED_VALUE"""),"| 5 L NS % | 6 L CPT % | 7 P PRO % | 9 P NS % ")</f>
        <v xml:space="preserve">| 5 L NS % | 6 L CPT % | 7 P PRO % | 9 P NS % </v>
      </c>
      <c r="AI624" s="4" t="str">
        <f ca="1">IFERROR(__xludf.DUMMYFUNCTION("""COMPUTED_VALUE"""),"| 5 L NS @ | 6 L JAVA @ | 7 P PHP-CGM @ | 9 P JAVA @ ")</f>
        <v xml:space="preserve">| 5 L NS @ | 6 L JAVA @ | 7 P PHP-CGM @ | 9 P JAVA @ </v>
      </c>
      <c r="AJ624" s="4" t="str">
        <f ca="1">IFERROR(__xludf.DUMMYFUNCTION("""COMPUTED_VALUE"""),"| 1 L PHP-CGM % | 6 L JAVA % | 7 P Python % ")</f>
        <v xml:space="preserve">| 1 L PHP-CGM % | 6 L JAVA % | 7 P Python % </v>
      </c>
      <c r="AK624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AL624" s="4" t="str">
        <f ca="1">IFERROR(__xludf.DUMMYFUNCTION("""COMPUTED_VALUE"""),"| 5 L CPT @ | 6 L PHP-CGM @ | 7 P JAVA % | 9 P Python % ")</f>
        <v xml:space="preserve">| 5 L CPT @ | 6 L PHP-CGM @ | 7 P JAVA % | 9 P Python % </v>
      </c>
      <c r="AM624" s="4" t="str">
        <f ca="1">IFERROR(__xludf.DUMMYFUNCTION("""COMPUTED_VALUE"""),"| 5 L NS % | 6 L CPT % | 9 P JAVA % ")</f>
        <v xml:space="preserve">| 5 L NS % | 6 L CPT % | 9 P JAVA % </v>
      </c>
      <c r="AN624" s="4" t="str">
        <f ca="1">IFERROR(__xludf.DUMMYFUNCTION("""COMPUTED_VALUE"""),"| 5 L NS @ | 6 L JAVA @ ")</f>
        <v xml:space="preserve">| 5 L NS @ | 6 L JAVA @ </v>
      </c>
      <c r="AO624" s="4" t="str">
        <f ca="1">IFERROR(__xludf.DUMMYFUNCTION("""COMPUTED_VALUE"""),"| 1 L PHP-CGM % | 6 L JAVA % | 9 L INE @ ")</f>
        <v xml:space="preserve">| 1 L PHP-CGM % | 6 L JAVA % | 9 L INE @ </v>
      </c>
      <c r="AP624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AQ624" s="4" t="str">
        <f ca="1">IFERROR(__xludf.DUMMYFUNCTION("""COMPUTED_VALUE"""),"| 5 L CPT % | 6 L PHP-CGM % ")</f>
        <v xml:space="preserve">| 5 L CPT % | 6 L PHP-CGM % </v>
      </c>
      <c r="AR624" s="4" t="str">
        <f ca="1">IFERROR(__xludf.DUMMYFUNCTION("""COMPUTED_VALUE"""),"| 5 L NS % | 6 L CPT % | 7 P PRO % ")</f>
        <v xml:space="preserve">| 5 L NS % | 6 L CPT % | 7 P PRO % </v>
      </c>
      <c r="AS624" s="4" t="str">
        <f ca="1">IFERROR(__xludf.DUMMYFUNCTION("""COMPUTED_VALUE"""),"| 1 L PHP-CGM % | 6 L JAVA % | 7 P Python % | 9 L INE @ ")</f>
        <v xml:space="preserve">| 1 L PHP-CGM % | 6 L JAVA % | 7 P Python % | 9 L INE @ </v>
      </c>
      <c r="AT624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U624" s="4" t="str">
        <f ca="1">IFERROR(__xludf.DUMMYFUNCTION("""COMPUTED_VALUE"""),"| 5 L CPT @ | 6 L PHP-CGM @ | 7 P JAVA % | 9 P Python % ")</f>
        <v xml:space="preserve">| 5 L CPT @ | 6 L PHP-CGM @ | 7 P JAVA % | 9 P Python % </v>
      </c>
      <c r="AV624" s="4" t="str">
        <f ca="1">IFERROR(__xludf.DUMMYFUNCTION("""COMPUTED_VALUE"""),"| 5 L NS % | 6 L CPT % | 7 P PRO % | 9 P NS % ")</f>
        <v xml:space="preserve">| 5 L NS % | 6 L CPT % | 7 P PRO % | 9 P NS % </v>
      </c>
      <c r="AW624" s="4" t="str">
        <f ca="1">IFERROR(__xludf.DUMMYFUNCTION("""COMPUTED_VALUE"""),"| 5 L NS @ | 6 L JAVA @ | 7 P PHP-CGM @ | 9 P JAVA @ ")</f>
        <v xml:space="preserve">| 5 L NS @ | 6 L JAVA @ | 7 P PHP-CGM @ | 9 P JAVA @ </v>
      </c>
      <c r="AX624" s="4" t="str">
        <f ca="1">IFERROR(__xludf.DUMMYFUNCTION("""COMPUTED_VALUE"""),"| 1 L PHP-CGM % | 6 L JAVA % | 7 P Python % | 9 L INE % ")</f>
        <v xml:space="preserve">| 1 L PHP-CGM % | 6 L JAVA % | 7 P Python % | 9 L INE % </v>
      </c>
      <c r="AY624" s="4" t="str">
        <f ca="1">IFERROR(__xludf.DUMMYFUNCTION("""COMPUTED_VALUE"""),"| 5 L JAVA @ | 6 L NS @ | 7 P CPT % | 9 L CPT @ | 11 L PHP-CGM @ ")</f>
        <v xml:space="preserve">| 5 L JAVA @ | 6 L NS @ | 7 P CPT % | 9 L CPT @ | 11 L PHP-CGM @ </v>
      </c>
      <c r="AZ624" s="4" t="str">
        <f ca="1">IFERROR(__xludf.DUMMYFUNCTION("""COMPUTED_VALUE"""),"| 5 L NS @ | 6 L CPT @ | 7 P PRO % | 9 P NS @ ")</f>
        <v xml:space="preserve">| 5 L NS @ | 6 L CPT @ | 7 P PRO % | 9 P NS @ </v>
      </c>
      <c r="BA624" s="4" t="str">
        <f ca="1">IFERROR(__xludf.DUMMYFUNCTION("""COMPUTED_VALUE"""),"| 5 L NS @ | 6 L JAVA @ ")</f>
        <v xml:space="preserve">| 5 L NS @ | 6 L JAVA @ </v>
      </c>
      <c r="BB624" s="4" t="str">
        <f ca="1">IFERROR(__xludf.DUMMYFUNCTION("""COMPUTED_VALUE"""),"| 1 L PHP-CGM % | 6 L JAVA % | 7 P Python % | 9 L INE @ ")</f>
        <v xml:space="preserve">| 1 L PHP-CGM % | 6 L JAVA % | 7 P Python % | 9 L INE @ </v>
      </c>
      <c r="BC624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24" s="4" t="str">
        <f ca="1">IFERROR(__xludf.DUMMYFUNCTION("""COMPUTED_VALUE"""),"| 5 L CPT % | 6 L PHP-CGM % | 7 P JAVA @ | 9 P Python % ")</f>
        <v xml:space="preserve">| 5 L CPT % | 6 L PHP-CGM % | 7 P JAVA @ | 9 P Python % </v>
      </c>
      <c r="BE624" s="4" t="str">
        <f ca="1">IFERROR(__xludf.DUMMYFUNCTION("""COMPUTED_VALUE"""),"| 5 L NS @ | 6 L CPT @ | 9 P JAVA @ | 7 P PRO @ | 9 P NS @ ")</f>
        <v xml:space="preserve">| 5 L NS @ | 6 L CPT @ | 9 P JAVA @ | 7 P PRO @ | 9 P NS @ </v>
      </c>
      <c r="BF624" s="4" t="str">
        <f ca="1">IFERROR(__xludf.DUMMYFUNCTION("""COMPUTED_VALUE"""),"| 5 L NS @ | 6 L JAVA @ | 7 P PHP-CGM @ | 9 P JAVA @ ")</f>
        <v xml:space="preserve">| 5 L NS @ | 6 L JAVA @ | 7 P PHP-CGM @ | 9 P JAVA @ </v>
      </c>
      <c r="BG624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24" s="4" t="str">
        <f ca="1">IFERROR(__xludf.DUMMYFUNCTION("""COMPUTED_VALUE"""),"| 5 L CPT % | 7 P JAVA % | 6 L PHP-CGM % | 9 P Python % ")</f>
        <v xml:space="preserve">| 5 L CPT % | 7 P JAVA % | 6 L PHP-CGM % | 9 P Python % </v>
      </c>
      <c r="BI624" s="4" t="str">
        <f ca="1">IFERROR(__xludf.DUMMYFUNCTION("""COMPUTED_VALUE"""),"| 5 L NS @ | 6 L CPT @ | 7 P PRO @ | 9 P NS @ ")</f>
        <v xml:space="preserve">| 5 L NS @ | 6 L CPT @ | 7 P PRO @ | 9 P NS @ </v>
      </c>
      <c r="BJ624" s="4" t="str">
        <f ca="1">IFERROR(__xludf.DUMMYFUNCTION("""COMPUTED_VALUE"""),"| 5 L NS @ | 6 L JAVA @ | 7 P PHP-CGM @ ")</f>
        <v xml:space="preserve">| 5 L NS @ | 6 L JAVA @ | 7 P PHP-CGM @ </v>
      </c>
      <c r="BK624" s="4" t="str">
        <f ca="1">IFERROR(__xludf.DUMMYFUNCTION("""COMPUTED_VALUE"""),"| 1 L PHP-CGM @ | 6 L JAVA @ | 7 P Python @ | 9 L INE @ ")</f>
        <v xml:space="preserve">| 1 L PHP-CGM @ | 6 L JAVA @ | 7 P Python @ | 9 L INE @ </v>
      </c>
      <c r="BL624" s="4" t="str">
        <f ca="1">IFERROR(__xludf.DUMMYFUNCTION("""COMPUTED_VALUE"""),"| 5 L JAVA % | 6 L NS % | 7 P CPT @ | 9 L CPT @ | 10 L PHP-CGM @ ")</f>
        <v xml:space="preserve">| 5 L JAVA % | 6 L NS % | 7 P CPT @ | 9 L CPT @ | 10 L PHP-CGM @ </v>
      </c>
      <c r="BM624" s="4" t="str">
        <f ca="1">IFERROR(__xludf.DUMMYFUNCTION("""COMPUTED_VALUE"""),"| 5 L CPT @ | 6 L PHP-CGM @ | 7 P JAVA @ | 9 P Python @ ")</f>
        <v xml:space="preserve">| 5 L CPT @ | 6 L PHP-CGM @ | 7 P JAVA @ | 9 P Python @ </v>
      </c>
      <c r="BN624" s="4" t="str">
        <f ca="1">IFERROR(__xludf.DUMMYFUNCTION("""COMPUTED_VALUE"""),"| 5 L NS @ | 6 L CPT @ | 7 P PRO @ | 9 P NS @ ")</f>
        <v xml:space="preserve">| 5 L NS @ | 6 L CPT @ | 7 P PRO @ | 9 P NS @ </v>
      </c>
      <c r="BO624" s="4" t="str">
        <f ca="1">IFERROR(__xludf.DUMMYFUNCTION("""COMPUTED_VALUE"""),"| 5 L NS @ | 6 L JAVA @ ")</f>
        <v xml:space="preserve">| 5 L NS @ | 6 L JAVA @ </v>
      </c>
      <c r="BP624" s="4" t="str">
        <f ca="1">IFERROR(__xludf.DUMMYFUNCTION("""COMPUTED_VALUE"""),"| 1 L PHP-CGM @ | 6 L JAVA % | 9 L INE @ ")</f>
        <v xml:space="preserve">| 1 L PHP-CGM @ | 6 L JAVA % | 9 L INE @ </v>
      </c>
      <c r="BQ624" s="4" t="str">
        <f ca="1">IFERROR(__xludf.DUMMYFUNCTION("""COMPUTED_VALUE"""),"| 5 L CPT @ ")</f>
        <v xml:space="preserve">| 5 L CPT @ </v>
      </c>
      <c r="BR624" s="4"/>
      <c r="BS624" s="4" t="str">
        <f ca="1">IFERROR(__xludf.DUMMYFUNCTION("""COMPUTED_VALUE"""),"| 6 L CPT @ ")</f>
        <v xml:space="preserve">| 6 L CPT @ </v>
      </c>
      <c r="BT624" s="4"/>
      <c r="BU624" s="4"/>
      <c r="BV624" s="4" t="str">
        <f ca="1">IFERROR(__xludf.DUMMYFUNCTION("""COMPUTED_VALUE"""),"| 5 L PHP-CGM % | 6 L JAVA % ")</f>
        <v xml:space="preserve">| 5 L PHP-CGM % | 6 L JAVA % </v>
      </c>
      <c r="BW624" s="4"/>
      <c r="BX624" s="4" t="str">
        <f ca="1">IFERROR(__xludf.DUMMYFUNCTION("""COMPUTED_VALUE"""),"| 5 L CPT @ | 7 P JAVA @ | 6 L PHP-CGM @ ")</f>
        <v xml:space="preserve">| 5 L CPT @ | 7 P JAVA @ | 6 L PHP-CGM @ </v>
      </c>
      <c r="BY624" s="4" t="str">
        <f ca="1">IFERROR(__xludf.DUMMYFUNCTION("""COMPUTED_VALUE"""),"| 5 L NS @ | 6 L CPT @ | 7 P PRO @ | 9 P NS @ ")</f>
        <v xml:space="preserve">| 5 L NS @ | 6 L CPT @ | 7 P PRO @ | 9 P NS @ </v>
      </c>
      <c r="BZ624" s="4" t="str">
        <f ca="1">IFERROR(__xludf.DUMMYFUNCTION("""COMPUTED_VALUE"""),"| 5 L NS @ | 6 L JAVA @ | 7 P PHP-CGM @ ")</f>
        <v xml:space="preserve">| 5 L NS @ | 6 L JAVA @ | 7 P PHP-CGM @ </v>
      </c>
      <c r="CA624" s="4" t="str">
        <f ca="1">IFERROR(__xludf.DUMMYFUNCTION("""COMPUTED_VALUE"""),"| 1 L PHP-CGM % | 6 L JAVA % | 7 P Python % ")</f>
        <v xml:space="preserve">| 1 L PHP-CGM % | 6 L JAVA % | 7 P Python % </v>
      </c>
      <c r="CB624" s="4" t="str">
        <f ca="1">IFERROR(__xludf.DUMMYFUNCTION("""COMPUTED_VALUE"""),"| 5 L JAVA % | 6 L NS % | 7 P CPT % | 9 L CPT % | 10 L PHP-CGM @ ")</f>
        <v xml:space="preserve">| 5 L JAVA % | 6 L NS % | 7 P CPT % | 9 L CPT % | 10 L PHP-CGM @ </v>
      </c>
      <c r="CC624" s="4" t="str">
        <f ca="1">IFERROR(__xludf.DUMMYFUNCTION("""COMPUTED_VALUE"""),"| 5 L CPT % | 6 L PHP-CGM @ | 7 P JAVA @ | 9 P Python @ ")</f>
        <v xml:space="preserve">| 5 L CPT % | 6 L PHP-CGM @ | 7 P JAVA @ | 9 P Python @ </v>
      </c>
      <c r="CD624" s="4" t="str">
        <f ca="1">IFERROR(__xludf.DUMMYFUNCTION("""COMPUTED_VALUE"""),"| 5 L NS @ | 6 L CPT @ | 7 P PRO @ ")</f>
        <v xml:space="preserve">| 5 L NS @ | 6 L CPT @ | 7 P PRO @ </v>
      </c>
      <c r="CE624" s="4" t="str">
        <f ca="1">IFERROR(__xludf.DUMMYFUNCTION("""COMPUTED_VALUE"""),"| 5 L NS % | 6 L JAVA % | 7 P PHP-CGM @ | 9 P JAVA @ ")</f>
        <v xml:space="preserve">| 5 L NS % | 6 L JAVA % | 7 P PHP-CGM @ | 9 P JAVA @ </v>
      </c>
      <c r="CF624" s="4" t="str">
        <f ca="1">IFERROR(__xludf.DUMMYFUNCTION("""COMPUTED_VALUE"""),"| 5 L PHP-CGM % | 6 L JAVA % | 7 P Python % | 9 L INE % ")</f>
        <v xml:space="preserve">| 5 L PHP-CGM % | 6 L JAVA % | 7 P Python % | 9 L INE % </v>
      </c>
      <c r="CG624" s="4" t="str">
        <f ca="1">IFERROR(__xludf.DUMMYFUNCTION("""COMPUTED_VALUE"""),"| 5 L JAVA @ | 6 L NS @ ")</f>
        <v xml:space="preserve">| 5 L JAVA @ | 6 L NS @ </v>
      </c>
      <c r="CH624" s="4" t="str">
        <f ca="1">IFERROR(__xludf.DUMMYFUNCTION("""COMPUTED_VALUE"""),"| 5 L CPT % | 9 P Python @ ")</f>
        <v xml:space="preserve">| 5 L CPT % | 9 P Python @ </v>
      </c>
      <c r="CI624" s="4" t="str">
        <f ca="1">IFERROR(__xludf.DUMMYFUNCTION("""COMPUTED_VALUE"""),"| 5 L NS @ | 6 L CPT @ | 9 P NS % ")</f>
        <v xml:space="preserve">| 5 L NS @ | 6 L CPT @ | 9 P NS % </v>
      </c>
      <c r="CJ624" s="4" t="str">
        <f ca="1">IFERROR(__xludf.DUMMYFUNCTION("""COMPUTED_VALUE"""),"| 5 L NS % ")</f>
        <v xml:space="preserve">| 5 L NS % </v>
      </c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</row>
    <row r="625" spans="1:102" ht="12.5" x14ac:dyDescent="0.25">
      <c r="A625" s="3">
        <f ca="1">IFERROR(__xludf.DUMMYFUNCTION("""COMPUTED_VALUE"""),3)</f>
        <v>3</v>
      </c>
      <c r="B625" s="3" t="str">
        <f ca="1">IFERROR(__xludf.DUMMYFUNCTION("""COMPUTED_VALUE"""),"ITD")</f>
        <v>ITD</v>
      </c>
      <c r="C625" s="32" t="str">
        <f ca="1">IFERROR(__xludf.DUMMYFUNCTION("""COMPUTED_VALUE"""),"23171371179")</f>
        <v>23171371179</v>
      </c>
      <c r="D625" s="4" t="str">
        <f ca="1">IFERROR(__xludf.DUMMYFUNCTION("""COMPUTED_VALUE"""),"PATEL HAPPY NARENDRABHAI")</f>
        <v>PATEL HAPPY NARENDRABHAI</v>
      </c>
      <c r="E625" s="3" t="str">
        <f ca="1">IFERROR(__xludf.DUMMYFUNCTION("""COMPUTED_VALUE"""),"SRC - Eve")</f>
        <v>SRC - Eve</v>
      </c>
      <c r="F625" s="3">
        <f ca="1">IFERROR(__xludf.DUMMYFUNCTION("""COMPUTED_VALUE"""),7861883449)</f>
        <v>7861883449</v>
      </c>
      <c r="G625" s="3">
        <f ca="1">IFERROR(__xludf.DUMMYFUNCTION("""COMPUTED_VALUE"""),9586956995)</f>
        <v>9586956995</v>
      </c>
      <c r="H625" s="33">
        <f ca="1">IFERROR(__xludf.DUMMYFUNCTION("""COMPUTED_VALUE"""),0.707762557077625)</f>
        <v>0.70776255707762503</v>
      </c>
      <c r="I625" s="25">
        <f ca="1">IFERROR(__xludf.DUMMYFUNCTION("""COMPUTED_VALUE"""),0.722222222222222)</f>
        <v>0.72222222222222199</v>
      </c>
      <c r="J625" s="25">
        <f ca="1">IFERROR(__xludf.DUMMYFUNCTION("""COMPUTED_VALUE"""),0.8)</f>
        <v>0.8</v>
      </c>
      <c r="K625" s="25">
        <f ca="1">IFERROR(__xludf.DUMMYFUNCTION("""COMPUTED_VALUE"""),0.611111111111111)</f>
        <v>0.61111111111111105</v>
      </c>
      <c r="L625" s="25">
        <f ca="1">IFERROR(__xludf.DUMMYFUNCTION("""COMPUTED_VALUE"""),0.6)</f>
        <v>0.6</v>
      </c>
      <c r="M625" s="25">
        <f ca="1">IFERROR(__xludf.DUMMYFUNCTION("""COMPUTED_VALUE"""),0.75)</f>
        <v>0.75</v>
      </c>
      <c r="N625" s="25">
        <f ca="1">IFERROR(__xludf.DUMMYFUNCTION("""COMPUTED_VALUE"""),0.625)</f>
        <v>0.625</v>
      </c>
      <c r="O625" s="25">
        <f ca="1">IFERROR(__xludf.DUMMYFUNCTION("""COMPUTED_VALUE"""),0.705882352941176)</f>
        <v>0.70588235294117596</v>
      </c>
      <c r="P625" s="25">
        <f ca="1">IFERROR(__xludf.DUMMYFUNCTION("""COMPUTED_VALUE"""),0.88235294117647)</f>
        <v>0.88235294117647001</v>
      </c>
      <c r="Q625" s="25">
        <f ca="1">IFERROR(__xludf.DUMMYFUNCTION("""COMPUTED_VALUE"""),0)</f>
        <v>0</v>
      </c>
      <c r="R625" s="25">
        <f ca="1">IFERROR(__xludf.DUMMYFUNCTION("""COMPUTED_VALUE"""),0.833333333333333)</f>
        <v>0.83333333333333304</v>
      </c>
      <c r="S625" s="25">
        <f ca="1">IFERROR(__xludf.DUMMYFUNCTION("""COMPUTED_VALUE"""),0)</f>
        <v>0</v>
      </c>
      <c r="T625" s="25">
        <f ca="1">IFERROR(__xludf.DUMMYFUNCTION("""COMPUTED_VALUE"""),0.727272727272727)</f>
        <v>0.72727272727272696</v>
      </c>
      <c r="U625" s="25">
        <f ca="1">IFERROR(__xludf.DUMMYFUNCTION("""COMPUTED_VALUE"""),0.285714285714285)</f>
        <v>0.28571428571428498</v>
      </c>
      <c r="V625" s="25">
        <f ca="1">IFERROR(__xludf.DUMMYFUNCTION("""COMPUTED_VALUE"""),0)</f>
        <v>0</v>
      </c>
      <c r="W625" s="4"/>
      <c r="X625" s="4" t="str">
        <f ca="1">IFERROR(__xludf.DUMMYFUNCTION("""COMPUTED_VALUE"""),"| 1 L PHP-CGM % | 6 L JAVA % | 7 P Python % ")</f>
        <v xml:space="preserve">| 1 L PHP-CGM % | 6 L JAVA % | 7 P Python % </v>
      </c>
      <c r="Y625" s="4" t="str">
        <f ca="1">IFERROR(__xludf.DUMMYFUNCTION("""COMPUTED_VALUE"""),"| 5 L JAVA % | 6 L NS @ | 7 P CPT % | 9 L CPT % | 6 L PHP-CGM % ")</f>
        <v xml:space="preserve">| 5 L JAVA % | 6 L NS @ | 7 P CPT % | 9 L CPT % | 6 L PHP-CGM % </v>
      </c>
      <c r="Z625" s="4" t="str">
        <f ca="1">IFERROR(__xludf.DUMMYFUNCTION("""COMPUTED_VALUE"""),"| 5 L CPT % | 6 L PHP-CGM % | 7 P JAVA % | 9 P Python % ")</f>
        <v xml:space="preserve">| 5 L CPT % | 6 L PHP-CGM % | 7 P JAVA % | 9 P Python % </v>
      </c>
      <c r="AA625" s="4" t="str">
        <f ca="1">IFERROR(__xludf.DUMMYFUNCTION("""COMPUTED_VALUE"""),"| 5 L NS % | 6 L CPT % | 7 P PRO % | 9 P NS % ")</f>
        <v xml:space="preserve">| 5 L NS % | 6 L CPT % | 7 P PRO % | 9 P NS % </v>
      </c>
      <c r="AB625" s="4" t="str">
        <f ca="1">IFERROR(__xludf.DUMMYFUNCTION("""COMPUTED_VALUE"""),"| 5 L NS % | 6 L JAVA % | 7 P PHP-CGM % | 9 P JAVA % ")</f>
        <v xml:space="preserve">| 5 L NS % | 6 L JAVA % | 7 P PHP-CGM % | 9 P JAVA % </v>
      </c>
      <c r="AC625" s="4" t="str">
        <f ca="1">IFERROR(__xludf.DUMMYFUNCTION("""COMPUTED_VALUE"""),"| 1 L PHP-CGM % | 6 L JAVA % | 7 P Python % ")</f>
        <v xml:space="preserve">| 1 L PHP-CGM % | 6 L JAVA % | 7 P Python % </v>
      </c>
      <c r="AD625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25" s="4" t="str">
        <f ca="1">IFERROR(__xludf.DUMMYFUNCTION("""COMPUTED_VALUE"""),"| 5 L CPT % | 6 L PHP-CGM % | 7 P JAVA % | 9 P Python % ")</f>
        <v xml:space="preserve">| 5 L CPT % | 6 L PHP-CGM % | 7 P JAVA % | 9 P Python % </v>
      </c>
      <c r="AF625" s="4" t="str">
        <f ca="1">IFERROR(__xludf.DUMMYFUNCTION("""COMPUTED_VALUE"""),"| 5 L NS % | 6 L CPT % | 7 P PRO % | 9 P NS % ")</f>
        <v xml:space="preserve">| 5 L NS % | 6 L CPT % | 7 P PRO % | 9 P NS % </v>
      </c>
      <c r="AG625" s="4" t="str">
        <f ca="1">IFERROR(__xludf.DUMMYFUNCTION("""COMPUTED_VALUE"""),"| 5 L NS % | 6 L JAVA % | 7 P PHP-CGM % | 9 P JAVA % ")</f>
        <v xml:space="preserve">| 5 L NS % | 6 L JAVA % | 7 P PHP-CGM % | 9 P JAVA % </v>
      </c>
      <c r="AH625" s="4" t="str">
        <f ca="1">IFERROR(__xludf.DUMMYFUNCTION("""COMPUTED_VALUE"""),"| 5 L NS % | 6 L CPT % | 7 P PRO % | 9 P NS % ")</f>
        <v xml:space="preserve">| 5 L NS % | 6 L CPT % | 7 P PRO % | 9 P NS % </v>
      </c>
      <c r="AI625" s="4" t="str">
        <f ca="1">IFERROR(__xludf.DUMMYFUNCTION("""COMPUTED_VALUE"""),"| 5 L NS % | 6 L JAVA % | 7 P PHP-CGM % | 9 P JAVA % ")</f>
        <v xml:space="preserve">| 5 L NS % | 6 L JAVA % | 7 P PHP-CGM % | 9 P JAVA % </v>
      </c>
      <c r="AJ625" s="4" t="str">
        <f ca="1">IFERROR(__xludf.DUMMYFUNCTION("""COMPUTED_VALUE"""),"| 1 L PHP-CGM % | 6 L JAVA % | 7 P Python % ")</f>
        <v xml:space="preserve">| 1 L PHP-CGM % | 6 L JAVA % | 7 P Python % </v>
      </c>
      <c r="AK625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25" s="4" t="str">
        <f ca="1">IFERROR(__xludf.DUMMYFUNCTION("""COMPUTED_VALUE"""),"| 5 L CPT % | 6 L PHP-CGM % | 7 P JAVA % | 9 P Python % ")</f>
        <v xml:space="preserve">| 5 L CPT % | 6 L PHP-CGM % | 7 P JAVA % | 9 P Python % </v>
      </c>
      <c r="AM625" s="4" t="str">
        <f ca="1">IFERROR(__xludf.DUMMYFUNCTION("""COMPUTED_VALUE"""),"| 5 L NS % | 6 L CPT % | 9 P JAVA % ")</f>
        <v xml:space="preserve">| 5 L NS % | 6 L CPT % | 9 P JAVA % </v>
      </c>
      <c r="AN625" s="4" t="str">
        <f ca="1">IFERROR(__xludf.DUMMYFUNCTION("""COMPUTED_VALUE"""),"| 5 L NS % | 6 L JAVA % ")</f>
        <v xml:space="preserve">| 5 L NS % | 6 L JAVA % </v>
      </c>
      <c r="AO625" s="4" t="str">
        <f ca="1">IFERROR(__xludf.DUMMYFUNCTION("""COMPUTED_VALUE"""),"| 1 L PHP-CGM % | 6 L JAVA % | 9 L INE @ ")</f>
        <v xml:space="preserve">| 1 L PHP-CGM % | 6 L JAVA % | 9 L INE @ </v>
      </c>
      <c r="AP625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25" s="4" t="str">
        <f ca="1">IFERROR(__xludf.DUMMYFUNCTION("""COMPUTED_VALUE"""),"| 5 L CPT % | 6 L PHP-CGM % ")</f>
        <v xml:space="preserve">| 5 L CPT % | 6 L PHP-CGM % </v>
      </c>
      <c r="AR625" s="4" t="str">
        <f ca="1">IFERROR(__xludf.DUMMYFUNCTION("""COMPUTED_VALUE"""),"| 5 L NS % | 6 L CPT % | 7 P PRO % ")</f>
        <v xml:space="preserve">| 5 L NS % | 6 L CPT % | 7 P PRO % </v>
      </c>
      <c r="AS625" s="4" t="str">
        <f ca="1">IFERROR(__xludf.DUMMYFUNCTION("""COMPUTED_VALUE"""),"| 1 L PHP-CGM % | 6 L JAVA % | 7 P Python % | 9 L INE @ ")</f>
        <v xml:space="preserve">| 1 L PHP-CGM % | 6 L JAVA % | 7 P Python % | 9 L INE @ </v>
      </c>
      <c r="AT625" s="4" t="str">
        <f ca="1">IFERROR(__xludf.DUMMYFUNCTION("""COMPUTED_VALUE"""),"| 5 L JAVA % | 6 L NS % | 7 P CPT % | 9 L CPT % | 6 L PHP-CGM @ ")</f>
        <v xml:space="preserve">| 5 L JAVA % | 6 L NS % | 7 P CPT % | 9 L CPT % | 6 L PHP-CGM @ </v>
      </c>
      <c r="AU625" s="4" t="str">
        <f ca="1">IFERROR(__xludf.DUMMYFUNCTION("""COMPUTED_VALUE"""),"| 5 L CPT % | 6 L PHP-CGM % | 7 P JAVA % | 9 P Python % ")</f>
        <v xml:space="preserve">| 5 L CPT % | 6 L PHP-CGM % | 7 P JAVA % | 9 P Python % </v>
      </c>
      <c r="AV625" s="4" t="str">
        <f ca="1">IFERROR(__xludf.DUMMYFUNCTION("""COMPUTED_VALUE"""),"| 5 L NS % | 6 L CPT % | 7 P PRO % | 9 P NS % ")</f>
        <v xml:space="preserve">| 5 L NS % | 6 L CPT % | 7 P PRO % | 9 P NS % </v>
      </c>
      <c r="AW625" s="4" t="str">
        <f ca="1">IFERROR(__xludf.DUMMYFUNCTION("""COMPUTED_VALUE"""),"| 5 L NS @ | 6 L JAVA @ | 7 P PHP-CGM @ | 9 P JAVA @ ")</f>
        <v xml:space="preserve">| 5 L NS @ | 6 L JAVA @ | 7 P PHP-CGM @ | 9 P JAVA @ </v>
      </c>
      <c r="AX625" s="4" t="str">
        <f ca="1">IFERROR(__xludf.DUMMYFUNCTION("""COMPUTED_VALUE"""),"| 1 L PHP-CGM @ | 6 L JAVA @ | 7 P Python @ | 9 L INE @ ")</f>
        <v xml:space="preserve">| 1 L PHP-CGM @ | 6 L JAVA @ | 7 P Python @ | 9 L INE @ </v>
      </c>
      <c r="AY625" s="4" t="str">
        <f ca="1">IFERROR(__xludf.DUMMYFUNCTION("""COMPUTED_VALUE"""),"| 5 L JAVA @ | 6 L NS @ | 7 P CPT % | 9 L CPT @ | 11 L PHP-CGM @ ")</f>
        <v xml:space="preserve">| 5 L JAVA @ | 6 L NS @ | 7 P CPT % | 9 L CPT @ | 11 L PHP-CGM @ </v>
      </c>
      <c r="AZ625" s="4" t="str">
        <f ca="1">IFERROR(__xludf.DUMMYFUNCTION("""COMPUTED_VALUE"""),"| 5 L NS @ | 6 L CPT @ | 7 P PRO @ | 9 P NS @ ")</f>
        <v xml:space="preserve">| 5 L NS @ | 6 L CPT @ | 7 P PRO @ | 9 P NS @ </v>
      </c>
      <c r="BA625" s="4" t="str">
        <f ca="1">IFERROR(__xludf.DUMMYFUNCTION("""COMPUTED_VALUE"""),"| 5 L NS @ | 6 L JAVA @ ")</f>
        <v xml:space="preserve">| 5 L NS @ | 6 L JAVA @ </v>
      </c>
      <c r="BB625" s="4" t="str">
        <f ca="1">IFERROR(__xludf.DUMMYFUNCTION("""COMPUTED_VALUE"""),"| 1 L PHP-CGM @ | 6 L JAVA @ | 7 P Python @ | 9 L INE @ ")</f>
        <v xml:space="preserve">| 1 L PHP-CGM @ | 6 L JAVA @ | 7 P Python @ | 9 L INE @ </v>
      </c>
      <c r="BC625" s="4" t="str">
        <f ca="1">IFERROR(__xludf.DUMMYFUNCTION("""COMPUTED_VALUE"""),"| 5 L JAVA @ | 6 L NS @ | 7 P CPT @ | 10 L PHP-CGM @ | 9 L CPT @ ")</f>
        <v xml:space="preserve">| 5 L JAVA @ | 6 L NS @ | 7 P CPT @ | 10 L PHP-CGM @ | 9 L CPT @ </v>
      </c>
      <c r="BD625" s="4" t="str">
        <f ca="1">IFERROR(__xludf.DUMMYFUNCTION("""COMPUTED_VALUE"""),"| 5 L CPT % | 6 L PHP-CGM % | 7 P JAVA % | 9 P Python % ")</f>
        <v xml:space="preserve">| 5 L CPT % | 6 L PHP-CGM % | 7 P JAVA % | 9 P Python % </v>
      </c>
      <c r="BE625" s="4" t="str">
        <f ca="1">IFERROR(__xludf.DUMMYFUNCTION("""COMPUTED_VALUE"""),"| 5 L NS % | 6 L CPT % | 9 P JAVA % | 7 P PRO % | 9 P NS % ")</f>
        <v xml:space="preserve">| 5 L NS % | 6 L CPT % | 9 P JAVA % | 7 P PRO % | 9 P NS % </v>
      </c>
      <c r="BF625" s="4" t="str">
        <f ca="1">IFERROR(__xludf.DUMMYFUNCTION("""COMPUTED_VALUE"""),"| 5 L NS @ | 6 L JAVA % | 7 P PHP-CGM % | 9 P JAVA % ")</f>
        <v xml:space="preserve">| 5 L NS @ | 6 L JAVA % | 7 P PHP-CGM % | 9 P JAVA % </v>
      </c>
      <c r="BG625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25" s="4" t="str">
        <f ca="1">IFERROR(__xludf.DUMMYFUNCTION("""COMPUTED_VALUE"""),"| 5 L CPT % | 7 P JAVA % | 6 L PHP-CGM % | 9 P Python % ")</f>
        <v xml:space="preserve">| 5 L CPT % | 7 P JAVA % | 6 L PHP-CGM % | 9 P Python % </v>
      </c>
      <c r="BI625" s="4" t="str">
        <f ca="1">IFERROR(__xludf.DUMMYFUNCTION("""COMPUTED_VALUE"""),"| 5 L NS % | 6 L CPT % | 7 P PRO % | 9 P NS @ ")</f>
        <v xml:space="preserve">| 5 L NS % | 6 L CPT % | 7 P PRO % | 9 P NS @ </v>
      </c>
      <c r="BJ625" s="4" t="str">
        <f ca="1">IFERROR(__xludf.DUMMYFUNCTION("""COMPUTED_VALUE"""),"| 5 L NS @ | 6 L JAVA @ | 7 P PHP-CGM @ ")</f>
        <v xml:space="preserve">| 5 L NS @ | 6 L JAVA @ | 7 P PHP-CGM @ </v>
      </c>
      <c r="BK625" s="4" t="str">
        <f ca="1">IFERROR(__xludf.DUMMYFUNCTION("""COMPUTED_VALUE"""),"| 1 L PHP-CGM % | 6 L JAVA % | 7 P Python % | 9 L INE % ")</f>
        <v xml:space="preserve">| 1 L PHP-CGM % | 6 L JAVA % | 7 P Python % | 9 L INE % </v>
      </c>
      <c r="BL625" s="4" t="str">
        <f ca="1">IFERROR(__xludf.DUMMYFUNCTION("""COMPUTED_VALUE"""),"| 5 L JAVA % | 6 L NS % | 7 P CPT @ | 9 L CPT @ | 10 L PHP-CGM @ ")</f>
        <v xml:space="preserve">| 5 L JAVA % | 6 L NS % | 7 P CPT @ | 9 L CPT @ | 10 L PHP-CGM @ </v>
      </c>
      <c r="BM625" s="4" t="str">
        <f ca="1">IFERROR(__xludf.DUMMYFUNCTION("""COMPUTED_VALUE"""),"| 5 L CPT % | 6 L PHP-CGM % | 7 P JAVA % | 9 P Python @ ")</f>
        <v xml:space="preserve">| 5 L CPT % | 6 L PHP-CGM % | 7 P JAVA % | 9 P Python @ </v>
      </c>
      <c r="BN625" s="4" t="str">
        <f ca="1">IFERROR(__xludf.DUMMYFUNCTION("""COMPUTED_VALUE"""),"| 5 L NS @ | 6 L CPT @ | 7 P PRO @ | 9 P NS @ ")</f>
        <v xml:space="preserve">| 5 L NS @ | 6 L CPT @ | 7 P PRO @ | 9 P NS @ </v>
      </c>
      <c r="BO625" s="4" t="str">
        <f ca="1">IFERROR(__xludf.DUMMYFUNCTION("""COMPUTED_VALUE"""),"| 5 L NS @ | 6 L JAVA @ ")</f>
        <v xml:space="preserve">| 5 L NS @ | 6 L JAVA @ </v>
      </c>
      <c r="BP625" s="4" t="str">
        <f ca="1">IFERROR(__xludf.DUMMYFUNCTION("""COMPUTED_VALUE"""),"| 1 L PHP-CGM @ | 6 L JAVA @ | 9 L INE @ ")</f>
        <v xml:space="preserve">| 1 L PHP-CGM @ | 6 L JAVA @ | 9 L INE @ </v>
      </c>
      <c r="BQ625" s="4" t="str">
        <f ca="1">IFERROR(__xludf.DUMMYFUNCTION("""COMPUTED_VALUE"""),"| 5 L CPT % ")</f>
        <v xml:space="preserve">| 5 L CPT % </v>
      </c>
      <c r="BR625" s="4"/>
      <c r="BS625" s="4" t="str">
        <f ca="1">IFERROR(__xludf.DUMMYFUNCTION("""COMPUTED_VALUE"""),"| 6 L CPT @ ")</f>
        <v xml:space="preserve">| 6 L CPT @ </v>
      </c>
      <c r="BT625" s="4"/>
      <c r="BU625" s="4"/>
      <c r="BV625" s="4" t="str">
        <f ca="1">IFERROR(__xludf.DUMMYFUNCTION("""COMPUTED_VALUE"""),"| 5 L PHP-CGM % | 6 L JAVA % ")</f>
        <v xml:space="preserve">| 5 L PHP-CGM % | 6 L JAVA % </v>
      </c>
      <c r="BW625" s="4"/>
      <c r="BX625" s="4" t="str">
        <f ca="1">IFERROR(__xludf.DUMMYFUNCTION("""COMPUTED_VALUE"""),"| 5 L CPT @ | 7 P JAVA @ | 6 L PHP-CGM @ ")</f>
        <v xml:space="preserve">| 5 L CPT @ | 7 P JAVA @ | 6 L PHP-CGM @ </v>
      </c>
      <c r="BY625" s="4" t="str">
        <f ca="1">IFERROR(__xludf.DUMMYFUNCTION("""COMPUTED_VALUE"""),"| 5 L NS @ | 6 L CPT @ | 7 P PRO @ | 9 P NS @ ")</f>
        <v xml:space="preserve">| 5 L NS @ | 6 L CPT @ | 7 P PRO @ | 9 P NS @ </v>
      </c>
      <c r="BZ625" s="4" t="str">
        <f ca="1">IFERROR(__xludf.DUMMYFUNCTION("""COMPUTED_VALUE"""),"| 5 L NS @ | 6 L JAVA @ | 7 P PHP-CGM @ ")</f>
        <v xml:space="preserve">| 5 L NS @ | 6 L JAVA @ | 7 P PHP-CGM @ </v>
      </c>
      <c r="CA625" s="4" t="str">
        <f ca="1">IFERROR(__xludf.DUMMYFUNCTION("""COMPUTED_VALUE"""),"| 1 L PHP-CGM % | 6 L JAVA % | 7 P Python % ")</f>
        <v xml:space="preserve">| 1 L PHP-CGM % | 6 L JAVA % | 7 P Python % </v>
      </c>
      <c r="CB625" s="4" t="str">
        <f ca="1">IFERROR(__xludf.DUMMYFUNCTION("""COMPUTED_VALUE"""),"| 5 L JAVA % | 6 L NS % | 7 P CPT % | 9 L CPT % | 10 L PHP-CGM % ")</f>
        <v xml:space="preserve">| 5 L JAVA % | 6 L NS % | 7 P CPT % | 9 L CPT % | 10 L PHP-CGM % </v>
      </c>
      <c r="CC625" s="4" t="str">
        <f ca="1">IFERROR(__xludf.DUMMYFUNCTION("""COMPUTED_VALUE"""),"| 5 L CPT % | 6 L PHP-CGM % | 7 P JAVA % | 9 P Python % ")</f>
        <v xml:space="preserve">| 5 L CPT % | 6 L PHP-CGM % | 7 P JAVA % | 9 P Python % </v>
      </c>
      <c r="CD625" s="4" t="str">
        <f ca="1">IFERROR(__xludf.DUMMYFUNCTION("""COMPUTED_VALUE"""),"| 5 L NS % | 6 L CPT % | 7 P PRO % ")</f>
        <v xml:space="preserve">| 5 L NS % | 6 L CPT % | 7 P PRO % </v>
      </c>
      <c r="CE625" s="4" t="str">
        <f ca="1">IFERROR(__xludf.DUMMYFUNCTION("""COMPUTED_VALUE"""),"| 5 L NS % | 6 L JAVA % | 7 P PHP-CGM % | 9 P JAVA % ")</f>
        <v xml:space="preserve">| 5 L NS % | 6 L JAVA % | 7 P PHP-CGM % | 9 P JAVA % </v>
      </c>
      <c r="CF625" s="4" t="str">
        <f ca="1">IFERROR(__xludf.DUMMYFUNCTION("""COMPUTED_VALUE"""),"| 5 L PHP-CGM % | 6 L JAVA % | 7 P Python % | 9 L INE % ")</f>
        <v xml:space="preserve">| 5 L PHP-CGM % | 6 L JAVA % | 7 P Python % | 9 L INE % </v>
      </c>
      <c r="CG625" s="4" t="str">
        <f ca="1">IFERROR(__xludf.DUMMYFUNCTION("""COMPUTED_VALUE"""),"| 5 L JAVA % | 6 L NS % ")</f>
        <v xml:space="preserve">| 5 L JAVA % | 6 L NS % </v>
      </c>
      <c r="CH625" s="4" t="str">
        <f ca="1">IFERROR(__xludf.DUMMYFUNCTION("""COMPUTED_VALUE"""),"| 5 L CPT @ | 9 P Python % ")</f>
        <v xml:space="preserve">| 5 L CPT @ | 9 P Python % </v>
      </c>
      <c r="CI625" s="4" t="str">
        <f ca="1">IFERROR(__xludf.DUMMYFUNCTION("""COMPUTED_VALUE"""),"| 5 L NS @ | 6 L CPT @ | 9 P NS % ")</f>
        <v xml:space="preserve">| 5 L NS @ | 6 L CPT @ | 9 P NS % </v>
      </c>
      <c r="CJ625" s="4" t="str">
        <f ca="1">IFERROR(__xludf.DUMMYFUNCTION("""COMPUTED_VALUE"""),"| 5 L NS @ ")</f>
        <v xml:space="preserve">| 5 L NS @ </v>
      </c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</row>
    <row r="626" spans="1:102" ht="12.5" x14ac:dyDescent="0.25">
      <c r="A626" s="3">
        <f ca="1">IFERROR(__xludf.DUMMYFUNCTION("""COMPUTED_VALUE"""),3)</f>
        <v>3</v>
      </c>
      <c r="B626" s="3" t="str">
        <f ca="1">IFERROR(__xludf.DUMMYFUNCTION("""COMPUTED_VALUE"""),"ITD")</f>
        <v>ITD</v>
      </c>
      <c r="C626" s="32" t="str">
        <f ca="1">IFERROR(__xludf.DUMMYFUNCTION("""COMPUTED_VALUE"""),"23171371182")</f>
        <v>23171371182</v>
      </c>
      <c r="D626" s="4" t="str">
        <f ca="1">IFERROR(__xludf.DUMMYFUNCTION("""COMPUTED_VALUE"""),"PATEL DHRUVIBEN DINESHKUMAR")</f>
        <v>PATEL DHRUVIBEN DINESHKUMAR</v>
      </c>
      <c r="E626" s="3" t="str">
        <f ca="1">IFERROR(__xludf.DUMMYFUNCTION("""COMPUTED_VALUE"""),"SRC - Eve")</f>
        <v>SRC - Eve</v>
      </c>
      <c r="F626" s="3">
        <f ca="1">IFERROR(__xludf.DUMMYFUNCTION("""COMPUTED_VALUE"""),9106947167)</f>
        <v>9106947167</v>
      </c>
      <c r="G626" s="3">
        <f ca="1">IFERROR(__xludf.DUMMYFUNCTION("""COMPUTED_VALUE"""),9327947335)</f>
        <v>9327947335</v>
      </c>
      <c r="H626" s="33">
        <f ca="1">IFERROR(__xludf.DUMMYFUNCTION("""COMPUTED_VALUE"""),0.5662100456621)</f>
        <v>0.56621004566209998</v>
      </c>
      <c r="I626" s="25">
        <f ca="1">IFERROR(__xludf.DUMMYFUNCTION("""COMPUTED_VALUE"""),0.5)</f>
        <v>0.5</v>
      </c>
      <c r="J626" s="25">
        <f ca="1">IFERROR(__xludf.DUMMYFUNCTION("""COMPUTED_VALUE"""),0.6)</f>
        <v>0.6</v>
      </c>
      <c r="K626" s="25">
        <f ca="1">IFERROR(__xludf.DUMMYFUNCTION("""COMPUTED_VALUE"""),0.527777777777777)</f>
        <v>0.52777777777777701</v>
      </c>
      <c r="L626" s="25">
        <f ca="1">IFERROR(__xludf.DUMMYFUNCTION("""COMPUTED_VALUE"""),0.4)</f>
        <v>0.4</v>
      </c>
      <c r="M626" s="25">
        <f ca="1">IFERROR(__xludf.DUMMYFUNCTION("""COMPUTED_VALUE"""),0.6875)</f>
        <v>0.6875</v>
      </c>
      <c r="N626" s="25">
        <f ca="1">IFERROR(__xludf.DUMMYFUNCTION("""COMPUTED_VALUE"""),0.375)</f>
        <v>0.375</v>
      </c>
      <c r="O626" s="25">
        <f ca="1">IFERROR(__xludf.DUMMYFUNCTION("""COMPUTED_VALUE"""),0.647058823529411)</f>
        <v>0.64705882352941102</v>
      </c>
      <c r="P626" s="25">
        <f ca="1">IFERROR(__xludf.DUMMYFUNCTION("""COMPUTED_VALUE"""),0.470588235294117)</f>
        <v>0.47058823529411697</v>
      </c>
      <c r="Q626" s="25">
        <f ca="1">IFERROR(__xludf.DUMMYFUNCTION("""COMPUTED_VALUE"""),0)</f>
        <v>0</v>
      </c>
      <c r="R626" s="25">
        <f ca="1">IFERROR(__xludf.DUMMYFUNCTION("""COMPUTED_VALUE"""),0.722222222222222)</f>
        <v>0.72222222222222199</v>
      </c>
      <c r="S626" s="25">
        <f ca="1">IFERROR(__xludf.DUMMYFUNCTION("""COMPUTED_VALUE"""),0)</f>
        <v>0</v>
      </c>
      <c r="T626" s="25">
        <f ca="1">IFERROR(__xludf.DUMMYFUNCTION("""COMPUTED_VALUE"""),0.545454545454545)</f>
        <v>0.54545454545454497</v>
      </c>
      <c r="U626" s="25">
        <f ca="1">IFERROR(__xludf.DUMMYFUNCTION("""COMPUTED_VALUE"""),0.428571428571428)</f>
        <v>0.42857142857142799</v>
      </c>
      <c r="V626" s="25">
        <f ca="1">IFERROR(__xludf.DUMMYFUNCTION("""COMPUTED_VALUE"""),0)</f>
        <v>0</v>
      </c>
      <c r="W626" s="4"/>
      <c r="X626" s="4" t="str">
        <f ca="1">IFERROR(__xludf.DUMMYFUNCTION("""COMPUTED_VALUE"""),"| 1 L PHP-CGM % | 6 L JAVA % | 7 P Python % ")</f>
        <v xml:space="preserve">| 1 L PHP-CGM % | 6 L JAVA % | 7 P Python % </v>
      </c>
      <c r="Y626" s="4" t="str">
        <f ca="1">IFERROR(__xludf.DUMMYFUNCTION("""COMPUTED_VALUE"""),"| 5 L JAVA @ | 6 L NS @ | 7 P CPT @ | 9 L CPT @ | 6 L PHP-CGM @ ")</f>
        <v xml:space="preserve">| 5 L JAVA @ | 6 L NS @ | 7 P CPT @ | 9 L CPT @ | 6 L PHP-CGM @ </v>
      </c>
      <c r="Z626" s="4" t="str">
        <f ca="1">IFERROR(__xludf.DUMMYFUNCTION("""COMPUTED_VALUE"""),"| 5 L CPT % | 6 L PHP-CGM % | 7 P JAVA % | 9 P Python % ")</f>
        <v xml:space="preserve">| 5 L CPT % | 6 L PHP-CGM % | 7 P JAVA % | 9 P Python % </v>
      </c>
      <c r="AA626" s="4" t="str">
        <f ca="1">IFERROR(__xludf.DUMMYFUNCTION("""COMPUTED_VALUE"""),"| 5 L NS @ | 6 L CPT @ | 7 P PRO @ | 9 P NS @ ")</f>
        <v xml:space="preserve">| 5 L NS @ | 6 L CPT @ | 7 P PRO @ | 9 P NS @ </v>
      </c>
      <c r="AB626" s="4" t="str">
        <f ca="1">IFERROR(__xludf.DUMMYFUNCTION("""COMPUTED_VALUE"""),"| 5 L NS @ | 6 L JAVA @ | 7 P PHP-CGM @ | 9 P JAVA @ ")</f>
        <v xml:space="preserve">| 5 L NS @ | 6 L JAVA @ | 7 P PHP-CGM @ | 9 P JAVA @ </v>
      </c>
      <c r="AC626" s="4" t="str">
        <f ca="1">IFERROR(__xludf.DUMMYFUNCTION("""COMPUTED_VALUE"""),"| 1 L PHP-CGM % | 6 L JAVA % | 7 P Python % ")</f>
        <v xml:space="preserve">| 1 L PHP-CGM % | 6 L JAVA % | 7 P Python % </v>
      </c>
      <c r="AD626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E626" s="4" t="str">
        <f ca="1">IFERROR(__xludf.DUMMYFUNCTION("""COMPUTED_VALUE"""),"| 5 L CPT % | 6 L PHP-CGM % | 7 P JAVA @ | 9 P Python @ ")</f>
        <v xml:space="preserve">| 5 L CPT % | 6 L PHP-CGM % | 7 P JAVA @ | 9 P Python @ </v>
      </c>
      <c r="AF626" s="4" t="str">
        <f ca="1">IFERROR(__xludf.DUMMYFUNCTION("""COMPUTED_VALUE"""),"| 5 L NS @ | 6 L CPT @ | 7 P PRO % | 9 P NS @ ")</f>
        <v xml:space="preserve">| 5 L NS @ | 6 L CPT @ | 7 P PRO % | 9 P NS @ </v>
      </c>
      <c r="AG626" s="4" t="str">
        <f ca="1">IFERROR(__xludf.DUMMYFUNCTION("""COMPUTED_VALUE"""),"| 5 L NS % | 6 L JAVA % | 7 P PHP-CGM % | 9 P JAVA @ ")</f>
        <v xml:space="preserve">| 5 L NS % | 6 L JAVA % | 7 P PHP-CGM % | 9 P JAVA @ </v>
      </c>
      <c r="AH626" s="4" t="str">
        <f ca="1">IFERROR(__xludf.DUMMYFUNCTION("""COMPUTED_VALUE"""),"| 5 L NS % | 6 L CPT % | 7 P PRO % | 9 P NS @ ")</f>
        <v xml:space="preserve">| 5 L NS % | 6 L CPT % | 7 P PRO % | 9 P NS @ </v>
      </c>
      <c r="AI626" s="4" t="str">
        <f ca="1">IFERROR(__xludf.DUMMYFUNCTION("""COMPUTED_VALUE"""),"| 5 L NS % | 6 L JAVA % | 7 P PHP-CGM % | 9 P JAVA % ")</f>
        <v xml:space="preserve">| 5 L NS % | 6 L JAVA % | 7 P PHP-CGM % | 9 P JAVA % </v>
      </c>
      <c r="AJ626" s="4" t="str">
        <f ca="1">IFERROR(__xludf.DUMMYFUNCTION("""COMPUTED_VALUE"""),"| 1 L PHP-CGM % | 6 L JAVA % | 7 P Python % ")</f>
        <v xml:space="preserve">| 1 L PHP-CGM % | 6 L JAVA % | 7 P Python % </v>
      </c>
      <c r="AK626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L626" s="4" t="str">
        <f ca="1">IFERROR(__xludf.DUMMYFUNCTION("""COMPUTED_VALUE"""),"| 5 L CPT % | 6 L PHP-CGM % | 7 P JAVA @ | 9 P Python @ ")</f>
        <v xml:space="preserve">| 5 L CPT % | 6 L PHP-CGM % | 7 P JAVA @ | 9 P Python @ </v>
      </c>
      <c r="AM626" s="4" t="str">
        <f ca="1">IFERROR(__xludf.DUMMYFUNCTION("""COMPUTED_VALUE"""),"| 5 L NS @ | 6 L CPT @ | 9 P JAVA @ ")</f>
        <v xml:space="preserve">| 5 L NS @ | 6 L CPT @ | 9 P JAVA @ </v>
      </c>
      <c r="AN626" s="4" t="str">
        <f ca="1">IFERROR(__xludf.DUMMYFUNCTION("""COMPUTED_VALUE"""),"| 5 L NS @ | 6 L JAVA @ ")</f>
        <v xml:space="preserve">| 5 L NS @ | 6 L JAVA @ </v>
      </c>
      <c r="AO626" s="4" t="str">
        <f ca="1">IFERROR(__xludf.DUMMYFUNCTION("""COMPUTED_VALUE"""),"| 1 L PHP-CGM % | 6 L JAVA % | 9 L INE @ ")</f>
        <v xml:space="preserve">| 1 L PHP-CGM % | 6 L JAVA % | 9 L INE @ </v>
      </c>
      <c r="AP626" s="4" t="str">
        <f ca="1">IFERROR(__xludf.DUMMYFUNCTION("""COMPUTED_VALUE"""),"| 5 L JAVA % | 6 L NS % | 7 P CPT % | 9 L CPT % | 6 L PHP-CGM % ")</f>
        <v xml:space="preserve">| 5 L JAVA % | 6 L NS % | 7 P CPT % | 9 L CPT % | 6 L PHP-CGM % </v>
      </c>
      <c r="AQ626" s="4" t="str">
        <f ca="1">IFERROR(__xludf.DUMMYFUNCTION("""COMPUTED_VALUE"""),"| 5 L CPT @ | 6 L PHP-CGM @ ")</f>
        <v xml:space="preserve">| 5 L CPT @ | 6 L PHP-CGM @ </v>
      </c>
      <c r="AR626" s="4" t="str">
        <f ca="1">IFERROR(__xludf.DUMMYFUNCTION("""COMPUTED_VALUE"""),"| 5 L NS % | 6 L CPT % | 7 P PRO % ")</f>
        <v xml:space="preserve">| 5 L NS % | 6 L CPT % | 7 P PRO % </v>
      </c>
      <c r="AS626" s="4" t="str">
        <f ca="1">IFERROR(__xludf.DUMMYFUNCTION("""COMPUTED_VALUE"""),"| 1 L PHP-CGM @ | 6 L JAVA @ | 7 P Python @ | 9 L INE @ ")</f>
        <v xml:space="preserve">| 1 L PHP-CGM @ | 6 L JAVA @ | 7 P Python @ | 9 L INE @ </v>
      </c>
      <c r="AT626" s="4" t="str">
        <f ca="1">IFERROR(__xludf.DUMMYFUNCTION("""COMPUTED_VALUE"""),"| 5 L JAVA % | 6 L NS % | 7 P CPT @ | 9 L CPT @ | 6 L PHP-CGM @ ")</f>
        <v xml:space="preserve">| 5 L JAVA % | 6 L NS % | 7 P CPT @ | 9 L CPT @ | 6 L PHP-CGM @ </v>
      </c>
      <c r="AU626" s="4" t="str">
        <f ca="1">IFERROR(__xludf.DUMMYFUNCTION("""COMPUTED_VALUE"""),"| 5 L CPT % | 6 L PHP-CGM % | 7 P JAVA % | 9 P Python % ")</f>
        <v xml:space="preserve">| 5 L CPT % | 6 L PHP-CGM % | 7 P JAVA % | 9 P Python % </v>
      </c>
      <c r="AV626" s="4" t="str">
        <f ca="1">IFERROR(__xludf.DUMMYFUNCTION("""COMPUTED_VALUE"""),"| 5 L NS % | 6 L CPT % | 7 P PRO % | 9 P NS % ")</f>
        <v xml:space="preserve">| 5 L NS % | 6 L CPT % | 7 P PRO % | 9 P NS % </v>
      </c>
      <c r="AW626" s="4" t="str">
        <f ca="1">IFERROR(__xludf.DUMMYFUNCTION("""COMPUTED_VALUE"""),"| 5 L NS @ | 6 L JAVA @ | 7 P PHP-CGM @ | 9 P JAVA @ ")</f>
        <v xml:space="preserve">| 5 L NS @ | 6 L JAVA @ | 7 P PHP-CGM @ | 9 P JAVA @ </v>
      </c>
      <c r="AX626" s="4" t="str">
        <f ca="1">IFERROR(__xludf.DUMMYFUNCTION("""COMPUTED_VALUE"""),"| 1 L PHP-CGM % | 6 L JAVA % | 7 P Python % | 9 L INE % ")</f>
        <v xml:space="preserve">| 1 L PHP-CGM % | 6 L JAVA % | 7 P Python % | 9 L INE % </v>
      </c>
      <c r="AY626" s="4" t="str">
        <f ca="1">IFERROR(__xludf.DUMMYFUNCTION("""COMPUTED_VALUE"""),"| 5 L JAVA % | 6 L NS % | 7 P CPT % | 9 L CPT % | 11 L PHP-CGM % ")</f>
        <v xml:space="preserve">| 5 L JAVA % | 6 L NS % | 7 P CPT % | 9 L CPT % | 11 L PHP-CGM % </v>
      </c>
      <c r="AZ626" s="4" t="str">
        <f ca="1">IFERROR(__xludf.DUMMYFUNCTION("""COMPUTED_VALUE"""),"| 5 L NS % | 6 L CPT % | 7 P PRO % | 9 P NS % ")</f>
        <v xml:space="preserve">| 5 L NS % | 6 L CPT % | 7 P PRO % | 9 P NS % </v>
      </c>
      <c r="BA626" s="4" t="str">
        <f ca="1">IFERROR(__xludf.DUMMYFUNCTION("""COMPUTED_VALUE"""),"| 5 L NS % | 6 L JAVA % ")</f>
        <v xml:space="preserve">| 5 L NS % | 6 L JAVA % </v>
      </c>
      <c r="BB626" s="4" t="str">
        <f ca="1">IFERROR(__xludf.DUMMYFUNCTION("""COMPUTED_VALUE"""),"| 1 L PHP-CGM % | 6 L JAVA % | 7 P Python % | 9 L INE % ")</f>
        <v xml:space="preserve">| 1 L PHP-CGM % | 6 L JAVA % | 7 P Python % | 9 L INE % </v>
      </c>
      <c r="BC626" s="4" t="str">
        <f ca="1">IFERROR(__xludf.DUMMYFUNCTION("""COMPUTED_VALUE"""),"| 5 L JAVA % | 6 L NS % | 7 P CPT % | 10 L PHP-CGM % | 9 L CPT % ")</f>
        <v xml:space="preserve">| 5 L JAVA % | 6 L NS % | 7 P CPT % | 10 L PHP-CGM % | 9 L CPT % </v>
      </c>
      <c r="BD626" s="4" t="str">
        <f ca="1">IFERROR(__xludf.DUMMYFUNCTION("""COMPUTED_VALUE"""),"| 5 L CPT % | 6 L PHP-CGM % | 7 P JAVA % | 9 P Python % ")</f>
        <v xml:space="preserve">| 5 L CPT % | 6 L PHP-CGM % | 7 P JAVA % | 9 P Python % </v>
      </c>
      <c r="BE626" s="4" t="str">
        <f ca="1">IFERROR(__xludf.DUMMYFUNCTION("""COMPUTED_VALUE"""),"| 5 L NS % | 6 L CPT % | 9 P JAVA % | 7 P PRO % | 9 P NS % ")</f>
        <v xml:space="preserve">| 5 L NS % | 6 L CPT % | 9 P JAVA % | 7 P PRO % | 9 P NS % </v>
      </c>
      <c r="BF626" s="4" t="str">
        <f ca="1">IFERROR(__xludf.DUMMYFUNCTION("""COMPUTED_VALUE"""),"| 5 L NS @ | 6 L JAVA % | 7 P PHP-CGM % | 9 P JAVA % ")</f>
        <v xml:space="preserve">| 5 L NS @ | 6 L JAVA % | 7 P PHP-CGM % | 9 P JAVA % </v>
      </c>
      <c r="BG626" s="4" t="str">
        <f ca="1">IFERROR(__xludf.DUMMYFUNCTION("""COMPUTED_VALUE"""),"| 5 L JAVA % | 6 L NS % | 9 L CPT % | 7 P CPT % | 10 L PHP-CGM % ")</f>
        <v xml:space="preserve">| 5 L JAVA % | 6 L NS % | 9 L CPT % | 7 P CPT % | 10 L PHP-CGM % </v>
      </c>
      <c r="BH626" s="4" t="str">
        <f ca="1">IFERROR(__xludf.DUMMYFUNCTION("""COMPUTED_VALUE"""),"| 5 L CPT % | 7 P JAVA % | 6 L PHP-CGM % | 9 P Python % ")</f>
        <v xml:space="preserve">| 5 L CPT % | 7 P JAVA % | 6 L PHP-CGM % | 9 P Python % </v>
      </c>
      <c r="BI626" s="4" t="str">
        <f ca="1">IFERROR(__xludf.DUMMYFUNCTION("""COMPUTED_VALUE"""),"| 5 L NS % | 6 L CPT @ | 7 P PRO @ | 9 P NS @ ")</f>
        <v xml:space="preserve">| 5 L NS % | 6 L CPT @ | 7 P PRO @ | 9 P NS @ </v>
      </c>
      <c r="BJ626" s="4" t="str">
        <f ca="1">IFERROR(__xludf.DUMMYFUNCTION("""COMPUTED_VALUE"""),"| 5 L NS % | 6 L JAVA % | 7 P PHP-CGM @ ")</f>
        <v xml:space="preserve">| 5 L NS % | 6 L JAVA % | 7 P PHP-CGM @ </v>
      </c>
      <c r="BK626" s="4" t="str">
        <f ca="1">IFERROR(__xludf.DUMMYFUNCTION("""COMPUTED_VALUE"""),"| 1 L PHP-CGM @ | 6 L JAVA @ | 7 P Python @ | 9 L INE @ ")</f>
        <v xml:space="preserve">| 1 L PHP-CGM @ | 6 L JAVA @ | 7 P Python @ | 9 L INE @ </v>
      </c>
      <c r="BL626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BM626" s="4" t="str">
        <f ca="1">IFERROR(__xludf.DUMMYFUNCTION("""COMPUTED_VALUE"""),"| 5 L CPT @ | 6 L PHP-CGM @ | 7 P JAVA @ | 9 P Python @ ")</f>
        <v xml:space="preserve">| 5 L CPT @ | 6 L PHP-CGM @ | 7 P JAVA @ | 9 P Python @ </v>
      </c>
      <c r="BN626" s="4" t="str">
        <f ca="1">IFERROR(__xludf.DUMMYFUNCTION("""COMPUTED_VALUE"""),"| 5 L NS @ | 6 L CPT @ | 7 P PRO @ | 9 P NS @ ")</f>
        <v xml:space="preserve">| 5 L NS @ | 6 L CPT @ | 7 P PRO @ | 9 P NS @ </v>
      </c>
      <c r="BO626" s="4" t="str">
        <f ca="1">IFERROR(__xludf.DUMMYFUNCTION("""COMPUTED_VALUE"""),"| 5 L NS @ | 6 L JAVA @ ")</f>
        <v xml:space="preserve">| 5 L NS @ | 6 L JAVA @ </v>
      </c>
      <c r="BP626" s="4" t="str">
        <f ca="1">IFERROR(__xludf.DUMMYFUNCTION("""COMPUTED_VALUE"""),"| 1 L PHP-CGM % | 6 L JAVA % | 9 L INE @ ")</f>
        <v xml:space="preserve">| 1 L PHP-CGM % | 6 L JAVA % | 9 L INE @ </v>
      </c>
      <c r="BQ626" s="4" t="str">
        <f ca="1">IFERROR(__xludf.DUMMYFUNCTION("""COMPUTED_VALUE"""),"| 5 L CPT @ ")</f>
        <v xml:space="preserve">| 5 L CPT @ </v>
      </c>
      <c r="BR626" s="4"/>
      <c r="BS626" s="4" t="str">
        <f ca="1">IFERROR(__xludf.DUMMYFUNCTION("""COMPUTED_VALUE"""),"| 6 L CPT @ ")</f>
        <v xml:space="preserve">| 6 L CPT @ </v>
      </c>
      <c r="BT626" s="4"/>
      <c r="BU626" s="4"/>
      <c r="BV626" s="4" t="str">
        <f ca="1">IFERROR(__xludf.DUMMYFUNCTION("""COMPUTED_VALUE"""),"| 5 L PHP-CGM @ | 6 L JAVA @ ")</f>
        <v xml:space="preserve">| 5 L PHP-CGM @ | 6 L JAVA @ </v>
      </c>
      <c r="BW626" s="4"/>
      <c r="BX626" s="4" t="str">
        <f ca="1">IFERROR(__xludf.DUMMYFUNCTION("""COMPUTED_VALUE"""),"| 5 L CPT @ | 7 P JAVA @ | 6 L PHP-CGM @ ")</f>
        <v xml:space="preserve">| 5 L CPT @ | 7 P JAVA @ | 6 L PHP-CGM @ </v>
      </c>
      <c r="BY626" s="4" t="str">
        <f ca="1">IFERROR(__xludf.DUMMYFUNCTION("""COMPUTED_VALUE"""),"| 5 L NS @ | 6 L CPT @ | 7 P PRO @ | 9 P NS @ ")</f>
        <v xml:space="preserve">| 5 L NS @ | 6 L CPT @ | 7 P PRO @ | 9 P NS @ </v>
      </c>
      <c r="BZ626" s="4" t="str">
        <f ca="1">IFERROR(__xludf.DUMMYFUNCTION("""COMPUTED_VALUE"""),"| 5 L NS @ | 6 L JAVA @ | 7 P PHP-CGM @ ")</f>
        <v xml:space="preserve">| 5 L NS @ | 6 L JAVA @ | 7 P PHP-CGM @ </v>
      </c>
      <c r="CA626" s="4" t="str">
        <f ca="1">IFERROR(__xludf.DUMMYFUNCTION("""COMPUTED_VALUE"""),"| 1 L PHP-CGM % | 6 L JAVA % | 7 P Python % ")</f>
        <v xml:space="preserve">| 1 L PHP-CGM % | 6 L JAVA % | 7 P Python % </v>
      </c>
      <c r="CB626" s="4" t="str">
        <f ca="1">IFERROR(__xludf.DUMMYFUNCTION("""COMPUTED_VALUE"""),"| 5 L JAVA @ | 6 L NS @ | 7 P CPT @ | 9 L CPT @ | 10 L PHP-CGM @ ")</f>
        <v xml:space="preserve">| 5 L JAVA @ | 6 L NS @ | 7 P CPT @ | 9 L CPT @ | 10 L PHP-CGM @ </v>
      </c>
      <c r="CC626" s="4" t="str">
        <f ca="1">IFERROR(__xludf.DUMMYFUNCTION("""COMPUTED_VALUE"""),"| 5 L CPT % | 6 L PHP-CGM % | 7 P JAVA % | 9 P Python % ")</f>
        <v xml:space="preserve">| 5 L CPT % | 6 L PHP-CGM % | 7 P JAVA % | 9 P Python % </v>
      </c>
      <c r="CD626" s="4" t="str">
        <f ca="1">IFERROR(__xludf.DUMMYFUNCTION("""COMPUTED_VALUE"""),"| 5 L NS @ | 6 L CPT @ | 7 P PRO @ ")</f>
        <v xml:space="preserve">| 5 L NS @ | 6 L CPT @ | 7 P PRO @ </v>
      </c>
      <c r="CE626" s="4" t="str">
        <f ca="1">IFERROR(__xludf.DUMMYFUNCTION("""COMPUTED_VALUE"""),"| 5 L NS @ | 6 L JAVA @ | 7 P PHP-CGM @ | 9 P JAVA @ ")</f>
        <v xml:space="preserve">| 5 L NS @ | 6 L JAVA @ | 7 P PHP-CGM @ | 9 P JAVA @ </v>
      </c>
      <c r="CF626" s="4" t="str">
        <f ca="1">IFERROR(__xludf.DUMMYFUNCTION("""COMPUTED_VALUE"""),"| 5 L PHP-CGM % | 6 L JAVA % | 7 P Python % | 9 L INE % ")</f>
        <v xml:space="preserve">| 5 L PHP-CGM % | 6 L JAVA % | 7 P Python % | 9 L INE % </v>
      </c>
      <c r="CG626" s="4" t="str">
        <f ca="1">IFERROR(__xludf.DUMMYFUNCTION("""COMPUTED_VALUE"""),"| 5 L JAVA % | 6 L NS % ")</f>
        <v xml:space="preserve">| 5 L JAVA % | 6 L NS % </v>
      </c>
      <c r="CH626" s="4" t="str">
        <f ca="1">IFERROR(__xludf.DUMMYFUNCTION("""COMPUTED_VALUE"""),"| 5 L CPT @ | 9 P Python % ")</f>
        <v xml:space="preserve">| 5 L CPT @ | 9 P Python % </v>
      </c>
      <c r="CI626" s="4" t="str">
        <f ca="1">IFERROR(__xludf.DUMMYFUNCTION("""COMPUTED_VALUE"""),"| 5 L NS @ | 6 L CPT @ | 9 P NS % ")</f>
        <v xml:space="preserve">| 5 L NS @ | 6 L CPT @ | 9 P NS % </v>
      </c>
      <c r="CJ626" s="4" t="str">
        <f ca="1">IFERROR(__xludf.DUMMYFUNCTION("""COMPUTED_VALUE"""),"| 5 L NS % ")</f>
        <v xml:space="preserve">| 5 L NS % </v>
      </c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</row>
    <row r="627" spans="1:102" ht="12.5" x14ac:dyDescent="0.25">
      <c r="A627" s="3"/>
      <c r="B627" s="3"/>
      <c r="C627" s="32"/>
      <c r="E627" s="3"/>
      <c r="F627" s="3"/>
      <c r="G627" s="3"/>
      <c r="H627" s="33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BU627" s="4"/>
      <c r="BV627" s="4"/>
      <c r="BW627" s="4"/>
      <c r="BX627" s="4"/>
      <c r="BY627" s="4"/>
      <c r="BZ627" s="4"/>
    </row>
    <row r="628" spans="1:102" ht="12.5" x14ac:dyDescent="0.25">
      <c r="A628" s="3"/>
      <c r="B628" s="3"/>
      <c r="C628" s="32"/>
      <c r="E628" s="3"/>
      <c r="F628" s="3"/>
      <c r="G628" s="3"/>
      <c r="H628" s="33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BU628" s="4"/>
      <c r="BV628" s="4"/>
      <c r="BW628" s="4"/>
      <c r="BX628" s="4"/>
      <c r="BY628" s="4"/>
      <c r="BZ628" s="4"/>
    </row>
    <row r="629" spans="1:102" ht="12.5" x14ac:dyDescent="0.25">
      <c r="A629" s="3"/>
      <c r="B629" s="3"/>
      <c r="C629" s="32"/>
      <c r="E629" s="3"/>
      <c r="F629" s="3"/>
      <c r="G629" s="3"/>
      <c r="H629" s="33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BU629" s="4"/>
      <c r="BV629" s="4"/>
      <c r="BW629" s="4"/>
      <c r="BX629" s="4"/>
      <c r="BY629" s="4"/>
      <c r="BZ629" s="4"/>
    </row>
    <row r="630" spans="1:102" ht="12.5" x14ac:dyDescent="0.25">
      <c r="A630" s="3"/>
      <c r="B630" s="3"/>
      <c r="C630" s="32"/>
      <c r="E630" s="3"/>
      <c r="F630" s="3"/>
      <c r="G630" s="3"/>
      <c r="H630" s="33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BU630" s="4"/>
      <c r="BV630" s="4"/>
      <c r="BW630" s="4"/>
      <c r="BX630" s="4"/>
      <c r="BY630" s="4"/>
      <c r="BZ630" s="4"/>
    </row>
    <row r="631" spans="1:102" ht="12.5" x14ac:dyDescent="0.25">
      <c r="A631" s="3"/>
      <c r="B631" s="3"/>
      <c r="C631" s="32"/>
      <c r="E631" s="3"/>
      <c r="F631" s="3"/>
      <c r="G631" s="3"/>
      <c r="H631" s="33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BU631" s="4"/>
      <c r="BV631" s="4"/>
      <c r="BW631" s="4"/>
      <c r="BX631" s="4"/>
      <c r="BY631" s="4"/>
      <c r="BZ631" s="4"/>
    </row>
    <row r="632" spans="1:102" ht="12.5" x14ac:dyDescent="0.25">
      <c r="A632" s="3"/>
      <c r="B632" s="3"/>
      <c r="C632" s="32"/>
      <c r="E632" s="3"/>
      <c r="F632" s="3"/>
      <c r="G632" s="3"/>
      <c r="H632" s="33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BU632" s="4"/>
      <c r="BV632" s="4"/>
      <c r="BW632" s="4"/>
      <c r="BX632" s="4"/>
      <c r="BY632" s="4"/>
      <c r="BZ632" s="4"/>
    </row>
    <row r="633" spans="1:102" ht="12.5" x14ac:dyDescent="0.25">
      <c r="A633" s="3"/>
      <c r="B633" s="3"/>
      <c r="C633" s="32"/>
      <c r="E633" s="3"/>
      <c r="F633" s="3"/>
      <c r="G633" s="3"/>
      <c r="H633" s="33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BU633" s="4"/>
      <c r="BV633" s="4"/>
      <c r="BW633" s="4"/>
      <c r="BX633" s="4"/>
      <c r="BY633" s="4"/>
      <c r="BZ633" s="4"/>
    </row>
    <row r="634" spans="1:102" ht="12.5" x14ac:dyDescent="0.25">
      <c r="A634" s="3"/>
      <c r="B634" s="3"/>
      <c r="C634" s="32"/>
      <c r="E634" s="3"/>
      <c r="F634" s="3"/>
      <c r="G634" s="3"/>
      <c r="H634" s="33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BU634" s="4"/>
      <c r="BV634" s="4"/>
      <c r="BW634" s="4"/>
      <c r="BX634" s="4"/>
      <c r="BY634" s="4"/>
      <c r="BZ634" s="4"/>
    </row>
    <row r="635" spans="1:102" ht="12.5" x14ac:dyDescent="0.25">
      <c r="A635" s="3"/>
      <c r="B635" s="3"/>
      <c r="C635" s="32"/>
      <c r="E635" s="3"/>
      <c r="F635" s="3"/>
      <c r="G635" s="3"/>
      <c r="H635" s="33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BU635" s="4"/>
      <c r="BV635" s="4"/>
      <c r="BW635" s="4"/>
      <c r="BX635" s="4"/>
      <c r="BY635" s="4"/>
      <c r="BZ635" s="4"/>
    </row>
    <row r="636" spans="1:102" ht="12.5" x14ac:dyDescent="0.25">
      <c r="A636" s="3"/>
      <c r="B636" s="3"/>
      <c r="C636" s="32"/>
      <c r="E636" s="3"/>
      <c r="F636" s="3"/>
      <c r="G636" s="3"/>
      <c r="H636" s="33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BU636" s="4"/>
      <c r="BV636" s="4"/>
      <c r="BW636" s="4"/>
      <c r="BX636" s="4"/>
      <c r="BY636" s="4"/>
      <c r="BZ636" s="4"/>
    </row>
    <row r="637" spans="1:102" ht="12.5" x14ac:dyDescent="0.25">
      <c r="A637" s="3"/>
      <c r="B637" s="3"/>
      <c r="C637" s="32"/>
      <c r="E637" s="3"/>
      <c r="F637" s="3"/>
      <c r="G637" s="3"/>
      <c r="H637" s="33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BU637" s="4"/>
      <c r="BV637" s="4"/>
      <c r="BW637" s="4"/>
      <c r="BX637" s="4"/>
      <c r="BY637" s="4"/>
      <c r="BZ637" s="4"/>
    </row>
    <row r="638" spans="1:102" ht="12.5" x14ac:dyDescent="0.25">
      <c r="A638" s="3"/>
      <c r="B638" s="3"/>
      <c r="C638" s="32"/>
      <c r="E638" s="3"/>
      <c r="F638" s="3"/>
      <c r="G638" s="3"/>
      <c r="H638" s="33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BU638" s="4"/>
      <c r="BV638" s="4"/>
      <c r="BW638" s="4"/>
      <c r="BX638" s="4"/>
      <c r="BY638" s="4"/>
      <c r="BZ638" s="4"/>
    </row>
    <row r="639" spans="1:102" ht="12.5" x14ac:dyDescent="0.25">
      <c r="A639" s="3"/>
      <c r="B639" s="3"/>
      <c r="C639" s="32"/>
      <c r="E639" s="3"/>
      <c r="F639" s="3"/>
      <c r="G639" s="3"/>
      <c r="H639" s="33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BU639" s="4"/>
      <c r="BV639" s="4"/>
      <c r="BW639" s="4"/>
      <c r="BX639" s="4"/>
      <c r="BY639" s="4"/>
      <c r="BZ639" s="4"/>
    </row>
    <row r="640" spans="1:102" ht="12.5" x14ac:dyDescent="0.25">
      <c r="A640" s="3"/>
      <c r="B640" s="3"/>
      <c r="C640" s="32"/>
      <c r="E640" s="3"/>
      <c r="F640" s="3"/>
      <c r="G640" s="3"/>
      <c r="H640" s="33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BU640" s="4"/>
      <c r="BV640" s="4"/>
      <c r="BW640" s="4"/>
      <c r="BX640" s="4"/>
      <c r="BY640" s="4"/>
      <c r="BZ640" s="4"/>
    </row>
    <row r="641" spans="1:78" ht="12.5" x14ac:dyDescent="0.25">
      <c r="A641" s="3"/>
      <c r="B641" s="3"/>
      <c r="C641" s="32"/>
      <c r="E641" s="3"/>
      <c r="F641" s="3"/>
      <c r="G641" s="3"/>
      <c r="H641" s="33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BU641" s="4"/>
      <c r="BV641" s="4"/>
      <c r="BW641" s="4"/>
      <c r="BX641" s="4"/>
      <c r="BY641" s="4"/>
      <c r="BZ641" s="4"/>
    </row>
    <row r="642" spans="1:78" ht="12.5" x14ac:dyDescent="0.25">
      <c r="A642" s="3"/>
      <c r="B642" s="3"/>
      <c r="C642" s="32"/>
      <c r="E642" s="3"/>
      <c r="F642" s="3"/>
      <c r="G642" s="3"/>
      <c r="H642" s="33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BU642" s="4"/>
      <c r="BV642" s="4"/>
      <c r="BW642" s="4"/>
      <c r="BX642" s="4"/>
      <c r="BY642" s="4"/>
      <c r="BZ642" s="4"/>
    </row>
    <row r="643" spans="1:78" ht="12.5" x14ac:dyDescent="0.25">
      <c r="A643" s="3"/>
      <c r="B643" s="3"/>
      <c r="C643" s="32"/>
      <c r="E643" s="3"/>
      <c r="F643" s="3"/>
      <c r="G643" s="3"/>
      <c r="H643" s="33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BU643" s="4"/>
      <c r="BV643" s="4"/>
      <c r="BW643" s="4"/>
      <c r="BX643" s="4"/>
      <c r="BY643" s="4"/>
      <c r="BZ643" s="4"/>
    </row>
    <row r="644" spans="1:78" ht="12.5" x14ac:dyDescent="0.25">
      <c r="A644" s="3"/>
      <c r="B644" s="3"/>
      <c r="C644" s="32"/>
      <c r="E644" s="3"/>
      <c r="F644" s="3"/>
      <c r="G644" s="3"/>
      <c r="H644" s="33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BU644" s="4"/>
      <c r="BV644" s="4"/>
      <c r="BW644" s="4"/>
      <c r="BX644" s="4"/>
      <c r="BY644" s="4"/>
      <c r="BZ644" s="4"/>
    </row>
    <row r="645" spans="1:78" ht="12.5" x14ac:dyDescent="0.25">
      <c r="A645" s="3"/>
      <c r="B645" s="3"/>
      <c r="C645" s="32"/>
      <c r="E645" s="3"/>
      <c r="F645" s="3"/>
      <c r="G645" s="3"/>
      <c r="H645" s="33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BU645" s="4"/>
      <c r="BV645" s="4"/>
      <c r="BW645" s="4"/>
      <c r="BX645" s="4"/>
      <c r="BY645" s="4"/>
      <c r="BZ645" s="4"/>
    </row>
    <row r="646" spans="1:78" ht="12.5" x14ac:dyDescent="0.25">
      <c r="A646" s="3"/>
      <c r="B646" s="3"/>
      <c r="C646" s="32"/>
      <c r="E646" s="3"/>
      <c r="F646" s="3"/>
      <c r="G646" s="3"/>
      <c r="H646" s="33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BU646" s="4"/>
      <c r="BV646" s="4"/>
      <c r="BW646" s="4"/>
      <c r="BX646" s="4"/>
      <c r="BY646" s="4"/>
      <c r="BZ646" s="4"/>
    </row>
    <row r="647" spans="1:78" ht="12.5" x14ac:dyDescent="0.25">
      <c r="A647" s="3"/>
      <c r="B647" s="3"/>
      <c r="C647" s="32"/>
      <c r="E647" s="3"/>
      <c r="F647" s="3"/>
      <c r="G647" s="3"/>
      <c r="H647" s="33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BU647" s="4"/>
      <c r="BV647" s="4"/>
      <c r="BW647" s="4"/>
      <c r="BX647" s="4"/>
      <c r="BY647" s="4"/>
      <c r="BZ647" s="4"/>
    </row>
    <row r="648" spans="1:78" ht="12.5" x14ac:dyDescent="0.25">
      <c r="A648" s="3"/>
      <c r="B648" s="3"/>
      <c r="C648" s="32"/>
      <c r="E648" s="3"/>
      <c r="F648" s="3"/>
      <c r="G648" s="3"/>
      <c r="H648" s="33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BU648" s="4"/>
      <c r="BV648" s="4"/>
      <c r="BW648" s="4"/>
      <c r="BX648" s="4"/>
      <c r="BY648" s="4"/>
      <c r="BZ648" s="4"/>
    </row>
    <row r="649" spans="1:78" ht="12.5" x14ac:dyDescent="0.25">
      <c r="A649" s="3"/>
      <c r="B649" s="3"/>
      <c r="C649" s="32"/>
      <c r="E649" s="3"/>
      <c r="F649" s="3"/>
      <c r="G649" s="3"/>
      <c r="H649" s="33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BU649" s="4"/>
      <c r="BV649" s="4"/>
      <c r="BW649" s="4"/>
      <c r="BX649" s="4"/>
      <c r="BY649" s="4"/>
      <c r="BZ649" s="4"/>
    </row>
    <row r="650" spans="1:78" ht="12.5" x14ac:dyDescent="0.25">
      <c r="A650" s="3"/>
      <c r="B650" s="3"/>
      <c r="C650" s="32"/>
      <c r="E650" s="3"/>
      <c r="F650" s="3"/>
      <c r="G650" s="3"/>
      <c r="H650" s="33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BU650" s="4"/>
      <c r="BV650" s="4"/>
      <c r="BW650" s="4"/>
      <c r="BX650" s="4"/>
      <c r="BY650" s="4"/>
      <c r="BZ650" s="4"/>
    </row>
    <row r="651" spans="1:78" ht="12.5" x14ac:dyDescent="0.25">
      <c r="A651" s="3"/>
      <c r="B651" s="3"/>
      <c r="C651" s="32"/>
      <c r="E651" s="3"/>
      <c r="F651" s="3"/>
      <c r="G651" s="3"/>
      <c r="H651" s="33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BU651" s="4"/>
      <c r="BV651" s="4"/>
      <c r="BW651" s="4"/>
      <c r="BX651" s="4"/>
      <c r="BY651" s="4"/>
      <c r="BZ651" s="4"/>
    </row>
    <row r="652" spans="1:78" ht="12.5" x14ac:dyDescent="0.25">
      <c r="A652" s="3"/>
      <c r="B652" s="3"/>
      <c r="C652" s="32"/>
      <c r="E652" s="3"/>
      <c r="F652" s="3"/>
      <c r="G652" s="3"/>
      <c r="H652" s="33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BU652" s="4"/>
      <c r="BV652" s="4"/>
      <c r="BW652" s="4"/>
      <c r="BX652" s="4"/>
      <c r="BY652" s="4"/>
      <c r="BZ652" s="4"/>
    </row>
    <row r="653" spans="1:78" ht="12.5" x14ac:dyDescent="0.25">
      <c r="A653" s="3"/>
      <c r="B653" s="3"/>
      <c r="C653" s="32"/>
      <c r="E653" s="3"/>
      <c r="F653" s="3"/>
      <c r="G653" s="3"/>
      <c r="H653" s="33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BU653" s="4"/>
      <c r="BV653" s="4"/>
      <c r="BW653" s="4"/>
      <c r="BX653" s="4"/>
      <c r="BY653" s="4"/>
      <c r="BZ653" s="4"/>
    </row>
  </sheetData>
  <mergeCells count="6">
    <mergeCell ref="S2:T2"/>
    <mergeCell ref="I2:J2"/>
    <mergeCell ref="K2:L2"/>
    <mergeCell ref="M2:N2"/>
    <mergeCell ref="O2:P2"/>
    <mergeCell ref="Q2:R2"/>
  </mergeCells>
  <printOptions horizontalCentered="1" gridLines="1"/>
  <pageMargins left="0.25" right="0.25" top="0.75" bottom="0.75" header="0" footer="0"/>
  <pageSetup fitToHeight="0" pageOrder="overThenDown" orientation="portrait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X62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W3" sqref="CW3"/>
    </sheetView>
  </sheetViews>
  <sheetFormatPr defaultColWidth="12.6328125" defaultRowHeight="15.75" customHeight="1" x14ac:dyDescent="0.25"/>
  <cols>
    <col min="1" max="1" width="5.26953125" customWidth="1"/>
    <col min="2" max="2" width="5.08984375" customWidth="1"/>
    <col min="3" max="3" width="12.26953125" customWidth="1"/>
    <col min="4" max="4" width="36.90625" customWidth="1"/>
    <col min="5" max="5" width="5.453125" customWidth="1"/>
    <col min="6" max="6" width="2.7265625" customWidth="1"/>
    <col min="7" max="15" width="2.90625" customWidth="1"/>
    <col min="16" max="16" width="3.6328125" customWidth="1"/>
    <col min="17" max="17" width="7.90625" customWidth="1"/>
    <col min="18" max="22" width="2.90625" customWidth="1"/>
    <col min="23" max="23" width="10.36328125" customWidth="1"/>
    <col min="24" max="24" width="4.26953125" customWidth="1"/>
    <col min="25" max="25" width="3.90625" customWidth="1"/>
    <col min="26" max="26" width="4.6328125" customWidth="1"/>
    <col min="27" max="35" width="2.90625" customWidth="1"/>
    <col min="36" max="42" width="3.6328125" customWidth="1"/>
    <col min="43" max="43" width="7.90625" customWidth="1"/>
    <col min="44" max="44" width="4.6328125" customWidth="1"/>
    <col min="45" max="48" width="2.90625" customWidth="1"/>
    <col min="49" max="49" width="10.90625" customWidth="1"/>
    <col min="50" max="50" width="5.453125" customWidth="1"/>
    <col min="51" max="51" width="2.7265625" customWidth="1"/>
    <col min="52" max="60" width="2.90625" customWidth="1"/>
    <col min="61" max="61" width="3.6328125" customWidth="1"/>
    <col min="62" max="62" width="8" customWidth="1"/>
    <col min="63" max="67" width="2.90625" customWidth="1"/>
    <col min="68" max="68" width="8.453125" customWidth="1"/>
    <col min="69" max="69" width="4.36328125" customWidth="1"/>
    <col min="70" max="70" width="2.7265625" customWidth="1"/>
    <col min="71" max="79" width="2.90625" customWidth="1"/>
    <col min="80" max="80" width="3.6328125" customWidth="1"/>
    <col min="81" max="81" width="7.90625" customWidth="1"/>
    <col min="82" max="82" width="5.453125" customWidth="1"/>
    <col min="83" max="83" width="2.7265625" customWidth="1"/>
    <col min="84" max="92" width="2.90625" customWidth="1"/>
    <col min="93" max="93" width="3.6328125" customWidth="1"/>
    <col min="94" max="94" width="7.90625" customWidth="1"/>
    <col min="95" max="99" width="2.90625" customWidth="1"/>
    <col min="100" max="100" width="8.453125" customWidth="1"/>
    <col min="101" max="101" width="7.08984375" customWidth="1"/>
    <col min="102" max="102" width="8.453125" customWidth="1"/>
  </cols>
  <sheetData>
    <row r="1" spans="1:102" x14ac:dyDescent="0.3">
      <c r="A1" s="21">
        <f t="array" ref="A1:CX1">COLUMN(1:1)-2</f>
        <v>-1</v>
      </c>
      <c r="B1" s="4">
        <v>0</v>
      </c>
      <c r="C1" s="21">
        <v>1</v>
      </c>
      <c r="D1" s="21">
        <v>2</v>
      </c>
      <c r="E1" s="39">
        <v>3</v>
      </c>
      <c r="F1" s="39">
        <v>4</v>
      </c>
      <c r="G1" s="39">
        <v>5</v>
      </c>
      <c r="H1" s="39">
        <v>6</v>
      </c>
      <c r="I1" s="39">
        <v>7</v>
      </c>
      <c r="J1" s="39">
        <v>8</v>
      </c>
      <c r="K1" s="39">
        <v>9</v>
      </c>
      <c r="L1" s="39">
        <v>10</v>
      </c>
      <c r="M1" s="39">
        <v>11</v>
      </c>
      <c r="N1" s="39">
        <v>12</v>
      </c>
      <c r="O1" s="39">
        <v>13</v>
      </c>
      <c r="P1" s="39">
        <v>14</v>
      </c>
      <c r="Q1" s="39">
        <v>15</v>
      </c>
      <c r="R1" s="39">
        <v>16</v>
      </c>
      <c r="S1" s="39">
        <v>17</v>
      </c>
      <c r="T1" s="39">
        <v>18</v>
      </c>
      <c r="U1" s="39">
        <v>19</v>
      </c>
      <c r="V1" s="39">
        <v>20</v>
      </c>
      <c r="W1" s="39">
        <v>21</v>
      </c>
      <c r="X1" s="39">
        <v>22</v>
      </c>
      <c r="Y1" s="39">
        <v>23</v>
      </c>
      <c r="Z1" s="39">
        <v>24</v>
      </c>
      <c r="AA1" s="39">
        <v>25</v>
      </c>
      <c r="AB1" s="39">
        <v>26</v>
      </c>
      <c r="AC1" s="39">
        <v>27</v>
      </c>
      <c r="AD1" s="39">
        <v>28</v>
      </c>
      <c r="AE1" s="39">
        <v>29</v>
      </c>
      <c r="AF1" s="39">
        <v>30</v>
      </c>
      <c r="AG1" s="39">
        <v>31</v>
      </c>
      <c r="AH1" s="39">
        <v>32</v>
      </c>
      <c r="AI1" s="39">
        <v>33</v>
      </c>
      <c r="AJ1" s="39">
        <v>34</v>
      </c>
      <c r="AK1" s="39">
        <v>35</v>
      </c>
      <c r="AL1" s="39">
        <v>36</v>
      </c>
      <c r="AM1" s="39">
        <v>37</v>
      </c>
      <c r="AN1" s="39">
        <v>38</v>
      </c>
      <c r="AO1" s="39">
        <v>39</v>
      </c>
      <c r="AP1" s="39">
        <v>40</v>
      </c>
      <c r="AQ1" s="39">
        <v>41</v>
      </c>
      <c r="AR1" s="39">
        <v>42</v>
      </c>
      <c r="AS1" s="39">
        <v>43</v>
      </c>
      <c r="AT1" s="39">
        <v>44</v>
      </c>
      <c r="AU1" s="39">
        <v>45</v>
      </c>
      <c r="AV1" s="39">
        <v>46</v>
      </c>
      <c r="AW1" s="39">
        <v>47</v>
      </c>
      <c r="AX1" s="39">
        <v>48</v>
      </c>
      <c r="AY1" s="39">
        <v>49</v>
      </c>
      <c r="AZ1" s="39">
        <v>50</v>
      </c>
      <c r="BA1" s="39">
        <v>51</v>
      </c>
      <c r="BB1" s="39">
        <v>52</v>
      </c>
      <c r="BC1" s="39">
        <v>53</v>
      </c>
      <c r="BD1" s="39">
        <v>54</v>
      </c>
      <c r="BE1" s="39">
        <v>55</v>
      </c>
      <c r="BF1" s="39">
        <v>56</v>
      </c>
      <c r="BG1" s="39">
        <v>57</v>
      </c>
      <c r="BH1" s="39">
        <v>58</v>
      </c>
      <c r="BI1" s="39">
        <v>59</v>
      </c>
      <c r="BJ1" s="39">
        <v>60</v>
      </c>
      <c r="BK1" s="39">
        <v>61</v>
      </c>
      <c r="BL1" s="39">
        <v>62</v>
      </c>
      <c r="BM1" s="39">
        <v>63</v>
      </c>
      <c r="BN1" s="39">
        <v>64</v>
      </c>
      <c r="BO1" s="39">
        <v>65</v>
      </c>
      <c r="BP1" s="39">
        <v>66</v>
      </c>
      <c r="BQ1" s="39">
        <v>67</v>
      </c>
      <c r="BR1" s="39">
        <v>68</v>
      </c>
      <c r="BS1" s="39">
        <v>69</v>
      </c>
      <c r="BT1" s="39">
        <v>70</v>
      </c>
      <c r="BU1" s="39">
        <v>71</v>
      </c>
      <c r="BV1" s="39">
        <v>72</v>
      </c>
      <c r="BW1" s="39">
        <v>73</v>
      </c>
      <c r="BX1" s="39">
        <v>74</v>
      </c>
      <c r="BY1" s="39">
        <v>75</v>
      </c>
      <c r="BZ1" s="39">
        <v>76</v>
      </c>
      <c r="CA1" s="39">
        <v>77</v>
      </c>
      <c r="CB1" s="39">
        <v>78</v>
      </c>
      <c r="CC1" s="39">
        <v>79</v>
      </c>
      <c r="CD1" s="39">
        <v>80</v>
      </c>
      <c r="CE1" s="39">
        <v>81</v>
      </c>
      <c r="CF1" s="39">
        <v>82</v>
      </c>
      <c r="CG1" s="39">
        <v>83</v>
      </c>
      <c r="CH1" s="39">
        <v>84</v>
      </c>
      <c r="CI1" s="39">
        <v>85</v>
      </c>
      <c r="CJ1" s="39">
        <v>86</v>
      </c>
      <c r="CK1" s="39">
        <v>87</v>
      </c>
      <c r="CL1" s="39">
        <v>88</v>
      </c>
      <c r="CM1" s="39">
        <v>89</v>
      </c>
      <c r="CN1" s="39">
        <v>90</v>
      </c>
      <c r="CO1" s="39">
        <v>91</v>
      </c>
      <c r="CP1" s="39">
        <v>92</v>
      </c>
      <c r="CQ1" s="39">
        <v>93</v>
      </c>
      <c r="CR1" s="39">
        <v>94</v>
      </c>
      <c r="CS1" s="39">
        <v>95</v>
      </c>
      <c r="CT1" s="39">
        <v>96</v>
      </c>
      <c r="CU1" s="39">
        <v>97</v>
      </c>
      <c r="CV1" s="39">
        <v>98</v>
      </c>
      <c r="CW1" s="39">
        <v>99</v>
      </c>
      <c r="CX1" s="39">
        <v>100</v>
      </c>
    </row>
    <row r="2" spans="1:102" x14ac:dyDescent="0.3">
      <c r="A2" s="21"/>
      <c r="C2" s="21"/>
      <c r="D2" s="21" t="s">
        <v>2</v>
      </c>
      <c r="E2" s="115" t="s">
        <v>32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4"/>
      <c r="X2" s="115" t="s">
        <v>33</v>
      </c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4"/>
      <c r="AX2" s="115" t="s">
        <v>34</v>
      </c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4"/>
      <c r="BQ2" s="115" t="s">
        <v>35</v>
      </c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4"/>
      <c r="CD2" s="115" t="s">
        <v>36</v>
      </c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4"/>
      <c r="CW2" s="51"/>
      <c r="CX2" s="39" t="s">
        <v>10</v>
      </c>
    </row>
    <row r="3" spans="1:102" ht="15.75" customHeight="1" x14ac:dyDescent="0.25">
      <c r="A3" s="22" t="s">
        <v>0</v>
      </c>
      <c r="B3" s="22" t="s">
        <v>1</v>
      </c>
      <c r="C3" s="23" t="s">
        <v>11</v>
      </c>
      <c r="D3" s="32" t="s">
        <v>37</v>
      </c>
      <c r="E3" s="40" t="s">
        <v>12</v>
      </c>
      <c r="F3" s="41" t="s">
        <v>13</v>
      </c>
      <c r="G3" s="41" t="s">
        <v>14</v>
      </c>
      <c r="H3" s="41" t="s">
        <v>15</v>
      </c>
      <c r="I3" s="41" t="s">
        <v>16</v>
      </c>
      <c r="J3" s="41" t="s">
        <v>17</v>
      </c>
      <c r="K3" s="41" t="s">
        <v>18</v>
      </c>
      <c r="L3" s="41" t="s">
        <v>19</v>
      </c>
      <c r="M3" s="41" t="s">
        <v>20</v>
      </c>
      <c r="N3" s="41" t="s">
        <v>21</v>
      </c>
      <c r="O3" s="41" t="s">
        <v>22</v>
      </c>
      <c r="P3" s="41" t="s">
        <v>23</v>
      </c>
      <c r="Q3" s="41" t="s">
        <v>24</v>
      </c>
      <c r="R3" s="41" t="s">
        <v>25</v>
      </c>
      <c r="S3" s="41" t="s">
        <v>26</v>
      </c>
      <c r="T3" s="41" t="s">
        <v>27</v>
      </c>
      <c r="U3" s="41" t="s">
        <v>28</v>
      </c>
      <c r="V3" s="41" t="s">
        <v>29</v>
      </c>
      <c r="W3" s="45" t="s">
        <v>30</v>
      </c>
      <c r="X3" s="40" t="s">
        <v>12</v>
      </c>
      <c r="Y3" s="41" t="s">
        <v>13</v>
      </c>
      <c r="Z3" s="41" t="s">
        <v>38</v>
      </c>
      <c r="AA3" s="41" t="s">
        <v>14</v>
      </c>
      <c r="AB3" s="41" t="s">
        <v>15</v>
      </c>
      <c r="AC3" s="41" t="s">
        <v>16</v>
      </c>
      <c r="AD3" s="41" t="s">
        <v>17</v>
      </c>
      <c r="AE3" s="41" t="s">
        <v>18</v>
      </c>
      <c r="AF3" s="41" t="s">
        <v>19</v>
      </c>
      <c r="AG3" s="41" t="s">
        <v>20</v>
      </c>
      <c r="AH3" s="41" t="s">
        <v>21</v>
      </c>
      <c r="AI3" s="41" t="s">
        <v>22</v>
      </c>
      <c r="AJ3" s="41" t="s">
        <v>23</v>
      </c>
      <c r="AK3" s="41" t="s">
        <v>39</v>
      </c>
      <c r="AL3" s="41" t="s">
        <v>40</v>
      </c>
      <c r="AM3" s="41" t="s">
        <v>41</v>
      </c>
      <c r="AN3" s="41" t="s">
        <v>42</v>
      </c>
      <c r="AO3" s="41" t="s">
        <v>43</v>
      </c>
      <c r="AP3" s="41" t="s">
        <v>44</v>
      </c>
      <c r="AQ3" s="42" t="s">
        <v>24</v>
      </c>
      <c r="AR3" s="41" t="s">
        <v>25</v>
      </c>
      <c r="AS3" s="41" t="s">
        <v>26</v>
      </c>
      <c r="AT3" s="41" t="s">
        <v>27</v>
      </c>
      <c r="AU3" s="41" t="s">
        <v>28</v>
      </c>
      <c r="AV3" s="41" t="s">
        <v>29</v>
      </c>
      <c r="AW3" s="43" t="s">
        <v>30</v>
      </c>
      <c r="AX3" s="40" t="s">
        <v>12</v>
      </c>
      <c r="AY3" s="41" t="s">
        <v>13</v>
      </c>
      <c r="AZ3" s="41" t="s">
        <v>14</v>
      </c>
      <c r="BA3" s="41" t="s">
        <v>15</v>
      </c>
      <c r="BB3" s="41" t="s">
        <v>16</v>
      </c>
      <c r="BC3" s="41" t="s">
        <v>17</v>
      </c>
      <c r="BD3" s="41" t="s">
        <v>18</v>
      </c>
      <c r="BE3" s="41" t="s">
        <v>19</v>
      </c>
      <c r="BF3" s="41" t="s">
        <v>20</v>
      </c>
      <c r="BG3" s="41" t="s">
        <v>21</v>
      </c>
      <c r="BH3" s="41" t="s">
        <v>22</v>
      </c>
      <c r="BI3" s="44" t="s">
        <v>23</v>
      </c>
      <c r="BJ3" s="41" t="s">
        <v>24</v>
      </c>
      <c r="BK3" s="41" t="s">
        <v>25</v>
      </c>
      <c r="BL3" s="41" t="s">
        <v>26</v>
      </c>
      <c r="BM3" s="41" t="s">
        <v>27</v>
      </c>
      <c r="BN3" s="41" t="s">
        <v>28</v>
      </c>
      <c r="BO3" s="41" t="s">
        <v>29</v>
      </c>
      <c r="BP3" s="45" t="s">
        <v>30</v>
      </c>
      <c r="BQ3" s="40" t="s">
        <v>12</v>
      </c>
      <c r="BR3" s="41" t="s">
        <v>13</v>
      </c>
      <c r="BS3" s="41" t="s">
        <v>14</v>
      </c>
      <c r="BT3" s="41" t="s">
        <v>15</v>
      </c>
      <c r="BU3" s="41" t="s">
        <v>16</v>
      </c>
      <c r="BV3" s="41" t="s">
        <v>17</v>
      </c>
      <c r="BW3" s="41" t="s">
        <v>18</v>
      </c>
      <c r="BX3" s="41" t="s">
        <v>19</v>
      </c>
      <c r="BY3" s="41" t="s">
        <v>20</v>
      </c>
      <c r="BZ3" s="41" t="s">
        <v>21</v>
      </c>
      <c r="CA3" s="41" t="s">
        <v>22</v>
      </c>
      <c r="CB3" s="41" t="s">
        <v>23</v>
      </c>
      <c r="CC3" s="45" t="s">
        <v>24</v>
      </c>
      <c r="CD3" s="40" t="s">
        <v>12</v>
      </c>
      <c r="CE3" s="41" t="s">
        <v>13</v>
      </c>
      <c r="CF3" s="41" t="s">
        <v>14</v>
      </c>
      <c r="CG3" s="41" t="s">
        <v>15</v>
      </c>
      <c r="CH3" s="41" t="s">
        <v>16</v>
      </c>
      <c r="CI3" s="41" t="s">
        <v>17</v>
      </c>
      <c r="CJ3" s="41" t="s">
        <v>18</v>
      </c>
      <c r="CK3" s="41" t="s">
        <v>19</v>
      </c>
      <c r="CL3" s="41" t="s">
        <v>20</v>
      </c>
      <c r="CM3" s="41" t="s">
        <v>21</v>
      </c>
      <c r="CN3" s="41" t="s">
        <v>22</v>
      </c>
      <c r="CO3" s="41" t="s">
        <v>23</v>
      </c>
      <c r="CP3" s="41" t="s">
        <v>24</v>
      </c>
      <c r="CQ3" s="41" t="s">
        <v>25</v>
      </c>
      <c r="CR3" s="41" t="s">
        <v>26</v>
      </c>
      <c r="CS3" s="41" t="s">
        <v>27</v>
      </c>
      <c r="CT3" s="41" t="s">
        <v>28</v>
      </c>
      <c r="CU3" s="41" t="s">
        <v>29</v>
      </c>
      <c r="CV3" s="45" t="s">
        <v>30</v>
      </c>
      <c r="CW3" s="52" t="s">
        <v>45</v>
      </c>
      <c r="CX3" s="46"/>
    </row>
    <row r="4" spans="1:102" ht="15.75" customHeight="1" x14ac:dyDescent="0.55000000000000004">
      <c r="A4" s="19">
        <v>1</v>
      </c>
      <c r="B4" s="32" t="s">
        <v>3</v>
      </c>
      <c r="C4" s="32" t="s">
        <v>46</v>
      </c>
      <c r="D4" s="21" t="s">
        <v>47</v>
      </c>
      <c r="E4" s="48"/>
      <c r="F4" s="2"/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9</v>
      </c>
      <c r="N4" s="2">
        <v>9</v>
      </c>
      <c r="O4" s="2">
        <v>9</v>
      </c>
      <c r="P4" s="53">
        <v>9</v>
      </c>
      <c r="Q4" s="2" t="e">
        <f t="shared" ref="Q4:Q31" ca="1" si="0">_xludf.let(a,IFERROR(AVERAGE(G4:P4),0),ROUND(MAP(a, LAMBDA(x, 5 + (x * 0.5))),0))</f>
        <v>#NAME?</v>
      </c>
      <c r="R4" s="2">
        <v>10</v>
      </c>
      <c r="S4" s="2">
        <v>10</v>
      </c>
      <c r="T4" s="2">
        <v>10</v>
      </c>
      <c r="U4" s="2">
        <v>9</v>
      </c>
      <c r="V4" s="2">
        <v>9</v>
      </c>
      <c r="W4" s="54">
        <f t="shared" ref="W4:W258" si="1">IFERROR( ROUNDUP(AVERAGE(R4:V4),0),0)</f>
        <v>10</v>
      </c>
      <c r="X4" s="48"/>
      <c r="Y4" s="2"/>
      <c r="Z4" s="2"/>
      <c r="AA4" s="2">
        <v>10</v>
      </c>
      <c r="AB4" s="2">
        <v>10</v>
      </c>
      <c r="AC4" s="2">
        <v>10</v>
      </c>
      <c r="AD4" s="2">
        <v>10</v>
      </c>
      <c r="AE4" s="2">
        <v>10</v>
      </c>
      <c r="AF4" s="2">
        <v>10</v>
      </c>
      <c r="AG4" s="2">
        <v>10</v>
      </c>
      <c r="AH4" s="2">
        <v>10</v>
      </c>
      <c r="AI4" s="2">
        <v>10</v>
      </c>
      <c r="AJ4" s="2">
        <v>10</v>
      </c>
      <c r="AK4" s="3"/>
      <c r="AL4" s="3"/>
      <c r="AM4" s="3"/>
      <c r="AN4" s="3"/>
      <c r="AO4" s="3"/>
      <c r="AP4" s="3"/>
      <c r="AQ4" s="2" t="e">
        <f t="shared" ref="AQ4:AQ31" ca="1" si="2">_xludf.let(a,IFERROR(AVERAGE(AA4:AP4),0),ROUND(MAP(a, LAMBDA(x, 5 + (x * 0.5))),0))</f>
        <v>#NAME?</v>
      </c>
      <c r="AR4" s="4">
        <v>8</v>
      </c>
      <c r="AS4" s="4">
        <v>8</v>
      </c>
      <c r="AT4" s="4">
        <v>8</v>
      </c>
      <c r="AU4" s="2">
        <v>8</v>
      </c>
      <c r="AV4" s="2">
        <v>8</v>
      </c>
      <c r="AW4" s="54">
        <f t="shared" ref="AW4:AW258" si="3">IFERROR( ROUNDUP(AVERAGE(AR4:AV4),0),0)</f>
        <v>8</v>
      </c>
      <c r="AX4" s="48"/>
      <c r="AY4" s="2" t="s">
        <v>31</v>
      </c>
      <c r="AZ4" s="2">
        <v>10</v>
      </c>
      <c r="BA4" s="2">
        <v>10</v>
      </c>
      <c r="BB4" s="2">
        <v>10</v>
      </c>
      <c r="BC4" s="2">
        <v>10</v>
      </c>
      <c r="BD4" s="2">
        <v>10</v>
      </c>
      <c r="BE4" s="2">
        <v>10</v>
      </c>
      <c r="BF4" s="2">
        <v>10</v>
      </c>
      <c r="BG4" s="2">
        <v>10</v>
      </c>
      <c r="BH4" s="2">
        <v>10</v>
      </c>
      <c r="BI4" s="2">
        <v>10</v>
      </c>
      <c r="BJ4" s="2" t="e">
        <f t="shared" ref="BJ4:BJ31" ca="1" si="4">_xludf.let(a,IFERROR(AVERAGE(AZ4:BI4),0),ROUND(MAP(a, LAMBDA(x, 5 + (x * 0.5))),0))</f>
        <v>#NAME?</v>
      </c>
      <c r="BK4" s="2">
        <v>10</v>
      </c>
      <c r="BL4" s="2">
        <v>10</v>
      </c>
      <c r="BM4" s="2">
        <v>10</v>
      </c>
      <c r="BN4" s="2">
        <v>10</v>
      </c>
      <c r="BO4" s="5">
        <v>10</v>
      </c>
      <c r="BP4" s="54">
        <f t="shared" ref="BP4:BP258" si="5">IFERROR( ROUNDUP(AVERAGE(BK4:BO4),0),0)</f>
        <v>10</v>
      </c>
      <c r="BQ4" s="5"/>
      <c r="BR4" s="5"/>
      <c r="BS4" s="5">
        <v>10</v>
      </c>
      <c r="BT4" s="5">
        <v>10</v>
      </c>
      <c r="BU4" s="5">
        <v>10</v>
      </c>
      <c r="BV4" s="5">
        <v>10</v>
      </c>
      <c r="BW4" s="5">
        <v>10</v>
      </c>
      <c r="BX4" s="5">
        <v>10</v>
      </c>
      <c r="BY4" s="5">
        <v>10</v>
      </c>
      <c r="BZ4" s="5">
        <v>10</v>
      </c>
      <c r="CA4" s="5">
        <v>10</v>
      </c>
      <c r="CB4" s="5">
        <v>10</v>
      </c>
      <c r="CC4" s="2" t="e">
        <f t="shared" ref="CC4:CC31" ca="1" si="6">_xludf.let(a,IFERROR(AVERAGE(BS4:CB4),0),ROUND(MAP(a, LAMBDA(x, 5 + (x * 0.5))),0))</f>
        <v>#NAME?</v>
      </c>
      <c r="CD4" s="55"/>
      <c r="CE4" s="2"/>
      <c r="CF4" s="56">
        <v>8</v>
      </c>
      <c r="CG4" s="56">
        <v>10</v>
      </c>
      <c r="CH4" s="56">
        <v>10</v>
      </c>
      <c r="CI4" s="56">
        <v>10</v>
      </c>
      <c r="CJ4" s="56">
        <v>10</v>
      </c>
      <c r="CK4" s="56">
        <v>10</v>
      </c>
      <c r="CL4" s="56">
        <v>10</v>
      </c>
      <c r="CM4" s="56">
        <v>10</v>
      </c>
      <c r="CN4" s="56">
        <v>10</v>
      </c>
      <c r="CO4" s="56">
        <v>10</v>
      </c>
      <c r="CP4" s="2" t="e">
        <f t="shared" ref="CP4:CP31" ca="1" si="7">_xludf.let(a,IFERROR(AVERAGE(CF4:CO4),0),ROUND(MAP(a, LAMBDA(x, 5 + (x * 0.5))),0))</f>
        <v>#NAME?</v>
      </c>
      <c r="CQ4" s="56">
        <v>10</v>
      </c>
      <c r="CR4" s="56">
        <v>10</v>
      </c>
      <c r="CS4" s="56">
        <v>10</v>
      </c>
      <c r="CT4" s="56">
        <v>10</v>
      </c>
      <c r="CU4" s="56">
        <v>10</v>
      </c>
      <c r="CV4" s="54">
        <f t="shared" ref="CV4:CV258" si="8">IFERROR( ROUNDUP(AVERAGE(CQ4:CU4),0),0)</f>
        <v>10</v>
      </c>
      <c r="CW4" s="55"/>
      <c r="CX4" s="46"/>
    </row>
    <row r="5" spans="1:102" ht="15.75" customHeight="1" x14ac:dyDescent="0.55000000000000004">
      <c r="A5" s="17">
        <v>1</v>
      </c>
      <c r="B5" s="17" t="s">
        <v>3</v>
      </c>
      <c r="C5" s="23" t="s">
        <v>48</v>
      </c>
      <c r="D5" s="20" t="s">
        <v>49</v>
      </c>
      <c r="E5" s="48"/>
      <c r="F5" s="2"/>
      <c r="G5" s="2">
        <v>10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9</v>
      </c>
      <c r="N5" s="2">
        <v>9</v>
      </c>
      <c r="O5" s="2">
        <v>9</v>
      </c>
      <c r="P5" s="53">
        <v>9</v>
      </c>
      <c r="Q5" s="2" t="e">
        <f t="shared" ca="1" si="0"/>
        <v>#NAME?</v>
      </c>
      <c r="R5" s="2">
        <v>10</v>
      </c>
      <c r="S5" s="2">
        <v>10</v>
      </c>
      <c r="T5" s="2">
        <v>10</v>
      </c>
      <c r="U5" s="2">
        <v>9</v>
      </c>
      <c r="V5" s="2">
        <v>9</v>
      </c>
      <c r="W5" s="54">
        <f t="shared" si="1"/>
        <v>10</v>
      </c>
      <c r="X5" s="2"/>
      <c r="Y5" s="2"/>
      <c r="Z5" s="2"/>
      <c r="AA5" s="2" t="s">
        <v>50</v>
      </c>
      <c r="AB5" s="2" t="s">
        <v>50</v>
      </c>
      <c r="AC5" s="2" t="s">
        <v>50</v>
      </c>
      <c r="AD5" s="2" t="s">
        <v>50</v>
      </c>
      <c r="AE5" s="2" t="s">
        <v>50</v>
      </c>
      <c r="AF5" s="2" t="s">
        <v>50</v>
      </c>
      <c r="AG5" s="2" t="s">
        <v>50</v>
      </c>
      <c r="AH5" s="2" t="s">
        <v>50</v>
      </c>
      <c r="AI5" s="2" t="s">
        <v>50</v>
      </c>
      <c r="AJ5" s="2" t="s">
        <v>50</v>
      </c>
      <c r="AK5" s="3"/>
      <c r="AL5" s="3"/>
      <c r="AM5" s="3"/>
      <c r="AN5" s="3"/>
      <c r="AO5" s="3"/>
      <c r="AP5" s="3"/>
      <c r="AQ5" s="2" t="e">
        <f t="shared" ca="1" si="2"/>
        <v>#NAME?</v>
      </c>
      <c r="AR5" s="2" t="s">
        <v>50</v>
      </c>
      <c r="AS5" s="2" t="s">
        <v>50</v>
      </c>
      <c r="AT5" s="2" t="s">
        <v>50</v>
      </c>
      <c r="AU5" s="2" t="s">
        <v>50</v>
      </c>
      <c r="AV5" s="2" t="s">
        <v>50</v>
      </c>
      <c r="AW5" s="54">
        <f t="shared" si="3"/>
        <v>0</v>
      </c>
      <c r="AX5" s="48"/>
      <c r="AY5" s="2">
        <v>5</v>
      </c>
      <c r="AZ5" s="2"/>
      <c r="BA5" s="2"/>
      <c r="BB5" s="2"/>
      <c r="BC5" s="2"/>
      <c r="BD5" s="2"/>
      <c r="BE5" s="2"/>
      <c r="BF5" s="2"/>
      <c r="BG5" s="2"/>
      <c r="BH5" s="2"/>
      <c r="BI5" s="57"/>
      <c r="BJ5" s="2" t="e">
        <f t="shared" ca="1" si="4"/>
        <v>#NAME?</v>
      </c>
      <c r="BK5" s="5"/>
      <c r="BL5" s="5"/>
      <c r="BM5" s="5"/>
      <c r="BN5" s="5"/>
      <c r="BO5" s="5"/>
      <c r="BP5" s="54">
        <f t="shared" si="5"/>
        <v>0</v>
      </c>
      <c r="BQ5" s="5"/>
      <c r="BR5" s="5"/>
      <c r="BS5" s="5">
        <v>10</v>
      </c>
      <c r="BT5" s="5">
        <v>10</v>
      </c>
      <c r="BU5" s="5">
        <v>8</v>
      </c>
      <c r="BV5" s="5">
        <v>8</v>
      </c>
      <c r="BW5" s="5">
        <v>8</v>
      </c>
      <c r="BX5" s="5">
        <v>8</v>
      </c>
      <c r="BY5" s="5">
        <v>8</v>
      </c>
      <c r="BZ5" s="5">
        <v>8</v>
      </c>
      <c r="CA5" s="5">
        <v>8</v>
      </c>
      <c r="CB5" s="5">
        <v>8</v>
      </c>
      <c r="CC5" s="2" t="e">
        <f t="shared" ca="1" si="6"/>
        <v>#NAME?</v>
      </c>
      <c r="CD5" s="55"/>
      <c r="CE5" s="2"/>
      <c r="CF5" s="58">
        <v>10</v>
      </c>
      <c r="CG5" s="58">
        <v>10</v>
      </c>
      <c r="CH5" s="58">
        <v>10</v>
      </c>
      <c r="CI5" s="58">
        <v>10</v>
      </c>
      <c r="CJ5" s="58">
        <v>10</v>
      </c>
      <c r="CK5" s="58">
        <v>10</v>
      </c>
      <c r="CL5" s="58">
        <v>10</v>
      </c>
      <c r="CM5" s="58">
        <v>10</v>
      </c>
      <c r="CN5" s="58">
        <v>10</v>
      </c>
      <c r="CO5" s="58">
        <v>10</v>
      </c>
      <c r="CP5" s="2" t="e">
        <f t="shared" ca="1" si="7"/>
        <v>#NAME?</v>
      </c>
      <c r="CQ5" s="58">
        <v>10</v>
      </c>
      <c r="CR5" s="58">
        <v>10</v>
      </c>
      <c r="CS5" s="58">
        <v>10</v>
      </c>
      <c r="CT5" s="58">
        <v>10</v>
      </c>
      <c r="CU5" s="58">
        <v>10</v>
      </c>
      <c r="CV5" s="54">
        <f t="shared" si="8"/>
        <v>10</v>
      </c>
      <c r="CW5" s="55"/>
      <c r="CX5" s="3"/>
    </row>
    <row r="6" spans="1:102" ht="15.75" customHeight="1" x14ac:dyDescent="0.55000000000000004">
      <c r="A6" s="17">
        <v>1</v>
      </c>
      <c r="B6" s="17" t="s">
        <v>3</v>
      </c>
      <c r="C6" s="23" t="s">
        <v>51</v>
      </c>
      <c r="D6" s="20" t="s">
        <v>52</v>
      </c>
      <c r="E6" s="48"/>
      <c r="F6" s="2"/>
      <c r="G6" s="2">
        <v>10</v>
      </c>
      <c r="H6" s="2">
        <v>9</v>
      </c>
      <c r="I6" s="2">
        <v>9</v>
      </c>
      <c r="J6" s="2">
        <v>9</v>
      </c>
      <c r="K6" s="2">
        <v>9</v>
      </c>
      <c r="L6" s="2">
        <v>9</v>
      </c>
      <c r="M6" s="2">
        <v>9</v>
      </c>
      <c r="N6" s="2">
        <v>9</v>
      </c>
      <c r="O6" s="2">
        <v>9</v>
      </c>
      <c r="P6" s="53">
        <v>9</v>
      </c>
      <c r="Q6" s="2" t="e">
        <f t="shared" ca="1" si="0"/>
        <v>#NAME?</v>
      </c>
      <c r="R6" s="2">
        <v>9</v>
      </c>
      <c r="S6" s="2">
        <v>9</v>
      </c>
      <c r="T6" s="2">
        <v>9</v>
      </c>
      <c r="U6" s="2">
        <v>9</v>
      </c>
      <c r="V6" s="2">
        <v>8</v>
      </c>
      <c r="W6" s="54">
        <f t="shared" si="1"/>
        <v>9</v>
      </c>
      <c r="X6" s="48"/>
      <c r="Y6" s="2"/>
      <c r="Z6" s="2"/>
      <c r="AA6" s="2">
        <v>10</v>
      </c>
      <c r="AB6" s="2">
        <v>10</v>
      </c>
      <c r="AC6" s="2">
        <v>10</v>
      </c>
      <c r="AD6" s="2">
        <v>10</v>
      </c>
      <c r="AE6" s="2">
        <v>10</v>
      </c>
      <c r="AF6" s="2">
        <v>10</v>
      </c>
      <c r="AG6" s="2">
        <v>10</v>
      </c>
      <c r="AH6" s="2">
        <v>10</v>
      </c>
      <c r="AI6" s="2">
        <v>10</v>
      </c>
      <c r="AJ6" s="2">
        <v>10</v>
      </c>
      <c r="AK6" s="3"/>
      <c r="AL6" s="3"/>
      <c r="AM6" s="3"/>
      <c r="AN6" s="3"/>
      <c r="AO6" s="3"/>
      <c r="AP6" s="3"/>
      <c r="AQ6" s="2" t="e">
        <f t="shared" ca="1" si="2"/>
        <v>#NAME?</v>
      </c>
      <c r="AR6" s="2">
        <v>10</v>
      </c>
      <c r="AS6" s="2">
        <v>10</v>
      </c>
      <c r="AT6" s="2">
        <v>10</v>
      </c>
      <c r="AU6" s="2">
        <v>10</v>
      </c>
      <c r="AV6" s="2">
        <v>10</v>
      </c>
      <c r="AW6" s="54">
        <f t="shared" si="3"/>
        <v>10</v>
      </c>
      <c r="AX6" s="48"/>
      <c r="AY6" s="2">
        <v>9</v>
      </c>
      <c r="AZ6" s="2">
        <v>10</v>
      </c>
      <c r="BA6" s="2">
        <v>10</v>
      </c>
      <c r="BB6" s="2">
        <v>10</v>
      </c>
      <c r="BC6" s="2">
        <v>10</v>
      </c>
      <c r="BD6" s="2">
        <v>10</v>
      </c>
      <c r="BE6" s="2">
        <v>10</v>
      </c>
      <c r="BF6" s="2">
        <v>10</v>
      </c>
      <c r="BG6" s="2">
        <v>10</v>
      </c>
      <c r="BH6" s="2">
        <v>10</v>
      </c>
      <c r="BI6" s="2">
        <v>10</v>
      </c>
      <c r="BJ6" s="2" t="e">
        <f t="shared" ca="1" si="4"/>
        <v>#NAME?</v>
      </c>
      <c r="BK6" s="2">
        <v>10</v>
      </c>
      <c r="BL6" s="2">
        <v>10</v>
      </c>
      <c r="BM6" s="2">
        <v>10</v>
      </c>
      <c r="BN6" s="2">
        <v>10</v>
      </c>
      <c r="BO6" s="2">
        <v>10</v>
      </c>
      <c r="BP6" s="54">
        <f t="shared" si="5"/>
        <v>10</v>
      </c>
      <c r="BQ6" s="5"/>
      <c r="BR6" s="5"/>
      <c r="BS6" s="5">
        <v>10</v>
      </c>
      <c r="BT6" s="5">
        <v>10</v>
      </c>
      <c r="BU6" s="5">
        <v>10</v>
      </c>
      <c r="BV6" s="5">
        <v>10</v>
      </c>
      <c r="BW6" s="5">
        <v>10</v>
      </c>
      <c r="BX6" s="5">
        <v>10</v>
      </c>
      <c r="BY6" s="5">
        <v>10</v>
      </c>
      <c r="BZ6" s="5">
        <v>10</v>
      </c>
      <c r="CA6" s="5">
        <v>10</v>
      </c>
      <c r="CB6" s="5">
        <v>10</v>
      </c>
      <c r="CC6" s="2" t="e">
        <f t="shared" ca="1" si="6"/>
        <v>#NAME?</v>
      </c>
      <c r="CD6" s="55"/>
      <c r="CE6" s="2"/>
      <c r="CF6" s="56">
        <v>10</v>
      </c>
      <c r="CG6" s="56">
        <v>10</v>
      </c>
      <c r="CH6" s="56">
        <v>10</v>
      </c>
      <c r="CI6" s="56">
        <v>10</v>
      </c>
      <c r="CJ6" s="56">
        <v>10</v>
      </c>
      <c r="CK6" s="56">
        <v>10</v>
      </c>
      <c r="CL6" s="56">
        <v>10</v>
      </c>
      <c r="CM6" s="56">
        <v>10</v>
      </c>
      <c r="CN6" s="58">
        <v>10</v>
      </c>
      <c r="CO6" s="58">
        <v>10</v>
      </c>
      <c r="CP6" s="2" t="e">
        <f t="shared" ca="1" si="7"/>
        <v>#NAME?</v>
      </c>
      <c r="CQ6" s="56">
        <v>10</v>
      </c>
      <c r="CR6" s="56">
        <v>10</v>
      </c>
      <c r="CS6" s="56">
        <v>10</v>
      </c>
      <c r="CT6" s="56">
        <v>10</v>
      </c>
      <c r="CU6" s="56">
        <v>10</v>
      </c>
      <c r="CV6" s="54">
        <f t="shared" si="8"/>
        <v>10</v>
      </c>
      <c r="CW6" s="55"/>
      <c r="CX6" s="46"/>
    </row>
    <row r="7" spans="1:102" ht="15.75" customHeight="1" x14ac:dyDescent="0.55000000000000004">
      <c r="A7" s="17">
        <v>1</v>
      </c>
      <c r="B7" s="17" t="s">
        <v>3</v>
      </c>
      <c r="C7" s="23" t="s">
        <v>53</v>
      </c>
      <c r="D7" s="20" t="s">
        <v>54</v>
      </c>
      <c r="E7" s="48"/>
      <c r="F7" s="2"/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v>10</v>
      </c>
      <c r="O7" s="2">
        <v>10</v>
      </c>
      <c r="P7" s="2">
        <v>10</v>
      </c>
      <c r="Q7" s="2" t="e">
        <f t="shared" ca="1" si="0"/>
        <v>#NAME?</v>
      </c>
      <c r="R7" s="2">
        <v>10</v>
      </c>
      <c r="S7" s="2">
        <v>10</v>
      </c>
      <c r="T7" s="2">
        <v>10</v>
      </c>
      <c r="U7" s="2">
        <v>10</v>
      </c>
      <c r="V7" s="2">
        <v>10</v>
      </c>
      <c r="W7" s="54">
        <f t="shared" si="1"/>
        <v>10</v>
      </c>
      <c r="X7" s="48"/>
      <c r="Y7" s="2"/>
      <c r="Z7" s="2"/>
      <c r="AA7" s="2">
        <v>10</v>
      </c>
      <c r="AB7" s="2">
        <v>10</v>
      </c>
      <c r="AC7" s="2">
        <v>10</v>
      </c>
      <c r="AD7" s="2">
        <v>10</v>
      </c>
      <c r="AE7" s="2">
        <v>10</v>
      </c>
      <c r="AF7" s="2">
        <v>10</v>
      </c>
      <c r="AG7" s="2">
        <v>10</v>
      </c>
      <c r="AH7" s="2">
        <v>10</v>
      </c>
      <c r="AI7" s="2">
        <v>10</v>
      </c>
      <c r="AJ7" s="2">
        <v>10</v>
      </c>
      <c r="AK7" s="3"/>
      <c r="AL7" s="3"/>
      <c r="AM7" s="3"/>
      <c r="AN7" s="3"/>
      <c r="AO7" s="3"/>
      <c r="AP7" s="3"/>
      <c r="AQ7" s="2" t="e">
        <f t="shared" ca="1" si="2"/>
        <v>#NAME?</v>
      </c>
      <c r="AR7" s="2">
        <v>10</v>
      </c>
      <c r="AS7" s="2">
        <v>10</v>
      </c>
      <c r="AT7" s="2">
        <v>10</v>
      </c>
      <c r="AU7" s="2">
        <v>10</v>
      </c>
      <c r="AV7" s="2">
        <v>10</v>
      </c>
      <c r="AW7" s="54">
        <f t="shared" si="3"/>
        <v>10</v>
      </c>
      <c r="AX7" s="48"/>
      <c r="AY7" s="2">
        <v>17</v>
      </c>
      <c r="AZ7" s="2">
        <v>10</v>
      </c>
      <c r="BA7" s="2">
        <v>10</v>
      </c>
      <c r="BB7" s="2">
        <v>10</v>
      </c>
      <c r="BC7" s="2">
        <v>10</v>
      </c>
      <c r="BD7" s="2">
        <v>10</v>
      </c>
      <c r="BE7" s="2">
        <v>10</v>
      </c>
      <c r="BF7" s="2">
        <v>10</v>
      </c>
      <c r="BG7" s="2">
        <v>10</v>
      </c>
      <c r="BH7" s="2">
        <v>10</v>
      </c>
      <c r="BI7" s="57">
        <v>10</v>
      </c>
      <c r="BJ7" s="2" t="e">
        <f t="shared" ca="1" si="4"/>
        <v>#NAME?</v>
      </c>
      <c r="BK7" s="2">
        <v>10</v>
      </c>
      <c r="BL7" s="2">
        <v>10</v>
      </c>
      <c r="BM7" s="2">
        <v>10</v>
      </c>
      <c r="BN7" s="2">
        <v>10</v>
      </c>
      <c r="BO7" s="2">
        <v>10</v>
      </c>
      <c r="BP7" s="54">
        <f t="shared" si="5"/>
        <v>10</v>
      </c>
      <c r="BQ7" s="5"/>
      <c r="BR7" s="5"/>
      <c r="BS7" s="5">
        <v>10</v>
      </c>
      <c r="BT7" s="5">
        <v>10</v>
      </c>
      <c r="BU7" s="5">
        <v>10</v>
      </c>
      <c r="BV7" s="5">
        <v>10</v>
      </c>
      <c r="BW7" s="5">
        <v>10</v>
      </c>
      <c r="BX7" s="5">
        <v>10</v>
      </c>
      <c r="BY7" s="5">
        <v>10</v>
      </c>
      <c r="BZ7" s="5">
        <v>10</v>
      </c>
      <c r="CA7" s="5">
        <v>10</v>
      </c>
      <c r="CB7" s="5">
        <v>10</v>
      </c>
      <c r="CC7" s="2" t="e">
        <f t="shared" ca="1" si="6"/>
        <v>#NAME?</v>
      </c>
      <c r="CD7" s="55"/>
      <c r="CE7" s="2"/>
      <c r="CF7" s="58">
        <v>10</v>
      </c>
      <c r="CG7" s="58">
        <v>10</v>
      </c>
      <c r="CH7" s="58">
        <v>10</v>
      </c>
      <c r="CI7" s="58">
        <v>10</v>
      </c>
      <c r="CJ7" s="58">
        <v>10</v>
      </c>
      <c r="CK7" s="58">
        <v>10</v>
      </c>
      <c r="CL7" s="58">
        <v>10</v>
      </c>
      <c r="CM7" s="58">
        <v>10</v>
      </c>
      <c r="CN7" s="58">
        <v>10</v>
      </c>
      <c r="CO7" s="58">
        <v>10</v>
      </c>
      <c r="CP7" s="2" t="e">
        <f t="shared" ca="1" si="7"/>
        <v>#NAME?</v>
      </c>
      <c r="CQ7" s="58">
        <v>10</v>
      </c>
      <c r="CR7" s="58">
        <v>10</v>
      </c>
      <c r="CS7" s="58">
        <v>10</v>
      </c>
      <c r="CT7" s="58">
        <v>10</v>
      </c>
      <c r="CU7" s="58">
        <v>10</v>
      </c>
      <c r="CV7" s="54">
        <f t="shared" si="8"/>
        <v>10</v>
      </c>
      <c r="CW7" s="55"/>
      <c r="CX7" s="3"/>
    </row>
    <row r="8" spans="1:102" ht="15.75" customHeight="1" x14ac:dyDescent="0.55000000000000004">
      <c r="A8" s="17">
        <v>1</v>
      </c>
      <c r="B8" s="17" t="s">
        <v>3</v>
      </c>
      <c r="C8" s="23" t="s">
        <v>55</v>
      </c>
      <c r="D8" s="20" t="s">
        <v>56</v>
      </c>
      <c r="E8" s="48"/>
      <c r="F8" s="2"/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v>10</v>
      </c>
      <c r="O8" s="2">
        <v>10</v>
      </c>
      <c r="P8" s="2">
        <v>10</v>
      </c>
      <c r="Q8" s="2" t="e">
        <f t="shared" ca="1" si="0"/>
        <v>#NAME?</v>
      </c>
      <c r="R8" s="2">
        <v>10</v>
      </c>
      <c r="S8" s="2">
        <v>10</v>
      </c>
      <c r="T8" s="2">
        <v>10</v>
      </c>
      <c r="U8" s="2">
        <v>10</v>
      </c>
      <c r="V8" s="2">
        <v>10</v>
      </c>
      <c r="W8" s="54">
        <f t="shared" si="1"/>
        <v>10</v>
      </c>
      <c r="X8" s="48"/>
      <c r="Y8" s="2"/>
      <c r="Z8" s="2"/>
      <c r="AA8" s="2">
        <v>6</v>
      </c>
      <c r="AB8" s="2">
        <v>6</v>
      </c>
      <c r="AC8" s="2">
        <v>6</v>
      </c>
      <c r="AD8" s="2">
        <v>6</v>
      </c>
      <c r="AE8" s="2">
        <v>6</v>
      </c>
      <c r="AF8" s="2">
        <v>6</v>
      </c>
      <c r="AG8" s="2">
        <v>7</v>
      </c>
      <c r="AH8" s="2">
        <v>7</v>
      </c>
      <c r="AI8" s="2">
        <v>7</v>
      </c>
      <c r="AJ8" s="2">
        <v>7</v>
      </c>
      <c r="AK8" s="3"/>
      <c r="AL8" s="3"/>
      <c r="AM8" s="3"/>
      <c r="AN8" s="3"/>
      <c r="AO8" s="3"/>
      <c r="AP8" s="3"/>
      <c r="AQ8" s="2" t="e">
        <f t="shared" ca="1" si="2"/>
        <v>#NAME?</v>
      </c>
      <c r="AR8" s="2">
        <v>10</v>
      </c>
      <c r="AS8" s="2">
        <v>10</v>
      </c>
      <c r="AT8" s="2">
        <v>10</v>
      </c>
      <c r="AU8" s="2">
        <v>6</v>
      </c>
      <c r="AV8" s="2">
        <v>6</v>
      </c>
      <c r="AW8" s="54">
        <f t="shared" si="3"/>
        <v>9</v>
      </c>
      <c r="AX8" s="48"/>
      <c r="AY8" s="2">
        <v>7</v>
      </c>
      <c r="AZ8" s="2">
        <v>10</v>
      </c>
      <c r="BA8" s="2">
        <v>9</v>
      </c>
      <c r="BB8" s="2">
        <v>9</v>
      </c>
      <c r="BC8" s="2">
        <v>9</v>
      </c>
      <c r="BD8" s="2">
        <v>9</v>
      </c>
      <c r="BE8" s="2">
        <v>9</v>
      </c>
      <c r="BF8" s="2">
        <v>9</v>
      </c>
      <c r="BG8" s="2">
        <v>9</v>
      </c>
      <c r="BH8" s="2">
        <v>9</v>
      </c>
      <c r="BI8" s="57">
        <v>9</v>
      </c>
      <c r="BJ8" s="2" t="e">
        <f t="shared" ca="1" si="4"/>
        <v>#NAME?</v>
      </c>
      <c r="BK8" s="5">
        <v>9</v>
      </c>
      <c r="BL8" s="5">
        <v>9</v>
      </c>
      <c r="BM8" s="5">
        <v>9</v>
      </c>
      <c r="BN8" s="5">
        <v>9</v>
      </c>
      <c r="BO8" s="5">
        <v>9</v>
      </c>
      <c r="BP8" s="54">
        <f t="shared" si="5"/>
        <v>9</v>
      </c>
      <c r="BQ8" s="5"/>
      <c r="BR8" s="5"/>
      <c r="BS8" s="5">
        <v>10</v>
      </c>
      <c r="BT8" s="5">
        <v>10</v>
      </c>
      <c r="BU8" s="5">
        <v>10</v>
      </c>
      <c r="BV8" s="5">
        <v>10</v>
      </c>
      <c r="BW8" s="5">
        <v>10</v>
      </c>
      <c r="BX8" s="5">
        <v>10</v>
      </c>
      <c r="BY8" s="5">
        <v>10</v>
      </c>
      <c r="BZ8" s="5">
        <v>10</v>
      </c>
      <c r="CA8" s="5">
        <v>10</v>
      </c>
      <c r="CB8" s="5">
        <v>10</v>
      </c>
      <c r="CC8" s="2" t="e">
        <f t="shared" ca="1" si="6"/>
        <v>#NAME?</v>
      </c>
      <c r="CD8" s="55"/>
      <c r="CE8" s="2"/>
      <c r="CF8" s="56">
        <v>10</v>
      </c>
      <c r="CG8" s="56">
        <v>10</v>
      </c>
      <c r="CH8" s="56">
        <v>10</v>
      </c>
      <c r="CI8" s="56">
        <v>10</v>
      </c>
      <c r="CJ8" s="56">
        <v>10</v>
      </c>
      <c r="CK8" s="56">
        <v>10</v>
      </c>
      <c r="CL8" s="56">
        <v>10</v>
      </c>
      <c r="CM8" s="56">
        <v>10</v>
      </c>
      <c r="CN8" s="56">
        <v>10</v>
      </c>
      <c r="CO8" s="56">
        <v>10</v>
      </c>
      <c r="CP8" s="2" t="e">
        <f t="shared" ca="1" si="7"/>
        <v>#NAME?</v>
      </c>
      <c r="CQ8" s="7">
        <v>9</v>
      </c>
      <c r="CR8" s="7">
        <v>9</v>
      </c>
      <c r="CS8" s="7">
        <v>9</v>
      </c>
      <c r="CT8" s="7">
        <v>9</v>
      </c>
      <c r="CU8" s="7">
        <v>9</v>
      </c>
      <c r="CV8" s="54">
        <f t="shared" si="8"/>
        <v>9</v>
      </c>
      <c r="CW8" s="55"/>
      <c r="CX8" s="3"/>
    </row>
    <row r="9" spans="1:102" ht="15.75" customHeight="1" x14ac:dyDescent="0.55000000000000004">
      <c r="A9" s="17">
        <v>1</v>
      </c>
      <c r="B9" s="17" t="s">
        <v>3</v>
      </c>
      <c r="C9" s="23" t="s">
        <v>57</v>
      </c>
      <c r="D9" s="20" t="s">
        <v>58</v>
      </c>
      <c r="E9" s="48"/>
      <c r="F9" s="2"/>
      <c r="G9" s="2">
        <v>10</v>
      </c>
      <c r="H9" s="2">
        <v>10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v>10</v>
      </c>
      <c r="O9" s="2">
        <v>10</v>
      </c>
      <c r="P9" s="2">
        <v>10</v>
      </c>
      <c r="Q9" s="2" t="e">
        <f t="shared" ca="1" si="0"/>
        <v>#NAME?</v>
      </c>
      <c r="R9" s="2">
        <v>10</v>
      </c>
      <c r="S9" s="2">
        <v>10</v>
      </c>
      <c r="T9" s="2">
        <v>10</v>
      </c>
      <c r="U9" s="2">
        <v>10</v>
      </c>
      <c r="V9" s="2">
        <v>10</v>
      </c>
      <c r="W9" s="54">
        <f t="shared" si="1"/>
        <v>10</v>
      </c>
      <c r="X9" s="48"/>
      <c r="Y9" s="2"/>
      <c r="Z9" s="2"/>
      <c r="AA9" s="2">
        <v>10</v>
      </c>
      <c r="AB9" s="2">
        <v>10</v>
      </c>
      <c r="AC9" s="2">
        <v>10</v>
      </c>
      <c r="AD9" s="2">
        <v>10</v>
      </c>
      <c r="AE9" s="2">
        <v>10</v>
      </c>
      <c r="AF9" s="2">
        <v>10</v>
      </c>
      <c r="AG9" s="2">
        <v>10</v>
      </c>
      <c r="AH9" s="2">
        <v>10</v>
      </c>
      <c r="AI9" s="2">
        <v>10</v>
      </c>
      <c r="AJ9" s="2">
        <v>10</v>
      </c>
      <c r="AK9" s="3"/>
      <c r="AL9" s="3"/>
      <c r="AM9" s="3"/>
      <c r="AN9" s="3"/>
      <c r="AO9" s="3"/>
      <c r="AP9" s="3"/>
      <c r="AQ9" s="2" t="e">
        <f t="shared" ca="1" si="2"/>
        <v>#NAME?</v>
      </c>
      <c r="AR9" s="2">
        <v>10</v>
      </c>
      <c r="AS9" s="2">
        <v>10</v>
      </c>
      <c r="AT9" s="2">
        <v>10</v>
      </c>
      <c r="AU9" s="2">
        <v>10</v>
      </c>
      <c r="AV9" s="2">
        <v>10</v>
      </c>
      <c r="AW9" s="54">
        <f t="shared" si="3"/>
        <v>10</v>
      </c>
      <c r="AX9" s="48"/>
      <c r="AY9" s="2">
        <v>10</v>
      </c>
      <c r="AZ9" s="2">
        <v>10</v>
      </c>
      <c r="BA9" s="2">
        <v>10</v>
      </c>
      <c r="BB9" s="2">
        <v>10</v>
      </c>
      <c r="BC9" s="2">
        <v>10</v>
      </c>
      <c r="BD9" s="2">
        <v>10</v>
      </c>
      <c r="BE9" s="2">
        <v>10</v>
      </c>
      <c r="BF9" s="2">
        <v>10</v>
      </c>
      <c r="BG9" s="2">
        <v>10</v>
      </c>
      <c r="BH9" s="2">
        <v>10</v>
      </c>
      <c r="BI9" s="57">
        <v>10</v>
      </c>
      <c r="BJ9" s="2" t="e">
        <f t="shared" ca="1" si="4"/>
        <v>#NAME?</v>
      </c>
      <c r="BK9" s="2">
        <v>10</v>
      </c>
      <c r="BL9" s="2">
        <v>10</v>
      </c>
      <c r="BM9" s="2">
        <v>10</v>
      </c>
      <c r="BN9" s="2">
        <v>10</v>
      </c>
      <c r="BO9" s="2">
        <v>10</v>
      </c>
      <c r="BP9" s="54">
        <f t="shared" si="5"/>
        <v>10</v>
      </c>
      <c r="BQ9" s="5"/>
      <c r="BR9" s="5"/>
      <c r="BS9" s="5">
        <v>10</v>
      </c>
      <c r="BT9" s="5">
        <v>10</v>
      </c>
      <c r="BU9" s="5">
        <v>10</v>
      </c>
      <c r="BV9" s="5">
        <v>10</v>
      </c>
      <c r="BW9" s="5">
        <v>10</v>
      </c>
      <c r="BX9" s="5">
        <v>10</v>
      </c>
      <c r="BY9" s="5">
        <v>10</v>
      </c>
      <c r="BZ9" s="5">
        <v>10</v>
      </c>
      <c r="CA9" s="5">
        <v>10</v>
      </c>
      <c r="CB9" s="5">
        <v>10</v>
      </c>
      <c r="CC9" s="2" t="e">
        <f t="shared" ca="1" si="6"/>
        <v>#NAME?</v>
      </c>
      <c r="CD9" s="55"/>
      <c r="CE9" s="2"/>
      <c r="CF9" s="58">
        <v>10</v>
      </c>
      <c r="CG9" s="58">
        <v>10</v>
      </c>
      <c r="CH9" s="58">
        <v>10</v>
      </c>
      <c r="CI9" s="58">
        <v>10</v>
      </c>
      <c r="CJ9" s="58">
        <v>10</v>
      </c>
      <c r="CK9" s="58">
        <v>10</v>
      </c>
      <c r="CL9" s="58">
        <v>10</v>
      </c>
      <c r="CM9" s="58">
        <v>10</v>
      </c>
      <c r="CN9" s="58">
        <v>10</v>
      </c>
      <c r="CO9" s="58">
        <v>10</v>
      </c>
      <c r="CP9" s="2" t="e">
        <f t="shared" ca="1" si="7"/>
        <v>#NAME?</v>
      </c>
      <c r="CQ9" s="58">
        <v>10</v>
      </c>
      <c r="CR9" s="58">
        <v>10</v>
      </c>
      <c r="CS9" s="58">
        <v>10</v>
      </c>
      <c r="CT9" s="58">
        <v>10</v>
      </c>
      <c r="CU9" s="58">
        <v>10</v>
      </c>
      <c r="CV9" s="54">
        <f t="shared" si="8"/>
        <v>10</v>
      </c>
      <c r="CW9" s="55"/>
      <c r="CX9" s="3"/>
    </row>
    <row r="10" spans="1:102" ht="15.75" customHeight="1" x14ac:dyDescent="0.55000000000000004">
      <c r="A10" s="17">
        <v>1</v>
      </c>
      <c r="B10" s="17" t="s">
        <v>3</v>
      </c>
      <c r="C10" s="23" t="s">
        <v>59</v>
      </c>
      <c r="D10" s="20" t="s">
        <v>60</v>
      </c>
      <c r="E10" s="48"/>
      <c r="F10" s="2"/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v>9</v>
      </c>
      <c r="O10" s="2">
        <v>9</v>
      </c>
      <c r="P10" s="2">
        <v>9</v>
      </c>
      <c r="Q10" s="2" t="e">
        <f t="shared" ca="1" si="0"/>
        <v>#NAME?</v>
      </c>
      <c r="R10" s="2">
        <v>10</v>
      </c>
      <c r="S10" s="2">
        <v>10</v>
      </c>
      <c r="T10" s="2">
        <v>10</v>
      </c>
      <c r="U10" s="2">
        <v>10</v>
      </c>
      <c r="V10" s="2">
        <v>10</v>
      </c>
      <c r="W10" s="54">
        <f t="shared" si="1"/>
        <v>10</v>
      </c>
      <c r="X10" s="48"/>
      <c r="Y10" s="2"/>
      <c r="Z10" s="2"/>
      <c r="AA10" s="2">
        <v>10</v>
      </c>
      <c r="AB10" s="2">
        <v>10</v>
      </c>
      <c r="AC10" s="2">
        <v>10</v>
      </c>
      <c r="AD10" s="2">
        <v>10</v>
      </c>
      <c r="AE10" s="2">
        <v>10</v>
      </c>
      <c r="AF10" s="2">
        <v>10</v>
      </c>
      <c r="AG10" s="2">
        <v>10</v>
      </c>
      <c r="AH10" s="2">
        <v>10</v>
      </c>
      <c r="AI10" s="2">
        <v>10</v>
      </c>
      <c r="AJ10" s="2">
        <v>10</v>
      </c>
      <c r="AK10" s="3"/>
      <c r="AL10" s="3"/>
      <c r="AM10" s="3"/>
      <c r="AN10" s="3"/>
      <c r="AO10" s="3"/>
      <c r="AP10" s="3"/>
      <c r="AQ10" s="2" t="e">
        <f t="shared" ca="1" si="2"/>
        <v>#NAME?</v>
      </c>
      <c r="AR10" s="2">
        <v>10</v>
      </c>
      <c r="AS10" s="2">
        <v>10</v>
      </c>
      <c r="AT10" s="2">
        <v>10</v>
      </c>
      <c r="AU10" s="2">
        <v>10</v>
      </c>
      <c r="AV10" s="2">
        <v>10</v>
      </c>
      <c r="AW10" s="54">
        <f t="shared" si="3"/>
        <v>10</v>
      </c>
      <c r="AX10" s="48"/>
      <c r="AY10" s="2">
        <v>15</v>
      </c>
      <c r="AZ10" s="2">
        <v>10</v>
      </c>
      <c r="BA10" s="2">
        <v>10</v>
      </c>
      <c r="BB10" s="2">
        <v>10</v>
      </c>
      <c r="BC10" s="2">
        <v>10</v>
      </c>
      <c r="BD10" s="2">
        <v>10</v>
      </c>
      <c r="BE10" s="2">
        <v>10</v>
      </c>
      <c r="BF10" s="2">
        <v>10</v>
      </c>
      <c r="BG10" s="2">
        <v>10</v>
      </c>
      <c r="BH10" s="2">
        <v>10</v>
      </c>
      <c r="BI10" s="2">
        <v>10</v>
      </c>
      <c r="BJ10" s="2" t="e">
        <f t="shared" ca="1" si="4"/>
        <v>#NAME?</v>
      </c>
      <c r="BK10" s="2">
        <v>10</v>
      </c>
      <c r="BL10" s="2">
        <v>10</v>
      </c>
      <c r="BM10" s="2">
        <v>10</v>
      </c>
      <c r="BN10" s="2">
        <v>10</v>
      </c>
      <c r="BO10" s="2">
        <v>10</v>
      </c>
      <c r="BP10" s="54">
        <f t="shared" si="5"/>
        <v>10</v>
      </c>
      <c r="BQ10" s="5"/>
      <c r="BR10" s="5"/>
      <c r="BS10" s="5">
        <v>10</v>
      </c>
      <c r="BT10" s="5">
        <v>10</v>
      </c>
      <c r="BU10" s="5">
        <v>10</v>
      </c>
      <c r="BV10" s="5">
        <v>10</v>
      </c>
      <c r="BW10" s="5">
        <v>10</v>
      </c>
      <c r="BX10" s="5">
        <v>10</v>
      </c>
      <c r="BY10" s="5">
        <v>10</v>
      </c>
      <c r="BZ10" s="5">
        <v>10</v>
      </c>
      <c r="CA10" s="5">
        <v>10</v>
      </c>
      <c r="CB10" s="5">
        <v>10</v>
      </c>
      <c r="CC10" s="2" t="e">
        <f t="shared" ca="1" si="6"/>
        <v>#NAME?</v>
      </c>
      <c r="CD10" s="55"/>
      <c r="CE10" s="2"/>
      <c r="CF10" s="56">
        <v>10</v>
      </c>
      <c r="CG10" s="56">
        <v>10</v>
      </c>
      <c r="CH10" s="56">
        <v>10</v>
      </c>
      <c r="CI10" s="56">
        <v>10</v>
      </c>
      <c r="CJ10" s="56">
        <v>10</v>
      </c>
      <c r="CK10" s="56">
        <v>10</v>
      </c>
      <c r="CL10" s="56">
        <v>10</v>
      </c>
      <c r="CM10" s="56">
        <v>10</v>
      </c>
      <c r="CN10" s="56">
        <v>10</v>
      </c>
      <c r="CO10" s="56">
        <v>10</v>
      </c>
      <c r="CP10" s="2" t="e">
        <f t="shared" ca="1" si="7"/>
        <v>#NAME?</v>
      </c>
      <c r="CQ10" s="56">
        <v>10</v>
      </c>
      <c r="CR10" s="56">
        <v>10</v>
      </c>
      <c r="CS10" s="56">
        <v>10</v>
      </c>
      <c r="CT10" s="56">
        <v>10</v>
      </c>
      <c r="CU10" s="56">
        <v>10</v>
      </c>
      <c r="CV10" s="54">
        <f t="shared" si="8"/>
        <v>10</v>
      </c>
      <c r="CW10" s="55"/>
      <c r="CX10" s="3"/>
    </row>
    <row r="11" spans="1:102" ht="15.75" customHeight="1" x14ac:dyDescent="0.55000000000000004">
      <c r="A11" s="17">
        <v>1</v>
      </c>
      <c r="B11" s="17" t="s">
        <v>3</v>
      </c>
      <c r="C11" s="23" t="s">
        <v>61</v>
      </c>
      <c r="D11" s="20" t="s">
        <v>62</v>
      </c>
      <c r="E11" s="48"/>
      <c r="F11" s="2"/>
      <c r="G11" s="2">
        <v>10</v>
      </c>
      <c r="H11" s="2">
        <v>10</v>
      </c>
      <c r="I11" s="2">
        <v>10</v>
      </c>
      <c r="J11" s="2">
        <v>10</v>
      </c>
      <c r="K11" s="2">
        <v>10</v>
      </c>
      <c r="L11" s="2">
        <v>10</v>
      </c>
      <c r="M11" s="2">
        <v>10</v>
      </c>
      <c r="N11" s="2">
        <v>9</v>
      </c>
      <c r="O11" s="2">
        <v>9</v>
      </c>
      <c r="P11" s="2">
        <v>9</v>
      </c>
      <c r="Q11" s="2" t="e">
        <f t="shared" ca="1" si="0"/>
        <v>#NAME?</v>
      </c>
      <c r="R11" s="2">
        <v>10</v>
      </c>
      <c r="S11" s="2">
        <v>10</v>
      </c>
      <c r="T11" s="2">
        <v>10</v>
      </c>
      <c r="U11" s="2">
        <v>10</v>
      </c>
      <c r="V11" s="2">
        <v>10</v>
      </c>
      <c r="W11" s="54">
        <f t="shared" si="1"/>
        <v>10</v>
      </c>
      <c r="X11" s="48"/>
      <c r="Y11" s="2"/>
      <c r="Z11" s="2"/>
      <c r="AA11" s="2">
        <v>10</v>
      </c>
      <c r="AB11" s="2">
        <v>10</v>
      </c>
      <c r="AC11" s="2">
        <v>10</v>
      </c>
      <c r="AD11" s="2">
        <v>10</v>
      </c>
      <c r="AE11" s="2">
        <v>10</v>
      </c>
      <c r="AF11" s="2">
        <v>10</v>
      </c>
      <c r="AG11" s="2">
        <v>10</v>
      </c>
      <c r="AH11" s="2">
        <v>10</v>
      </c>
      <c r="AI11" s="2">
        <v>10</v>
      </c>
      <c r="AJ11" s="2">
        <v>10</v>
      </c>
      <c r="AK11" s="3"/>
      <c r="AL11" s="3"/>
      <c r="AM11" s="3"/>
      <c r="AN11" s="3"/>
      <c r="AO11" s="3"/>
      <c r="AP11" s="3"/>
      <c r="AQ11" s="2" t="e">
        <f t="shared" ca="1" si="2"/>
        <v>#NAME?</v>
      </c>
      <c r="AR11" s="2">
        <v>10</v>
      </c>
      <c r="AS11" s="2">
        <v>10</v>
      </c>
      <c r="AT11" s="2">
        <v>10</v>
      </c>
      <c r="AU11" s="2">
        <v>7</v>
      </c>
      <c r="AV11" s="2">
        <v>7</v>
      </c>
      <c r="AW11" s="54">
        <f t="shared" si="3"/>
        <v>9</v>
      </c>
      <c r="AX11" s="48"/>
      <c r="AY11" s="2">
        <v>11</v>
      </c>
      <c r="AZ11" s="2">
        <v>10</v>
      </c>
      <c r="BA11" s="2">
        <v>10</v>
      </c>
      <c r="BB11" s="2">
        <v>10</v>
      </c>
      <c r="BC11" s="2">
        <v>10</v>
      </c>
      <c r="BD11" s="2">
        <v>10</v>
      </c>
      <c r="BE11" s="2">
        <v>10</v>
      </c>
      <c r="BF11" s="2">
        <v>10</v>
      </c>
      <c r="BG11" s="2">
        <v>10</v>
      </c>
      <c r="BH11" s="2">
        <v>10</v>
      </c>
      <c r="BI11" s="2">
        <v>10</v>
      </c>
      <c r="BJ11" s="2" t="e">
        <f t="shared" ca="1" si="4"/>
        <v>#NAME?</v>
      </c>
      <c r="BK11" s="2">
        <v>10</v>
      </c>
      <c r="BL11" s="2">
        <v>10</v>
      </c>
      <c r="BM11" s="2">
        <v>10</v>
      </c>
      <c r="BN11" s="2">
        <v>10</v>
      </c>
      <c r="BO11" s="2">
        <v>10</v>
      </c>
      <c r="BP11" s="54">
        <f t="shared" si="5"/>
        <v>10</v>
      </c>
      <c r="BQ11" s="5"/>
      <c r="BR11" s="5"/>
      <c r="BS11" s="5">
        <v>10</v>
      </c>
      <c r="BT11" s="5">
        <v>10</v>
      </c>
      <c r="BU11" s="5">
        <v>10</v>
      </c>
      <c r="BV11" s="5">
        <v>10</v>
      </c>
      <c r="BW11" s="5">
        <v>10</v>
      </c>
      <c r="BX11" s="5">
        <v>8</v>
      </c>
      <c r="BY11" s="5">
        <v>8</v>
      </c>
      <c r="BZ11" s="5">
        <v>8</v>
      </c>
      <c r="CA11" s="5">
        <v>8</v>
      </c>
      <c r="CB11" s="5">
        <v>8</v>
      </c>
      <c r="CC11" s="2" t="e">
        <f t="shared" ca="1" si="6"/>
        <v>#NAME?</v>
      </c>
      <c r="CD11" s="55"/>
      <c r="CE11" s="2"/>
      <c r="CF11" s="58">
        <v>10</v>
      </c>
      <c r="CG11" s="58">
        <v>10</v>
      </c>
      <c r="CH11" s="56">
        <v>10</v>
      </c>
      <c r="CI11" s="56">
        <v>10</v>
      </c>
      <c r="CJ11" s="56">
        <v>10</v>
      </c>
      <c r="CK11" s="56">
        <v>10</v>
      </c>
      <c r="CL11" s="56">
        <v>10</v>
      </c>
      <c r="CM11" s="56">
        <v>10</v>
      </c>
      <c r="CN11" s="56">
        <v>10</v>
      </c>
      <c r="CO11" s="56">
        <v>10</v>
      </c>
      <c r="CP11" s="2" t="e">
        <f t="shared" ca="1" si="7"/>
        <v>#NAME?</v>
      </c>
      <c r="CQ11" s="56">
        <v>10</v>
      </c>
      <c r="CR11" s="56">
        <v>10</v>
      </c>
      <c r="CS11" s="56">
        <v>10</v>
      </c>
      <c r="CT11" s="56">
        <v>10</v>
      </c>
      <c r="CU11" s="56">
        <v>10</v>
      </c>
      <c r="CV11" s="54">
        <f t="shared" si="8"/>
        <v>10</v>
      </c>
      <c r="CW11" s="55"/>
      <c r="CX11" s="3"/>
    </row>
    <row r="12" spans="1:102" ht="15.75" customHeight="1" x14ac:dyDescent="0.55000000000000004">
      <c r="A12" s="17">
        <v>1</v>
      </c>
      <c r="B12" s="17" t="s">
        <v>3</v>
      </c>
      <c r="C12" s="23" t="s">
        <v>63</v>
      </c>
      <c r="D12" s="24" t="s">
        <v>64</v>
      </c>
      <c r="E12" s="48"/>
      <c r="F12" s="2"/>
      <c r="G12" s="2">
        <v>10</v>
      </c>
      <c r="H12" s="2">
        <v>10</v>
      </c>
      <c r="I12" s="2">
        <v>10</v>
      </c>
      <c r="J12" s="2">
        <v>10</v>
      </c>
      <c r="K12" s="2">
        <v>10</v>
      </c>
      <c r="L12" s="2">
        <v>10</v>
      </c>
      <c r="M12" s="2">
        <v>9</v>
      </c>
      <c r="N12" s="2">
        <v>9</v>
      </c>
      <c r="O12" s="2">
        <v>9</v>
      </c>
      <c r="P12" s="2">
        <v>9</v>
      </c>
      <c r="Q12" s="2" t="e">
        <f t="shared" ca="1" si="0"/>
        <v>#NAME?</v>
      </c>
      <c r="R12" s="2">
        <v>10</v>
      </c>
      <c r="S12" s="2">
        <v>10</v>
      </c>
      <c r="T12" s="2">
        <v>10</v>
      </c>
      <c r="U12" s="2">
        <v>10</v>
      </c>
      <c r="V12" s="2">
        <v>10</v>
      </c>
      <c r="W12" s="54">
        <f t="shared" si="1"/>
        <v>10</v>
      </c>
      <c r="X12" s="48"/>
      <c r="Y12" s="2"/>
      <c r="Z12" s="2"/>
      <c r="AA12" s="2">
        <v>10</v>
      </c>
      <c r="AB12" s="2">
        <v>10</v>
      </c>
      <c r="AC12" s="2">
        <v>10</v>
      </c>
      <c r="AD12" s="2">
        <v>10</v>
      </c>
      <c r="AE12" s="2">
        <v>10</v>
      </c>
      <c r="AF12" s="2">
        <v>10</v>
      </c>
      <c r="AG12" s="2">
        <v>10</v>
      </c>
      <c r="AH12" s="2">
        <v>10</v>
      </c>
      <c r="AI12" s="2">
        <v>10</v>
      </c>
      <c r="AJ12" s="2">
        <v>10</v>
      </c>
      <c r="AK12" s="3"/>
      <c r="AL12" s="3"/>
      <c r="AM12" s="3"/>
      <c r="AN12" s="3"/>
      <c r="AO12" s="3"/>
      <c r="AP12" s="3"/>
      <c r="AQ12" s="2" t="e">
        <f t="shared" ca="1" si="2"/>
        <v>#NAME?</v>
      </c>
      <c r="AR12" s="2">
        <v>10</v>
      </c>
      <c r="AS12" s="2">
        <v>10</v>
      </c>
      <c r="AT12" s="2">
        <v>10</v>
      </c>
      <c r="AU12" s="2">
        <v>10</v>
      </c>
      <c r="AV12" s="2">
        <v>10</v>
      </c>
      <c r="AW12" s="54">
        <f t="shared" si="3"/>
        <v>10</v>
      </c>
      <c r="AX12" s="48"/>
      <c r="AY12" s="2">
        <v>20</v>
      </c>
      <c r="AZ12" s="2">
        <v>10</v>
      </c>
      <c r="BA12" s="2">
        <v>10</v>
      </c>
      <c r="BB12" s="2">
        <v>10</v>
      </c>
      <c r="BC12" s="2">
        <v>10</v>
      </c>
      <c r="BD12" s="2">
        <v>10</v>
      </c>
      <c r="BE12" s="2">
        <v>10</v>
      </c>
      <c r="BF12" s="2">
        <v>10</v>
      </c>
      <c r="BG12" s="2">
        <v>10</v>
      </c>
      <c r="BH12" s="2">
        <v>10</v>
      </c>
      <c r="BI12" s="2">
        <v>10</v>
      </c>
      <c r="BJ12" s="2" t="e">
        <f t="shared" ca="1" si="4"/>
        <v>#NAME?</v>
      </c>
      <c r="BK12" s="2">
        <v>10</v>
      </c>
      <c r="BL12" s="2">
        <v>10</v>
      </c>
      <c r="BM12" s="2">
        <v>10</v>
      </c>
      <c r="BN12" s="2">
        <v>10</v>
      </c>
      <c r="BO12" s="2">
        <v>10</v>
      </c>
      <c r="BP12" s="54">
        <f t="shared" si="5"/>
        <v>10</v>
      </c>
      <c r="BQ12" s="5"/>
      <c r="BR12" s="5"/>
      <c r="BS12" s="5">
        <v>10</v>
      </c>
      <c r="BT12" s="5">
        <v>10</v>
      </c>
      <c r="BU12" s="5">
        <v>10</v>
      </c>
      <c r="BV12" s="5">
        <v>10</v>
      </c>
      <c r="BW12" s="5">
        <v>8</v>
      </c>
      <c r="BX12" s="5">
        <v>8</v>
      </c>
      <c r="BY12" s="5">
        <v>8</v>
      </c>
      <c r="BZ12" s="5">
        <v>8</v>
      </c>
      <c r="CA12" s="5">
        <v>8</v>
      </c>
      <c r="CB12" s="5">
        <v>8</v>
      </c>
      <c r="CC12" s="2" t="e">
        <f t="shared" ca="1" si="6"/>
        <v>#NAME?</v>
      </c>
      <c r="CD12" s="55"/>
      <c r="CE12" s="2"/>
      <c r="CF12" s="56">
        <v>10</v>
      </c>
      <c r="CG12" s="56">
        <v>10</v>
      </c>
      <c r="CH12" s="56">
        <v>10</v>
      </c>
      <c r="CI12" s="56">
        <v>10</v>
      </c>
      <c r="CJ12" s="56">
        <v>10</v>
      </c>
      <c r="CK12" s="56">
        <v>10</v>
      </c>
      <c r="CL12" s="56">
        <v>10</v>
      </c>
      <c r="CM12" s="56">
        <v>10</v>
      </c>
      <c r="CN12" s="56">
        <v>10</v>
      </c>
      <c r="CO12" s="56">
        <v>10</v>
      </c>
      <c r="CP12" s="2" t="e">
        <f t="shared" ca="1" si="7"/>
        <v>#NAME?</v>
      </c>
      <c r="CQ12" s="56">
        <v>10</v>
      </c>
      <c r="CR12" s="56">
        <v>10</v>
      </c>
      <c r="CS12" s="56">
        <v>10</v>
      </c>
      <c r="CT12" s="56">
        <v>10</v>
      </c>
      <c r="CU12" s="56">
        <v>10</v>
      </c>
      <c r="CV12" s="54">
        <f t="shared" si="8"/>
        <v>10</v>
      </c>
      <c r="CW12" s="55"/>
      <c r="CX12" s="3"/>
    </row>
    <row r="13" spans="1:102" ht="15.75" customHeight="1" x14ac:dyDescent="0.55000000000000004">
      <c r="A13" s="17">
        <v>1</v>
      </c>
      <c r="B13" s="17" t="s">
        <v>3</v>
      </c>
      <c r="C13" s="23" t="s">
        <v>65</v>
      </c>
      <c r="D13" s="20" t="s">
        <v>66</v>
      </c>
      <c r="E13" s="48"/>
      <c r="F13" s="2"/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9</v>
      </c>
      <c r="N13" s="2">
        <v>9</v>
      </c>
      <c r="O13" s="2">
        <v>8</v>
      </c>
      <c r="P13" s="2">
        <v>8</v>
      </c>
      <c r="Q13" s="2" t="e">
        <f t="shared" ca="1" si="0"/>
        <v>#NAME?</v>
      </c>
      <c r="R13" s="2">
        <v>10</v>
      </c>
      <c r="S13" s="2">
        <v>10</v>
      </c>
      <c r="T13" s="2">
        <v>10</v>
      </c>
      <c r="U13" s="2">
        <v>10</v>
      </c>
      <c r="V13" s="2">
        <v>10</v>
      </c>
      <c r="W13" s="54">
        <f t="shared" si="1"/>
        <v>10</v>
      </c>
      <c r="X13" s="48"/>
      <c r="Y13" s="2"/>
      <c r="Z13" s="2"/>
      <c r="AA13" s="2">
        <v>10</v>
      </c>
      <c r="AB13" s="2">
        <v>10</v>
      </c>
      <c r="AC13" s="2">
        <v>10</v>
      </c>
      <c r="AD13" s="2">
        <v>10</v>
      </c>
      <c r="AE13" s="2">
        <v>10</v>
      </c>
      <c r="AF13" s="2">
        <v>10</v>
      </c>
      <c r="AG13" s="2">
        <v>10</v>
      </c>
      <c r="AH13" s="2">
        <v>10</v>
      </c>
      <c r="AI13" s="2">
        <v>10</v>
      </c>
      <c r="AJ13" s="2">
        <v>10</v>
      </c>
      <c r="AK13" s="3"/>
      <c r="AL13" s="3"/>
      <c r="AM13" s="3"/>
      <c r="AN13" s="3"/>
      <c r="AO13" s="3"/>
      <c r="AP13" s="3"/>
      <c r="AQ13" s="2" t="e">
        <f t="shared" ca="1" si="2"/>
        <v>#NAME?</v>
      </c>
      <c r="AR13" s="2">
        <v>10</v>
      </c>
      <c r="AS13" s="2">
        <v>10</v>
      </c>
      <c r="AT13" s="2">
        <v>10</v>
      </c>
      <c r="AU13" s="2">
        <v>10</v>
      </c>
      <c r="AV13" s="2">
        <v>10</v>
      </c>
      <c r="AW13" s="54">
        <f t="shared" si="3"/>
        <v>10</v>
      </c>
      <c r="AX13" s="48"/>
      <c r="AY13" s="2">
        <v>12</v>
      </c>
      <c r="AZ13" s="2">
        <v>10</v>
      </c>
      <c r="BA13" s="2">
        <v>10</v>
      </c>
      <c r="BB13" s="2">
        <v>10</v>
      </c>
      <c r="BC13" s="2">
        <v>10</v>
      </c>
      <c r="BD13" s="2">
        <v>10</v>
      </c>
      <c r="BE13" s="2">
        <v>10</v>
      </c>
      <c r="BF13" s="2">
        <v>10</v>
      </c>
      <c r="BG13" s="2">
        <v>10</v>
      </c>
      <c r="BH13" s="2">
        <v>10</v>
      </c>
      <c r="BI13" s="2">
        <v>10</v>
      </c>
      <c r="BJ13" s="2" t="e">
        <f t="shared" ca="1" si="4"/>
        <v>#NAME?</v>
      </c>
      <c r="BK13" s="2">
        <v>10</v>
      </c>
      <c r="BL13" s="2">
        <v>10</v>
      </c>
      <c r="BM13" s="2">
        <v>10</v>
      </c>
      <c r="BN13" s="2">
        <v>10</v>
      </c>
      <c r="BO13" s="2">
        <v>10</v>
      </c>
      <c r="BP13" s="54">
        <f t="shared" si="5"/>
        <v>10</v>
      </c>
      <c r="BQ13" s="5"/>
      <c r="BR13" s="5"/>
      <c r="BS13" s="5">
        <v>10</v>
      </c>
      <c r="BT13" s="5">
        <v>10</v>
      </c>
      <c r="BU13" s="5">
        <v>10</v>
      </c>
      <c r="BV13" s="5">
        <v>10</v>
      </c>
      <c r="BW13" s="5">
        <v>10</v>
      </c>
      <c r="BX13" s="5">
        <v>10</v>
      </c>
      <c r="BY13" s="5">
        <v>10</v>
      </c>
      <c r="BZ13" s="5">
        <v>10</v>
      </c>
      <c r="CA13" s="5">
        <v>10</v>
      </c>
      <c r="CB13" s="5">
        <v>10</v>
      </c>
      <c r="CC13" s="2" t="e">
        <f t="shared" ca="1" si="6"/>
        <v>#NAME?</v>
      </c>
      <c r="CD13" s="55"/>
      <c r="CE13" s="2"/>
      <c r="CF13" s="58">
        <v>10</v>
      </c>
      <c r="CG13" s="58">
        <v>10</v>
      </c>
      <c r="CH13" s="58">
        <v>10</v>
      </c>
      <c r="CI13" s="58">
        <v>10</v>
      </c>
      <c r="CJ13" s="58">
        <v>10</v>
      </c>
      <c r="CK13" s="58">
        <v>10</v>
      </c>
      <c r="CL13" s="58">
        <v>10</v>
      </c>
      <c r="CM13" s="58">
        <v>10</v>
      </c>
      <c r="CN13" s="58">
        <v>10</v>
      </c>
      <c r="CO13" s="58">
        <v>10</v>
      </c>
      <c r="CP13" s="2" t="e">
        <f t="shared" ca="1" si="7"/>
        <v>#NAME?</v>
      </c>
      <c r="CQ13" s="58">
        <v>10</v>
      </c>
      <c r="CR13" s="58">
        <v>10</v>
      </c>
      <c r="CS13" s="58">
        <v>10</v>
      </c>
      <c r="CT13" s="58">
        <v>10</v>
      </c>
      <c r="CU13" s="58">
        <v>10</v>
      </c>
      <c r="CV13" s="54">
        <f t="shared" si="8"/>
        <v>10</v>
      </c>
      <c r="CW13" s="55"/>
      <c r="CX13" s="3"/>
    </row>
    <row r="14" spans="1:102" ht="15.75" customHeight="1" x14ac:dyDescent="0.55000000000000004">
      <c r="A14" s="17">
        <v>1</v>
      </c>
      <c r="B14" s="17" t="s">
        <v>3</v>
      </c>
      <c r="C14" s="23" t="s">
        <v>67</v>
      </c>
      <c r="D14" s="20" t="s">
        <v>68</v>
      </c>
      <c r="E14" s="48"/>
      <c r="F14" s="48"/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9</v>
      </c>
      <c r="N14" s="2">
        <v>9</v>
      </c>
      <c r="O14" s="2">
        <v>8</v>
      </c>
      <c r="P14" s="2">
        <v>8</v>
      </c>
      <c r="Q14" s="2" t="e">
        <f t="shared" ca="1" si="0"/>
        <v>#NAME?</v>
      </c>
      <c r="R14" s="2">
        <v>10</v>
      </c>
      <c r="S14" s="2">
        <v>10</v>
      </c>
      <c r="T14" s="2">
        <v>10</v>
      </c>
      <c r="U14" s="2">
        <v>10</v>
      </c>
      <c r="V14" s="2">
        <v>10</v>
      </c>
      <c r="W14" s="54">
        <f t="shared" si="1"/>
        <v>10</v>
      </c>
      <c r="X14" s="48"/>
      <c r="Y14" s="2"/>
      <c r="Z14" s="2"/>
      <c r="AA14" s="2">
        <v>10</v>
      </c>
      <c r="AB14" s="2">
        <v>10</v>
      </c>
      <c r="AC14" s="2">
        <v>10</v>
      </c>
      <c r="AD14" s="2">
        <v>10</v>
      </c>
      <c r="AE14" s="2">
        <v>10</v>
      </c>
      <c r="AF14" s="2">
        <v>10</v>
      </c>
      <c r="AG14" s="2">
        <v>10</v>
      </c>
      <c r="AH14" s="2">
        <v>10</v>
      </c>
      <c r="AI14" s="2">
        <v>10</v>
      </c>
      <c r="AJ14" s="2">
        <v>10</v>
      </c>
      <c r="AK14" s="3"/>
      <c r="AL14" s="3"/>
      <c r="AM14" s="3"/>
      <c r="AN14" s="3"/>
      <c r="AO14" s="3"/>
      <c r="AP14" s="3"/>
      <c r="AQ14" s="2" t="e">
        <f t="shared" ca="1" si="2"/>
        <v>#NAME?</v>
      </c>
      <c r="AR14" s="2">
        <v>10</v>
      </c>
      <c r="AS14" s="2">
        <v>10</v>
      </c>
      <c r="AT14" s="2">
        <v>6</v>
      </c>
      <c r="AU14" s="2">
        <v>6</v>
      </c>
      <c r="AV14" s="2">
        <v>6</v>
      </c>
      <c r="AW14" s="54">
        <f t="shared" si="3"/>
        <v>8</v>
      </c>
      <c r="AX14" s="48"/>
      <c r="AY14" s="2">
        <v>14</v>
      </c>
      <c r="AZ14" s="2">
        <v>10</v>
      </c>
      <c r="BA14" s="2">
        <v>10</v>
      </c>
      <c r="BB14" s="2">
        <v>10</v>
      </c>
      <c r="BC14" s="2">
        <v>10</v>
      </c>
      <c r="BD14" s="2">
        <v>10</v>
      </c>
      <c r="BE14" s="2">
        <v>10</v>
      </c>
      <c r="BF14" s="2">
        <v>10</v>
      </c>
      <c r="BG14" s="2">
        <v>10</v>
      </c>
      <c r="BH14" s="2">
        <v>10</v>
      </c>
      <c r="BI14" s="57">
        <v>10</v>
      </c>
      <c r="BJ14" s="2" t="e">
        <f t="shared" ca="1" si="4"/>
        <v>#NAME?</v>
      </c>
      <c r="BK14" s="5">
        <v>10</v>
      </c>
      <c r="BL14" s="5">
        <v>10</v>
      </c>
      <c r="BM14" s="5">
        <v>10</v>
      </c>
      <c r="BN14" s="5">
        <v>10</v>
      </c>
      <c r="BO14" s="5">
        <v>10</v>
      </c>
      <c r="BP14" s="54">
        <f t="shared" si="5"/>
        <v>10</v>
      </c>
      <c r="BQ14" s="5"/>
      <c r="BR14" s="5"/>
      <c r="BS14" s="5">
        <v>10</v>
      </c>
      <c r="BT14" s="5">
        <v>10</v>
      </c>
      <c r="BU14" s="5">
        <v>10</v>
      </c>
      <c r="BV14" s="5">
        <v>10</v>
      </c>
      <c r="BW14" s="5">
        <v>10</v>
      </c>
      <c r="BX14" s="5">
        <v>10</v>
      </c>
      <c r="BY14" s="5">
        <v>10</v>
      </c>
      <c r="BZ14" s="5">
        <v>10</v>
      </c>
      <c r="CA14" s="5">
        <v>10</v>
      </c>
      <c r="CB14" s="5">
        <v>10</v>
      </c>
      <c r="CC14" s="2" t="e">
        <f t="shared" ca="1" si="6"/>
        <v>#NAME?</v>
      </c>
      <c r="CD14" s="55"/>
      <c r="CE14" s="2"/>
      <c r="CF14" s="56">
        <v>10</v>
      </c>
      <c r="CG14" s="56">
        <v>10</v>
      </c>
      <c r="CH14" s="56">
        <v>10</v>
      </c>
      <c r="CI14" s="56">
        <v>10</v>
      </c>
      <c r="CJ14" s="56">
        <v>10</v>
      </c>
      <c r="CK14" s="56">
        <v>10</v>
      </c>
      <c r="CL14" s="56">
        <v>10</v>
      </c>
      <c r="CM14" s="56">
        <v>10</v>
      </c>
      <c r="CN14" s="56">
        <v>10</v>
      </c>
      <c r="CO14" s="56">
        <v>10</v>
      </c>
      <c r="CP14" s="2" t="e">
        <f t="shared" ca="1" si="7"/>
        <v>#NAME?</v>
      </c>
      <c r="CQ14" s="56">
        <v>10</v>
      </c>
      <c r="CR14" s="56">
        <v>10</v>
      </c>
      <c r="CS14" s="56">
        <v>10</v>
      </c>
      <c r="CT14" s="56">
        <v>10</v>
      </c>
      <c r="CU14" s="56">
        <v>10</v>
      </c>
      <c r="CV14" s="54">
        <f t="shared" si="8"/>
        <v>10</v>
      </c>
      <c r="CW14" s="55"/>
      <c r="CX14" s="3"/>
    </row>
    <row r="15" spans="1:102" ht="15.75" customHeight="1" x14ac:dyDescent="0.55000000000000004">
      <c r="A15" s="17">
        <v>1</v>
      </c>
      <c r="B15" s="17" t="s">
        <v>3</v>
      </c>
      <c r="C15" s="23" t="s">
        <v>69</v>
      </c>
      <c r="D15" s="20" t="s">
        <v>70</v>
      </c>
      <c r="E15" s="48"/>
      <c r="F15" s="2"/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>
        <v>10</v>
      </c>
      <c r="N15" s="2">
        <v>9</v>
      </c>
      <c r="O15" s="2">
        <v>9</v>
      </c>
      <c r="P15" s="2">
        <v>9</v>
      </c>
      <c r="Q15" s="2" t="e">
        <f t="shared" ca="1" si="0"/>
        <v>#NAME?</v>
      </c>
      <c r="R15" s="2">
        <v>10</v>
      </c>
      <c r="S15" s="2">
        <v>10</v>
      </c>
      <c r="T15" s="2">
        <v>10</v>
      </c>
      <c r="U15" s="2">
        <v>10</v>
      </c>
      <c r="V15" s="2">
        <v>10</v>
      </c>
      <c r="W15" s="54">
        <f t="shared" si="1"/>
        <v>10</v>
      </c>
      <c r="X15" s="48"/>
      <c r="Y15" s="2"/>
      <c r="Z15" s="2"/>
      <c r="AA15" s="2">
        <v>10</v>
      </c>
      <c r="AB15" s="2">
        <v>10</v>
      </c>
      <c r="AC15" s="2">
        <v>10</v>
      </c>
      <c r="AD15" s="2">
        <v>10</v>
      </c>
      <c r="AE15" s="2">
        <v>10</v>
      </c>
      <c r="AF15" s="2">
        <v>10</v>
      </c>
      <c r="AG15" s="2">
        <v>10</v>
      </c>
      <c r="AH15" s="2">
        <v>10</v>
      </c>
      <c r="AI15" s="2">
        <v>10</v>
      </c>
      <c r="AJ15" s="2">
        <v>10</v>
      </c>
      <c r="AK15" s="3"/>
      <c r="AL15" s="3"/>
      <c r="AM15" s="3"/>
      <c r="AN15" s="3"/>
      <c r="AO15" s="3"/>
      <c r="AP15" s="3"/>
      <c r="AQ15" s="2" t="e">
        <f t="shared" ca="1" si="2"/>
        <v>#NAME?</v>
      </c>
      <c r="AR15" s="2">
        <v>10</v>
      </c>
      <c r="AS15" s="2">
        <v>10</v>
      </c>
      <c r="AT15" s="2">
        <v>10</v>
      </c>
      <c r="AU15" s="2">
        <v>10</v>
      </c>
      <c r="AV15" s="2">
        <v>10</v>
      </c>
      <c r="AW15" s="54">
        <f t="shared" si="3"/>
        <v>10</v>
      </c>
      <c r="AX15" s="48"/>
      <c r="AY15" s="2">
        <v>15</v>
      </c>
      <c r="AZ15" s="2">
        <v>10</v>
      </c>
      <c r="BA15" s="2">
        <v>10</v>
      </c>
      <c r="BB15" s="2">
        <v>10</v>
      </c>
      <c r="BC15" s="2">
        <v>10</v>
      </c>
      <c r="BD15" s="2">
        <v>10</v>
      </c>
      <c r="BE15" s="2">
        <v>10</v>
      </c>
      <c r="BF15" s="2">
        <v>10</v>
      </c>
      <c r="BG15" s="2">
        <v>10</v>
      </c>
      <c r="BH15" s="2">
        <v>10</v>
      </c>
      <c r="BI15" s="57">
        <v>10</v>
      </c>
      <c r="BJ15" s="2" t="e">
        <f t="shared" ca="1" si="4"/>
        <v>#NAME?</v>
      </c>
      <c r="BK15" s="2">
        <v>10</v>
      </c>
      <c r="BL15" s="2">
        <v>10</v>
      </c>
      <c r="BM15" s="2">
        <v>10</v>
      </c>
      <c r="BN15" s="2">
        <v>10</v>
      </c>
      <c r="BO15" s="2">
        <v>10</v>
      </c>
      <c r="BP15" s="54">
        <f t="shared" si="5"/>
        <v>10</v>
      </c>
      <c r="BQ15" s="5"/>
      <c r="BR15" s="5"/>
      <c r="BS15" s="5">
        <v>10</v>
      </c>
      <c r="BT15" s="5">
        <v>10</v>
      </c>
      <c r="BU15" s="5">
        <v>10</v>
      </c>
      <c r="BV15" s="5">
        <v>10</v>
      </c>
      <c r="BW15" s="5">
        <v>10</v>
      </c>
      <c r="BX15" s="5">
        <v>10</v>
      </c>
      <c r="BY15" s="5">
        <v>10</v>
      </c>
      <c r="BZ15" s="5">
        <v>10</v>
      </c>
      <c r="CA15" s="5">
        <v>10</v>
      </c>
      <c r="CB15" s="5">
        <v>10</v>
      </c>
      <c r="CC15" s="2" t="e">
        <f t="shared" ca="1" si="6"/>
        <v>#NAME?</v>
      </c>
      <c r="CD15" s="55"/>
      <c r="CE15" s="2"/>
      <c r="CF15" s="58">
        <v>9</v>
      </c>
      <c r="CG15" s="58">
        <v>10</v>
      </c>
      <c r="CH15" s="58">
        <v>10</v>
      </c>
      <c r="CI15" s="58">
        <v>10</v>
      </c>
      <c r="CJ15" s="58">
        <v>10</v>
      </c>
      <c r="CK15" s="58">
        <v>10</v>
      </c>
      <c r="CL15" s="58">
        <v>10</v>
      </c>
      <c r="CM15" s="58">
        <v>10</v>
      </c>
      <c r="CN15" s="58">
        <v>10</v>
      </c>
      <c r="CO15" s="58">
        <v>10</v>
      </c>
      <c r="CP15" s="2" t="e">
        <f t="shared" ca="1" si="7"/>
        <v>#NAME?</v>
      </c>
      <c r="CQ15" s="58">
        <v>10</v>
      </c>
      <c r="CR15" s="58">
        <v>10</v>
      </c>
      <c r="CS15" s="58">
        <v>10</v>
      </c>
      <c r="CT15" s="58">
        <v>10</v>
      </c>
      <c r="CU15" s="58">
        <v>10</v>
      </c>
      <c r="CV15" s="54">
        <f t="shared" si="8"/>
        <v>10</v>
      </c>
      <c r="CW15" s="55"/>
      <c r="CX15" s="3"/>
    </row>
    <row r="16" spans="1:102" ht="15.75" customHeight="1" x14ac:dyDescent="0.55000000000000004">
      <c r="A16" s="17">
        <v>1</v>
      </c>
      <c r="B16" s="17" t="s">
        <v>3</v>
      </c>
      <c r="C16" s="23" t="s">
        <v>71</v>
      </c>
      <c r="D16" s="20" t="s">
        <v>72</v>
      </c>
      <c r="E16" s="48"/>
      <c r="F16" s="2"/>
      <c r="G16" s="2">
        <v>10</v>
      </c>
      <c r="H16" s="2">
        <v>10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>
        <v>9</v>
      </c>
      <c r="O16" s="2">
        <v>9</v>
      </c>
      <c r="P16" s="2">
        <v>9</v>
      </c>
      <c r="Q16" s="2" t="e">
        <f t="shared" ca="1" si="0"/>
        <v>#NAME?</v>
      </c>
      <c r="R16" s="2">
        <v>10</v>
      </c>
      <c r="S16" s="2">
        <v>10</v>
      </c>
      <c r="T16" s="2">
        <v>10</v>
      </c>
      <c r="U16" s="2">
        <v>10</v>
      </c>
      <c r="V16" s="2">
        <v>10</v>
      </c>
      <c r="W16" s="54">
        <f t="shared" si="1"/>
        <v>10</v>
      </c>
      <c r="X16" s="48"/>
      <c r="Y16" s="2"/>
      <c r="Z16" s="2"/>
      <c r="AA16" s="2">
        <v>10</v>
      </c>
      <c r="AB16" s="2">
        <v>10</v>
      </c>
      <c r="AC16" s="2">
        <v>10</v>
      </c>
      <c r="AD16" s="2">
        <v>10</v>
      </c>
      <c r="AE16" s="2">
        <v>10</v>
      </c>
      <c r="AF16" s="2">
        <v>10</v>
      </c>
      <c r="AG16" s="2">
        <v>10</v>
      </c>
      <c r="AH16" s="2">
        <v>10</v>
      </c>
      <c r="AI16" s="2">
        <v>10</v>
      </c>
      <c r="AJ16" s="2">
        <v>10</v>
      </c>
      <c r="AK16" s="3"/>
      <c r="AL16" s="3"/>
      <c r="AM16" s="3"/>
      <c r="AN16" s="3"/>
      <c r="AO16" s="3"/>
      <c r="AP16" s="3"/>
      <c r="AQ16" s="2" t="e">
        <f t="shared" ca="1" si="2"/>
        <v>#NAME?</v>
      </c>
      <c r="AR16" s="2">
        <v>10</v>
      </c>
      <c r="AS16" s="2">
        <v>10</v>
      </c>
      <c r="AT16" s="2">
        <v>10</v>
      </c>
      <c r="AU16" s="2">
        <v>10</v>
      </c>
      <c r="AV16" s="2">
        <v>10</v>
      </c>
      <c r="AW16" s="54">
        <f t="shared" si="3"/>
        <v>10</v>
      </c>
      <c r="AX16" s="48"/>
      <c r="AY16" s="2">
        <v>18</v>
      </c>
      <c r="AZ16" s="2">
        <v>10</v>
      </c>
      <c r="BA16" s="2">
        <v>10</v>
      </c>
      <c r="BB16" s="2">
        <v>10</v>
      </c>
      <c r="BC16" s="2">
        <v>10</v>
      </c>
      <c r="BD16" s="2">
        <v>10</v>
      </c>
      <c r="BE16" s="2">
        <v>10</v>
      </c>
      <c r="BF16" s="2">
        <v>10</v>
      </c>
      <c r="BG16" s="2">
        <v>10</v>
      </c>
      <c r="BH16" s="2">
        <v>10</v>
      </c>
      <c r="BI16" s="2">
        <v>10</v>
      </c>
      <c r="BJ16" s="2" t="e">
        <f t="shared" ca="1" si="4"/>
        <v>#NAME?</v>
      </c>
      <c r="BK16" s="2">
        <v>10</v>
      </c>
      <c r="BL16" s="2">
        <v>10</v>
      </c>
      <c r="BM16" s="2">
        <v>10</v>
      </c>
      <c r="BN16" s="2">
        <v>10</v>
      </c>
      <c r="BO16" s="2">
        <v>10</v>
      </c>
      <c r="BP16" s="54">
        <f t="shared" si="5"/>
        <v>10</v>
      </c>
      <c r="BQ16" s="5"/>
      <c r="BR16" s="5"/>
      <c r="BS16" s="5">
        <v>10</v>
      </c>
      <c r="BT16" s="5">
        <v>10</v>
      </c>
      <c r="BU16" s="5">
        <v>10</v>
      </c>
      <c r="BV16" s="5">
        <v>10</v>
      </c>
      <c r="BW16" s="5">
        <v>10</v>
      </c>
      <c r="BX16" s="5">
        <v>10</v>
      </c>
      <c r="BY16" s="5">
        <v>10</v>
      </c>
      <c r="BZ16" s="5">
        <v>10</v>
      </c>
      <c r="CA16" s="5">
        <v>10</v>
      </c>
      <c r="CB16" s="5">
        <v>10</v>
      </c>
      <c r="CC16" s="2" t="e">
        <f t="shared" ca="1" si="6"/>
        <v>#NAME?</v>
      </c>
      <c r="CD16" s="55"/>
      <c r="CE16" s="2"/>
      <c r="CF16" s="56">
        <v>10</v>
      </c>
      <c r="CG16" s="56">
        <v>10</v>
      </c>
      <c r="CH16" s="56">
        <v>10</v>
      </c>
      <c r="CI16" s="56">
        <v>10</v>
      </c>
      <c r="CJ16" s="56">
        <v>10</v>
      </c>
      <c r="CK16" s="56">
        <v>10</v>
      </c>
      <c r="CL16" s="56">
        <v>10</v>
      </c>
      <c r="CM16" s="56">
        <v>10</v>
      </c>
      <c r="CN16" s="56">
        <v>10</v>
      </c>
      <c r="CO16" s="56">
        <v>10</v>
      </c>
      <c r="CP16" s="2" t="e">
        <f t="shared" ca="1" si="7"/>
        <v>#NAME?</v>
      </c>
      <c r="CQ16" s="56">
        <v>10</v>
      </c>
      <c r="CR16" s="56">
        <v>10</v>
      </c>
      <c r="CS16" s="56">
        <v>10</v>
      </c>
      <c r="CT16" s="56">
        <v>10</v>
      </c>
      <c r="CU16" s="56">
        <v>10</v>
      </c>
      <c r="CV16" s="54">
        <f t="shared" si="8"/>
        <v>10</v>
      </c>
      <c r="CW16" s="55"/>
      <c r="CX16" s="3"/>
    </row>
    <row r="17" spans="1:102" ht="15.75" customHeight="1" x14ac:dyDescent="0.55000000000000004">
      <c r="A17" s="17">
        <v>1</v>
      </c>
      <c r="B17" s="17" t="s">
        <v>3</v>
      </c>
      <c r="C17" s="23" t="s">
        <v>73</v>
      </c>
      <c r="D17" s="20" t="s">
        <v>74</v>
      </c>
      <c r="E17" s="48"/>
      <c r="F17" s="2"/>
      <c r="G17" s="2">
        <v>10</v>
      </c>
      <c r="H17" s="2">
        <v>10</v>
      </c>
      <c r="I17" s="2">
        <v>10</v>
      </c>
      <c r="J17" s="2">
        <v>10</v>
      </c>
      <c r="K17" s="2">
        <v>10</v>
      </c>
      <c r="L17" s="2">
        <v>10</v>
      </c>
      <c r="M17" s="2">
        <v>10</v>
      </c>
      <c r="N17" s="2">
        <v>9</v>
      </c>
      <c r="O17" s="2">
        <v>9</v>
      </c>
      <c r="P17" s="2">
        <v>9</v>
      </c>
      <c r="Q17" s="2" t="e">
        <f t="shared" ca="1" si="0"/>
        <v>#NAME?</v>
      </c>
      <c r="R17" s="2">
        <v>10</v>
      </c>
      <c r="S17" s="2">
        <v>10</v>
      </c>
      <c r="T17" s="2">
        <v>10</v>
      </c>
      <c r="U17" s="2">
        <v>10</v>
      </c>
      <c r="V17" s="2">
        <v>10</v>
      </c>
      <c r="W17" s="54">
        <f t="shared" si="1"/>
        <v>10</v>
      </c>
      <c r="X17" s="48"/>
      <c r="Y17" s="2"/>
      <c r="Z17" s="2"/>
      <c r="AA17" s="2">
        <v>10</v>
      </c>
      <c r="AB17" s="2">
        <v>10</v>
      </c>
      <c r="AC17" s="2">
        <v>10</v>
      </c>
      <c r="AD17" s="2">
        <v>10</v>
      </c>
      <c r="AE17" s="2">
        <v>10</v>
      </c>
      <c r="AF17" s="2">
        <v>10</v>
      </c>
      <c r="AG17" s="2">
        <v>10</v>
      </c>
      <c r="AH17" s="2">
        <v>10</v>
      </c>
      <c r="AI17" s="2">
        <v>10</v>
      </c>
      <c r="AJ17" s="2">
        <v>10</v>
      </c>
      <c r="AK17" s="3"/>
      <c r="AL17" s="3"/>
      <c r="AM17" s="3"/>
      <c r="AN17" s="3"/>
      <c r="AO17" s="3"/>
      <c r="AP17" s="3"/>
      <c r="AQ17" s="2" t="e">
        <f t="shared" ca="1" si="2"/>
        <v>#NAME?</v>
      </c>
      <c r="AR17" s="2">
        <v>10</v>
      </c>
      <c r="AS17" s="2">
        <v>10</v>
      </c>
      <c r="AT17" s="2">
        <v>10</v>
      </c>
      <c r="AU17" s="2">
        <v>10</v>
      </c>
      <c r="AV17" s="2">
        <v>10</v>
      </c>
      <c r="AW17" s="54">
        <f t="shared" si="3"/>
        <v>10</v>
      </c>
      <c r="AX17" s="48"/>
      <c r="AY17" s="2">
        <v>13</v>
      </c>
      <c r="AZ17" s="2">
        <v>10</v>
      </c>
      <c r="BA17" s="2">
        <v>10</v>
      </c>
      <c r="BB17" s="2">
        <v>10</v>
      </c>
      <c r="BC17" s="2">
        <v>10</v>
      </c>
      <c r="BD17" s="2">
        <v>10</v>
      </c>
      <c r="BE17" s="2">
        <v>10</v>
      </c>
      <c r="BF17" s="2">
        <v>10</v>
      </c>
      <c r="BG17" s="2">
        <v>10</v>
      </c>
      <c r="BH17" s="2">
        <v>10</v>
      </c>
      <c r="BI17" s="2">
        <v>10</v>
      </c>
      <c r="BJ17" s="2" t="e">
        <f t="shared" ca="1" si="4"/>
        <v>#NAME?</v>
      </c>
      <c r="BK17" s="2">
        <v>10</v>
      </c>
      <c r="BL17" s="2">
        <v>10</v>
      </c>
      <c r="BM17" s="2">
        <v>10</v>
      </c>
      <c r="BN17" s="2">
        <v>10</v>
      </c>
      <c r="BO17" s="2">
        <v>10</v>
      </c>
      <c r="BP17" s="54">
        <f t="shared" si="5"/>
        <v>10</v>
      </c>
      <c r="BQ17" s="5"/>
      <c r="BR17" s="5"/>
      <c r="BS17" s="5">
        <v>10</v>
      </c>
      <c r="BT17" s="5">
        <v>10</v>
      </c>
      <c r="BU17" s="5">
        <v>10</v>
      </c>
      <c r="BV17" s="5">
        <v>10</v>
      </c>
      <c r="BW17" s="5">
        <v>10</v>
      </c>
      <c r="BX17" s="5">
        <v>10</v>
      </c>
      <c r="BY17" s="5">
        <v>10</v>
      </c>
      <c r="BZ17" s="5">
        <v>10</v>
      </c>
      <c r="CA17" s="5">
        <v>10</v>
      </c>
      <c r="CB17" s="5">
        <v>10</v>
      </c>
      <c r="CC17" s="2" t="e">
        <f t="shared" ca="1" si="6"/>
        <v>#NAME?</v>
      </c>
      <c r="CD17" s="55"/>
      <c r="CE17" s="2"/>
      <c r="CF17" s="58">
        <v>10</v>
      </c>
      <c r="CG17" s="58">
        <v>10</v>
      </c>
      <c r="CH17" s="58">
        <v>10</v>
      </c>
      <c r="CI17" s="58">
        <v>10</v>
      </c>
      <c r="CJ17" s="58">
        <v>10</v>
      </c>
      <c r="CK17" s="58">
        <v>10</v>
      </c>
      <c r="CL17" s="58">
        <v>10</v>
      </c>
      <c r="CM17" s="58">
        <v>10</v>
      </c>
      <c r="CN17" s="58">
        <v>10</v>
      </c>
      <c r="CO17" s="58">
        <v>10</v>
      </c>
      <c r="CP17" s="2" t="e">
        <f t="shared" ca="1" si="7"/>
        <v>#NAME?</v>
      </c>
      <c r="CQ17" s="58">
        <v>10</v>
      </c>
      <c r="CR17" s="58">
        <v>10</v>
      </c>
      <c r="CS17" s="58">
        <v>10</v>
      </c>
      <c r="CT17" s="58">
        <v>10</v>
      </c>
      <c r="CU17" s="58">
        <v>10</v>
      </c>
      <c r="CV17" s="54">
        <f t="shared" si="8"/>
        <v>10</v>
      </c>
      <c r="CW17" s="55"/>
      <c r="CX17" s="3"/>
    </row>
    <row r="18" spans="1:102" ht="15.75" customHeight="1" x14ac:dyDescent="0.55000000000000004">
      <c r="A18" s="17">
        <v>1</v>
      </c>
      <c r="B18" s="17" t="s">
        <v>3</v>
      </c>
      <c r="C18" s="23" t="s">
        <v>75</v>
      </c>
      <c r="D18" s="20" t="s">
        <v>76</v>
      </c>
      <c r="E18" s="48"/>
      <c r="F18" s="2"/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9</v>
      </c>
      <c r="N18" s="2">
        <v>9</v>
      </c>
      <c r="O18" s="2">
        <v>9</v>
      </c>
      <c r="P18" s="53">
        <v>9</v>
      </c>
      <c r="Q18" s="2" t="e">
        <f t="shared" ca="1" si="0"/>
        <v>#NAME?</v>
      </c>
      <c r="R18" s="2">
        <v>9</v>
      </c>
      <c r="S18" s="2">
        <v>9</v>
      </c>
      <c r="T18" s="2">
        <v>9</v>
      </c>
      <c r="U18" s="2">
        <v>9</v>
      </c>
      <c r="V18" s="2">
        <v>9</v>
      </c>
      <c r="W18" s="54">
        <f t="shared" si="1"/>
        <v>9</v>
      </c>
      <c r="X18" s="48"/>
      <c r="Y18" s="2"/>
      <c r="Z18" s="2"/>
      <c r="AA18" s="2">
        <v>10</v>
      </c>
      <c r="AB18" s="2">
        <v>10</v>
      </c>
      <c r="AC18" s="2">
        <v>10</v>
      </c>
      <c r="AD18" s="2">
        <v>10</v>
      </c>
      <c r="AE18" s="2">
        <v>10</v>
      </c>
      <c r="AF18" s="2">
        <v>10</v>
      </c>
      <c r="AG18" s="2">
        <v>10</v>
      </c>
      <c r="AH18" s="2">
        <v>10</v>
      </c>
      <c r="AI18" s="2">
        <v>10</v>
      </c>
      <c r="AJ18" s="2">
        <v>10</v>
      </c>
      <c r="AK18" s="3"/>
      <c r="AL18" s="3"/>
      <c r="AM18" s="3"/>
      <c r="AN18" s="3"/>
      <c r="AO18" s="3"/>
      <c r="AP18" s="3"/>
      <c r="AQ18" s="2" t="e">
        <f t="shared" ca="1" si="2"/>
        <v>#NAME?</v>
      </c>
      <c r="AR18" s="2">
        <v>10</v>
      </c>
      <c r="AS18" s="2">
        <v>10</v>
      </c>
      <c r="AT18" s="2">
        <v>10</v>
      </c>
      <c r="AU18" s="2">
        <v>7</v>
      </c>
      <c r="AV18" s="2">
        <v>7</v>
      </c>
      <c r="AW18" s="54">
        <f t="shared" si="3"/>
        <v>9</v>
      </c>
      <c r="AX18" s="48"/>
      <c r="AY18" s="2">
        <v>12</v>
      </c>
      <c r="AZ18" s="2">
        <v>10</v>
      </c>
      <c r="BA18" s="2">
        <v>10</v>
      </c>
      <c r="BB18" s="2">
        <v>10</v>
      </c>
      <c r="BC18" s="2">
        <v>10</v>
      </c>
      <c r="BD18" s="2">
        <v>10</v>
      </c>
      <c r="BE18" s="2">
        <v>10</v>
      </c>
      <c r="BF18" s="2">
        <v>10</v>
      </c>
      <c r="BG18" s="2">
        <v>10</v>
      </c>
      <c r="BH18" s="2">
        <v>10</v>
      </c>
      <c r="BI18" s="2">
        <v>10</v>
      </c>
      <c r="BJ18" s="2" t="e">
        <f t="shared" ca="1" si="4"/>
        <v>#NAME?</v>
      </c>
      <c r="BK18" s="2">
        <v>10</v>
      </c>
      <c r="BL18" s="2">
        <v>10</v>
      </c>
      <c r="BM18" s="2">
        <v>10</v>
      </c>
      <c r="BN18" s="2">
        <v>10</v>
      </c>
      <c r="BO18" s="2">
        <v>10</v>
      </c>
      <c r="BP18" s="54">
        <f t="shared" si="5"/>
        <v>10</v>
      </c>
      <c r="BQ18" s="5"/>
      <c r="BR18" s="5"/>
      <c r="BS18" s="5">
        <v>7</v>
      </c>
      <c r="BT18" s="5">
        <v>7</v>
      </c>
      <c r="BU18" s="5">
        <v>7</v>
      </c>
      <c r="BV18" s="5">
        <v>7</v>
      </c>
      <c r="BW18" s="5">
        <v>7</v>
      </c>
      <c r="BX18" s="5">
        <v>7</v>
      </c>
      <c r="BY18" s="5">
        <v>7</v>
      </c>
      <c r="BZ18" s="5">
        <v>7</v>
      </c>
      <c r="CA18" s="5">
        <v>7</v>
      </c>
      <c r="CB18" s="5">
        <v>7</v>
      </c>
      <c r="CC18" s="2" t="e">
        <f t="shared" ca="1" si="6"/>
        <v>#NAME?</v>
      </c>
      <c r="CD18" s="55"/>
      <c r="CE18" s="2"/>
      <c r="CF18" s="56">
        <v>10</v>
      </c>
      <c r="CG18" s="56">
        <v>10</v>
      </c>
      <c r="CH18" s="58">
        <v>10</v>
      </c>
      <c r="CI18" s="58">
        <v>10</v>
      </c>
      <c r="CJ18" s="58">
        <v>10</v>
      </c>
      <c r="CK18" s="58">
        <v>10</v>
      </c>
      <c r="CL18" s="58">
        <v>10</v>
      </c>
      <c r="CM18" s="58">
        <v>10</v>
      </c>
      <c r="CN18" s="58">
        <v>10</v>
      </c>
      <c r="CO18" s="58">
        <v>10</v>
      </c>
      <c r="CP18" s="2" t="e">
        <f t="shared" ca="1" si="7"/>
        <v>#NAME?</v>
      </c>
      <c r="CQ18" s="58">
        <v>10</v>
      </c>
      <c r="CR18" s="58">
        <v>10</v>
      </c>
      <c r="CS18" s="58">
        <v>10</v>
      </c>
      <c r="CT18" s="58">
        <v>10</v>
      </c>
      <c r="CU18" s="58">
        <v>10</v>
      </c>
      <c r="CV18" s="54">
        <f t="shared" si="8"/>
        <v>10</v>
      </c>
      <c r="CW18" s="55"/>
      <c r="CX18" s="3"/>
    </row>
    <row r="19" spans="1:102" ht="15.75" customHeight="1" x14ac:dyDescent="0.55000000000000004">
      <c r="A19" s="17">
        <v>1</v>
      </c>
      <c r="B19" s="17" t="s">
        <v>3</v>
      </c>
      <c r="C19" s="23" t="s">
        <v>77</v>
      </c>
      <c r="D19" s="20" t="s">
        <v>78</v>
      </c>
      <c r="E19" s="48"/>
      <c r="F19" s="2"/>
      <c r="G19" s="2">
        <v>10</v>
      </c>
      <c r="H19" s="2">
        <v>10</v>
      </c>
      <c r="I19" s="2">
        <v>10</v>
      </c>
      <c r="J19" s="2">
        <v>10</v>
      </c>
      <c r="K19" s="2">
        <v>10</v>
      </c>
      <c r="L19" s="2">
        <v>10</v>
      </c>
      <c r="M19" s="2">
        <v>10</v>
      </c>
      <c r="N19" s="2">
        <v>9</v>
      </c>
      <c r="O19" s="2">
        <v>9</v>
      </c>
      <c r="P19" s="2">
        <v>9</v>
      </c>
      <c r="Q19" s="2" t="e">
        <f t="shared" ca="1" si="0"/>
        <v>#NAME?</v>
      </c>
      <c r="R19" s="2">
        <v>10</v>
      </c>
      <c r="S19" s="2">
        <v>10</v>
      </c>
      <c r="T19" s="2">
        <v>10</v>
      </c>
      <c r="U19" s="2">
        <v>10</v>
      </c>
      <c r="V19" s="2">
        <v>10</v>
      </c>
      <c r="W19" s="54">
        <f t="shared" si="1"/>
        <v>10</v>
      </c>
      <c r="X19" s="48"/>
      <c r="Y19" s="2"/>
      <c r="Z19" s="2"/>
      <c r="AA19" s="2">
        <v>10</v>
      </c>
      <c r="AB19" s="2">
        <v>10</v>
      </c>
      <c r="AC19" s="2">
        <v>10</v>
      </c>
      <c r="AD19" s="2">
        <v>10</v>
      </c>
      <c r="AE19" s="2">
        <v>10</v>
      </c>
      <c r="AF19" s="2">
        <v>10</v>
      </c>
      <c r="AG19" s="2">
        <v>10</v>
      </c>
      <c r="AH19" s="2">
        <v>10</v>
      </c>
      <c r="AI19" s="2">
        <v>10</v>
      </c>
      <c r="AJ19" s="2">
        <v>10</v>
      </c>
      <c r="AK19" s="3"/>
      <c r="AL19" s="3"/>
      <c r="AM19" s="3"/>
      <c r="AN19" s="3"/>
      <c r="AO19" s="3"/>
      <c r="AP19" s="3"/>
      <c r="AQ19" s="2" t="e">
        <f t="shared" ca="1" si="2"/>
        <v>#NAME?</v>
      </c>
      <c r="AR19" s="2">
        <v>10</v>
      </c>
      <c r="AS19" s="2">
        <v>10</v>
      </c>
      <c r="AT19" s="2">
        <v>10</v>
      </c>
      <c r="AU19" s="2">
        <v>10</v>
      </c>
      <c r="AV19" s="2">
        <v>10</v>
      </c>
      <c r="AW19" s="54">
        <f t="shared" si="3"/>
        <v>10</v>
      </c>
      <c r="AX19" s="48"/>
      <c r="AY19" s="2">
        <v>13</v>
      </c>
      <c r="AZ19" s="2">
        <v>10</v>
      </c>
      <c r="BA19" s="2">
        <v>10</v>
      </c>
      <c r="BB19" s="2">
        <v>10</v>
      </c>
      <c r="BC19" s="2">
        <v>10</v>
      </c>
      <c r="BD19" s="2">
        <v>10</v>
      </c>
      <c r="BE19" s="2">
        <v>10</v>
      </c>
      <c r="BF19" s="2">
        <v>10</v>
      </c>
      <c r="BG19" s="2">
        <v>10</v>
      </c>
      <c r="BH19" s="2">
        <v>10</v>
      </c>
      <c r="BI19" s="2">
        <v>10</v>
      </c>
      <c r="BJ19" s="2" t="e">
        <f t="shared" ca="1" si="4"/>
        <v>#NAME?</v>
      </c>
      <c r="BK19" s="2">
        <v>10</v>
      </c>
      <c r="BL19" s="2">
        <v>10</v>
      </c>
      <c r="BM19" s="2">
        <v>10</v>
      </c>
      <c r="BN19" s="2">
        <v>10</v>
      </c>
      <c r="BO19" s="2">
        <v>10</v>
      </c>
      <c r="BP19" s="54">
        <f t="shared" si="5"/>
        <v>10</v>
      </c>
      <c r="BQ19" s="5"/>
      <c r="BR19" s="5"/>
      <c r="BS19" s="5">
        <v>10</v>
      </c>
      <c r="BT19" s="5">
        <v>10</v>
      </c>
      <c r="BU19" s="5">
        <v>10</v>
      </c>
      <c r="BV19" s="5">
        <v>10</v>
      </c>
      <c r="BW19" s="5">
        <v>10</v>
      </c>
      <c r="BX19" s="5">
        <v>10</v>
      </c>
      <c r="BY19" s="5">
        <v>10</v>
      </c>
      <c r="BZ19" s="5">
        <v>10</v>
      </c>
      <c r="CA19" s="5">
        <v>10</v>
      </c>
      <c r="CB19" s="5">
        <v>10</v>
      </c>
      <c r="CC19" s="2" t="e">
        <f t="shared" ca="1" si="6"/>
        <v>#NAME?</v>
      </c>
      <c r="CD19" s="55"/>
      <c r="CE19" s="2"/>
      <c r="CF19" s="58">
        <v>10</v>
      </c>
      <c r="CG19" s="58">
        <v>10</v>
      </c>
      <c r="CH19" s="58">
        <v>10</v>
      </c>
      <c r="CI19" s="58">
        <v>10</v>
      </c>
      <c r="CJ19" s="58">
        <v>10</v>
      </c>
      <c r="CK19" s="58">
        <v>10</v>
      </c>
      <c r="CL19" s="58">
        <v>10</v>
      </c>
      <c r="CM19" s="58">
        <v>10</v>
      </c>
      <c r="CN19" s="58">
        <v>10</v>
      </c>
      <c r="CO19" s="58">
        <v>10</v>
      </c>
      <c r="CP19" s="2" t="e">
        <f t="shared" ca="1" si="7"/>
        <v>#NAME?</v>
      </c>
      <c r="CQ19" s="58">
        <v>10</v>
      </c>
      <c r="CR19" s="58">
        <v>10</v>
      </c>
      <c r="CS19" s="58">
        <v>10</v>
      </c>
      <c r="CT19" s="58">
        <v>10</v>
      </c>
      <c r="CU19" s="58">
        <v>10</v>
      </c>
      <c r="CV19" s="54">
        <f t="shared" si="8"/>
        <v>10</v>
      </c>
      <c r="CW19" s="55"/>
      <c r="CX19" s="3"/>
    </row>
    <row r="20" spans="1:102" ht="15.75" customHeight="1" x14ac:dyDescent="0.55000000000000004">
      <c r="A20" s="17">
        <v>1</v>
      </c>
      <c r="B20" s="17" t="s">
        <v>3</v>
      </c>
      <c r="C20" s="23" t="s">
        <v>79</v>
      </c>
      <c r="D20" s="20" t="s">
        <v>80</v>
      </c>
      <c r="E20" s="48" t="s">
        <v>81</v>
      </c>
      <c r="F20" s="2"/>
      <c r="G20" s="2">
        <v>10</v>
      </c>
      <c r="H20" s="2">
        <v>10</v>
      </c>
      <c r="I20" s="2">
        <v>10</v>
      </c>
      <c r="J20" s="2">
        <v>10</v>
      </c>
      <c r="K20" s="2">
        <v>10</v>
      </c>
      <c r="L20" s="2">
        <v>10</v>
      </c>
      <c r="M20" s="2">
        <v>10</v>
      </c>
      <c r="N20" s="2">
        <v>9</v>
      </c>
      <c r="O20" s="2">
        <v>9</v>
      </c>
      <c r="P20" s="2">
        <v>9</v>
      </c>
      <c r="Q20" s="2" t="e">
        <f t="shared" ca="1" si="0"/>
        <v>#NAME?</v>
      </c>
      <c r="R20" s="2">
        <v>10</v>
      </c>
      <c r="S20" s="2">
        <v>10</v>
      </c>
      <c r="T20" s="2">
        <v>10</v>
      </c>
      <c r="U20" s="2">
        <v>10</v>
      </c>
      <c r="V20" s="2">
        <v>10</v>
      </c>
      <c r="W20" s="54">
        <f t="shared" si="1"/>
        <v>10</v>
      </c>
      <c r="X20" s="48"/>
      <c r="Y20" s="2"/>
      <c r="Z20" s="2"/>
      <c r="AA20" s="2">
        <v>10</v>
      </c>
      <c r="AB20" s="2">
        <v>10</v>
      </c>
      <c r="AC20" s="2">
        <v>10</v>
      </c>
      <c r="AD20" s="2">
        <v>10</v>
      </c>
      <c r="AE20" s="2">
        <v>10</v>
      </c>
      <c r="AF20" s="2">
        <v>10</v>
      </c>
      <c r="AG20" s="2">
        <v>10</v>
      </c>
      <c r="AH20" s="2">
        <v>10</v>
      </c>
      <c r="AI20" s="2">
        <v>10</v>
      </c>
      <c r="AJ20" s="2">
        <v>10</v>
      </c>
      <c r="AK20" s="3"/>
      <c r="AL20" s="3"/>
      <c r="AM20" s="3"/>
      <c r="AN20" s="3"/>
      <c r="AO20" s="3"/>
      <c r="AP20" s="3"/>
      <c r="AQ20" s="2" t="e">
        <f t="shared" ca="1" si="2"/>
        <v>#NAME?</v>
      </c>
      <c r="AR20" s="2">
        <v>10</v>
      </c>
      <c r="AS20" s="2">
        <v>10</v>
      </c>
      <c r="AT20" s="2">
        <v>10</v>
      </c>
      <c r="AU20" s="2">
        <v>10</v>
      </c>
      <c r="AV20" s="2">
        <v>10</v>
      </c>
      <c r="AW20" s="54">
        <f t="shared" si="3"/>
        <v>10</v>
      </c>
      <c r="AX20" s="48"/>
      <c r="AY20" s="2">
        <v>19</v>
      </c>
      <c r="AZ20" s="2">
        <v>10</v>
      </c>
      <c r="BA20" s="2">
        <v>10</v>
      </c>
      <c r="BB20" s="2">
        <v>10</v>
      </c>
      <c r="BC20" s="2">
        <v>10</v>
      </c>
      <c r="BD20" s="2">
        <v>10</v>
      </c>
      <c r="BE20" s="2">
        <v>10</v>
      </c>
      <c r="BF20" s="2">
        <v>10</v>
      </c>
      <c r="BG20" s="2">
        <v>10</v>
      </c>
      <c r="BH20" s="2">
        <v>10</v>
      </c>
      <c r="BI20" s="2">
        <v>10</v>
      </c>
      <c r="BJ20" s="2" t="e">
        <f t="shared" ca="1" si="4"/>
        <v>#NAME?</v>
      </c>
      <c r="BK20" s="2">
        <v>10</v>
      </c>
      <c r="BL20" s="2">
        <v>10</v>
      </c>
      <c r="BM20" s="2">
        <v>10</v>
      </c>
      <c r="BN20" s="2">
        <v>10</v>
      </c>
      <c r="BO20" s="2">
        <v>10</v>
      </c>
      <c r="BP20" s="54">
        <f t="shared" si="5"/>
        <v>10</v>
      </c>
      <c r="BQ20" s="5"/>
      <c r="BR20" s="5"/>
      <c r="BS20" s="5">
        <v>10</v>
      </c>
      <c r="BT20" s="5">
        <v>10</v>
      </c>
      <c r="BU20" s="5">
        <v>10</v>
      </c>
      <c r="BV20" s="5">
        <v>10</v>
      </c>
      <c r="BW20" s="5">
        <v>10</v>
      </c>
      <c r="BX20" s="5">
        <v>10</v>
      </c>
      <c r="BY20" s="5">
        <v>10</v>
      </c>
      <c r="BZ20" s="5">
        <v>10</v>
      </c>
      <c r="CA20" s="5">
        <v>10</v>
      </c>
      <c r="CB20" s="5">
        <v>10</v>
      </c>
      <c r="CC20" s="2" t="e">
        <f t="shared" ca="1" si="6"/>
        <v>#NAME?</v>
      </c>
      <c r="CD20" s="55"/>
      <c r="CE20" s="2"/>
      <c r="CF20" s="56">
        <v>10</v>
      </c>
      <c r="CG20" s="56">
        <v>10</v>
      </c>
      <c r="CH20" s="56">
        <v>10</v>
      </c>
      <c r="CI20" s="56">
        <v>10</v>
      </c>
      <c r="CJ20" s="56">
        <v>10</v>
      </c>
      <c r="CK20" s="56">
        <v>10</v>
      </c>
      <c r="CL20" s="56">
        <v>10</v>
      </c>
      <c r="CM20" s="58">
        <v>10</v>
      </c>
      <c r="CN20" s="58">
        <v>10</v>
      </c>
      <c r="CO20" s="58">
        <v>10</v>
      </c>
      <c r="CP20" s="2" t="e">
        <f t="shared" ca="1" si="7"/>
        <v>#NAME?</v>
      </c>
      <c r="CQ20" s="56">
        <v>10</v>
      </c>
      <c r="CR20" s="56">
        <v>10</v>
      </c>
      <c r="CS20" s="58">
        <v>10</v>
      </c>
      <c r="CT20" s="58">
        <v>10</v>
      </c>
      <c r="CU20" s="58">
        <v>10</v>
      </c>
      <c r="CV20" s="54">
        <f t="shared" si="8"/>
        <v>10</v>
      </c>
      <c r="CW20" s="55"/>
      <c r="CX20" s="3"/>
    </row>
    <row r="21" spans="1:102" ht="15.75" customHeight="1" x14ac:dyDescent="0.55000000000000004">
      <c r="A21" s="17">
        <v>1</v>
      </c>
      <c r="B21" s="17" t="s">
        <v>3</v>
      </c>
      <c r="C21" s="23" t="s">
        <v>82</v>
      </c>
      <c r="D21" s="20" t="s">
        <v>83</v>
      </c>
      <c r="E21" s="48"/>
      <c r="F21" s="2"/>
      <c r="G21" s="2">
        <v>10</v>
      </c>
      <c r="H21" s="2">
        <v>10</v>
      </c>
      <c r="I21" s="2">
        <v>10</v>
      </c>
      <c r="J21" s="2">
        <v>10</v>
      </c>
      <c r="K21" s="2">
        <v>10</v>
      </c>
      <c r="L21" s="2">
        <v>9</v>
      </c>
      <c r="M21" s="2">
        <v>9</v>
      </c>
      <c r="N21" s="2">
        <v>9</v>
      </c>
      <c r="O21" s="2">
        <v>9</v>
      </c>
      <c r="P21" s="2">
        <v>9</v>
      </c>
      <c r="Q21" s="2" t="e">
        <f t="shared" ca="1" si="0"/>
        <v>#NAME?</v>
      </c>
      <c r="R21" s="2">
        <v>9</v>
      </c>
      <c r="S21" s="2">
        <v>9</v>
      </c>
      <c r="T21" s="2">
        <v>9</v>
      </c>
      <c r="U21" s="2">
        <v>9</v>
      </c>
      <c r="V21" s="2">
        <v>9</v>
      </c>
      <c r="W21" s="54">
        <f t="shared" si="1"/>
        <v>9</v>
      </c>
      <c r="X21" s="48"/>
      <c r="Y21" s="2"/>
      <c r="Z21" s="2"/>
      <c r="AA21" s="2">
        <v>10</v>
      </c>
      <c r="AB21" s="2">
        <v>10</v>
      </c>
      <c r="AC21" s="2">
        <v>10</v>
      </c>
      <c r="AD21" s="2">
        <v>10</v>
      </c>
      <c r="AE21" s="2">
        <v>10</v>
      </c>
      <c r="AF21" s="2">
        <v>10</v>
      </c>
      <c r="AG21" s="2">
        <v>10</v>
      </c>
      <c r="AH21" s="2">
        <v>10</v>
      </c>
      <c r="AI21" s="2">
        <v>10</v>
      </c>
      <c r="AJ21" s="2">
        <v>10</v>
      </c>
      <c r="AK21" s="3"/>
      <c r="AL21" s="3"/>
      <c r="AM21" s="3"/>
      <c r="AN21" s="3"/>
      <c r="AO21" s="3"/>
      <c r="AP21" s="3"/>
      <c r="AQ21" s="2" t="e">
        <f t="shared" ca="1" si="2"/>
        <v>#NAME?</v>
      </c>
      <c r="AR21" s="2">
        <v>10</v>
      </c>
      <c r="AS21" s="2">
        <v>10</v>
      </c>
      <c r="AT21" s="2">
        <v>10</v>
      </c>
      <c r="AU21" s="2">
        <v>10</v>
      </c>
      <c r="AV21" s="2">
        <v>10</v>
      </c>
      <c r="AW21" s="54">
        <f t="shared" si="3"/>
        <v>10</v>
      </c>
      <c r="AX21" s="48"/>
      <c r="AY21" s="2" t="s">
        <v>31</v>
      </c>
      <c r="AZ21" s="2">
        <v>10</v>
      </c>
      <c r="BA21" s="2">
        <v>10</v>
      </c>
      <c r="BB21" s="2">
        <v>10</v>
      </c>
      <c r="BC21" s="2">
        <v>10</v>
      </c>
      <c r="BD21" s="2">
        <v>10</v>
      </c>
      <c r="BE21" s="2">
        <v>10</v>
      </c>
      <c r="BF21" s="2">
        <v>10</v>
      </c>
      <c r="BG21" s="2">
        <v>10</v>
      </c>
      <c r="BH21" s="2">
        <v>10</v>
      </c>
      <c r="BI21" s="2">
        <v>10</v>
      </c>
      <c r="BJ21" s="2" t="e">
        <f t="shared" ca="1" si="4"/>
        <v>#NAME?</v>
      </c>
      <c r="BK21" s="2">
        <v>10</v>
      </c>
      <c r="BL21" s="2">
        <v>10</v>
      </c>
      <c r="BM21" s="2">
        <v>10</v>
      </c>
      <c r="BN21" s="2">
        <v>10</v>
      </c>
      <c r="BO21" s="2">
        <v>10</v>
      </c>
      <c r="BP21" s="54">
        <f t="shared" si="5"/>
        <v>10</v>
      </c>
      <c r="BQ21" s="5"/>
      <c r="BR21" s="5"/>
      <c r="BS21" s="5">
        <v>10</v>
      </c>
      <c r="BT21" s="5">
        <v>10</v>
      </c>
      <c r="BU21" s="5">
        <v>10</v>
      </c>
      <c r="BV21" s="5">
        <v>10</v>
      </c>
      <c r="BW21" s="5">
        <v>10</v>
      </c>
      <c r="BX21" s="5">
        <v>10</v>
      </c>
      <c r="BY21" s="5">
        <v>10</v>
      </c>
      <c r="BZ21" s="5">
        <v>10</v>
      </c>
      <c r="CA21" s="5">
        <v>10</v>
      </c>
      <c r="CB21" s="5">
        <v>10</v>
      </c>
      <c r="CC21" s="2" t="e">
        <f t="shared" ca="1" si="6"/>
        <v>#NAME?</v>
      </c>
      <c r="CD21" s="55"/>
      <c r="CE21" s="2"/>
      <c r="CF21" s="58">
        <v>9</v>
      </c>
      <c r="CG21" s="58">
        <v>10</v>
      </c>
      <c r="CH21" s="58">
        <v>10</v>
      </c>
      <c r="CI21" s="58">
        <v>10</v>
      </c>
      <c r="CJ21" s="58">
        <v>10</v>
      </c>
      <c r="CK21" s="58">
        <v>10</v>
      </c>
      <c r="CL21" s="58">
        <v>10</v>
      </c>
      <c r="CM21" s="58">
        <v>10</v>
      </c>
      <c r="CN21" s="58">
        <v>10</v>
      </c>
      <c r="CO21" s="58">
        <v>10</v>
      </c>
      <c r="CP21" s="2" t="e">
        <f t="shared" ca="1" si="7"/>
        <v>#NAME?</v>
      </c>
      <c r="CQ21" s="58">
        <v>10</v>
      </c>
      <c r="CR21" s="58">
        <v>10</v>
      </c>
      <c r="CS21" s="58">
        <v>10</v>
      </c>
      <c r="CT21" s="58">
        <v>10</v>
      </c>
      <c r="CU21" s="58">
        <v>10</v>
      </c>
      <c r="CV21" s="54">
        <f t="shared" si="8"/>
        <v>10</v>
      </c>
      <c r="CW21" s="55"/>
      <c r="CX21" s="3"/>
    </row>
    <row r="22" spans="1:102" ht="15.75" customHeight="1" x14ac:dyDescent="0.55000000000000004">
      <c r="A22" s="17">
        <v>1</v>
      </c>
      <c r="B22" s="17" t="s">
        <v>3</v>
      </c>
      <c r="C22" s="23" t="s">
        <v>84</v>
      </c>
      <c r="D22" s="20" t="s">
        <v>85</v>
      </c>
      <c r="E22" s="48"/>
      <c r="F22" s="2"/>
      <c r="G22" s="2">
        <v>10</v>
      </c>
      <c r="H22" s="2">
        <v>10</v>
      </c>
      <c r="I22" s="2">
        <v>10</v>
      </c>
      <c r="J22" s="2">
        <v>10</v>
      </c>
      <c r="K22" s="2">
        <v>10</v>
      </c>
      <c r="L22" s="2">
        <v>10</v>
      </c>
      <c r="M22" s="2">
        <v>10</v>
      </c>
      <c r="N22" s="2">
        <v>10</v>
      </c>
      <c r="O22" s="2">
        <v>10</v>
      </c>
      <c r="P22" s="2">
        <v>10</v>
      </c>
      <c r="Q22" s="2" t="e">
        <f t="shared" ca="1" si="0"/>
        <v>#NAME?</v>
      </c>
      <c r="R22" s="2">
        <v>10</v>
      </c>
      <c r="S22" s="2">
        <v>10</v>
      </c>
      <c r="T22" s="2">
        <v>10</v>
      </c>
      <c r="U22" s="2">
        <v>10</v>
      </c>
      <c r="V22" s="2">
        <v>10</v>
      </c>
      <c r="W22" s="54">
        <f t="shared" si="1"/>
        <v>10</v>
      </c>
      <c r="X22" s="48"/>
      <c r="Y22" s="2"/>
      <c r="Z22" s="2"/>
      <c r="AA22" s="2">
        <v>10</v>
      </c>
      <c r="AB22" s="2">
        <v>10</v>
      </c>
      <c r="AC22" s="2">
        <v>10</v>
      </c>
      <c r="AD22" s="2">
        <v>10</v>
      </c>
      <c r="AE22" s="2">
        <v>10</v>
      </c>
      <c r="AF22" s="2">
        <v>10</v>
      </c>
      <c r="AG22" s="2">
        <v>10</v>
      </c>
      <c r="AH22" s="2">
        <v>10</v>
      </c>
      <c r="AI22" s="2">
        <v>10</v>
      </c>
      <c r="AJ22" s="2">
        <v>10</v>
      </c>
      <c r="AK22" s="3"/>
      <c r="AL22" s="3"/>
      <c r="AM22" s="3"/>
      <c r="AN22" s="3"/>
      <c r="AO22" s="3"/>
      <c r="AP22" s="3"/>
      <c r="AQ22" s="2" t="e">
        <f t="shared" ca="1" si="2"/>
        <v>#NAME?</v>
      </c>
      <c r="AR22" s="2">
        <v>10</v>
      </c>
      <c r="AS22" s="2">
        <v>10</v>
      </c>
      <c r="AT22" s="2">
        <v>10</v>
      </c>
      <c r="AU22" s="2">
        <v>10</v>
      </c>
      <c r="AV22" s="2">
        <v>10</v>
      </c>
      <c r="AW22" s="54">
        <f t="shared" si="3"/>
        <v>10</v>
      </c>
      <c r="AX22" s="48"/>
      <c r="AY22" s="2">
        <v>16</v>
      </c>
      <c r="AZ22" s="2">
        <v>10</v>
      </c>
      <c r="BA22" s="2">
        <v>10</v>
      </c>
      <c r="BB22" s="2">
        <v>10</v>
      </c>
      <c r="BC22" s="2">
        <v>10</v>
      </c>
      <c r="BD22" s="2">
        <v>10</v>
      </c>
      <c r="BE22" s="2">
        <v>10</v>
      </c>
      <c r="BF22" s="2">
        <v>10</v>
      </c>
      <c r="BG22" s="2">
        <v>10</v>
      </c>
      <c r="BH22" s="2">
        <v>10</v>
      </c>
      <c r="BI22" s="2">
        <v>10</v>
      </c>
      <c r="BJ22" s="2" t="e">
        <f t="shared" ca="1" si="4"/>
        <v>#NAME?</v>
      </c>
      <c r="BK22" s="2">
        <v>10</v>
      </c>
      <c r="BL22" s="2">
        <v>10</v>
      </c>
      <c r="BM22" s="2">
        <v>10</v>
      </c>
      <c r="BN22" s="2">
        <v>10</v>
      </c>
      <c r="BO22" s="2">
        <v>10</v>
      </c>
      <c r="BP22" s="54">
        <f t="shared" si="5"/>
        <v>10</v>
      </c>
      <c r="BQ22" s="5"/>
      <c r="BR22" s="5"/>
      <c r="BS22" s="5">
        <v>10</v>
      </c>
      <c r="BT22" s="5">
        <v>10</v>
      </c>
      <c r="BU22" s="5">
        <v>10</v>
      </c>
      <c r="BV22" s="5">
        <v>10</v>
      </c>
      <c r="BW22" s="5">
        <v>10</v>
      </c>
      <c r="BX22" s="5">
        <v>10</v>
      </c>
      <c r="BY22" s="5">
        <v>10</v>
      </c>
      <c r="BZ22" s="5">
        <v>10</v>
      </c>
      <c r="CA22" s="5">
        <v>10</v>
      </c>
      <c r="CB22" s="5">
        <v>10</v>
      </c>
      <c r="CC22" s="2" t="e">
        <f t="shared" ca="1" si="6"/>
        <v>#NAME?</v>
      </c>
      <c r="CD22" s="55"/>
      <c r="CE22" s="2"/>
      <c r="CF22" s="56">
        <v>10</v>
      </c>
      <c r="CG22" s="56">
        <v>10</v>
      </c>
      <c r="CH22" s="56">
        <v>10</v>
      </c>
      <c r="CI22" s="56">
        <v>10</v>
      </c>
      <c r="CJ22" s="56">
        <v>10</v>
      </c>
      <c r="CK22" s="56">
        <v>10</v>
      </c>
      <c r="CL22" s="56">
        <v>10</v>
      </c>
      <c r="CM22" s="56">
        <v>10</v>
      </c>
      <c r="CN22" s="56">
        <v>10</v>
      </c>
      <c r="CO22" s="56">
        <v>10</v>
      </c>
      <c r="CP22" s="2" t="e">
        <f t="shared" ca="1" si="7"/>
        <v>#NAME?</v>
      </c>
      <c r="CQ22" s="56">
        <v>10</v>
      </c>
      <c r="CR22" s="56">
        <v>10</v>
      </c>
      <c r="CS22" s="58">
        <v>10</v>
      </c>
      <c r="CT22" s="58">
        <v>10</v>
      </c>
      <c r="CU22" s="58">
        <v>10</v>
      </c>
      <c r="CV22" s="54">
        <f t="shared" si="8"/>
        <v>10</v>
      </c>
      <c r="CW22" s="55"/>
      <c r="CX22" s="3"/>
    </row>
    <row r="23" spans="1:102" ht="15.75" customHeight="1" x14ac:dyDescent="0.55000000000000004">
      <c r="A23" s="17">
        <v>1</v>
      </c>
      <c r="B23" s="17" t="s">
        <v>3</v>
      </c>
      <c r="C23" s="23" t="s">
        <v>86</v>
      </c>
      <c r="D23" s="20" t="s">
        <v>87</v>
      </c>
      <c r="E23" s="48"/>
      <c r="F23" s="48"/>
      <c r="G23" s="2">
        <v>10</v>
      </c>
      <c r="H23" s="2">
        <v>10</v>
      </c>
      <c r="I23" s="2">
        <v>10</v>
      </c>
      <c r="J23" s="2">
        <v>10</v>
      </c>
      <c r="K23" s="2">
        <v>10</v>
      </c>
      <c r="L23" s="2">
        <v>10</v>
      </c>
      <c r="M23" s="2">
        <v>10</v>
      </c>
      <c r="N23" s="2">
        <v>9</v>
      </c>
      <c r="O23" s="2">
        <v>9</v>
      </c>
      <c r="P23" s="2">
        <v>9</v>
      </c>
      <c r="Q23" s="2" t="e">
        <f t="shared" ca="1" si="0"/>
        <v>#NAME?</v>
      </c>
      <c r="R23" s="2">
        <v>10</v>
      </c>
      <c r="S23" s="2">
        <v>10</v>
      </c>
      <c r="T23" s="2">
        <v>10</v>
      </c>
      <c r="U23" s="2">
        <v>10</v>
      </c>
      <c r="V23" s="2">
        <v>10</v>
      </c>
      <c r="W23" s="54">
        <f t="shared" si="1"/>
        <v>10</v>
      </c>
      <c r="X23" s="48"/>
      <c r="Y23" s="2"/>
      <c r="Z23" s="2"/>
      <c r="AA23" s="2">
        <v>6</v>
      </c>
      <c r="AB23" s="2">
        <v>6</v>
      </c>
      <c r="AC23" s="2">
        <v>6</v>
      </c>
      <c r="AD23" s="2">
        <v>6</v>
      </c>
      <c r="AE23" s="2">
        <v>6</v>
      </c>
      <c r="AF23" s="2">
        <v>6</v>
      </c>
      <c r="AG23" s="2">
        <v>6</v>
      </c>
      <c r="AH23" s="2">
        <v>6</v>
      </c>
      <c r="AI23" s="2">
        <v>6</v>
      </c>
      <c r="AJ23" s="2">
        <v>6</v>
      </c>
      <c r="AK23" s="3"/>
      <c r="AL23" s="3"/>
      <c r="AM23" s="3"/>
      <c r="AN23" s="3"/>
      <c r="AO23" s="3"/>
      <c r="AP23" s="3"/>
      <c r="AQ23" s="2" t="e">
        <f t="shared" ca="1" si="2"/>
        <v>#NAME?</v>
      </c>
      <c r="AR23" s="2">
        <v>10</v>
      </c>
      <c r="AS23" s="2">
        <v>10</v>
      </c>
      <c r="AT23" s="2">
        <v>6</v>
      </c>
      <c r="AU23" s="2">
        <v>6</v>
      </c>
      <c r="AV23" s="2">
        <v>6</v>
      </c>
      <c r="AW23" s="54">
        <f t="shared" si="3"/>
        <v>8</v>
      </c>
      <c r="AX23" s="48"/>
      <c r="AY23" s="2">
        <v>6</v>
      </c>
      <c r="AZ23" s="2">
        <v>6</v>
      </c>
      <c r="BA23" s="2">
        <v>6</v>
      </c>
      <c r="BB23" s="2">
        <v>6</v>
      </c>
      <c r="BC23" s="2">
        <v>6</v>
      </c>
      <c r="BD23" s="2">
        <v>6</v>
      </c>
      <c r="BE23" s="2">
        <v>6</v>
      </c>
      <c r="BF23" s="2">
        <v>6</v>
      </c>
      <c r="BG23" s="2">
        <v>6</v>
      </c>
      <c r="BH23" s="2">
        <v>6</v>
      </c>
      <c r="BI23" s="57">
        <v>6</v>
      </c>
      <c r="BJ23" s="2" t="e">
        <f t="shared" ca="1" si="4"/>
        <v>#NAME?</v>
      </c>
      <c r="BK23" s="5">
        <v>6</v>
      </c>
      <c r="BL23" s="5">
        <v>6</v>
      </c>
      <c r="BM23" s="5">
        <v>6</v>
      </c>
      <c r="BN23" s="5">
        <v>6</v>
      </c>
      <c r="BO23" s="5">
        <v>6</v>
      </c>
      <c r="BP23" s="54">
        <f t="shared" si="5"/>
        <v>6</v>
      </c>
      <c r="BQ23" s="5"/>
      <c r="BR23" s="5"/>
      <c r="BS23" s="5">
        <v>10</v>
      </c>
      <c r="BT23" s="5">
        <v>10</v>
      </c>
      <c r="BU23" s="5">
        <v>6</v>
      </c>
      <c r="BV23" s="5">
        <v>6</v>
      </c>
      <c r="BW23" s="5">
        <v>6</v>
      </c>
      <c r="BX23" s="5">
        <v>6</v>
      </c>
      <c r="BY23" s="5">
        <v>6</v>
      </c>
      <c r="BZ23" s="5">
        <v>6</v>
      </c>
      <c r="CA23" s="5">
        <v>6</v>
      </c>
      <c r="CB23" s="5">
        <v>6</v>
      </c>
      <c r="CC23" s="2" t="e">
        <f t="shared" ca="1" si="6"/>
        <v>#NAME?</v>
      </c>
      <c r="CD23" s="55"/>
      <c r="CE23" s="2"/>
      <c r="CF23" s="58">
        <v>8</v>
      </c>
      <c r="CG23" s="58">
        <v>10</v>
      </c>
      <c r="CH23" s="58">
        <v>10</v>
      </c>
      <c r="CI23" s="58">
        <v>10</v>
      </c>
      <c r="CJ23" s="58">
        <v>10</v>
      </c>
      <c r="CK23" s="58">
        <v>9</v>
      </c>
      <c r="CL23" s="58">
        <v>9</v>
      </c>
      <c r="CM23" s="58">
        <v>9</v>
      </c>
      <c r="CN23" s="58">
        <v>9</v>
      </c>
      <c r="CO23" s="58">
        <v>9</v>
      </c>
      <c r="CP23" s="2" t="e">
        <f t="shared" ca="1" si="7"/>
        <v>#NAME?</v>
      </c>
      <c r="CQ23" s="59">
        <v>9</v>
      </c>
      <c r="CR23" s="59">
        <v>9</v>
      </c>
      <c r="CS23" s="59">
        <v>9</v>
      </c>
      <c r="CT23" s="59">
        <v>9</v>
      </c>
      <c r="CU23" s="59">
        <v>9</v>
      </c>
      <c r="CV23" s="54">
        <f t="shared" si="8"/>
        <v>9</v>
      </c>
      <c r="CW23" s="55"/>
      <c r="CX23" s="3"/>
    </row>
    <row r="24" spans="1:102" ht="16.5" x14ac:dyDescent="0.55000000000000004">
      <c r="A24" s="17">
        <v>1</v>
      </c>
      <c r="B24" s="17" t="s">
        <v>3</v>
      </c>
      <c r="C24" s="23" t="s">
        <v>88</v>
      </c>
      <c r="D24" s="20" t="s">
        <v>89</v>
      </c>
      <c r="E24" s="48"/>
      <c r="F24" s="2"/>
      <c r="G24" s="2">
        <v>10</v>
      </c>
      <c r="H24" s="2">
        <v>10</v>
      </c>
      <c r="I24" s="2">
        <v>10</v>
      </c>
      <c r="J24" s="2">
        <v>10</v>
      </c>
      <c r="K24" s="2">
        <v>10</v>
      </c>
      <c r="L24" s="2">
        <v>10</v>
      </c>
      <c r="M24" s="2">
        <v>10</v>
      </c>
      <c r="N24" s="2">
        <v>9</v>
      </c>
      <c r="O24" s="2">
        <v>9</v>
      </c>
      <c r="P24" s="2">
        <v>9</v>
      </c>
      <c r="Q24" s="2" t="e">
        <f t="shared" ca="1" si="0"/>
        <v>#NAME?</v>
      </c>
      <c r="R24" s="2">
        <v>10</v>
      </c>
      <c r="S24" s="2">
        <v>10</v>
      </c>
      <c r="T24" s="2">
        <v>10</v>
      </c>
      <c r="U24" s="2">
        <v>10</v>
      </c>
      <c r="V24" s="2">
        <v>10</v>
      </c>
      <c r="W24" s="54">
        <f t="shared" si="1"/>
        <v>10</v>
      </c>
      <c r="X24" s="48"/>
      <c r="Y24" s="2"/>
      <c r="Z24" s="2"/>
      <c r="AA24" s="2">
        <v>10</v>
      </c>
      <c r="AB24" s="2">
        <v>10</v>
      </c>
      <c r="AC24" s="2">
        <v>10</v>
      </c>
      <c r="AD24" s="2">
        <v>10</v>
      </c>
      <c r="AE24" s="2">
        <v>10</v>
      </c>
      <c r="AF24" s="2">
        <v>10</v>
      </c>
      <c r="AG24" s="2">
        <v>10</v>
      </c>
      <c r="AH24" s="2">
        <v>10</v>
      </c>
      <c r="AI24" s="2">
        <v>10</v>
      </c>
      <c r="AJ24" s="2">
        <v>10</v>
      </c>
      <c r="AK24" s="3"/>
      <c r="AL24" s="3"/>
      <c r="AM24" s="3"/>
      <c r="AN24" s="3"/>
      <c r="AO24" s="3"/>
      <c r="AP24" s="3"/>
      <c r="AQ24" s="2" t="e">
        <f t="shared" ca="1" si="2"/>
        <v>#NAME?</v>
      </c>
      <c r="AR24" s="2">
        <v>7</v>
      </c>
      <c r="AS24" s="2">
        <v>7</v>
      </c>
      <c r="AT24" s="2">
        <v>7</v>
      </c>
      <c r="AU24" s="2">
        <v>7</v>
      </c>
      <c r="AV24" s="2">
        <v>7</v>
      </c>
      <c r="AW24" s="54">
        <f t="shared" si="3"/>
        <v>7</v>
      </c>
      <c r="AX24" s="48"/>
      <c r="AY24" s="2">
        <v>6</v>
      </c>
      <c r="AZ24" s="5">
        <v>10</v>
      </c>
      <c r="BA24" s="5">
        <v>10</v>
      </c>
      <c r="BB24" s="5">
        <v>10</v>
      </c>
      <c r="BC24" s="5">
        <v>10</v>
      </c>
      <c r="BD24" s="5">
        <v>10</v>
      </c>
      <c r="BE24" s="5">
        <v>10</v>
      </c>
      <c r="BF24" s="5">
        <v>10</v>
      </c>
      <c r="BG24" s="5">
        <v>10</v>
      </c>
      <c r="BH24" s="5">
        <v>10</v>
      </c>
      <c r="BI24" s="5">
        <v>10</v>
      </c>
      <c r="BJ24" s="2" t="e">
        <f t="shared" ca="1" si="4"/>
        <v>#NAME?</v>
      </c>
      <c r="BK24" s="5">
        <v>10</v>
      </c>
      <c r="BL24" s="5">
        <v>10</v>
      </c>
      <c r="BM24" s="5">
        <v>10</v>
      </c>
      <c r="BN24" s="5">
        <v>10</v>
      </c>
      <c r="BO24" s="5">
        <v>10</v>
      </c>
      <c r="BP24" s="54">
        <f t="shared" si="5"/>
        <v>10</v>
      </c>
      <c r="BQ24" s="5"/>
      <c r="BR24" s="5"/>
      <c r="BS24" s="5">
        <v>10</v>
      </c>
      <c r="BT24" s="5">
        <v>10</v>
      </c>
      <c r="BU24" s="5">
        <v>10</v>
      </c>
      <c r="BV24" s="5">
        <v>10</v>
      </c>
      <c r="BW24" s="5">
        <v>7</v>
      </c>
      <c r="BX24" s="5">
        <v>7</v>
      </c>
      <c r="BY24" s="5">
        <v>7</v>
      </c>
      <c r="BZ24" s="5">
        <v>7</v>
      </c>
      <c r="CA24" s="5">
        <v>7</v>
      </c>
      <c r="CB24" s="5">
        <v>7</v>
      </c>
      <c r="CC24" s="2" t="e">
        <f t="shared" ca="1" si="6"/>
        <v>#NAME?</v>
      </c>
      <c r="CD24" s="55"/>
      <c r="CE24" s="2"/>
      <c r="CF24" s="56">
        <v>8</v>
      </c>
      <c r="CG24" s="56">
        <v>10</v>
      </c>
      <c r="CH24" s="58">
        <v>10</v>
      </c>
      <c r="CI24" s="58">
        <v>10</v>
      </c>
      <c r="CJ24" s="58">
        <v>10</v>
      </c>
      <c r="CK24" s="58">
        <v>10</v>
      </c>
      <c r="CL24" s="58">
        <v>10</v>
      </c>
      <c r="CM24" s="58">
        <v>10</v>
      </c>
      <c r="CN24" s="58">
        <v>10</v>
      </c>
      <c r="CO24" s="58">
        <v>10</v>
      </c>
      <c r="CP24" s="2" t="e">
        <f t="shared" ca="1" si="7"/>
        <v>#NAME?</v>
      </c>
      <c r="CQ24" s="58">
        <v>10</v>
      </c>
      <c r="CR24" s="58">
        <v>10</v>
      </c>
      <c r="CS24" s="58">
        <v>10</v>
      </c>
      <c r="CT24" s="58">
        <v>10</v>
      </c>
      <c r="CU24" s="58">
        <v>10</v>
      </c>
      <c r="CV24" s="54">
        <f t="shared" si="8"/>
        <v>10</v>
      </c>
      <c r="CW24" s="55"/>
      <c r="CX24" s="3"/>
    </row>
    <row r="25" spans="1:102" ht="16.5" x14ac:dyDescent="0.55000000000000004">
      <c r="A25" s="17">
        <v>1</v>
      </c>
      <c r="B25" s="17" t="s">
        <v>3</v>
      </c>
      <c r="C25" s="23" t="s">
        <v>90</v>
      </c>
      <c r="D25" s="20" t="s">
        <v>91</v>
      </c>
      <c r="E25" s="48"/>
      <c r="F25" s="2"/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v>9</v>
      </c>
      <c r="O25" s="2">
        <v>9</v>
      </c>
      <c r="P25" s="2">
        <v>9</v>
      </c>
      <c r="Q25" s="2" t="e">
        <f t="shared" ca="1" si="0"/>
        <v>#NAME?</v>
      </c>
      <c r="R25" s="2">
        <v>10</v>
      </c>
      <c r="S25" s="2">
        <v>10</v>
      </c>
      <c r="T25" s="2">
        <v>10</v>
      </c>
      <c r="U25" s="2">
        <v>10</v>
      </c>
      <c r="V25" s="2">
        <v>10</v>
      </c>
      <c r="W25" s="54">
        <f t="shared" si="1"/>
        <v>10</v>
      </c>
      <c r="X25" s="48"/>
      <c r="Y25" s="2"/>
      <c r="Z25" s="2"/>
      <c r="AA25" s="2">
        <v>10</v>
      </c>
      <c r="AB25" s="2">
        <v>10</v>
      </c>
      <c r="AC25" s="2">
        <v>10</v>
      </c>
      <c r="AD25" s="2">
        <v>10</v>
      </c>
      <c r="AE25" s="2">
        <v>10</v>
      </c>
      <c r="AF25" s="2">
        <v>10</v>
      </c>
      <c r="AG25" s="2">
        <v>10</v>
      </c>
      <c r="AH25" s="2">
        <v>10</v>
      </c>
      <c r="AI25" s="2">
        <v>10</v>
      </c>
      <c r="AJ25" s="2">
        <v>10</v>
      </c>
      <c r="AK25" s="3"/>
      <c r="AL25" s="3"/>
      <c r="AM25" s="3"/>
      <c r="AN25" s="3"/>
      <c r="AO25" s="3"/>
      <c r="AP25" s="3"/>
      <c r="AQ25" s="2" t="e">
        <f t="shared" ca="1" si="2"/>
        <v>#NAME?</v>
      </c>
      <c r="AR25" s="2">
        <v>8</v>
      </c>
      <c r="AS25" s="2">
        <v>8</v>
      </c>
      <c r="AT25" s="2">
        <v>8</v>
      </c>
      <c r="AU25" s="2">
        <v>8</v>
      </c>
      <c r="AV25" s="2">
        <v>8</v>
      </c>
      <c r="AW25" s="54">
        <f t="shared" si="3"/>
        <v>8</v>
      </c>
      <c r="AX25" s="48"/>
      <c r="AY25" s="2" t="s">
        <v>31</v>
      </c>
      <c r="AZ25" s="5">
        <v>10</v>
      </c>
      <c r="BA25" s="5">
        <v>10</v>
      </c>
      <c r="BB25" s="5">
        <v>10</v>
      </c>
      <c r="BC25" s="5">
        <v>10</v>
      </c>
      <c r="BD25" s="5">
        <v>10</v>
      </c>
      <c r="BE25" s="5">
        <v>10</v>
      </c>
      <c r="BF25" s="5">
        <v>10</v>
      </c>
      <c r="BG25" s="5">
        <v>10</v>
      </c>
      <c r="BH25" s="5">
        <v>10</v>
      </c>
      <c r="BI25" s="5">
        <v>10</v>
      </c>
      <c r="BJ25" s="2" t="e">
        <f t="shared" ca="1" si="4"/>
        <v>#NAME?</v>
      </c>
      <c r="BK25" s="5">
        <v>10</v>
      </c>
      <c r="BL25" s="5">
        <v>10</v>
      </c>
      <c r="BM25" s="5">
        <v>10</v>
      </c>
      <c r="BN25" s="5">
        <v>10</v>
      </c>
      <c r="BO25" s="5">
        <v>10</v>
      </c>
      <c r="BP25" s="54">
        <f t="shared" si="5"/>
        <v>10</v>
      </c>
      <c r="BQ25" s="5"/>
      <c r="BR25" s="5"/>
      <c r="BS25" s="5">
        <v>10</v>
      </c>
      <c r="BT25" s="5">
        <v>10</v>
      </c>
      <c r="BU25" s="5">
        <v>10</v>
      </c>
      <c r="BV25" s="5">
        <v>10</v>
      </c>
      <c r="BW25" s="5">
        <v>10</v>
      </c>
      <c r="BX25" s="5">
        <v>10</v>
      </c>
      <c r="BY25" s="5">
        <v>10</v>
      </c>
      <c r="BZ25" s="5">
        <v>10</v>
      </c>
      <c r="CA25" s="5">
        <v>10</v>
      </c>
      <c r="CB25" s="5">
        <v>10</v>
      </c>
      <c r="CC25" s="2" t="e">
        <f t="shared" ca="1" si="6"/>
        <v>#NAME?</v>
      </c>
      <c r="CD25" s="55"/>
      <c r="CE25" s="2"/>
      <c r="CF25" s="58">
        <v>8</v>
      </c>
      <c r="CG25" s="58">
        <v>10</v>
      </c>
      <c r="CH25" s="58">
        <v>10</v>
      </c>
      <c r="CI25" s="58">
        <v>10</v>
      </c>
      <c r="CJ25" s="58">
        <v>10</v>
      </c>
      <c r="CK25" s="58">
        <v>10</v>
      </c>
      <c r="CL25" s="58">
        <v>10</v>
      </c>
      <c r="CM25" s="58">
        <v>10</v>
      </c>
      <c r="CN25" s="58">
        <v>10</v>
      </c>
      <c r="CO25" s="58">
        <v>10</v>
      </c>
      <c r="CP25" s="2" t="e">
        <f t="shared" ca="1" si="7"/>
        <v>#NAME?</v>
      </c>
      <c r="CQ25" s="58">
        <v>10</v>
      </c>
      <c r="CR25" s="58">
        <v>10</v>
      </c>
      <c r="CS25" s="58">
        <v>10</v>
      </c>
      <c r="CT25" s="58">
        <v>10</v>
      </c>
      <c r="CU25" s="58">
        <v>10</v>
      </c>
      <c r="CV25" s="54">
        <f t="shared" si="8"/>
        <v>10</v>
      </c>
      <c r="CW25" s="55"/>
      <c r="CX25" s="3"/>
    </row>
    <row r="26" spans="1:102" ht="16.5" x14ac:dyDescent="0.55000000000000004">
      <c r="A26" s="17">
        <v>1</v>
      </c>
      <c r="B26" s="17" t="s">
        <v>3</v>
      </c>
      <c r="C26" s="23" t="s">
        <v>92</v>
      </c>
      <c r="D26" s="20" t="s">
        <v>93</v>
      </c>
      <c r="E26" s="48"/>
      <c r="F26" s="2"/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v>9</v>
      </c>
      <c r="O26" s="2">
        <v>9</v>
      </c>
      <c r="P26" s="2">
        <v>9</v>
      </c>
      <c r="Q26" s="2" t="e">
        <f t="shared" ca="1" si="0"/>
        <v>#NAME?</v>
      </c>
      <c r="R26" s="2">
        <v>10</v>
      </c>
      <c r="S26" s="2">
        <v>10</v>
      </c>
      <c r="T26" s="2">
        <v>10</v>
      </c>
      <c r="U26" s="2">
        <v>10</v>
      </c>
      <c r="V26" s="2">
        <v>10</v>
      </c>
      <c r="W26" s="54">
        <f t="shared" si="1"/>
        <v>10</v>
      </c>
      <c r="X26" s="48"/>
      <c r="Y26" s="2"/>
      <c r="Z26" s="2"/>
      <c r="AA26" s="2">
        <v>10</v>
      </c>
      <c r="AB26" s="2">
        <v>10</v>
      </c>
      <c r="AC26" s="2">
        <v>10</v>
      </c>
      <c r="AD26" s="2">
        <v>10</v>
      </c>
      <c r="AE26" s="2">
        <v>10</v>
      </c>
      <c r="AF26" s="2">
        <v>10</v>
      </c>
      <c r="AG26" s="2">
        <v>10</v>
      </c>
      <c r="AH26" s="2">
        <v>10</v>
      </c>
      <c r="AI26" s="2">
        <v>10</v>
      </c>
      <c r="AJ26" s="2">
        <v>10</v>
      </c>
      <c r="AK26" s="3"/>
      <c r="AL26" s="3"/>
      <c r="AM26" s="3"/>
      <c r="AN26" s="3"/>
      <c r="AO26" s="3"/>
      <c r="AP26" s="3"/>
      <c r="AQ26" s="2" t="e">
        <f t="shared" ca="1" si="2"/>
        <v>#NAME?</v>
      </c>
      <c r="AR26" s="2">
        <v>10</v>
      </c>
      <c r="AS26" s="2">
        <v>10</v>
      </c>
      <c r="AT26" s="2">
        <v>10</v>
      </c>
      <c r="AU26" s="2">
        <v>10</v>
      </c>
      <c r="AV26" s="2">
        <v>10</v>
      </c>
      <c r="AW26" s="54">
        <f t="shared" si="3"/>
        <v>10</v>
      </c>
      <c r="AX26" s="48"/>
      <c r="AY26" s="2" t="s">
        <v>31</v>
      </c>
      <c r="AZ26" s="2">
        <v>10</v>
      </c>
      <c r="BA26" s="2">
        <v>10</v>
      </c>
      <c r="BB26" s="2">
        <v>10</v>
      </c>
      <c r="BC26" s="2">
        <v>10</v>
      </c>
      <c r="BD26" s="2">
        <v>10</v>
      </c>
      <c r="BE26" s="2">
        <v>10</v>
      </c>
      <c r="BF26" s="2">
        <v>10</v>
      </c>
      <c r="BG26" s="2">
        <v>10</v>
      </c>
      <c r="BH26" s="2">
        <v>10</v>
      </c>
      <c r="BI26" s="2">
        <v>10</v>
      </c>
      <c r="BJ26" s="2" t="e">
        <f t="shared" ca="1" si="4"/>
        <v>#NAME?</v>
      </c>
      <c r="BK26" s="5">
        <v>10</v>
      </c>
      <c r="BL26" s="5">
        <v>10</v>
      </c>
      <c r="BM26" s="5">
        <v>10</v>
      </c>
      <c r="BN26" s="5">
        <v>10</v>
      </c>
      <c r="BO26" s="5">
        <v>10</v>
      </c>
      <c r="BP26" s="54">
        <f t="shared" si="5"/>
        <v>10</v>
      </c>
      <c r="BQ26" s="5"/>
      <c r="BR26" s="5"/>
      <c r="BS26" s="5">
        <v>10</v>
      </c>
      <c r="BT26" s="5">
        <v>10</v>
      </c>
      <c r="BU26" s="5">
        <v>10</v>
      </c>
      <c r="BV26" s="5">
        <v>10</v>
      </c>
      <c r="BW26" s="5">
        <v>10</v>
      </c>
      <c r="BX26" s="5">
        <v>10</v>
      </c>
      <c r="BY26" s="5">
        <v>10</v>
      </c>
      <c r="BZ26" s="5">
        <v>10</v>
      </c>
      <c r="CA26" s="5">
        <v>10</v>
      </c>
      <c r="CB26" s="5">
        <v>10</v>
      </c>
      <c r="CC26" s="2" t="e">
        <f t="shared" ca="1" si="6"/>
        <v>#NAME?</v>
      </c>
      <c r="CD26" s="55"/>
      <c r="CE26" s="2"/>
      <c r="CF26" s="56">
        <v>10</v>
      </c>
      <c r="CG26" s="56">
        <v>10</v>
      </c>
      <c r="CH26" s="56">
        <v>10</v>
      </c>
      <c r="CI26" s="56">
        <v>10</v>
      </c>
      <c r="CJ26" s="56">
        <v>10</v>
      </c>
      <c r="CK26" s="56">
        <v>10</v>
      </c>
      <c r="CL26" s="56">
        <v>10</v>
      </c>
      <c r="CM26" s="56">
        <v>10</v>
      </c>
      <c r="CN26" s="56">
        <v>10</v>
      </c>
      <c r="CO26" s="56">
        <v>10</v>
      </c>
      <c r="CP26" s="2" t="e">
        <f t="shared" ca="1" si="7"/>
        <v>#NAME?</v>
      </c>
      <c r="CQ26" s="56">
        <v>10</v>
      </c>
      <c r="CR26" s="56">
        <v>10</v>
      </c>
      <c r="CS26" s="56">
        <v>10</v>
      </c>
      <c r="CT26" s="56">
        <v>10</v>
      </c>
      <c r="CU26" s="56">
        <v>10</v>
      </c>
      <c r="CV26" s="54">
        <f t="shared" si="8"/>
        <v>10</v>
      </c>
      <c r="CW26" s="55"/>
      <c r="CX26" s="3"/>
    </row>
    <row r="27" spans="1:102" ht="16.5" x14ac:dyDescent="0.55000000000000004">
      <c r="A27" s="17">
        <v>2</v>
      </c>
      <c r="B27" s="17" t="s">
        <v>3</v>
      </c>
      <c r="C27" s="23" t="s">
        <v>94</v>
      </c>
      <c r="D27" s="20" t="s">
        <v>95</v>
      </c>
      <c r="E27" s="48"/>
      <c r="F27" s="2"/>
      <c r="G27" s="2">
        <v>10</v>
      </c>
      <c r="H27" s="2">
        <v>10</v>
      </c>
      <c r="I27" s="2">
        <v>10</v>
      </c>
      <c r="J27" s="2">
        <v>10</v>
      </c>
      <c r="K27" s="2">
        <v>10</v>
      </c>
      <c r="L27" s="2">
        <v>10</v>
      </c>
      <c r="M27" s="2">
        <v>10</v>
      </c>
      <c r="N27" s="2">
        <v>9</v>
      </c>
      <c r="O27" s="2">
        <v>9</v>
      </c>
      <c r="P27" s="2">
        <v>9</v>
      </c>
      <c r="Q27" s="2" t="e">
        <f t="shared" ca="1" si="0"/>
        <v>#NAME?</v>
      </c>
      <c r="R27" s="2">
        <v>10</v>
      </c>
      <c r="S27" s="2">
        <v>10</v>
      </c>
      <c r="T27" s="2">
        <v>10</v>
      </c>
      <c r="U27" s="2">
        <v>10</v>
      </c>
      <c r="V27" s="2">
        <v>10</v>
      </c>
      <c r="W27" s="54">
        <f t="shared" si="1"/>
        <v>10</v>
      </c>
      <c r="X27" s="48"/>
      <c r="Y27" s="4"/>
      <c r="Z27" s="3"/>
      <c r="AA27" s="2">
        <v>10</v>
      </c>
      <c r="AB27" s="2">
        <v>10</v>
      </c>
      <c r="AC27" s="2">
        <v>7</v>
      </c>
      <c r="AD27" s="2">
        <v>7</v>
      </c>
      <c r="AE27" s="2">
        <v>7</v>
      </c>
      <c r="AF27" s="2">
        <v>7</v>
      </c>
      <c r="AG27" s="2">
        <v>7</v>
      </c>
      <c r="AH27" s="2">
        <v>7</v>
      </c>
      <c r="AI27" s="2">
        <v>7</v>
      </c>
      <c r="AJ27" s="2">
        <v>7</v>
      </c>
      <c r="AK27" s="3"/>
      <c r="AL27" s="3"/>
      <c r="AM27" s="3"/>
      <c r="AN27" s="3"/>
      <c r="AO27" s="3"/>
      <c r="AP27" s="3"/>
      <c r="AQ27" s="2" t="e">
        <f t="shared" ca="1" si="2"/>
        <v>#NAME?</v>
      </c>
      <c r="AR27" s="2">
        <v>10</v>
      </c>
      <c r="AS27" s="2">
        <v>7</v>
      </c>
      <c r="AT27" s="2">
        <v>7</v>
      </c>
      <c r="AU27" s="2">
        <v>7</v>
      </c>
      <c r="AV27" s="2">
        <v>7</v>
      </c>
      <c r="AW27" s="54">
        <f t="shared" si="3"/>
        <v>8</v>
      </c>
      <c r="AX27" s="48"/>
      <c r="AY27" s="2">
        <v>8</v>
      </c>
      <c r="AZ27" s="2">
        <v>8</v>
      </c>
      <c r="BA27" s="2">
        <v>8</v>
      </c>
      <c r="BB27" s="2">
        <v>8</v>
      </c>
      <c r="BC27" s="2">
        <v>8</v>
      </c>
      <c r="BD27" s="2">
        <v>8</v>
      </c>
      <c r="BE27" s="2">
        <v>8</v>
      </c>
      <c r="BF27" s="2">
        <v>8</v>
      </c>
      <c r="BG27" s="2">
        <v>8</v>
      </c>
      <c r="BH27" s="2">
        <v>8</v>
      </c>
      <c r="BI27" s="2">
        <v>8</v>
      </c>
      <c r="BJ27" s="2" t="e">
        <f t="shared" ca="1" si="4"/>
        <v>#NAME?</v>
      </c>
      <c r="BK27" s="5">
        <v>9</v>
      </c>
      <c r="BL27" s="5">
        <v>9</v>
      </c>
      <c r="BM27" s="5">
        <v>9</v>
      </c>
      <c r="BN27" s="5">
        <v>9</v>
      </c>
      <c r="BO27" s="5">
        <v>9</v>
      </c>
      <c r="BP27" s="54">
        <f t="shared" si="5"/>
        <v>9</v>
      </c>
      <c r="BQ27" s="5"/>
      <c r="BR27" s="5"/>
      <c r="BS27" s="5">
        <v>10</v>
      </c>
      <c r="BT27" s="5">
        <v>10</v>
      </c>
      <c r="BU27" s="5">
        <v>10</v>
      </c>
      <c r="BV27" s="5">
        <v>10</v>
      </c>
      <c r="BW27" s="5">
        <v>10</v>
      </c>
      <c r="BX27" s="5">
        <v>10</v>
      </c>
      <c r="BY27" s="5">
        <v>10</v>
      </c>
      <c r="BZ27" s="5">
        <v>10</v>
      </c>
      <c r="CA27" s="5">
        <v>10</v>
      </c>
      <c r="CB27" s="5">
        <v>10</v>
      </c>
      <c r="CC27" s="2" t="e">
        <f t="shared" ca="1" si="6"/>
        <v>#NAME?</v>
      </c>
      <c r="CD27" s="55"/>
      <c r="CE27" s="2"/>
      <c r="CF27" s="56">
        <v>10</v>
      </c>
      <c r="CG27" s="56">
        <v>10</v>
      </c>
      <c r="CH27" s="56">
        <v>10</v>
      </c>
      <c r="CI27" s="56">
        <v>10</v>
      </c>
      <c r="CJ27" s="56">
        <v>10</v>
      </c>
      <c r="CK27" s="56">
        <v>10</v>
      </c>
      <c r="CL27" s="56">
        <v>10</v>
      </c>
      <c r="CM27" s="56">
        <v>10</v>
      </c>
      <c r="CN27" s="56">
        <v>10</v>
      </c>
      <c r="CO27" s="56">
        <v>10</v>
      </c>
      <c r="CP27" s="2" t="e">
        <f t="shared" ca="1" si="7"/>
        <v>#NAME?</v>
      </c>
      <c r="CQ27" s="56">
        <v>10</v>
      </c>
      <c r="CR27" s="56">
        <v>10</v>
      </c>
      <c r="CS27" s="56">
        <v>10</v>
      </c>
      <c r="CT27" s="56">
        <v>10</v>
      </c>
      <c r="CU27" s="56">
        <v>10</v>
      </c>
      <c r="CV27" s="54">
        <f t="shared" si="8"/>
        <v>10</v>
      </c>
      <c r="CW27" s="55"/>
      <c r="CX27" s="3"/>
    </row>
    <row r="28" spans="1:102" ht="16.5" x14ac:dyDescent="0.55000000000000004">
      <c r="A28" s="17">
        <v>2</v>
      </c>
      <c r="B28" s="17" t="s">
        <v>3</v>
      </c>
      <c r="C28" s="23" t="s">
        <v>96</v>
      </c>
      <c r="D28" s="20" t="s">
        <v>97</v>
      </c>
      <c r="E28" s="48"/>
      <c r="F28" s="2"/>
      <c r="G28" s="2">
        <v>10</v>
      </c>
      <c r="H28" s="2">
        <v>10</v>
      </c>
      <c r="I28" s="2">
        <v>10</v>
      </c>
      <c r="J28" s="2">
        <v>10</v>
      </c>
      <c r="K28" s="2">
        <v>10</v>
      </c>
      <c r="L28" s="2">
        <v>10</v>
      </c>
      <c r="M28" s="2">
        <v>10</v>
      </c>
      <c r="N28" s="2">
        <v>10</v>
      </c>
      <c r="O28" s="2">
        <v>10</v>
      </c>
      <c r="P28" s="2">
        <v>10</v>
      </c>
      <c r="Q28" s="2" t="e">
        <f t="shared" ca="1" si="0"/>
        <v>#NAME?</v>
      </c>
      <c r="R28" s="2">
        <v>10</v>
      </c>
      <c r="S28" s="2">
        <v>10</v>
      </c>
      <c r="T28" s="2">
        <v>10</v>
      </c>
      <c r="U28" s="2">
        <v>10</v>
      </c>
      <c r="V28" s="2">
        <v>10</v>
      </c>
      <c r="W28" s="54">
        <f t="shared" si="1"/>
        <v>10</v>
      </c>
      <c r="X28" s="48"/>
      <c r="Y28" s="4"/>
      <c r="Z28" s="3"/>
      <c r="AA28" s="2">
        <v>10</v>
      </c>
      <c r="AB28" s="2">
        <v>10</v>
      </c>
      <c r="AC28" s="2">
        <v>10</v>
      </c>
      <c r="AD28" s="2">
        <v>10</v>
      </c>
      <c r="AE28" s="2">
        <v>10</v>
      </c>
      <c r="AF28" s="2">
        <v>10</v>
      </c>
      <c r="AG28" s="2">
        <v>10</v>
      </c>
      <c r="AH28" s="2">
        <v>10</v>
      </c>
      <c r="AI28" s="2">
        <v>10</v>
      </c>
      <c r="AJ28" s="2">
        <v>10</v>
      </c>
      <c r="AK28" s="3"/>
      <c r="AL28" s="3"/>
      <c r="AM28" s="3"/>
      <c r="AN28" s="3"/>
      <c r="AO28" s="3"/>
      <c r="AP28" s="3"/>
      <c r="AQ28" s="2" t="e">
        <f t="shared" ca="1" si="2"/>
        <v>#NAME?</v>
      </c>
      <c r="AR28" s="2">
        <v>10</v>
      </c>
      <c r="AS28" s="2">
        <v>10</v>
      </c>
      <c r="AT28" s="2">
        <v>10</v>
      </c>
      <c r="AU28" s="2">
        <v>10</v>
      </c>
      <c r="AV28" s="2">
        <v>10</v>
      </c>
      <c r="AW28" s="54">
        <f t="shared" si="3"/>
        <v>10</v>
      </c>
      <c r="AX28" s="48"/>
      <c r="AY28" s="2">
        <v>17</v>
      </c>
      <c r="AZ28" s="2">
        <v>10</v>
      </c>
      <c r="BA28" s="2">
        <v>10</v>
      </c>
      <c r="BB28" s="2">
        <v>10</v>
      </c>
      <c r="BC28" s="2">
        <v>10</v>
      </c>
      <c r="BD28" s="2">
        <v>10</v>
      </c>
      <c r="BE28" s="2">
        <v>10</v>
      </c>
      <c r="BF28" s="2">
        <v>10</v>
      </c>
      <c r="BG28" s="2">
        <v>10</v>
      </c>
      <c r="BH28" s="2">
        <v>10</v>
      </c>
      <c r="BI28" s="2">
        <v>10</v>
      </c>
      <c r="BJ28" s="2" t="e">
        <f t="shared" ca="1" si="4"/>
        <v>#NAME?</v>
      </c>
      <c r="BK28" s="2">
        <v>10</v>
      </c>
      <c r="BL28" s="2">
        <v>10</v>
      </c>
      <c r="BM28" s="2">
        <v>10</v>
      </c>
      <c r="BN28" s="2">
        <v>10</v>
      </c>
      <c r="BO28" s="2">
        <v>10</v>
      </c>
      <c r="BP28" s="54">
        <f t="shared" si="5"/>
        <v>10</v>
      </c>
      <c r="BQ28" s="5"/>
      <c r="BR28" s="5"/>
      <c r="BS28" s="5">
        <v>8</v>
      </c>
      <c r="BT28" s="5">
        <v>8</v>
      </c>
      <c r="BU28" s="5">
        <v>8</v>
      </c>
      <c r="BV28" s="5">
        <v>8</v>
      </c>
      <c r="BW28" s="5">
        <v>8</v>
      </c>
      <c r="BX28" s="5">
        <v>8</v>
      </c>
      <c r="BY28" s="5">
        <v>8</v>
      </c>
      <c r="BZ28" s="5">
        <v>8</v>
      </c>
      <c r="CA28" s="5">
        <v>8</v>
      </c>
      <c r="CB28" s="5">
        <v>8</v>
      </c>
      <c r="CC28" s="2" t="e">
        <f t="shared" ca="1" si="6"/>
        <v>#NAME?</v>
      </c>
      <c r="CD28" s="55"/>
      <c r="CE28" s="2"/>
      <c r="CF28" s="58">
        <v>10</v>
      </c>
      <c r="CG28" s="58">
        <v>10</v>
      </c>
      <c r="CH28" s="58">
        <v>10</v>
      </c>
      <c r="CI28" s="58">
        <v>10</v>
      </c>
      <c r="CJ28" s="58">
        <v>10</v>
      </c>
      <c r="CK28" s="58">
        <v>10</v>
      </c>
      <c r="CL28" s="58">
        <v>10</v>
      </c>
      <c r="CM28" s="58">
        <v>10</v>
      </c>
      <c r="CN28" s="58">
        <v>10</v>
      </c>
      <c r="CO28" s="58">
        <v>10</v>
      </c>
      <c r="CP28" s="2" t="e">
        <f t="shared" ca="1" si="7"/>
        <v>#NAME?</v>
      </c>
      <c r="CQ28" s="58">
        <v>10</v>
      </c>
      <c r="CR28" s="58">
        <v>10</v>
      </c>
      <c r="CS28" s="58">
        <v>10</v>
      </c>
      <c r="CT28" s="58">
        <v>10</v>
      </c>
      <c r="CU28" s="58">
        <v>10</v>
      </c>
      <c r="CV28" s="54">
        <f t="shared" si="8"/>
        <v>10</v>
      </c>
      <c r="CW28" s="55"/>
      <c r="CX28" s="3"/>
    </row>
    <row r="29" spans="1:102" ht="16.5" x14ac:dyDescent="0.55000000000000004">
      <c r="A29" s="17">
        <v>2</v>
      </c>
      <c r="B29" s="17" t="s">
        <v>3</v>
      </c>
      <c r="C29" s="23" t="s">
        <v>98</v>
      </c>
      <c r="D29" s="20" t="s">
        <v>99</v>
      </c>
      <c r="E29" s="48"/>
      <c r="F29" s="2"/>
      <c r="G29" s="2">
        <v>10</v>
      </c>
      <c r="H29" s="2">
        <v>10</v>
      </c>
      <c r="I29" s="2">
        <v>10</v>
      </c>
      <c r="J29" s="2">
        <v>10</v>
      </c>
      <c r="K29" s="2">
        <v>9</v>
      </c>
      <c r="L29" s="2">
        <v>9</v>
      </c>
      <c r="M29" s="2">
        <v>9</v>
      </c>
      <c r="N29" s="2">
        <v>10</v>
      </c>
      <c r="O29" s="2">
        <v>10</v>
      </c>
      <c r="P29" s="2">
        <v>10</v>
      </c>
      <c r="Q29" s="2" t="e">
        <f t="shared" ca="1" si="0"/>
        <v>#NAME?</v>
      </c>
      <c r="R29" s="2">
        <v>10</v>
      </c>
      <c r="S29" s="2">
        <v>10</v>
      </c>
      <c r="T29" s="2">
        <v>10</v>
      </c>
      <c r="U29" s="2">
        <v>10</v>
      </c>
      <c r="V29" s="2">
        <v>10</v>
      </c>
      <c r="W29" s="54">
        <f t="shared" si="1"/>
        <v>10</v>
      </c>
      <c r="X29" s="48"/>
      <c r="Y29" s="4"/>
      <c r="Z29" s="3"/>
      <c r="AA29" s="2">
        <v>10</v>
      </c>
      <c r="AB29" s="2">
        <v>10</v>
      </c>
      <c r="AC29" s="2">
        <v>10</v>
      </c>
      <c r="AD29" s="2">
        <v>10</v>
      </c>
      <c r="AE29" s="2">
        <v>10</v>
      </c>
      <c r="AF29" s="2">
        <v>10</v>
      </c>
      <c r="AG29" s="2">
        <v>10</v>
      </c>
      <c r="AH29" s="2">
        <v>10</v>
      </c>
      <c r="AI29" s="2">
        <v>10</v>
      </c>
      <c r="AJ29" s="2">
        <v>10</v>
      </c>
      <c r="AK29" s="3"/>
      <c r="AL29" s="3"/>
      <c r="AM29" s="3"/>
      <c r="AN29" s="3"/>
      <c r="AO29" s="3"/>
      <c r="AP29" s="3"/>
      <c r="AQ29" s="2" t="e">
        <f t="shared" ca="1" si="2"/>
        <v>#NAME?</v>
      </c>
      <c r="AR29" s="2">
        <v>10</v>
      </c>
      <c r="AS29" s="2">
        <v>10</v>
      </c>
      <c r="AT29" s="2">
        <v>10</v>
      </c>
      <c r="AU29" s="2">
        <v>10</v>
      </c>
      <c r="AV29" s="2">
        <v>10</v>
      </c>
      <c r="AW29" s="54">
        <f t="shared" si="3"/>
        <v>10</v>
      </c>
      <c r="AX29" s="48"/>
      <c r="AY29" s="2">
        <v>13</v>
      </c>
      <c r="AZ29" s="2">
        <v>10</v>
      </c>
      <c r="BA29" s="2">
        <v>10</v>
      </c>
      <c r="BB29" s="2">
        <v>10</v>
      </c>
      <c r="BC29" s="2">
        <v>10</v>
      </c>
      <c r="BD29" s="2">
        <v>10</v>
      </c>
      <c r="BE29" s="2">
        <v>10</v>
      </c>
      <c r="BF29" s="2">
        <v>10</v>
      </c>
      <c r="BG29" s="2">
        <v>10</v>
      </c>
      <c r="BH29" s="2">
        <v>10</v>
      </c>
      <c r="BI29" s="2">
        <v>10</v>
      </c>
      <c r="BJ29" s="2" t="e">
        <f t="shared" ca="1" si="4"/>
        <v>#NAME?</v>
      </c>
      <c r="BK29" s="5">
        <v>9</v>
      </c>
      <c r="BL29" s="2">
        <v>10</v>
      </c>
      <c r="BM29" s="2">
        <v>10</v>
      </c>
      <c r="BN29" s="2">
        <v>10</v>
      </c>
      <c r="BO29" s="2">
        <v>10</v>
      </c>
      <c r="BP29" s="54">
        <f t="shared" si="5"/>
        <v>10</v>
      </c>
      <c r="BQ29" s="5"/>
      <c r="BR29" s="5"/>
      <c r="BS29" s="5">
        <v>10</v>
      </c>
      <c r="BT29" s="5">
        <v>10</v>
      </c>
      <c r="BU29" s="5">
        <v>10</v>
      </c>
      <c r="BV29" s="5">
        <v>10</v>
      </c>
      <c r="BW29" s="5">
        <v>10</v>
      </c>
      <c r="BX29" s="5">
        <v>10</v>
      </c>
      <c r="BY29" s="5">
        <v>10</v>
      </c>
      <c r="BZ29" s="5">
        <v>10</v>
      </c>
      <c r="CA29" s="5">
        <v>10</v>
      </c>
      <c r="CB29" s="5">
        <v>10</v>
      </c>
      <c r="CC29" s="2" t="e">
        <f t="shared" ca="1" si="6"/>
        <v>#NAME?</v>
      </c>
      <c r="CD29" s="55"/>
      <c r="CE29" s="2"/>
      <c r="CF29" s="56">
        <v>10</v>
      </c>
      <c r="CG29" s="56">
        <v>10</v>
      </c>
      <c r="CH29" s="56">
        <v>10</v>
      </c>
      <c r="CI29" s="56">
        <v>10</v>
      </c>
      <c r="CJ29" s="56">
        <v>10</v>
      </c>
      <c r="CK29" s="56">
        <v>10</v>
      </c>
      <c r="CL29" s="56">
        <v>10</v>
      </c>
      <c r="CM29" s="56">
        <v>10</v>
      </c>
      <c r="CN29" s="56">
        <v>10</v>
      </c>
      <c r="CO29" s="56">
        <v>10</v>
      </c>
      <c r="CP29" s="2" t="e">
        <f t="shared" ca="1" si="7"/>
        <v>#NAME?</v>
      </c>
      <c r="CQ29" s="56">
        <v>10</v>
      </c>
      <c r="CR29" s="56">
        <v>10</v>
      </c>
      <c r="CS29" s="56">
        <v>10</v>
      </c>
      <c r="CT29" s="56">
        <v>10</v>
      </c>
      <c r="CU29" s="56">
        <v>10</v>
      </c>
      <c r="CV29" s="54">
        <f t="shared" si="8"/>
        <v>10</v>
      </c>
      <c r="CW29" s="55"/>
      <c r="CX29" s="3"/>
    </row>
    <row r="30" spans="1:102" ht="16.5" x14ac:dyDescent="0.55000000000000004">
      <c r="A30" s="17">
        <v>2</v>
      </c>
      <c r="B30" s="17" t="s">
        <v>3</v>
      </c>
      <c r="C30" s="23" t="s">
        <v>100</v>
      </c>
      <c r="D30" s="20" t="s">
        <v>101</v>
      </c>
      <c r="E30" s="48"/>
      <c r="F30" s="2"/>
      <c r="G30" s="2">
        <v>10</v>
      </c>
      <c r="H30" s="2">
        <v>10</v>
      </c>
      <c r="I30" s="2">
        <v>10</v>
      </c>
      <c r="J30" s="2">
        <v>10</v>
      </c>
      <c r="K30" s="2">
        <v>10</v>
      </c>
      <c r="L30" s="2">
        <v>10</v>
      </c>
      <c r="M30" s="2">
        <v>10</v>
      </c>
      <c r="N30" s="2">
        <v>10</v>
      </c>
      <c r="O30" s="2">
        <v>10</v>
      </c>
      <c r="P30" s="2">
        <v>9</v>
      </c>
      <c r="Q30" s="2" t="e">
        <f t="shared" ca="1" si="0"/>
        <v>#NAME?</v>
      </c>
      <c r="R30" s="2">
        <v>10</v>
      </c>
      <c r="S30" s="2">
        <v>10</v>
      </c>
      <c r="T30" s="2">
        <v>10</v>
      </c>
      <c r="U30" s="2">
        <v>10</v>
      </c>
      <c r="V30" s="2">
        <v>10</v>
      </c>
      <c r="W30" s="54">
        <f t="shared" si="1"/>
        <v>10</v>
      </c>
      <c r="X30" s="48"/>
      <c r="Y30" s="4"/>
      <c r="Z30" s="3"/>
      <c r="AA30" s="2">
        <v>10</v>
      </c>
      <c r="AB30" s="2">
        <v>10</v>
      </c>
      <c r="AC30" s="2">
        <v>10</v>
      </c>
      <c r="AD30" s="2">
        <v>10</v>
      </c>
      <c r="AE30" s="2">
        <v>10</v>
      </c>
      <c r="AF30" s="2">
        <v>10</v>
      </c>
      <c r="AG30" s="2">
        <v>10</v>
      </c>
      <c r="AH30" s="2">
        <v>10</v>
      </c>
      <c r="AI30" s="2">
        <v>10</v>
      </c>
      <c r="AJ30" s="2">
        <v>10</v>
      </c>
      <c r="AK30" s="3"/>
      <c r="AL30" s="3"/>
      <c r="AM30" s="3"/>
      <c r="AN30" s="3"/>
      <c r="AO30" s="3"/>
      <c r="AP30" s="3"/>
      <c r="AQ30" s="2" t="e">
        <f t="shared" ca="1" si="2"/>
        <v>#NAME?</v>
      </c>
      <c r="AR30" s="2">
        <v>10</v>
      </c>
      <c r="AS30" s="2">
        <v>10</v>
      </c>
      <c r="AT30" s="2">
        <v>10</v>
      </c>
      <c r="AU30" s="2">
        <v>10</v>
      </c>
      <c r="AV30" s="2">
        <v>10</v>
      </c>
      <c r="AW30" s="54">
        <f t="shared" si="3"/>
        <v>10</v>
      </c>
      <c r="AX30" s="48"/>
      <c r="AY30" s="2">
        <v>15</v>
      </c>
      <c r="AZ30" s="2">
        <v>10</v>
      </c>
      <c r="BA30" s="2">
        <v>10</v>
      </c>
      <c r="BB30" s="2">
        <v>10</v>
      </c>
      <c r="BC30" s="2">
        <v>10</v>
      </c>
      <c r="BD30" s="2">
        <v>10</v>
      </c>
      <c r="BE30" s="2">
        <v>10</v>
      </c>
      <c r="BF30" s="2">
        <v>10</v>
      </c>
      <c r="BG30" s="2">
        <v>10</v>
      </c>
      <c r="BH30" s="2">
        <v>10</v>
      </c>
      <c r="BI30" s="2">
        <v>10</v>
      </c>
      <c r="BJ30" s="2" t="e">
        <f t="shared" ca="1" si="4"/>
        <v>#NAME?</v>
      </c>
      <c r="BK30" s="2">
        <v>10</v>
      </c>
      <c r="BL30" s="2">
        <v>10</v>
      </c>
      <c r="BM30" s="2">
        <v>10</v>
      </c>
      <c r="BN30" s="2">
        <v>10</v>
      </c>
      <c r="BO30" s="2">
        <v>10</v>
      </c>
      <c r="BP30" s="54">
        <f t="shared" si="5"/>
        <v>10</v>
      </c>
      <c r="BQ30" s="5"/>
      <c r="BR30" s="5"/>
      <c r="BS30" s="5">
        <v>9</v>
      </c>
      <c r="BT30" s="5">
        <v>9</v>
      </c>
      <c r="BU30" s="5">
        <v>9</v>
      </c>
      <c r="BV30" s="5">
        <v>9</v>
      </c>
      <c r="BW30" s="5">
        <v>9</v>
      </c>
      <c r="BX30" s="5">
        <v>9</v>
      </c>
      <c r="BY30" s="5">
        <v>9</v>
      </c>
      <c r="BZ30" s="5">
        <v>9</v>
      </c>
      <c r="CA30" s="5">
        <v>9</v>
      </c>
      <c r="CB30" s="5">
        <v>9</v>
      </c>
      <c r="CC30" s="2" t="e">
        <f t="shared" ca="1" si="6"/>
        <v>#NAME?</v>
      </c>
      <c r="CD30" s="55"/>
      <c r="CE30" s="2"/>
      <c r="CF30" s="58">
        <v>10</v>
      </c>
      <c r="CG30" s="58">
        <v>10</v>
      </c>
      <c r="CH30" s="58">
        <v>10</v>
      </c>
      <c r="CI30" s="58">
        <v>10</v>
      </c>
      <c r="CJ30" s="58">
        <v>10</v>
      </c>
      <c r="CK30" s="58">
        <v>10</v>
      </c>
      <c r="CL30" s="58">
        <v>10</v>
      </c>
      <c r="CM30" s="58">
        <v>10</v>
      </c>
      <c r="CN30" s="58">
        <v>10</v>
      </c>
      <c r="CO30" s="58">
        <v>10</v>
      </c>
      <c r="CP30" s="2" t="e">
        <f t="shared" ca="1" si="7"/>
        <v>#NAME?</v>
      </c>
      <c r="CQ30" s="58">
        <v>10</v>
      </c>
      <c r="CR30" s="58">
        <v>10</v>
      </c>
      <c r="CS30" s="58">
        <v>10</v>
      </c>
      <c r="CT30" s="58">
        <v>10</v>
      </c>
      <c r="CU30" s="58">
        <v>10</v>
      </c>
      <c r="CV30" s="54">
        <f t="shared" si="8"/>
        <v>10</v>
      </c>
      <c r="CW30" s="55"/>
      <c r="CX30" s="3"/>
    </row>
    <row r="31" spans="1:102" ht="16.5" x14ac:dyDescent="0.55000000000000004">
      <c r="A31" s="17">
        <v>2</v>
      </c>
      <c r="B31" s="17" t="s">
        <v>3</v>
      </c>
      <c r="C31" s="23" t="s">
        <v>102</v>
      </c>
      <c r="D31" s="20" t="s">
        <v>103</v>
      </c>
      <c r="E31" s="48"/>
      <c r="F31" s="48"/>
      <c r="G31" s="2">
        <v>10</v>
      </c>
      <c r="H31" s="2">
        <v>10</v>
      </c>
      <c r="I31" s="2">
        <v>10</v>
      </c>
      <c r="J31" s="2">
        <v>10</v>
      </c>
      <c r="K31" s="2">
        <v>9</v>
      </c>
      <c r="L31" s="2">
        <v>9</v>
      </c>
      <c r="M31" s="2">
        <v>9</v>
      </c>
      <c r="N31" s="2">
        <v>9</v>
      </c>
      <c r="O31" s="2">
        <v>9</v>
      </c>
      <c r="P31" s="2">
        <v>9</v>
      </c>
      <c r="Q31" s="2" t="e">
        <f t="shared" ca="1" si="0"/>
        <v>#NAME?</v>
      </c>
      <c r="R31" s="2">
        <v>10</v>
      </c>
      <c r="S31" s="2">
        <v>10</v>
      </c>
      <c r="T31" s="2">
        <v>10</v>
      </c>
      <c r="U31" s="2">
        <v>10</v>
      </c>
      <c r="V31" s="2">
        <v>10</v>
      </c>
      <c r="W31" s="54">
        <f t="shared" si="1"/>
        <v>10</v>
      </c>
      <c r="X31" s="48"/>
      <c r="Y31" s="4"/>
      <c r="Z31" s="3"/>
      <c r="AA31" s="2">
        <v>10</v>
      </c>
      <c r="AB31" s="2">
        <v>10</v>
      </c>
      <c r="AC31" s="2">
        <v>6</v>
      </c>
      <c r="AD31" s="2">
        <v>6</v>
      </c>
      <c r="AE31" s="2">
        <v>6</v>
      </c>
      <c r="AF31" s="2">
        <v>6</v>
      </c>
      <c r="AG31" s="2">
        <v>6</v>
      </c>
      <c r="AH31" s="2">
        <v>6</v>
      </c>
      <c r="AI31" s="2">
        <v>6</v>
      </c>
      <c r="AJ31" s="2">
        <v>6</v>
      </c>
      <c r="AK31" s="3"/>
      <c r="AL31" s="3"/>
      <c r="AM31" s="3"/>
      <c r="AN31" s="3"/>
      <c r="AO31" s="3"/>
      <c r="AP31" s="3"/>
      <c r="AQ31" s="2" t="e">
        <f t="shared" ca="1" si="2"/>
        <v>#NAME?</v>
      </c>
      <c r="AR31" s="2">
        <v>10</v>
      </c>
      <c r="AS31" s="2">
        <v>10</v>
      </c>
      <c r="AT31" s="2">
        <v>6</v>
      </c>
      <c r="AU31" s="2">
        <v>6</v>
      </c>
      <c r="AV31" s="2">
        <v>6</v>
      </c>
      <c r="AW31" s="54">
        <f t="shared" si="3"/>
        <v>8</v>
      </c>
      <c r="AX31" s="48"/>
      <c r="AY31" s="2">
        <v>6</v>
      </c>
      <c r="AZ31" s="2">
        <v>4</v>
      </c>
      <c r="BA31" s="2">
        <v>4</v>
      </c>
      <c r="BB31" s="2">
        <v>5</v>
      </c>
      <c r="BC31" s="2">
        <v>5</v>
      </c>
      <c r="BD31" s="2">
        <v>5</v>
      </c>
      <c r="BE31" s="2">
        <v>5</v>
      </c>
      <c r="BF31" s="2">
        <v>5</v>
      </c>
      <c r="BG31" s="2">
        <v>5</v>
      </c>
      <c r="BH31" s="2">
        <v>5</v>
      </c>
      <c r="BI31" s="2">
        <v>5</v>
      </c>
      <c r="BJ31" s="2" t="e">
        <f t="shared" ca="1" si="4"/>
        <v>#NAME?</v>
      </c>
      <c r="BK31" s="5">
        <v>6</v>
      </c>
      <c r="BL31" s="5">
        <v>6</v>
      </c>
      <c r="BM31" s="5">
        <v>6</v>
      </c>
      <c r="BN31" s="5">
        <v>7</v>
      </c>
      <c r="BO31" s="5">
        <v>8</v>
      </c>
      <c r="BP31" s="54">
        <f t="shared" si="5"/>
        <v>7</v>
      </c>
      <c r="BQ31" s="5"/>
      <c r="BR31" s="5"/>
      <c r="BS31" s="5">
        <v>7</v>
      </c>
      <c r="BT31" s="5">
        <v>7</v>
      </c>
      <c r="BU31" s="5">
        <v>7</v>
      </c>
      <c r="BV31" s="5">
        <v>7</v>
      </c>
      <c r="BW31" s="5">
        <v>7</v>
      </c>
      <c r="BX31" s="5">
        <v>7</v>
      </c>
      <c r="BY31" s="5">
        <v>7</v>
      </c>
      <c r="BZ31" s="5">
        <v>7</v>
      </c>
      <c r="CA31" s="5">
        <v>7</v>
      </c>
      <c r="CB31" s="5">
        <v>7</v>
      </c>
      <c r="CC31" s="2" t="e">
        <f t="shared" ca="1" si="6"/>
        <v>#NAME?</v>
      </c>
      <c r="CD31" s="55"/>
      <c r="CE31" s="2"/>
      <c r="CF31" s="56">
        <v>9</v>
      </c>
      <c r="CG31" s="56">
        <v>9</v>
      </c>
      <c r="CH31" s="56">
        <v>10</v>
      </c>
      <c r="CI31" s="56">
        <v>10</v>
      </c>
      <c r="CJ31" s="56">
        <v>10</v>
      </c>
      <c r="CK31" s="56">
        <v>10</v>
      </c>
      <c r="CL31" s="56">
        <v>10</v>
      </c>
      <c r="CM31" s="56">
        <v>10</v>
      </c>
      <c r="CN31" s="56">
        <v>10</v>
      </c>
      <c r="CO31" s="56">
        <v>10</v>
      </c>
      <c r="CP31" s="2" t="e">
        <f t="shared" ca="1" si="7"/>
        <v>#NAME?</v>
      </c>
      <c r="CQ31" s="58">
        <v>10</v>
      </c>
      <c r="CR31" s="58">
        <v>10</v>
      </c>
      <c r="CS31" s="58">
        <v>10</v>
      </c>
      <c r="CT31" s="58">
        <v>10</v>
      </c>
      <c r="CU31" s="58">
        <v>10</v>
      </c>
      <c r="CV31" s="54">
        <f t="shared" si="8"/>
        <v>10</v>
      </c>
      <c r="CW31" s="55"/>
      <c r="CX31" s="3"/>
    </row>
    <row r="32" spans="1:102" ht="16.5" x14ac:dyDescent="0.55000000000000004">
      <c r="A32" s="16">
        <v>2</v>
      </c>
      <c r="B32" s="16" t="s">
        <v>3</v>
      </c>
      <c r="C32" s="60" t="s">
        <v>104</v>
      </c>
      <c r="D32" s="61" t="s">
        <v>105</v>
      </c>
      <c r="E32" s="62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f>IFERROR(ROUNDUP(AVERAGE(G32:P32),0),0)</f>
        <v>0</v>
      </c>
      <c r="R32" s="10"/>
      <c r="S32" s="10"/>
      <c r="T32" s="10"/>
      <c r="U32" s="10"/>
      <c r="V32" s="10"/>
      <c r="W32" s="63">
        <f t="shared" si="1"/>
        <v>0</v>
      </c>
      <c r="X32" s="62"/>
      <c r="Y32" s="62"/>
      <c r="Z32" s="11"/>
      <c r="AA32" s="62" t="s">
        <v>50</v>
      </c>
      <c r="AB32" s="62" t="s">
        <v>50</v>
      </c>
      <c r="AC32" s="62" t="s">
        <v>50</v>
      </c>
      <c r="AD32" s="62" t="s">
        <v>50</v>
      </c>
      <c r="AE32" s="62" t="s">
        <v>50</v>
      </c>
      <c r="AF32" s="62" t="s">
        <v>50</v>
      </c>
      <c r="AG32" s="62" t="s">
        <v>50</v>
      </c>
      <c r="AH32" s="62" t="s">
        <v>50</v>
      </c>
      <c r="AI32" s="62" t="s">
        <v>50</v>
      </c>
      <c r="AJ32" s="62" t="s">
        <v>50</v>
      </c>
      <c r="AK32" s="11"/>
      <c r="AL32" s="11"/>
      <c r="AM32" s="11"/>
      <c r="AN32" s="11"/>
      <c r="AO32" s="11"/>
      <c r="AP32" s="11"/>
      <c r="AQ32" s="10">
        <f>IFERROR(ROUNDUP(AVERAGE(AA32:AP32),0),0)</f>
        <v>0</v>
      </c>
      <c r="AR32" s="62" t="s">
        <v>50</v>
      </c>
      <c r="AS32" s="62" t="s">
        <v>50</v>
      </c>
      <c r="AT32" s="62" t="s">
        <v>50</v>
      </c>
      <c r="AU32" s="62" t="s">
        <v>50</v>
      </c>
      <c r="AV32" s="62" t="s">
        <v>50</v>
      </c>
      <c r="AW32" s="63">
        <f t="shared" si="3"/>
        <v>0</v>
      </c>
      <c r="AX32" s="62"/>
      <c r="AY32" s="10" t="s">
        <v>31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64">
        <v>0</v>
      </c>
      <c r="BJ32" s="10">
        <f>IFERROR(ROUNDUP(AVERAGE(AZ32:BI32),0),0)</f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63">
        <f t="shared" si="5"/>
        <v>0</v>
      </c>
      <c r="BQ32" s="12"/>
      <c r="BR32" s="12"/>
      <c r="BS32" s="12">
        <v>6</v>
      </c>
      <c r="BT32" s="12">
        <v>6</v>
      </c>
      <c r="BU32" s="12">
        <v>6</v>
      </c>
      <c r="BV32" s="12">
        <v>6</v>
      </c>
      <c r="BW32" s="12">
        <v>6</v>
      </c>
      <c r="BX32" s="12">
        <v>6</v>
      </c>
      <c r="BY32" s="12">
        <v>6</v>
      </c>
      <c r="BZ32" s="12">
        <v>6</v>
      </c>
      <c r="CA32" s="12">
        <v>6</v>
      </c>
      <c r="CB32" s="12">
        <v>6</v>
      </c>
      <c r="CC32" s="10">
        <f>IFERROR(ROUNDUP(AVERAGE(BS32:CB32),0),0)</f>
        <v>6</v>
      </c>
      <c r="CD32" s="65"/>
      <c r="CE32" s="10"/>
      <c r="CF32" s="66">
        <v>10</v>
      </c>
      <c r="CG32" s="66">
        <v>0</v>
      </c>
      <c r="CH32" s="66">
        <v>0</v>
      </c>
      <c r="CI32" s="66">
        <v>0</v>
      </c>
      <c r="CJ32" s="66">
        <v>0</v>
      </c>
      <c r="CK32" s="66">
        <v>0</v>
      </c>
      <c r="CL32" s="66">
        <v>0</v>
      </c>
      <c r="CM32" s="66">
        <v>0</v>
      </c>
      <c r="CN32" s="66">
        <v>0</v>
      </c>
      <c r="CO32" s="66">
        <v>0</v>
      </c>
      <c r="CP32" s="10">
        <f>IFERROR(ROUNDUP(AVERAGE(CF32:CO32),0),0)</f>
        <v>1</v>
      </c>
      <c r="CQ32" s="9"/>
      <c r="CR32" s="9"/>
      <c r="CS32" s="9"/>
      <c r="CT32" s="9"/>
      <c r="CU32" s="9"/>
      <c r="CV32" s="63">
        <f t="shared" si="8"/>
        <v>0</v>
      </c>
      <c r="CW32" s="65"/>
      <c r="CX32" s="11"/>
    </row>
    <row r="33" spans="1:102" ht="16.5" x14ac:dyDescent="0.55000000000000004">
      <c r="A33" s="17">
        <v>2</v>
      </c>
      <c r="B33" s="17" t="s">
        <v>3</v>
      </c>
      <c r="C33" s="23" t="s">
        <v>106</v>
      </c>
      <c r="D33" s="20" t="s">
        <v>107</v>
      </c>
      <c r="E33" s="48"/>
      <c r="F33" s="2"/>
      <c r="G33" s="2">
        <v>10</v>
      </c>
      <c r="H33" s="2">
        <v>10</v>
      </c>
      <c r="I33" s="2">
        <v>10</v>
      </c>
      <c r="J33" s="2">
        <v>8</v>
      </c>
      <c r="K33" s="2">
        <v>9</v>
      </c>
      <c r="L33" s="2">
        <v>9</v>
      </c>
      <c r="M33" s="2">
        <v>9</v>
      </c>
      <c r="N33" s="2">
        <v>8</v>
      </c>
      <c r="O33" s="2">
        <v>10</v>
      </c>
      <c r="P33" s="2">
        <v>8</v>
      </c>
      <c r="Q33" s="2" t="e">
        <f t="shared" ref="Q33:Q55" ca="1" si="9">_xludf.let(a,IFERROR(AVERAGE(G33:P33),0),ROUND(MAP(a, LAMBDA(x, 5 + (x * 0.5))),0))</f>
        <v>#NAME?</v>
      </c>
      <c r="R33" s="2">
        <v>10</v>
      </c>
      <c r="S33" s="2">
        <v>10</v>
      </c>
      <c r="T33" s="2">
        <v>10</v>
      </c>
      <c r="U33" s="2">
        <v>10</v>
      </c>
      <c r="V33" s="2">
        <v>10</v>
      </c>
      <c r="W33" s="54">
        <f t="shared" si="1"/>
        <v>10</v>
      </c>
      <c r="X33" s="48"/>
      <c r="Y33" s="4"/>
      <c r="Z33" s="3"/>
      <c r="AA33" s="2">
        <v>8</v>
      </c>
      <c r="AB33" s="2">
        <v>8</v>
      </c>
      <c r="AC33" s="2">
        <v>8</v>
      </c>
      <c r="AD33" s="2">
        <v>8</v>
      </c>
      <c r="AE33" s="2">
        <v>8</v>
      </c>
      <c r="AF33" s="2">
        <v>8</v>
      </c>
      <c r="AG33" s="2">
        <v>8</v>
      </c>
      <c r="AH33" s="2">
        <v>8</v>
      </c>
      <c r="AI33" s="2">
        <v>8</v>
      </c>
      <c r="AJ33" s="2">
        <v>8</v>
      </c>
      <c r="AK33" s="3"/>
      <c r="AL33" s="3"/>
      <c r="AM33" s="3"/>
      <c r="AN33" s="3"/>
      <c r="AO33" s="3"/>
      <c r="AP33" s="3"/>
      <c r="AQ33" s="2" t="e">
        <f t="shared" ref="AQ33:AQ55" ca="1" si="10">_xludf.let(a,IFERROR(AVERAGE(AA33:AP33),0),ROUND(MAP(a, LAMBDA(x, 5 + (x * 0.5))),0))</f>
        <v>#NAME?</v>
      </c>
      <c r="AR33" s="2">
        <v>10</v>
      </c>
      <c r="AS33" s="2">
        <v>10</v>
      </c>
      <c r="AT33" s="2">
        <v>10</v>
      </c>
      <c r="AU33" s="2">
        <v>10</v>
      </c>
      <c r="AV33" s="2">
        <v>10</v>
      </c>
      <c r="AW33" s="54">
        <f t="shared" si="3"/>
        <v>10</v>
      </c>
      <c r="AX33" s="48"/>
      <c r="AY33" s="2">
        <v>17</v>
      </c>
      <c r="AZ33" s="2">
        <v>8</v>
      </c>
      <c r="BA33" s="2">
        <v>8</v>
      </c>
      <c r="BB33" s="2">
        <v>8</v>
      </c>
      <c r="BC33" s="2">
        <v>8</v>
      </c>
      <c r="BD33" s="2">
        <v>8</v>
      </c>
      <c r="BE33" s="2">
        <v>8</v>
      </c>
      <c r="BF33" s="2">
        <v>8</v>
      </c>
      <c r="BG33" s="2">
        <v>8</v>
      </c>
      <c r="BH33" s="2">
        <v>8</v>
      </c>
      <c r="BI33" s="2">
        <v>8</v>
      </c>
      <c r="BJ33" s="2" t="e">
        <f t="shared" ref="BJ33:BJ55" ca="1" si="11">_xludf.let(a,IFERROR(AVERAGE(AZ33:BI33),0),ROUND(MAP(a, LAMBDA(x, 5 + (x * 0.5))),0))</f>
        <v>#NAME?</v>
      </c>
      <c r="BK33" s="2">
        <v>10</v>
      </c>
      <c r="BL33" s="2">
        <v>10</v>
      </c>
      <c r="BM33" s="2">
        <v>10</v>
      </c>
      <c r="BN33" s="2">
        <v>10</v>
      </c>
      <c r="BO33" s="2">
        <v>10</v>
      </c>
      <c r="BP33" s="54">
        <f t="shared" si="5"/>
        <v>10</v>
      </c>
      <c r="BQ33" s="5"/>
      <c r="BR33" s="5"/>
      <c r="BS33" s="5">
        <v>8</v>
      </c>
      <c r="BT33" s="5">
        <v>8</v>
      </c>
      <c r="BU33" s="5">
        <v>8</v>
      </c>
      <c r="BV33" s="5">
        <v>8</v>
      </c>
      <c r="BW33" s="5">
        <v>8</v>
      </c>
      <c r="BX33" s="5">
        <v>8</v>
      </c>
      <c r="BY33" s="5">
        <v>8</v>
      </c>
      <c r="BZ33" s="5">
        <v>8</v>
      </c>
      <c r="CA33" s="5">
        <v>8</v>
      </c>
      <c r="CB33" s="5">
        <v>8</v>
      </c>
      <c r="CC33" s="2" t="e">
        <f t="shared" ref="CC33:CC55" ca="1" si="12">_xludf.let(a,IFERROR(AVERAGE(BS33:CB33),0),ROUND(MAP(a, LAMBDA(x, 5 + (x * 0.5))),0))</f>
        <v>#NAME?</v>
      </c>
      <c r="CD33" s="55"/>
      <c r="CE33" s="2"/>
      <c r="CF33" s="56">
        <v>10</v>
      </c>
      <c r="CG33" s="56">
        <v>10</v>
      </c>
      <c r="CH33" s="56">
        <v>10</v>
      </c>
      <c r="CI33" s="56">
        <v>10</v>
      </c>
      <c r="CJ33" s="56">
        <v>10</v>
      </c>
      <c r="CK33" s="56">
        <v>10</v>
      </c>
      <c r="CL33" s="56">
        <v>10</v>
      </c>
      <c r="CM33" s="56">
        <v>10</v>
      </c>
      <c r="CN33" s="56">
        <v>10</v>
      </c>
      <c r="CO33" s="56">
        <v>10</v>
      </c>
      <c r="CP33" s="2" t="e">
        <f t="shared" ref="CP33:CP55" ca="1" si="13">_xludf.let(a,IFERROR(AVERAGE(CF33:CO33),0),ROUND(MAP(a, LAMBDA(x, 5 + (x * 0.5))),0))</f>
        <v>#NAME?</v>
      </c>
      <c r="CQ33" s="56">
        <v>10</v>
      </c>
      <c r="CR33" s="56">
        <v>10</v>
      </c>
      <c r="CS33" s="56">
        <v>10</v>
      </c>
      <c r="CT33" s="56">
        <v>10</v>
      </c>
      <c r="CU33" s="56">
        <v>10</v>
      </c>
      <c r="CV33" s="54">
        <f t="shared" si="8"/>
        <v>10</v>
      </c>
      <c r="CW33" s="55"/>
      <c r="CX33" s="3"/>
    </row>
    <row r="34" spans="1:102" ht="16.5" x14ac:dyDescent="0.55000000000000004">
      <c r="A34" s="17">
        <v>2</v>
      </c>
      <c r="B34" s="17" t="s">
        <v>3</v>
      </c>
      <c r="C34" s="23" t="s">
        <v>108</v>
      </c>
      <c r="D34" s="20" t="s">
        <v>109</v>
      </c>
      <c r="E34" s="48"/>
      <c r="F34" s="2"/>
      <c r="G34" s="2">
        <v>10</v>
      </c>
      <c r="H34" s="2">
        <v>10</v>
      </c>
      <c r="I34" s="2">
        <v>10</v>
      </c>
      <c r="J34" s="2">
        <v>10</v>
      </c>
      <c r="K34" s="2">
        <v>10</v>
      </c>
      <c r="L34" s="2">
        <v>10</v>
      </c>
      <c r="M34" s="2">
        <v>9</v>
      </c>
      <c r="N34" s="2">
        <v>9</v>
      </c>
      <c r="O34" s="2">
        <v>9</v>
      </c>
      <c r="P34" s="2">
        <v>9</v>
      </c>
      <c r="Q34" s="2" t="e">
        <f t="shared" ca="1" si="9"/>
        <v>#NAME?</v>
      </c>
      <c r="R34" s="2">
        <v>10</v>
      </c>
      <c r="S34" s="2">
        <v>10</v>
      </c>
      <c r="T34" s="2">
        <v>10</v>
      </c>
      <c r="U34" s="2">
        <v>10</v>
      </c>
      <c r="V34" s="2">
        <v>10</v>
      </c>
      <c r="W34" s="54">
        <f t="shared" si="1"/>
        <v>10</v>
      </c>
      <c r="X34" s="48"/>
      <c r="Y34" s="4"/>
      <c r="Z34" s="3"/>
      <c r="AA34" s="2">
        <v>10</v>
      </c>
      <c r="AB34" s="2">
        <v>10</v>
      </c>
      <c r="AC34" s="2">
        <v>10</v>
      </c>
      <c r="AD34" s="2">
        <v>10</v>
      </c>
      <c r="AE34" s="2">
        <v>10</v>
      </c>
      <c r="AF34" s="2">
        <v>10</v>
      </c>
      <c r="AG34" s="2">
        <v>10</v>
      </c>
      <c r="AH34" s="2">
        <v>10</v>
      </c>
      <c r="AI34" s="2">
        <v>10</v>
      </c>
      <c r="AJ34" s="2">
        <v>10</v>
      </c>
      <c r="AK34" s="3"/>
      <c r="AL34" s="3"/>
      <c r="AM34" s="3"/>
      <c r="AN34" s="3"/>
      <c r="AO34" s="3"/>
      <c r="AP34" s="3"/>
      <c r="AQ34" s="2" t="e">
        <f t="shared" ca="1" si="10"/>
        <v>#NAME?</v>
      </c>
      <c r="AR34" s="2">
        <v>10</v>
      </c>
      <c r="AS34" s="2">
        <v>10</v>
      </c>
      <c r="AT34" s="2">
        <v>10</v>
      </c>
      <c r="AU34" s="2">
        <v>10</v>
      </c>
      <c r="AV34" s="2">
        <v>10</v>
      </c>
      <c r="AW34" s="54">
        <f t="shared" si="3"/>
        <v>10</v>
      </c>
      <c r="AX34" s="48"/>
      <c r="AY34" s="2">
        <v>16</v>
      </c>
      <c r="AZ34" s="2">
        <v>10</v>
      </c>
      <c r="BA34" s="2">
        <v>10</v>
      </c>
      <c r="BB34" s="2">
        <v>9</v>
      </c>
      <c r="BC34" s="2">
        <v>9</v>
      </c>
      <c r="BD34" s="2">
        <v>9</v>
      </c>
      <c r="BE34" s="2">
        <v>9</v>
      </c>
      <c r="BF34" s="2">
        <v>9</v>
      </c>
      <c r="BG34" s="2">
        <v>9</v>
      </c>
      <c r="BH34" s="2">
        <v>9</v>
      </c>
      <c r="BI34" s="2">
        <v>9</v>
      </c>
      <c r="BJ34" s="2" t="e">
        <f t="shared" ca="1" si="11"/>
        <v>#NAME?</v>
      </c>
      <c r="BK34" s="2">
        <v>10</v>
      </c>
      <c r="BL34" s="2">
        <v>10</v>
      </c>
      <c r="BM34" s="2">
        <v>10</v>
      </c>
      <c r="BN34" s="2">
        <v>10</v>
      </c>
      <c r="BO34" s="2">
        <v>10</v>
      </c>
      <c r="BP34" s="54">
        <f t="shared" si="5"/>
        <v>10</v>
      </c>
      <c r="BQ34" s="5"/>
      <c r="BR34" s="5"/>
      <c r="BS34" s="5">
        <v>8</v>
      </c>
      <c r="BT34" s="5">
        <v>8</v>
      </c>
      <c r="BU34" s="5">
        <v>8</v>
      </c>
      <c r="BV34" s="5">
        <v>8</v>
      </c>
      <c r="BW34" s="5">
        <v>8</v>
      </c>
      <c r="BX34" s="5">
        <v>8</v>
      </c>
      <c r="BY34" s="5">
        <v>8</v>
      </c>
      <c r="BZ34" s="5">
        <v>8</v>
      </c>
      <c r="CA34" s="5">
        <v>8</v>
      </c>
      <c r="CB34" s="5">
        <v>8</v>
      </c>
      <c r="CC34" s="2" t="e">
        <f t="shared" ca="1" si="12"/>
        <v>#NAME?</v>
      </c>
      <c r="CD34" s="55"/>
      <c r="CE34" s="2"/>
      <c r="CF34" s="58">
        <v>10</v>
      </c>
      <c r="CG34" s="58">
        <v>10</v>
      </c>
      <c r="CH34" s="58">
        <v>10</v>
      </c>
      <c r="CI34" s="58">
        <v>10</v>
      </c>
      <c r="CJ34" s="58">
        <v>10</v>
      </c>
      <c r="CK34" s="58">
        <v>10</v>
      </c>
      <c r="CL34" s="58">
        <v>10</v>
      </c>
      <c r="CM34" s="58">
        <v>10</v>
      </c>
      <c r="CN34" s="56">
        <v>10</v>
      </c>
      <c r="CO34" s="56">
        <v>10</v>
      </c>
      <c r="CP34" s="2" t="e">
        <f t="shared" ca="1" si="13"/>
        <v>#NAME?</v>
      </c>
      <c r="CQ34" s="58">
        <v>10</v>
      </c>
      <c r="CR34" s="58">
        <v>10</v>
      </c>
      <c r="CS34" s="58">
        <v>10</v>
      </c>
      <c r="CT34" s="58">
        <v>10</v>
      </c>
      <c r="CU34" s="58">
        <v>10</v>
      </c>
      <c r="CV34" s="54">
        <f t="shared" si="8"/>
        <v>10</v>
      </c>
      <c r="CW34" s="55"/>
      <c r="CX34" s="3"/>
    </row>
    <row r="35" spans="1:102" ht="16.5" x14ac:dyDescent="0.55000000000000004">
      <c r="A35" s="17">
        <v>2</v>
      </c>
      <c r="B35" s="17" t="s">
        <v>3</v>
      </c>
      <c r="C35" s="23" t="s">
        <v>110</v>
      </c>
      <c r="D35" s="20" t="s">
        <v>111</v>
      </c>
      <c r="E35" s="48"/>
      <c r="F35" s="48"/>
      <c r="G35" s="2">
        <v>7</v>
      </c>
      <c r="H35" s="2">
        <v>8</v>
      </c>
      <c r="I35" s="2">
        <v>8</v>
      </c>
      <c r="J35" s="2">
        <v>8</v>
      </c>
      <c r="K35" s="2">
        <v>8</v>
      </c>
      <c r="L35" s="2">
        <v>9</v>
      </c>
      <c r="M35" s="2">
        <v>9</v>
      </c>
      <c r="N35" s="2">
        <v>8</v>
      </c>
      <c r="O35" s="2">
        <v>8</v>
      </c>
      <c r="P35" s="2">
        <v>7</v>
      </c>
      <c r="Q35" s="2" t="e">
        <f t="shared" ca="1" si="9"/>
        <v>#NAME?</v>
      </c>
      <c r="R35" s="2">
        <v>10</v>
      </c>
      <c r="S35" s="2">
        <v>10</v>
      </c>
      <c r="T35" s="2">
        <v>10</v>
      </c>
      <c r="U35" s="2">
        <v>10</v>
      </c>
      <c r="V35" s="2">
        <v>10</v>
      </c>
      <c r="W35" s="54">
        <f t="shared" si="1"/>
        <v>10</v>
      </c>
      <c r="X35" s="48"/>
      <c r="Y35" s="4"/>
      <c r="Z35" s="3"/>
      <c r="AA35" s="2">
        <v>6</v>
      </c>
      <c r="AB35" s="2">
        <v>6</v>
      </c>
      <c r="AC35" s="2">
        <v>6</v>
      </c>
      <c r="AD35" s="2">
        <v>6</v>
      </c>
      <c r="AE35" s="2">
        <v>6</v>
      </c>
      <c r="AF35" s="2">
        <v>6</v>
      </c>
      <c r="AG35" s="2">
        <v>6</v>
      </c>
      <c r="AH35" s="2">
        <v>6</v>
      </c>
      <c r="AI35" s="2">
        <v>6</v>
      </c>
      <c r="AJ35" s="2">
        <v>6</v>
      </c>
      <c r="AK35" s="3"/>
      <c r="AL35" s="3"/>
      <c r="AM35" s="3"/>
      <c r="AN35" s="3"/>
      <c r="AO35" s="3"/>
      <c r="AP35" s="3"/>
      <c r="AQ35" s="2" t="e">
        <f t="shared" ca="1" si="10"/>
        <v>#NAME?</v>
      </c>
      <c r="AR35" s="2">
        <v>6</v>
      </c>
      <c r="AS35" s="2">
        <v>6</v>
      </c>
      <c r="AT35" s="2">
        <v>6</v>
      </c>
      <c r="AU35" s="2">
        <v>6</v>
      </c>
      <c r="AV35" s="2">
        <v>6</v>
      </c>
      <c r="AW35" s="54">
        <f t="shared" si="3"/>
        <v>6</v>
      </c>
      <c r="AX35" s="48"/>
      <c r="AY35" s="2">
        <v>6</v>
      </c>
      <c r="AZ35" s="2">
        <v>9</v>
      </c>
      <c r="BA35" s="2">
        <v>9</v>
      </c>
      <c r="BB35" s="2">
        <v>6</v>
      </c>
      <c r="BC35" s="2">
        <v>6</v>
      </c>
      <c r="BD35" s="2">
        <v>6</v>
      </c>
      <c r="BE35" s="2">
        <v>6</v>
      </c>
      <c r="BF35" s="2">
        <v>6</v>
      </c>
      <c r="BG35" s="2">
        <v>6</v>
      </c>
      <c r="BH35" s="2">
        <v>6</v>
      </c>
      <c r="BI35" s="2">
        <v>6</v>
      </c>
      <c r="BJ35" s="2" t="e">
        <f t="shared" ca="1" si="11"/>
        <v>#NAME?</v>
      </c>
      <c r="BK35" s="5">
        <v>7</v>
      </c>
      <c r="BL35" s="5">
        <v>7</v>
      </c>
      <c r="BM35" s="5">
        <v>8</v>
      </c>
      <c r="BN35" s="5">
        <v>8</v>
      </c>
      <c r="BO35" s="5">
        <v>8</v>
      </c>
      <c r="BP35" s="54">
        <f t="shared" si="5"/>
        <v>8</v>
      </c>
      <c r="BQ35" s="5"/>
      <c r="BR35" s="5"/>
      <c r="BS35" s="5">
        <v>6</v>
      </c>
      <c r="BT35" s="5">
        <v>6</v>
      </c>
      <c r="BU35" s="5">
        <v>6</v>
      </c>
      <c r="BV35" s="5">
        <v>6</v>
      </c>
      <c r="BW35" s="5">
        <v>6</v>
      </c>
      <c r="BX35" s="5">
        <v>6</v>
      </c>
      <c r="BY35" s="5">
        <v>6</v>
      </c>
      <c r="BZ35" s="5">
        <v>6</v>
      </c>
      <c r="CA35" s="5">
        <v>6</v>
      </c>
      <c r="CB35" s="5">
        <v>6</v>
      </c>
      <c r="CC35" s="2" t="e">
        <f t="shared" ca="1" si="12"/>
        <v>#NAME?</v>
      </c>
      <c r="CD35" s="55"/>
      <c r="CE35" s="2"/>
      <c r="CF35" s="56">
        <v>9</v>
      </c>
      <c r="CG35" s="56">
        <v>9</v>
      </c>
      <c r="CH35" s="56">
        <v>10</v>
      </c>
      <c r="CI35" s="56">
        <v>10</v>
      </c>
      <c r="CJ35" s="56">
        <v>10</v>
      </c>
      <c r="CK35" s="56">
        <v>10</v>
      </c>
      <c r="CL35" s="56">
        <v>10</v>
      </c>
      <c r="CM35" s="56">
        <v>10</v>
      </c>
      <c r="CN35" s="56">
        <v>10</v>
      </c>
      <c r="CO35" s="56">
        <v>10</v>
      </c>
      <c r="CP35" s="2" t="e">
        <f t="shared" ca="1" si="13"/>
        <v>#NAME?</v>
      </c>
      <c r="CQ35" s="56">
        <v>10</v>
      </c>
      <c r="CR35" s="56">
        <v>10</v>
      </c>
      <c r="CS35" s="56">
        <v>10</v>
      </c>
      <c r="CT35" s="56">
        <v>10</v>
      </c>
      <c r="CU35" s="56">
        <v>10</v>
      </c>
      <c r="CV35" s="54">
        <f t="shared" si="8"/>
        <v>10</v>
      </c>
      <c r="CW35" s="55"/>
      <c r="CX35" s="3"/>
    </row>
    <row r="36" spans="1:102" ht="16.5" x14ac:dyDescent="0.55000000000000004">
      <c r="A36" s="17">
        <v>2</v>
      </c>
      <c r="B36" s="17" t="s">
        <v>3</v>
      </c>
      <c r="C36" s="23" t="s">
        <v>112</v>
      </c>
      <c r="D36" s="20" t="s">
        <v>113</v>
      </c>
      <c r="E36" s="48"/>
      <c r="F36" s="2"/>
      <c r="G36" s="2">
        <v>10</v>
      </c>
      <c r="H36" s="2">
        <v>10</v>
      </c>
      <c r="I36" s="2">
        <v>10</v>
      </c>
      <c r="J36" s="2">
        <v>10</v>
      </c>
      <c r="K36" s="2">
        <v>10</v>
      </c>
      <c r="L36" s="2">
        <v>10</v>
      </c>
      <c r="M36" s="2">
        <v>10</v>
      </c>
      <c r="N36" s="2">
        <v>9</v>
      </c>
      <c r="O36" s="2">
        <v>9</v>
      </c>
      <c r="P36" s="2">
        <v>9</v>
      </c>
      <c r="Q36" s="2" t="e">
        <f t="shared" ca="1" si="9"/>
        <v>#NAME?</v>
      </c>
      <c r="R36" s="2">
        <v>10</v>
      </c>
      <c r="S36" s="2">
        <v>10</v>
      </c>
      <c r="T36" s="2">
        <v>10</v>
      </c>
      <c r="U36" s="2">
        <v>10</v>
      </c>
      <c r="V36" s="2">
        <v>10</v>
      </c>
      <c r="W36" s="54">
        <f t="shared" si="1"/>
        <v>10</v>
      </c>
      <c r="X36" s="48"/>
      <c r="Y36" s="4"/>
      <c r="Z36" s="3"/>
      <c r="AA36" s="2">
        <v>6</v>
      </c>
      <c r="AB36" s="2">
        <v>6</v>
      </c>
      <c r="AC36" s="2">
        <v>6</v>
      </c>
      <c r="AD36" s="2">
        <v>6</v>
      </c>
      <c r="AE36" s="2">
        <v>6</v>
      </c>
      <c r="AF36" s="2">
        <v>6</v>
      </c>
      <c r="AG36" s="2">
        <v>6</v>
      </c>
      <c r="AH36" s="2">
        <v>6</v>
      </c>
      <c r="AI36" s="2">
        <v>6</v>
      </c>
      <c r="AJ36" s="2">
        <v>6</v>
      </c>
      <c r="AK36" s="3"/>
      <c r="AL36" s="3"/>
      <c r="AM36" s="3"/>
      <c r="AN36" s="3"/>
      <c r="AO36" s="3"/>
      <c r="AP36" s="3"/>
      <c r="AQ36" s="2" t="e">
        <f t="shared" ca="1" si="10"/>
        <v>#NAME?</v>
      </c>
      <c r="AR36" s="2">
        <v>8</v>
      </c>
      <c r="AS36" s="2">
        <v>8</v>
      </c>
      <c r="AT36" s="2">
        <v>8</v>
      </c>
      <c r="AU36" s="2">
        <v>8</v>
      </c>
      <c r="AV36" s="2">
        <v>8</v>
      </c>
      <c r="AW36" s="54">
        <f t="shared" si="3"/>
        <v>8</v>
      </c>
      <c r="AX36" s="48"/>
      <c r="AY36" s="2">
        <v>9</v>
      </c>
      <c r="AZ36" s="2">
        <v>6</v>
      </c>
      <c r="BA36" s="2">
        <v>6</v>
      </c>
      <c r="BB36" s="2">
        <v>6</v>
      </c>
      <c r="BC36" s="2">
        <v>6</v>
      </c>
      <c r="BD36" s="2">
        <v>6</v>
      </c>
      <c r="BE36" s="2">
        <v>6</v>
      </c>
      <c r="BF36" s="2">
        <v>6</v>
      </c>
      <c r="BG36" s="2">
        <v>6</v>
      </c>
      <c r="BH36" s="2">
        <v>6</v>
      </c>
      <c r="BI36" s="57">
        <v>6</v>
      </c>
      <c r="BJ36" s="2" t="e">
        <f t="shared" ca="1" si="11"/>
        <v>#NAME?</v>
      </c>
      <c r="BK36" s="5">
        <v>8</v>
      </c>
      <c r="BL36" s="67">
        <v>8</v>
      </c>
      <c r="BM36" s="67">
        <v>8</v>
      </c>
      <c r="BN36" s="67">
        <v>8</v>
      </c>
      <c r="BO36" s="67">
        <v>9</v>
      </c>
      <c r="BP36" s="54">
        <f t="shared" si="5"/>
        <v>9</v>
      </c>
      <c r="BQ36" s="5"/>
      <c r="BR36" s="5"/>
      <c r="BS36" s="5">
        <v>7</v>
      </c>
      <c r="BT36" s="5">
        <v>7</v>
      </c>
      <c r="BU36" s="5">
        <v>7</v>
      </c>
      <c r="BV36" s="5">
        <v>7</v>
      </c>
      <c r="BW36" s="5">
        <v>7</v>
      </c>
      <c r="BX36" s="5">
        <v>7</v>
      </c>
      <c r="BY36" s="5">
        <v>7</v>
      </c>
      <c r="BZ36" s="5">
        <v>7</v>
      </c>
      <c r="CA36" s="5">
        <v>7</v>
      </c>
      <c r="CB36" s="5">
        <v>7</v>
      </c>
      <c r="CC36" s="2" t="e">
        <f t="shared" ca="1" si="12"/>
        <v>#NAME?</v>
      </c>
      <c r="CD36" s="55"/>
      <c r="CE36" s="2"/>
      <c r="CF36" s="58">
        <v>9</v>
      </c>
      <c r="CG36" s="58">
        <v>10</v>
      </c>
      <c r="CH36" s="58">
        <v>10</v>
      </c>
      <c r="CI36" s="58">
        <v>10</v>
      </c>
      <c r="CJ36" s="58">
        <v>10</v>
      </c>
      <c r="CK36" s="58">
        <v>10</v>
      </c>
      <c r="CL36" s="58">
        <v>10</v>
      </c>
      <c r="CM36" s="58">
        <v>10</v>
      </c>
      <c r="CN36" s="58">
        <v>10</v>
      </c>
      <c r="CO36" s="58">
        <v>10</v>
      </c>
      <c r="CP36" s="2" t="e">
        <f t="shared" ca="1" si="13"/>
        <v>#NAME?</v>
      </c>
      <c r="CQ36" s="58">
        <v>10</v>
      </c>
      <c r="CR36" s="58">
        <v>10</v>
      </c>
      <c r="CS36" s="58">
        <v>10</v>
      </c>
      <c r="CT36" s="58">
        <v>10</v>
      </c>
      <c r="CU36" s="58">
        <v>10</v>
      </c>
      <c r="CV36" s="54">
        <f t="shared" si="8"/>
        <v>10</v>
      </c>
      <c r="CW36" s="55"/>
      <c r="CX36" s="3"/>
    </row>
    <row r="37" spans="1:102" ht="16.5" x14ac:dyDescent="0.55000000000000004">
      <c r="A37" s="17">
        <v>2</v>
      </c>
      <c r="B37" s="17" t="s">
        <v>3</v>
      </c>
      <c r="C37" s="23" t="s">
        <v>114</v>
      </c>
      <c r="D37" s="20" t="s">
        <v>115</v>
      </c>
      <c r="E37" s="48"/>
      <c r="F37" s="48"/>
      <c r="G37" s="2">
        <v>10</v>
      </c>
      <c r="H37" s="2">
        <v>10</v>
      </c>
      <c r="I37" s="2">
        <v>10</v>
      </c>
      <c r="J37" s="2">
        <v>10</v>
      </c>
      <c r="K37" s="2">
        <v>10</v>
      </c>
      <c r="L37" s="2">
        <v>10</v>
      </c>
      <c r="M37" s="2">
        <v>10</v>
      </c>
      <c r="N37" s="2">
        <v>10</v>
      </c>
      <c r="O37" s="2">
        <v>10</v>
      </c>
      <c r="P37" s="2">
        <v>10</v>
      </c>
      <c r="Q37" s="2" t="e">
        <f t="shared" ca="1" si="9"/>
        <v>#NAME?</v>
      </c>
      <c r="R37" s="2">
        <v>10</v>
      </c>
      <c r="S37" s="2">
        <v>10</v>
      </c>
      <c r="T37" s="2">
        <v>10</v>
      </c>
      <c r="U37" s="2">
        <v>10</v>
      </c>
      <c r="V37" s="2">
        <v>10</v>
      </c>
      <c r="W37" s="54">
        <f t="shared" si="1"/>
        <v>10</v>
      </c>
      <c r="X37" s="48"/>
      <c r="Y37" s="4"/>
      <c r="Z37" s="3"/>
      <c r="AA37" s="2">
        <v>10</v>
      </c>
      <c r="AB37" s="2">
        <v>10</v>
      </c>
      <c r="AC37" s="2">
        <v>10</v>
      </c>
      <c r="AD37" s="2">
        <v>10</v>
      </c>
      <c r="AE37" s="2">
        <v>10</v>
      </c>
      <c r="AF37" s="2">
        <v>10</v>
      </c>
      <c r="AG37" s="2">
        <v>10</v>
      </c>
      <c r="AH37" s="2">
        <v>10</v>
      </c>
      <c r="AI37" s="2">
        <v>10</v>
      </c>
      <c r="AJ37" s="2">
        <v>10</v>
      </c>
      <c r="AK37" s="3"/>
      <c r="AL37" s="3"/>
      <c r="AM37" s="3"/>
      <c r="AN37" s="3"/>
      <c r="AO37" s="3"/>
      <c r="AP37" s="3"/>
      <c r="AQ37" s="2" t="e">
        <f t="shared" ca="1" si="10"/>
        <v>#NAME?</v>
      </c>
      <c r="AR37" s="2">
        <v>10</v>
      </c>
      <c r="AS37" s="2">
        <v>10</v>
      </c>
      <c r="AT37" s="2">
        <v>10</v>
      </c>
      <c r="AU37" s="2">
        <v>10</v>
      </c>
      <c r="AV37" s="2">
        <v>10</v>
      </c>
      <c r="AW37" s="54">
        <f t="shared" si="3"/>
        <v>10</v>
      </c>
      <c r="AX37" s="48"/>
      <c r="AY37" s="2">
        <v>18</v>
      </c>
      <c r="AZ37" s="2">
        <v>10</v>
      </c>
      <c r="BA37" s="2">
        <v>10</v>
      </c>
      <c r="BB37" s="2">
        <v>10</v>
      </c>
      <c r="BC37" s="2">
        <v>10</v>
      </c>
      <c r="BD37" s="2">
        <v>10</v>
      </c>
      <c r="BE37" s="2">
        <v>10</v>
      </c>
      <c r="BF37" s="2">
        <v>10</v>
      </c>
      <c r="BG37" s="2">
        <v>10</v>
      </c>
      <c r="BH37" s="2">
        <v>10</v>
      </c>
      <c r="BI37" s="2">
        <v>10</v>
      </c>
      <c r="BJ37" s="2" t="e">
        <f t="shared" ca="1" si="11"/>
        <v>#NAME?</v>
      </c>
      <c r="BK37" s="2">
        <v>10</v>
      </c>
      <c r="BL37" s="2">
        <v>10</v>
      </c>
      <c r="BM37" s="2">
        <v>10</v>
      </c>
      <c r="BN37" s="2">
        <v>10</v>
      </c>
      <c r="BO37" s="2">
        <v>10</v>
      </c>
      <c r="BP37" s="54">
        <f t="shared" si="5"/>
        <v>10</v>
      </c>
      <c r="BQ37" s="5"/>
      <c r="BR37" s="5"/>
      <c r="BS37" s="5">
        <v>10</v>
      </c>
      <c r="BT37" s="5">
        <v>10</v>
      </c>
      <c r="BU37" s="5">
        <v>10</v>
      </c>
      <c r="BV37" s="5">
        <v>10</v>
      </c>
      <c r="BW37" s="5">
        <v>10</v>
      </c>
      <c r="BX37" s="5">
        <v>10</v>
      </c>
      <c r="BY37" s="5">
        <v>10</v>
      </c>
      <c r="BZ37" s="5">
        <v>10</v>
      </c>
      <c r="CA37" s="5">
        <v>10</v>
      </c>
      <c r="CB37" s="5">
        <v>10</v>
      </c>
      <c r="CC37" s="2" t="e">
        <f t="shared" ca="1" si="12"/>
        <v>#NAME?</v>
      </c>
      <c r="CD37" s="55"/>
      <c r="CE37" s="2"/>
      <c r="CF37" s="56">
        <v>10</v>
      </c>
      <c r="CG37" s="56">
        <v>10</v>
      </c>
      <c r="CH37" s="56">
        <v>10</v>
      </c>
      <c r="CI37" s="56">
        <v>10</v>
      </c>
      <c r="CJ37" s="56">
        <v>10</v>
      </c>
      <c r="CK37" s="56">
        <v>10</v>
      </c>
      <c r="CL37" s="56">
        <v>10</v>
      </c>
      <c r="CM37" s="56">
        <v>10</v>
      </c>
      <c r="CN37" s="56">
        <v>10</v>
      </c>
      <c r="CO37" s="56">
        <v>10</v>
      </c>
      <c r="CP37" s="2" t="e">
        <f t="shared" ca="1" si="13"/>
        <v>#NAME?</v>
      </c>
      <c r="CQ37" s="56">
        <v>10</v>
      </c>
      <c r="CR37" s="56">
        <v>10</v>
      </c>
      <c r="CS37" s="56">
        <v>10</v>
      </c>
      <c r="CT37" s="56">
        <v>10</v>
      </c>
      <c r="CU37" s="56">
        <v>10</v>
      </c>
      <c r="CV37" s="54">
        <f t="shared" si="8"/>
        <v>10</v>
      </c>
      <c r="CW37" s="55"/>
      <c r="CX37" s="3"/>
    </row>
    <row r="38" spans="1:102" ht="16.5" x14ac:dyDescent="0.55000000000000004">
      <c r="A38" s="17">
        <v>2</v>
      </c>
      <c r="B38" s="17" t="s">
        <v>3</v>
      </c>
      <c r="C38" s="23" t="s">
        <v>116</v>
      </c>
      <c r="D38" s="20" t="s">
        <v>117</v>
      </c>
      <c r="E38" s="48"/>
      <c r="F38" s="48"/>
      <c r="G38" s="2">
        <v>10</v>
      </c>
      <c r="H38" s="2">
        <v>10</v>
      </c>
      <c r="I38" s="2">
        <v>10</v>
      </c>
      <c r="J38" s="2">
        <v>10</v>
      </c>
      <c r="K38" s="2">
        <v>10</v>
      </c>
      <c r="L38" s="2">
        <v>10</v>
      </c>
      <c r="M38" s="2">
        <v>9</v>
      </c>
      <c r="N38" s="2">
        <v>10</v>
      </c>
      <c r="O38" s="2">
        <v>10</v>
      </c>
      <c r="P38" s="2">
        <v>10</v>
      </c>
      <c r="Q38" s="2" t="e">
        <f t="shared" ca="1" si="9"/>
        <v>#NAME?</v>
      </c>
      <c r="R38" s="2">
        <v>10</v>
      </c>
      <c r="S38" s="2">
        <v>10</v>
      </c>
      <c r="T38" s="2">
        <v>10</v>
      </c>
      <c r="U38" s="2">
        <v>10</v>
      </c>
      <c r="V38" s="2">
        <v>10</v>
      </c>
      <c r="W38" s="54">
        <f t="shared" si="1"/>
        <v>10</v>
      </c>
      <c r="X38" s="48"/>
      <c r="Y38" s="4"/>
      <c r="Z38" s="3"/>
      <c r="AA38" s="2">
        <v>10</v>
      </c>
      <c r="AB38" s="2">
        <v>10</v>
      </c>
      <c r="AC38" s="2">
        <v>10</v>
      </c>
      <c r="AD38" s="2">
        <v>10</v>
      </c>
      <c r="AE38" s="2">
        <v>10</v>
      </c>
      <c r="AF38" s="2">
        <v>10</v>
      </c>
      <c r="AG38" s="2">
        <v>10</v>
      </c>
      <c r="AH38" s="2">
        <v>10</v>
      </c>
      <c r="AI38" s="2">
        <v>10</v>
      </c>
      <c r="AJ38" s="2">
        <v>10</v>
      </c>
      <c r="AK38" s="3"/>
      <c r="AL38" s="3"/>
      <c r="AM38" s="3"/>
      <c r="AN38" s="3"/>
      <c r="AO38" s="3"/>
      <c r="AP38" s="3"/>
      <c r="AQ38" s="2" t="e">
        <f t="shared" ca="1" si="10"/>
        <v>#NAME?</v>
      </c>
      <c r="AR38" s="2">
        <v>10</v>
      </c>
      <c r="AS38" s="2">
        <v>10</v>
      </c>
      <c r="AT38" s="2">
        <v>10</v>
      </c>
      <c r="AU38" s="2">
        <v>10</v>
      </c>
      <c r="AV38" s="2">
        <v>10</v>
      </c>
      <c r="AW38" s="54">
        <f t="shared" si="3"/>
        <v>10</v>
      </c>
      <c r="AX38" s="48"/>
      <c r="AY38" s="2">
        <v>20</v>
      </c>
      <c r="AZ38" s="2">
        <v>9</v>
      </c>
      <c r="BA38" s="2">
        <v>10</v>
      </c>
      <c r="BB38" s="2">
        <v>10</v>
      </c>
      <c r="BC38" s="2">
        <v>10</v>
      </c>
      <c r="BD38" s="2">
        <v>10</v>
      </c>
      <c r="BE38" s="2">
        <v>10</v>
      </c>
      <c r="BF38" s="2">
        <v>10</v>
      </c>
      <c r="BG38" s="2">
        <v>10</v>
      </c>
      <c r="BH38" s="2">
        <v>10</v>
      </c>
      <c r="BI38" s="2">
        <v>10</v>
      </c>
      <c r="BJ38" s="2" t="e">
        <f t="shared" ca="1" si="11"/>
        <v>#NAME?</v>
      </c>
      <c r="BK38" s="2">
        <v>10</v>
      </c>
      <c r="BL38" s="2">
        <v>10</v>
      </c>
      <c r="BM38" s="2">
        <v>10</v>
      </c>
      <c r="BN38" s="2">
        <v>10</v>
      </c>
      <c r="BO38" s="2">
        <v>10</v>
      </c>
      <c r="BP38" s="54">
        <f t="shared" si="5"/>
        <v>10</v>
      </c>
      <c r="BQ38" s="5"/>
      <c r="BR38" s="5"/>
      <c r="BS38" s="5">
        <v>10</v>
      </c>
      <c r="BT38" s="5">
        <v>10</v>
      </c>
      <c r="BU38" s="5">
        <v>10</v>
      </c>
      <c r="BV38" s="5">
        <v>10</v>
      </c>
      <c r="BW38" s="5">
        <v>10</v>
      </c>
      <c r="BX38" s="5">
        <v>10</v>
      </c>
      <c r="BY38" s="5">
        <v>10</v>
      </c>
      <c r="BZ38" s="5">
        <v>10</v>
      </c>
      <c r="CA38" s="5">
        <v>10</v>
      </c>
      <c r="CB38" s="5">
        <v>10</v>
      </c>
      <c r="CC38" s="2" t="e">
        <f t="shared" ca="1" si="12"/>
        <v>#NAME?</v>
      </c>
      <c r="CD38" s="55"/>
      <c r="CE38" s="2"/>
      <c r="CF38" s="58">
        <v>10</v>
      </c>
      <c r="CG38" s="58">
        <v>10</v>
      </c>
      <c r="CH38" s="58">
        <v>10</v>
      </c>
      <c r="CI38" s="58">
        <v>10</v>
      </c>
      <c r="CJ38" s="58">
        <v>10</v>
      </c>
      <c r="CK38" s="58">
        <v>10</v>
      </c>
      <c r="CL38" s="58">
        <v>10</v>
      </c>
      <c r="CM38" s="58">
        <v>10</v>
      </c>
      <c r="CN38" s="58">
        <v>10</v>
      </c>
      <c r="CO38" s="58">
        <v>10</v>
      </c>
      <c r="CP38" s="2" t="e">
        <f t="shared" ca="1" si="13"/>
        <v>#NAME?</v>
      </c>
      <c r="CQ38" s="58">
        <v>10</v>
      </c>
      <c r="CR38" s="58">
        <v>10</v>
      </c>
      <c r="CS38" s="58">
        <v>10</v>
      </c>
      <c r="CT38" s="58">
        <v>10</v>
      </c>
      <c r="CU38" s="58">
        <v>10</v>
      </c>
      <c r="CV38" s="54">
        <f t="shared" si="8"/>
        <v>10</v>
      </c>
      <c r="CW38" s="55"/>
      <c r="CX38" s="3"/>
    </row>
    <row r="39" spans="1:102" ht="16.5" x14ac:dyDescent="0.55000000000000004">
      <c r="A39" s="17">
        <v>2</v>
      </c>
      <c r="B39" s="17" t="s">
        <v>3</v>
      </c>
      <c r="C39" s="23" t="s">
        <v>118</v>
      </c>
      <c r="D39" s="20" t="s">
        <v>119</v>
      </c>
      <c r="E39" s="48"/>
      <c r="F39" s="2"/>
      <c r="G39" s="2">
        <v>10</v>
      </c>
      <c r="H39" s="2">
        <v>10</v>
      </c>
      <c r="I39" s="2">
        <v>10</v>
      </c>
      <c r="J39" s="2">
        <v>10</v>
      </c>
      <c r="K39" s="2">
        <v>10</v>
      </c>
      <c r="L39" s="2">
        <v>10</v>
      </c>
      <c r="M39" s="2">
        <v>10</v>
      </c>
      <c r="N39" s="2">
        <v>9</v>
      </c>
      <c r="O39" s="2">
        <v>9</v>
      </c>
      <c r="P39" s="2">
        <v>10</v>
      </c>
      <c r="Q39" s="2" t="e">
        <f t="shared" ca="1" si="9"/>
        <v>#NAME?</v>
      </c>
      <c r="R39" s="2">
        <v>10</v>
      </c>
      <c r="S39" s="2">
        <v>10</v>
      </c>
      <c r="T39" s="2">
        <v>10</v>
      </c>
      <c r="U39" s="2">
        <v>10</v>
      </c>
      <c r="V39" s="2">
        <v>10</v>
      </c>
      <c r="W39" s="54">
        <f t="shared" si="1"/>
        <v>10</v>
      </c>
      <c r="X39" s="48"/>
      <c r="Y39" s="4"/>
      <c r="Z39" s="3"/>
      <c r="AA39" s="2">
        <v>10</v>
      </c>
      <c r="AB39" s="2">
        <v>10</v>
      </c>
      <c r="AC39" s="2">
        <v>10</v>
      </c>
      <c r="AD39" s="2">
        <v>10</v>
      </c>
      <c r="AE39" s="2">
        <v>10</v>
      </c>
      <c r="AF39" s="2">
        <v>10</v>
      </c>
      <c r="AG39" s="2">
        <v>10</v>
      </c>
      <c r="AH39" s="2">
        <v>10</v>
      </c>
      <c r="AI39" s="2">
        <v>10</v>
      </c>
      <c r="AJ39" s="2">
        <v>10</v>
      </c>
      <c r="AK39" s="3"/>
      <c r="AL39" s="3"/>
      <c r="AM39" s="3"/>
      <c r="AN39" s="3"/>
      <c r="AO39" s="3"/>
      <c r="AP39" s="3"/>
      <c r="AQ39" s="2" t="e">
        <f t="shared" ca="1" si="10"/>
        <v>#NAME?</v>
      </c>
      <c r="AR39" s="2">
        <v>10</v>
      </c>
      <c r="AS39" s="2">
        <v>10</v>
      </c>
      <c r="AT39" s="2">
        <v>10</v>
      </c>
      <c r="AU39" s="2">
        <v>10</v>
      </c>
      <c r="AV39" s="2">
        <v>10</v>
      </c>
      <c r="AW39" s="54">
        <f t="shared" si="3"/>
        <v>10</v>
      </c>
      <c r="AX39" s="48"/>
      <c r="AY39" s="2">
        <v>4</v>
      </c>
      <c r="AZ39" s="2">
        <v>9</v>
      </c>
      <c r="BA39" s="2">
        <v>9</v>
      </c>
      <c r="BB39" s="2">
        <v>8</v>
      </c>
      <c r="BC39" s="2">
        <v>8</v>
      </c>
      <c r="BD39" s="2">
        <v>8</v>
      </c>
      <c r="BE39" s="2">
        <v>8</v>
      </c>
      <c r="BF39" s="2">
        <v>8</v>
      </c>
      <c r="BG39" s="2">
        <v>8</v>
      </c>
      <c r="BH39" s="2">
        <v>8</v>
      </c>
      <c r="BI39" s="57">
        <v>8</v>
      </c>
      <c r="BJ39" s="2" t="e">
        <f t="shared" ca="1" si="11"/>
        <v>#NAME?</v>
      </c>
      <c r="BK39" s="5">
        <v>8</v>
      </c>
      <c r="BL39" s="5">
        <v>8</v>
      </c>
      <c r="BM39" s="5">
        <v>8</v>
      </c>
      <c r="BN39" s="5">
        <v>9</v>
      </c>
      <c r="BO39" s="5">
        <v>9</v>
      </c>
      <c r="BP39" s="54">
        <f t="shared" si="5"/>
        <v>9</v>
      </c>
      <c r="BQ39" s="5"/>
      <c r="BR39" s="5"/>
      <c r="BS39" s="5">
        <v>10</v>
      </c>
      <c r="BT39" s="5">
        <v>10</v>
      </c>
      <c r="BU39" s="5">
        <v>10</v>
      </c>
      <c r="BV39" s="5">
        <v>10</v>
      </c>
      <c r="BW39" s="5">
        <v>10</v>
      </c>
      <c r="BX39" s="5">
        <v>10</v>
      </c>
      <c r="BY39" s="5">
        <v>10</v>
      </c>
      <c r="BZ39" s="5">
        <v>10</v>
      </c>
      <c r="CA39" s="5">
        <v>10</v>
      </c>
      <c r="CB39" s="5">
        <v>10</v>
      </c>
      <c r="CC39" s="2" t="e">
        <f t="shared" ca="1" si="12"/>
        <v>#NAME?</v>
      </c>
      <c r="CD39" s="55"/>
      <c r="CE39" s="2"/>
      <c r="CF39" s="56">
        <v>10</v>
      </c>
      <c r="CG39" s="56">
        <v>10</v>
      </c>
      <c r="CH39" s="56">
        <v>10</v>
      </c>
      <c r="CI39" s="56">
        <v>10</v>
      </c>
      <c r="CJ39" s="56">
        <v>10</v>
      </c>
      <c r="CK39" s="56">
        <v>10</v>
      </c>
      <c r="CL39" s="56">
        <v>10</v>
      </c>
      <c r="CM39" s="56">
        <v>10</v>
      </c>
      <c r="CN39" s="56">
        <v>10</v>
      </c>
      <c r="CO39" s="56">
        <v>10</v>
      </c>
      <c r="CP39" s="2" t="e">
        <f t="shared" ca="1" si="13"/>
        <v>#NAME?</v>
      </c>
      <c r="CQ39" s="56">
        <v>10</v>
      </c>
      <c r="CR39" s="56">
        <v>10</v>
      </c>
      <c r="CS39" s="56">
        <v>10</v>
      </c>
      <c r="CT39" s="56">
        <v>10</v>
      </c>
      <c r="CU39" s="56">
        <v>10</v>
      </c>
      <c r="CV39" s="54">
        <f t="shared" si="8"/>
        <v>10</v>
      </c>
      <c r="CW39" s="55"/>
      <c r="CX39" s="3"/>
    </row>
    <row r="40" spans="1:102" ht="16.5" x14ac:dyDescent="0.55000000000000004">
      <c r="A40" s="17">
        <v>2</v>
      </c>
      <c r="B40" s="17" t="s">
        <v>3</v>
      </c>
      <c r="C40" s="23" t="s">
        <v>120</v>
      </c>
      <c r="D40" s="20" t="s">
        <v>121</v>
      </c>
      <c r="E40" s="48"/>
      <c r="F40" s="2"/>
      <c r="G40" s="2">
        <v>10</v>
      </c>
      <c r="H40" s="2">
        <v>10</v>
      </c>
      <c r="I40" s="2">
        <v>10</v>
      </c>
      <c r="J40" s="2">
        <v>10</v>
      </c>
      <c r="K40" s="2">
        <v>10</v>
      </c>
      <c r="L40" s="2">
        <v>10</v>
      </c>
      <c r="M40" s="2">
        <v>10</v>
      </c>
      <c r="N40" s="2">
        <v>10</v>
      </c>
      <c r="O40" s="2">
        <v>9</v>
      </c>
      <c r="P40" s="2">
        <v>9</v>
      </c>
      <c r="Q40" s="2" t="e">
        <f t="shared" ca="1" si="9"/>
        <v>#NAME?</v>
      </c>
      <c r="R40" s="2">
        <v>10</v>
      </c>
      <c r="S40" s="2">
        <v>10</v>
      </c>
      <c r="T40" s="2">
        <v>10</v>
      </c>
      <c r="U40" s="2">
        <v>10</v>
      </c>
      <c r="V40" s="2">
        <v>10</v>
      </c>
      <c r="W40" s="54">
        <f t="shared" si="1"/>
        <v>10</v>
      </c>
      <c r="X40" s="48"/>
      <c r="Y40" s="2"/>
      <c r="Z40" s="2"/>
      <c r="AA40" s="2">
        <v>10</v>
      </c>
      <c r="AB40" s="2">
        <v>10</v>
      </c>
      <c r="AC40" s="2">
        <v>10</v>
      </c>
      <c r="AD40" s="2">
        <v>10</v>
      </c>
      <c r="AE40" s="2">
        <v>10</v>
      </c>
      <c r="AF40" s="2">
        <v>10</v>
      </c>
      <c r="AG40" s="2">
        <v>10</v>
      </c>
      <c r="AH40" s="2">
        <v>10</v>
      </c>
      <c r="AI40" s="2">
        <v>10</v>
      </c>
      <c r="AJ40" s="2">
        <v>10</v>
      </c>
      <c r="AK40" s="3"/>
      <c r="AL40" s="3"/>
      <c r="AM40" s="3"/>
      <c r="AN40" s="3"/>
      <c r="AO40" s="3"/>
      <c r="AP40" s="3"/>
      <c r="AQ40" s="2" t="e">
        <f t="shared" ca="1" si="10"/>
        <v>#NAME?</v>
      </c>
      <c r="AR40" s="2">
        <v>10</v>
      </c>
      <c r="AS40" s="2">
        <v>10</v>
      </c>
      <c r="AT40" s="2">
        <v>10</v>
      </c>
      <c r="AU40" s="2">
        <v>10</v>
      </c>
      <c r="AV40" s="2">
        <v>10</v>
      </c>
      <c r="AW40" s="54">
        <f t="shared" si="3"/>
        <v>10</v>
      </c>
      <c r="AX40" s="48"/>
      <c r="AY40" s="2">
        <v>7</v>
      </c>
      <c r="AZ40" s="2">
        <v>8</v>
      </c>
      <c r="BA40" s="2">
        <v>9</v>
      </c>
      <c r="BB40" s="2">
        <v>10</v>
      </c>
      <c r="BC40" s="2">
        <v>10</v>
      </c>
      <c r="BD40" s="2">
        <v>10</v>
      </c>
      <c r="BE40" s="2">
        <v>10</v>
      </c>
      <c r="BF40" s="2">
        <v>10</v>
      </c>
      <c r="BG40" s="2">
        <v>10</v>
      </c>
      <c r="BH40" s="2">
        <v>10</v>
      </c>
      <c r="BI40" s="2">
        <v>10</v>
      </c>
      <c r="BJ40" s="2" t="e">
        <f t="shared" ca="1" si="11"/>
        <v>#NAME?</v>
      </c>
      <c r="BK40" s="2">
        <v>9</v>
      </c>
      <c r="BL40" s="2">
        <v>10</v>
      </c>
      <c r="BM40" s="2">
        <v>10</v>
      </c>
      <c r="BN40" s="2">
        <v>10</v>
      </c>
      <c r="BO40" s="2">
        <v>10</v>
      </c>
      <c r="BP40" s="54">
        <f t="shared" si="5"/>
        <v>10</v>
      </c>
      <c r="BQ40" s="5"/>
      <c r="BR40" s="5"/>
      <c r="BS40" s="5">
        <v>10</v>
      </c>
      <c r="BT40" s="5">
        <v>10</v>
      </c>
      <c r="BU40" s="5">
        <v>10</v>
      </c>
      <c r="BV40" s="5">
        <v>10</v>
      </c>
      <c r="BW40" s="5">
        <v>10</v>
      </c>
      <c r="BX40" s="5">
        <v>10</v>
      </c>
      <c r="BY40" s="5">
        <v>10</v>
      </c>
      <c r="BZ40" s="5">
        <v>10</v>
      </c>
      <c r="CA40" s="5">
        <v>10</v>
      </c>
      <c r="CB40" s="5">
        <v>10</v>
      </c>
      <c r="CC40" s="2" t="e">
        <f t="shared" ca="1" si="12"/>
        <v>#NAME?</v>
      </c>
      <c r="CD40" s="55"/>
      <c r="CE40" s="2"/>
      <c r="CF40" s="58">
        <v>10</v>
      </c>
      <c r="CG40" s="58">
        <v>10</v>
      </c>
      <c r="CH40" s="58">
        <v>10</v>
      </c>
      <c r="CI40" s="58">
        <v>10</v>
      </c>
      <c r="CJ40" s="58">
        <v>10</v>
      </c>
      <c r="CK40" s="58">
        <v>10</v>
      </c>
      <c r="CL40" s="58">
        <v>10</v>
      </c>
      <c r="CM40" s="58">
        <v>10</v>
      </c>
      <c r="CN40" s="58">
        <v>10</v>
      </c>
      <c r="CO40" s="58">
        <v>10</v>
      </c>
      <c r="CP40" s="2" t="e">
        <f t="shared" ca="1" si="13"/>
        <v>#NAME?</v>
      </c>
      <c r="CQ40" s="58">
        <v>10</v>
      </c>
      <c r="CR40" s="58">
        <v>10</v>
      </c>
      <c r="CS40" s="58">
        <v>10</v>
      </c>
      <c r="CT40" s="58">
        <v>10</v>
      </c>
      <c r="CU40" s="58">
        <v>10</v>
      </c>
      <c r="CV40" s="54">
        <f t="shared" si="8"/>
        <v>10</v>
      </c>
      <c r="CW40" s="55"/>
      <c r="CX40" s="3"/>
    </row>
    <row r="41" spans="1:102" ht="16.5" x14ac:dyDescent="0.55000000000000004">
      <c r="A41" s="17">
        <v>2</v>
      </c>
      <c r="B41" s="17" t="s">
        <v>3</v>
      </c>
      <c r="C41" s="23" t="s">
        <v>122</v>
      </c>
      <c r="D41" s="20" t="s">
        <v>123</v>
      </c>
      <c r="E41" s="48"/>
      <c r="F41" s="2"/>
      <c r="G41" s="2">
        <v>10</v>
      </c>
      <c r="H41" s="2">
        <v>10</v>
      </c>
      <c r="I41" s="2">
        <v>10</v>
      </c>
      <c r="J41" s="2">
        <v>10</v>
      </c>
      <c r="K41" s="2">
        <v>10</v>
      </c>
      <c r="L41" s="2">
        <v>10</v>
      </c>
      <c r="M41" s="2">
        <v>10</v>
      </c>
      <c r="N41" s="2">
        <v>10</v>
      </c>
      <c r="O41" s="2">
        <v>10</v>
      </c>
      <c r="P41" s="2">
        <v>10</v>
      </c>
      <c r="Q41" s="2" t="e">
        <f t="shared" ca="1" si="9"/>
        <v>#NAME?</v>
      </c>
      <c r="R41" s="2">
        <v>10</v>
      </c>
      <c r="S41" s="2">
        <v>10</v>
      </c>
      <c r="T41" s="2">
        <v>10</v>
      </c>
      <c r="U41" s="2">
        <v>10</v>
      </c>
      <c r="V41" s="2">
        <v>10</v>
      </c>
      <c r="W41" s="54">
        <f t="shared" si="1"/>
        <v>10</v>
      </c>
      <c r="X41" s="48"/>
      <c r="Y41" s="2"/>
      <c r="Z41" s="2"/>
      <c r="AA41" s="2">
        <v>10</v>
      </c>
      <c r="AB41" s="2">
        <v>10</v>
      </c>
      <c r="AC41" s="2">
        <v>10</v>
      </c>
      <c r="AD41" s="2">
        <v>10</v>
      </c>
      <c r="AE41" s="2">
        <v>10</v>
      </c>
      <c r="AF41" s="2">
        <v>10</v>
      </c>
      <c r="AG41" s="2">
        <v>10</v>
      </c>
      <c r="AH41" s="2">
        <v>10</v>
      </c>
      <c r="AI41" s="2">
        <v>10</v>
      </c>
      <c r="AJ41" s="2">
        <v>10</v>
      </c>
      <c r="AK41" s="3"/>
      <c r="AL41" s="3"/>
      <c r="AM41" s="3"/>
      <c r="AN41" s="3"/>
      <c r="AO41" s="3"/>
      <c r="AP41" s="3"/>
      <c r="AQ41" s="2" t="e">
        <f t="shared" ca="1" si="10"/>
        <v>#NAME?</v>
      </c>
      <c r="AR41" s="2">
        <v>10</v>
      </c>
      <c r="AS41" s="2">
        <v>10</v>
      </c>
      <c r="AT41" s="2">
        <v>10</v>
      </c>
      <c r="AU41" s="2">
        <v>10</v>
      </c>
      <c r="AV41" s="2">
        <v>10</v>
      </c>
      <c r="AW41" s="54">
        <f t="shared" si="3"/>
        <v>10</v>
      </c>
      <c r="AX41" s="48"/>
      <c r="AY41" s="2">
        <v>19</v>
      </c>
      <c r="AZ41" s="2">
        <v>9</v>
      </c>
      <c r="BA41" s="2">
        <v>9</v>
      </c>
      <c r="BB41" s="2">
        <v>9</v>
      </c>
      <c r="BC41" s="2">
        <v>9</v>
      </c>
      <c r="BD41" s="2">
        <v>9</v>
      </c>
      <c r="BE41" s="2">
        <v>9</v>
      </c>
      <c r="BF41" s="2">
        <v>9</v>
      </c>
      <c r="BG41" s="2">
        <v>9</v>
      </c>
      <c r="BH41" s="2">
        <v>9</v>
      </c>
      <c r="BI41" s="2">
        <v>9</v>
      </c>
      <c r="BJ41" s="2" t="e">
        <f t="shared" ca="1" si="11"/>
        <v>#NAME?</v>
      </c>
      <c r="BK41" s="2">
        <v>10</v>
      </c>
      <c r="BL41" s="2">
        <v>10</v>
      </c>
      <c r="BM41" s="2">
        <v>10</v>
      </c>
      <c r="BN41" s="2">
        <v>10</v>
      </c>
      <c r="BO41" s="2">
        <v>10</v>
      </c>
      <c r="BP41" s="54">
        <f t="shared" si="5"/>
        <v>10</v>
      </c>
      <c r="BQ41" s="5"/>
      <c r="BR41" s="5"/>
      <c r="BS41" s="5">
        <v>10</v>
      </c>
      <c r="BT41" s="5">
        <v>10</v>
      </c>
      <c r="BU41" s="5">
        <v>10</v>
      </c>
      <c r="BV41" s="5">
        <v>10</v>
      </c>
      <c r="BW41" s="5">
        <v>10</v>
      </c>
      <c r="BX41" s="5">
        <v>10</v>
      </c>
      <c r="BY41" s="5">
        <v>10</v>
      </c>
      <c r="BZ41" s="5">
        <v>10</v>
      </c>
      <c r="CA41" s="5">
        <v>10</v>
      </c>
      <c r="CB41" s="5">
        <v>10</v>
      </c>
      <c r="CC41" s="2" t="e">
        <f t="shared" ca="1" si="12"/>
        <v>#NAME?</v>
      </c>
      <c r="CD41" s="55"/>
      <c r="CE41" s="2"/>
      <c r="CF41" s="56">
        <v>10</v>
      </c>
      <c r="CG41" s="56">
        <v>10</v>
      </c>
      <c r="CH41" s="56">
        <v>10</v>
      </c>
      <c r="CI41" s="56">
        <v>10</v>
      </c>
      <c r="CJ41" s="56">
        <v>10</v>
      </c>
      <c r="CK41" s="56">
        <v>10</v>
      </c>
      <c r="CL41" s="56">
        <v>10</v>
      </c>
      <c r="CM41" s="56">
        <v>10</v>
      </c>
      <c r="CN41" s="56">
        <v>10</v>
      </c>
      <c r="CO41" s="56">
        <v>10</v>
      </c>
      <c r="CP41" s="2" t="e">
        <f t="shared" ca="1" si="13"/>
        <v>#NAME?</v>
      </c>
      <c r="CQ41" s="56">
        <v>10</v>
      </c>
      <c r="CR41" s="56">
        <v>10</v>
      </c>
      <c r="CS41" s="56">
        <v>10</v>
      </c>
      <c r="CT41" s="56">
        <v>10</v>
      </c>
      <c r="CU41" s="56">
        <v>10</v>
      </c>
      <c r="CV41" s="54">
        <f t="shared" si="8"/>
        <v>10</v>
      </c>
      <c r="CW41" s="55"/>
      <c r="CX41" s="3"/>
    </row>
    <row r="42" spans="1:102" ht="16.5" x14ac:dyDescent="0.55000000000000004">
      <c r="A42" s="17">
        <v>2</v>
      </c>
      <c r="B42" s="17" t="s">
        <v>3</v>
      </c>
      <c r="C42" s="23" t="s">
        <v>124</v>
      </c>
      <c r="D42" s="20" t="s">
        <v>125</v>
      </c>
      <c r="E42" s="48"/>
      <c r="F42" s="2"/>
      <c r="G42" s="2">
        <v>10</v>
      </c>
      <c r="H42" s="2">
        <v>10</v>
      </c>
      <c r="I42" s="2">
        <v>10</v>
      </c>
      <c r="J42" s="2">
        <v>10</v>
      </c>
      <c r="K42" s="2">
        <v>10</v>
      </c>
      <c r="L42" s="2">
        <v>10</v>
      </c>
      <c r="M42" s="2">
        <v>10</v>
      </c>
      <c r="N42" s="2">
        <v>10</v>
      </c>
      <c r="O42" s="2">
        <v>10</v>
      </c>
      <c r="P42" s="2">
        <v>10</v>
      </c>
      <c r="Q42" s="2" t="e">
        <f t="shared" ca="1" si="9"/>
        <v>#NAME?</v>
      </c>
      <c r="R42" s="2">
        <v>10</v>
      </c>
      <c r="S42" s="2">
        <v>10</v>
      </c>
      <c r="T42" s="2">
        <v>10</v>
      </c>
      <c r="U42" s="2">
        <v>10</v>
      </c>
      <c r="V42" s="2">
        <v>10</v>
      </c>
      <c r="W42" s="54">
        <f t="shared" si="1"/>
        <v>10</v>
      </c>
      <c r="X42" s="48"/>
      <c r="Y42" s="2"/>
      <c r="Z42" s="2"/>
      <c r="AA42" s="2">
        <v>10</v>
      </c>
      <c r="AB42" s="2">
        <v>10</v>
      </c>
      <c r="AC42" s="2">
        <v>10</v>
      </c>
      <c r="AD42" s="2">
        <v>10</v>
      </c>
      <c r="AE42" s="2">
        <v>10</v>
      </c>
      <c r="AF42" s="2">
        <v>10</v>
      </c>
      <c r="AG42" s="2">
        <v>10</v>
      </c>
      <c r="AH42" s="2">
        <v>10</v>
      </c>
      <c r="AI42" s="2">
        <v>10</v>
      </c>
      <c r="AJ42" s="2">
        <v>10</v>
      </c>
      <c r="AK42" s="3"/>
      <c r="AL42" s="3"/>
      <c r="AM42" s="3"/>
      <c r="AN42" s="3"/>
      <c r="AO42" s="3"/>
      <c r="AP42" s="3"/>
      <c r="AQ42" s="2" t="e">
        <f t="shared" ca="1" si="10"/>
        <v>#NAME?</v>
      </c>
      <c r="AR42" s="2">
        <v>10</v>
      </c>
      <c r="AS42" s="2">
        <v>10</v>
      </c>
      <c r="AT42" s="2">
        <v>10</v>
      </c>
      <c r="AU42" s="2">
        <v>10</v>
      </c>
      <c r="AV42" s="2">
        <v>10</v>
      </c>
      <c r="AW42" s="54">
        <f t="shared" si="3"/>
        <v>10</v>
      </c>
      <c r="AX42" s="48"/>
      <c r="AY42" s="2">
        <v>20</v>
      </c>
      <c r="AZ42" s="2">
        <v>10</v>
      </c>
      <c r="BA42" s="2">
        <v>9</v>
      </c>
      <c r="BB42" s="2">
        <v>9</v>
      </c>
      <c r="BC42" s="2">
        <v>9</v>
      </c>
      <c r="BD42" s="2">
        <v>9</v>
      </c>
      <c r="BE42" s="2">
        <v>9</v>
      </c>
      <c r="BF42" s="2">
        <v>9</v>
      </c>
      <c r="BG42" s="2">
        <v>9</v>
      </c>
      <c r="BH42" s="2">
        <v>9</v>
      </c>
      <c r="BI42" s="2">
        <v>9</v>
      </c>
      <c r="BJ42" s="2" t="e">
        <f t="shared" ca="1" si="11"/>
        <v>#NAME?</v>
      </c>
      <c r="BK42" s="2">
        <v>10</v>
      </c>
      <c r="BL42" s="2">
        <v>10</v>
      </c>
      <c r="BM42" s="2">
        <v>10</v>
      </c>
      <c r="BN42" s="2">
        <v>10</v>
      </c>
      <c r="BO42" s="2">
        <v>10</v>
      </c>
      <c r="BP42" s="54">
        <f t="shared" si="5"/>
        <v>10</v>
      </c>
      <c r="BQ42" s="5"/>
      <c r="BR42" s="5"/>
      <c r="BS42" s="5">
        <v>10</v>
      </c>
      <c r="BT42" s="5">
        <v>10</v>
      </c>
      <c r="BU42" s="5">
        <v>10</v>
      </c>
      <c r="BV42" s="5">
        <v>10</v>
      </c>
      <c r="BW42" s="5">
        <v>10</v>
      </c>
      <c r="BX42" s="5">
        <v>10</v>
      </c>
      <c r="BY42" s="5">
        <v>10</v>
      </c>
      <c r="BZ42" s="5">
        <v>10</v>
      </c>
      <c r="CA42" s="5">
        <v>10</v>
      </c>
      <c r="CB42" s="5">
        <v>10</v>
      </c>
      <c r="CC42" s="2" t="e">
        <f t="shared" ca="1" si="12"/>
        <v>#NAME?</v>
      </c>
      <c r="CD42" s="55"/>
      <c r="CE42" s="2"/>
      <c r="CF42" s="58">
        <v>10</v>
      </c>
      <c r="CG42" s="58">
        <v>10</v>
      </c>
      <c r="CH42" s="58">
        <v>10</v>
      </c>
      <c r="CI42" s="58">
        <v>10</v>
      </c>
      <c r="CJ42" s="58">
        <v>10</v>
      </c>
      <c r="CK42" s="58">
        <v>10</v>
      </c>
      <c r="CL42" s="58">
        <v>10</v>
      </c>
      <c r="CM42" s="58">
        <v>10</v>
      </c>
      <c r="CN42" s="58">
        <v>10</v>
      </c>
      <c r="CO42" s="58">
        <v>10</v>
      </c>
      <c r="CP42" s="2" t="e">
        <f t="shared" ca="1" si="13"/>
        <v>#NAME?</v>
      </c>
      <c r="CQ42" s="58">
        <v>9</v>
      </c>
      <c r="CR42" s="58">
        <v>9</v>
      </c>
      <c r="CS42" s="58">
        <v>10</v>
      </c>
      <c r="CT42" s="58">
        <v>10</v>
      </c>
      <c r="CU42" s="58">
        <v>10</v>
      </c>
      <c r="CV42" s="54">
        <f t="shared" si="8"/>
        <v>10</v>
      </c>
      <c r="CW42" s="55"/>
      <c r="CX42" s="3"/>
    </row>
    <row r="43" spans="1:102" ht="16.5" x14ac:dyDescent="0.55000000000000004">
      <c r="A43" s="17">
        <v>2</v>
      </c>
      <c r="B43" s="17" t="s">
        <v>3</v>
      </c>
      <c r="C43" s="23" t="s">
        <v>126</v>
      </c>
      <c r="D43" s="20" t="s">
        <v>127</v>
      </c>
      <c r="E43" s="48"/>
      <c r="F43" s="2"/>
      <c r="G43" s="2">
        <v>10</v>
      </c>
      <c r="H43" s="2">
        <v>10</v>
      </c>
      <c r="I43" s="2">
        <v>10</v>
      </c>
      <c r="J43" s="2">
        <v>10</v>
      </c>
      <c r="K43" s="2">
        <v>10</v>
      </c>
      <c r="L43" s="2">
        <v>10</v>
      </c>
      <c r="M43" s="2">
        <v>10</v>
      </c>
      <c r="N43" s="2">
        <v>10</v>
      </c>
      <c r="O43" s="2">
        <v>10</v>
      </c>
      <c r="P43" s="2">
        <v>10</v>
      </c>
      <c r="Q43" s="2" t="e">
        <f t="shared" ca="1" si="9"/>
        <v>#NAME?</v>
      </c>
      <c r="R43" s="2">
        <v>10</v>
      </c>
      <c r="S43" s="2">
        <v>10</v>
      </c>
      <c r="T43" s="2">
        <v>10</v>
      </c>
      <c r="U43" s="2">
        <v>10</v>
      </c>
      <c r="V43" s="2">
        <v>10</v>
      </c>
      <c r="W43" s="54">
        <f t="shared" si="1"/>
        <v>10</v>
      </c>
      <c r="X43" s="48"/>
      <c r="Y43" s="2"/>
      <c r="Z43" s="2"/>
      <c r="AA43" s="2">
        <v>10</v>
      </c>
      <c r="AB43" s="2">
        <v>10</v>
      </c>
      <c r="AC43" s="2">
        <v>10</v>
      </c>
      <c r="AD43" s="2">
        <v>10</v>
      </c>
      <c r="AE43" s="2">
        <v>10</v>
      </c>
      <c r="AF43" s="2">
        <v>10</v>
      </c>
      <c r="AG43" s="2">
        <v>10</v>
      </c>
      <c r="AH43" s="2">
        <v>10</v>
      </c>
      <c r="AI43" s="2">
        <v>10</v>
      </c>
      <c r="AJ43" s="2">
        <v>10</v>
      </c>
      <c r="AK43" s="3"/>
      <c r="AL43" s="3"/>
      <c r="AM43" s="3"/>
      <c r="AN43" s="3"/>
      <c r="AO43" s="3"/>
      <c r="AP43" s="3"/>
      <c r="AQ43" s="2" t="e">
        <f t="shared" ca="1" si="10"/>
        <v>#NAME?</v>
      </c>
      <c r="AR43" s="2">
        <v>10</v>
      </c>
      <c r="AS43" s="2">
        <v>10</v>
      </c>
      <c r="AT43" s="2">
        <v>10</v>
      </c>
      <c r="AU43" s="2">
        <v>10</v>
      </c>
      <c r="AV43" s="2">
        <v>10</v>
      </c>
      <c r="AW43" s="54">
        <f t="shared" si="3"/>
        <v>10</v>
      </c>
      <c r="AX43" s="48"/>
      <c r="AY43" s="2">
        <v>18</v>
      </c>
      <c r="AZ43" s="2">
        <v>10</v>
      </c>
      <c r="BA43" s="2">
        <v>10</v>
      </c>
      <c r="BB43" s="2">
        <v>10</v>
      </c>
      <c r="BC43" s="2">
        <v>10</v>
      </c>
      <c r="BD43" s="2">
        <v>10</v>
      </c>
      <c r="BE43" s="2">
        <v>10</v>
      </c>
      <c r="BF43" s="2">
        <v>10</v>
      </c>
      <c r="BG43" s="2">
        <v>10</v>
      </c>
      <c r="BH43" s="2">
        <v>10</v>
      </c>
      <c r="BI43" s="2">
        <v>10</v>
      </c>
      <c r="BJ43" s="2" t="e">
        <f t="shared" ca="1" si="11"/>
        <v>#NAME?</v>
      </c>
      <c r="BK43" s="2">
        <v>10</v>
      </c>
      <c r="BL43" s="2">
        <v>10</v>
      </c>
      <c r="BM43" s="2">
        <v>10</v>
      </c>
      <c r="BN43" s="2">
        <v>10</v>
      </c>
      <c r="BO43" s="2">
        <v>10</v>
      </c>
      <c r="BP43" s="54">
        <f t="shared" si="5"/>
        <v>10</v>
      </c>
      <c r="BQ43" s="5"/>
      <c r="BR43" s="5"/>
      <c r="BS43" s="5">
        <v>10</v>
      </c>
      <c r="BT43" s="5">
        <v>10</v>
      </c>
      <c r="BU43" s="5">
        <v>10</v>
      </c>
      <c r="BV43" s="5">
        <v>10</v>
      </c>
      <c r="BW43" s="5">
        <v>10</v>
      </c>
      <c r="BX43" s="5">
        <v>10</v>
      </c>
      <c r="BY43" s="5">
        <v>10</v>
      </c>
      <c r="BZ43" s="5">
        <v>10</v>
      </c>
      <c r="CA43" s="5">
        <v>10</v>
      </c>
      <c r="CB43" s="5">
        <v>10</v>
      </c>
      <c r="CC43" s="2" t="e">
        <f t="shared" ca="1" si="12"/>
        <v>#NAME?</v>
      </c>
      <c r="CD43" s="55"/>
      <c r="CE43" s="2"/>
      <c r="CF43" s="56">
        <v>10</v>
      </c>
      <c r="CG43" s="56">
        <v>10</v>
      </c>
      <c r="CH43" s="56">
        <v>10</v>
      </c>
      <c r="CI43" s="56">
        <v>10</v>
      </c>
      <c r="CJ43" s="56">
        <v>10</v>
      </c>
      <c r="CK43" s="56">
        <v>10</v>
      </c>
      <c r="CL43" s="56">
        <v>10</v>
      </c>
      <c r="CM43" s="56">
        <v>10</v>
      </c>
      <c r="CN43" s="56">
        <v>10</v>
      </c>
      <c r="CO43" s="56">
        <v>10</v>
      </c>
      <c r="CP43" s="2" t="e">
        <f t="shared" ca="1" si="13"/>
        <v>#NAME?</v>
      </c>
      <c r="CQ43" s="56">
        <v>10</v>
      </c>
      <c r="CR43" s="56">
        <v>10</v>
      </c>
      <c r="CS43" s="56">
        <v>10</v>
      </c>
      <c r="CT43" s="56">
        <v>10</v>
      </c>
      <c r="CU43" s="56">
        <v>10</v>
      </c>
      <c r="CV43" s="54">
        <f t="shared" si="8"/>
        <v>10</v>
      </c>
      <c r="CW43" s="55"/>
      <c r="CX43" s="3"/>
    </row>
    <row r="44" spans="1:102" ht="16.5" x14ac:dyDescent="0.55000000000000004">
      <c r="A44" s="17">
        <v>2</v>
      </c>
      <c r="B44" s="17" t="s">
        <v>3</v>
      </c>
      <c r="C44" s="23" t="s">
        <v>128</v>
      </c>
      <c r="D44" s="20" t="s">
        <v>129</v>
      </c>
      <c r="E44" s="48"/>
      <c r="F44" s="48"/>
      <c r="G44" s="2">
        <v>10</v>
      </c>
      <c r="H44" s="2">
        <v>10</v>
      </c>
      <c r="I44" s="2">
        <v>6</v>
      </c>
      <c r="J44" s="2">
        <v>6</v>
      </c>
      <c r="K44" s="2">
        <v>6</v>
      </c>
      <c r="L44" s="2">
        <v>6</v>
      </c>
      <c r="M44" s="2">
        <v>6</v>
      </c>
      <c r="N44" s="2">
        <v>6</v>
      </c>
      <c r="O44" s="2">
        <v>6</v>
      </c>
      <c r="P44" s="2">
        <v>6</v>
      </c>
      <c r="Q44" s="2" t="e">
        <f t="shared" ca="1" si="9"/>
        <v>#NAME?</v>
      </c>
      <c r="R44" s="2">
        <v>6</v>
      </c>
      <c r="S44" s="2">
        <v>6</v>
      </c>
      <c r="T44" s="2">
        <v>6</v>
      </c>
      <c r="U44" s="2">
        <v>6</v>
      </c>
      <c r="V44" s="2">
        <v>6</v>
      </c>
      <c r="W44" s="54">
        <f t="shared" si="1"/>
        <v>6</v>
      </c>
      <c r="X44" s="48"/>
      <c r="Y44" s="2"/>
      <c r="Z44" s="2"/>
      <c r="AA44" s="2">
        <v>10</v>
      </c>
      <c r="AB44" s="2">
        <v>10</v>
      </c>
      <c r="AC44" s="2">
        <v>6</v>
      </c>
      <c r="AD44" s="2">
        <v>6</v>
      </c>
      <c r="AE44" s="2">
        <v>6</v>
      </c>
      <c r="AF44" s="2">
        <v>7</v>
      </c>
      <c r="AG44" s="2">
        <v>7</v>
      </c>
      <c r="AH44" s="2">
        <v>7</v>
      </c>
      <c r="AI44" s="2">
        <v>7</v>
      </c>
      <c r="AJ44" s="2">
        <v>7</v>
      </c>
      <c r="AK44" s="3"/>
      <c r="AL44" s="3"/>
      <c r="AM44" s="3"/>
      <c r="AN44" s="3"/>
      <c r="AO44" s="3"/>
      <c r="AP44" s="3"/>
      <c r="AQ44" s="2" t="e">
        <f t="shared" ca="1" si="10"/>
        <v>#NAME?</v>
      </c>
      <c r="AR44" s="2">
        <v>10</v>
      </c>
      <c r="AS44" s="2">
        <v>10</v>
      </c>
      <c r="AT44" s="2">
        <v>10</v>
      </c>
      <c r="AU44" s="2">
        <v>6</v>
      </c>
      <c r="AV44" s="2">
        <v>6</v>
      </c>
      <c r="AW44" s="54">
        <f t="shared" si="3"/>
        <v>9</v>
      </c>
      <c r="AX44" s="48"/>
      <c r="AY44" s="2">
        <v>9</v>
      </c>
      <c r="AZ44" s="2">
        <v>10</v>
      </c>
      <c r="BA44" s="2">
        <v>10</v>
      </c>
      <c r="BB44" s="2">
        <v>5</v>
      </c>
      <c r="BC44" s="2">
        <v>5</v>
      </c>
      <c r="BD44" s="2">
        <v>5</v>
      </c>
      <c r="BE44" s="2">
        <v>5</v>
      </c>
      <c r="BF44" s="2">
        <v>5</v>
      </c>
      <c r="BG44" s="2">
        <v>5</v>
      </c>
      <c r="BH44" s="2">
        <v>5</v>
      </c>
      <c r="BI44" s="2">
        <v>5</v>
      </c>
      <c r="BJ44" s="2" t="e">
        <f t="shared" ca="1" si="11"/>
        <v>#NAME?</v>
      </c>
      <c r="BK44" s="5">
        <v>7</v>
      </c>
      <c r="BL44" s="5">
        <v>5</v>
      </c>
      <c r="BM44" s="5">
        <v>6</v>
      </c>
      <c r="BN44" s="5">
        <v>5</v>
      </c>
      <c r="BO44" s="5">
        <v>5</v>
      </c>
      <c r="BP44" s="54">
        <f t="shared" si="5"/>
        <v>6</v>
      </c>
      <c r="BQ44" s="5"/>
      <c r="BR44" s="5"/>
      <c r="BS44" s="5">
        <v>6</v>
      </c>
      <c r="BT44" s="5">
        <v>6</v>
      </c>
      <c r="BU44" s="5">
        <v>6</v>
      </c>
      <c r="BV44" s="5">
        <v>6</v>
      </c>
      <c r="BW44" s="5">
        <v>6</v>
      </c>
      <c r="BX44" s="5">
        <v>6</v>
      </c>
      <c r="BY44" s="5">
        <v>6</v>
      </c>
      <c r="BZ44" s="5">
        <v>6</v>
      </c>
      <c r="CA44" s="5">
        <v>6</v>
      </c>
      <c r="CB44" s="5">
        <v>6</v>
      </c>
      <c r="CC44" s="2" t="e">
        <f t="shared" ca="1" si="12"/>
        <v>#NAME?</v>
      </c>
      <c r="CD44" s="55"/>
      <c r="CE44" s="2"/>
      <c r="CF44" s="58">
        <v>9</v>
      </c>
      <c r="CG44" s="58">
        <v>9</v>
      </c>
      <c r="CH44" s="58">
        <v>10</v>
      </c>
      <c r="CI44" s="58">
        <v>9</v>
      </c>
      <c r="CJ44" s="58">
        <v>9</v>
      </c>
      <c r="CK44" s="58">
        <v>9</v>
      </c>
      <c r="CL44" s="58">
        <v>9</v>
      </c>
      <c r="CM44" s="58">
        <v>10</v>
      </c>
      <c r="CN44" s="58">
        <v>10</v>
      </c>
      <c r="CO44" s="58">
        <v>10</v>
      </c>
      <c r="CP44" s="2" t="e">
        <f t="shared" ca="1" si="13"/>
        <v>#NAME?</v>
      </c>
      <c r="CQ44" s="59">
        <v>10</v>
      </c>
      <c r="CR44" s="59">
        <v>9</v>
      </c>
      <c r="CS44" s="59">
        <v>9</v>
      </c>
      <c r="CT44" s="59">
        <v>9</v>
      </c>
      <c r="CU44" s="59">
        <v>10</v>
      </c>
      <c r="CV44" s="54">
        <f t="shared" si="8"/>
        <v>10</v>
      </c>
      <c r="CW44" s="55"/>
      <c r="CX44" s="3"/>
    </row>
    <row r="45" spans="1:102" ht="16.5" x14ac:dyDescent="0.55000000000000004">
      <c r="A45" s="17">
        <v>2</v>
      </c>
      <c r="B45" s="17" t="s">
        <v>3</v>
      </c>
      <c r="C45" s="23" t="s">
        <v>130</v>
      </c>
      <c r="D45" s="20" t="s">
        <v>131</v>
      </c>
      <c r="E45" s="48"/>
      <c r="F45" s="2"/>
      <c r="G45" s="2">
        <v>10</v>
      </c>
      <c r="H45" s="2">
        <v>10</v>
      </c>
      <c r="I45" s="2">
        <v>10</v>
      </c>
      <c r="J45" s="2">
        <v>10</v>
      </c>
      <c r="K45" s="2">
        <v>10</v>
      </c>
      <c r="L45" s="2">
        <v>10</v>
      </c>
      <c r="M45" s="2">
        <v>10</v>
      </c>
      <c r="N45" s="2">
        <v>9</v>
      </c>
      <c r="O45" s="2">
        <v>9</v>
      </c>
      <c r="P45" s="2">
        <v>9</v>
      </c>
      <c r="Q45" s="2" t="e">
        <f t="shared" ca="1" si="9"/>
        <v>#NAME?</v>
      </c>
      <c r="R45" s="2">
        <v>10</v>
      </c>
      <c r="S45" s="2">
        <v>10</v>
      </c>
      <c r="T45" s="2">
        <v>10</v>
      </c>
      <c r="U45" s="2">
        <v>10</v>
      </c>
      <c r="V45" s="2">
        <v>10</v>
      </c>
      <c r="W45" s="54">
        <f t="shared" si="1"/>
        <v>10</v>
      </c>
      <c r="X45" s="48"/>
      <c r="Y45" s="2"/>
      <c r="Z45" s="2"/>
      <c r="AA45" s="2">
        <v>10</v>
      </c>
      <c r="AB45" s="2">
        <v>10</v>
      </c>
      <c r="AC45" s="2">
        <v>10</v>
      </c>
      <c r="AD45" s="2">
        <v>10</v>
      </c>
      <c r="AE45" s="2">
        <v>10</v>
      </c>
      <c r="AF45" s="2">
        <v>10</v>
      </c>
      <c r="AG45" s="2">
        <v>10</v>
      </c>
      <c r="AH45" s="2">
        <v>10</v>
      </c>
      <c r="AI45" s="2">
        <v>10</v>
      </c>
      <c r="AJ45" s="2">
        <v>10</v>
      </c>
      <c r="AK45" s="3"/>
      <c r="AL45" s="3"/>
      <c r="AM45" s="3"/>
      <c r="AN45" s="3"/>
      <c r="AO45" s="3"/>
      <c r="AP45" s="3"/>
      <c r="AQ45" s="2" t="e">
        <f t="shared" ca="1" si="10"/>
        <v>#NAME?</v>
      </c>
      <c r="AR45" s="2">
        <v>10</v>
      </c>
      <c r="AS45" s="2">
        <v>10</v>
      </c>
      <c r="AT45" s="2">
        <v>10</v>
      </c>
      <c r="AU45" s="2">
        <v>10</v>
      </c>
      <c r="AV45" s="2">
        <v>10</v>
      </c>
      <c r="AW45" s="54">
        <f t="shared" si="3"/>
        <v>10</v>
      </c>
      <c r="AX45" s="48"/>
      <c r="AY45" s="2">
        <v>12</v>
      </c>
      <c r="AZ45" s="2">
        <v>10</v>
      </c>
      <c r="BA45" s="2">
        <v>10</v>
      </c>
      <c r="BB45" s="2">
        <v>9</v>
      </c>
      <c r="BC45" s="2">
        <v>9</v>
      </c>
      <c r="BD45" s="2">
        <v>9</v>
      </c>
      <c r="BE45" s="2">
        <v>9</v>
      </c>
      <c r="BF45" s="2">
        <v>9</v>
      </c>
      <c r="BG45" s="2">
        <v>9</v>
      </c>
      <c r="BH45" s="2">
        <v>9</v>
      </c>
      <c r="BI45" s="2">
        <v>9</v>
      </c>
      <c r="BJ45" s="2" t="e">
        <f t="shared" ca="1" si="11"/>
        <v>#NAME?</v>
      </c>
      <c r="BK45" s="2">
        <v>10</v>
      </c>
      <c r="BL45" s="2">
        <v>10</v>
      </c>
      <c r="BM45" s="2">
        <v>10</v>
      </c>
      <c r="BN45" s="2">
        <v>10</v>
      </c>
      <c r="BO45" s="2">
        <v>10</v>
      </c>
      <c r="BP45" s="54">
        <f t="shared" si="5"/>
        <v>10</v>
      </c>
      <c r="BQ45" s="5"/>
      <c r="BR45" s="5"/>
      <c r="BS45" s="5">
        <v>10</v>
      </c>
      <c r="BT45" s="5">
        <v>10</v>
      </c>
      <c r="BU45" s="5">
        <v>10</v>
      </c>
      <c r="BV45" s="5">
        <v>10</v>
      </c>
      <c r="BW45" s="5">
        <v>10</v>
      </c>
      <c r="BX45" s="5">
        <v>10</v>
      </c>
      <c r="BY45" s="5">
        <v>10</v>
      </c>
      <c r="BZ45" s="5">
        <v>10</v>
      </c>
      <c r="CA45" s="5">
        <v>10</v>
      </c>
      <c r="CB45" s="5">
        <v>10</v>
      </c>
      <c r="CC45" s="2" t="e">
        <f t="shared" ca="1" si="12"/>
        <v>#NAME?</v>
      </c>
      <c r="CD45" s="55"/>
      <c r="CE45" s="2"/>
      <c r="CF45" s="56">
        <v>9</v>
      </c>
      <c r="CG45" s="56">
        <v>10</v>
      </c>
      <c r="CH45" s="56">
        <v>10</v>
      </c>
      <c r="CI45" s="56">
        <v>10</v>
      </c>
      <c r="CJ45" s="56">
        <v>10</v>
      </c>
      <c r="CK45" s="56">
        <v>10</v>
      </c>
      <c r="CL45" s="56">
        <v>10</v>
      </c>
      <c r="CM45" s="56">
        <v>10</v>
      </c>
      <c r="CN45" s="56">
        <v>10</v>
      </c>
      <c r="CO45" s="56">
        <v>10</v>
      </c>
      <c r="CP45" s="2" t="e">
        <f t="shared" ca="1" si="13"/>
        <v>#NAME?</v>
      </c>
      <c r="CQ45" s="56">
        <v>10</v>
      </c>
      <c r="CR45" s="56">
        <v>10</v>
      </c>
      <c r="CS45" s="56">
        <v>10</v>
      </c>
      <c r="CT45" s="56">
        <v>10</v>
      </c>
      <c r="CU45" s="56">
        <v>10</v>
      </c>
      <c r="CV45" s="54">
        <f t="shared" si="8"/>
        <v>10</v>
      </c>
      <c r="CW45" s="55"/>
      <c r="CX45" s="3"/>
    </row>
    <row r="46" spans="1:102" ht="16.5" x14ac:dyDescent="0.55000000000000004">
      <c r="A46" s="17">
        <v>2</v>
      </c>
      <c r="B46" s="17" t="s">
        <v>3</v>
      </c>
      <c r="C46" s="23" t="s">
        <v>132</v>
      </c>
      <c r="D46" s="20" t="s">
        <v>133</v>
      </c>
      <c r="E46" s="48"/>
      <c r="F46" s="2"/>
      <c r="G46" s="2">
        <v>10</v>
      </c>
      <c r="H46" s="2">
        <v>10</v>
      </c>
      <c r="I46" s="2">
        <v>10</v>
      </c>
      <c r="J46" s="2">
        <v>10</v>
      </c>
      <c r="K46" s="2">
        <v>10</v>
      </c>
      <c r="L46" s="2">
        <v>10</v>
      </c>
      <c r="M46" s="2">
        <v>10</v>
      </c>
      <c r="N46" s="2">
        <v>9</v>
      </c>
      <c r="O46" s="2">
        <v>9</v>
      </c>
      <c r="P46" s="2">
        <v>9</v>
      </c>
      <c r="Q46" s="2" t="e">
        <f t="shared" ca="1" si="9"/>
        <v>#NAME?</v>
      </c>
      <c r="R46" s="2">
        <v>10</v>
      </c>
      <c r="S46" s="2">
        <v>10</v>
      </c>
      <c r="T46" s="2">
        <v>10</v>
      </c>
      <c r="U46" s="2">
        <v>10</v>
      </c>
      <c r="V46" s="2">
        <v>10</v>
      </c>
      <c r="W46" s="54">
        <f t="shared" si="1"/>
        <v>10</v>
      </c>
      <c r="X46" s="48"/>
      <c r="Y46" s="2"/>
      <c r="Z46" s="2"/>
      <c r="AA46" s="2">
        <v>10</v>
      </c>
      <c r="AB46" s="2">
        <v>10</v>
      </c>
      <c r="AC46" s="2">
        <v>10</v>
      </c>
      <c r="AD46" s="2">
        <v>10</v>
      </c>
      <c r="AE46" s="2">
        <v>10</v>
      </c>
      <c r="AF46" s="2">
        <v>10</v>
      </c>
      <c r="AG46" s="2">
        <v>10</v>
      </c>
      <c r="AH46" s="2">
        <v>10</v>
      </c>
      <c r="AI46" s="2">
        <v>10</v>
      </c>
      <c r="AJ46" s="2">
        <v>10</v>
      </c>
      <c r="AK46" s="3"/>
      <c r="AL46" s="3"/>
      <c r="AM46" s="3"/>
      <c r="AN46" s="3"/>
      <c r="AO46" s="3"/>
      <c r="AP46" s="3"/>
      <c r="AQ46" s="2" t="e">
        <f t="shared" ca="1" si="10"/>
        <v>#NAME?</v>
      </c>
      <c r="AR46" s="2">
        <v>10</v>
      </c>
      <c r="AS46" s="2">
        <v>10</v>
      </c>
      <c r="AT46" s="2">
        <v>10</v>
      </c>
      <c r="AU46" s="2">
        <v>10</v>
      </c>
      <c r="AV46" s="2">
        <v>10</v>
      </c>
      <c r="AW46" s="54">
        <f t="shared" si="3"/>
        <v>10</v>
      </c>
      <c r="AX46" s="48"/>
      <c r="AY46" s="2">
        <v>20</v>
      </c>
      <c r="AZ46" s="2">
        <v>9</v>
      </c>
      <c r="BA46" s="2">
        <v>9</v>
      </c>
      <c r="BB46" s="2">
        <v>10</v>
      </c>
      <c r="BC46" s="2">
        <v>10</v>
      </c>
      <c r="BD46" s="2">
        <v>10</v>
      </c>
      <c r="BE46" s="2">
        <v>10</v>
      </c>
      <c r="BF46" s="2">
        <v>10</v>
      </c>
      <c r="BG46" s="2">
        <v>10</v>
      </c>
      <c r="BH46" s="2">
        <v>10</v>
      </c>
      <c r="BI46" s="2">
        <v>10</v>
      </c>
      <c r="BJ46" s="2" t="e">
        <f t="shared" ca="1" si="11"/>
        <v>#NAME?</v>
      </c>
      <c r="BK46" s="2">
        <v>10</v>
      </c>
      <c r="BL46" s="2">
        <v>10</v>
      </c>
      <c r="BM46" s="2">
        <v>10</v>
      </c>
      <c r="BN46" s="2">
        <v>10</v>
      </c>
      <c r="BO46" s="2">
        <v>10</v>
      </c>
      <c r="BP46" s="54">
        <f t="shared" si="5"/>
        <v>10</v>
      </c>
      <c r="BQ46" s="5"/>
      <c r="BR46" s="5"/>
      <c r="BS46" s="5">
        <v>10</v>
      </c>
      <c r="BT46" s="5">
        <v>10</v>
      </c>
      <c r="BU46" s="5">
        <v>10</v>
      </c>
      <c r="BV46" s="5">
        <v>10</v>
      </c>
      <c r="BW46" s="5">
        <v>10</v>
      </c>
      <c r="BX46" s="5">
        <v>10</v>
      </c>
      <c r="BY46" s="5">
        <v>10</v>
      </c>
      <c r="BZ46" s="5">
        <v>10</v>
      </c>
      <c r="CA46" s="5">
        <v>10</v>
      </c>
      <c r="CB46" s="5">
        <v>10</v>
      </c>
      <c r="CC46" s="2" t="e">
        <f t="shared" ca="1" si="12"/>
        <v>#NAME?</v>
      </c>
      <c r="CD46" s="55"/>
      <c r="CE46" s="2"/>
      <c r="CF46" s="58">
        <v>9</v>
      </c>
      <c r="CG46" s="58">
        <v>10</v>
      </c>
      <c r="CH46" s="58">
        <v>10</v>
      </c>
      <c r="CI46" s="58">
        <v>10</v>
      </c>
      <c r="CJ46" s="58">
        <v>10</v>
      </c>
      <c r="CK46" s="58">
        <v>10</v>
      </c>
      <c r="CL46" s="58">
        <v>10</v>
      </c>
      <c r="CM46" s="58">
        <v>10</v>
      </c>
      <c r="CN46" s="58">
        <v>10</v>
      </c>
      <c r="CO46" s="58">
        <v>10</v>
      </c>
      <c r="CP46" s="2" t="e">
        <f t="shared" ca="1" si="13"/>
        <v>#NAME?</v>
      </c>
      <c r="CQ46" s="58">
        <v>10</v>
      </c>
      <c r="CR46" s="58">
        <v>10</v>
      </c>
      <c r="CS46" s="58">
        <v>10</v>
      </c>
      <c r="CT46" s="58">
        <v>10</v>
      </c>
      <c r="CU46" s="58">
        <v>10</v>
      </c>
      <c r="CV46" s="54">
        <f t="shared" si="8"/>
        <v>10</v>
      </c>
      <c r="CW46" s="55"/>
      <c r="CX46" s="3"/>
    </row>
    <row r="47" spans="1:102" ht="16.5" x14ac:dyDescent="0.55000000000000004">
      <c r="A47" s="17">
        <v>2</v>
      </c>
      <c r="B47" s="17" t="s">
        <v>3</v>
      </c>
      <c r="C47" s="23" t="s">
        <v>134</v>
      </c>
      <c r="D47" s="20" t="s">
        <v>135</v>
      </c>
      <c r="E47" s="48"/>
      <c r="F47" s="2"/>
      <c r="G47" s="2">
        <v>10</v>
      </c>
      <c r="H47" s="2">
        <v>10</v>
      </c>
      <c r="I47" s="2">
        <v>10</v>
      </c>
      <c r="J47" s="2">
        <v>10</v>
      </c>
      <c r="K47" s="2">
        <v>10</v>
      </c>
      <c r="L47" s="2">
        <v>10</v>
      </c>
      <c r="M47" s="2">
        <v>10</v>
      </c>
      <c r="N47" s="2">
        <v>10</v>
      </c>
      <c r="O47" s="2">
        <v>10</v>
      </c>
      <c r="P47" s="2">
        <v>9</v>
      </c>
      <c r="Q47" s="2" t="e">
        <f t="shared" ca="1" si="9"/>
        <v>#NAME?</v>
      </c>
      <c r="R47" s="2">
        <v>10</v>
      </c>
      <c r="S47" s="2">
        <v>10</v>
      </c>
      <c r="T47" s="2">
        <v>10</v>
      </c>
      <c r="U47" s="2">
        <v>10</v>
      </c>
      <c r="V47" s="2">
        <v>10</v>
      </c>
      <c r="W47" s="54">
        <f t="shared" si="1"/>
        <v>10</v>
      </c>
      <c r="X47" s="48"/>
      <c r="Y47" s="2"/>
      <c r="Z47" s="2"/>
      <c r="AA47" s="2">
        <v>10</v>
      </c>
      <c r="AB47" s="2">
        <v>10</v>
      </c>
      <c r="AC47" s="2">
        <v>10</v>
      </c>
      <c r="AD47" s="2">
        <v>10</v>
      </c>
      <c r="AE47" s="2">
        <v>10</v>
      </c>
      <c r="AF47" s="2">
        <v>10</v>
      </c>
      <c r="AG47" s="2">
        <v>10</v>
      </c>
      <c r="AH47" s="2">
        <v>10</v>
      </c>
      <c r="AI47" s="2">
        <v>10</v>
      </c>
      <c r="AJ47" s="2">
        <v>10</v>
      </c>
      <c r="AK47" s="3"/>
      <c r="AL47" s="3"/>
      <c r="AM47" s="3"/>
      <c r="AN47" s="3"/>
      <c r="AO47" s="3"/>
      <c r="AP47" s="3"/>
      <c r="AQ47" s="2" t="e">
        <f t="shared" ca="1" si="10"/>
        <v>#NAME?</v>
      </c>
      <c r="AR47" s="2">
        <v>10</v>
      </c>
      <c r="AS47" s="2">
        <v>10</v>
      </c>
      <c r="AT47" s="2">
        <v>10</v>
      </c>
      <c r="AU47" s="2">
        <v>10</v>
      </c>
      <c r="AV47" s="2">
        <v>10</v>
      </c>
      <c r="AW47" s="54">
        <f t="shared" si="3"/>
        <v>10</v>
      </c>
      <c r="AX47" s="48"/>
      <c r="AY47" s="2">
        <v>19</v>
      </c>
      <c r="AZ47" s="2">
        <v>9</v>
      </c>
      <c r="BA47" s="2">
        <v>9</v>
      </c>
      <c r="BB47" s="2">
        <v>9</v>
      </c>
      <c r="BC47" s="2">
        <v>9</v>
      </c>
      <c r="BD47" s="2">
        <v>9</v>
      </c>
      <c r="BE47" s="2">
        <v>9</v>
      </c>
      <c r="BF47" s="2">
        <v>10</v>
      </c>
      <c r="BG47" s="2">
        <v>10</v>
      </c>
      <c r="BH47" s="2">
        <v>10</v>
      </c>
      <c r="BI47" s="2">
        <v>10</v>
      </c>
      <c r="BJ47" s="2" t="e">
        <f t="shared" ca="1" si="11"/>
        <v>#NAME?</v>
      </c>
      <c r="BK47" s="2">
        <v>10</v>
      </c>
      <c r="BL47" s="2">
        <v>10</v>
      </c>
      <c r="BM47" s="2">
        <v>10</v>
      </c>
      <c r="BN47" s="2">
        <v>10</v>
      </c>
      <c r="BO47" s="2">
        <v>10</v>
      </c>
      <c r="BP47" s="54">
        <f t="shared" si="5"/>
        <v>10</v>
      </c>
      <c r="BQ47" s="5"/>
      <c r="BR47" s="5"/>
      <c r="BS47" s="5">
        <v>10</v>
      </c>
      <c r="BT47" s="5">
        <v>10</v>
      </c>
      <c r="BU47" s="5">
        <v>10</v>
      </c>
      <c r="BV47" s="5">
        <v>10</v>
      </c>
      <c r="BW47" s="5">
        <v>10</v>
      </c>
      <c r="BX47" s="5">
        <v>10</v>
      </c>
      <c r="BY47" s="5">
        <v>10</v>
      </c>
      <c r="BZ47" s="5">
        <v>10</v>
      </c>
      <c r="CA47" s="5">
        <v>10</v>
      </c>
      <c r="CB47" s="5">
        <v>10</v>
      </c>
      <c r="CC47" s="2" t="e">
        <f t="shared" ca="1" si="12"/>
        <v>#NAME?</v>
      </c>
      <c r="CD47" s="55"/>
      <c r="CE47" s="2"/>
      <c r="CF47" s="56">
        <v>9</v>
      </c>
      <c r="CG47" s="56">
        <v>10</v>
      </c>
      <c r="CH47" s="56">
        <v>10</v>
      </c>
      <c r="CI47" s="56">
        <v>10</v>
      </c>
      <c r="CJ47" s="56">
        <v>10</v>
      </c>
      <c r="CK47" s="56">
        <v>10</v>
      </c>
      <c r="CL47" s="56">
        <v>10</v>
      </c>
      <c r="CM47" s="56">
        <v>10</v>
      </c>
      <c r="CN47" s="56">
        <v>10</v>
      </c>
      <c r="CO47" s="56">
        <v>10</v>
      </c>
      <c r="CP47" s="2" t="e">
        <f t="shared" ca="1" si="13"/>
        <v>#NAME?</v>
      </c>
      <c r="CQ47" s="56">
        <v>10</v>
      </c>
      <c r="CR47" s="56">
        <v>10</v>
      </c>
      <c r="CS47" s="56">
        <v>10</v>
      </c>
      <c r="CT47" s="56">
        <v>10</v>
      </c>
      <c r="CU47" s="56">
        <v>10</v>
      </c>
      <c r="CV47" s="54">
        <f t="shared" si="8"/>
        <v>10</v>
      </c>
      <c r="CW47" s="55"/>
      <c r="CX47" s="3"/>
    </row>
    <row r="48" spans="1:102" ht="16.5" x14ac:dyDescent="0.55000000000000004">
      <c r="A48" s="17">
        <v>2</v>
      </c>
      <c r="B48" s="17" t="s">
        <v>3</v>
      </c>
      <c r="C48" s="23" t="s">
        <v>136</v>
      </c>
      <c r="D48" s="20" t="s">
        <v>137</v>
      </c>
      <c r="E48" s="48"/>
      <c r="F48" s="2"/>
      <c r="G48" s="2">
        <v>10</v>
      </c>
      <c r="H48" s="2">
        <v>10</v>
      </c>
      <c r="I48" s="2">
        <v>10</v>
      </c>
      <c r="J48" s="2">
        <v>10</v>
      </c>
      <c r="K48" s="2">
        <v>10</v>
      </c>
      <c r="L48" s="2">
        <v>10</v>
      </c>
      <c r="M48" s="2">
        <v>10</v>
      </c>
      <c r="N48" s="2">
        <v>9</v>
      </c>
      <c r="O48" s="2">
        <v>9</v>
      </c>
      <c r="P48" s="2">
        <v>9</v>
      </c>
      <c r="Q48" s="2" t="e">
        <f t="shared" ca="1" si="9"/>
        <v>#NAME?</v>
      </c>
      <c r="R48" s="2">
        <v>10</v>
      </c>
      <c r="S48" s="2">
        <v>10</v>
      </c>
      <c r="T48" s="2">
        <v>10</v>
      </c>
      <c r="U48" s="2">
        <v>10</v>
      </c>
      <c r="V48" s="2">
        <v>10</v>
      </c>
      <c r="W48" s="54">
        <f t="shared" si="1"/>
        <v>10</v>
      </c>
      <c r="X48" s="48"/>
      <c r="Y48" s="2"/>
      <c r="Z48" s="2"/>
      <c r="AA48" s="2">
        <v>10</v>
      </c>
      <c r="AB48" s="2">
        <v>10</v>
      </c>
      <c r="AC48" s="2">
        <v>6</v>
      </c>
      <c r="AD48" s="2">
        <v>6</v>
      </c>
      <c r="AE48" s="2">
        <v>6</v>
      </c>
      <c r="AF48" s="2">
        <v>6</v>
      </c>
      <c r="AG48" s="2">
        <v>7</v>
      </c>
      <c r="AH48" s="2">
        <v>7</v>
      </c>
      <c r="AI48" s="2">
        <v>7</v>
      </c>
      <c r="AJ48" s="2">
        <v>7</v>
      </c>
      <c r="AK48" s="3"/>
      <c r="AL48" s="3"/>
      <c r="AM48" s="3"/>
      <c r="AN48" s="3"/>
      <c r="AO48" s="3"/>
      <c r="AP48" s="3"/>
      <c r="AQ48" s="2" t="e">
        <f t="shared" ca="1" si="10"/>
        <v>#NAME?</v>
      </c>
      <c r="AR48" s="2">
        <v>10</v>
      </c>
      <c r="AS48" s="2">
        <v>9</v>
      </c>
      <c r="AT48" s="2">
        <v>10</v>
      </c>
      <c r="AU48" s="2">
        <v>6</v>
      </c>
      <c r="AV48" s="2">
        <v>6</v>
      </c>
      <c r="AW48" s="54">
        <f t="shared" si="3"/>
        <v>9</v>
      </c>
      <c r="AX48" s="48"/>
      <c r="AY48" s="2">
        <v>11</v>
      </c>
      <c r="AZ48" s="2">
        <v>7</v>
      </c>
      <c r="BA48" s="2">
        <v>7</v>
      </c>
      <c r="BB48" s="2">
        <v>7</v>
      </c>
      <c r="BC48" s="2">
        <v>8</v>
      </c>
      <c r="BD48" s="2">
        <v>8</v>
      </c>
      <c r="BE48" s="2">
        <v>8</v>
      </c>
      <c r="BF48" s="2">
        <v>8</v>
      </c>
      <c r="BG48" s="2">
        <v>8</v>
      </c>
      <c r="BH48" s="2">
        <v>8</v>
      </c>
      <c r="BI48" s="2">
        <v>8</v>
      </c>
      <c r="BJ48" s="2" t="e">
        <f t="shared" ca="1" si="11"/>
        <v>#NAME?</v>
      </c>
      <c r="BK48" s="5">
        <v>8</v>
      </c>
      <c r="BL48" s="5">
        <v>8</v>
      </c>
      <c r="BM48" s="5">
        <v>8</v>
      </c>
      <c r="BN48" s="5">
        <v>9</v>
      </c>
      <c r="BO48" s="5">
        <v>9</v>
      </c>
      <c r="BP48" s="54">
        <f t="shared" si="5"/>
        <v>9</v>
      </c>
      <c r="BQ48" s="5"/>
      <c r="BR48" s="5"/>
      <c r="BS48" s="5">
        <v>6</v>
      </c>
      <c r="BT48" s="5">
        <v>6</v>
      </c>
      <c r="BU48" s="5">
        <v>6</v>
      </c>
      <c r="BV48" s="5">
        <v>6</v>
      </c>
      <c r="BW48" s="5">
        <v>6</v>
      </c>
      <c r="BX48" s="5">
        <v>6</v>
      </c>
      <c r="BY48" s="5">
        <v>6</v>
      </c>
      <c r="BZ48" s="5">
        <v>6</v>
      </c>
      <c r="CA48" s="5">
        <v>6</v>
      </c>
      <c r="CB48" s="5">
        <v>6</v>
      </c>
      <c r="CC48" s="2" t="e">
        <f t="shared" ca="1" si="12"/>
        <v>#NAME?</v>
      </c>
      <c r="CD48" s="55"/>
      <c r="CE48" s="2"/>
      <c r="CF48" s="58">
        <v>9</v>
      </c>
      <c r="CG48" s="58">
        <v>10</v>
      </c>
      <c r="CH48" s="58">
        <v>10</v>
      </c>
      <c r="CI48" s="58">
        <v>10</v>
      </c>
      <c r="CJ48" s="58">
        <v>10</v>
      </c>
      <c r="CK48" s="58">
        <v>10</v>
      </c>
      <c r="CL48" s="58">
        <v>10</v>
      </c>
      <c r="CM48" s="58">
        <v>10</v>
      </c>
      <c r="CN48" s="58">
        <v>10</v>
      </c>
      <c r="CO48" s="58">
        <v>10</v>
      </c>
      <c r="CP48" s="2" t="e">
        <f t="shared" ca="1" si="13"/>
        <v>#NAME?</v>
      </c>
      <c r="CQ48" s="58">
        <v>10</v>
      </c>
      <c r="CR48" s="58">
        <v>10</v>
      </c>
      <c r="CS48" s="58">
        <v>10</v>
      </c>
      <c r="CT48" s="58">
        <v>10</v>
      </c>
      <c r="CU48" s="58">
        <v>10</v>
      </c>
      <c r="CV48" s="54">
        <f t="shared" si="8"/>
        <v>10</v>
      </c>
      <c r="CW48" s="55"/>
      <c r="CX48" s="3"/>
    </row>
    <row r="49" spans="1:102" ht="16.5" x14ac:dyDescent="0.55000000000000004">
      <c r="A49" s="17">
        <v>2</v>
      </c>
      <c r="B49" s="17" t="s">
        <v>3</v>
      </c>
      <c r="C49" s="23" t="s">
        <v>138</v>
      </c>
      <c r="D49" s="20" t="s">
        <v>139</v>
      </c>
      <c r="E49" s="48"/>
      <c r="F49" s="2"/>
      <c r="G49" s="2">
        <v>10</v>
      </c>
      <c r="H49" s="2">
        <v>10</v>
      </c>
      <c r="I49" s="2">
        <v>10</v>
      </c>
      <c r="J49" s="2">
        <v>10</v>
      </c>
      <c r="K49" s="2">
        <v>10</v>
      </c>
      <c r="L49" s="2">
        <v>10</v>
      </c>
      <c r="M49" s="2">
        <v>10</v>
      </c>
      <c r="N49" s="2">
        <v>10</v>
      </c>
      <c r="O49" s="2">
        <v>10</v>
      </c>
      <c r="P49" s="2">
        <v>9</v>
      </c>
      <c r="Q49" s="2" t="e">
        <f t="shared" ca="1" si="9"/>
        <v>#NAME?</v>
      </c>
      <c r="R49" s="2">
        <v>10</v>
      </c>
      <c r="S49" s="2">
        <v>10</v>
      </c>
      <c r="T49" s="2">
        <v>10</v>
      </c>
      <c r="U49" s="2">
        <v>10</v>
      </c>
      <c r="V49" s="2">
        <v>10</v>
      </c>
      <c r="W49" s="54">
        <f t="shared" si="1"/>
        <v>10</v>
      </c>
      <c r="X49" s="48"/>
      <c r="Y49" s="2"/>
      <c r="Z49" s="2"/>
      <c r="AA49" s="2">
        <v>10</v>
      </c>
      <c r="AB49" s="2">
        <v>10</v>
      </c>
      <c r="AC49" s="2">
        <v>10</v>
      </c>
      <c r="AD49" s="2">
        <v>10</v>
      </c>
      <c r="AE49" s="2">
        <v>10</v>
      </c>
      <c r="AF49" s="2">
        <v>10</v>
      </c>
      <c r="AG49" s="2">
        <v>10</v>
      </c>
      <c r="AH49" s="2">
        <v>10</v>
      </c>
      <c r="AI49" s="2">
        <v>10</v>
      </c>
      <c r="AJ49" s="2">
        <v>10</v>
      </c>
      <c r="AK49" s="3"/>
      <c r="AL49" s="3"/>
      <c r="AM49" s="3"/>
      <c r="AN49" s="3"/>
      <c r="AO49" s="3"/>
      <c r="AP49" s="3"/>
      <c r="AQ49" s="2" t="e">
        <f t="shared" ca="1" si="10"/>
        <v>#NAME?</v>
      </c>
      <c r="AR49" s="2">
        <v>10</v>
      </c>
      <c r="AS49" s="2">
        <v>10</v>
      </c>
      <c r="AT49" s="2">
        <v>10</v>
      </c>
      <c r="AU49" s="2">
        <v>10</v>
      </c>
      <c r="AV49" s="2">
        <v>10</v>
      </c>
      <c r="AW49" s="54">
        <f t="shared" si="3"/>
        <v>10</v>
      </c>
      <c r="AX49" s="48"/>
      <c r="AY49" s="2">
        <v>19</v>
      </c>
      <c r="AZ49" s="2">
        <v>10</v>
      </c>
      <c r="BA49" s="2">
        <v>10</v>
      </c>
      <c r="BB49" s="2">
        <v>10</v>
      </c>
      <c r="BC49" s="2">
        <v>10</v>
      </c>
      <c r="BD49" s="2">
        <v>10</v>
      </c>
      <c r="BE49" s="2">
        <v>10</v>
      </c>
      <c r="BF49" s="2">
        <v>10</v>
      </c>
      <c r="BG49" s="2">
        <v>10</v>
      </c>
      <c r="BH49" s="2">
        <v>10</v>
      </c>
      <c r="BI49" s="2">
        <v>10</v>
      </c>
      <c r="BJ49" s="2" t="e">
        <f t="shared" ca="1" si="11"/>
        <v>#NAME?</v>
      </c>
      <c r="BK49" s="2">
        <v>10</v>
      </c>
      <c r="BL49" s="2">
        <v>10</v>
      </c>
      <c r="BM49" s="2">
        <v>10</v>
      </c>
      <c r="BN49" s="2">
        <v>10</v>
      </c>
      <c r="BO49" s="2">
        <v>10</v>
      </c>
      <c r="BP49" s="54">
        <f t="shared" si="5"/>
        <v>10</v>
      </c>
      <c r="BQ49" s="5"/>
      <c r="BR49" s="5"/>
      <c r="BS49" s="5">
        <v>10</v>
      </c>
      <c r="BT49" s="5">
        <v>10</v>
      </c>
      <c r="BU49" s="5">
        <v>10</v>
      </c>
      <c r="BV49" s="5">
        <v>10</v>
      </c>
      <c r="BW49" s="5">
        <v>10</v>
      </c>
      <c r="BX49" s="5">
        <v>10</v>
      </c>
      <c r="BY49" s="5">
        <v>10</v>
      </c>
      <c r="BZ49" s="5">
        <v>10</v>
      </c>
      <c r="CA49" s="5">
        <v>10</v>
      </c>
      <c r="CB49" s="5">
        <v>10</v>
      </c>
      <c r="CC49" s="2" t="e">
        <f t="shared" ca="1" si="12"/>
        <v>#NAME?</v>
      </c>
      <c r="CD49" s="55"/>
      <c r="CE49" s="2"/>
      <c r="CF49" s="56">
        <v>10</v>
      </c>
      <c r="CG49" s="56">
        <v>10</v>
      </c>
      <c r="CH49" s="56">
        <v>10</v>
      </c>
      <c r="CI49" s="56">
        <v>10</v>
      </c>
      <c r="CJ49" s="56">
        <v>10</v>
      </c>
      <c r="CK49" s="56">
        <v>10</v>
      </c>
      <c r="CL49" s="56">
        <v>10</v>
      </c>
      <c r="CM49" s="56">
        <v>10</v>
      </c>
      <c r="CN49" s="56">
        <v>10</v>
      </c>
      <c r="CO49" s="56">
        <v>10</v>
      </c>
      <c r="CP49" s="2" t="e">
        <f t="shared" ca="1" si="13"/>
        <v>#NAME?</v>
      </c>
      <c r="CQ49" s="56">
        <v>10</v>
      </c>
      <c r="CR49" s="56">
        <v>10</v>
      </c>
      <c r="CS49" s="56">
        <v>10</v>
      </c>
      <c r="CT49" s="56">
        <v>10</v>
      </c>
      <c r="CU49" s="56">
        <v>10</v>
      </c>
      <c r="CV49" s="54">
        <f t="shared" si="8"/>
        <v>10</v>
      </c>
      <c r="CW49" s="55"/>
      <c r="CX49" s="3"/>
    </row>
    <row r="50" spans="1:102" ht="16.5" x14ac:dyDescent="0.55000000000000004">
      <c r="A50" s="17">
        <v>2</v>
      </c>
      <c r="B50" s="17" t="s">
        <v>3</v>
      </c>
      <c r="C50" s="23" t="s">
        <v>140</v>
      </c>
      <c r="D50" s="20" t="s">
        <v>141</v>
      </c>
      <c r="E50" s="48"/>
      <c r="F50" s="2"/>
      <c r="G50" s="2">
        <v>10</v>
      </c>
      <c r="H50" s="2">
        <v>10</v>
      </c>
      <c r="I50" s="2">
        <v>10</v>
      </c>
      <c r="J50" s="2">
        <v>10</v>
      </c>
      <c r="K50" s="2">
        <v>10</v>
      </c>
      <c r="L50" s="2">
        <v>10</v>
      </c>
      <c r="M50" s="2">
        <v>10</v>
      </c>
      <c r="N50" s="2">
        <v>10</v>
      </c>
      <c r="O50" s="2">
        <v>10</v>
      </c>
      <c r="P50" s="2">
        <v>10</v>
      </c>
      <c r="Q50" s="2" t="e">
        <f t="shared" ca="1" si="9"/>
        <v>#NAME?</v>
      </c>
      <c r="R50" s="2">
        <v>10</v>
      </c>
      <c r="S50" s="2">
        <v>10</v>
      </c>
      <c r="T50" s="2">
        <v>10</v>
      </c>
      <c r="U50" s="2">
        <v>10</v>
      </c>
      <c r="V50" s="2">
        <v>10</v>
      </c>
      <c r="W50" s="54">
        <f t="shared" si="1"/>
        <v>10</v>
      </c>
      <c r="X50" s="48"/>
      <c r="Y50" s="2"/>
      <c r="Z50" s="2"/>
      <c r="AA50" s="2">
        <v>10</v>
      </c>
      <c r="AB50" s="2">
        <v>10</v>
      </c>
      <c r="AC50" s="2">
        <v>10</v>
      </c>
      <c r="AD50" s="2">
        <v>10</v>
      </c>
      <c r="AE50" s="2">
        <v>10</v>
      </c>
      <c r="AF50" s="2">
        <v>10</v>
      </c>
      <c r="AG50" s="2">
        <v>10</v>
      </c>
      <c r="AH50" s="2">
        <v>10</v>
      </c>
      <c r="AI50" s="2">
        <v>10</v>
      </c>
      <c r="AJ50" s="2">
        <v>10</v>
      </c>
      <c r="AK50" s="3"/>
      <c r="AL50" s="3"/>
      <c r="AM50" s="3"/>
      <c r="AN50" s="3"/>
      <c r="AO50" s="3"/>
      <c r="AP50" s="3"/>
      <c r="AQ50" s="2" t="e">
        <f t="shared" ca="1" si="10"/>
        <v>#NAME?</v>
      </c>
      <c r="AR50" s="2">
        <v>10</v>
      </c>
      <c r="AS50" s="2">
        <v>10</v>
      </c>
      <c r="AT50" s="2">
        <v>10</v>
      </c>
      <c r="AU50" s="2">
        <v>10</v>
      </c>
      <c r="AV50" s="2">
        <v>10</v>
      </c>
      <c r="AW50" s="54">
        <f t="shared" si="3"/>
        <v>10</v>
      </c>
      <c r="AX50" s="48"/>
      <c r="AY50" s="2">
        <v>18</v>
      </c>
      <c r="AZ50" s="2">
        <v>10</v>
      </c>
      <c r="BA50" s="2">
        <v>10</v>
      </c>
      <c r="BB50" s="2">
        <v>10</v>
      </c>
      <c r="BC50" s="2">
        <v>10</v>
      </c>
      <c r="BD50" s="2">
        <v>10</v>
      </c>
      <c r="BE50" s="2">
        <v>10</v>
      </c>
      <c r="BF50" s="2">
        <v>10</v>
      </c>
      <c r="BG50" s="2">
        <v>10</v>
      </c>
      <c r="BH50" s="2">
        <v>10</v>
      </c>
      <c r="BI50" s="2">
        <v>10</v>
      </c>
      <c r="BJ50" s="2" t="e">
        <f t="shared" ca="1" si="11"/>
        <v>#NAME?</v>
      </c>
      <c r="BK50" s="2">
        <v>10</v>
      </c>
      <c r="BL50" s="2">
        <v>10</v>
      </c>
      <c r="BM50" s="2">
        <v>10</v>
      </c>
      <c r="BN50" s="2">
        <v>10</v>
      </c>
      <c r="BO50" s="2">
        <v>10</v>
      </c>
      <c r="BP50" s="54">
        <f t="shared" si="5"/>
        <v>10</v>
      </c>
      <c r="BQ50" s="5"/>
      <c r="BR50" s="5"/>
      <c r="BS50" s="5">
        <v>10</v>
      </c>
      <c r="BT50" s="5">
        <v>10</v>
      </c>
      <c r="BU50" s="5">
        <v>10</v>
      </c>
      <c r="BV50" s="5">
        <v>10</v>
      </c>
      <c r="BW50" s="5">
        <v>10</v>
      </c>
      <c r="BX50" s="5">
        <v>10</v>
      </c>
      <c r="BY50" s="5">
        <v>10</v>
      </c>
      <c r="BZ50" s="5">
        <v>10</v>
      </c>
      <c r="CA50" s="5">
        <v>10</v>
      </c>
      <c r="CB50" s="5">
        <v>10</v>
      </c>
      <c r="CC50" s="2" t="e">
        <f t="shared" ca="1" si="12"/>
        <v>#NAME?</v>
      </c>
      <c r="CD50" s="55"/>
      <c r="CE50" s="2"/>
      <c r="CF50" s="58">
        <v>10</v>
      </c>
      <c r="CG50" s="58">
        <v>10</v>
      </c>
      <c r="CH50" s="58">
        <v>10</v>
      </c>
      <c r="CI50" s="58">
        <v>10</v>
      </c>
      <c r="CJ50" s="58">
        <v>10</v>
      </c>
      <c r="CK50" s="58">
        <v>10</v>
      </c>
      <c r="CL50" s="58">
        <v>10</v>
      </c>
      <c r="CM50" s="58">
        <v>10</v>
      </c>
      <c r="CN50" s="58">
        <v>10</v>
      </c>
      <c r="CO50" s="58">
        <v>10</v>
      </c>
      <c r="CP50" s="2" t="e">
        <f t="shared" ca="1" si="13"/>
        <v>#NAME?</v>
      </c>
      <c r="CQ50" s="58">
        <v>10</v>
      </c>
      <c r="CR50" s="58">
        <v>10</v>
      </c>
      <c r="CS50" s="58">
        <v>10</v>
      </c>
      <c r="CT50" s="58">
        <v>10</v>
      </c>
      <c r="CU50" s="58">
        <v>10</v>
      </c>
      <c r="CV50" s="54">
        <f t="shared" si="8"/>
        <v>10</v>
      </c>
      <c r="CW50" s="55"/>
      <c r="CX50" s="3"/>
    </row>
    <row r="51" spans="1:102" ht="16.5" x14ac:dyDescent="0.55000000000000004">
      <c r="A51" s="17">
        <v>3</v>
      </c>
      <c r="B51" s="17" t="s">
        <v>3</v>
      </c>
      <c r="C51" s="23" t="s">
        <v>142</v>
      </c>
      <c r="D51" s="20" t="s">
        <v>143</v>
      </c>
      <c r="E51" s="48"/>
      <c r="F51" s="2"/>
      <c r="G51" s="2">
        <v>10</v>
      </c>
      <c r="H51" s="2">
        <v>10</v>
      </c>
      <c r="I51" s="2">
        <v>10</v>
      </c>
      <c r="J51" s="2">
        <v>10</v>
      </c>
      <c r="K51" s="2">
        <v>10</v>
      </c>
      <c r="L51" s="2">
        <v>10</v>
      </c>
      <c r="M51" s="2">
        <v>10</v>
      </c>
      <c r="N51" s="2">
        <v>10</v>
      </c>
      <c r="O51" s="2">
        <v>9</v>
      </c>
      <c r="P51" s="2">
        <v>9</v>
      </c>
      <c r="Q51" s="2" t="e">
        <f t="shared" ca="1" si="9"/>
        <v>#NAME?</v>
      </c>
      <c r="R51" s="2">
        <v>10</v>
      </c>
      <c r="S51" s="2">
        <v>10</v>
      </c>
      <c r="T51" s="2">
        <v>10</v>
      </c>
      <c r="U51" s="2">
        <v>10</v>
      </c>
      <c r="V51" s="2">
        <v>10</v>
      </c>
      <c r="W51" s="54">
        <f t="shared" si="1"/>
        <v>10</v>
      </c>
      <c r="X51" s="48"/>
      <c r="Y51" s="2"/>
      <c r="Z51" s="2"/>
      <c r="AA51" s="2">
        <v>10</v>
      </c>
      <c r="AB51" s="2">
        <v>10</v>
      </c>
      <c r="AC51" s="2">
        <v>10</v>
      </c>
      <c r="AD51" s="2">
        <v>10</v>
      </c>
      <c r="AE51" s="2">
        <v>10</v>
      </c>
      <c r="AF51" s="2">
        <v>10</v>
      </c>
      <c r="AG51" s="2">
        <v>10</v>
      </c>
      <c r="AH51" s="2">
        <v>10</v>
      </c>
      <c r="AI51" s="2">
        <v>10</v>
      </c>
      <c r="AJ51" s="2">
        <v>10</v>
      </c>
      <c r="AK51" s="3"/>
      <c r="AL51" s="3"/>
      <c r="AM51" s="3"/>
      <c r="AN51" s="3"/>
      <c r="AO51" s="3"/>
      <c r="AP51" s="3"/>
      <c r="AQ51" s="2" t="e">
        <f t="shared" ca="1" si="10"/>
        <v>#NAME?</v>
      </c>
      <c r="AR51" s="2">
        <v>10</v>
      </c>
      <c r="AS51" s="2">
        <v>10</v>
      </c>
      <c r="AT51" s="2">
        <v>10</v>
      </c>
      <c r="AU51" s="2">
        <v>10</v>
      </c>
      <c r="AV51" s="2">
        <v>10</v>
      </c>
      <c r="AW51" s="54">
        <f t="shared" si="3"/>
        <v>10</v>
      </c>
      <c r="AX51" s="48"/>
      <c r="AY51" s="2">
        <v>15</v>
      </c>
      <c r="AZ51" s="2">
        <v>9</v>
      </c>
      <c r="BA51" s="2">
        <v>9</v>
      </c>
      <c r="BB51" s="2">
        <v>9</v>
      </c>
      <c r="BC51" s="2">
        <v>9</v>
      </c>
      <c r="BD51" s="2">
        <v>9</v>
      </c>
      <c r="BE51" s="2">
        <v>9</v>
      </c>
      <c r="BF51" s="2">
        <v>9</v>
      </c>
      <c r="BG51" s="2">
        <v>10</v>
      </c>
      <c r="BH51" s="2">
        <v>10</v>
      </c>
      <c r="BI51" s="2">
        <v>10</v>
      </c>
      <c r="BJ51" s="2" t="e">
        <f t="shared" ca="1" si="11"/>
        <v>#NAME?</v>
      </c>
      <c r="BK51" s="2">
        <v>10</v>
      </c>
      <c r="BL51" s="2">
        <v>10</v>
      </c>
      <c r="BM51" s="2">
        <v>10</v>
      </c>
      <c r="BN51" s="2">
        <v>10</v>
      </c>
      <c r="BO51" s="2">
        <v>10</v>
      </c>
      <c r="BP51" s="54">
        <f t="shared" si="5"/>
        <v>10</v>
      </c>
      <c r="BQ51" s="5"/>
      <c r="BR51" s="5"/>
      <c r="BS51" s="5">
        <v>10</v>
      </c>
      <c r="BT51" s="5">
        <v>8</v>
      </c>
      <c r="BU51" s="5">
        <v>6</v>
      </c>
      <c r="BV51" s="5">
        <v>5</v>
      </c>
      <c r="BW51" s="5">
        <v>6</v>
      </c>
      <c r="BX51" s="5">
        <v>6</v>
      </c>
      <c r="BY51" s="5">
        <v>6</v>
      </c>
      <c r="BZ51" s="5">
        <v>6</v>
      </c>
      <c r="CA51" s="5">
        <v>6</v>
      </c>
      <c r="CB51" s="5">
        <v>5</v>
      </c>
      <c r="CC51" s="2" t="e">
        <f t="shared" ca="1" si="12"/>
        <v>#NAME?</v>
      </c>
      <c r="CD51" s="55"/>
      <c r="CE51" s="2"/>
      <c r="CF51" s="56">
        <v>10</v>
      </c>
      <c r="CG51" s="56">
        <v>10</v>
      </c>
      <c r="CH51" s="56">
        <v>10</v>
      </c>
      <c r="CI51" s="56">
        <v>10</v>
      </c>
      <c r="CJ51" s="56">
        <v>10</v>
      </c>
      <c r="CK51" s="56">
        <v>10</v>
      </c>
      <c r="CL51" s="56">
        <v>10</v>
      </c>
      <c r="CM51" s="56">
        <v>10</v>
      </c>
      <c r="CN51" s="56">
        <v>10</v>
      </c>
      <c r="CO51" s="56">
        <v>10</v>
      </c>
      <c r="CP51" s="2" t="e">
        <f t="shared" ca="1" si="13"/>
        <v>#NAME?</v>
      </c>
      <c r="CQ51" s="56">
        <v>10</v>
      </c>
      <c r="CR51" s="56">
        <v>10</v>
      </c>
      <c r="CS51" s="56">
        <v>10</v>
      </c>
      <c r="CT51" s="56">
        <v>10</v>
      </c>
      <c r="CU51" s="56">
        <v>10</v>
      </c>
      <c r="CV51" s="54">
        <f t="shared" si="8"/>
        <v>10</v>
      </c>
      <c r="CW51" s="55"/>
      <c r="CX51" s="3"/>
    </row>
    <row r="52" spans="1:102" ht="16.5" x14ac:dyDescent="0.55000000000000004">
      <c r="A52" s="17">
        <v>3</v>
      </c>
      <c r="B52" s="17" t="s">
        <v>3</v>
      </c>
      <c r="C52" s="23" t="s">
        <v>144</v>
      </c>
      <c r="D52" s="20" t="s">
        <v>145</v>
      </c>
      <c r="E52" s="48"/>
      <c r="F52" s="2"/>
      <c r="G52" s="2">
        <v>10</v>
      </c>
      <c r="H52" s="2">
        <v>10</v>
      </c>
      <c r="I52" s="2">
        <v>10</v>
      </c>
      <c r="J52" s="2">
        <v>10</v>
      </c>
      <c r="K52" s="2">
        <v>10</v>
      </c>
      <c r="L52" s="2">
        <v>10</v>
      </c>
      <c r="M52" s="2">
        <v>10</v>
      </c>
      <c r="N52" s="2">
        <v>9</v>
      </c>
      <c r="O52" s="2">
        <v>9</v>
      </c>
      <c r="P52" s="2">
        <v>9</v>
      </c>
      <c r="Q52" s="2" t="e">
        <f t="shared" ca="1" si="9"/>
        <v>#NAME?</v>
      </c>
      <c r="R52" s="2">
        <v>10</v>
      </c>
      <c r="S52" s="2">
        <v>10</v>
      </c>
      <c r="T52" s="2">
        <v>10</v>
      </c>
      <c r="U52" s="2">
        <v>10</v>
      </c>
      <c r="V52" s="2">
        <v>10</v>
      </c>
      <c r="W52" s="54">
        <f t="shared" si="1"/>
        <v>10</v>
      </c>
      <c r="X52" s="48"/>
      <c r="Y52" s="2"/>
      <c r="Z52" s="2"/>
      <c r="AA52" s="2">
        <v>10</v>
      </c>
      <c r="AB52" s="2">
        <v>10</v>
      </c>
      <c r="AC52" s="2">
        <v>10</v>
      </c>
      <c r="AD52" s="2">
        <v>10</v>
      </c>
      <c r="AE52" s="2">
        <v>10</v>
      </c>
      <c r="AF52" s="2">
        <v>10</v>
      </c>
      <c r="AG52" s="2">
        <v>10</v>
      </c>
      <c r="AH52" s="2">
        <v>10</v>
      </c>
      <c r="AI52" s="2">
        <v>10</v>
      </c>
      <c r="AJ52" s="2">
        <v>10</v>
      </c>
      <c r="AK52" s="3"/>
      <c r="AL52" s="3"/>
      <c r="AM52" s="3"/>
      <c r="AN52" s="3"/>
      <c r="AO52" s="3"/>
      <c r="AP52" s="3"/>
      <c r="AQ52" s="2" t="e">
        <f t="shared" ca="1" si="10"/>
        <v>#NAME?</v>
      </c>
      <c r="AR52" s="2">
        <v>10</v>
      </c>
      <c r="AS52" s="2">
        <v>10</v>
      </c>
      <c r="AT52" s="2">
        <v>10</v>
      </c>
      <c r="AU52" s="2">
        <v>10</v>
      </c>
      <c r="AV52" s="2">
        <v>8</v>
      </c>
      <c r="AW52" s="54">
        <f t="shared" si="3"/>
        <v>10</v>
      </c>
      <c r="AX52" s="48"/>
      <c r="AY52" s="2">
        <v>4</v>
      </c>
      <c r="AZ52" s="2">
        <v>9</v>
      </c>
      <c r="BA52" s="2">
        <v>10</v>
      </c>
      <c r="BB52" s="2">
        <v>9</v>
      </c>
      <c r="BC52" s="2">
        <v>9</v>
      </c>
      <c r="BD52" s="2">
        <v>9</v>
      </c>
      <c r="BE52" s="2">
        <v>9</v>
      </c>
      <c r="BF52" s="2">
        <v>9</v>
      </c>
      <c r="BG52" s="2">
        <v>9</v>
      </c>
      <c r="BH52" s="2">
        <v>9</v>
      </c>
      <c r="BI52" s="2">
        <v>9</v>
      </c>
      <c r="BJ52" s="2" t="e">
        <f t="shared" ca="1" si="11"/>
        <v>#NAME?</v>
      </c>
      <c r="BK52" s="5">
        <v>9</v>
      </c>
      <c r="BL52" s="5">
        <v>9</v>
      </c>
      <c r="BM52" s="5">
        <v>9</v>
      </c>
      <c r="BN52" s="5">
        <v>9</v>
      </c>
      <c r="BO52" s="5">
        <v>9</v>
      </c>
      <c r="BP52" s="54">
        <f t="shared" si="5"/>
        <v>9</v>
      </c>
      <c r="BQ52" s="5"/>
      <c r="BR52" s="5"/>
      <c r="BS52" s="5">
        <v>10</v>
      </c>
      <c r="BT52" s="5">
        <v>10</v>
      </c>
      <c r="BU52" s="5">
        <v>10</v>
      </c>
      <c r="BV52" s="5">
        <v>10</v>
      </c>
      <c r="BW52" s="5">
        <v>7</v>
      </c>
      <c r="BX52" s="5">
        <v>7</v>
      </c>
      <c r="BY52" s="5">
        <v>8</v>
      </c>
      <c r="BZ52" s="5">
        <v>8</v>
      </c>
      <c r="CA52" s="5">
        <v>7</v>
      </c>
      <c r="CB52" s="5">
        <v>7</v>
      </c>
      <c r="CC52" s="2" t="e">
        <f t="shared" ca="1" si="12"/>
        <v>#NAME?</v>
      </c>
      <c r="CD52" s="55"/>
      <c r="CE52" s="2"/>
      <c r="CF52" s="58">
        <v>10</v>
      </c>
      <c r="CG52" s="58">
        <v>10</v>
      </c>
      <c r="CH52" s="58">
        <v>10</v>
      </c>
      <c r="CI52" s="58">
        <v>10</v>
      </c>
      <c r="CJ52" s="58">
        <v>10</v>
      </c>
      <c r="CK52" s="58">
        <v>10</v>
      </c>
      <c r="CL52" s="58">
        <v>10</v>
      </c>
      <c r="CM52" s="58">
        <v>10</v>
      </c>
      <c r="CN52" s="58">
        <v>10</v>
      </c>
      <c r="CO52" s="58">
        <v>10</v>
      </c>
      <c r="CP52" s="2" t="e">
        <f t="shared" ca="1" si="13"/>
        <v>#NAME?</v>
      </c>
      <c r="CQ52" s="58">
        <v>10</v>
      </c>
      <c r="CR52" s="58">
        <v>10</v>
      </c>
      <c r="CS52" s="58">
        <v>10</v>
      </c>
      <c r="CT52" s="58">
        <v>10</v>
      </c>
      <c r="CU52" s="58">
        <v>10</v>
      </c>
      <c r="CV52" s="54">
        <f t="shared" si="8"/>
        <v>10</v>
      </c>
      <c r="CW52" s="55"/>
      <c r="CX52" s="3"/>
    </row>
    <row r="53" spans="1:102" ht="16.5" x14ac:dyDescent="0.55000000000000004">
      <c r="A53" s="17">
        <v>3</v>
      </c>
      <c r="B53" s="17" t="s">
        <v>3</v>
      </c>
      <c r="C53" s="23" t="s">
        <v>146</v>
      </c>
      <c r="D53" s="20" t="s">
        <v>147</v>
      </c>
      <c r="E53" s="48"/>
      <c r="F53" s="2"/>
      <c r="G53" s="2">
        <v>10</v>
      </c>
      <c r="H53" s="2">
        <v>10</v>
      </c>
      <c r="I53" s="2">
        <v>10</v>
      </c>
      <c r="J53" s="2">
        <v>10</v>
      </c>
      <c r="K53" s="2">
        <v>10</v>
      </c>
      <c r="L53" s="2">
        <v>10</v>
      </c>
      <c r="M53" s="2">
        <v>10</v>
      </c>
      <c r="N53" s="2">
        <v>9</v>
      </c>
      <c r="O53" s="2">
        <v>9</v>
      </c>
      <c r="P53" s="2">
        <v>9</v>
      </c>
      <c r="Q53" s="2" t="e">
        <f t="shared" ca="1" si="9"/>
        <v>#NAME?</v>
      </c>
      <c r="R53" s="2">
        <v>10</v>
      </c>
      <c r="S53" s="2">
        <v>10</v>
      </c>
      <c r="T53" s="2">
        <v>10</v>
      </c>
      <c r="U53" s="2">
        <v>10</v>
      </c>
      <c r="V53" s="2">
        <v>10</v>
      </c>
      <c r="W53" s="54">
        <f t="shared" si="1"/>
        <v>10</v>
      </c>
      <c r="X53" s="48"/>
      <c r="Y53" s="2"/>
      <c r="Z53" s="2"/>
      <c r="AA53" s="2">
        <v>10</v>
      </c>
      <c r="AB53" s="2">
        <v>10</v>
      </c>
      <c r="AC53" s="2">
        <v>10</v>
      </c>
      <c r="AD53" s="2">
        <v>10</v>
      </c>
      <c r="AE53" s="2">
        <v>10</v>
      </c>
      <c r="AF53" s="2">
        <v>10</v>
      </c>
      <c r="AG53" s="2">
        <v>10</v>
      </c>
      <c r="AH53" s="2">
        <v>10</v>
      </c>
      <c r="AI53" s="2">
        <v>10</v>
      </c>
      <c r="AJ53" s="2">
        <v>10</v>
      </c>
      <c r="AK53" s="3"/>
      <c r="AL53" s="3"/>
      <c r="AM53" s="3"/>
      <c r="AN53" s="3"/>
      <c r="AO53" s="3"/>
      <c r="AP53" s="3"/>
      <c r="AQ53" s="2" t="e">
        <f t="shared" ca="1" si="10"/>
        <v>#NAME?</v>
      </c>
      <c r="AR53" s="2">
        <v>10</v>
      </c>
      <c r="AS53" s="2">
        <v>10</v>
      </c>
      <c r="AT53" s="2">
        <v>10</v>
      </c>
      <c r="AU53" s="2">
        <v>10</v>
      </c>
      <c r="AV53" s="2">
        <v>10</v>
      </c>
      <c r="AW53" s="54">
        <f t="shared" si="3"/>
        <v>10</v>
      </c>
      <c r="AX53" s="48"/>
      <c r="AY53" s="2">
        <v>12</v>
      </c>
      <c r="AZ53" s="2">
        <v>9</v>
      </c>
      <c r="BA53" s="2">
        <v>9</v>
      </c>
      <c r="BB53" s="2">
        <v>9</v>
      </c>
      <c r="BC53" s="2">
        <v>9</v>
      </c>
      <c r="BD53" s="2">
        <v>9</v>
      </c>
      <c r="BE53" s="2">
        <v>9</v>
      </c>
      <c r="BF53" s="2">
        <v>9</v>
      </c>
      <c r="BG53" s="2">
        <v>9</v>
      </c>
      <c r="BH53" s="2">
        <v>9</v>
      </c>
      <c r="BI53" s="2">
        <v>9</v>
      </c>
      <c r="BJ53" s="2" t="e">
        <f t="shared" ca="1" si="11"/>
        <v>#NAME?</v>
      </c>
      <c r="BK53" s="2">
        <v>10</v>
      </c>
      <c r="BL53" s="2">
        <v>10</v>
      </c>
      <c r="BM53" s="2">
        <v>10</v>
      </c>
      <c r="BN53" s="2">
        <v>10</v>
      </c>
      <c r="BO53" s="2">
        <v>10</v>
      </c>
      <c r="BP53" s="54">
        <f t="shared" si="5"/>
        <v>10</v>
      </c>
      <c r="BQ53" s="5"/>
      <c r="BR53" s="5"/>
      <c r="BS53" s="5">
        <v>10</v>
      </c>
      <c r="BT53" s="5">
        <v>10</v>
      </c>
      <c r="BU53" s="5">
        <v>10</v>
      </c>
      <c r="BV53" s="5">
        <v>10</v>
      </c>
      <c r="BW53" s="5">
        <v>10</v>
      </c>
      <c r="BX53" s="5">
        <v>10</v>
      </c>
      <c r="BY53" s="5">
        <v>10</v>
      </c>
      <c r="BZ53" s="5">
        <v>10</v>
      </c>
      <c r="CA53" s="5">
        <v>10</v>
      </c>
      <c r="CB53" s="5">
        <v>10</v>
      </c>
      <c r="CC53" s="2" t="e">
        <f t="shared" ca="1" si="12"/>
        <v>#NAME?</v>
      </c>
      <c r="CD53" s="55"/>
      <c r="CE53" s="2"/>
      <c r="CF53" s="56">
        <v>10</v>
      </c>
      <c r="CG53" s="56">
        <v>10</v>
      </c>
      <c r="CH53" s="56">
        <v>10</v>
      </c>
      <c r="CI53" s="56">
        <v>10</v>
      </c>
      <c r="CJ53" s="56">
        <v>10</v>
      </c>
      <c r="CK53" s="56">
        <v>10</v>
      </c>
      <c r="CL53" s="56">
        <v>10</v>
      </c>
      <c r="CM53" s="56">
        <v>10</v>
      </c>
      <c r="CN53" s="56">
        <v>10</v>
      </c>
      <c r="CO53" s="56">
        <v>10</v>
      </c>
      <c r="CP53" s="2" t="e">
        <f t="shared" ca="1" si="13"/>
        <v>#NAME?</v>
      </c>
      <c r="CQ53" s="56">
        <v>10</v>
      </c>
      <c r="CR53" s="56">
        <v>10</v>
      </c>
      <c r="CS53" s="56">
        <v>10</v>
      </c>
      <c r="CT53" s="56">
        <v>10</v>
      </c>
      <c r="CU53" s="56">
        <v>10</v>
      </c>
      <c r="CV53" s="54">
        <f t="shared" si="8"/>
        <v>10</v>
      </c>
      <c r="CW53" s="55"/>
      <c r="CX53" s="3"/>
    </row>
    <row r="54" spans="1:102" ht="16.5" x14ac:dyDescent="0.55000000000000004">
      <c r="A54" s="17">
        <v>3</v>
      </c>
      <c r="B54" s="17" t="s">
        <v>3</v>
      </c>
      <c r="C54" s="23" t="s">
        <v>148</v>
      </c>
      <c r="D54" s="20" t="s">
        <v>149</v>
      </c>
      <c r="E54" s="48"/>
      <c r="F54" s="2"/>
      <c r="G54" s="2">
        <v>10</v>
      </c>
      <c r="H54" s="2">
        <v>10</v>
      </c>
      <c r="I54" s="2">
        <v>10</v>
      </c>
      <c r="J54" s="2">
        <v>10</v>
      </c>
      <c r="K54" s="2">
        <v>10</v>
      </c>
      <c r="L54" s="2">
        <v>10</v>
      </c>
      <c r="M54" s="2">
        <v>10</v>
      </c>
      <c r="N54" s="2">
        <v>9</v>
      </c>
      <c r="O54" s="2">
        <v>9</v>
      </c>
      <c r="P54" s="2">
        <v>9</v>
      </c>
      <c r="Q54" s="2" t="e">
        <f t="shared" ca="1" si="9"/>
        <v>#NAME?</v>
      </c>
      <c r="R54" s="2">
        <v>10</v>
      </c>
      <c r="S54" s="2">
        <v>10</v>
      </c>
      <c r="T54" s="2">
        <v>10</v>
      </c>
      <c r="U54" s="2">
        <v>10</v>
      </c>
      <c r="V54" s="2">
        <v>10</v>
      </c>
      <c r="W54" s="54">
        <f t="shared" si="1"/>
        <v>10</v>
      </c>
      <c r="X54" s="48"/>
      <c r="Y54" s="2"/>
      <c r="Z54" s="2"/>
      <c r="AA54" s="2">
        <v>10</v>
      </c>
      <c r="AB54" s="2">
        <v>10</v>
      </c>
      <c r="AC54" s="2">
        <v>10</v>
      </c>
      <c r="AD54" s="2">
        <v>10</v>
      </c>
      <c r="AE54" s="2">
        <v>10</v>
      </c>
      <c r="AF54" s="2">
        <v>10</v>
      </c>
      <c r="AG54" s="2">
        <v>10</v>
      </c>
      <c r="AH54" s="2">
        <v>10</v>
      </c>
      <c r="AI54" s="2">
        <v>10</v>
      </c>
      <c r="AJ54" s="2">
        <v>10</v>
      </c>
      <c r="AK54" s="3"/>
      <c r="AL54" s="3"/>
      <c r="AM54" s="3"/>
      <c r="AN54" s="3"/>
      <c r="AO54" s="3"/>
      <c r="AP54" s="3"/>
      <c r="AQ54" s="2" t="e">
        <f t="shared" ca="1" si="10"/>
        <v>#NAME?</v>
      </c>
      <c r="AR54" s="2">
        <v>10</v>
      </c>
      <c r="AS54" s="2">
        <v>10</v>
      </c>
      <c r="AT54" s="2">
        <v>10</v>
      </c>
      <c r="AU54" s="2">
        <v>10</v>
      </c>
      <c r="AV54" s="2">
        <v>10</v>
      </c>
      <c r="AW54" s="54">
        <f t="shared" si="3"/>
        <v>10</v>
      </c>
      <c r="AX54" s="48"/>
      <c r="AY54" s="2">
        <v>18</v>
      </c>
      <c r="AZ54" s="2">
        <v>10</v>
      </c>
      <c r="BA54" s="2">
        <v>10</v>
      </c>
      <c r="BB54" s="2">
        <v>10</v>
      </c>
      <c r="BC54" s="2">
        <v>10</v>
      </c>
      <c r="BD54" s="2">
        <v>10</v>
      </c>
      <c r="BE54" s="2">
        <v>10</v>
      </c>
      <c r="BF54" s="2">
        <v>10</v>
      </c>
      <c r="BG54" s="2">
        <v>10</v>
      </c>
      <c r="BH54" s="2">
        <v>10</v>
      </c>
      <c r="BI54" s="2">
        <v>10</v>
      </c>
      <c r="BJ54" s="2" t="e">
        <f t="shared" ca="1" si="11"/>
        <v>#NAME?</v>
      </c>
      <c r="BK54" s="2">
        <v>10</v>
      </c>
      <c r="BL54" s="2">
        <v>10</v>
      </c>
      <c r="BM54" s="2">
        <v>10</v>
      </c>
      <c r="BN54" s="2">
        <v>10</v>
      </c>
      <c r="BO54" s="2">
        <v>10</v>
      </c>
      <c r="BP54" s="54">
        <f t="shared" si="5"/>
        <v>10</v>
      </c>
      <c r="BQ54" s="5"/>
      <c r="BR54" s="5"/>
      <c r="BS54" s="5">
        <v>10</v>
      </c>
      <c r="BT54" s="5">
        <v>9</v>
      </c>
      <c r="BU54" s="5">
        <v>8</v>
      </c>
      <c r="BV54" s="5">
        <v>8</v>
      </c>
      <c r="BW54" s="5">
        <v>8</v>
      </c>
      <c r="BX54" s="5">
        <v>8</v>
      </c>
      <c r="BY54" s="5">
        <v>8</v>
      </c>
      <c r="BZ54" s="5">
        <v>9</v>
      </c>
      <c r="CA54" s="5">
        <v>8</v>
      </c>
      <c r="CB54" s="5">
        <v>8</v>
      </c>
      <c r="CC54" s="2" t="e">
        <f t="shared" ca="1" si="12"/>
        <v>#NAME?</v>
      </c>
      <c r="CD54" s="55"/>
      <c r="CE54" s="2"/>
      <c r="CF54" s="58">
        <v>10</v>
      </c>
      <c r="CG54" s="58">
        <v>10</v>
      </c>
      <c r="CH54" s="58">
        <v>10</v>
      </c>
      <c r="CI54" s="58">
        <v>10</v>
      </c>
      <c r="CJ54" s="58">
        <v>10</v>
      </c>
      <c r="CK54" s="58">
        <v>10</v>
      </c>
      <c r="CL54" s="58">
        <v>10</v>
      </c>
      <c r="CM54" s="58">
        <v>10</v>
      </c>
      <c r="CN54" s="58">
        <v>10</v>
      </c>
      <c r="CO54" s="58">
        <v>10</v>
      </c>
      <c r="CP54" s="2" t="e">
        <f t="shared" ca="1" si="13"/>
        <v>#NAME?</v>
      </c>
      <c r="CQ54" s="58">
        <v>10</v>
      </c>
      <c r="CR54" s="58">
        <v>10</v>
      </c>
      <c r="CS54" s="58">
        <v>10</v>
      </c>
      <c r="CT54" s="58">
        <v>10</v>
      </c>
      <c r="CU54" s="58">
        <v>10</v>
      </c>
      <c r="CV54" s="54">
        <f t="shared" si="8"/>
        <v>10</v>
      </c>
      <c r="CW54" s="55"/>
      <c r="CX54" s="3"/>
    </row>
    <row r="55" spans="1:102" ht="16.5" x14ac:dyDescent="0.55000000000000004">
      <c r="A55" s="17">
        <v>3</v>
      </c>
      <c r="B55" s="17" t="s">
        <v>3</v>
      </c>
      <c r="C55" s="23" t="s">
        <v>150</v>
      </c>
      <c r="D55" s="20" t="s">
        <v>151</v>
      </c>
      <c r="E55" s="48"/>
      <c r="F55" s="48"/>
      <c r="G55" s="2">
        <v>10</v>
      </c>
      <c r="H55" s="2">
        <v>10</v>
      </c>
      <c r="I55" s="2">
        <v>10</v>
      </c>
      <c r="J55" s="2">
        <v>10</v>
      </c>
      <c r="K55" s="2">
        <v>10</v>
      </c>
      <c r="L55" s="2">
        <v>10</v>
      </c>
      <c r="M55" s="2">
        <v>10</v>
      </c>
      <c r="N55" s="2">
        <v>9</v>
      </c>
      <c r="O55" s="2">
        <v>9</v>
      </c>
      <c r="P55" s="2">
        <v>9</v>
      </c>
      <c r="Q55" s="2" t="e">
        <f t="shared" ca="1" si="9"/>
        <v>#NAME?</v>
      </c>
      <c r="R55" s="2">
        <v>10</v>
      </c>
      <c r="S55" s="2">
        <v>10</v>
      </c>
      <c r="T55" s="2">
        <v>10</v>
      </c>
      <c r="U55" s="2">
        <v>10</v>
      </c>
      <c r="V55" s="2">
        <v>10</v>
      </c>
      <c r="W55" s="54">
        <f t="shared" si="1"/>
        <v>10</v>
      </c>
      <c r="X55" s="48"/>
      <c r="Y55" s="2"/>
      <c r="Z55" s="2"/>
      <c r="AA55" s="2">
        <v>10</v>
      </c>
      <c r="AB55" s="2">
        <v>10</v>
      </c>
      <c r="AC55" s="2">
        <v>10</v>
      </c>
      <c r="AD55" s="2">
        <v>10</v>
      </c>
      <c r="AE55" s="2">
        <v>10</v>
      </c>
      <c r="AF55" s="2">
        <v>10</v>
      </c>
      <c r="AG55" s="2">
        <v>10</v>
      </c>
      <c r="AH55" s="2">
        <v>10</v>
      </c>
      <c r="AI55" s="2">
        <v>10</v>
      </c>
      <c r="AJ55" s="2">
        <v>10</v>
      </c>
      <c r="AK55" s="3"/>
      <c r="AL55" s="3"/>
      <c r="AM55" s="3"/>
      <c r="AN55" s="3"/>
      <c r="AO55" s="3"/>
      <c r="AP55" s="3"/>
      <c r="AQ55" s="2" t="e">
        <f t="shared" ca="1" si="10"/>
        <v>#NAME?</v>
      </c>
      <c r="AR55" s="2">
        <v>10</v>
      </c>
      <c r="AS55" s="2">
        <v>10</v>
      </c>
      <c r="AT55" s="2">
        <v>10</v>
      </c>
      <c r="AU55" s="2">
        <v>10</v>
      </c>
      <c r="AV55" s="2">
        <v>10</v>
      </c>
      <c r="AW55" s="54">
        <f t="shared" si="3"/>
        <v>10</v>
      </c>
      <c r="AX55" s="48"/>
      <c r="AY55" s="2">
        <v>17</v>
      </c>
      <c r="AZ55" s="2">
        <v>10</v>
      </c>
      <c r="BA55" s="2">
        <v>10</v>
      </c>
      <c r="BB55" s="2">
        <v>10</v>
      </c>
      <c r="BC55" s="2">
        <v>10</v>
      </c>
      <c r="BD55" s="2">
        <v>10</v>
      </c>
      <c r="BE55" s="2">
        <v>10</v>
      </c>
      <c r="BF55" s="2">
        <v>10</v>
      </c>
      <c r="BG55" s="2">
        <v>10</v>
      </c>
      <c r="BH55" s="2">
        <v>10</v>
      </c>
      <c r="BI55" s="2">
        <v>10</v>
      </c>
      <c r="BJ55" s="2" t="e">
        <f t="shared" ca="1" si="11"/>
        <v>#NAME?</v>
      </c>
      <c r="BK55" s="2">
        <v>10</v>
      </c>
      <c r="BL55" s="2">
        <v>10</v>
      </c>
      <c r="BM55" s="2">
        <v>10</v>
      </c>
      <c r="BN55" s="2">
        <v>10</v>
      </c>
      <c r="BO55" s="2">
        <v>10</v>
      </c>
      <c r="BP55" s="54">
        <f t="shared" si="5"/>
        <v>10</v>
      </c>
      <c r="BQ55" s="5"/>
      <c r="BR55" s="5"/>
      <c r="BS55" s="5">
        <v>10</v>
      </c>
      <c r="BT55" s="5">
        <v>10</v>
      </c>
      <c r="BU55" s="5">
        <v>10</v>
      </c>
      <c r="BV55" s="5">
        <v>10</v>
      </c>
      <c r="BW55" s="5">
        <v>10</v>
      </c>
      <c r="BX55" s="5">
        <v>10</v>
      </c>
      <c r="BY55" s="5">
        <v>10</v>
      </c>
      <c r="BZ55" s="5">
        <v>10</v>
      </c>
      <c r="CA55" s="5">
        <v>10</v>
      </c>
      <c r="CB55" s="5">
        <v>10</v>
      </c>
      <c r="CC55" s="2" t="e">
        <f t="shared" ca="1" si="12"/>
        <v>#NAME?</v>
      </c>
      <c r="CD55" s="55"/>
      <c r="CE55" s="2"/>
      <c r="CF55" s="56">
        <v>10</v>
      </c>
      <c r="CG55" s="56">
        <v>10</v>
      </c>
      <c r="CH55" s="56">
        <v>10</v>
      </c>
      <c r="CI55" s="56">
        <v>10</v>
      </c>
      <c r="CJ55" s="56">
        <v>10</v>
      </c>
      <c r="CK55" s="56">
        <v>10</v>
      </c>
      <c r="CL55" s="56">
        <v>10</v>
      </c>
      <c r="CM55" s="56">
        <v>10</v>
      </c>
      <c r="CN55" s="58">
        <v>10</v>
      </c>
      <c r="CO55" s="58">
        <v>10</v>
      </c>
      <c r="CP55" s="2" t="e">
        <f t="shared" ca="1" si="13"/>
        <v>#NAME?</v>
      </c>
      <c r="CQ55" s="56">
        <v>10</v>
      </c>
      <c r="CR55" s="56">
        <v>10</v>
      </c>
      <c r="CS55" s="56">
        <v>10</v>
      </c>
      <c r="CT55" s="56">
        <v>10</v>
      </c>
      <c r="CU55" s="56">
        <v>10</v>
      </c>
      <c r="CV55" s="54">
        <f t="shared" si="8"/>
        <v>10</v>
      </c>
      <c r="CW55" s="55"/>
      <c r="CX55" s="3"/>
    </row>
    <row r="56" spans="1:102" ht="16.5" x14ac:dyDescent="0.55000000000000004">
      <c r="A56" s="16">
        <v>3</v>
      </c>
      <c r="B56" s="16" t="s">
        <v>3</v>
      </c>
      <c r="C56" s="60" t="s">
        <v>152</v>
      </c>
      <c r="D56" s="61" t="s">
        <v>153</v>
      </c>
      <c r="E56" s="62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>
        <f>IFERROR(ROUNDUP(AVERAGE(G56:P56),0),0)</f>
        <v>0</v>
      </c>
      <c r="R56" s="10"/>
      <c r="S56" s="10"/>
      <c r="T56" s="10"/>
      <c r="U56" s="10"/>
      <c r="V56" s="10"/>
      <c r="W56" s="63">
        <f t="shared" si="1"/>
        <v>0</v>
      </c>
      <c r="X56" s="62"/>
      <c r="Y56" s="62"/>
      <c r="Z56" s="10"/>
      <c r="AA56" s="62" t="s">
        <v>50</v>
      </c>
      <c r="AB56" s="62" t="s">
        <v>50</v>
      </c>
      <c r="AC56" s="62" t="s">
        <v>50</v>
      </c>
      <c r="AD56" s="62" t="s">
        <v>50</v>
      </c>
      <c r="AE56" s="62" t="s">
        <v>50</v>
      </c>
      <c r="AF56" s="62" t="s">
        <v>50</v>
      </c>
      <c r="AG56" s="62" t="s">
        <v>50</v>
      </c>
      <c r="AH56" s="62" t="s">
        <v>50</v>
      </c>
      <c r="AI56" s="62" t="s">
        <v>50</v>
      </c>
      <c r="AJ56" s="62" t="s">
        <v>50</v>
      </c>
      <c r="AK56" s="11"/>
      <c r="AL56" s="11"/>
      <c r="AM56" s="11"/>
      <c r="AN56" s="11"/>
      <c r="AO56" s="11"/>
      <c r="AP56" s="11"/>
      <c r="AQ56" s="10">
        <f>IFERROR(ROUNDUP(AVERAGE(AA56:AP56),0),0)</f>
        <v>0</v>
      </c>
      <c r="AR56" s="62" t="s">
        <v>50</v>
      </c>
      <c r="AS56" s="62" t="s">
        <v>50</v>
      </c>
      <c r="AT56" s="62" t="s">
        <v>50</v>
      </c>
      <c r="AU56" s="62" t="s">
        <v>50</v>
      </c>
      <c r="AV56" s="62" t="s">
        <v>50</v>
      </c>
      <c r="AW56" s="63">
        <f t="shared" si="3"/>
        <v>0</v>
      </c>
      <c r="AX56" s="62"/>
      <c r="AY56" s="10" t="s">
        <v>31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64">
        <v>0</v>
      </c>
      <c r="BJ56" s="10">
        <f>IFERROR(ROUNDUP(AVERAGE(AZ56:BI56),0),0)</f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63">
        <f t="shared" si="5"/>
        <v>0</v>
      </c>
      <c r="BQ56" s="12"/>
      <c r="BR56" s="12"/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0">
        <f>IFERROR(ROUNDUP(AVERAGE(BS56:CB56),0),0)</f>
        <v>0</v>
      </c>
      <c r="CD56" s="65"/>
      <c r="CE56" s="10"/>
      <c r="CF56" s="66">
        <v>0</v>
      </c>
      <c r="CG56" s="66">
        <v>0</v>
      </c>
      <c r="CH56" s="66">
        <v>0</v>
      </c>
      <c r="CI56" s="66">
        <v>0</v>
      </c>
      <c r="CJ56" s="66">
        <v>0</v>
      </c>
      <c r="CK56" s="66">
        <v>0</v>
      </c>
      <c r="CL56" s="66">
        <v>0</v>
      </c>
      <c r="CM56" s="66">
        <v>0</v>
      </c>
      <c r="CN56" s="66">
        <v>0</v>
      </c>
      <c r="CO56" s="66">
        <v>0</v>
      </c>
      <c r="CP56" s="10">
        <f>IFERROR(ROUNDUP(AVERAGE(CF56:CO56),0),0)</f>
        <v>0</v>
      </c>
      <c r="CQ56" s="9"/>
      <c r="CR56" s="9"/>
      <c r="CS56" s="9"/>
      <c r="CT56" s="9"/>
      <c r="CU56" s="9"/>
      <c r="CV56" s="63">
        <f t="shared" si="8"/>
        <v>0</v>
      </c>
      <c r="CW56" s="65"/>
      <c r="CX56" s="11"/>
    </row>
    <row r="57" spans="1:102" ht="16.5" x14ac:dyDescent="0.55000000000000004">
      <c r="A57" s="17">
        <v>3</v>
      </c>
      <c r="B57" s="17" t="s">
        <v>3</v>
      </c>
      <c r="C57" s="23" t="s">
        <v>154</v>
      </c>
      <c r="D57" s="20" t="s">
        <v>155</v>
      </c>
      <c r="E57" s="48"/>
      <c r="F57" s="2"/>
      <c r="G57" s="2">
        <v>10</v>
      </c>
      <c r="H57" s="2">
        <v>10</v>
      </c>
      <c r="I57" s="2">
        <v>9</v>
      </c>
      <c r="J57" s="2">
        <v>9</v>
      </c>
      <c r="K57" s="2">
        <v>9</v>
      </c>
      <c r="L57" s="2">
        <v>9</v>
      </c>
      <c r="M57" s="2">
        <v>9</v>
      </c>
      <c r="N57" s="2">
        <v>9</v>
      </c>
      <c r="O57" s="2">
        <v>9</v>
      </c>
      <c r="P57" s="2">
        <v>9</v>
      </c>
      <c r="Q57" s="2" t="e">
        <f t="shared" ref="Q57:Q75" ca="1" si="14">_xludf.let(a,IFERROR(AVERAGE(G57:P57),0),ROUND(MAP(a, LAMBDA(x, 5 + (x * 0.5))),0))</f>
        <v>#NAME?</v>
      </c>
      <c r="R57" s="2">
        <v>9</v>
      </c>
      <c r="S57" s="2">
        <v>9</v>
      </c>
      <c r="T57" s="2">
        <v>9</v>
      </c>
      <c r="U57" s="2">
        <v>9</v>
      </c>
      <c r="V57" s="2">
        <v>9</v>
      </c>
      <c r="W57" s="54">
        <f t="shared" si="1"/>
        <v>9</v>
      </c>
      <c r="X57" s="48"/>
      <c r="Y57" s="2"/>
      <c r="Z57" s="2"/>
      <c r="AA57" s="2">
        <v>8</v>
      </c>
      <c r="AB57" s="2">
        <v>8</v>
      </c>
      <c r="AC57" s="2">
        <v>8</v>
      </c>
      <c r="AD57" s="2">
        <v>8</v>
      </c>
      <c r="AE57" s="2">
        <v>8</v>
      </c>
      <c r="AF57" s="2">
        <v>8</v>
      </c>
      <c r="AG57" s="2">
        <v>9</v>
      </c>
      <c r="AH57" s="2">
        <v>9</v>
      </c>
      <c r="AI57" s="2">
        <v>10</v>
      </c>
      <c r="AJ57" s="2">
        <v>10</v>
      </c>
      <c r="AK57" s="3"/>
      <c r="AL57" s="3"/>
      <c r="AM57" s="3"/>
      <c r="AN57" s="3"/>
      <c r="AO57" s="3"/>
      <c r="AP57" s="3"/>
      <c r="AQ57" s="2" t="e">
        <f t="shared" ref="AQ57:AQ75" ca="1" si="15">_xludf.let(a,IFERROR(AVERAGE(AA57:AP57),0),ROUND(MAP(a, LAMBDA(x, 5 + (x * 0.5))),0))</f>
        <v>#NAME?</v>
      </c>
      <c r="AR57" s="2">
        <v>10</v>
      </c>
      <c r="AS57" s="2">
        <v>10</v>
      </c>
      <c r="AT57" s="2">
        <v>10</v>
      </c>
      <c r="AU57" s="2">
        <v>7</v>
      </c>
      <c r="AV57" s="2">
        <v>7</v>
      </c>
      <c r="AW57" s="54">
        <f t="shared" si="3"/>
        <v>9</v>
      </c>
      <c r="AX57" s="48"/>
      <c r="AY57" s="2" t="s">
        <v>31</v>
      </c>
      <c r="AZ57" s="2">
        <v>8</v>
      </c>
      <c r="BA57" s="2">
        <v>9</v>
      </c>
      <c r="BB57" s="2">
        <v>8</v>
      </c>
      <c r="BC57" s="2">
        <v>8</v>
      </c>
      <c r="BD57" s="2">
        <v>8</v>
      </c>
      <c r="BE57" s="2">
        <v>8</v>
      </c>
      <c r="BF57" s="2">
        <v>8</v>
      </c>
      <c r="BG57" s="2">
        <v>8</v>
      </c>
      <c r="BH57" s="2">
        <v>8</v>
      </c>
      <c r="BI57" s="2">
        <v>8</v>
      </c>
      <c r="BJ57" s="2" t="e">
        <f t="shared" ref="BJ57:BJ75" ca="1" si="16">_xludf.let(a,IFERROR(AVERAGE(AZ57:BI57),0),ROUND(MAP(a, LAMBDA(x, 5 + (x * 0.5))),0))</f>
        <v>#NAME?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4">
        <f t="shared" si="5"/>
        <v>0</v>
      </c>
      <c r="BQ57" s="5"/>
      <c r="BR57" s="5"/>
      <c r="BS57" s="5">
        <v>5</v>
      </c>
      <c r="BT57" s="5">
        <v>5</v>
      </c>
      <c r="BU57" s="5">
        <v>5</v>
      </c>
      <c r="BV57" s="5">
        <v>5</v>
      </c>
      <c r="BW57" s="5">
        <v>5</v>
      </c>
      <c r="BX57" s="5">
        <v>5</v>
      </c>
      <c r="BY57" s="5">
        <v>5</v>
      </c>
      <c r="BZ57" s="5">
        <v>5</v>
      </c>
      <c r="CA57" s="5">
        <v>5</v>
      </c>
      <c r="CB57" s="5">
        <v>5</v>
      </c>
      <c r="CC57" s="2" t="e">
        <f t="shared" ref="CC57:CC75" ca="1" si="17">_xludf.let(a,IFERROR(AVERAGE(BS57:CB57),0),ROUND(MAP(a, LAMBDA(x, 5 + (x * 0.5))),0))</f>
        <v>#NAME?</v>
      </c>
      <c r="CD57" s="55"/>
      <c r="CE57" s="2"/>
      <c r="CF57" s="56">
        <v>10</v>
      </c>
      <c r="CG57" s="56">
        <v>10</v>
      </c>
      <c r="CH57" s="56">
        <v>10</v>
      </c>
      <c r="CI57" s="56">
        <v>10</v>
      </c>
      <c r="CJ57" s="56">
        <v>10</v>
      </c>
      <c r="CK57" s="56">
        <v>10</v>
      </c>
      <c r="CL57" s="56">
        <v>10</v>
      </c>
      <c r="CM57" s="56">
        <v>10</v>
      </c>
      <c r="CN57" s="56">
        <v>10</v>
      </c>
      <c r="CO57" s="56">
        <v>10</v>
      </c>
      <c r="CP57" s="2" t="e">
        <f t="shared" ref="CP57:CP75" ca="1" si="18">_xludf.let(a,IFERROR(AVERAGE(CF57:CO57),0),ROUND(MAP(a, LAMBDA(x, 5 + (x * 0.5))),0))</f>
        <v>#NAME?</v>
      </c>
      <c r="CQ57" s="56">
        <v>10</v>
      </c>
      <c r="CR57" s="56">
        <v>10</v>
      </c>
      <c r="CS57" s="56">
        <v>10</v>
      </c>
      <c r="CT57" s="56">
        <v>10</v>
      </c>
      <c r="CU57" s="56">
        <v>10</v>
      </c>
      <c r="CV57" s="54">
        <f t="shared" si="8"/>
        <v>10</v>
      </c>
      <c r="CW57" s="55"/>
      <c r="CX57" s="3"/>
    </row>
    <row r="58" spans="1:102" ht="16.5" x14ac:dyDescent="0.55000000000000004">
      <c r="A58" s="17">
        <v>3</v>
      </c>
      <c r="B58" s="17" t="s">
        <v>3</v>
      </c>
      <c r="C58" s="23" t="s">
        <v>156</v>
      </c>
      <c r="D58" s="20" t="s">
        <v>157</v>
      </c>
      <c r="E58" s="48"/>
      <c r="F58" s="2"/>
      <c r="G58" s="2">
        <v>10</v>
      </c>
      <c r="H58" s="2">
        <v>10</v>
      </c>
      <c r="I58" s="2">
        <v>9</v>
      </c>
      <c r="J58" s="2">
        <v>9</v>
      </c>
      <c r="K58" s="2">
        <v>9</v>
      </c>
      <c r="L58" s="2">
        <v>9</v>
      </c>
      <c r="M58" s="2">
        <v>9</v>
      </c>
      <c r="N58" s="2">
        <v>9</v>
      </c>
      <c r="O58" s="2">
        <v>9</v>
      </c>
      <c r="P58" s="2">
        <v>9</v>
      </c>
      <c r="Q58" s="2" t="e">
        <f t="shared" ca="1" si="14"/>
        <v>#NAME?</v>
      </c>
      <c r="R58" s="2">
        <v>9</v>
      </c>
      <c r="S58" s="2">
        <v>9</v>
      </c>
      <c r="T58" s="2">
        <v>9</v>
      </c>
      <c r="U58" s="2">
        <v>9</v>
      </c>
      <c r="V58" s="2">
        <v>9</v>
      </c>
      <c r="W58" s="54">
        <f t="shared" si="1"/>
        <v>9</v>
      </c>
      <c r="X58" s="48"/>
      <c r="Y58" s="2"/>
      <c r="Z58" s="2"/>
      <c r="AA58" s="2">
        <v>9</v>
      </c>
      <c r="AB58" s="2">
        <v>9</v>
      </c>
      <c r="AC58" s="2">
        <v>9</v>
      </c>
      <c r="AD58" s="2">
        <v>9</v>
      </c>
      <c r="AE58" s="2">
        <v>9</v>
      </c>
      <c r="AF58" s="2">
        <v>9</v>
      </c>
      <c r="AG58" s="2">
        <v>9</v>
      </c>
      <c r="AH58" s="2">
        <v>9</v>
      </c>
      <c r="AI58" s="2">
        <v>9</v>
      </c>
      <c r="AJ58" s="2">
        <v>9</v>
      </c>
      <c r="AK58" s="3"/>
      <c r="AL58" s="3"/>
      <c r="AM58" s="3"/>
      <c r="AN58" s="3"/>
      <c r="AO58" s="3"/>
      <c r="AP58" s="3"/>
      <c r="AQ58" s="2" t="e">
        <f t="shared" ca="1" si="15"/>
        <v>#NAME?</v>
      </c>
      <c r="AR58" s="2">
        <v>10</v>
      </c>
      <c r="AS58" s="2">
        <v>10</v>
      </c>
      <c r="AT58" s="2">
        <v>10</v>
      </c>
      <c r="AU58" s="2">
        <v>10</v>
      </c>
      <c r="AV58" s="2">
        <v>10</v>
      </c>
      <c r="AW58" s="54">
        <f t="shared" si="3"/>
        <v>10</v>
      </c>
      <c r="AX58" s="48"/>
      <c r="AY58" s="2">
        <v>11</v>
      </c>
      <c r="AZ58" s="2">
        <v>6</v>
      </c>
      <c r="BA58" s="2">
        <v>6</v>
      </c>
      <c r="BB58" s="2">
        <v>7</v>
      </c>
      <c r="BC58" s="2">
        <v>7</v>
      </c>
      <c r="BD58" s="2">
        <v>7</v>
      </c>
      <c r="BE58" s="2">
        <v>7</v>
      </c>
      <c r="BF58" s="2">
        <v>7</v>
      </c>
      <c r="BG58" s="2">
        <v>7</v>
      </c>
      <c r="BH58" s="2">
        <v>7</v>
      </c>
      <c r="BI58" s="2">
        <v>7</v>
      </c>
      <c r="BJ58" s="2" t="e">
        <f t="shared" ca="1" si="16"/>
        <v>#NAME?</v>
      </c>
      <c r="BK58" s="5">
        <v>8</v>
      </c>
      <c r="BL58" s="5">
        <v>9</v>
      </c>
      <c r="BM58" s="5">
        <v>9</v>
      </c>
      <c r="BN58" s="5">
        <v>9</v>
      </c>
      <c r="BO58" s="5">
        <v>9</v>
      </c>
      <c r="BP58" s="54">
        <f t="shared" si="5"/>
        <v>9</v>
      </c>
      <c r="BQ58" s="5"/>
      <c r="BR58" s="5"/>
      <c r="BS58" s="5">
        <v>10</v>
      </c>
      <c r="BT58" s="5">
        <v>10</v>
      </c>
      <c r="BU58" s="5">
        <v>6</v>
      </c>
      <c r="BV58" s="5">
        <v>6</v>
      </c>
      <c r="BW58" s="5">
        <v>7</v>
      </c>
      <c r="BX58" s="5">
        <v>6</v>
      </c>
      <c r="BY58" s="5">
        <v>7</v>
      </c>
      <c r="BZ58" s="5">
        <v>7</v>
      </c>
      <c r="CA58" s="5">
        <v>7</v>
      </c>
      <c r="CB58" s="5">
        <v>6</v>
      </c>
      <c r="CC58" s="2" t="e">
        <f t="shared" ca="1" si="17"/>
        <v>#NAME?</v>
      </c>
      <c r="CD58" s="55"/>
      <c r="CE58" s="2"/>
      <c r="CF58" s="58">
        <v>10</v>
      </c>
      <c r="CG58" s="58">
        <v>10</v>
      </c>
      <c r="CH58" s="58">
        <v>10</v>
      </c>
      <c r="CI58" s="58">
        <v>10</v>
      </c>
      <c r="CJ58" s="58">
        <v>10</v>
      </c>
      <c r="CK58" s="58">
        <v>10</v>
      </c>
      <c r="CL58" s="58">
        <v>10</v>
      </c>
      <c r="CM58" s="58">
        <v>10</v>
      </c>
      <c r="CN58" s="58">
        <v>10</v>
      </c>
      <c r="CO58" s="58">
        <v>10</v>
      </c>
      <c r="CP58" s="2" t="e">
        <f t="shared" ca="1" si="18"/>
        <v>#NAME?</v>
      </c>
      <c r="CQ58" s="58">
        <v>10</v>
      </c>
      <c r="CR58" s="58">
        <v>10</v>
      </c>
      <c r="CS58" s="58">
        <v>10</v>
      </c>
      <c r="CT58" s="58">
        <v>10</v>
      </c>
      <c r="CU58" s="58">
        <v>10</v>
      </c>
      <c r="CV58" s="54">
        <f t="shared" si="8"/>
        <v>10</v>
      </c>
      <c r="CW58" s="55"/>
      <c r="CX58" s="3"/>
    </row>
    <row r="59" spans="1:102" ht="16.5" x14ac:dyDescent="0.55000000000000004">
      <c r="A59" s="17">
        <v>3</v>
      </c>
      <c r="B59" s="17" t="s">
        <v>3</v>
      </c>
      <c r="C59" s="23" t="s">
        <v>158</v>
      </c>
      <c r="D59" s="20" t="s">
        <v>159</v>
      </c>
      <c r="E59" s="48"/>
      <c r="F59" s="2"/>
      <c r="G59" s="2">
        <v>10</v>
      </c>
      <c r="H59" s="2">
        <v>10</v>
      </c>
      <c r="I59" s="2">
        <v>10</v>
      </c>
      <c r="J59" s="2">
        <v>10</v>
      </c>
      <c r="K59" s="2">
        <v>10</v>
      </c>
      <c r="L59" s="2">
        <v>10</v>
      </c>
      <c r="M59" s="2">
        <v>10</v>
      </c>
      <c r="N59" s="2">
        <v>9</v>
      </c>
      <c r="O59" s="2">
        <v>9</v>
      </c>
      <c r="P59" s="2">
        <v>9</v>
      </c>
      <c r="Q59" s="2" t="e">
        <f t="shared" ca="1" si="14"/>
        <v>#NAME?</v>
      </c>
      <c r="R59" s="2">
        <v>10</v>
      </c>
      <c r="S59" s="2">
        <v>10</v>
      </c>
      <c r="T59" s="2">
        <v>10</v>
      </c>
      <c r="U59" s="2">
        <v>10</v>
      </c>
      <c r="V59" s="2">
        <v>10</v>
      </c>
      <c r="W59" s="54">
        <f t="shared" si="1"/>
        <v>10</v>
      </c>
      <c r="X59" s="48"/>
      <c r="Y59" s="2"/>
      <c r="Z59" s="2"/>
      <c r="AA59" s="2">
        <v>7</v>
      </c>
      <c r="AB59" s="2">
        <v>7</v>
      </c>
      <c r="AC59" s="2">
        <v>8</v>
      </c>
      <c r="AD59" s="2">
        <v>8</v>
      </c>
      <c r="AE59" s="2">
        <v>8</v>
      </c>
      <c r="AF59" s="2">
        <v>8</v>
      </c>
      <c r="AG59" s="2">
        <v>10</v>
      </c>
      <c r="AH59" s="2">
        <v>10</v>
      </c>
      <c r="AI59" s="2">
        <v>10</v>
      </c>
      <c r="AJ59" s="2">
        <v>10</v>
      </c>
      <c r="AK59" s="3"/>
      <c r="AL59" s="3"/>
      <c r="AM59" s="3"/>
      <c r="AN59" s="3"/>
      <c r="AO59" s="3"/>
      <c r="AP59" s="3"/>
      <c r="AQ59" s="2" t="e">
        <f t="shared" ca="1" si="15"/>
        <v>#NAME?</v>
      </c>
      <c r="AR59" s="2">
        <v>10</v>
      </c>
      <c r="AS59" s="2">
        <v>10</v>
      </c>
      <c r="AT59" s="2">
        <v>10</v>
      </c>
      <c r="AU59" s="2">
        <v>10</v>
      </c>
      <c r="AV59" s="2">
        <v>10</v>
      </c>
      <c r="AW59" s="54">
        <f t="shared" si="3"/>
        <v>10</v>
      </c>
      <c r="AX59" s="48"/>
      <c r="AY59" s="2" t="s">
        <v>31</v>
      </c>
      <c r="AZ59" s="2">
        <v>5</v>
      </c>
      <c r="BA59" s="2">
        <v>5</v>
      </c>
      <c r="BB59" s="2">
        <v>5</v>
      </c>
      <c r="BC59" s="2">
        <v>5</v>
      </c>
      <c r="BD59" s="2">
        <v>5</v>
      </c>
      <c r="BE59" s="2">
        <v>5</v>
      </c>
      <c r="BF59" s="2">
        <v>9</v>
      </c>
      <c r="BG59" s="2">
        <v>9</v>
      </c>
      <c r="BH59" s="2">
        <v>6</v>
      </c>
      <c r="BI59" s="2">
        <v>6</v>
      </c>
      <c r="BJ59" s="2" t="e">
        <f t="shared" ca="1" si="16"/>
        <v>#NAME?</v>
      </c>
      <c r="BK59" s="5">
        <v>8</v>
      </c>
      <c r="BL59" s="5">
        <v>8</v>
      </c>
      <c r="BM59" s="5">
        <v>8</v>
      </c>
      <c r="BN59" s="5">
        <v>8</v>
      </c>
      <c r="BO59" s="5">
        <v>8</v>
      </c>
      <c r="BP59" s="54">
        <f t="shared" si="5"/>
        <v>8</v>
      </c>
      <c r="BQ59" s="5"/>
      <c r="BR59" s="5"/>
      <c r="BS59" s="5">
        <v>5</v>
      </c>
      <c r="BT59" s="5">
        <v>5</v>
      </c>
      <c r="BU59" s="5">
        <v>5</v>
      </c>
      <c r="BV59" s="5">
        <v>5</v>
      </c>
      <c r="BW59" s="5">
        <v>5</v>
      </c>
      <c r="BX59" s="5">
        <v>5</v>
      </c>
      <c r="BY59" s="5">
        <v>5</v>
      </c>
      <c r="BZ59" s="5">
        <v>5</v>
      </c>
      <c r="CA59" s="5">
        <v>5</v>
      </c>
      <c r="CB59" s="5">
        <v>5</v>
      </c>
      <c r="CC59" s="2" t="e">
        <f t="shared" ca="1" si="17"/>
        <v>#NAME?</v>
      </c>
      <c r="CD59" s="55"/>
      <c r="CE59" s="2"/>
      <c r="CF59" s="56">
        <v>10</v>
      </c>
      <c r="CG59" s="56">
        <v>10</v>
      </c>
      <c r="CH59" s="56">
        <v>10</v>
      </c>
      <c r="CI59" s="56">
        <v>10</v>
      </c>
      <c r="CJ59" s="56">
        <v>10</v>
      </c>
      <c r="CK59" s="56">
        <v>10</v>
      </c>
      <c r="CL59" s="56">
        <v>10</v>
      </c>
      <c r="CM59" s="56">
        <v>10</v>
      </c>
      <c r="CN59" s="56">
        <v>10</v>
      </c>
      <c r="CO59" s="56">
        <v>10</v>
      </c>
      <c r="CP59" s="2" t="e">
        <f t="shared" ca="1" si="18"/>
        <v>#NAME?</v>
      </c>
      <c r="CQ59" s="56">
        <v>10</v>
      </c>
      <c r="CR59" s="56">
        <v>10</v>
      </c>
      <c r="CS59" s="56">
        <v>10</v>
      </c>
      <c r="CT59" s="56">
        <v>10</v>
      </c>
      <c r="CU59" s="56">
        <v>10</v>
      </c>
      <c r="CV59" s="54">
        <f t="shared" si="8"/>
        <v>10</v>
      </c>
      <c r="CW59" s="55"/>
      <c r="CX59" s="3"/>
    </row>
    <row r="60" spans="1:102" ht="16.5" x14ac:dyDescent="0.55000000000000004">
      <c r="A60" s="17">
        <v>3</v>
      </c>
      <c r="B60" s="17" t="s">
        <v>3</v>
      </c>
      <c r="C60" s="23" t="s">
        <v>160</v>
      </c>
      <c r="D60" s="20" t="s">
        <v>161</v>
      </c>
      <c r="E60" s="48"/>
      <c r="F60" s="2"/>
      <c r="G60" s="2">
        <v>10</v>
      </c>
      <c r="H60" s="2">
        <v>10</v>
      </c>
      <c r="I60" s="2">
        <v>10</v>
      </c>
      <c r="J60" s="2">
        <v>10</v>
      </c>
      <c r="K60" s="2">
        <v>10</v>
      </c>
      <c r="L60" s="2">
        <v>10</v>
      </c>
      <c r="M60" s="2">
        <v>10</v>
      </c>
      <c r="N60" s="2">
        <v>9</v>
      </c>
      <c r="O60" s="2">
        <v>9</v>
      </c>
      <c r="P60" s="2">
        <v>9</v>
      </c>
      <c r="Q60" s="2" t="e">
        <f t="shared" ca="1" si="14"/>
        <v>#NAME?</v>
      </c>
      <c r="R60" s="2">
        <v>10</v>
      </c>
      <c r="S60" s="2">
        <v>10</v>
      </c>
      <c r="T60" s="2">
        <v>10</v>
      </c>
      <c r="U60" s="2">
        <v>10</v>
      </c>
      <c r="V60" s="2">
        <v>10</v>
      </c>
      <c r="W60" s="54">
        <f t="shared" si="1"/>
        <v>10</v>
      </c>
      <c r="X60" s="48"/>
      <c r="Y60" s="2"/>
      <c r="Z60" s="2"/>
      <c r="AA60" s="2">
        <v>10</v>
      </c>
      <c r="AB60" s="2">
        <v>10</v>
      </c>
      <c r="AC60" s="2">
        <v>10</v>
      </c>
      <c r="AD60" s="2">
        <v>10</v>
      </c>
      <c r="AE60" s="2">
        <v>10</v>
      </c>
      <c r="AF60" s="2">
        <v>10</v>
      </c>
      <c r="AG60" s="2">
        <v>10</v>
      </c>
      <c r="AH60" s="2">
        <v>10</v>
      </c>
      <c r="AI60" s="2">
        <v>10</v>
      </c>
      <c r="AJ60" s="2">
        <v>10</v>
      </c>
      <c r="AK60" s="3"/>
      <c r="AL60" s="3"/>
      <c r="AM60" s="3"/>
      <c r="AN60" s="3"/>
      <c r="AO60" s="3"/>
      <c r="AP60" s="3"/>
      <c r="AQ60" s="2" t="e">
        <f t="shared" ca="1" si="15"/>
        <v>#NAME?</v>
      </c>
      <c r="AR60" s="2">
        <v>10</v>
      </c>
      <c r="AS60" s="2">
        <v>10</v>
      </c>
      <c r="AT60" s="2">
        <v>10</v>
      </c>
      <c r="AU60" s="2">
        <v>10</v>
      </c>
      <c r="AV60" s="2">
        <v>10</v>
      </c>
      <c r="AW60" s="54">
        <f t="shared" si="3"/>
        <v>10</v>
      </c>
      <c r="AX60" s="48"/>
      <c r="AY60" s="2">
        <v>15</v>
      </c>
      <c r="AZ60" s="2">
        <v>9</v>
      </c>
      <c r="BA60" s="2">
        <v>9</v>
      </c>
      <c r="BB60" s="2">
        <v>10</v>
      </c>
      <c r="BC60" s="2">
        <v>10</v>
      </c>
      <c r="BD60" s="2">
        <v>10</v>
      </c>
      <c r="BE60" s="2">
        <v>10</v>
      </c>
      <c r="BF60" s="2">
        <v>10</v>
      </c>
      <c r="BG60" s="2">
        <v>10</v>
      </c>
      <c r="BH60" s="2">
        <v>10</v>
      </c>
      <c r="BI60" s="2">
        <v>10</v>
      </c>
      <c r="BJ60" s="2" t="e">
        <f t="shared" ca="1" si="16"/>
        <v>#NAME?</v>
      </c>
      <c r="BK60" s="2">
        <v>10</v>
      </c>
      <c r="BL60" s="2">
        <v>10</v>
      </c>
      <c r="BM60" s="2">
        <v>10</v>
      </c>
      <c r="BN60" s="2">
        <v>10</v>
      </c>
      <c r="BO60" s="2">
        <v>10</v>
      </c>
      <c r="BP60" s="54">
        <f t="shared" si="5"/>
        <v>10</v>
      </c>
      <c r="BQ60" s="5"/>
      <c r="BR60" s="5"/>
      <c r="BS60" s="5">
        <v>8</v>
      </c>
      <c r="BT60" s="5">
        <v>7</v>
      </c>
      <c r="BU60" s="5">
        <v>5</v>
      </c>
      <c r="BV60" s="5">
        <v>10</v>
      </c>
      <c r="BW60" s="5">
        <v>10</v>
      </c>
      <c r="BX60" s="5">
        <v>8</v>
      </c>
      <c r="BY60" s="5">
        <v>8</v>
      </c>
      <c r="BZ60" s="5">
        <v>10</v>
      </c>
      <c r="CA60" s="5">
        <v>10</v>
      </c>
      <c r="CB60" s="5">
        <v>10</v>
      </c>
      <c r="CC60" s="2" t="e">
        <f t="shared" ca="1" si="17"/>
        <v>#NAME?</v>
      </c>
      <c r="CD60" s="55"/>
      <c r="CE60" s="2"/>
      <c r="CF60" s="58">
        <v>10</v>
      </c>
      <c r="CG60" s="58">
        <v>10</v>
      </c>
      <c r="CH60" s="58">
        <v>10</v>
      </c>
      <c r="CI60" s="58">
        <v>10</v>
      </c>
      <c r="CJ60" s="58">
        <v>10</v>
      </c>
      <c r="CK60" s="58">
        <v>10</v>
      </c>
      <c r="CL60" s="58">
        <v>10</v>
      </c>
      <c r="CM60" s="58">
        <v>10</v>
      </c>
      <c r="CN60" s="58">
        <v>10</v>
      </c>
      <c r="CO60" s="58">
        <v>10</v>
      </c>
      <c r="CP60" s="2" t="e">
        <f t="shared" ca="1" si="18"/>
        <v>#NAME?</v>
      </c>
      <c r="CQ60" s="58">
        <v>10</v>
      </c>
      <c r="CR60" s="58">
        <v>10</v>
      </c>
      <c r="CS60" s="58">
        <v>10</v>
      </c>
      <c r="CT60" s="58">
        <v>10</v>
      </c>
      <c r="CU60" s="58">
        <v>10</v>
      </c>
      <c r="CV60" s="54">
        <f t="shared" si="8"/>
        <v>10</v>
      </c>
      <c r="CW60" s="55"/>
      <c r="CX60" s="3"/>
    </row>
    <row r="61" spans="1:102" ht="16.5" x14ac:dyDescent="0.55000000000000004">
      <c r="A61" s="17">
        <v>3</v>
      </c>
      <c r="B61" s="17" t="s">
        <v>3</v>
      </c>
      <c r="C61" s="23" t="s">
        <v>162</v>
      </c>
      <c r="D61" s="20" t="s">
        <v>163</v>
      </c>
      <c r="E61" s="48"/>
      <c r="F61" s="48"/>
      <c r="G61" s="2">
        <v>10</v>
      </c>
      <c r="H61" s="2">
        <v>10</v>
      </c>
      <c r="I61" s="2">
        <v>10</v>
      </c>
      <c r="J61" s="2">
        <v>10</v>
      </c>
      <c r="K61" s="2">
        <v>10</v>
      </c>
      <c r="L61" s="2">
        <v>10</v>
      </c>
      <c r="M61" s="2">
        <v>10</v>
      </c>
      <c r="N61" s="2">
        <v>9</v>
      </c>
      <c r="O61" s="2">
        <v>9</v>
      </c>
      <c r="P61" s="2">
        <v>9</v>
      </c>
      <c r="Q61" s="2" t="e">
        <f t="shared" ca="1" si="14"/>
        <v>#NAME?</v>
      </c>
      <c r="R61" s="2">
        <v>10</v>
      </c>
      <c r="S61" s="2">
        <v>10</v>
      </c>
      <c r="T61" s="2">
        <v>10</v>
      </c>
      <c r="U61" s="2">
        <v>10</v>
      </c>
      <c r="V61" s="2">
        <v>10</v>
      </c>
      <c r="W61" s="54">
        <f t="shared" si="1"/>
        <v>10</v>
      </c>
      <c r="X61" s="48"/>
      <c r="Y61" s="2"/>
      <c r="Z61" s="2"/>
      <c r="AA61" s="2">
        <v>10</v>
      </c>
      <c r="AB61" s="2">
        <v>10</v>
      </c>
      <c r="AC61" s="2">
        <v>10</v>
      </c>
      <c r="AD61" s="2">
        <v>10</v>
      </c>
      <c r="AE61" s="2">
        <v>10</v>
      </c>
      <c r="AF61" s="2">
        <v>10</v>
      </c>
      <c r="AG61" s="2">
        <v>10</v>
      </c>
      <c r="AH61" s="2">
        <v>10</v>
      </c>
      <c r="AI61" s="2">
        <v>10</v>
      </c>
      <c r="AJ61" s="2">
        <v>10</v>
      </c>
      <c r="AK61" s="3"/>
      <c r="AL61" s="3"/>
      <c r="AM61" s="3"/>
      <c r="AN61" s="3"/>
      <c r="AO61" s="3"/>
      <c r="AP61" s="3"/>
      <c r="AQ61" s="2" t="e">
        <f t="shared" ca="1" si="15"/>
        <v>#NAME?</v>
      </c>
      <c r="AR61" s="2">
        <v>10</v>
      </c>
      <c r="AS61" s="2">
        <v>10</v>
      </c>
      <c r="AT61" s="2">
        <v>10</v>
      </c>
      <c r="AU61" s="2">
        <v>8</v>
      </c>
      <c r="AV61" s="2">
        <v>8</v>
      </c>
      <c r="AW61" s="54">
        <f t="shared" si="3"/>
        <v>10</v>
      </c>
      <c r="AX61" s="48"/>
      <c r="AY61" s="2">
        <v>10</v>
      </c>
      <c r="AZ61" s="2">
        <v>6</v>
      </c>
      <c r="BA61" s="2">
        <v>6</v>
      </c>
      <c r="BB61" s="2">
        <v>6</v>
      </c>
      <c r="BC61" s="2">
        <v>6</v>
      </c>
      <c r="BD61" s="2">
        <v>6</v>
      </c>
      <c r="BE61" s="2">
        <v>6</v>
      </c>
      <c r="BF61" s="2">
        <v>6</v>
      </c>
      <c r="BG61" s="2">
        <v>6</v>
      </c>
      <c r="BH61" s="2">
        <v>6</v>
      </c>
      <c r="BI61" s="2">
        <v>6</v>
      </c>
      <c r="BJ61" s="2" t="e">
        <f t="shared" ca="1" si="16"/>
        <v>#NAME?</v>
      </c>
      <c r="BK61" s="5">
        <v>7</v>
      </c>
      <c r="BL61" s="5">
        <v>7</v>
      </c>
      <c r="BM61" s="5">
        <v>7</v>
      </c>
      <c r="BN61" s="5">
        <v>7</v>
      </c>
      <c r="BO61" s="5">
        <v>7</v>
      </c>
      <c r="BP61" s="54">
        <f t="shared" si="5"/>
        <v>7</v>
      </c>
      <c r="BQ61" s="5"/>
      <c r="BR61" s="5"/>
      <c r="BS61" s="5">
        <v>5</v>
      </c>
      <c r="BT61" s="5">
        <v>5</v>
      </c>
      <c r="BU61" s="5">
        <v>5</v>
      </c>
      <c r="BV61" s="5">
        <v>5</v>
      </c>
      <c r="BW61" s="5">
        <v>5</v>
      </c>
      <c r="BX61" s="5">
        <v>5</v>
      </c>
      <c r="BY61" s="5">
        <v>5</v>
      </c>
      <c r="BZ61" s="5">
        <v>5</v>
      </c>
      <c r="CA61" s="5">
        <v>5</v>
      </c>
      <c r="CB61" s="5">
        <v>5</v>
      </c>
      <c r="CC61" s="2" t="e">
        <f t="shared" ca="1" si="17"/>
        <v>#NAME?</v>
      </c>
      <c r="CD61" s="55"/>
      <c r="CE61" s="2"/>
      <c r="CF61" s="56">
        <v>10</v>
      </c>
      <c r="CG61" s="56">
        <v>10</v>
      </c>
      <c r="CH61" s="56">
        <v>10</v>
      </c>
      <c r="CI61" s="56">
        <v>10</v>
      </c>
      <c r="CJ61" s="56">
        <v>10</v>
      </c>
      <c r="CK61" s="56">
        <v>10</v>
      </c>
      <c r="CL61" s="56">
        <v>10</v>
      </c>
      <c r="CM61" s="56">
        <v>10</v>
      </c>
      <c r="CN61" s="56">
        <v>10</v>
      </c>
      <c r="CO61" s="56">
        <v>10</v>
      </c>
      <c r="CP61" s="2" t="e">
        <f t="shared" ca="1" si="18"/>
        <v>#NAME?</v>
      </c>
      <c r="CQ61" s="56">
        <v>10</v>
      </c>
      <c r="CR61" s="56">
        <v>10</v>
      </c>
      <c r="CS61" s="56">
        <v>10</v>
      </c>
      <c r="CT61" s="56">
        <v>10</v>
      </c>
      <c r="CU61" s="56">
        <v>10</v>
      </c>
      <c r="CV61" s="54">
        <f t="shared" si="8"/>
        <v>10</v>
      </c>
      <c r="CW61" s="55"/>
      <c r="CX61" s="3"/>
    </row>
    <row r="62" spans="1:102" ht="16.5" x14ac:dyDescent="0.55000000000000004">
      <c r="A62" s="17">
        <v>3</v>
      </c>
      <c r="B62" s="17" t="s">
        <v>3</v>
      </c>
      <c r="C62" s="23" t="s">
        <v>164</v>
      </c>
      <c r="D62" s="20" t="s">
        <v>165</v>
      </c>
      <c r="E62" s="48"/>
      <c r="F62" s="2"/>
      <c r="G62" s="2">
        <v>10</v>
      </c>
      <c r="H62" s="2">
        <v>10</v>
      </c>
      <c r="I62" s="2">
        <v>10</v>
      </c>
      <c r="J62" s="2">
        <v>10</v>
      </c>
      <c r="K62" s="2">
        <v>10</v>
      </c>
      <c r="L62" s="2">
        <v>9</v>
      </c>
      <c r="M62" s="2">
        <v>9</v>
      </c>
      <c r="N62" s="2">
        <v>9</v>
      </c>
      <c r="O62" s="2">
        <v>9</v>
      </c>
      <c r="P62" s="2">
        <v>9</v>
      </c>
      <c r="Q62" s="2" t="e">
        <f t="shared" ca="1" si="14"/>
        <v>#NAME?</v>
      </c>
      <c r="R62" s="2">
        <v>10</v>
      </c>
      <c r="S62" s="2">
        <v>10</v>
      </c>
      <c r="T62" s="2">
        <v>10</v>
      </c>
      <c r="U62" s="2">
        <v>10</v>
      </c>
      <c r="V62" s="2">
        <v>10</v>
      </c>
      <c r="W62" s="54">
        <f t="shared" si="1"/>
        <v>10</v>
      </c>
      <c r="X62" s="48"/>
      <c r="Y62" s="2"/>
      <c r="Z62" s="2"/>
      <c r="AA62" s="2">
        <v>6</v>
      </c>
      <c r="AB62" s="2">
        <v>6</v>
      </c>
      <c r="AC62" s="2">
        <v>6</v>
      </c>
      <c r="AD62" s="2">
        <v>6</v>
      </c>
      <c r="AE62" s="2">
        <v>7</v>
      </c>
      <c r="AF62" s="2">
        <v>7</v>
      </c>
      <c r="AG62" s="2">
        <v>7</v>
      </c>
      <c r="AH62" s="2">
        <v>7</v>
      </c>
      <c r="AI62" s="2">
        <v>7</v>
      </c>
      <c r="AJ62" s="2">
        <v>7</v>
      </c>
      <c r="AK62" s="3"/>
      <c r="AL62" s="3"/>
      <c r="AM62" s="3"/>
      <c r="AN62" s="3"/>
      <c r="AO62" s="3"/>
      <c r="AP62" s="3"/>
      <c r="AQ62" s="2" t="e">
        <f t="shared" ca="1" si="15"/>
        <v>#NAME?</v>
      </c>
      <c r="AR62" s="2">
        <v>7</v>
      </c>
      <c r="AS62" s="2">
        <v>7</v>
      </c>
      <c r="AT62" s="2">
        <v>7</v>
      </c>
      <c r="AU62" s="2">
        <v>7</v>
      </c>
      <c r="AV62" s="2">
        <v>7</v>
      </c>
      <c r="AW62" s="54">
        <f t="shared" si="3"/>
        <v>7</v>
      </c>
      <c r="AX62" s="48"/>
      <c r="AY62" s="2">
        <v>3</v>
      </c>
      <c r="AZ62" s="2">
        <v>7</v>
      </c>
      <c r="BA62" s="2">
        <v>7</v>
      </c>
      <c r="BB62" s="2">
        <v>7</v>
      </c>
      <c r="BC62" s="2">
        <v>7</v>
      </c>
      <c r="BD62" s="2">
        <v>7</v>
      </c>
      <c r="BE62" s="2">
        <v>7</v>
      </c>
      <c r="BF62" s="2">
        <v>7</v>
      </c>
      <c r="BG62" s="2">
        <v>7</v>
      </c>
      <c r="BH62" s="2">
        <v>7</v>
      </c>
      <c r="BI62" s="2">
        <v>7</v>
      </c>
      <c r="BJ62" s="2" t="e">
        <f t="shared" ca="1" si="16"/>
        <v>#NAME?</v>
      </c>
      <c r="BK62" s="5">
        <v>7</v>
      </c>
      <c r="BL62" s="5">
        <v>8</v>
      </c>
      <c r="BM62" s="5">
        <v>8</v>
      </c>
      <c r="BN62" s="5">
        <v>9</v>
      </c>
      <c r="BO62" s="5">
        <v>9</v>
      </c>
      <c r="BP62" s="54">
        <f t="shared" si="5"/>
        <v>9</v>
      </c>
      <c r="BQ62" s="5"/>
      <c r="BR62" s="5"/>
      <c r="BS62" s="5">
        <v>5</v>
      </c>
      <c r="BT62" s="5">
        <v>5</v>
      </c>
      <c r="BU62" s="5">
        <v>5</v>
      </c>
      <c r="BV62" s="5">
        <v>5</v>
      </c>
      <c r="BW62" s="5">
        <v>5</v>
      </c>
      <c r="BX62" s="5">
        <v>5</v>
      </c>
      <c r="BY62" s="5">
        <v>5</v>
      </c>
      <c r="BZ62" s="5">
        <v>5</v>
      </c>
      <c r="CA62" s="5">
        <v>5</v>
      </c>
      <c r="CB62" s="5">
        <v>5</v>
      </c>
      <c r="CC62" s="2" t="e">
        <f t="shared" ca="1" si="17"/>
        <v>#NAME?</v>
      </c>
      <c r="CD62" s="55"/>
      <c r="CE62" s="2"/>
      <c r="CF62" s="58">
        <v>9</v>
      </c>
      <c r="CG62" s="58">
        <v>9</v>
      </c>
      <c r="CH62" s="58">
        <v>10</v>
      </c>
      <c r="CI62" s="58">
        <v>10</v>
      </c>
      <c r="CJ62" s="58">
        <v>10</v>
      </c>
      <c r="CK62" s="58">
        <v>10</v>
      </c>
      <c r="CL62" s="58">
        <v>10</v>
      </c>
      <c r="CM62" s="58">
        <v>10</v>
      </c>
      <c r="CN62" s="58">
        <v>9</v>
      </c>
      <c r="CO62" s="58">
        <v>9</v>
      </c>
      <c r="CP62" s="2" t="e">
        <f t="shared" ca="1" si="18"/>
        <v>#NAME?</v>
      </c>
      <c r="CQ62" s="58">
        <v>9</v>
      </c>
      <c r="CR62" s="58">
        <v>9</v>
      </c>
      <c r="CS62" s="58">
        <v>9</v>
      </c>
      <c r="CT62" s="58">
        <v>9</v>
      </c>
      <c r="CU62" s="58">
        <v>9</v>
      </c>
      <c r="CV62" s="54">
        <f t="shared" si="8"/>
        <v>9</v>
      </c>
      <c r="CW62" s="55"/>
      <c r="CX62" s="3"/>
    </row>
    <row r="63" spans="1:102" ht="16.5" x14ac:dyDescent="0.55000000000000004">
      <c r="A63" s="17">
        <v>3</v>
      </c>
      <c r="B63" s="17" t="s">
        <v>3</v>
      </c>
      <c r="C63" s="23" t="s">
        <v>166</v>
      </c>
      <c r="D63" s="20" t="s">
        <v>167</v>
      </c>
      <c r="E63" s="48"/>
      <c r="F63" s="48"/>
      <c r="G63" s="2">
        <v>10</v>
      </c>
      <c r="H63" s="2">
        <v>10</v>
      </c>
      <c r="I63" s="2">
        <v>10</v>
      </c>
      <c r="J63" s="2">
        <v>10</v>
      </c>
      <c r="K63" s="2">
        <v>10</v>
      </c>
      <c r="L63" s="2">
        <v>10</v>
      </c>
      <c r="M63" s="2">
        <v>10</v>
      </c>
      <c r="N63" s="2">
        <v>9</v>
      </c>
      <c r="O63" s="2">
        <v>9</v>
      </c>
      <c r="P63" s="2">
        <v>9</v>
      </c>
      <c r="Q63" s="2" t="e">
        <f t="shared" ca="1" si="14"/>
        <v>#NAME?</v>
      </c>
      <c r="R63" s="2">
        <v>10</v>
      </c>
      <c r="S63" s="2">
        <v>10</v>
      </c>
      <c r="T63" s="2">
        <v>10</v>
      </c>
      <c r="U63" s="2">
        <v>10</v>
      </c>
      <c r="V63" s="2">
        <v>10</v>
      </c>
      <c r="W63" s="54">
        <f t="shared" si="1"/>
        <v>10</v>
      </c>
      <c r="X63" s="48"/>
      <c r="Y63" s="2"/>
      <c r="Z63" s="2"/>
      <c r="AA63" s="2">
        <v>6</v>
      </c>
      <c r="AB63" s="2">
        <v>6</v>
      </c>
      <c r="AC63" s="2">
        <v>6</v>
      </c>
      <c r="AD63" s="2">
        <v>6</v>
      </c>
      <c r="AE63" s="2">
        <v>7</v>
      </c>
      <c r="AF63" s="2">
        <v>7</v>
      </c>
      <c r="AG63" s="2">
        <v>7</v>
      </c>
      <c r="AH63" s="2">
        <v>7</v>
      </c>
      <c r="AI63" s="2">
        <v>7</v>
      </c>
      <c r="AJ63" s="2">
        <v>7</v>
      </c>
      <c r="AK63" s="3"/>
      <c r="AL63" s="3"/>
      <c r="AM63" s="3"/>
      <c r="AN63" s="3"/>
      <c r="AO63" s="3"/>
      <c r="AP63" s="3"/>
      <c r="AQ63" s="2" t="e">
        <f t="shared" ca="1" si="15"/>
        <v>#NAME?</v>
      </c>
      <c r="AR63" s="2">
        <v>10</v>
      </c>
      <c r="AS63" s="2">
        <v>10</v>
      </c>
      <c r="AT63" s="2">
        <v>10</v>
      </c>
      <c r="AU63" s="2">
        <v>7</v>
      </c>
      <c r="AV63" s="2">
        <v>7</v>
      </c>
      <c r="AW63" s="54">
        <f t="shared" si="3"/>
        <v>9</v>
      </c>
      <c r="AX63" s="48"/>
      <c r="AY63" s="2">
        <v>6</v>
      </c>
      <c r="AZ63" s="2">
        <v>4</v>
      </c>
      <c r="BA63" s="2">
        <v>4</v>
      </c>
      <c r="BB63" s="2">
        <v>5</v>
      </c>
      <c r="BC63" s="2">
        <v>5</v>
      </c>
      <c r="BD63" s="2">
        <v>5</v>
      </c>
      <c r="BE63" s="2">
        <v>5</v>
      </c>
      <c r="BF63" s="2">
        <v>5</v>
      </c>
      <c r="BG63" s="2">
        <v>5</v>
      </c>
      <c r="BH63" s="2">
        <v>5</v>
      </c>
      <c r="BI63" s="2">
        <v>5</v>
      </c>
      <c r="BJ63" s="2" t="e">
        <f t="shared" ca="1" si="16"/>
        <v>#NAME?</v>
      </c>
      <c r="BK63" s="5">
        <v>7</v>
      </c>
      <c r="BL63" s="5">
        <v>7</v>
      </c>
      <c r="BM63" s="5">
        <v>7</v>
      </c>
      <c r="BN63" s="5">
        <v>7</v>
      </c>
      <c r="BO63" s="5">
        <v>7</v>
      </c>
      <c r="BP63" s="54">
        <f t="shared" si="5"/>
        <v>7</v>
      </c>
      <c r="BQ63" s="5"/>
      <c r="BR63" s="5"/>
      <c r="BS63" s="5">
        <v>5</v>
      </c>
      <c r="BT63" s="5">
        <v>5</v>
      </c>
      <c r="BU63" s="5">
        <v>5</v>
      </c>
      <c r="BV63" s="5">
        <v>5</v>
      </c>
      <c r="BW63" s="5">
        <v>5</v>
      </c>
      <c r="BX63" s="5">
        <v>5</v>
      </c>
      <c r="BY63" s="5">
        <v>5</v>
      </c>
      <c r="BZ63" s="5">
        <v>5</v>
      </c>
      <c r="CA63" s="5">
        <v>5</v>
      </c>
      <c r="CB63" s="5">
        <v>5</v>
      </c>
      <c r="CC63" s="2" t="e">
        <f t="shared" ca="1" si="17"/>
        <v>#NAME?</v>
      </c>
      <c r="CD63" s="55"/>
      <c r="CE63" s="2"/>
      <c r="CF63" s="56">
        <v>10</v>
      </c>
      <c r="CG63" s="56">
        <v>10</v>
      </c>
      <c r="CH63" s="56">
        <v>10</v>
      </c>
      <c r="CI63" s="56">
        <v>10</v>
      </c>
      <c r="CJ63" s="56">
        <v>10</v>
      </c>
      <c r="CK63" s="56">
        <v>10</v>
      </c>
      <c r="CL63" s="56">
        <v>10</v>
      </c>
      <c r="CM63" s="56">
        <v>10</v>
      </c>
      <c r="CN63" s="58">
        <v>10</v>
      </c>
      <c r="CO63" s="58">
        <v>10</v>
      </c>
      <c r="CP63" s="2" t="e">
        <f t="shared" ca="1" si="18"/>
        <v>#NAME?</v>
      </c>
      <c r="CQ63" s="58">
        <v>10</v>
      </c>
      <c r="CR63" s="58">
        <v>10</v>
      </c>
      <c r="CS63" s="58">
        <v>10</v>
      </c>
      <c r="CT63" s="58">
        <v>10</v>
      </c>
      <c r="CU63" s="58">
        <v>10</v>
      </c>
      <c r="CV63" s="54">
        <f t="shared" si="8"/>
        <v>10</v>
      </c>
      <c r="CW63" s="55"/>
      <c r="CX63" s="3"/>
    </row>
    <row r="64" spans="1:102" ht="16.5" x14ac:dyDescent="0.55000000000000004">
      <c r="A64" s="17">
        <v>3</v>
      </c>
      <c r="B64" s="17" t="s">
        <v>3</v>
      </c>
      <c r="C64" s="23" t="s">
        <v>168</v>
      </c>
      <c r="D64" s="20" t="s">
        <v>169</v>
      </c>
      <c r="E64" s="48"/>
      <c r="F64" s="2"/>
      <c r="G64" s="2">
        <v>10</v>
      </c>
      <c r="H64" s="2">
        <v>10</v>
      </c>
      <c r="I64" s="2">
        <v>10</v>
      </c>
      <c r="J64" s="2">
        <v>10</v>
      </c>
      <c r="K64" s="2">
        <v>10</v>
      </c>
      <c r="L64" s="2">
        <v>10</v>
      </c>
      <c r="M64" s="2">
        <v>10</v>
      </c>
      <c r="N64" s="2">
        <v>9</v>
      </c>
      <c r="O64" s="2">
        <v>9</v>
      </c>
      <c r="P64" s="2">
        <v>9</v>
      </c>
      <c r="Q64" s="2" t="e">
        <f t="shared" ca="1" si="14"/>
        <v>#NAME?</v>
      </c>
      <c r="R64" s="2">
        <v>10</v>
      </c>
      <c r="S64" s="2">
        <v>10</v>
      </c>
      <c r="T64" s="2">
        <v>10</v>
      </c>
      <c r="U64" s="2">
        <v>10</v>
      </c>
      <c r="V64" s="2">
        <v>10</v>
      </c>
      <c r="W64" s="54">
        <f t="shared" si="1"/>
        <v>10</v>
      </c>
      <c r="X64" s="48"/>
      <c r="Y64" s="2"/>
      <c r="Z64" s="2"/>
      <c r="AA64" s="2">
        <v>10</v>
      </c>
      <c r="AB64" s="2">
        <v>10</v>
      </c>
      <c r="AC64" s="2">
        <v>10</v>
      </c>
      <c r="AD64" s="2">
        <v>10</v>
      </c>
      <c r="AE64" s="2">
        <v>10</v>
      </c>
      <c r="AF64" s="2">
        <v>10</v>
      </c>
      <c r="AG64" s="2">
        <v>10</v>
      </c>
      <c r="AH64" s="2">
        <v>10</v>
      </c>
      <c r="AI64" s="2">
        <v>10</v>
      </c>
      <c r="AJ64" s="2">
        <v>10</v>
      </c>
      <c r="AK64" s="3"/>
      <c r="AL64" s="3"/>
      <c r="AM64" s="3"/>
      <c r="AN64" s="3"/>
      <c r="AO64" s="3"/>
      <c r="AP64" s="3"/>
      <c r="AQ64" s="2" t="e">
        <f t="shared" ca="1" si="15"/>
        <v>#NAME?</v>
      </c>
      <c r="AR64" s="2">
        <v>10</v>
      </c>
      <c r="AS64" s="2">
        <v>10</v>
      </c>
      <c r="AT64" s="2">
        <v>10</v>
      </c>
      <c r="AU64" s="2">
        <v>10</v>
      </c>
      <c r="AV64" s="2">
        <v>10</v>
      </c>
      <c r="AW64" s="54">
        <f t="shared" si="3"/>
        <v>10</v>
      </c>
      <c r="AX64" s="48"/>
      <c r="AY64" s="2">
        <v>19</v>
      </c>
      <c r="AZ64" s="2">
        <v>7</v>
      </c>
      <c r="BA64" s="2">
        <v>8</v>
      </c>
      <c r="BB64" s="2">
        <v>9</v>
      </c>
      <c r="BC64" s="2">
        <v>10</v>
      </c>
      <c r="BD64" s="2">
        <v>10</v>
      </c>
      <c r="BE64" s="2">
        <v>10</v>
      </c>
      <c r="BF64" s="2">
        <v>10</v>
      </c>
      <c r="BG64" s="2">
        <v>10</v>
      </c>
      <c r="BH64" s="2">
        <v>10</v>
      </c>
      <c r="BI64" s="2">
        <v>10</v>
      </c>
      <c r="BJ64" s="2" t="e">
        <f t="shared" ca="1" si="16"/>
        <v>#NAME?</v>
      </c>
      <c r="BK64" s="2">
        <v>10</v>
      </c>
      <c r="BL64" s="2">
        <v>10</v>
      </c>
      <c r="BM64" s="2">
        <v>10</v>
      </c>
      <c r="BN64" s="2">
        <v>10</v>
      </c>
      <c r="BO64" s="2">
        <v>10</v>
      </c>
      <c r="BP64" s="54">
        <f t="shared" si="5"/>
        <v>10</v>
      </c>
      <c r="BQ64" s="5"/>
      <c r="BR64" s="5"/>
      <c r="BS64" s="5">
        <v>10</v>
      </c>
      <c r="BT64" s="5">
        <v>10</v>
      </c>
      <c r="BU64" s="5">
        <v>10</v>
      </c>
      <c r="BV64" s="5">
        <v>10</v>
      </c>
      <c r="BW64" s="5">
        <v>10</v>
      </c>
      <c r="BX64" s="5">
        <v>10</v>
      </c>
      <c r="BY64" s="5">
        <v>10</v>
      </c>
      <c r="BZ64" s="5">
        <v>10</v>
      </c>
      <c r="CA64" s="5">
        <v>10</v>
      </c>
      <c r="CB64" s="5">
        <v>5</v>
      </c>
      <c r="CC64" s="2" t="e">
        <f t="shared" ca="1" si="17"/>
        <v>#NAME?</v>
      </c>
      <c r="CD64" s="55"/>
      <c r="CE64" s="2"/>
      <c r="CF64" s="58">
        <v>10</v>
      </c>
      <c r="CG64" s="58">
        <v>10</v>
      </c>
      <c r="CH64" s="58">
        <v>10</v>
      </c>
      <c r="CI64" s="58">
        <v>10</v>
      </c>
      <c r="CJ64" s="58">
        <v>10</v>
      </c>
      <c r="CK64" s="58">
        <v>10</v>
      </c>
      <c r="CL64" s="58">
        <v>10</v>
      </c>
      <c r="CM64" s="58">
        <v>10</v>
      </c>
      <c r="CN64" s="58">
        <v>10</v>
      </c>
      <c r="CO64" s="58">
        <v>10</v>
      </c>
      <c r="CP64" s="2" t="e">
        <f t="shared" ca="1" si="18"/>
        <v>#NAME?</v>
      </c>
      <c r="CQ64" s="58">
        <v>10</v>
      </c>
      <c r="CR64" s="58">
        <v>10</v>
      </c>
      <c r="CS64" s="58">
        <v>10</v>
      </c>
      <c r="CT64" s="58">
        <v>10</v>
      </c>
      <c r="CU64" s="58">
        <v>10</v>
      </c>
      <c r="CV64" s="54">
        <f t="shared" si="8"/>
        <v>10</v>
      </c>
      <c r="CW64" s="55"/>
      <c r="CX64" s="3"/>
    </row>
    <row r="65" spans="1:102" ht="16.5" x14ac:dyDescent="0.55000000000000004">
      <c r="A65" s="17">
        <v>3</v>
      </c>
      <c r="B65" s="17" t="s">
        <v>3</v>
      </c>
      <c r="C65" s="23" t="s">
        <v>170</v>
      </c>
      <c r="D65" s="20" t="s">
        <v>171</v>
      </c>
      <c r="E65" s="48"/>
      <c r="F65" s="2"/>
      <c r="G65" s="2">
        <v>10</v>
      </c>
      <c r="H65" s="2">
        <v>10</v>
      </c>
      <c r="I65" s="2">
        <v>10</v>
      </c>
      <c r="J65" s="2">
        <v>10</v>
      </c>
      <c r="K65" s="2">
        <v>10</v>
      </c>
      <c r="L65" s="2">
        <v>10</v>
      </c>
      <c r="M65" s="2">
        <v>10</v>
      </c>
      <c r="N65" s="2">
        <v>9</v>
      </c>
      <c r="O65" s="2">
        <v>9</v>
      </c>
      <c r="P65" s="2">
        <v>9</v>
      </c>
      <c r="Q65" s="2" t="e">
        <f t="shared" ca="1" si="14"/>
        <v>#NAME?</v>
      </c>
      <c r="R65" s="2">
        <v>10</v>
      </c>
      <c r="S65" s="2">
        <v>10</v>
      </c>
      <c r="T65" s="2">
        <v>10</v>
      </c>
      <c r="U65" s="2">
        <v>10</v>
      </c>
      <c r="V65" s="2">
        <v>10</v>
      </c>
      <c r="W65" s="54">
        <f t="shared" si="1"/>
        <v>10</v>
      </c>
      <c r="X65" s="48"/>
      <c r="Y65" s="2"/>
      <c r="Z65" s="2"/>
      <c r="AA65" s="2">
        <v>10</v>
      </c>
      <c r="AB65" s="2">
        <v>10</v>
      </c>
      <c r="AC65" s="2">
        <v>10</v>
      </c>
      <c r="AD65" s="2">
        <v>10</v>
      </c>
      <c r="AE65" s="2">
        <v>10</v>
      </c>
      <c r="AF65" s="2">
        <v>10</v>
      </c>
      <c r="AG65" s="2">
        <v>10</v>
      </c>
      <c r="AH65" s="2">
        <v>10</v>
      </c>
      <c r="AI65" s="2">
        <v>10</v>
      </c>
      <c r="AJ65" s="2">
        <v>10</v>
      </c>
      <c r="AK65" s="3"/>
      <c r="AL65" s="3"/>
      <c r="AM65" s="3"/>
      <c r="AN65" s="3"/>
      <c r="AO65" s="3"/>
      <c r="AP65" s="3"/>
      <c r="AQ65" s="2" t="e">
        <f t="shared" ca="1" si="15"/>
        <v>#NAME?</v>
      </c>
      <c r="AR65" s="2">
        <v>10</v>
      </c>
      <c r="AS65" s="2">
        <v>10</v>
      </c>
      <c r="AT65" s="2">
        <v>10</v>
      </c>
      <c r="AU65" s="2">
        <v>10</v>
      </c>
      <c r="AV65" s="2">
        <v>10</v>
      </c>
      <c r="AW65" s="54">
        <f t="shared" si="3"/>
        <v>10</v>
      </c>
      <c r="AX65" s="48"/>
      <c r="AY65" s="2">
        <v>8</v>
      </c>
      <c r="AZ65" s="2">
        <v>9</v>
      </c>
      <c r="BA65" s="2">
        <v>9</v>
      </c>
      <c r="BB65" s="2">
        <v>9</v>
      </c>
      <c r="BC65" s="2">
        <v>9</v>
      </c>
      <c r="BD65" s="2">
        <v>9</v>
      </c>
      <c r="BE65" s="2">
        <v>9</v>
      </c>
      <c r="BF65" s="2">
        <v>9</v>
      </c>
      <c r="BG65" s="2">
        <v>9</v>
      </c>
      <c r="BH65" s="2">
        <v>9</v>
      </c>
      <c r="BI65" s="2">
        <v>9</v>
      </c>
      <c r="BJ65" s="2" t="e">
        <f t="shared" ca="1" si="16"/>
        <v>#NAME?</v>
      </c>
      <c r="BK65" s="5">
        <v>9</v>
      </c>
      <c r="BL65" s="5">
        <v>9</v>
      </c>
      <c r="BM65" s="5">
        <v>10</v>
      </c>
      <c r="BN65" s="5">
        <v>10</v>
      </c>
      <c r="BO65" s="5">
        <v>10</v>
      </c>
      <c r="BP65" s="54">
        <f t="shared" si="5"/>
        <v>10</v>
      </c>
      <c r="BQ65" s="5"/>
      <c r="BR65" s="5"/>
      <c r="BS65" s="5">
        <v>10</v>
      </c>
      <c r="BT65" s="5">
        <v>10</v>
      </c>
      <c r="BU65" s="5">
        <v>10</v>
      </c>
      <c r="BV65" s="5">
        <v>8</v>
      </c>
      <c r="BW65" s="5">
        <v>8</v>
      </c>
      <c r="BX65" s="5">
        <v>8</v>
      </c>
      <c r="BY65" s="5">
        <v>8</v>
      </c>
      <c r="BZ65" s="5">
        <v>8</v>
      </c>
      <c r="CA65" s="5">
        <v>6</v>
      </c>
      <c r="CB65" s="5">
        <v>5</v>
      </c>
      <c r="CC65" s="2" t="e">
        <f t="shared" ca="1" si="17"/>
        <v>#NAME?</v>
      </c>
      <c r="CD65" s="55"/>
      <c r="CE65" s="2"/>
      <c r="CF65" s="56">
        <v>10</v>
      </c>
      <c r="CG65" s="56">
        <v>10</v>
      </c>
      <c r="CH65" s="56">
        <v>10</v>
      </c>
      <c r="CI65" s="56">
        <v>10</v>
      </c>
      <c r="CJ65" s="56">
        <v>10</v>
      </c>
      <c r="CK65" s="56">
        <v>10</v>
      </c>
      <c r="CL65" s="56">
        <v>10</v>
      </c>
      <c r="CM65" s="56">
        <v>10</v>
      </c>
      <c r="CN65" s="56">
        <v>10</v>
      </c>
      <c r="CO65" s="56">
        <v>10</v>
      </c>
      <c r="CP65" s="2" t="e">
        <f t="shared" ca="1" si="18"/>
        <v>#NAME?</v>
      </c>
      <c r="CQ65" s="56">
        <v>10</v>
      </c>
      <c r="CR65" s="56">
        <v>10</v>
      </c>
      <c r="CS65" s="56">
        <v>10</v>
      </c>
      <c r="CT65" s="56">
        <v>10</v>
      </c>
      <c r="CU65" s="56">
        <v>10</v>
      </c>
      <c r="CV65" s="54">
        <f t="shared" si="8"/>
        <v>10</v>
      </c>
      <c r="CW65" s="55"/>
      <c r="CX65" s="3"/>
    </row>
    <row r="66" spans="1:102" ht="16.5" x14ac:dyDescent="0.55000000000000004">
      <c r="A66" s="17">
        <v>3</v>
      </c>
      <c r="B66" s="17" t="s">
        <v>3</v>
      </c>
      <c r="C66" s="23" t="s">
        <v>172</v>
      </c>
      <c r="D66" s="24" t="s">
        <v>173</v>
      </c>
      <c r="E66" s="48"/>
      <c r="F66" s="2"/>
      <c r="G66" s="2">
        <v>10</v>
      </c>
      <c r="H66" s="2">
        <v>10</v>
      </c>
      <c r="I66" s="2">
        <v>10</v>
      </c>
      <c r="J66" s="2">
        <v>10</v>
      </c>
      <c r="K66" s="2">
        <v>10</v>
      </c>
      <c r="L66" s="2">
        <v>9</v>
      </c>
      <c r="M66" s="2">
        <v>9</v>
      </c>
      <c r="N66" s="2">
        <v>9</v>
      </c>
      <c r="O66" s="2">
        <v>9</v>
      </c>
      <c r="P66" s="2">
        <v>9</v>
      </c>
      <c r="Q66" s="2" t="e">
        <f t="shared" ca="1" si="14"/>
        <v>#NAME?</v>
      </c>
      <c r="R66" s="2">
        <v>10</v>
      </c>
      <c r="S66" s="2">
        <v>10</v>
      </c>
      <c r="T66" s="2">
        <v>9</v>
      </c>
      <c r="U66" s="2">
        <v>9</v>
      </c>
      <c r="V66" s="2">
        <v>9</v>
      </c>
      <c r="W66" s="54">
        <f t="shared" si="1"/>
        <v>10</v>
      </c>
      <c r="X66" s="48"/>
      <c r="Y66" s="2"/>
      <c r="Z66" s="2"/>
      <c r="AA66" s="2">
        <v>10</v>
      </c>
      <c r="AB66" s="2">
        <v>10</v>
      </c>
      <c r="AC66" s="2">
        <v>10</v>
      </c>
      <c r="AD66" s="2">
        <v>10</v>
      </c>
      <c r="AE66" s="2">
        <v>10</v>
      </c>
      <c r="AF66" s="2">
        <v>10</v>
      </c>
      <c r="AG66" s="2">
        <v>10</v>
      </c>
      <c r="AH66" s="2">
        <v>10</v>
      </c>
      <c r="AI66" s="2">
        <v>10</v>
      </c>
      <c r="AJ66" s="2">
        <v>10</v>
      </c>
      <c r="AK66" s="3"/>
      <c r="AL66" s="3"/>
      <c r="AM66" s="3"/>
      <c r="AN66" s="3"/>
      <c r="AO66" s="3"/>
      <c r="AP66" s="3"/>
      <c r="AQ66" s="2" t="e">
        <f t="shared" ca="1" si="15"/>
        <v>#NAME?</v>
      </c>
      <c r="AR66" s="2">
        <v>10</v>
      </c>
      <c r="AS66" s="2">
        <v>10</v>
      </c>
      <c r="AT66" s="2">
        <v>10</v>
      </c>
      <c r="AU66" s="2">
        <v>7</v>
      </c>
      <c r="AV66" s="2">
        <v>7</v>
      </c>
      <c r="AW66" s="54">
        <f t="shared" si="3"/>
        <v>9</v>
      </c>
      <c r="AX66" s="48"/>
      <c r="AY66" s="2">
        <v>6</v>
      </c>
      <c r="AZ66" s="2">
        <v>8</v>
      </c>
      <c r="BA66" s="2">
        <v>9</v>
      </c>
      <c r="BB66" s="2">
        <v>6</v>
      </c>
      <c r="BC66" s="2">
        <v>6</v>
      </c>
      <c r="BD66" s="2">
        <v>6</v>
      </c>
      <c r="BE66" s="2">
        <v>6</v>
      </c>
      <c r="BF66" s="2">
        <v>6</v>
      </c>
      <c r="BG66" s="2">
        <v>6</v>
      </c>
      <c r="BH66" s="2">
        <v>6</v>
      </c>
      <c r="BI66" s="57">
        <v>6</v>
      </c>
      <c r="BJ66" s="2" t="e">
        <f t="shared" ca="1" si="16"/>
        <v>#NAME?</v>
      </c>
      <c r="BK66" s="5">
        <v>8</v>
      </c>
      <c r="BL66" s="5">
        <v>8</v>
      </c>
      <c r="BM66" s="5">
        <v>8</v>
      </c>
      <c r="BN66" s="5">
        <v>8</v>
      </c>
      <c r="BO66" s="5">
        <v>8</v>
      </c>
      <c r="BP66" s="54">
        <f t="shared" si="5"/>
        <v>8</v>
      </c>
      <c r="BQ66" s="5"/>
      <c r="BR66" s="5"/>
      <c r="BS66" s="5">
        <v>10</v>
      </c>
      <c r="BT66" s="5">
        <v>10</v>
      </c>
      <c r="BU66" s="5">
        <v>8</v>
      </c>
      <c r="BV66" s="5">
        <v>8</v>
      </c>
      <c r="BW66" s="5">
        <v>6</v>
      </c>
      <c r="BX66" s="5">
        <v>6</v>
      </c>
      <c r="BY66" s="5">
        <v>6</v>
      </c>
      <c r="BZ66" s="5">
        <v>7</v>
      </c>
      <c r="CA66" s="5">
        <v>7</v>
      </c>
      <c r="CB66" s="5">
        <v>10</v>
      </c>
      <c r="CC66" s="2" t="e">
        <f t="shared" ca="1" si="17"/>
        <v>#NAME?</v>
      </c>
      <c r="CD66" s="55"/>
      <c r="CE66" s="2"/>
      <c r="CF66" s="58">
        <v>10</v>
      </c>
      <c r="CG66" s="58">
        <v>10</v>
      </c>
      <c r="CH66" s="58">
        <v>10</v>
      </c>
      <c r="CI66" s="58">
        <v>10</v>
      </c>
      <c r="CJ66" s="58">
        <v>10</v>
      </c>
      <c r="CK66" s="58">
        <v>10</v>
      </c>
      <c r="CL66" s="58">
        <v>10</v>
      </c>
      <c r="CM66" s="58">
        <v>10</v>
      </c>
      <c r="CN66" s="58">
        <v>10</v>
      </c>
      <c r="CO66" s="58">
        <v>10</v>
      </c>
      <c r="CP66" s="2" t="e">
        <f t="shared" ca="1" si="18"/>
        <v>#NAME?</v>
      </c>
      <c r="CQ66" s="58">
        <v>10</v>
      </c>
      <c r="CR66" s="58">
        <v>10</v>
      </c>
      <c r="CS66" s="58">
        <v>10</v>
      </c>
      <c r="CT66" s="58">
        <v>10</v>
      </c>
      <c r="CU66" s="58">
        <v>10</v>
      </c>
      <c r="CV66" s="54">
        <f t="shared" si="8"/>
        <v>10</v>
      </c>
      <c r="CW66" s="55"/>
      <c r="CX66" s="3"/>
    </row>
    <row r="67" spans="1:102" ht="16.5" x14ac:dyDescent="0.55000000000000004">
      <c r="A67" s="17">
        <v>3</v>
      </c>
      <c r="B67" s="17" t="s">
        <v>3</v>
      </c>
      <c r="C67" s="23" t="s">
        <v>174</v>
      </c>
      <c r="D67" s="24" t="s">
        <v>175</v>
      </c>
      <c r="E67" s="48"/>
      <c r="F67" s="2"/>
      <c r="G67" s="2">
        <v>10</v>
      </c>
      <c r="H67" s="2">
        <v>10</v>
      </c>
      <c r="I67" s="2">
        <v>10</v>
      </c>
      <c r="J67" s="2">
        <v>10</v>
      </c>
      <c r="K67" s="2">
        <v>10</v>
      </c>
      <c r="L67" s="2">
        <v>10</v>
      </c>
      <c r="M67" s="2">
        <v>10</v>
      </c>
      <c r="N67" s="2">
        <v>10</v>
      </c>
      <c r="O67" s="2">
        <v>10</v>
      </c>
      <c r="P67" s="2">
        <v>10</v>
      </c>
      <c r="Q67" s="2" t="e">
        <f t="shared" ca="1" si="14"/>
        <v>#NAME?</v>
      </c>
      <c r="R67" s="2">
        <v>10</v>
      </c>
      <c r="S67" s="2">
        <v>10</v>
      </c>
      <c r="T67" s="2">
        <v>10</v>
      </c>
      <c r="U67" s="2">
        <v>10</v>
      </c>
      <c r="V67" s="2">
        <v>10</v>
      </c>
      <c r="W67" s="54">
        <f t="shared" si="1"/>
        <v>10</v>
      </c>
      <c r="X67" s="48"/>
      <c r="Y67" s="2"/>
      <c r="Z67" s="2"/>
      <c r="AA67" s="2">
        <v>10</v>
      </c>
      <c r="AB67" s="2">
        <v>10</v>
      </c>
      <c r="AC67" s="2">
        <v>10</v>
      </c>
      <c r="AD67" s="2">
        <v>10</v>
      </c>
      <c r="AE67" s="2">
        <v>10</v>
      </c>
      <c r="AF67" s="2">
        <v>10</v>
      </c>
      <c r="AG67" s="2">
        <v>10</v>
      </c>
      <c r="AH67" s="2">
        <v>10</v>
      </c>
      <c r="AI67" s="2">
        <v>10</v>
      </c>
      <c r="AJ67" s="2">
        <v>10</v>
      </c>
      <c r="AK67" s="3"/>
      <c r="AL67" s="3"/>
      <c r="AM67" s="3"/>
      <c r="AN67" s="3"/>
      <c r="AO67" s="3"/>
      <c r="AP67" s="3"/>
      <c r="AQ67" s="2" t="e">
        <f t="shared" ca="1" si="15"/>
        <v>#NAME?</v>
      </c>
      <c r="AR67" s="2">
        <v>10</v>
      </c>
      <c r="AS67" s="2">
        <v>10</v>
      </c>
      <c r="AT67" s="2">
        <v>10</v>
      </c>
      <c r="AU67" s="2">
        <v>10</v>
      </c>
      <c r="AV67" s="2">
        <v>10</v>
      </c>
      <c r="AW67" s="54">
        <f t="shared" si="3"/>
        <v>10</v>
      </c>
      <c r="AX67" s="48"/>
      <c r="AY67" s="2">
        <v>18</v>
      </c>
      <c r="AZ67" s="2">
        <v>9</v>
      </c>
      <c r="BA67" s="2">
        <v>9</v>
      </c>
      <c r="BB67" s="2">
        <v>10</v>
      </c>
      <c r="BC67" s="2">
        <v>10</v>
      </c>
      <c r="BD67" s="2">
        <v>10</v>
      </c>
      <c r="BE67" s="2">
        <v>10</v>
      </c>
      <c r="BF67" s="2">
        <v>10</v>
      </c>
      <c r="BG67" s="2">
        <v>10</v>
      </c>
      <c r="BH67" s="2">
        <v>10</v>
      </c>
      <c r="BI67" s="2">
        <v>10</v>
      </c>
      <c r="BJ67" s="2" t="e">
        <f t="shared" ca="1" si="16"/>
        <v>#NAME?</v>
      </c>
      <c r="BK67" s="2">
        <v>10</v>
      </c>
      <c r="BL67" s="2">
        <v>10</v>
      </c>
      <c r="BM67" s="2">
        <v>10</v>
      </c>
      <c r="BN67" s="2">
        <v>10</v>
      </c>
      <c r="BO67" s="2">
        <v>10</v>
      </c>
      <c r="BP67" s="54">
        <f t="shared" si="5"/>
        <v>10</v>
      </c>
      <c r="BQ67" s="5"/>
      <c r="BR67" s="5"/>
      <c r="BS67" s="5">
        <v>10</v>
      </c>
      <c r="BT67" s="5">
        <v>10</v>
      </c>
      <c r="BU67" s="5">
        <v>10</v>
      </c>
      <c r="BV67" s="5">
        <v>10</v>
      </c>
      <c r="BW67" s="5">
        <v>10</v>
      </c>
      <c r="BX67" s="5">
        <v>10</v>
      </c>
      <c r="BY67" s="5">
        <v>10</v>
      </c>
      <c r="BZ67" s="5">
        <v>10</v>
      </c>
      <c r="CA67" s="5">
        <v>10</v>
      </c>
      <c r="CB67" s="5">
        <v>10</v>
      </c>
      <c r="CC67" s="2" t="e">
        <f t="shared" ca="1" si="17"/>
        <v>#NAME?</v>
      </c>
      <c r="CD67" s="55"/>
      <c r="CE67" s="2"/>
      <c r="CF67" s="56">
        <v>10</v>
      </c>
      <c r="CG67" s="56">
        <v>10</v>
      </c>
      <c r="CH67" s="56">
        <v>10</v>
      </c>
      <c r="CI67" s="56">
        <v>10</v>
      </c>
      <c r="CJ67" s="56">
        <v>10</v>
      </c>
      <c r="CK67" s="56">
        <v>10</v>
      </c>
      <c r="CL67" s="56">
        <v>10</v>
      </c>
      <c r="CM67" s="56">
        <v>10</v>
      </c>
      <c r="CN67" s="56">
        <v>10</v>
      </c>
      <c r="CO67" s="56">
        <v>10</v>
      </c>
      <c r="CP67" s="2" t="e">
        <f t="shared" ca="1" si="18"/>
        <v>#NAME?</v>
      </c>
      <c r="CQ67" s="56">
        <v>10</v>
      </c>
      <c r="CR67" s="56">
        <v>10</v>
      </c>
      <c r="CS67" s="56">
        <v>10</v>
      </c>
      <c r="CT67" s="56">
        <v>10</v>
      </c>
      <c r="CU67" s="56">
        <v>10</v>
      </c>
      <c r="CV67" s="54">
        <f t="shared" si="8"/>
        <v>10</v>
      </c>
      <c r="CW67" s="55"/>
      <c r="CX67" s="3"/>
    </row>
    <row r="68" spans="1:102" ht="16.5" x14ac:dyDescent="0.55000000000000004">
      <c r="A68" s="17">
        <v>3</v>
      </c>
      <c r="B68" s="17" t="s">
        <v>3</v>
      </c>
      <c r="C68" s="23" t="s">
        <v>176</v>
      </c>
      <c r="D68" s="24" t="s">
        <v>177</v>
      </c>
      <c r="E68" s="48"/>
      <c r="F68" s="48"/>
      <c r="G68" s="2">
        <v>10</v>
      </c>
      <c r="H68" s="2">
        <v>10</v>
      </c>
      <c r="I68" s="2">
        <v>10</v>
      </c>
      <c r="J68" s="2">
        <v>10</v>
      </c>
      <c r="K68" s="2">
        <v>10</v>
      </c>
      <c r="L68" s="2">
        <v>10</v>
      </c>
      <c r="M68" s="2">
        <v>10</v>
      </c>
      <c r="N68" s="2">
        <v>10</v>
      </c>
      <c r="O68" s="2">
        <v>10</v>
      </c>
      <c r="P68" s="2">
        <v>10</v>
      </c>
      <c r="Q68" s="2" t="e">
        <f t="shared" ca="1" si="14"/>
        <v>#NAME?</v>
      </c>
      <c r="R68" s="2">
        <v>10</v>
      </c>
      <c r="S68" s="2">
        <v>10</v>
      </c>
      <c r="T68" s="2">
        <v>10</v>
      </c>
      <c r="U68" s="2">
        <v>10</v>
      </c>
      <c r="V68" s="2">
        <v>10</v>
      </c>
      <c r="W68" s="54">
        <f t="shared" si="1"/>
        <v>10</v>
      </c>
      <c r="X68" s="48"/>
      <c r="Y68" s="2"/>
      <c r="Z68" s="2"/>
      <c r="AA68" s="2">
        <v>10</v>
      </c>
      <c r="AB68" s="2">
        <v>10</v>
      </c>
      <c r="AC68" s="2">
        <v>10</v>
      </c>
      <c r="AD68" s="2">
        <v>10</v>
      </c>
      <c r="AE68" s="2">
        <v>10</v>
      </c>
      <c r="AF68" s="2">
        <v>10</v>
      </c>
      <c r="AG68" s="2">
        <v>10</v>
      </c>
      <c r="AH68" s="2">
        <v>10</v>
      </c>
      <c r="AI68" s="2">
        <v>10</v>
      </c>
      <c r="AJ68" s="2">
        <v>10</v>
      </c>
      <c r="AK68" s="3"/>
      <c r="AL68" s="3"/>
      <c r="AM68" s="3"/>
      <c r="AN68" s="3"/>
      <c r="AO68" s="3"/>
      <c r="AP68" s="3"/>
      <c r="AQ68" s="2" t="e">
        <f t="shared" ca="1" si="15"/>
        <v>#NAME?</v>
      </c>
      <c r="AR68" s="2">
        <v>10</v>
      </c>
      <c r="AS68" s="2">
        <v>10</v>
      </c>
      <c r="AT68" s="2">
        <v>10</v>
      </c>
      <c r="AU68" s="2">
        <v>10</v>
      </c>
      <c r="AV68" s="2">
        <v>10</v>
      </c>
      <c r="AW68" s="54">
        <f t="shared" si="3"/>
        <v>10</v>
      </c>
      <c r="AX68" s="48"/>
      <c r="AY68" s="2">
        <v>20</v>
      </c>
      <c r="AZ68" s="2">
        <v>10</v>
      </c>
      <c r="BA68" s="2">
        <v>10</v>
      </c>
      <c r="BB68" s="2">
        <v>10</v>
      </c>
      <c r="BC68" s="2">
        <v>10</v>
      </c>
      <c r="BD68" s="2">
        <v>10</v>
      </c>
      <c r="BE68" s="2">
        <v>10</v>
      </c>
      <c r="BF68" s="2">
        <v>10</v>
      </c>
      <c r="BG68" s="2">
        <v>10</v>
      </c>
      <c r="BH68" s="2">
        <v>10</v>
      </c>
      <c r="BI68" s="2">
        <v>10</v>
      </c>
      <c r="BJ68" s="2" t="e">
        <f t="shared" ca="1" si="16"/>
        <v>#NAME?</v>
      </c>
      <c r="BK68" s="2">
        <v>10</v>
      </c>
      <c r="BL68" s="2">
        <v>10</v>
      </c>
      <c r="BM68" s="2">
        <v>10</v>
      </c>
      <c r="BN68" s="2">
        <v>10</v>
      </c>
      <c r="BO68" s="2">
        <v>10</v>
      </c>
      <c r="BP68" s="54">
        <f t="shared" si="5"/>
        <v>10</v>
      </c>
      <c r="BQ68" s="5"/>
      <c r="BR68" s="5"/>
      <c r="BS68" s="5">
        <v>10</v>
      </c>
      <c r="BT68" s="5">
        <v>10</v>
      </c>
      <c r="BU68" s="5">
        <v>10</v>
      </c>
      <c r="BV68" s="5">
        <v>10</v>
      </c>
      <c r="BW68" s="5">
        <v>10</v>
      </c>
      <c r="BX68" s="5">
        <v>10</v>
      </c>
      <c r="BY68" s="5">
        <v>10</v>
      </c>
      <c r="BZ68" s="5">
        <v>10</v>
      </c>
      <c r="CA68" s="5">
        <v>10</v>
      </c>
      <c r="CB68" s="5">
        <v>10</v>
      </c>
      <c r="CC68" s="2" t="e">
        <f t="shared" ca="1" si="17"/>
        <v>#NAME?</v>
      </c>
      <c r="CD68" s="55"/>
      <c r="CE68" s="2"/>
      <c r="CF68" s="58">
        <v>10</v>
      </c>
      <c r="CG68" s="58">
        <v>10</v>
      </c>
      <c r="CH68" s="58">
        <v>10</v>
      </c>
      <c r="CI68" s="58">
        <v>10</v>
      </c>
      <c r="CJ68" s="58">
        <v>10</v>
      </c>
      <c r="CK68" s="58">
        <v>10</v>
      </c>
      <c r="CL68" s="58">
        <v>10</v>
      </c>
      <c r="CM68" s="58">
        <v>10</v>
      </c>
      <c r="CN68" s="58">
        <v>10</v>
      </c>
      <c r="CO68" s="58">
        <v>10</v>
      </c>
      <c r="CP68" s="2" t="e">
        <f t="shared" ca="1" si="18"/>
        <v>#NAME?</v>
      </c>
      <c r="CQ68" s="58">
        <v>10</v>
      </c>
      <c r="CR68" s="58">
        <v>10</v>
      </c>
      <c r="CS68" s="58">
        <v>10</v>
      </c>
      <c r="CT68" s="58">
        <v>10</v>
      </c>
      <c r="CU68" s="58">
        <v>10</v>
      </c>
      <c r="CV68" s="54">
        <f t="shared" si="8"/>
        <v>10</v>
      </c>
      <c r="CW68" s="55"/>
      <c r="CX68" s="3"/>
    </row>
    <row r="69" spans="1:102" ht="16.5" x14ac:dyDescent="0.55000000000000004">
      <c r="A69" s="17">
        <v>3</v>
      </c>
      <c r="B69" s="17" t="s">
        <v>3</v>
      </c>
      <c r="C69" s="23" t="s">
        <v>178</v>
      </c>
      <c r="D69" s="24" t="s">
        <v>179</v>
      </c>
      <c r="E69" s="48"/>
      <c r="F69" s="2"/>
      <c r="G69" s="2">
        <v>10</v>
      </c>
      <c r="H69" s="2">
        <v>10</v>
      </c>
      <c r="I69" s="2">
        <v>10</v>
      </c>
      <c r="J69" s="2">
        <v>10</v>
      </c>
      <c r="K69" s="2">
        <v>10</v>
      </c>
      <c r="L69" s="2">
        <v>9</v>
      </c>
      <c r="M69" s="2">
        <v>9</v>
      </c>
      <c r="N69" s="2">
        <v>9</v>
      </c>
      <c r="O69" s="2">
        <v>9</v>
      </c>
      <c r="P69" s="2">
        <v>9</v>
      </c>
      <c r="Q69" s="2" t="e">
        <f t="shared" ca="1" si="14"/>
        <v>#NAME?</v>
      </c>
      <c r="R69" s="2">
        <v>10</v>
      </c>
      <c r="S69" s="2">
        <v>9</v>
      </c>
      <c r="T69" s="2">
        <v>9</v>
      </c>
      <c r="U69" s="2">
        <v>9</v>
      </c>
      <c r="V69" s="2">
        <v>10</v>
      </c>
      <c r="W69" s="54">
        <f t="shared" si="1"/>
        <v>10</v>
      </c>
      <c r="X69" s="48"/>
      <c r="Y69" s="2"/>
      <c r="Z69" s="2"/>
      <c r="AA69" s="2">
        <v>10</v>
      </c>
      <c r="AB69" s="2">
        <v>10</v>
      </c>
      <c r="AC69" s="2">
        <v>10</v>
      </c>
      <c r="AD69" s="2">
        <v>10</v>
      </c>
      <c r="AE69" s="2">
        <v>10</v>
      </c>
      <c r="AF69" s="2">
        <v>10</v>
      </c>
      <c r="AG69" s="2">
        <v>10</v>
      </c>
      <c r="AH69" s="2">
        <v>10</v>
      </c>
      <c r="AI69" s="2">
        <v>10</v>
      </c>
      <c r="AJ69" s="2">
        <v>10</v>
      </c>
      <c r="AK69" s="3"/>
      <c r="AL69" s="3"/>
      <c r="AM69" s="3"/>
      <c r="AN69" s="3"/>
      <c r="AO69" s="3"/>
      <c r="AP69" s="3"/>
      <c r="AQ69" s="2" t="e">
        <f t="shared" ca="1" si="15"/>
        <v>#NAME?</v>
      </c>
      <c r="AR69" s="2">
        <v>10</v>
      </c>
      <c r="AS69" s="2">
        <v>10</v>
      </c>
      <c r="AT69" s="2">
        <v>10</v>
      </c>
      <c r="AU69" s="2">
        <v>10</v>
      </c>
      <c r="AV69" s="2">
        <v>10</v>
      </c>
      <c r="AW69" s="54">
        <f t="shared" si="3"/>
        <v>10</v>
      </c>
      <c r="AX69" s="48"/>
      <c r="AY69" s="2">
        <v>15</v>
      </c>
      <c r="AZ69" s="2">
        <v>9</v>
      </c>
      <c r="BA69" s="2">
        <v>9</v>
      </c>
      <c r="BB69" s="2">
        <v>10</v>
      </c>
      <c r="BC69" s="2">
        <v>10</v>
      </c>
      <c r="BD69" s="2">
        <v>10</v>
      </c>
      <c r="BE69" s="2">
        <v>10</v>
      </c>
      <c r="BF69" s="2">
        <v>10</v>
      </c>
      <c r="BG69" s="2">
        <v>10</v>
      </c>
      <c r="BH69" s="2">
        <v>10</v>
      </c>
      <c r="BI69" s="2">
        <v>10</v>
      </c>
      <c r="BJ69" s="2" t="e">
        <f t="shared" ca="1" si="16"/>
        <v>#NAME?</v>
      </c>
      <c r="BK69" s="2">
        <v>10</v>
      </c>
      <c r="BL69" s="2">
        <v>10</v>
      </c>
      <c r="BM69" s="2">
        <v>10</v>
      </c>
      <c r="BN69" s="2">
        <v>10</v>
      </c>
      <c r="BO69" s="2">
        <v>10</v>
      </c>
      <c r="BP69" s="54">
        <f t="shared" si="5"/>
        <v>10</v>
      </c>
      <c r="BQ69" s="5"/>
      <c r="BR69" s="5"/>
      <c r="BS69" s="5">
        <v>10</v>
      </c>
      <c r="BT69" s="5">
        <v>10</v>
      </c>
      <c r="BU69" s="5">
        <v>6</v>
      </c>
      <c r="BV69" s="5">
        <v>6</v>
      </c>
      <c r="BW69" s="5">
        <v>5</v>
      </c>
      <c r="BX69" s="5">
        <v>5</v>
      </c>
      <c r="BY69" s="5">
        <v>5</v>
      </c>
      <c r="BZ69" s="5">
        <v>6</v>
      </c>
      <c r="CA69" s="5">
        <v>6</v>
      </c>
      <c r="CB69" s="5">
        <v>10</v>
      </c>
      <c r="CC69" s="2" t="e">
        <f t="shared" ca="1" si="17"/>
        <v>#NAME?</v>
      </c>
      <c r="CD69" s="55"/>
      <c r="CE69" s="2"/>
      <c r="CF69" s="56">
        <v>10</v>
      </c>
      <c r="CG69" s="56">
        <v>10</v>
      </c>
      <c r="CH69" s="56">
        <v>10</v>
      </c>
      <c r="CI69" s="58">
        <v>10</v>
      </c>
      <c r="CJ69" s="58">
        <v>10</v>
      </c>
      <c r="CK69" s="58">
        <v>10</v>
      </c>
      <c r="CL69" s="58">
        <v>10</v>
      </c>
      <c r="CM69" s="58">
        <v>10</v>
      </c>
      <c r="CN69" s="58">
        <v>10</v>
      </c>
      <c r="CO69" s="58">
        <v>10</v>
      </c>
      <c r="CP69" s="2" t="e">
        <f t="shared" ca="1" si="18"/>
        <v>#NAME?</v>
      </c>
      <c r="CQ69" s="58">
        <v>10</v>
      </c>
      <c r="CR69" s="58">
        <v>10</v>
      </c>
      <c r="CS69" s="58">
        <v>10</v>
      </c>
      <c r="CT69" s="58">
        <v>10</v>
      </c>
      <c r="CU69" s="58">
        <v>10</v>
      </c>
      <c r="CV69" s="54">
        <f t="shared" si="8"/>
        <v>10</v>
      </c>
      <c r="CW69" s="55"/>
      <c r="CX69" s="3"/>
    </row>
    <row r="70" spans="1:102" ht="16.5" x14ac:dyDescent="0.55000000000000004">
      <c r="A70" s="17">
        <v>3</v>
      </c>
      <c r="B70" s="17" t="s">
        <v>3</v>
      </c>
      <c r="C70" s="23" t="s">
        <v>180</v>
      </c>
      <c r="D70" s="24" t="s">
        <v>181</v>
      </c>
      <c r="E70" s="48"/>
      <c r="F70" s="2"/>
      <c r="G70" s="2">
        <v>10</v>
      </c>
      <c r="H70" s="2">
        <v>10</v>
      </c>
      <c r="I70" s="2">
        <v>10</v>
      </c>
      <c r="J70" s="2">
        <v>10</v>
      </c>
      <c r="K70" s="2">
        <v>8</v>
      </c>
      <c r="L70" s="2">
        <v>8</v>
      </c>
      <c r="M70" s="2">
        <v>8</v>
      </c>
      <c r="N70" s="2">
        <v>9</v>
      </c>
      <c r="O70" s="2">
        <v>9</v>
      </c>
      <c r="P70" s="2">
        <v>9</v>
      </c>
      <c r="Q70" s="2" t="e">
        <f t="shared" ca="1" si="14"/>
        <v>#NAME?</v>
      </c>
      <c r="R70" s="2">
        <v>10</v>
      </c>
      <c r="S70" s="2">
        <v>10</v>
      </c>
      <c r="T70" s="2">
        <v>10</v>
      </c>
      <c r="U70" s="2">
        <v>10</v>
      </c>
      <c r="V70" s="2">
        <v>10</v>
      </c>
      <c r="W70" s="54">
        <f t="shared" si="1"/>
        <v>10</v>
      </c>
      <c r="X70" s="48"/>
      <c r="Y70" s="2"/>
      <c r="Z70" s="2"/>
      <c r="AA70" s="2">
        <v>7</v>
      </c>
      <c r="AB70" s="2">
        <v>7</v>
      </c>
      <c r="AC70" s="2">
        <v>7</v>
      </c>
      <c r="AD70" s="2">
        <v>7</v>
      </c>
      <c r="AE70" s="2">
        <v>7</v>
      </c>
      <c r="AF70" s="2">
        <v>7</v>
      </c>
      <c r="AG70" s="2">
        <v>7</v>
      </c>
      <c r="AH70" s="2">
        <v>7</v>
      </c>
      <c r="AI70" s="2">
        <v>7</v>
      </c>
      <c r="AJ70" s="2">
        <v>7</v>
      </c>
      <c r="AK70" s="3"/>
      <c r="AL70" s="3"/>
      <c r="AM70" s="3"/>
      <c r="AN70" s="3"/>
      <c r="AO70" s="3"/>
      <c r="AP70" s="3"/>
      <c r="AQ70" s="2" t="e">
        <f t="shared" ca="1" si="15"/>
        <v>#NAME?</v>
      </c>
      <c r="AR70" s="2">
        <v>7</v>
      </c>
      <c r="AS70" s="2">
        <v>7</v>
      </c>
      <c r="AT70" s="2">
        <v>7</v>
      </c>
      <c r="AU70" s="2">
        <v>10</v>
      </c>
      <c r="AV70" s="2">
        <v>10</v>
      </c>
      <c r="AW70" s="54">
        <f t="shared" si="3"/>
        <v>9</v>
      </c>
      <c r="AX70" s="48"/>
      <c r="AY70" s="2">
        <v>9</v>
      </c>
      <c r="AZ70" s="2">
        <v>6</v>
      </c>
      <c r="BA70" s="2">
        <v>6</v>
      </c>
      <c r="BB70" s="2">
        <v>6</v>
      </c>
      <c r="BC70" s="2">
        <v>6</v>
      </c>
      <c r="BD70" s="2">
        <v>6</v>
      </c>
      <c r="BE70" s="2">
        <v>6</v>
      </c>
      <c r="BF70" s="2">
        <v>6</v>
      </c>
      <c r="BG70" s="2">
        <v>6</v>
      </c>
      <c r="BH70" s="2">
        <v>6</v>
      </c>
      <c r="BI70" s="2">
        <v>6</v>
      </c>
      <c r="BJ70" s="2" t="e">
        <f t="shared" ca="1" si="16"/>
        <v>#NAME?</v>
      </c>
      <c r="BK70" s="5">
        <v>9</v>
      </c>
      <c r="BL70" s="5">
        <v>7</v>
      </c>
      <c r="BM70" s="5">
        <v>7</v>
      </c>
      <c r="BN70" s="5">
        <v>7</v>
      </c>
      <c r="BO70" s="5">
        <v>7</v>
      </c>
      <c r="BP70" s="54">
        <f t="shared" si="5"/>
        <v>8</v>
      </c>
      <c r="BQ70" s="5"/>
      <c r="BR70" s="5"/>
      <c r="BS70" s="5">
        <v>5</v>
      </c>
      <c r="BT70" s="5">
        <v>5</v>
      </c>
      <c r="BU70" s="5">
        <v>5</v>
      </c>
      <c r="BV70" s="5">
        <v>5</v>
      </c>
      <c r="BW70" s="5">
        <v>5</v>
      </c>
      <c r="BX70" s="5">
        <v>5</v>
      </c>
      <c r="BY70" s="5">
        <v>5</v>
      </c>
      <c r="BZ70" s="5">
        <v>5</v>
      </c>
      <c r="CA70" s="5">
        <v>5</v>
      </c>
      <c r="CB70" s="5">
        <v>5</v>
      </c>
      <c r="CC70" s="2" t="e">
        <f t="shared" ca="1" si="17"/>
        <v>#NAME?</v>
      </c>
      <c r="CD70" s="55"/>
      <c r="CE70" s="2"/>
      <c r="CF70" s="58">
        <v>10</v>
      </c>
      <c r="CG70" s="58">
        <v>10</v>
      </c>
      <c r="CH70" s="58">
        <v>10</v>
      </c>
      <c r="CI70" s="58">
        <v>10</v>
      </c>
      <c r="CJ70" s="58">
        <v>10</v>
      </c>
      <c r="CK70" s="58">
        <v>10</v>
      </c>
      <c r="CL70" s="58">
        <v>10</v>
      </c>
      <c r="CM70" s="58">
        <v>10</v>
      </c>
      <c r="CN70" s="58">
        <v>10</v>
      </c>
      <c r="CO70" s="58">
        <v>10</v>
      </c>
      <c r="CP70" s="2" t="e">
        <f t="shared" ca="1" si="18"/>
        <v>#NAME?</v>
      </c>
      <c r="CQ70" s="58">
        <v>10</v>
      </c>
      <c r="CR70" s="58">
        <v>10</v>
      </c>
      <c r="CS70" s="58">
        <v>10</v>
      </c>
      <c r="CT70" s="58">
        <v>10</v>
      </c>
      <c r="CU70" s="58">
        <v>10</v>
      </c>
      <c r="CV70" s="54">
        <f t="shared" si="8"/>
        <v>10</v>
      </c>
      <c r="CW70" s="55"/>
      <c r="CX70" s="3"/>
    </row>
    <row r="71" spans="1:102" ht="16.5" x14ac:dyDescent="0.55000000000000004">
      <c r="A71" s="17">
        <v>3</v>
      </c>
      <c r="B71" s="17" t="s">
        <v>3</v>
      </c>
      <c r="C71" s="23" t="s">
        <v>182</v>
      </c>
      <c r="D71" s="24" t="s">
        <v>183</v>
      </c>
      <c r="E71" s="48"/>
      <c r="F71" s="2"/>
      <c r="G71" s="2">
        <v>10</v>
      </c>
      <c r="H71" s="2">
        <v>10</v>
      </c>
      <c r="I71" s="2">
        <v>10</v>
      </c>
      <c r="J71" s="2">
        <v>10</v>
      </c>
      <c r="K71" s="2">
        <v>10</v>
      </c>
      <c r="L71" s="2">
        <v>10</v>
      </c>
      <c r="M71" s="2">
        <v>10</v>
      </c>
      <c r="N71" s="2">
        <v>8</v>
      </c>
      <c r="O71" s="2">
        <v>9</v>
      </c>
      <c r="P71" s="2">
        <v>9</v>
      </c>
      <c r="Q71" s="2" t="e">
        <f t="shared" ca="1" si="14"/>
        <v>#NAME?</v>
      </c>
      <c r="R71" s="2">
        <v>10</v>
      </c>
      <c r="S71" s="2">
        <v>10</v>
      </c>
      <c r="T71" s="2">
        <v>10</v>
      </c>
      <c r="U71" s="2">
        <v>10</v>
      </c>
      <c r="V71" s="2">
        <v>10</v>
      </c>
      <c r="W71" s="54">
        <f t="shared" si="1"/>
        <v>10</v>
      </c>
      <c r="X71" s="48"/>
      <c r="Y71" s="2"/>
      <c r="Z71" s="2"/>
      <c r="AA71" s="2">
        <v>10</v>
      </c>
      <c r="AB71" s="2">
        <v>10</v>
      </c>
      <c r="AC71" s="2">
        <v>10</v>
      </c>
      <c r="AD71" s="2">
        <v>10</v>
      </c>
      <c r="AE71" s="2">
        <v>10</v>
      </c>
      <c r="AF71" s="2">
        <v>10</v>
      </c>
      <c r="AG71" s="2">
        <v>10</v>
      </c>
      <c r="AH71" s="2">
        <v>10</v>
      </c>
      <c r="AI71" s="2">
        <v>10</v>
      </c>
      <c r="AJ71" s="2">
        <v>10</v>
      </c>
      <c r="AK71" s="3"/>
      <c r="AL71" s="3"/>
      <c r="AM71" s="3"/>
      <c r="AN71" s="3"/>
      <c r="AO71" s="3"/>
      <c r="AP71" s="3"/>
      <c r="AQ71" s="2" t="e">
        <f t="shared" ca="1" si="15"/>
        <v>#NAME?</v>
      </c>
      <c r="AR71" s="2">
        <v>10</v>
      </c>
      <c r="AS71" s="2">
        <v>10</v>
      </c>
      <c r="AT71" s="2">
        <v>10</v>
      </c>
      <c r="AU71" s="2">
        <v>10</v>
      </c>
      <c r="AV71" s="2">
        <v>10</v>
      </c>
      <c r="AW71" s="54">
        <f t="shared" si="3"/>
        <v>10</v>
      </c>
      <c r="AX71" s="48"/>
      <c r="AY71" s="2">
        <v>1</v>
      </c>
      <c r="AZ71" s="2">
        <v>9</v>
      </c>
      <c r="BA71" s="2">
        <v>9</v>
      </c>
      <c r="BB71" s="2">
        <v>9</v>
      </c>
      <c r="BC71" s="2">
        <v>9</v>
      </c>
      <c r="BD71" s="2">
        <v>9</v>
      </c>
      <c r="BE71" s="2">
        <v>9</v>
      </c>
      <c r="BF71" s="2">
        <v>9</v>
      </c>
      <c r="BG71" s="2">
        <v>9</v>
      </c>
      <c r="BH71" s="2">
        <v>9</v>
      </c>
      <c r="BI71" s="2">
        <v>9</v>
      </c>
      <c r="BJ71" s="2" t="e">
        <f t="shared" ca="1" si="16"/>
        <v>#NAME?</v>
      </c>
      <c r="BK71" s="2">
        <v>10</v>
      </c>
      <c r="BL71" s="2">
        <v>10</v>
      </c>
      <c r="BM71" s="2">
        <v>10</v>
      </c>
      <c r="BN71" s="2">
        <v>10</v>
      </c>
      <c r="BO71" s="2">
        <v>10</v>
      </c>
      <c r="BP71" s="54">
        <f t="shared" si="5"/>
        <v>10</v>
      </c>
      <c r="BQ71" s="5"/>
      <c r="BR71" s="5"/>
      <c r="BS71" s="5">
        <v>10</v>
      </c>
      <c r="BT71" s="5">
        <v>10</v>
      </c>
      <c r="BU71" s="5">
        <v>8</v>
      </c>
      <c r="BV71" s="5">
        <v>5</v>
      </c>
      <c r="BW71" s="5">
        <v>6</v>
      </c>
      <c r="BX71" s="5">
        <v>6</v>
      </c>
      <c r="BY71" s="5">
        <v>6</v>
      </c>
      <c r="BZ71" s="5">
        <v>7</v>
      </c>
      <c r="CA71" s="5">
        <v>6</v>
      </c>
      <c r="CB71" s="5">
        <v>5</v>
      </c>
      <c r="CC71" s="2" t="e">
        <f t="shared" ca="1" si="17"/>
        <v>#NAME?</v>
      </c>
      <c r="CD71" s="55"/>
      <c r="CE71" s="2"/>
      <c r="CF71" s="56">
        <v>10</v>
      </c>
      <c r="CG71" s="56">
        <v>10</v>
      </c>
      <c r="CH71" s="56">
        <v>10</v>
      </c>
      <c r="CI71" s="56">
        <v>10</v>
      </c>
      <c r="CJ71" s="56">
        <v>10</v>
      </c>
      <c r="CK71" s="56">
        <v>10</v>
      </c>
      <c r="CL71" s="56">
        <v>10</v>
      </c>
      <c r="CM71" s="56">
        <v>10</v>
      </c>
      <c r="CN71" s="56">
        <v>10</v>
      </c>
      <c r="CO71" s="56">
        <v>10</v>
      </c>
      <c r="CP71" s="2" t="e">
        <f t="shared" ca="1" si="18"/>
        <v>#NAME?</v>
      </c>
      <c r="CQ71" s="56">
        <v>10</v>
      </c>
      <c r="CR71" s="56">
        <v>10</v>
      </c>
      <c r="CS71" s="56">
        <v>10</v>
      </c>
      <c r="CT71" s="56">
        <v>10</v>
      </c>
      <c r="CU71" s="56">
        <v>10</v>
      </c>
      <c r="CV71" s="54">
        <f t="shared" si="8"/>
        <v>10</v>
      </c>
      <c r="CW71" s="55"/>
      <c r="CX71" s="3"/>
    </row>
    <row r="72" spans="1:102" ht="16.5" x14ac:dyDescent="0.55000000000000004">
      <c r="A72" s="17">
        <v>3</v>
      </c>
      <c r="B72" s="17" t="s">
        <v>3</v>
      </c>
      <c r="C72" s="23" t="s">
        <v>184</v>
      </c>
      <c r="D72" s="24" t="s">
        <v>185</v>
      </c>
      <c r="E72" s="48"/>
      <c r="F72" s="2"/>
      <c r="G72" s="2">
        <v>10</v>
      </c>
      <c r="H72" s="2">
        <v>10</v>
      </c>
      <c r="I72" s="2">
        <v>10</v>
      </c>
      <c r="J72" s="2">
        <v>10</v>
      </c>
      <c r="K72" s="2">
        <v>10</v>
      </c>
      <c r="L72" s="2">
        <v>10</v>
      </c>
      <c r="M72" s="2">
        <v>10</v>
      </c>
      <c r="N72" s="2">
        <v>10</v>
      </c>
      <c r="O72" s="2">
        <v>9</v>
      </c>
      <c r="P72" s="2">
        <v>9</v>
      </c>
      <c r="Q72" s="2" t="e">
        <f t="shared" ca="1" si="14"/>
        <v>#NAME?</v>
      </c>
      <c r="R72" s="2">
        <v>10</v>
      </c>
      <c r="S72" s="2">
        <v>10</v>
      </c>
      <c r="T72" s="2">
        <v>10</v>
      </c>
      <c r="U72" s="2">
        <v>10</v>
      </c>
      <c r="V72" s="2">
        <v>10</v>
      </c>
      <c r="W72" s="54">
        <f t="shared" si="1"/>
        <v>10</v>
      </c>
      <c r="X72" s="48"/>
      <c r="Y72" s="2"/>
      <c r="Z72" s="2"/>
      <c r="AA72" s="2">
        <v>10</v>
      </c>
      <c r="AB72" s="2">
        <v>10</v>
      </c>
      <c r="AC72" s="2">
        <v>10</v>
      </c>
      <c r="AD72" s="2">
        <v>10</v>
      </c>
      <c r="AE72" s="2">
        <v>10</v>
      </c>
      <c r="AF72" s="2">
        <v>10</v>
      </c>
      <c r="AG72" s="2">
        <v>10</v>
      </c>
      <c r="AH72" s="2">
        <v>10</v>
      </c>
      <c r="AI72" s="2">
        <v>10</v>
      </c>
      <c r="AJ72" s="2">
        <v>10</v>
      </c>
      <c r="AK72" s="3"/>
      <c r="AL72" s="3"/>
      <c r="AM72" s="3"/>
      <c r="AN72" s="3"/>
      <c r="AO72" s="3"/>
      <c r="AP72" s="3"/>
      <c r="AQ72" s="2" t="e">
        <f t="shared" ca="1" si="15"/>
        <v>#NAME?</v>
      </c>
      <c r="AR72" s="2">
        <v>10</v>
      </c>
      <c r="AS72" s="2">
        <v>10</v>
      </c>
      <c r="AT72" s="2">
        <v>10</v>
      </c>
      <c r="AU72" s="2">
        <v>10</v>
      </c>
      <c r="AV72" s="2">
        <v>10</v>
      </c>
      <c r="AW72" s="54">
        <f t="shared" si="3"/>
        <v>10</v>
      </c>
      <c r="AX72" s="48"/>
      <c r="AY72" s="2">
        <v>7</v>
      </c>
      <c r="AZ72" s="2">
        <v>9</v>
      </c>
      <c r="BA72" s="2">
        <v>10</v>
      </c>
      <c r="BB72" s="2">
        <v>9</v>
      </c>
      <c r="BC72" s="2">
        <v>9</v>
      </c>
      <c r="BD72" s="2">
        <v>10</v>
      </c>
      <c r="BE72" s="2">
        <v>10</v>
      </c>
      <c r="BF72" s="2">
        <v>10</v>
      </c>
      <c r="BG72" s="2">
        <v>10</v>
      </c>
      <c r="BH72" s="2">
        <v>10</v>
      </c>
      <c r="BI72" s="2">
        <v>10</v>
      </c>
      <c r="BJ72" s="2" t="e">
        <f t="shared" ca="1" si="16"/>
        <v>#NAME?</v>
      </c>
      <c r="BK72" s="5">
        <v>9</v>
      </c>
      <c r="BL72" s="5">
        <v>9</v>
      </c>
      <c r="BM72" s="2">
        <v>10</v>
      </c>
      <c r="BN72" s="2">
        <v>10</v>
      </c>
      <c r="BO72" s="2">
        <v>10</v>
      </c>
      <c r="BP72" s="54">
        <f t="shared" si="5"/>
        <v>10</v>
      </c>
      <c r="BQ72" s="5"/>
      <c r="BR72" s="5"/>
      <c r="BS72" s="5">
        <v>10</v>
      </c>
      <c r="BT72" s="5">
        <v>10</v>
      </c>
      <c r="BU72" s="5">
        <v>8</v>
      </c>
      <c r="BV72" s="5">
        <v>10</v>
      </c>
      <c r="BW72" s="5">
        <v>6</v>
      </c>
      <c r="BX72" s="5">
        <v>6</v>
      </c>
      <c r="BY72" s="5">
        <v>7</v>
      </c>
      <c r="BZ72" s="5">
        <v>7</v>
      </c>
      <c r="CA72" s="5">
        <v>7</v>
      </c>
      <c r="CB72" s="5">
        <v>5</v>
      </c>
      <c r="CC72" s="2" t="e">
        <f t="shared" ca="1" si="17"/>
        <v>#NAME?</v>
      </c>
      <c r="CD72" s="55"/>
      <c r="CE72" s="2"/>
      <c r="CF72" s="58">
        <v>10</v>
      </c>
      <c r="CG72" s="58">
        <v>10</v>
      </c>
      <c r="CH72" s="58">
        <v>10</v>
      </c>
      <c r="CI72" s="58">
        <v>10</v>
      </c>
      <c r="CJ72" s="58">
        <v>10</v>
      </c>
      <c r="CK72" s="58">
        <v>10</v>
      </c>
      <c r="CL72" s="58">
        <v>10</v>
      </c>
      <c r="CM72" s="58">
        <v>10</v>
      </c>
      <c r="CN72" s="58">
        <v>10</v>
      </c>
      <c r="CO72" s="58">
        <v>10</v>
      </c>
      <c r="CP72" s="2" t="e">
        <f t="shared" ca="1" si="18"/>
        <v>#NAME?</v>
      </c>
      <c r="CQ72" s="58">
        <v>10</v>
      </c>
      <c r="CR72" s="58">
        <v>10</v>
      </c>
      <c r="CS72" s="58">
        <v>10</v>
      </c>
      <c r="CT72" s="58">
        <v>10</v>
      </c>
      <c r="CU72" s="58">
        <v>10</v>
      </c>
      <c r="CV72" s="54">
        <f t="shared" si="8"/>
        <v>10</v>
      </c>
      <c r="CW72" s="55"/>
      <c r="CX72" s="3"/>
    </row>
    <row r="73" spans="1:102" ht="16.5" x14ac:dyDescent="0.55000000000000004">
      <c r="A73" s="17">
        <v>3</v>
      </c>
      <c r="B73" s="17" t="s">
        <v>3</v>
      </c>
      <c r="C73" s="23" t="s">
        <v>186</v>
      </c>
      <c r="D73" s="24" t="s">
        <v>187</v>
      </c>
      <c r="E73" s="48"/>
      <c r="F73" s="2"/>
      <c r="G73" s="2">
        <v>10</v>
      </c>
      <c r="H73" s="2">
        <v>10</v>
      </c>
      <c r="I73" s="2">
        <v>10</v>
      </c>
      <c r="J73" s="2">
        <v>10</v>
      </c>
      <c r="K73" s="2">
        <v>8</v>
      </c>
      <c r="L73" s="2">
        <v>8</v>
      </c>
      <c r="M73" s="2">
        <v>8</v>
      </c>
      <c r="N73" s="2">
        <v>9</v>
      </c>
      <c r="O73" s="2">
        <v>9</v>
      </c>
      <c r="P73" s="2">
        <v>9</v>
      </c>
      <c r="Q73" s="2" t="e">
        <f t="shared" ca="1" si="14"/>
        <v>#NAME?</v>
      </c>
      <c r="R73" s="2">
        <v>10</v>
      </c>
      <c r="S73" s="2">
        <v>10</v>
      </c>
      <c r="T73" s="2">
        <v>10</v>
      </c>
      <c r="U73" s="2">
        <v>10</v>
      </c>
      <c r="V73" s="2">
        <v>10</v>
      </c>
      <c r="W73" s="54">
        <f t="shared" si="1"/>
        <v>10</v>
      </c>
      <c r="X73" s="48"/>
      <c r="Y73" s="2"/>
      <c r="Z73" s="2"/>
      <c r="AA73" s="2">
        <v>10</v>
      </c>
      <c r="AB73" s="2">
        <v>10</v>
      </c>
      <c r="AC73" s="2">
        <v>10</v>
      </c>
      <c r="AD73" s="2">
        <v>10</v>
      </c>
      <c r="AE73" s="2">
        <v>10</v>
      </c>
      <c r="AF73" s="2">
        <v>10</v>
      </c>
      <c r="AG73" s="2">
        <v>10</v>
      </c>
      <c r="AH73" s="2">
        <v>10</v>
      </c>
      <c r="AI73" s="2">
        <v>10</v>
      </c>
      <c r="AJ73" s="2">
        <v>10</v>
      </c>
      <c r="AK73" s="3"/>
      <c r="AL73" s="3"/>
      <c r="AM73" s="3"/>
      <c r="AN73" s="3"/>
      <c r="AO73" s="3"/>
      <c r="AP73" s="3"/>
      <c r="AQ73" s="2" t="e">
        <f t="shared" ca="1" si="15"/>
        <v>#NAME?</v>
      </c>
      <c r="AR73" s="2">
        <v>10</v>
      </c>
      <c r="AS73" s="2">
        <v>10</v>
      </c>
      <c r="AT73" s="2">
        <v>10</v>
      </c>
      <c r="AU73" s="2">
        <v>6</v>
      </c>
      <c r="AV73" s="2">
        <v>6</v>
      </c>
      <c r="AW73" s="54">
        <f t="shared" si="3"/>
        <v>9</v>
      </c>
      <c r="AX73" s="48"/>
      <c r="AY73" s="2">
        <v>6</v>
      </c>
      <c r="AZ73" s="2">
        <v>7</v>
      </c>
      <c r="BA73" s="2">
        <v>7</v>
      </c>
      <c r="BB73" s="2">
        <v>7</v>
      </c>
      <c r="BC73" s="2">
        <v>7</v>
      </c>
      <c r="BD73" s="2">
        <v>7</v>
      </c>
      <c r="BE73" s="2">
        <v>7</v>
      </c>
      <c r="BF73" s="2">
        <v>7</v>
      </c>
      <c r="BG73" s="2">
        <v>7</v>
      </c>
      <c r="BH73" s="2">
        <v>7</v>
      </c>
      <c r="BI73" s="2">
        <v>7</v>
      </c>
      <c r="BJ73" s="2" t="e">
        <f t="shared" ca="1" si="16"/>
        <v>#NAME?</v>
      </c>
      <c r="BK73" s="5">
        <v>10</v>
      </c>
      <c r="BL73" s="5">
        <v>10</v>
      </c>
      <c r="BM73" s="5">
        <v>8</v>
      </c>
      <c r="BN73" s="5">
        <v>8</v>
      </c>
      <c r="BO73" s="5">
        <v>8</v>
      </c>
      <c r="BP73" s="54">
        <f t="shared" si="5"/>
        <v>9</v>
      </c>
      <c r="BQ73" s="5"/>
      <c r="BR73" s="5"/>
      <c r="BS73" s="5">
        <v>5</v>
      </c>
      <c r="BT73" s="5">
        <v>6</v>
      </c>
      <c r="BU73" s="5">
        <v>6</v>
      </c>
      <c r="BV73" s="5">
        <v>5</v>
      </c>
      <c r="BW73" s="5">
        <v>5</v>
      </c>
      <c r="BX73" s="5">
        <v>5</v>
      </c>
      <c r="BY73" s="5">
        <v>5</v>
      </c>
      <c r="BZ73" s="5">
        <v>5</v>
      </c>
      <c r="CA73" s="5">
        <v>5</v>
      </c>
      <c r="CB73" s="5">
        <v>5</v>
      </c>
      <c r="CC73" s="2" t="e">
        <f t="shared" ca="1" si="17"/>
        <v>#NAME?</v>
      </c>
      <c r="CD73" s="55"/>
      <c r="CE73" s="2"/>
      <c r="CF73" s="58">
        <v>10</v>
      </c>
      <c r="CG73" s="58">
        <v>10</v>
      </c>
      <c r="CH73" s="58">
        <v>10</v>
      </c>
      <c r="CI73" s="58">
        <v>10</v>
      </c>
      <c r="CJ73" s="58">
        <v>10</v>
      </c>
      <c r="CK73" s="58">
        <v>10</v>
      </c>
      <c r="CL73" s="58">
        <v>10</v>
      </c>
      <c r="CM73" s="58">
        <v>10</v>
      </c>
      <c r="CN73" s="58">
        <v>10</v>
      </c>
      <c r="CO73" s="58">
        <v>10</v>
      </c>
      <c r="CP73" s="2" t="e">
        <f t="shared" ca="1" si="18"/>
        <v>#NAME?</v>
      </c>
      <c r="CQ73" s="58">
        <v>10</v>
      </c>
      <c r="CR73" s="58">
        <v>10</v>
      </c>
      <c r="CS73" s="58">
        <v>10</v>
      </c>
      <c r="CT73" s="58">
        <v>10</v>
      </c>
      <c r="CU73" s="58">
        <v>10</v>
      </c>
      <c r="CV73" s="54">
        <f t="shared" si="8"/>
        <v>10</v>
      </c>
      <c r="CW73" s="55"/>
      <c r="CX73" s="3"/>
    </row>
    <row r="74" spans="1:102" ht="16.5" x14ac:dyDescent="0.55000000000000004">
      <c r="A74" s="17">
        <v>3</v>
      </c>
      <c r="B74" s="17" t="s">
        <v>3</v>
      </c>
      <c r="C74" s="23" t="s">
        <v>188</v>
      </c>
      <c r="D74" s="24" t="s">
        <v>189</v>
      </c>
      <c r="E74" s="48"/>
      <c r="F74" s="2"/>
      <c r="G74" s="2">
        <v>10</v>
      </c>
      <c r="H74" s="2">
        <v>10</v>
      </c>
      <c r="I74" s="2">
        <v>10</v>
      </c>
      <c r="J74" s="2">
        <v>10</v>
      </c>
      <c r="K74" s="2">
        <v>10</v>
      </c>
      <c r="L74" s="2">
        <v>10</v>
      </c>
      <c r="M74" s="2">
        <v>10</v>
      </c>
      <c r="N74" s="2">
        <v>8</v>
      </c>
      <c r="O74" s="2">
        <v>8</v>
      </c>
      <c r="P74" s="2">
        <v>8</v>
      </c>
      <c r="Q74" s="2" t="e">
        <f t="shared" ca="1" si="14"/>
        <v>#NAME?</v>
      </c>
      <c r="R74" s="2">
        <v>10</v>
      </c>
      <c r="S74" s="2">
        <v>10</v>
      </c>
      <c r="T74" s="2">
        <v>10</v>
      </c>
      <c r="U74" s="2">
        <v>10</v>
      </c>
      <c r="V74" s="2">
        <v>10</v>
      </c>
      <c r="W74" s="54">
        <f t="shared" si="1"/>
        <v>10</v>
      </c>
      <c r="X74" s="48"/>
      <c r="Y74" s="2"/>
      <c r="Z74" s="2"/>
      <c r="AA74" s="2">
        <v>6</v>
      </c>
      <c r="AB74" s="2">
        <v>6</v>
      </c>
      <c r="AC74" s="2">
        <v>6</v>
      </c>
      <c r="AD74" s="2">
        <v>6</v>
      </c>
      <c r="AE74" s="2">
        <v>6</v>
      </c>
      <c r="AF74" s="2">
        <v>6</v>
      </c>
      <c r="AG74" s="2">
        <v>6</v>
      </c>
      <c r="AH74" s="2">
        <v>6</v>
      </c>
      <c r="AI74" s="2">
        <v>6</v>
      </c>
      <c r="AJ74" s="2">
        <v>6</v>
      </c>
      <c r="AK74" s="3"/>
      <c r="AL74" s="3"/>
      <c r="AM74" s="3"/>
      <c r="AN74" s="3"/>
      <c r="AO74" s="3"/>
      <c r="AP74" s="3"/>
      <c r="AQ74" s="2" t="e">
        <f t="shared" ca="1" si="15"/>
        <v>#NAME?</v>
      </c>
      <c r="AR74" s="2">
        <v>6</v>
      </c>
      <c r="AS74" s="2">
        <v>6</v>
      </c>
      <c r="AT74" s="2">
        <v>6</v>
      </c>
      <c r="AU74" s="2">
        <v>6</v>
      </c>
      <c r="AV74" s="2">
        <v>6</v>
      </c>
      <c r="AW74" s="54">
        <f t="shared" si="3"/>
        <v>6</v>
      </c>
      <c r="AX74" s="48"/>
      <c r="AY74" s="2">
        <v>4</v>
      </c>
      <c r="AZ74" s="2">
        <v>6</v>
      </c>
      <c r="BA74" s="55">
        <v>6</v>
      </c>
      <c r="BB74" s="55">
        <v>7</v>
      </c>
      <c r="BC74" s="55">
        <v>7</v>
      </c>
      <c r="BD74" s="55">
        <v>7</v>
      </c>
      <c r="BE74" s="55">
        <v>7</v>
      </c>
      <c r="BF74" s="55">
        <v>8</v>
      </c>
      <c r="BG74" s="55">
        <v>8</v>
      </c>
      <c r="BH74" s="2">
        <v>8</v>
      </c>
      <c r="BI74" s="68">
        <v>8</v>
      </c>
      <c r="BJ74" s="2" t="e">
        <f t="shared" ca="1" si="16"/>
        <v>#NAME?</v>
      </c>
      <c r="BK74" s="5">
        <v>7</v>
      </c>
      <c r="BL74" s="5">
        <v>8</v>
      </c>
      <c r="BM74" s="5">
        <v>7</v>
      </c>
      <c r="BN74" s="5">
        <v>7</v>
      </c>
      <c r="BO74" s="5">
        <v>7</v>
      </c>
      <c r="BP74" s="54">
        <f t="shared" si="5"/>
        <v>8</v>
      </c>
      <c r="BQ74" s="5"/>
      <c r="BR74" s="5"/>
      <c r="BS74" s="5">
        <v>5</v>
      </c>
      <c r="BT74" s="5">
        <v>5</v>
      </c>
      <c r="BU74" s="5">
        <v>5</v>
      </c>
      <c r="BV74" s="5">
        <v>5</v>
      </c>
      <c r="BW74" s="5">
        <v>5</v>
      </c>
      <c r="BX74" s="5">
        <v>5</v>
      </c>
      <c r="BY74" s="5">
        <v>5</v>
      </c>
      <c r="BZ74" s="5">
        <v>5</v>
      </c>
      <c r="CA74" s="5">
        <v>5</v>
      </c>
      <c r="CB74" s="5">
        <v>5</v>
      </c>
      <c r="CC74" s="2" t="e">
        <f t="shared" ca="1" si="17"/>
        <v>#NAME?</v>
      </c>
      <c r="CD74" s="55"/>
      <c r="CE74" s="2"/>
      <c r="CF74" s="58">
        <v>9</v>
      </c>
      <c r="CG74" s="58">
        <v>9</v>
      </c>
      <c r="CH74" s="58">
        <v>10</v>
      </c>
      <c r="CI74" s="58">
        <v>10</v>
      </c>
      <c r="CJ74" s="58">
        <v>10</v>
      </c>
      <c r="CK74" s="58">
        <v>10</v>
      </c>
      <c r="CL74" s="58">
        <v>10</v>
      </c>
      <c r="CM74" s="58">
        <v>10</v>
      </c>
      <c r="CN74" s="58">
        <v>9</v>
      </c>
      <c r="CO74" s="58">
        <v>9</v>
      </c>
      <c r="CP74" s="2" t="e">
        <f t="shared" ca="1" si="18"/>
        <v>#NAME?</v>
      </c>
      <c r="CQ74" s="59">
        <v>9</v>
      </c>
      <c r="CR74" s="59">
        <v>9</v>
      </c>
      <c r="CS74" s="59">
        <v>9</v>
      </c>
      <c r="CT74" s="59">
        <v>9</v>
      </c>
      <c r="CU74" s="59">
        <v>9</v>
      </c>
      <c r="CV74" s="54">
        <f t="shared" si="8"/>
        <v>9</v>
      </c>
      <c r="CW74" s="55"/>
      <c r="CX74" s="3"/>
    </row>
    <row r="75" spans="1:102" ht="16.5" x14ac:dyDescent="0.55000000000000004">
      <c r="A75" s="17">
        <v>1</v>
      </c>
      <c r="B75" s="17" t="s">
        <v>4</v>
      </c>
      <c r="C75" s="23" t="s">
        <v>190</v>
      </c>
      <c r="D75" s="24" t="s">
        <v>191</v>
      </c>
      <c r="E75" s="48">
        <v>8</v>
      </c>
      <c r="F75" s="2">
        <v>9</v>
      </c>
      <c r="G75" s="2">
        <v>10</v>
      </c>
      <c r="H75" s="2">
        <v>10</v>
      </c>
      <c r="I75" s="2">
        <v>10</v>
      </c>
      <c r="J75" s="2">
        <v>10</v>
      </c>
      <c r="K75" s="2">
        <v>10</v>
      </c>
      <c r="L75" s="2">
        <v>10</v>
      </c>
      <c r="M75" s="2">
        <v>10</v>
      </c>
      <c r="N75" s="2">
        <v>10</v>
      </c>
      <c r="O75" s="2">
        <v>10</v>
      </c>
      <c r="P75" s="2">
        <v>10</v>
      </c>
      <c r="Q75" s="2" t="e">
        <f t="shared" ca="1" si="14"/>
        <v>#NAME?</v>
      </c>
      <c r="R75" s="2">
        <v>10</v>
      </c>
      <c r="S75" s="2">
        <v>10</v>
      </c>
      <c r="T75" s="2">
        <v>10</v>
      </c>
      <c r="U75" s="2">
        <v>10</v>
      </c>
      <c r="V75" s="2">
        <v>10</v>
      </c>
      <c r="W75" s="54">
        <f t="shared" si="1"/>
        <v>10</v>
      </c>
      <c r="X75" s="48"/>
      <c r="Y75" s="2"/>
      <c r="Z75" s="69">
        <v>10</v>
      </c>
      <c r="AA75" s="2">
        <v>10</v>
      </c>
      <c r="AB75" s="2">
        <v>10</v>
      </c>
      <c r="AC75" s="2">
        <v>10</v>
      </c>
      <c r="AD75" s="2">
        <v>10</v>
      </c>
      <c r="AE75" s="2">
        <v>10</v>
      </c>
      <c r="AF75" s="2">
        <v>10</v>
      </c>
      <c r="AG75" s="2">
        <v>10</v>
      </c>
      <c r="AH75" s="2">
        <v>10</v>
      </c>
      <c r="AI75" s="2">
        <v>10</v>
      </c>
      <c r="AJ75" s="2">
        <v>10</v>
      </c>
      <c r="AK75" s="3"/>
      <c r="AL75" s="3"/>
      <c r="AM75" s="3"/>
      <c r="AN75" s="3"/>
      <c r="AO75" s="3"/>
      <c r="AP75" s="3"/>
      <c r="AQ75" s="2" t="e">
        <f t="shared" ca="1" si="15"/>
        <v>#NAME?</v>
      </c>
      <c r="AR75" s="2">
        <v>10</v>
      </c>
      <c r="AS75" s="2">
        <v>10</v>
      </c>
      <c r="AT75" s="2">
        <v>10</v>
      </c>
      <c r="AU75" s="2">
        <v>10</v>
      </c>
      <c r="AV75" s="2">
        <v>10</v>
      </c>
      <c r="AW75" s="54">
        <f t="shared" si="3"/>
        <v>10</v>
      </c>
      <c r="AX75" s="48"/>
      <c r="AY75" s="2"/>
      <c r="AZ75" s="70">
        <v>10</v>
      </c>
      <c r="BA75" s="71">
        <v>10</v>
      </c>
      <c r="BB75" s="71">
        <v>10</v>
      </c>
      <c r="BC75" s="71">
        <v>10</v>
      </c>
      <c r="BD75" s="71">
        <v>10</v>
      </c>
      <c r="BE75" s="71">
        <v>10</v>
      </c>
      <c r="BF75" s="71">
        <v>10</v>
      </c>
      <c r="BG75" s="71">
        <v>10</v>
      </c>
      <c r="BH75" s="71">
        <v>10</v>
      </c>
      <c r="BI75" s="71">
        <v>10</v>
      </c>
      <c r="BJ75" s="2" t="e">
        <f t="shared" ca="1" si="16"/>
        <v>#NAME?</v>
      </c>
      <c r="BK75" s="71">
        <v>10</v>
      </c>
      <c r="BL75" s="71">
        <v>10</v>
      </c>
      <c r="BM75" s="71">
        <v>10</v>
      </c>
      <c r="BN75" s="71">
        <v>10</v>
      </c>
      <c r="BO75" s="71">
        <v>10</v>
      </c>
      <c r="BP75" s="54">
        <f t="shared" si="5"/>
        <v>10</v>
      </c>
      <c r="BQ75" s="5"/>
      <c r="BR75" s="5"/>
      <c r="BS75" s="5">
        <v>10</v>
      </c>
      <c r="BT75" s="5">
        <v>10</v>
      </c>
      <c r="BU75" s="5">
        <v>10</v>
      </c>
      <c r="BV75" s="5">
        <v>10</v>
      </c>
      <c r="BW75" s="5">
        <v>10</v>
      </c>
      <c r="BX75" s="5">
        <v>10</v>
      </c>
      <c r="BY75" s="5">
        <v>10</v>
      </c>
      <c r="BZ75" s="5">
        <v>10</v>
      </c>
      <c r="CA75" s="5">
        <v>10</v>
      </c>
      <c r="CB75" s="5">
        <v>10</v>
      </c>
      <c r="CC75" s="2" t="e">
        <f t="shared" ca="1" si="17"/>
        <v>#NAME?</v>
      </c>
      <c r="CD75" s="55">
        <v>5</v>
      </c>
      <c r="CE75" s="2"/>
      <c r="CF75" s="58">
        <v>10</v>
      </c>
      <c r="CG75" s="58">
        <v>10</v>
      </c>
      <c r="CH75" s="58">
        <v>10</v>
      </c>
      <c r="CI75" s="58">
        <v>10</v>
      </c>
      <c r="CJ75" s="58">
        <v>10</v>
      </c>
      <c r="CK75" s="58">
        <v>10</v>
      </c>
      <c r="CL75" s="58">
        <v>10</v>
      </c>
      <c r="CM75" s="58">
        <v>10</v>
      </c>
      <c r="CN75" s="58">
        <v>10</v>
      </c>
      <c r="CO75" s="58">
        <v>10</v>
      </c>
      <c r="CP75" s="2" t="e">
        <f t="shared" ca="1" si="18"/>
        <v>#NAME?</v>
      </c>
      <c r="CQ75" s="72">
        <v>10</v>
      </c>
      <c r="CR75" s="72">
        <v>9</v>
      </c>
      <c r="CS75" s="72">
        <v>9</v>
      </c>
      <c r="CT75" s="72">
        <v>10</v>
      </c>
      <c r="CU75" s="72">
        <v>10</v>
      </c>
      <c r="CV75" s="54">
        <f t="shared" si="8"/>
        <v>10</v>
      </c>
      <c r="CW75" s="55">
        <v>12</v>
      </c>
      <c r="CX75" s="3"/>
    </row>
    <row r="76" spans="1:102" ht="16.5" x14ac:dyDescent="0.55000000000000004">
      <c r="A76" s="16">
        <v>1</v>
      </c>
      <c r="B76" s="16" t="s">
        <v>4</v>
      </c>
      <c r="C76" s="60" t="s">
        <v>192</v>
      </c>
      <c r="D76" s="61" t="s">
        <v>193</v>
      </c>
      <c r="E76" s="62" t="s">
        <v>31</v>
      </c>
      <c r="F76" s="10" t="s">
        <v>31</v>
      </c>
      <c r="G76" s="10">
        <v>6</v>
      </c>
      <c r="H76" s="10">
        <v>6</v>
      </c>
      <c r="I76" s="10">
        <v>6</v>
      </c>
      <c r="J76" s="10">
        <v>6</v>
      </c>
      <c r="K76" s="10">
        <v>6</v>
      </c>
      <c r="L76" s="10">
        <v>6</v>
      </c>
      <c r="M76" s="10">
        <v>6</v>
      </c>
      <c r="N76" s="10">
        <v>6</v>
      </c>
      <c r="O76" s="10">
        <v>6</v>
      </c>
      <c r="P76" s="10">
        <v>6</v>
      </c>
      <c r="Q76" s="10">
        <f>IFERROR(ROUNDUP(AVERAGE(G76:P76),0),0)</f>
        <v>6</v>
      </c>
      <c r="R76" s="10">
        <v>6</v>
      </c>
      <c r="S76" s="10">
        <v>6</v>
      </c>
      <c r="T76" s="10">
        <v>6</v>
      </c>
      <c r="U76" s="10">
        <v>6</v>
      </c>
      <c r="V76" s="10">
        <v>6</v>
      </c>
      <c r="W76" s="63">
        <f t="shared" si="1"/>
        <v>6</v>
      </c>
      <c r="X76" s="62"/>
      <c r="Y76" s="10"/>
      <c r="Z76" s="73" t="s">
        <v>31</v>
      </c>
      <c r="AA76" s="10">
        <v>10</v>
      </c>
      <c r="AB76" s="10">
        <v>10</v>
      </c>
      <c r="AC76" s="10">
        <v>10</v>
      </c>
      <c r="AD76" s="10">
        <v>10</v>
      </c>
      <c r="AE76" s="10">
        <v>10</v>
      </c>
      <c r="AF76" s="10">
        <v>7</v>
      </c>
      <c r="AG76" s="10">
        <v>7</v>
      </c>
      <c r="AH76" s="10">
        <v>7</v>
      </c>
      <c r="AI76" s="10">
        <v>7</v>
      </c>
      <c r="AJ76" s="10">
        <v>7</v>
      </c>
      <c r="AK76" s="11"/>
      <c r="AL76" s="11"/>
      <c r="AM76" s="11"/>
      <c r="AN76" s="11"/>
      <c r="AO76" s="11"/>
      <c r="AP76" s="11"/>
      <c r="AQ76" s="10">
        <f>IFERROR(ROUNDUP(AVERAGE(AA76:AP76),0),0)</f>
        <v>9</v>
      </c>
      <c r="AR76" s="10">
        <v>10</v>
      </c>
      <c r="AS76" s="10">
        <v>10</v>
      </c>
      <c r="AT76" s="10">
        <v>10</v>
      </c>
      <c r="AU76" s="10">
        <v>10</v>
      </c>
      <c r="AV76" s="10">
        <v>10</v>
      </c>
      <c r="AW76" s="63">
        <f t="shared" si="3"/>
        <v>10</v>
      </c>
      <c r="AX76" s="62"/>
      <c r="AY76" s="10"/>
      <c r="AZ76" s="74"/>
      <c r="BA76" s="75"/>
      <c r="BB76" s="75"/>
      <c r="BC76" s="75"/>
      <c r="BD76" s="75"/>
      <c r="BE76" s="75"/>
      <c r="BF76" s="75"/>
      <c r="BG76" s="76"/>
      <c r="BH76" s="74"/>
      <c r="BI76" s="77"/>
      <c r="BJ76" s="10">
        <f>IFERROR(ROUNDUP(AVERAGE(AZ76:BI76),0),0)</f>
        <v>0</v>
      </c>
      <c r="BK76" s="12"/>
      <c r="BL76" s="12"/>
      <c r="BM76" s="12"/>
      <c r="BN76" s="12"/>
      <c r="BO76" s="12"/>
      <c r="BP76" s="63">
        <f t="shared" si="5"/>
        <v>0</v>
      </c>
      <c r="BQ76" s="12"/>
      <c r="BR76" s="12"/>
      <c r="BS76" s="12">
        <v>4</v>
      </c>
      <c r="BT76" s="12">
        <v>4</v>
      </c>
      <c r="BU76" s="12">
        <v>4</v>
      </c>
      <c r="BV76" s="12">
        <v>4</v>
      </c>
      <c r="BW76" s="12">
        <v>4</v>
      </c>
      <c r="BX76" s="12">
        <v>4</v>
      </c>
      <c r="BY76" s="12">
        <v>4</v>
      </c>
      <c r="BZ76" s="12">
        <v>4</v>
      </c>
      <c r="CA76" s="12">
        <v>4</v>
      </c>
      <c r="CB76" s="12">
        <v>4</v>
      </c>
      <c r="CC76" s="10">
        <f>IFERROR(ROUNDUP(AVERAGE(BS76:CB76),0),0)</f>
        <v>4</v>
      </c>
      <c r="CD76" s="65" t="s">
        <v>31</v>
      </c>
      <c r="CE76" s="10"/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f>IFERROR(ROUNDUP(AVERAGE(CF76:CO76),0),0)</f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</v>
      </c>
      <c r="CV76" s="63">
        <f t="shared" si="8"/>
        <v>0</v>
      </c>
      <c r="CW76" s="65" t="s">
        <v>31</v>
      </c>
      <c r="CX76" s="11"/>
    </row>
    <row r="77" spans="1:102" ht="16.5" x14ac:dyDescent="0.55000000000000004">
      <c r="A77" s="17">
        <v>1</v>
      </c>
      <c r="B77" s="17" t="s">
        <v>4</v>
      </c>
      <c r="C77" s="23" t="s">
        <v>194</v>
      </c>
      <c r="D77" s="24" t="s">
        <v>195</v>
      </c>
      <c r="E77" s="48">
        <v>10</v>
      </c>
      <c r="F77" s="2">
        <v>9</v>
      </c>
      <c r="G77" s="2">
        <v>10</v>
      </c>
      <c r="H77" s="2">
        <v>10</v>
      </c>
      <c r="I77" s="2">
        <v>10</v>
      </c>
      <c r="J77" s="2">
        <v>10</v>
      </c>
      <c r="K77" s="2">
        <v>10</v>
      </c>
      <c r="L77" s="2">
        <v>10</v>
      </c>
      <c r="M77" s="2">
        <v>10</v>
      </c>
      <c r="N77" s="2">
        <v>10</v>
      </c>
      <c r="O77" s="2">
        <v>10</v>
      </c>
      <c r="P77" s="2">
        <v>10</v>
      </c>
      <c r="Q77" s="2" t="e">
        <f t="shared" ref="Q77:Q319" ca="1" si="19">_xludf.let(a,IFERROR(AVERAGE(G77:P77),0),ROUND(MAP(a, LAMBDA(x, 5 + (x * 0.5))),0))</f>
        <v>#NAME?</v>
      </c>
      <c r="R77" s="2">
        <v>10</v>
      </c>
      <c r="S77" s="2">
        <v>10</v>
      </c>
      <c r="T77" s="2">
        <v>10</v>
      </c>
      <c r="U77" s="2">
        <v>10</v>
      </c>
      <c r="V77" s="2">
        <v>10</v>
      </c>
      <c r="W77" s="54">
        <f t="shared" si="1"/>
        <v>10</v>
      </c>
      <c r="X77" s="48"/>
      <c r="Y77" s="2"/>
      <c r="Z77" s="69">
        <v>16</v>
      </c>
      <c r="AA77" s="2">
        <v>10</v>
      </c>
      <c r="AB77" s="2">
        <v>10</v>
      </c>
      <c r="AC77" s="2">
        <v>10</v>
      </c>
      <c r="AD77" s="2">
        <v>10</v>
      </c>
      <c r="AE77" s="2">
        <v>10</v>
      </c>
      <c r="AF77" s="2">
        <v>7</v>
      </c>
      <c r="AG77" s="2">
        <v>7</v>
      </c>
      <c r="AH77" s="2">
        <v>7</v>
      </c>
      <c r="AI77" s="2">
        <v>7</v>
      </c>
      <c r="AJ77" s="2">
        <v>7</v>
      </c>
      <c r="AK77" s="3"/>
      <c r="AL77" s="3"/>
      <c r="AM77" s="3"/>
      <c r="AN77" s="3"/>
      <c r="AO77" s="3"/>
      <c r="AP77" s="3"/>
      <c r="AQ77" s="2" t="e">
        <f t="shared" ref="AQ77:AQ319" ca="1" si="20">_xludf.let(a,IFERROR(AVERAGE(AA77:AP77),0),ROUND(MAP(a, LAMBDA(x, 5 + (x * 0.5))),0))</f>
        <v>#NAME?</v>
      </c>
      <c r="AR77" s="2">
        <v>10</v>
      </c>
      <c r="AS77" s="2">
        <v>10</v>
      </c>
      <c r="AT77" s="2">
        <v>10</v>
      </c>
      <c r="AU77" s="2">
        <v>10</v>
      </c>
      <c r="AV77" s="2">
        <v>10</v>
      </c>
      <c r="AW77" s="54">
        <f t="shared" si="3"/>
        <v>10</v>
      </c>
      <c r="AX77" s="48"/>
      <c r="AY77" s="2"/>
      <c r="AZ77" s="70">
        <v>10</v>
      </c>
      <c r="BA77" s="70">
        <v>10</v>
      </c>
      <c r="BB77" s="70">
        <v>10</v>
      </c>
      <c r="BC77" s="70">
        <v>10</v>
      </c>
      <c r="BD77" s="70">
        <v>10</v>
      </c>
      <c r="BE77" s="70">
        <v>10</v>
      </c>
      <c r="BF77" s="70">
        <v>10</v>
      </c>
      <c r="BG77" s="70">
        <v>10</v>
      </c>
      <c r="BH77" s="70">
        <v>10</v>
      </c>
      <c r="BI77" s="70">
        <v>10</v>
      </c>
      <c r="BJ77" s="2" t="e">
        <f t="shared" ref="BJ77:BJ319" ca="1" si="21">_xludf.let(a,IFERROR(AVERAGE(AZ77:BI77),0),ROUND(MAP(a, LAMBDA(x, 5 + (x * 0.5))),0))</f>
        <v>#NAME?</v>
      </c>
      <c r="BK77" s="70">
        <v>10</v>
      </c>
      <c r="BL77" s="70">
        <v>10</v>
      </c>
      <c r="BM77" s="70">
        <v>10</v>
      </c>
      <c r="BN77" s="70">
        <v>10</v>
      </c>
      <c r="BO77" s="70">
        <v>10</v>
      </c>
      <c r="BP77" s="54">
        <f t="shared" si="5"/>
        <v>10</v>
      </c>
      <c r="BQ77" s="5"/>
      <c r="BR77" s="5"/>
      <c r="BS77" s="5">
        <v>10</v>
      </c>
      <c r="BT77" s="5">
        <v>10</v>
      </c>
      <c r="BU77" s="5">
        <v>10</v>
      </c>
      <c r="BV77" s="5">
        <v>10</v>
      </c>
      <c r="BW77" s="5">
        <v>10</v>
      </c>
      <c r="BX77" s="5">
        <v>10</v>
      </c>
      <c r="BY77" s="5">
        <v>10</v>
      </c>
      <c r="BZ77" s="5">
        <v>10</v>
      </c>
      <c r="CA77" s="5">
        <v>10</v>
      </c>
      <c r="CB77" s="5">
        <v>10</v>
      </c>
      <c r="CC77" s="2" t="e">
        <f t="shared" ref="CC77:CC319" ca="1" si="22">_xludf.let(a,IFERROR(AVERAGE(BS77:CB77),0),ROUND(MAP(a, LAMBDA(x, 5 + (x * 0.5))),0))</f>
        <v>#NAME?</v>
      </c>
      <c r="CD77" s="55">
        <v>4</v>
      </c>
      <c r="CE77" s="2"/>
      <c r="CF77" s="2">
        <v>10</v>
      </c>
      <c r="CG77" s="2">
        <v>10</v>
      </c>
      <c r="CH77" s="2">
        <v>10</v>
      </c>
      <c r="CI77" s="2">
        <v>10</v>
      </c>
      <c r="CJ77" s="2">
        <v>9</v>
      </c>
      <c r="CK77" s="2">
        <v>6</v>
      </c>
      <c r="CL77" s="2">
        <v>6</v>
      </c>
      <c r="CM77" s="2">
        <v>6</v>
      </c>
      <c r="CN77" s="2">
        <v>10</v>
      </c>
      <c r="CO77" s="2">
        <v>7</v>
      </c>
      <c r="CP77" s="2" t="e">
        <f t="shared" ref="CP77:CP319" ca="1" si="23">_xludf.let(a,IFERROR(AVERAGE(CF77:CO77),0),ROUND(MAP(a, LAMBDA(x, 5 + (x * 0.5))),0))</f>
        <v>#NAME?</v>
      </c>
      <c r="CQ77" s="2">
        <v>10</v>
      </c>
      <c r="CR77" s="2">
        <v>8</v>
      </c>
      <c r="CS77" s="2">
        <v>5</v>
      </c>
      <c r="CT77" s="2">
        <v>5</v>
      </c>
      <c r="CU77" s="2">
        <v>5</v>
      </c>
      <c r="CV77" s="54">
        <f t="shared" si="8"/>
        <v>7</v>
      </c>
      <c r="CW77" s="55">
        <v>14</v>
      </c>
      <c r="CX77" s="3"/>
    </row>
    <row r="78" spans="1:102" ht="16.5" x14ac:dyDescent="0.55000000000000004">
      <c r="A78" s="17">
        <v>1</v>
      </c>
      <c r="B78" s="17" t="s">
        <v>4</v>
      </c>
      <c r="C78" s="23" t="s">
        <v>196</v>
      </c>
      <c r="D78" s="24" t="s">
        <v>197</v>
      </c>
      <c r="E78" s="48">
        <v>10</v>
      </c>
      <c r="F78" s="2">
        <v>9</v>
      </c>
      <c r="G78" s="2">
        <v>10</v>
      </c>
      <c r="H78" s="2">
        <v>10</v>
      </c>
      <c r="I78" s="2">
        <v>10</v>
      </c>
      <c r="J78" s="2">
        <v>10</v>
      </c>
      <c r="K78" s="2">
        <v>10</v>
      </c>
      <c r="L78" s="2">
        <v>10</v>
      </c>
      <c r="M78" s="2">
        <v>10</v>
      </c>
      <c r="N78" s="2">
        <v>10</v>
      </c>
      <c r="O78" s="2">
        <v>10</v>
      </c>
      <c r="P78" s="2">
        <v>10</v>
      </c>
      <c r="Q78" s="2" t="e">
        <f t="shared" ca="1" si="19"/>
        <v>#NAME?</v>
      </c>
      <c r="R78" s="2">
        <v>10</v>
      </c>
      <c r="S78" s="2">
        <v>10</v>
      </c>
      <c r="T78" s="2">
        <v>10</v>
      </c>
      <c r="U78" s="2">
        <v>10</v>
      </c>
      <c r="V78" s="2">
        <v>10</v>
      </c>
      <c r="W78" s="54">
        <f t="shared" si="1"/>
        <v>10</v>
      </c>
      <c r="X78" s="48"/>
      <c r="Y78" s="2"/>
      <c r="Z78" s="69">
        <v>8</v>
      </c>
      <c r="AA78" s="2">
        <v>10</v>
      </c>
      <c r="AB78" s="2">
        <v>10</v>
      </c>
      <c r="AC78" s="2">
        <v>10</v>
      </c>
      <c r="AD78" s="2">
        <v>8</v>
      </c>
      <c r="AE78" s="2">
        <v>8</v>
      </c>
      <c r="AF78" s="2">
        <v>8</v>
      </c>
      <c r="AG78" s="2">
        <v>8</v>
      </c>
      <c r="AH78" s="2">
        <v>8</v>
      </c>
      <c r="AI78" s="2">
        <v>8</v>
      </c>
      <c r="AJ78" s="2">
        <v>8</v>
      </c>
      <c r="AK78" s="3"/>
      <c r="AL78" s="3"/>
      <c r="AM78" s="3"/>
      <c r="AN78" s="3"/>
      <c r="AO78" s="3"/>
      <c r="AP78" s="3"/>
      <c r="AQ78" s="2" t="e">
        <f t="shared" ca="1" si="20"/>
        <v>#NAME?</v>
      </c>
      <c r="AR78" s="2">
        <v>10</v>
      </c>
      <c r="AS78" s="2">
        <v>10</v>
      </c>
      <c r="AT78" s="2">
        <v>10</v>
      </c>
      <c r="AU78" s="2">
        <v>10</v>
      </c>
      <c r="AV78" s="2">
        <v>10</v>
      </c>
      <c r="AW78" s="54">
        <f t="shared" si="3"/>
        <v>10</v>
      </c>
      <c r="AX78" s="48"/>
      <c r="AY78" s="2"/>
      <c r="AZ78" s="1">
        <v>10</v>
      </c>
      <c r="BA78" s="1">
        <v>10</v>
      </c>
      <c r="BB78" s="1">
        <v>10</v>
      </c>
      <c r="BC78" s="1">
        <v>10</v>
      </c>
      <c r="BD78" s="1">
        <v>10</v>
      </c>
      <c r="BE78" s="1">
        <v>10</v>
      </c>
      <c r="BF78" s="78">
        <v>9</v>
      </c>
      <c r="BG78" s="78">
        <v>9</v>
      </c>
      <c r="BH78" s="70">
        <v>9</v>
      </c>
      <c r="BI78" s="79">
        <v>9</v>
      </c>
      <c r="BJ78" s="2" t="e">
        <f t="shared" ca="1" si="21"/>
        <v>#NAME?</v>
      </c>
      <c r="BK78" s="5">
        <v>10</v>
      </c>
      <c r="BL78" s="5">
        <v>10</v>
      </c>
      <c r="BM78" s="5">
        <v>10</v>
      </c>
      <c r="BN78" s="5">
        <v>10</v>
      </c>
      <c r="BO78" s="5">
        <v>10</v>
      </c>
      <c r="BP78" s="54">
        <f t="shared" si="5"/>
        <v>10</v>
      </c>
      <c r="BQ78" s="5"/>
      <c r="BR78" s="5"/>
      <c r="BS78" s="5">
        <v>10</v>
      </c>
      <c r="BT78" s="5">
        <v>10</v>
      </c>
      <c r="BU78" s="5">
        <v>10</v>
      </c>
      <c r="BV78" s="5">
        <v>5</v>
      </c>
      <c r="BW78" s="5">
        <v>5</v>
      </c>
      <c r="BX78" s="5">
        <v>5</v>
      </c>
      <c r="BY78" s="5">
        <v>5</v>
      </c>
      <c r="BZ78" s="5">
        <v>5</v>
      </c>
      <c r="CA78" s="5">
        <v>5</v>
      </c>
      <c r="CB78" s="5">
        <v>5</v>
      </c>
      <c r="CC78" s="2" t="e">
        <f t="shared" ca="1" si="22"/>
        <v>#NAME?</v>
      </c>
      <c r="CD78" s="55" t="s">
        <v>31</v>
      </c>
      <c r="CE78" s="2"/>
      <c r="CF78" s="2">
        <v>10</v>
      </c>
      <c r="CG78" s="2">
        <v>10</v>
      </c>
      <c r="CH78" s="2">
        <v>10</v>
      </c>
      <c r="CI78" s="2">
        <v>5</v>
      </c>
      <c r="CJ78" s="2">
        <v>6</v>
      </c>
      <c r="CK78" s="2">
        <v>7</v>
      </c>
      <c r="CL78" s="2">
        <v>8</v>
      </c>
      <c r="CM78" s="2">
        <v>10</v>
      </c>
      <c r="CN78" s="2">
        <v>10</v>
      </c>
      <c r="CO78" s="2">
        <v>10</v>
      </c>
      <c r="CP78" s="2" t="e">
        <f t="shared" ca="1" si="23"/>
        <v>#NAME?</v>
      </c>
      <c r="CQ78" s="2">
        <v>10</v>
      </c>
      <c r="CR78" s="2">
        <v>8</v>
      </c>
      <c r="CS78" s="2">
        <v>9</v>
      </c>
      <c r="CT78" s="2">
        <v>10</v>
      </c>
      <c r="CU78" s="2">
        <v>10</v>
      </c>
      <c r="CV78" s="54">
        <f t="shared" si="8"/>
        <v>10</v>
      </c>
      <c r="CW78" s="55">
        <v>7</v>
      </c>
      <c r="CX78" s="3"/>
    </row>
    <row r="79" spans="1:102" ht="16.5" x14ac:dyDescent="0.55000000000000004">
      <c r="A79" s="17">
        <v>1</v>
      </c>
      <c r="B79" s="17" t="s">
        <v>4</v>
      </c>
      <c r="C79" s="23" t="s">
        <v>198</v>
      </c>
      <c r="D79" s="24" t="s">
        <v>199</v>
      </c>
      <c r="E79" s="48">
        <v>9</v>
      </c>
      <c r="F79" s="2">
        <v>10</v>
      </c>
      <c r="G79" s="2">
        <v>10</v>
      </c>
      <c r="H79" s="2">
        <v>10</v>
      </c>
      <c r="I79" s="2">
        <v>10</v>
      </c>
      <c r="J79" s="2">
        <v>10</v>
      </c>
      <c r="K79" s="2">
        <v>10</v>
      </c>
      <c r="L79" s="2">
        <v>10</v>
      </c>
      <c r="M79" s="2">
        <v>10</v>
      </c>
      <c r="N79" s="2">
        <v>10</v>
      </c>
      <c r="O79" s="2">
        <v>10</v>
      </c>
      <c r="P79" s="2">
        <v>10</v>
      </c>
      <c r="Q79" s="2" t="e">
        <f t="shared" ca="1" si="19"/>
        <v>#NAME?</v>
      </c>
      <c r="R79" s="2">
        <v>10</v>
      </c>
      <c r="S79" s="2">
        <v>10</v>
      </c>
      <c r="T79" s="2">
        <v>10</v>
      </c>
      <c r="U79" s="2">
        <v>10</v>
      </c>
      <c r="V79" s="2">
        <v>10</v>
      </c>
      <c r="W79" s="54">
        <f t="shared" si="1"/>
        <v>10</v>
      </c>
      <c r="X79" s="48"/>
      <c r="Y79" s="2"/>
      <c r="Z79" s="69">
        <v>14</v>
      </c>
      <c r="AA79" s="2">
        <v>10</v>
      </c>
      <c r="AB79" s="2">
        <v>10</v>
      </c>
      <c r="AC79" s="2">
        <v>10</v>
      </c>
      <c r="AD79" s="2">
        <v>10</v>
      </c>
      <c r="AE79" s="2">
        <v>10</v>
      </c>
      <c r="AF79" s="2">
        <v>10</v>
      </c>
      <c r="AG79" s="2">
        <v>10</v>
      </c>
      <c r="AH79" s="2">
        <v>10</v>
      </c>
      <c r="AI79" s="2">
        <v>10</v>
      </c>
      <c r="AJ79" s="2">
        <v>10</v>
      </c>
      <c r="AK79" s="3"/>
      <c r="AL79" s="3"/>
      <c r="AM79" s="3"/>
      <c r="AN79" s="3"/>
      <c r="AO79" s="3"/>
      <c r="AP79" s="3"/>
      <c r="AQ79" s="2" t="e">
        <f t="shared" ca="1" si="20"/>
        <v>#NAME?</v>
      </c>
      <c r="AR79" s="2">
        <v>10</v>
      </c>
      <c r="AS79" s="2">
        <v>10</v>
      </c>
      <c r="AT79" s="2">
        <v>10</v>
      </c>
      <c r="AU79" s="2">
        <v>10</v>
      </c>
      <c r="AV79" s="2">
        <v>10</v>
      </c>
      <c r="AW79" s="54">
        <f t="shared" si="3"/>
        <v>10</v>
      </c>
      <c r="AX79" s="48"/>
      <c r="AY79" s="2"/>
      <c r="AZ79" s="1">
        <v>10</v>
      </c>
      <c r="BA79" s="71">
        <v>10</v>
      </c>
      <c r="BB79" s="71">
        <v>10</v>
      </c>
      <c r="BC79" s="71">
        <v>10</v>
      </c>
      <c r="BD79" s="71">
        <v>10</v>
      </c>
      <c r="BE79" s="71">
        <v>10</v>
      </c>
      <c r="BF79" s="71">
        <v>10</v>
      </c>
      <c r="BG79" s="71">
        <v>10</v>
      </c>
      <c r="BH79" s="71">
        <v>10</v>
      </c>
      <c r="BI79" s="71">
        <v>10</v>
      </c>
      <c r="BJ79" s="2" t="e">
        <f t="shared" ca="1" si="21"/>
        <v>#NAME?</v>
      </c>
      <c r="BK79" s="5">
        <v>10</v>
      </c>
      <c r="BL79" s="5">
        <v>10</v>
      </c>
      <c r="BM79" s="5">
        <v>10</v>
      </c>
      <c r="BN79" s="71">
        <v>10</v>
      </c>
      <c r="BO79" s="71">
        <v>10</v>
      </c>
      <c r="BP79" s="54">
        <f t="shared" si="5"/>
        <v>10</v>
      </c>
      <c r="BQ79" s="5"/>
      <c r="BR79" s="5"/>
      <c r="BS79" s="5">
        <v>10</v>
      </c>
      <c r="BT79" s="5">
        <v>10</v>
      </c>
      <c r="BU79" s="5">
        <v>10</v>
      </c>
      <c r="BV79" s="5">
        <v>10</v>
      </c>
      <c r="BW79" s="5">
        <v>10</v>
      </c>
      <c r="BX79" s="5">
        <v>10</v>
      </c>
      <c r="BY79" s="5">
        <v>10</v>
      </c>
      <c r="BZ79" s="5">
        <v>10</v>
      </c>
      <c r="CA79" s="5">
        <v>10</v>
      </c>
      <c r="CB79" s="5">
        <v>10</v>
      </c>
      <c r="CC79" s="2" t="e">
        <f t="shared" ca="1" si="22"/>
        <v>#NAME?</v>
      </c>
      <c r="CD79" s="55">
        <v>6</v>
      </c>
      <c r="CE79" s="2"/>
      <c r="CF79" s="2">
        <v>10</v>
      </c>
      <c r="CG79" s="2">
        <v>10</v>
      </c>
      <c r="CH79" s="2">
        <v>10</v>
      </c>
      <c r="CI79" s="2">
        <v>10</v>
      </c>
      <c r="CJ79" s="2">
        <v>7</v>
      </c>
      <c r="CK79" s="2">
        <v>8</v>
      </c>
      <c r="CL79" s="2">
        <v>8</v>
      </c>
      <c r="CM79" s="2">
        <v>10</v>
      </c>
      <c r="CN79" s="2">
        <v>9</v>
      </c>
      <c r="CO79" s="2">
        <v>10</v>
      </c>
      <c r="CP79" s="2" t="e">
        <f t="shared" ca="1" si="23"/>
        <v>#NAME?</v>
      </c>
      <c r="CQ79" s="2">
        <v>10</v>
      </c>
      <c r="CR79" s="2">
        <v>10</v>
      </c>
      <c r="CS79" s="2">
        <v>9</v>
      </c>
      <c r="CT79" s="2">
        <v>10</v>
      </c>
      <c r="CU79" s="2">
        <v>10</v>
      </c>
      <c r="CV79" s="54">
        <f t="shared" si="8"/>
        <v>10</v>
      </c>
      <c r="CW79" s="55">
        <v>10</v>
      </c>
      <c r="CX79" s="3"/>
    </row>
    <row r="80" spans="1:102" ht="16.5" x14ac:dyDescent="0.55000000000000004">
      <c r="A80" s="17">
        <v>1</v>
      </c>
      <c r="B80" s="17" t="s">
        <v>4</v>
      </c>
      <c r="C80" s="23" t="s">
        <v>200</v>
      </c>
      <c r="D80" s="24" t="s">
        <v>201</v>
      </c>
      <c r="E80" s="48">
        <v>10</v>
      </c>
      <c r="F80" s="2">
        <v>10</v>
      </c>
      <c r="G80" s="2">
        <v>10</v>
      </c>
      <c r="H80" s="2">
        <v>10</v>
      </c>
      <c r="I80" s="2">
        <v>10</v>
      </c>
      <c r="J80" s="2">
        <v>10</v>
      </c>
      <c r="K80" s="2">
        <v>10</v>
      </c>
      <c r="L80" s="2">
        <v>10</v>
      </c>
      <c r="M80" s="2">
        <v>10</v>
      </c>
      <c r="N80" s="2">
        <v>10</v>
      </c>
      <c r="O80" s="2">
        <v>10</v>
      </c>
      <c r="P80" s="2">
        <v>10</v>
      </c>
      <c r="Q80" s="2" t="e">
        <f t="shared" ca="1" si="19"/>
        <v>#NAME?</v>
      </c>
      <c r="R80" s="2">
        <v>10</v>
      </c>
      <c r="S80" s="2">
        <v>10</v>
      </c>
      <c r="T80" s="2">
        <v>10</v>
      </c>
      <c r="U80" s="2">
        <v>10</v>
      </c>
      <c r="V80" s="2">
        <v>10</v>
      </c>
      <c r="W80" s="54">
        <f t="shared" si="1"/>
        <v>10</v>
      </c>
      <c r="X80" s="48"/>
      <c r="Y80" s="2"/>
      <c r="Z80" s="69">
        <v>8</v>
      </c>
      <c r="AA80" s="2">
        <v>10</v>
      </c>
      <c r="AB80" s="2">
        <v>10</v>
      </c>
      <c r="AC80" s="2">
        <v>10</v>
      </c>
      <c r="AD80" s="2">
        <v>10</v>
      </c>
      <c r="AE80" s="2">
        <v>10</v>
      </c>
      <c r="AF80" s="2">
        <v>10</v>
      </c>
      <c r="AG80" s="2">
        <v>10</v>
      </c>
      <c r="AH80" s="2">
        <v>10</v>
      </c>
      <c r="AI80" s="2">
        <v>10</v>
      </c>
      <c r="AJ80" s="2">
        <v>10</v>
      </c>
      <c r="AK80" s="3"/>
      <c r="AL80" s="3"/>
      <c r="AM80" s="3"/>
      <c r="AN80" s="3"/>
      <c r="AO80" s="3"/>
      <c r="AP80" s="3"/>
      <c r="AQ80" s="2" t="e">
        <f t="shared" ca="1" si="20"/>
        <v>#NAME?</v>
      </c>
      <c r="AR80" s="2">
        <v>10</v>
      </c>
      <c r="AS80" s="2">
        <v>10</v>
      </c>
      <c r="AT80" s="2">
        <v>10</v>
      </c>
      <c r="AU80" s="2">
        <v>10</v>
      </c>
      <c r="AV80" s="2">
        <v>10</v>
      </c>
      <c r="AW80" s="54">
        <f t="shared" si="3"/>
        <v>10</v>
      </c>
      <c r="AX80" s="48"/>
      <c r="AY80" s="2"/>
      <c r="AZ80" s="71">
        <v>10</v>
      </c>
      <c r="BA80" s="71">
        <v>10</v>
      </c>
      <c r="BB80" s="71">
        <v>10</v>
      </c>
      <c r="BC80" s="71">
        <v>10</v>
      </c>
      <c r="BD80" s="71">
        <v>10</v>
      </c>
      <c r="BE80" s="71">
        <v>10</v>
      </c>
      <c r="BF80" s="71">
        <v>10</v>
      </c>
      <c r="BG80" s="71">
        <v>10</v>
      </c>
      <c r="BH80" s="71">
        <v>10</v>
      </c>
      <c r="BI80" s="71">
        <v>10</v>
      </c>
      <c r="BJ80" s="2" t="e">
        <f t="shared" ca="1" si="21"/>
        <v>#NAME?</v>
      </c>
      <c r="BK80" s="71">
        <v>10</v>
      </c>
      <c r="BL80" s="71">
        <v>10</v>
      </c>
      <c r="BM80" s="71">
        <v>10</v>
      </c>
      <c r="BN80" s="71">
        <v>10</v>
      </c>
      <c r="BO80" s="71">
        <v>10</v>
      </c>
      <c r="BP80" s="54">
        <f t="shared" si="5"/>
        <v>10</v>
      </c>
      <c r="BQ80" s="5"/>
      <c r="BR80" s="5"/>
      <c r="BS80" s="5">
        <v>10</v>
      </c>
      <c r="BT80" s="5">
        <v>10</v>
      </c>
      <c r="BU80" s="5">
        <v>10</v>
      </c>
      <c r="BV80" s="5">
        <v>10</v>
      </c>
      <c r="BW80" s="5">
        <v>10</v>
      </c>
      <c r="BX80" s="5">
        <v>10</v>
      </c>
      <c r="BY80" s="5">
        <v>10</v>
      </c>
      <c r="BZ80" s="5">
        <v>10</v>
      </c>
      <c r="CA80" s="5">
        <v>10</v>
      </c>
      <c r="CB80" s="5">
        <v>10</v>
      </c>
      <c r="CC80" s="2" t="e">
        <f t="shared" ca="1" si="22"/>
        <v>#NAME?</v>
      </c>
      <c r="CD80" s="55">
        <v>4</v>
      </c>
      <c r="CE80" s="2"/>
      <c r="CF80" s="2">
        <v>10</v>
      </c>
      <c r="CG80" s="2">
        <v>10</v>
      </c>
      <c r="CH80" s="2">
        <v>10</v>
      </c>
      <c r="CI80" s="2">
        <v>10</v>
      </c>
      <c r="CJ80" s="2">
        <v>10</v>
      </c>
      <c r="CK80" s="2">
        <v>10</v>
      </c>
      <c r="CL80" s="2">
        <v>10</v>
      </c>
      <c r="CM80" s="2">
        <v>10</v>
      </c>
      <c r="CN80" s="2">
        <v>10</v>
      </c>
      <c r="CO80" s="2">
        <v>10</v>
      </c>
      <c r="CP80" s="2" t="e">
        <f t="shared" ca="1" si="23"/>
        <v>#NAME?</v>
      </c>
      <c r="CQ80" s="2">
        <v>10</v>
      </c>
      <c r="CR80" s="2">
        <v>8</v>
      </c>
      <c r="CS80" s="2">
        <v>9</v>
      </c>
      <c r="CT80" s="2">
        <v>10</v>
      </c>
      <c r="CU80" s="2">
        <v>10</v>
      </c>
      <c r="CV80" s="54">
        <f t="shared" si="8"/>
        <v>10</v>
      </c>
      <c r="CW80" s="55">
        <v>1</v>
      </c>
      <c r="CX80" s="3"/>
    </row>
    <row r="81" spans="1:102" ht="16.5" x14ac:dyDescent="0.55000000000000004">
      <c r="A81" s="17">
        <v>1</v>
      </c>
      <c r="B81" s="17" t="s">
        <v>4</v>
      </c>
      <c r="C81" s="23" t="s">
        <v>202</v>
      </c>
      <c r="D81" s="24" t="s">
        <v>203</v>
      </c>
      <c r="E81" s="48">
        <v>10</v>
      </c>
      <c r="F81" s="2">
        <v>10</v>
      </c>
      <c r="G81" s="2">
        <v>10</v>
      </c>
      <c r="H81" s="2">
        <v>10</v>
      </c>
      <c r="I81" s="2">
        <v>10</v>
      </c>
      <c r="J81" s="2">
        <v>10</v>
      </c>
      <c r="K81" s="2">
        <v>10</v>
      </c>
      <c r="L81" s="2">
        <v>10</v>
      </c>
      <c r="M81" s="2">
        <v>10</v>
      </c>
      <c r="N81" s="2">
        <v>10</v>
      </c>
      <c r="O81" s="2">
        <v>10</v>
      </c>
      <c r="P81" s="2">
        <v>10</v>
      </c>
      <c r="Q81" s="2" t="e">
        <f t="shared" ca="1" si="19"/>
        <v>#NAME?</v>
      </c>
      <c r="R81" s="2">
        <v>10</v>
      </c>
      <c r="S81" s="2">
        <v>10</v>
      </c>
      <c r="T81" s="2">
        <v>10</v>
      </c>
      <c r="U81" s="2">
        <v>10</v>
      </c>
      <c r="V81" s="2">
        <v>10</v>
      </c>
      <c r="W81" s="54">
        <f t="shared" si="1"/>
        <v>10</v>
      </c>
      <c r="X81" s="48"/>
      <c r="Y81" s="2"/>
      <c r="Z81" s="69">
        <v>18</v>
      </c>
      <c r="AA81" s="2">
        <v>10</v>
      </c>
      <c r="AB81" s="2">
        <v>10</v>
      </c>
      <c r="AC81" s="2">
        <v>10</v>
      </c>
      <c r="AD81" s="2">
        <v>10</v>
      </c>
      <c r="AE81" s="2">
        <v>10</v>
      </c>
      <c r="AF81" s="2">
        <v>10</v>
      </c>
      <c r="AG81" s="2">
        <v>10</v>
      </c>
      <c r="AH81" s="2">
        <v>10</v>
      </c>
      <c r="AI81" s="2">
        <v>10</v>
      </c>
      <c r="AJ81" s="2">
        <v>10</v>
      </c>
      <c r="AK81" s="3"/>
      <c r="AL81" s="3"/>
      <c r="AM81" s="3"/>
      <c r="AN81" s="3"/>
      <c r="AO81" s="3"/>
      <c r="AP81" s="3"/>
      <c r="AQ81" s="2" t="e">
        <f t="shared" ca="1" si="20"/>
        <v>#NAME?</v>
      </c>
      <c r="AR81" s="2">
        <v>10</v>
      </c>
      <c r="AS81" s="2">
        <v>10</v>
      </c>
      <c r="AT81" s="2">
        <v>10</v>
      </c>
      <c r="AU81" s="2">
        <v>10</v>
      </c>
      <c r="AV81" s="2">
        <v>10</v>
      </c>
      <c r="AW81" s="54">
        <f t="shared" si="3"/>
        <v>10</v>
      </c>
      <c r="AX81" s="48"/>
      <c r="AY81" s="2"/>
      <c r="AZ81" s="71">
        <v>10</v>
      </c>
      <c r="BA81" s="71">
        <v>10</v>
      </c>
      <c r="BB81" s="71">
        <v>10</v>
      </c>
      <c r="BC81" s="71">
        <v>10</v>
      </c>
      <c r="BD81" s="71">
        <v>10</v>
      </c>
      <c r="BE81" s="71">
        <v>10</v>
      </c>
      <c r="BF81" s="71">
        <v>10</v>
      </c>
      <c r="BG81" s="71">
        <v>10</v>
      </c>
      <c r="BH81" s="71">
        <v>10</v>
      </c>
      <c r="BI81" s="71">
        <v>10</v>
      </c>
      <c r="BJ81" s="2" t="e">
        <f t="shared" ca="1" si="21"/>
        <v>#NAME?</v>
      </c>
      <c r="BK81" s="5">
        <v>10</v>
      </c>
      <c r="BL81" s="5">
        <v>10</v>
      </c>
      <c r="BM81" s="71">
        <v>10</v>
      </c>
      <c r="BN81" s="71">
        <v>10</v>
      </c>
      <c r="BO81" s="71">
        <v>10</v>
      </c>
      <c r="BP81" s="54">
        <f t="shared" si="5"/>
        <v>10</v>
      </c>
      <c r="BQ81" s="5"/>
      <c r="BR81" s="5"/>
      <c r="BS81" s="5">
        <v>10</v>
      </c>
      <c r="BT81" s="5">
        <v>10</v>
      </c>
      <c r="BU81" s="5">
        <v>10</v>
      </c>
      <c r="BV81" s="5">
        <v>10</v>
      </c>
      <c r="BW81" s="5">
        <v>10</v>
      </c>
      <c r="BX81" s="5">
        <v>10</v>
      </c>
      <c r="BY81" s="5">
        <v>10</v>
      </c>
      <c r="BZ81" s="5">
        <v>10</v>
      </c>
      <c r="CA81" s="5">
        <v>10</v>
      </c>
      <c r="CB81" s="5">
        <v>10</v>
      </c>
      <c r="CC81" s="2" t="e">
        <f t="shared" ca="1" si="22"/>
        <v>#NAME?</v>
      </c>
      <c r="CD81" s="55">
        <v>4</v>
      </c>
      <c r="CE81" s="2"/>
      <c r="CF81" s="2">
        <v>10</v>
      </c>
      <c r="CG81" s="2">
        <v>10</v>
      </c>
      <c r="CH81" s="2">
        <v>10</v>
      </c>
      <c r="CI81" s="2">
        <v>9</v>
      </c>
      <c r="CJ81" s="2">
        <v>9</v>
      </c>
      <c r="CK81" s="2">
        <v>10</v>
      </c>
      <c r="CL81" s="2">
        <v>10</v>
      </c>
      <c r="CM81" s="2">
        <v>7</v>
      </c>
      <c r="CN81" s="2">
        <v>7</v>
      </c>
      <c r="CO81" s="2">
        <v>7</v>
      </c>
      <c r="CP81" s="2" t="e">
        <f t="shared" ca="1" si="23"/>
        <v>#NAME?</v>
      </c>
      <c r="CQ81" s="2">
        <v>10</v>
      </c>
      <c r="CR81" s="2">
        <v>10</v>
      </c>
      <c r="CS81" s="2">
        <v>10</v>
      </c>
      <c r="CT81" s="2">
        <v>7</v>
      </c>
      <c r="CU81" s="2">
        <v>7</v>
      </c>
      <c r="CV81" s="54">
        <f t="shared" si="8"/>
        <v>9</v>
      </c>
      <c r="CW81" s="55">
        <v>13</v>
      </c>
      <c r="CX81" s="3"/>
    </row>
    <row r="82" spans="1:102" ht="16.5" x14ac:dyDescent="0.55000000000000004">
      <c r="A82" s="17">
        <v>1</v>
      </c>
      <c r="B82" s="17" t="s">
        <v>4</v>
      </c>
      <c r="C82" s="23" t="s">
        <v>204</v>
      </c>
      <c r="D82" s="24" t="s">
        <v>205</v>
      </c>
      <c r="E82" s="48">
        <v>10</v>
      </c>
      <c r="F82" s="2">
        <v>10</v>
      </c>
      <c r="G82" s="2">
        <v>10</v>
      </c>
      <c r="H82" s="2">
        <v>10</v>
      </c>
      <c r="I82" s="2">
        <v>10</v>
      </c>
      <c r="J82" s="2">
        <v>10</v>
      </c>
      <c r="K82" s="2">
        <v>10</v>
      </c>
      <c r="L82" s="2">
        <v>10</v>
      </c>
      <c r="M82" s="2">
        <v>10</v>
      </c>
      <c r="N82" s="2">
        <v>10</v>
      </c>
      <c r="O82" s="2">
        <v>10</v>
      </c>
      <c r="P82" s="2">
        <v>10</v>
      </c>
      <c r="Q82" s="2" t="e">
        <f t="shared" ca="1" si="19"/>
        <v>#NAME?</v>
      </c>
      <c r="R82" s="2">
        <v>10</v>
      </c>
      <c r="S82" s="2">
        <v>10</v>
      </c>
      <c r="T82" s="2">
        <v>10</v>
      </c>
      <c r="U82" s="2">
        <v>10</v>
      </c>
      <c r="V82" s="2">
        <v>10</v>
      </c>
      <c r="W82" s="54">
        <f t="shared" si="1"/>
        <v>10</v>
      </c>
      <c r="X82" s="48"/>
      <c r="Y82" s="2"/>
      <c r="Z82" s="69">
        <v>11</v>
      </c>
      <c r="AA82" s="2">
        <v>10</v>
      </c>
      <c r="AB82" s="2">
        <v>10</v>
      </c>
      <c r="AC82" s="2">
        <v>10</v>
      </c>
      <c r="AD82" s="2">
        <v>10</v>
      </c>
      <c r="AE82" s="2">
        <v>10</v>
      </c>
      <c r="AF82" s="2">
        <v>10</v>
      </c>
      <c r="AG82" s="2">
        <v>10</v>
      </c>
      <c r="AH82" s="2">
        <v>10</v>
      </c>
      <c r="AI82" s="2">
        <v>10</v>
      </c>
      <c r="AJ82" s="2">
        <v>10</v>
      </c>
      <c r="AK82" s="3"/>
      <c r="AL82" s="3"/>
      <c r="AM82" s="3"/>
      <c r="AN82" s="3"/>
      <c r="AO82" s="3"/>
      <c r="AP82" s="3"/>
      <c r="AQ82" s="2" t="e">
        <f t="shared" ca="1" si="20"/>
        <v>#NAME?</v>
      </c>
      <c r="AR82" s="2">
        <v>10</v>
      </c>
      <c r="AS82" s="2">
        <v>10</v>
      </c>
      <c r="AT82" s="2">
        <v>10</v>
      </c>
      <c r="AU82" s="2">
        <v>10</v>
      </c>
      <c r="AV82" s="2">
        <v>10</v>
      </c>
      <c r="AW82" s="54">
        <f t="shared" si="3"/>
        <v>10</v>
      </c>
      <c r="AX82" s="48"/>
      <c r="AY82" s="2"/>
      <c r="AZ82" s="71">
        <v>10</v>
      </c>
      <c r="BA82" s="71">
        <v>10</v>
      </c>
      <c r="BB82" s="71">
        <v>10</v>
      </c>
      <c r="BC82" s="71">
        <v>10</v>
      </c>
      <c r="BD82" s="71">
        <v>10</v>
      </c>
      <c r="BE82" s="71">
        <v>10</v>
      </c>
      <c r="BF82" s="71">
        <v>10</v>
      </c>
      <c r="BG82" s="71">
        <v>10</v>
      </c>
      <c r="BH82" s="71">
        <v>10</v>
      </c>
      <c r="BI82" s="71">
        <v>10</v>
      </c>
      <c r="BJ82" s="2" t="e">
        <f t="shared" ca="1" si="21"/>
        <v>#NAME?</v>
      </c>
      <c r="BK82" s="5">
        <v>10</v>
      </c>
      <c r="BL82" s="5">
        <v>10</v>
      </c>
      <c r="BM82" s="5">
        <v>10</v>
      </c>
      <c r="BN82" s="5">
        <v>10</v>
      </c>
      <c r="BO82" s="71">
        <v>10</v>
      </c>
      <c r="BP82" s="54">
        <f t="shared" si="5"/>
        <v>10</v>
      </c>
      <c r="BQ82" s="5"/>
      <c r="BR82" s="5"/>
      <c r="BS82" s="5">
        <v>10</v>
      </c>
      <c r="BT82" s="5">
        <v>10</v>
      </c>
      <c r="BU82" s="5">
        <v>10</v>
      </c>
      <c r="BV82" s="5">
        <v>10</v>
      </c>
      <c r="BW82" s="5">
        <v>10</v>
      </c>
      <c r="BX82" s="5">
        <v>10</v>
      </c>
      <c r="BY82" s="5">
        <v>10</v>
      </c>
      <c r="BZ82" s="5">
        <v>10</v>
      </c>
      <c r="CA82" s="5">
        <v>10</v>
      </c>
      <c r="CB82" s="5">
        <v>10</v>
      </c>
      <c r="CC82" s="2" t="e">
        <f t="shared" ca="1" si="22"/>
        <v>#NAME?</v>
      </c>
      <c r="CD82" s="55">
        <v>2</v>
      </c>
      <c r="CE82" s="2">
        <v>10</v>
      </c>
      <c r="CF82" s="2">
        <v>10</v>
      </c>
      <c r="CG82" s="2">
        <v>10</v>
      </c>
      <c r="CH82" s="2">
        <v>10</v>
      </c>
      <c r="CI82" s="2">
        <v>10</v>
      </c>
      <c r="CJ82" s="2">
        <v>10</v>
      </c>
      <c r="CK82" s="2">
        <v>10</v>
      </c>
      <c r="CL82" s="2">
        <v>10</v>
      </c>
      <c r="CM82" s="2">
        <v>10</v>
      </c>
      <c r="CN82" s="2">
        <v>10</v>
      </c>
      <c r="CO82" s="2">
        <v>10</v>
      </c>
      <c r="CP82" s="2" t="e">
        <f t="shared" ca="1" si="23"/>
        <v>#NAME?</v>
      </c>
      <c r="CQ82" s="2">
        <v>10</v>
      </c>
      <c r="CR82" s="2">
        <v>10</v>
      </c>
      <c r="CS82" s="2">
        <v>10</v>
      </c>
      <c r="CT82" s="2">
        <v>10</v>
      </c>
      <c r="CU82" s="2">
        <v>10</v>
      </c>
      <c r="CV82" s="54">
        <f t="shared" si="8"/>
        <v>10</v>
      </c>
      <c r="CW82" s="55">
        <v>11</v>
      </c>
      <c r="CX82" s="3"/>
    </row>
    <row r="83" spans="1:102" ht="16.5" x14ac:dyDescent="0.55000000000000004">
      <c r="A83" s="17">
        <v>1</v>
      </c>
      <c r="B83" s="17" t="s">
        <v>4</v>
      </c>
      <c r="C83" s="23" t="s">
        <v>206</v>
      </c>
      <c r="D83" s="24" t="s">
        <v>207</v>
      </c>
      <c r="E83" s="48">
        <v>10</v>
      </c>
      <c r="F83" s="2">
        <v>9</v>
      </c>
      <c r="G83" s="2">
        <v>10</v>
      </c>
      <c r="H83" s="2">
        <v>10</v>
      </c>
      <c r="I83" s="2">
        <v>10</v>
      </c>
      <c r="J83" s="2">
        <v>10</v>
      </c>
      <c r="K83" s="2">
        <v>10</v>
      </c>
      <c r="L83" s="2">
        <v>10</v>
      </c>
      <c r="M83" s="2">
        <v>10</v>
      </c>
      <c r="N83" s="2">
        <v>10</v>
      </c>
      <c r="O83" s="2">
        <v>10</v>
      </c>
      <c r="P83" s="2">
        <v>10</v>
      </c>
      <c r="Q83" s="2" t="e">
        <f t="shared" ca="1" si="19"/>
        <v>#NAME?</v>
      </c>
      <c r="R83" s="2">
        <v>10</v>
      </c>
      <c r="S83" s="2">
        <v>10</v>
      </c>
      <c r="T83" s="2">
        <v>10</v>
      </c>
      <c r="U83" s="2">
        <v>10</v>
      </c>
      <c r="V83" s="2">
        <v>10</v>
      </c>
      <c r="W83" s="54">
        <f t="shared" si="1"/>
        <v>10</v>
      </c>
      <c r="X83" s="48"/>
      <c r="Y83" s="2"/>
      <c r="Z83" s="69">
        <v>11</v>
      </c>
      <c r="AA83" s="2">
        <v>10</v>
      </c>
      <c r="AB83" s="2">
        <v>10</v>
      </c>
      <c r="AC83" s="2">
        <v>10</v>
      </c>
      <c r="AD83" s="2">
        <v>10</v>
      </c>
      <c r="AE83" s="2">
        <v>10</v>
      </c>
      <c r="AF83" s="2">
        <v>10</v>
      </c>
      <c r="AG83" s="2">
        <v>10</v>
      </c>
      <c r="AH83" s="2">
        <v>10</v>
      </c>
      <c r="AI83" s="2">
        <v>10</v>
      </c>
      <c r="AJ83" s="2">
        <v>10</v>
      </c>
      <c r="AK83" s="3"/>
      <c r="AL83" s="3"/>
      <c r="AM83" s="3"/>
      <c r="AN83" s="3"/>
      <c r="AO83" s="3"/>
      <c r="AP83" s="3"/>
      <c r="AQ83" s="2" t="e">
        <f t="shared" ca="1" si="20"/>
        <v>#NAME?</v>
      </c>
      <c r="AR83" s="2">
        <v>10</v>
      </c>
      <c r="AS83" s="2">
        <v>10</v>
      </c>
      <c r="AT83" s="2">
        <v>10</v>
      </c>
      <c r="AU83" s="2">
        <v>10</v>
      </c>
      <c r="AV83" s="2">
        <v>10</v>
      </c>
      <c r="AW83" s="54">
        <f t="shared" si="3"/>
        <v>10</v>
      </c>
      <c r="AX83" s="48"/>
      <c r="AY83" s="2"/>
      <c r="AZ83" s="1">
        <v>10</v>
      </c>
      <c r="BA83" s="1">
        <v>10</v>
      </c>
      <c r="BB83" s="1">
        <v>10</v>
      </c>
      <c r="BC83" s="1">
        <v>10</v>
      </c>
      <c r="BD83" s="1">
        <v>10</v>
      </c>
      <c r="BE83" s="1">
        <v>10</v>
      </c>
      <c r="BF83" s="1">
        <v>10</v>
      </c>
      <c r="BG83" s="1">
        <v>10</v>
      </c>
      <c r="BH83" s="1">
        <v>10</v>
      </c>
      <c r="BI83" s="1">
        <v>10</v>
      </c>
      <c r="BJ83" s="2" t="e">
        <f t="shared" ca="1" si="21"/>
        <v>#NAME?</v>
      </c>
      <c r="BK83" s="1">
        <v>10</v>
      </c>
      <c r="BL83" s="1">
        <v>10</v>
      </c>
      <c r="BM83" s="1">
        <v>10</v>
      </c>
      <c r="BN83" s="1">
        <v>10</v>
      </c>
      <c r="BO83" s="1">
        <v>10</v>
      </c>
      <c r="BP83" s="54">
        <f t="shared" si="5"/>
        <v>10</v>
      </c>
      <c r="BQ83" s="5"/>
      <c r="BR83" s="5"/>
      <c r="BS83" s="5">
        <v>10</v>
      </c>
      <c r="BT83" s="5">
        <v>10</v>
      </c>
      <c r="BU83" s="5">
        <v>10</v>
      </c>
      <c r="BV83" s="5">
        <v>10</v>
      </c>
      <c r="BW83" s="5">
        <v>10</v>
      </c>
      <c r="BX83" s="5">
        <v>7</v>
      </c>
      <c r="BY83" s="5">
        <v>7</v>
      </c>
      <c r="BZ83" s="5">
        <v>7</v>
      </c>
      <c r="CA83" s="5">
        <v>7</v>
      </c>
      <c r="CB83" s="5">
        <v>7</v>
      </c>
      <c r="CC83" s="2" t="e">
        <f t="shared" ca="1" si="22"/>
        <v>#NAME?</v>
      </c>
      <c r="CD83" s="55">
        <v>5</v>
      </c>
      <c r="CE83" s="2"/>
      <c r="CF83" s="2">
        <v>10</v>
      </c>
      <c r="CG83" s="2">
        <v>10</v>
      </c>
      <c r="CH83" s="2">
        <v>10</v>
      </c>
      <c r="CI83" s="2">
        <v>6</v>
      </c>
      <c r="CJ83" s="2">
        <v>7</v>
      </c>
      <c r="CK83" s="2">
        <v>8</v>
      </c>
      <c r="CL83" s="2">
        <v>9</v>
      </c>
      <c r="CM83" s="2">
        <v>10</v>
      </c>
      <c r="CN83" s="2">
        <v>10</v>
      </c>
      <c r="CO83" s="2">
        <v>10</v>
      </c>
      <c r="CP83" s="2" t="e">
        <f t="shared" ca="1" si="23"/>
        <v>#NAME?</v>
      </c>
      <c r="CQ83" s="2">
        <v>10</v>
      </c>
      <c r="CR83" s="2">
        <v>10</v>
      </c>
      <c r="CS83" s="2">
        <v>10</v>
      </c>
      <c r="CT83" s="2">
        <v>10</v>
      </c>
      <c r="CU83" s="2">
        <v>10</v>
      </c>
      <c r="CV83" s="54">
        <f t="shared" si="8"/>
        <v>10</v>
      </c>
      <c r="CW83" s="55">
        <v>11</v>
      </c>
      <c r="CX83" s="3"/>
    </row>
    <row r="84" spans="1:102" ht="16.5" x14ac:dyDescent="0.55000000000000004">
      <c r="A84" s="17">
        <v>1</v>
      </c>
      <c r="B84" s="17" t="s">
        <v>4</v>
      </c>
      <c r="C84" s="23" t="s">
        <v>208</v>
      </c>
      <c r="D84" s="24" t="s">
        <v>209</v>
      </c>
      <c r="E84" s="62" t="s">
        <v>31</v>
      </c>
      <c r="F84" s="10" t="s">
        <v>31</v>
      </c>
      <c r="G84" s="2">
        <v>6</v>
      </c>
      <c r="H84" s="2">
        <v>6</v>
      </c>
      <c r="I84" s="2">
        <v>6</v>
      </c>
      <c r="J84" s="2">
        <v>6</v>
      </c>
      <c r="K84" s="2">
        <v>6</v>
      </c>
      <c r="L84" s="2">
        <v>6</v>
      </c>
      <c r="M84" s="2">
        <v>6</v>
      </c>
      <c r="N84" s="2">
        <v>6</v>
      </c>
      <c r="O84" s="2">
        <v>6</v>
      </c>
      <c r="P84" s="2">
        <v>6</v>
      </c>
      <c r="Q84" s="2" t="e">
        <f t="shared" ca="1" si="19"/>
        <v>#NAME?</v>
      </c>
      <c r="R84" s="2">
        <v>6</v>
      </c>
      <c r="S84" s="2">
        <v>6</v>
      </c>
      <c r="T84" s="2">
        <v>6</v>
      </c>
      <c r="U84" s="2">
        <v>6</v>
      </c>
      <c r="V84" s="2">
        <v>6</v>
      </c>
      <c r="W84" s="54">
        <f t="shared" si="1"/>
        <v>6</v>
      </c>
      <c r="X84" s="48"/>
      <c r="Y84" s="2"/>
      <c r="Z84" s="73" t="s">
        <v>31</v>
      </c>
      <c r="AA84" s="2">
        <v>10</v>
      </c>
      <c r="AB84" s="2">
        <v>10</v>
      </c>
      <c r="AC84" s="2">
        <v>10</v>
      </c>
      <c r="AD84" s="2">
        <v>10</v>
      </c>
      <c r="AE84" s="2">
        <v>10</v>
      </c>
      <c r="AF84" s="2">
        <v>10</v>
      </c>
      <c r="AG84" s="2">
        <v>10</v>
      </c>
      <c r="AH84" s="2">
        <v>10</v>
      </c>
      <c r="AI84" s="2">
        <v>10</v>
      </c>
      <c r="AJ84" s="2">
        <v>10</v>
      </c>
      <c r="AK84" s="3"/>
      <c r="AL84" s="3"/>
      <c r="AM84" s="3"/>
      <c r="AN84" s="3"/>
      <c r="AO84" s="3"/>
      <c r="AP84" s="3"/>
      <c r="AQ84" s="2" t="e">
        <f t="shared" ca="1" si="20"/>
        <v>#NAME?</v>
      </c>
      <c r="AR84" s="2">
        <v>10</v>
      </c>
      <c r="AS84" s="2">
        <v>10</v>
      </c>
      <c r="AT84" s="2">
        <v>10</v>
      </c>
      <c r="AU84" s="2">
        <v>10</v>
      </c>
      <c r="AV84" s="2">
        <v>10</v>
      </c>
      <c r="AW84" s="54">
        <f t="shared" si="3"/>
        <v>10</v>
      </c>
      <c r="AX84" s="48"/>
      <c r="AY84" s="2"/>
      <c r="AZ84" s="70">
        <v>9</v>
      </c>
      <c r="BA84" s="78">
        <v>9</v>
      </c>
      <c r="BB84" s="70">
        <v>9</v>
      </c>
      <c r="BC84" s="70">
        <v>9</v>
      </c>
      <c r="BD84" s="70">
        <v>9</v>
      </c>
      <c r="BE84" s="70">
        <v>9</v>
      </c>
      <c r="BF84" s="70">
        <v>8</v>
      </c>
      <c r="BG84" s="70">
        <v>8</v>
      </c>
      <c r="BH84" s="70">
        <v>8</v>
      </c>
      <c r="BI84" s="70">
        <v>9</v>
      </c>
      <c r="BJ84" s="2" t="e">
        <f t="shared" ca="1" si="21"/>
        <v>#NAME?</v>
      </c>
      <c r="BK84" s="70">
        <v>9</v>
      </c>
      <c r="BL84" s="70">
        <v>9</v>
      </c>
      <c r="BM84" s="70">
        <v>9</v>
      </c>
      <c r="BN84" s="70">
        <v>9</v>
      </c>
      <c r="BO84" s="70">
        <v>9</v>
      </c>
      <c r="BP84" s="54">
        <f t="shared" si="5"/>
        <v>9</v>
      </c>
      <c r="BQ84" s="5"/>
      <c r="BR84" s="5"/>
      <c r="BS84" s="5">
        <v>5</v>
      </c>
      <c r="BT84" s="5">
        <v>5</v>
      </c>
      <c r="BU84" s="5">
        <v>5</v>
      </c>
      <c r="BV84" s="5">
        <v>5</v>
      </c>
      <c r="BW84" s="5">
        <v>5</v>
      </c>
      <c r="BX84" s="5">
        <v>5</v>
      </c>
      <c r="BY84" s="5">
        <v>5</v>
      </c>
      <c r="BZ84" s="5">
        <v>5</v>
      </c>
      <c r="CA84" s="5">
        <v>5</v>
      </c>
      <c r="CB84" s="5">
        <v>5</v>
      </c>
      <c r="CC84" s="2" t="e">
        <f t="shared" ca="1" si="22"/>
        <v>#NAME?</v>
      </c>
      <c r="CD84" s="55" t="s">
        <v>31</v>
      </c>
      <c r="CE84" s="2"/>
      <c r="CF84" s="2">
        <v>4</v>
      </c>
      <c r="CG84" s="2">
        <v>4</v>
      </c>
      <c r="CH84" s="2">
        <v>4</v>
      </c>
      <c r="CI84" s="2">
        <v>4</v>
      </c>
      <c r="CJ84" s="2">
        <v>4</v>
      </c>
      <c r="CK84" s="2">
        <v>4</v>
      </c>
      <c r="CL84" s="2">
        <v>4</v>
      </c>
      <c r="CM84" s="2">
        <v>4</v>
      </c>
      <c r="CN84" s="2">
        <v>4</v>
      </c>
      <c r="CO84" s="2">
        <v>4</v>
      </c>
      <c r="CP84" s="2" t="e">
        <f t="shared" ca="1" si="23"/>
        <v>#NAME?</v>
      </c>
      <c r="CQ84" s="2">
        <v>4</v>
      </c>
      <c r="CR84" s="2">
        <v>4</v>
      </c>
      <c r="CS84" s="2">
        <v>4</v>
      </c>
      <c r="CT84" s="2">
        <v>4</v>
      </c>
      <c r="CU84" s="2">
        <v>4</v>
      </c>
      <c r="CV84" s="54">
        <f t="shared" si="8"/>
        <v>4</v>
      </c>
      <c r="CW84" s="55" t="s">
        <v>31</v>
      </c>
      <c r="CX84" s="3"/>
    </row>
    <row r="85" spans="1:102" ht="16.5" x14ac:dyDescent="0.55000000000000004">
      <c r="A85" s="17">
        <v>1</v>
      </c>
      <c r="B85" s="17" t="s">
        <v>4</v>
      </c>
      <c r="C85" s="23" t="s">
        <v>210</v>
      </c>
      <c r="D85" s="24" t="s">
        <v>211</v>
      </c>
      <c r="E85" s="80">
        <v>7</v>
      </c>
      <c r="F85" s="81">
        <v>6</v>
      </c>
      <c r="G85" s="2">
        <v>9</v>
      </c>
      <c r="H85" s="2">
        <v>9</v>
      </c>
      <c r="I85" s="2">
        <v>9</v>
      </c>
      <c r="J85" s="2">
        <v>9</v>
      </c>
      <c r="K85" s="2">
        <v>9</v>
      </c>
      <c r="L85" s="2">
        <v>9</v>
      </c>
      <c r="M85" s="2">
        <v>9</v>
      </c>
      <c r="N85" s="2">
        <v>9</v>
      </c>
      <c r="O85" s="2">
        <v>9</v>
      </c>
      <c r="P85" s="2">
        <v>9</v>
      </c>
      <c r="Q85" s="2" t="e">
        <f t="shared" ca="1" si="19"/>
        <v>#NAME?</v>
      </c>
      <c r="R85" s="2">
        <v>9</v>
      </c>
      <c r="S85" s="2">
        <v>9</v>
      </c>
      <c r="T85" s="2">
        <v>9</v>
      </c>
      <c r="U85" s="2">
        <v>9</v>
      </c>
      <c r="V85" s="2">
        <v>9</v>
      </c>
      <c r="W85" s="54">
        <f t="shared" si="1"/>
        <v>9</v>
      </c>
      <c r="X85" s="48"/>
      <c r="Y85" s="2"/>
      <c r="Z85" s="73" t="s">
        <v>31</v>
      </c>
      <c r="AA85" s="2">
        <v>10</v>
      </c>
      <c r="AB85" s="2">
        <v>10</v>
      </c>
      <c r="AC85" s="2">
        <v>10</v>
      </c>
      <c r="AD85" s="2">
        <v>10</v>
      </c>
      <c r="AE85" s="2">
        <v>10</v>
      </c>
      <c r="AF85" s="2">
        <v>10</v>
      </c>
      <c r="AG85" s="2">
        <v>10</v>
      </c>
      <c r="AH85" s="2">
        <v>10</v>
      </c>
      <c r="AI85" s="2">
        <v>10</v>
      </c>
      <c r="AJ85" s="2">
        <v>10</v>
      </c>
      <c r="AK85" s="3"/>
      <c r="AL85" s="3"/>
      <c r="AM85" s="3"/>
      <c r="AN85" s="3"/>
      <c r="AO85" s="3"/>
      <c r="AP85" s="3"/>
      <c r="AQ85" s="2" t="e">
        <f t="shared" ca="1" si="20"/>
        <v>#NAME?</v>
      </c>
      <c r="AR85" s="2">
        <v>10</v>
      </c>
      <c r="AS85" s="2">
        <v>10</v>
      </c>
      <c r="AT85" s="2">
        <v>10</v>
      </c>
      <c r="AU85" s="2">
        <v>10</v>
      </c>
      <c r="AV85" s="2">
        <v>10</v>
      </c>
      <c r="AW85" s="54">
        <f t="shared" si="3"/>
        <v>10</v>
      </c>
      <c r="AX85" s="48"/>
      <c r="AY85" s="2"/>
      <c r="AZ85" s="70">
        <v>9</v>
      </c>
      <c r="BA85" s="70">
        <v>9</v>
      </c>
      <c r="BB85" s="70">
        <v>9</v>
      </c>
      <c r="BC85" s="70">
        <v>9</v>
      </c>
      <c r="BD85" s="70">
        <v>9</v>
      </c>
      <c r="BE85" s="70">
        <v>9</v>
      </c>
      <c r="BF85" s="70">
        <v>9</v>
      </c>
      <c r="BG85" s="70">
        <v>8</v>
      </c>
      <c r="BH85" s="70">
        <v>8</v>
      </c>
      <c r="BI85" s="70">
        <v>8</v>
      </c>
      <c r="BJ85" s="2" t="e">
        <f t="shared" ca="1" si="21"/>
        <v>#NAME?</v>
      </c>
      <c r="BK85" s="70">
        <v>9</v>
      </c>
      <c r="BL85" s="70">
        <v>9</v>
      </c>
      <c r="BM85" s="70">
        <v>9</v>
      </c>
      <c r="BN85" s="70">
        <v>9</v>
      </c>
      <c r="BO85" s="70">
        <v>9</v>
      </c>
      <c r="BP85" s="54">
        <f t="shared" si="5"/>
        <v>9</v>
      </c>
      <c r="BQ85" s="5"/>
      <c r="BR85" s="5"/>
      <c r="BS85" s="5">
        <v>7</v>
      </c>
      <c r="BT85" s="5">
        <v>7</v>
      </c>
      <c r="BU85" s="5">
        <v>7</v>
      </c>
      <c r="BV85" s="5">
        <v>7</v>
      </c>
      <c r="BW85" s="5">
        <v>7</v>
      </c>
      <c r="BX85" s="5">
        <v>7</v>
      </c>
      <c r="BY85" s="5">
        <v>7</v>
      </c>
      <c r="BZ85" s="5">
        <v>7</v>
      </c>
      <c r="CA85" s="5">
        <v>7</v>
      </c>
      <c r="CB85" s="5">
        <v>7</v>
      </c>
      <c r="CC85" s="2" t="e">
        <f t="shared" ca="1" si="22"/>
        <v>#NAME?</v>
      </c>
      <c r="CD85" s="55" t="s">
        <v>31</v>
      </c>
      <c r="CE85" s="2"/>
      <c r="CF85" s="2">
        <v>5</v>
      </c>
      <c r="CG85" s="2">
        <v>5</v>
      </c>
      <c r="CH85" s="2">
        <v>5</v>
      </c>
      <c r="CI85" s="2">
        <v>5</v>
      </c>
      <c r="CJ85" s="2">
        <v>5</v>
      </c>
      <c r="CK85" s="2">
        <v>5</v>
      </c>
      <c r="CL85" s="2">
        <v>5</v>
      </c>
      <c r="CM85" s="2">
        <v>5</v>
      </c>
      <c r="CN85" s="2">
        <v>5</v>
      </c>
      <c r="CO85" s="2">
        <v>5</v>
      </c>
      <c r="CP85" s="2" t="e">
        <f t="shared" ca="1" si="23"/>
        <v>#NAME?</v>
      </c>
      <c r="CQ85" s="2">
        <v>5</v>
      </c>
      <c r="CR85" s="2">
        <v>5</v>
      </c>
      <c r="CS85" s="2">
        <v>5</v>
      </c>
      <c r="CT85" s="2">
        <v>5</v>
      </c>
      <c r="CU85" s="2">
        <v>5</v>
      </c>
      <c r="CV85" s="54">
        <f t="shared" si="8"/>
        <v>5</v>
      </c>
      <c r="CW85" s="55" t="s">
        <v>31</v>
      </c>
      <c r="CX85" s="3"/>
    </row>
    <row r="86" spans="1:102" ht="16.5" x14ac:dyDescent="0.55000000000000004">
      <c r="A86" s="17">
        <v>1</v>
      </c>
      <c r="B86" s="17" t="s">
        <v>4</v>
      </c>
      <c r="C86" s="23" t="s">
        <v>212</v>
      </c>
      <c r="D86" s="24" t="s">
        <v>213</v>
      </c>
      <c r="E86" s="48">
        <v>8</v>
      </c>
      <c r="F86" s="2">
        <v>8</v>
      </c>
      <c r="G86" s="2">
        <v>10</v>
      </c>
      <c r="H86" s="2">
        <v>10</v>
      </c>
      <c r="I86" s="2">
        <v>10</v>
      </c>
      <c r="J86" s="2">
        <v>9</v>
      </c>
      <c r="K86" s="2">
        <v>10</v>
      </c>
      <c r="L86" s="2">
        <v>10</v>
      </c>
      <c r="M86" s="2">
        <v>10</v>
      </c>
      <c r="N86" s="2">
        <v>10</v>
      </c>
      <c r="O86" s="2">
        <v>10</v>
      </c>
      <c r="P86" s="2">
        <v>10</v>
      </c>
      <c r="Q86" s="2" t="e">
        <f t="shared" ca="1" si="19"/>
        <v>#NAME?</v>
      </c>
      <c r="R86" s="2">
        <v>10</v>
      </c>
      <c r="S86" s="2">
        <v>10</v>
      </c>
      <c r="T86" s="2">
        <v>10</v>
      </c>
      <c r="U86" s="2">
        <v>10</v>
      </c>
      <c r="V86" s="2">
        <v>10</v>
      </c>
      <c r="W86" s="54">
        <f t="shared" si="1"/>
        <v>10</v>
      </c>
      <c r="X86" s="48"/>
      <c r="Y86" s="2"/>
      <c r="Z86" s="69">
        <v>11</v>
      </c>
      <c r="AA86" s="2">
        <v>10</v>
      </c>
      <c r="AB86" s="2">
        <v>10</v>
      </c>
      <c r="AC86" s="2">
        <v>10</v>
      </c>
      <c r="AD86" s="2">
        <v>10</v>
      </c>
      <c r="AE86" s="2">
        <v>10</v>
      </c>
      <c r="AF86" s="2">
        <v>10</v>
      </c>
      <c r="AG86" s="2">
        <v>10</v>
      </c>
      <c r="AH86" s="2">
        <v>10</v>
      </c>
      <c r="AI86" s="2">
        <v>10</v>
      </c>
      <c r="AJ86" s="2">
        <v>10</v>
      </c>
      <c r="AK86" s="3"/>
      <c r="AL86" s="3"/>
      <c r="AM86" s="3"/>
      <c r="AN86" s="3"/>
      <c r="AO86" s="3"/>
      <c r="AP86" s="3"/>
      <c r="AQ86" s="2" t="e">
        <f t="shared" ca="1" si="20"/>
        <v>#NAME?</v>
      </c>
      <c r="AR86" s="2">
        <v>10</v>
      </c>
      <c r="AS86" s="2">
        <v>10</v>
      </c>
      <c r="AT86" s="2">
        <v>10</v>
      </c>
      <c r="AU86" s="2">
        <v>10</v>
      </c>
      <c r="AV86" s="2">
        <v>10</v>
      </c>
      <c r="AW86" s="54">
        <f t="shared" si="3"/>
        <v>10</v>
      </c>
      <c r="AX86" s="48"/>
      <c r="AY86" s="2"/>
      <c r="AZ86" s="1">
        <v>10</v>
      </c>
      <c r="BA86" s="71">
        <v>10</v>
      </c>
      <c r="BB86" s="78">
        <v>10</v>
      </c>
      <c r="BC86" s="71">
        <v>10</v>
      </c>
      <c r="BD86" s="71">
        <v>10</v>
      </c>
      <c r="BE86" s="71">
        <v>10</v>
      </c>
      <c r="BF86" s="71">
        <v>10</v>
      </c>
      <c r="BG86" s="71">
        <v>10</v>
      </c>
      <c r="BH86" s="71">
        <v>10</v>
      </c>
      <c r="BI86" s="71">
        <v>10</v>
      </c>
      <c r="BJ86" s="2" t="e">
        <f t="shared" ca="1" si="21"/>
        <v>#NAME?</v>
      </c>
      <c r="BK86" s="5">
        <v>10</v>
      </c>
      <c r="BL86" s="5">
        <v>10</v>
      </c>
      <c r="BM86" s="5">
        <v>10</v>
      </c>
      <c r="BN86" s="5">
        <v>10</v>
      </c>
      <c r="BO86" s="71">
        <v>10</v>
      </c>
      <c r="BP86" s="54">
        <f t="shared" si="5"/>
        <v>10</v>
      </c>
      <c r="BQ86" s="5"/>
      <c r="BR86" s="5"/>
      <c r="BS86" s="5">
        <v>10</v>
      </c>
      <c r="BT86" s="5">
        <v>10</v>
      </c>
      <c r="BU86" s="5">
        <v>10</v>
      </c>
      <c r="BV86" s="5">
        <v>10</v>
      </c>
      <c r="BW86" s="5">
        <v>10</v>
      </c>
      <c r="BX86" s="5">
        <v>10</v>
      </c>
      <c r="BY86" s="5">
        <v>10</v>
      </c>
      <c r="BZ86" s="5">
        <v>10</v>
      </c>
      <c r="CA86" s="5">
        <v>10</v>
      </c>
      <c r="CB86" s="5">
        <v>10</v>
      </c>
      <c r="CC86" s="2" t="e">
        <f t="shared" ca="1" si="22"/>
        <v>#NAME?</v>
      </c>
      <c r="CD86" s="55">
        <v>4</v>
      </c>
      <c r="CE86" s="2"/>
      <c r="CF86" s="2">
        <v>9</v>
      </c>
      <c r="CG86" s="2">
        <v>10</v>
      </c>
      <c r="CH86" s="2">
        <v>10</v>
      </c>
      <c r="CI86" s="2">
        <v>7</v>
      </c>
      <c r="CJ86" s="2">
        <v>8</v>
      </c>
      <c r="CK86" s="2">
        <v>8</v>
      </c>
      <c r="CL86" s="2">
        <v>9</v>
      </c>
      <c r="CM86" s="2">
        <v>10</v>
      </c>
      <c r="CN86" s="2">
        <v>9</v>
      </c>
      <c r="CO86" s="2">
        <v>10</v>
      </c>
      <c r="CP86" s="2" t="e">
        <f t="shared" ca="1" si="23"/>
        <v>#NAME?</v>
      </c>
      <c r="CQ86" s="2">
        <v>10</v>
      </c>
      <c r="CR86" s="2">
        <v>8</v>
      </c>
      <c r="CS86" s="2">
        <v>9</v>
      </c>
      <c r="CT86" s="2">
        <v>10</v>
      </c>
      <c r="CU86" s="2">
        <v>10</v>
      </c>
      <c r="CV86" s="54">
        <f t="shared" si="8"/>
        <v>10</v>
      </c>
      <c r="CW86" s="55">
        <v>14</v>
      </c>
      <c r="CX86" s="3"/>
    </row>
    <row r="87" spans="1:102" ht="16.5" x14ac:dyDescent="0.55000000000000004">
      <c r="A87" s="17">
        <v>1</v>
      </c>
      <c r="B87" s="17" t="s">
        <v>4</v>
      </c>
      <c r="C87" s="23" t="s">
        <v>214</v>
      </c>
      <c r="D87" s="24" t="s">
        <v>215</v>
      </c>
      <c r="E87" s="48">
        <v>8</v>
      </c>
      <c r="F87" s="2">
        <v>8</v>
      </c>
      <c r="G87" s="2">
        <v>10</v>
      </c>
      <c r="H87" s="2">
        <v>10</v>
      </c>
      <c r="I87" s="2">
        <v>10</v>
      </c>
      <c r="J87" s="2">
        <v>10</v>
      </c>
      <c r="K87" s="2">
        <v>10</v>
      </c>
      <c r="L87" s="2">
        <v>10</v>
      </c>
      <c r="M87" s="2">
        <v>10</v>
      </c>
      <c r="N87" s="2">
        <v>10</v>
      </c>
      <c r="O87" s="2">
        <v>10</v>
      </c>
      <c r="P87" s="2">
        <v>10</v>
      </c>
      <c r="Q87" s="2" t="e">
        <f t="shared" ca="1" si="19"/>
        <v>#NAME?</v>
      </c>
      <c r="R87" s="2">
        <v>10</v>
      </c>
      <c r="S87" s="2">
        <v>10</v>
      </c>
      <c r="T87" s="2">
        <v>10</v>
      </c>
      <c r="U87" s="2">
        <v>10</v>
      </c>
      <c r="V87" s="2">
        <v>10</v>
      </c>
      <c r="W87" s="54">
        <f t="shared" si="1"/>
        <v>10</v>
      </c>
      <c r="X87" s="48"/>
      <c r="Y87" s="2"/>
      <c r="Z87" s="69">
        <v>10</v>
      </c>
      <c r="AA87" s="2">
        <v>10</v>
      </c>
      <c r="AB87" s="2">
        <v>10</v>
      </c>
      <c r="AC87" s="2">
        <v>10</v>
      </c>
      <c r="AD87" s="2">
        <v>10</v>
      </c>
      <c r="AE87" s="2">
        <v>10</v>
      </c>
      <c r="AF87" s="2">
        <v>10</v>
      </c>
      <c r="AG87" s="2">
        <v>10</v>
      </c>
      <c r="AH87" s="2">
        <v>10</v>
      </c>
      <c r="AI87" s="2">
        <v>10</v>
      </c>
      <c r="AJ87" s="2">
        <v>10</v>
      </c>
      <c r="AK87" s="3"/>
      <c r="AL87" s="3"/>
      <c r="AM87" s="3"/>
      <c r="AN87" s="3"/>
      <c r="AO87" s="3"/>
      <c r="AP87" s="3"/>
      <c r="AQ87" s="2" t="e">
        <f t="shared" ca="1" si="20"/>
        <v>#NAME?</v>
      </c>
      <c r="AR87" s="2">
        <v>10</v>
      </c>
      <c r="AS87" s="2">
        <v>10</v>
      </c>
      <c r="AT87" s="2">
        <v>10</v>
      </c>
      <c r="AU87" s="2">
        <v>10</v>
      </c>
      <c r="AV87" s="2">
        <v>10</v>
      </c>
      <c r="AW87" s="54">
        <f t="shared" si="3"/>
        <v>10</v>
      </c>
      <c r="AX87" s="48"/>
      <c r="AY87" s="2"/>
      <c r="AZ87" s="1">
        <v>10</v>
      </c>
      <c r="BA87" s="1">
        <v>10</v>
      </c>
      <c r="BB87" s="1">
        <v>10</v>
      </c>
      <c r="BC87" s="1">
        <v>10</v>
      </c>
      <c r="BD87" s="1">
        <v>10</v>
      </c>
      <c r="BE87" s="1">
        <v>10</v>
      </c>
      <c r="BF87" s="1">
        <v>10</v>
      </c>
      <c r="BG87" s="1">
        <v>10</v>
      </c>
      <c r="BH87" s="1">
        <v>10</v>
      </c>
      <c r="BI87" s="1">
        <v>10</v>
      </c>
      <c r="BJ87" s="2" t="e">
        <f t="shared" ca="1" si="21"/>
        <v>#NAME?</v>
      </c>
      <c r="BK87" s="1">
        <v>10</v>
      </c>
      <c r="BL87" s="1">
        <v>10</v>
      </c>
      <c r="BM87" s="1">
        <v>10</v>
      </c>
      <c r="BN87" s="1">
        <v>10</v>
      </c>
      <c r="BO87" s="1">
        <v>10</v>
      </c>
      <c r="BP87" s="54">
        <f t="shared" si="5"/>
        <v>10</v>
      </c>
      <c r="BQ87" s="5"/>
      <c r="BR87" s="5"/>
      <c r="BS87" s="5">
        <v>10</v>
      </c>
      <c r="BT87" s="5">
        <v>10</v>
      </c>
      <c r="BU87" s="5">
        <v>10</v>
      </c>
      <c r="BV87" s="5">
        <v>10</v>
      </c>
      <c r="BW87" s="5">
        <v>10</v>
      </c>
      <c r="BX87" s="5">
        <v>10</v>
      </c>
      <c r="BY87" s="5">
        <v>10</v>
      </c>
      <c r="BZ87" s="5">
        <v>10</v>
      </c>
      <c r="CA87" s="5">
        <v>10</v>
      </c>
      <c r="CB87" s="5">
        <v>10</v>
      </c>
      <c r="CC87" s="2" t="e">
        <f t="shared" ca="1" si="22"/>
        <v>#NAME?</v>
      </c>
      <c r="CD87" s="55">
        <v>3</v>
      </c>
      <c r="CE87" s="2"/>
      <c r="CF87" s="2">
        <v>9</v>
      </c>
      <c r="CG87" s="2">
        <v>9</v>
      </c>
      <c r="CH87" s="2">
        <v>10</v>
      </c>
      <c r="CI87" s="2">
        <v>4</v>
      </c>
      <c r="CJ87" s="2">
        <v>4</v>
      </c>
      <c r="CK87" s="2">
        <v>4</v>
      </c>
      <c r="CL87" s="2">
        <v>4</v>
      </c>
      <c r="CM87" s="2">
        <v>4</v>
      </c>
      <c r="CN87" s="2">
        <v>4</v>
      </c>
      <c r="CO87" s="2">
        <v>4</v>
      </c>
      <c r="CP87" s="2" t="e">
        <f t="shared" ca="1" si="23"/>
        <v>#NAME?</v>
      </c>
      <c r="CQ87" s="2">
        <v>10</v>
      </c>
      <c r="CR87" s="2">
        <v>4</v>
      </c>
      <c r="CS87" s="2">
        <v>4</v>
      </c>
      <c r="CT87" s="2">
        <v>4</v>
      </c>
      <c r="CU87" s="2">
        <v>4</v>
      </c>
      <c r="CV87" s="54">
        <f t="shared" si="8"/>
        <v>6</v>
      </c>
      <c r="CW87" s="55">
        <v>9</v>
      </c>
      <c r="CX87" s="3"/>
    </row>
    <row r="88" spans="1:102" ht="16.5" x14ac:dyDescent="0.55000000000000004">
      <c r="A88" s="17">
        <v>1</v>
      </c>
      <c r="B88" s="17" t="s">
        <v>4</v>
      </c>
      <c r="C88" s="23" t="s">
        <v>216</v>
      </c>
      <c r="D88" s="24" t="s">
        <v>217</v>
      </c>
      <c r="E88" s="48">
        <v>8</v>
      </c>
      <c r="F88" s="2">
        <v>8</v>
      </c>
      <c r="G88" s="2">
        <v>10</v>
      </c>
      <c r="H88" s="2">
        <v>10</v>
      </c>
      <c r="I88" s="2">
        <v>10</v>
      </c>
      <c r="J88" s="2">
        <v>10</v>
      </c>
      <c r="K88" s="2">
        <v>10</v>
      </c>
      <c r="L88" s="2">
        <v>10</v>
      </c>
      <c r="M88" s="2">
        <v>10</v>
      </c>
      <c r="N88" s="2">
        <v>10</v>
      </c>
      <c r="O88" s="2">
        <v>10</v>
      </c>
      <c r="P88" s="2">
        <v>10</v>
      </c>
      <c r="Q88" s="2" t="e">
        <f t="shared" ca="1" si="19"/>
        <v>#NAME?</v>
      </c>
      <c r="R88" s="2">
        <v>10</v>
      </c>
      <c r="S88" s="2">
        <v>10</v>
      </c>
      <c r="T88" s="2">
        <v>10</v>
      </c>
      <c r="U88" s="2">
        <v>10</v>
      </c>
      <c r="V88" s="2">
        <v>10</v>
      </c>
      <c r="W88" s="54">
        <f t="shared" si="1"/>
        <v>10</v>
      </c>
      <c r="X88" s="48"/>
      <c r="Y88" s="2"/>
      <c r="Z88" s="69">
        <v>8</v>
      </c>
      <c r="AA88" s="2">
        <v>10</v>
      </c>
      <c r="AB88" s="2">
        <v>10</v>
      </c>
      <c r="AC88" s="2">
        <v>10</v>
      </c>
      <c r="AD88" s="2">
        <v>10</v>
      </c>
      <c r="AE88" s="2">
        <v>10</v>
      </c>
      <c r="AF88" s="2">
        <v>10</v>
      </c>
      <c r="AG88" s="2">
        <v>10</v>
      </c>
      <c r="AH88" s="2">
        <v>10</v>
      </c>
      <c r="AI88" s="2">
        <v>10</v>
      </c>
      <c r="AJ88" s="2">
        <v>10</v>
      </c>
      <c r="AK88" s="3"/>
      <c r="AL88" s="3"/>
      <c r="AM88" s="3"/>
      <c r="AN88" s="3"/>
      <c r="AO88" s="3"/>
      <c r="AP88" s="3"/>
      <c r="AQ88" s="2" t="e">
        <f t="shared" ca="1" si="20"/>
        <v>#NAME?</v>
      </c>
      <c r="AR88" s="2">
        <v>10</v>
      </c>
      <c r="AS88" s="2">
        <v>10</v>
      </c>
      <c r="AT88" s="2">
        <v>10</v>
      </c>
      <c r="AU88" s="2">
        <v>10</v>
      </c>
      <c r="AV88" s="2">
        <v>10</v>
      </c>
      <c r="AW88" s="54">
        <f t="shared" si="3"/>
        <v>10</v>
      </c>
      <c r="AX88" s="48"/>
      <c r="AY88" s="2"/>
      <c r="AZ88" s="71">
        <v>10</v>
      </c>
      <c r="BA88" s="71">
        <v>10</v>
      </c>
      <c r="BB88" s="71">
        <v>10</v>
      </c>
      <c r="BC88" s="71">
        <v>10</v>
      </c>
      <c r="BD88" s="71">
        <v>10</v>
      </c>
      <c r="BE88" s="71">
        <v>10</v>
      </c>
      <c r="BF88" s="71">
        <v>10</v>
      </c>
      <c r="BG88" s="71">
        <v>10</v>
      </c>
      <c r="BH88" s="71">
        <v>10</v>
      </c>
      <c r="BI88" s="71">
        <v>10</v>
      </c>
      <c r="BJ88" s="2" t="e">
        <f t="shared" ca="1" si="21"/>
        <v>#NAME?</v>
      </c>
      <c r="BK88" s="71">
        <v>10</v>
      </c>
      <c r="BL88" s="71">
        <v>10</v>
      </c>
      <c r="BM88" s="71">
        <v>10</v>
      </c>
      <c r="BN88" s="71">
        <v>10</v>
      </c>
      <c r="BO88" s="71">
        <v>10</v>
      </c>
      <c r="BP88" s="54">
        <f t="shared" si="5"/>
        <v>10</v>
      </c>
      <c r="BQ88" s="5"/>
      <c r="BR88" s="5"/>
      <c r="BS88" s="5">
        <v>7</v>
      </c>
      <c r="BT88" s="5">
        <v>7</v>
      </c>
      <c r="BU88" s="5">
        <v>7</v>
      </c>
      <c r="BV88" s="5">
        <v>7</v>
      </c>
      <c r="BW88" s="5">
        <v>7</v>
      </c>
      <c r="BX88" s="5">
        <v>7</v>
      </c>
      <c r="BY88" s="5">
        <v>7</v>
      </c>
      <c r="BZ88" s="5">
        <v>7</v>
      </c>
      <c r="CA88" s="5">
        <v>7</v>
      </c>
      <c r="CB88" s="5">
        <v>7</v>
      </c>
      <c r="CC88" s="2" t="e">
        <f t="shared" ca="1" si="22"/>
        <v>#NAME?</v>
      </c>
      <c r="CD88" s="55">
        <v>2</v>
      </c>
      <c r="CE88" s="2"/>
      <c r="CF88" s="2">
        <v>3</v>
      </c>
      <c r="CG88" s="2">
        <v>3</v>
      </c>
      <c r="CH88" s="2">
        <v>3</v>
      </c>
      <c r="CI88" s="2">
        <v>3</v>
      </c>
      <c r="CJ88" s="2">
        <v>3</v>
      </c>
      <c r="CK88" s="2">
        <v>3</v>
      </c>
      <c r="CL88" s="2">
        <v>3</v>
      </c>
      <c r="CM88" s="2">
        <v>3</v>
      </c>
      <c r="CN88" s="2">
        <v>3</v>
      </c>
      <c r="CO88" s="2">
        <v>3</v>
      </c>
      <c r="CP88" s="2" t="e">
        <f t="shared" ca="1" si="23"/>
        <v>#NAME?</v>
      </c>
      <c r="CQ88" s="2">
        <v>3</v>
      </c>
      <c r="CR88" s="2">
        <v>3</v>
      </c>
      <c r="CS88" s="2">
        <v>3</v>
      </c>
      <c r="CT88" s="2">
        <v>3</v>
      </c>
      <c r="CU88" s="2">
        <v>3</v>
      </c>
      <c r="CV88" s="54">
        <f t="shared" si="8"/>
        <v>3</v>
      </c>
      <c r="CW88" s="55">
        <v>2</v>
      </c>
      <c r="CX88" s="3"/>
    </row>
    <row r="89" spans="1:102" ht="16.5" x14ac:dyDescent="0.55000000000000004">
      <c r="A89" s="17">
        <v>1</v>
      </c>
      <c r="B89" s="17" t="s">
        <v>4</v>
      </c>
      <c r="C89" s="23" t="s">
        <v>218</v>
      </c>
      <c r="D89" s="24" t="s">
        <v>219</v>
      </c>
      <c r="E89" s="48">
        <v>8</v>
      </c>
      <c r="F89" s="2">
        <v>7</v>
      </c>
      <c r="G89" s="2">
        <v>8</v>
      </c>
      <c r="H89" s="2">
        <v>8</v>
      </c>
      <c r="I89" s="2">
        <v>8</v>
      </c>
      <c r="J89" s="2">
        <v>8</v>
      </c>
      <c r="K89" s="2">
        <v>9</v>
      </c>
      <c r="L89" s="2">
        <v>9</v>
      </c>
      <c r="M89" s="2">
        <v>9</v>
      </c>
      <c r="N89" s="2">
        <v>8</v>
      </c>
      <c r="O89" s="2">
        <v>8</v>
      </c>
      <c r="P89" s="2">
        <v>8</v>
      </c>
      <c r="Q89" s="2" t="e">
        <f t="shared" ca="1" si="19"/>
        <v>#NAME?</v>
      </c>
      <c r="R89" s="2">
        <v>7</v>
      </c>
      <c r="S89" s="2">
        <v>7</v>
      </c>
      <c r="T89" s="2">
        <v>7</v>
      </c>
      <c r="U89" s="2">
        <v>7</v>
      </c>
      <c r="V89" s="2">
        <v>7</v>
      </c>
      <c r="W89" s="54">
        <f t="shared" si="1"/>
        <v>7</v>
      </c>
      <c r="X89" s="48"/>
      <c r="Y89" s="2"/>
      <c r="Z89" s="69">
        <v>8</v>
      </c>
      <c r="AA89" s="2">
        <v>6</v>
      </c>
      <c r="AB89" s="2">
        <v>6</v>
      </c>
      <c r="AC89" s="2">
        <v>6</v>
      </c>
      <c r="AD89" s="2">
        <v>6</v>
      </c>
      <c r="AE89" s="2">
        <v>6</v>
      </c>
      <c r="AF89" s="2">
        <v>6</v>
      </c>
      <c r="AG89" s="2">
        <v>6</v>
      </c>
      <c r="AH89" s="2">
        <v>6</v>
      </c>
      <c r="AI89" s="2">
        <v>6</v>
      </c>
      <c r="AJ89" s="2">
        <v>6</v>
      </c>
      <c r="AK89" s="3"/>
      <c r="AL89" s="3"/>
      <c r="AM89" s="3"/>
      <c r="AN89" s="3"/>
      <c r="AO89" s="3"/>
      <c r="AP89" s="3"/>
      <c r="AQ89" s="2" t="e">
        <f t="shared" ca="1" si="20"/>
        <v>#NAME?</v>
      </c>
      <c r="AR89" s="2">
        <v>10</v>
      </c>
      <c r="AS89" s="2">
        <v>10</v>
      </c>
      <c r="AT89" s="2">
        <v>10</v>
      </c>
      <c r="AU89" s="2">
        <v>10</v>
      </c>
      <c r="AV89" s="2">
        <v>10</v>
      </c>
      <c r="AW89" s="54">
        <f t="shared" si="3"/>
        <v>10</v>
      </c>
      <c r="AX89" s="48"/>
      <c r="AY89" s="2"/>
      <c r="AZ89" s="1">
        <v>10</v>
      </c>
      <c r="BA89" s="1">
        <v>10</v>
      </c>
      <c r="BB89" s="1">
        <v>10</v>
      </c>
      <c r="BC89" s="1">
        <v>10</v>
      </c>
      <c r="BD89" s="1">
        <v>10</v>
      </c>
      <c r="BE89" s="1">
        <v>10</v>
      </c>
      <c r="BF89" s="1">
        <v>10</v>
      </c>
      <c r="BG89" s="1">
        <v>10</v>
      </c>
      <c r="BH89" s="1">
        <v>10</v>
      </c>
      <c r="BI89" s="1">
        <v>10</v>
      </c>
      <c r="BJ89" s="2" t="e">
        <f t="shared" ca="1" si="21"/>
        <v>#NAME?</v>
      </c>
      <c r="BK89" s="1">
        <v>10</v>
      </c>
      <c r="BL89" s="1">
        <v>10</v>
      </c>
      <c r="BM89" s="1">
        <v>10</v>
      </c>
      <c r="BN89" s="1">
        <v>10</v>
      </c>
      <c r="BO89" s="1">
        <v>10</v>
      </c>
      <c r="BP89" s="54">
        <f t="shared" si="5"/>
        <v>10</v>
      </c>
      <c r="BQ89" s="5"/>
      <c r="BR89" s="5"/>
      <c r="BS89" s="5">
        <v>5</v>
      </c>
      <c r="BT89" s="5">
        <v>5</v>
      </c>
      <c r="BU89" s="5">
        <v>5</v>
      </c>
      <c r="BV89" s="5">
        <v>5</v>
      </c>
      <c r="BW89" s="5">
        <v>5</v>
      </c>
      <c r="BX89" s="5">
        <v>5</v>
      </c>
      <c r="BY89" s="5">
        <v>5</v>
      </c>
      <c r="BZ89" s="5">
        <v>5</v>
      </c>
      <c r="CA89" s="5">
        <v>5</v>
      </c>
      <c r="CB89" s="5">
        <v>5</v>
      </c>
      <c r="CC89" s="2" t="e">
        <f t="shared" ca="1" si="22"/>
        <v>#NAME?</v>
      </c>
      <c r="CD89" s="55">
        <v>3</v>
      </c>
      <c r="CE89" s="2"/>
      <c r="CF89" s="2">
        <v>9</v>
      </c>
      <c r="CG89" s="2">
        <v>9</v>
      </c>
      <c r="CH89" s="2">
        <v>9</v>
      </c>
      <c r="CI89" s="2">
        <v>10</v>
      </c>
      <c r="CJ89" s="2">
        <v>5</v>
      </c>
      <c r="CK89" s="2">
        <v>6</v>
      </c>
      <c r="CL89" s="2">
        <v>7</v>
      </c>
      <c r="CM89" s="2">
        <v>8</v>
      </c>
      <c r="CN89" s="2">
        <v>8</v>
      </c>
      <c r="CO89" s="2">
        <v>10</v>
      </c>
      <c r="CP89" s="2" t="e">
        <f t="shared" ca="1" si="23"/>
        <v>#NAME?</v>
      </c>
      <c r="CQ89" s="2">
        <v>8</v>
      </c>
      <c r="CR89" s="2">
        <v>9</v>
      </c>
      <c r="CS89" s="2">
        <v>10</v>
      </c>
      <c r="CT89" s="2">
        <v>10</v>
      </c>
      <c r="CU89" s="2">
        <v>10</v>
      </c>
      <c r="CV89" s="54">
        <f t="shared" si="8"/>
        <v>10</v>
      </c>
      <c r="CW89" s="55">
        <v>10</v>
      </c>
      <c r="CX89" s="3"/>
    </row>
    <row r="90" spans="1:102" ht="16.5" x14ac:dyDescent="0.55000000000000004">
      <c r="A90" s="17">
        <v>1</v>
      </c>
      <c r="B90" s="17" t="s">
        <v>4</v>
      </c>
      <c r="C90" s="23" t="s">
        <v>220</v>
      </c>
      <c r="D90" s="24" t="s">
        <v>221</v>
      </c>
      <c r="E90" s="48">
        <v>10</v>
      </c>
      <c r="F90" s="2">
        <v>10</v>
      </c>
      <c r="G90" s="2">
        <v>10</v>
      </c>
      <c r="H90" s="2">
        <v>10</v>
      </c>
      <c r="I90" s="2">
        <v>10</v>
      </c>
      <c r="J90" s="2">
        <v>10</v>
      </c>
      <c r="K90" s="2">
        <v>10</v>
      </c>
      <c r="L90" s="2">
        <v>10</v>
      </c>
      <c r="M90" s="2">
        <v>10</v>
      </c>
      <c r="N90" s="2">
        <v>10</v>
      </c>
      <c r="O90" s="2">
        <v>10</v>
      </c>
      <c r="P90" s="2">
        <v>10</v>
      </c>
      <c r="Q90" s="2" t="e">
        <f t="shared" ca="1" si="19"/>
        <v>#NAME?</v>
      </c>
      <c r="R90" s="2">
        <v>10</v>
      </c>
      <c r="S90" s="2">
        <v>10</v>
      </c>
      <c r="T90" s="2">
        <v>10</v>
      </c>
      <c r="U90" s="2">
        <v>10</v>
      </c>
      <c r="V90" s="2">
        <v>10</v>
      </c>
      <c r="W90" s="54">
        <f t="shared" si="1"/>
        <v>10</v>
      </c>
      <c r="X90" s="48"/>
      <c r="Y90" s="2"/>
      <c r="Z90" s="69">
        <v>9</v>
      </c>
      <c r="AA90" s="2">
        <v>10</v>
      </c>
      <c r="AB90" s="2">
        <v>10</v>
      </c>
      <c r="AC90" s="2">
        <v>10</v>
      </c>
      <c r="AD90" s="2">
        <v>10</v>
      </c>
      <c r="AE90" s="2">
        <v>10</v>
      </c>
      <c r="AF90" s="2">
        <v>10</v>
      </c>
      <c r="AG90" s="2">
        <v>10</v>
      </c>
      <c r="AH90" s="2">
        <v>10</v>
      </c>
      <c r="AI90" s="2">
        <v>10</v>
      </c>
      <c r="AJ90" s="2">
        <v>10</v>
      </c>
      <c r="AK90" s="3"/>
      <c r="AL90" s="3"/>
      <c r="AM90" s="3"/>
      <c r="AN90" s="3"/>
      <c r="AO90" s="3"/>
      <c r="AP90" s="3"/>
      <c r="AQ90" s="2" t="e">
        <f t="shared" ca="1" si="20"/>
        <v>#NAME?</v>
      </c>
      <c r="AR90" s="2">
        <v>10</v>
      </c>
      <c r="AS90" s="2">
        <v>10</v>
      </c>
      <c r="AT90" s="2">
        <v>10</v>
      </c>
      <c r="AU90" s="2">
        <v>10</v>
      </c>
      <c r="AV90" s="2">
        <v>10</v>
      </c>
      <c r="AW90" s="54">
        <f t="shared" si="3"/>
        <v>10</v>
      </c>
      <c r="AX90" s="48"/>
      <c r="AY90" s="2"/>
      <c r="AZ90" s="70">
        <v>10</v>
      </c>
      <c r="BA90" s="71">
        <v>10</v>
      </c>
      <c r="BB90" s="71">
        <v>10</v>
      </c>
      <c r="BC90" s="71">
        <v>10</v>
      </c>
      <c r="BD90" s="71">
        <v>10</v>
      </c>
      <c r="BE90" s="71">
        <v>10</v>
      </c>
      <c r="BF90" s="71">
        <v>10</v>
      </c>
      <c r="BG90" s="71">
        <v>10</v>
      </c>
      <c r="BH90" s="71">
        <v>10</v>
      </c>
      <c r="BI90" s="71">
        <v>10</v>
      </c>
      <c r="BJ90" s="2" t="e">
        <f t="shared" ca="1" si="21"/>
        <v>#NAME?</v>
      </c>
      <c r="BK90" s="5">
        <v>10</v>
      </c>
      <c r="BL90" s="5">
        <v>10</v>
      </c>
      <c r="BM90" s="71">
        <v>10</v>
      </c>
      <c r="BN90" s="71">
        <v>10</v>
      </c>
      <c r="BO90" s="71">
        <v>10</v>
      </c>
      <c r="BP90" s="54">
        <f t="shared" si="5"/>
        <v>10</v>
      </c>
      <c r="BQ90" s="5"/>
      <c r="BR90" s="5"/>
      <c r="BS90" s="5">
        <v>10</v>
      </c>
      <c r="BT90" s="5">
        <v>10</v>
      </c>
      <c r="BU90" s="5">
        <v>10</v>
      </c>
      <c r="BV90" s="5">
        <v>10</v>
      </c>
      <c r="BW90" s="5">
        <v>10</v>
      </c>
      <c r="BX90" s="5">
        <v>10</v>
      </c>
      <c r="BY90" s="5">
        <v>10</v>
      </c>
      <c r="BZ90" s="5">
        <v>10</v>
      </c>
      <c r="CA90" s="5">
        <v>10</v>
      </c>
      <c r="CB90" s="5">
        <v>10</v>
      </c>
      <c r="CC90" s="2" t="e">
        <f t="shared" ca="1" si="22"/>
        <v>#NAME?</v>
      </c>
      <c r="CD90" s="55" t="s">
        <v>31</v>
      </c>
      <c r="CE90" s="2"/>
      <c r="CF90" s="2">
        <v>9</v>
      </c>
      <c r="CG90" s="2">
        <v>9</v>
      </c>
      <c r="CH90" s="2">
        <v>10</v>
      </c>
      <c r="CI90" s="2">
        <v>10</v>
      </c>
      <c r="CJ90" s="2">
        <v>9</v>
      </c>
      <c r="CK90" s="2">
        <v>10</v>
      </c>
      <c r="CL90" s="2">
        <v>10</v>
      </c>
      <c r="CM90" s="2">
        <v>10</v>
      </c>
      <c r="CN90" s="2">
        <v>10</v>
      </c>
      <c r="CO90" s="2">
        <v>10</v>
      </c>
      <c r="CP90" s="2" t="e">
        <f t="shared" ca="1" si="23"/>
        <v>#NAME?</v>
      </c>
      <c r="CQ90" s="2">
        <v>10</v>
      </c>
      <c r="CR90" s="2">
        <v>9</v>
      </c>
      <c r="CS90" s="2">
        <v>9</v>
      </c>
      <c r="CT90" s="2">
        <v>10</v>
      </c>
      <c r="CU90" s="2">
        <v>9</v>
      </c>
      <c r="CV90" s="54">
        <f t="shared" si="8"/>
        <v>10</v>
      </c>
      <c r="CW90" s="55">
        <v>12</v>
      </c>
      <c r="CX90" s="3"/>
    </row>
    <row r="91" spans="1:102" ht="16.5" x14ac:dyDescent="0.55000000000000004">
      <c r="A91" s="17">
        <v>1</v>
      </c>
      <c r="B91" s="17" t="s">
        <v>4</v>
      </c>
      <c r="C91" s="23" t="s">
        <v>222</v>
      </c>
      <c r="D91" s="24" t="s">
        <v>223</v>
      </c>
      <c r="E91" s="48">
        <v>10</v>
      </c>
      <c r="F91" s="2">
        <v>10</v>
      </c>
      <c r="G91" s="2">
        <v>10</v>
      </c>
      <c r="H91" s="2">
        <v>10</v>
      </c>
      <c r="I91" s="2">
        <v>10</v>
      </c>
      <c r="J91" s="2">
        <v>10</v>
      </c>
      <c r="K91" s="2">
        <v>10</v>
      </c>
      <c r="L91" s="2">
        <v>10</v>
      </c>
      <c r="M91" s="2">
        <v>10</v>
      </c>
      <c r="N91" s="2">
        <v>10</v>
      </c>
      <c r="O91" s="2">
        <v>10</v>
      </c>
      <c r="P91" s="2">
        <v>10</v>
      </c>
      <c r="Q91" s="2" t="e">
        <f t="shared" ca="1" si="19"/>
        <v>#NAME?</v>
      </c>
      <c r="R91" s="2">
        <v>10</v>
      </c>
      <c r="S91" s="2">
        <v>10</v>
      </c>
      <c r="T91" s="2">
        <v>10</v>
      </c>
      <c r="U91" s="2">
        <v>10</v>
      </c>
      <c r="V91" s="2">
        <v>10</v>
      </c>
      <c r="W91" s="54">
        <f t="shared" si="1"/>
        <v>10</v>
      </c>
      <c r="X91" s="48"/>
      <c r="Y91" s="2"/>
      <c r="Z91" s="69">
        <v>8</v>
      </c>
      <c r="AA91" s="2">
        <v>10</v>
      </c>
      <c r="AB91" s="2">
        <v>10</v>
      </c>
      <c r="AC91" s="2">
        <v>10</v>
      </c>
      <c r="AD91" s="2">
        <v>10</v>
      </c>
      <c r="AE91" s="2">
        <v>10</v>
      </c>
      <c r="AF91" s="2">
        <v>10</v>
      </c>
      <c r="AG91" s="2">
        <v>10</v>
      </c>
      <c r="AH91" s="2">
        <v>10</v>
      </c>
      <c r="AI91" s="2">
        <v>10</v>
      </c>
      <c r="AJ91" s="2">
        <v>10</v>
      </c>
      <c r="AK91" s="3"/>
      <c r="AL91" s="3"/>
      <c r="AM91" s="3"/>
      <c r="AN91" s="3"/>
      <c r="AO91" s="3"/>
      <c r="AP91" s="3"/>
      <c r="AQ91" s="2" t="e">
        <f t="shared" ca="1" si="20"/>
        <v>#NAME?</v>
      </c>
      <c r="AR91" s="2">
        <v>10</v>
      </c>
      <c r="AS91" s="2">
        <v>10</v>
      </c>
      <c r="AT91" s="2">
        <v>10</v>
      </c>
      <c r="AU91" s="2">
        <v>10</v>
      </c>
      <c r="AV91" s="2">
        <v>10</v>
      </c>
      <c r="AW91" s="54">
        <f t="shared" si="3"/>
        <v>10</v>
      </c>
      <c r="AX91" s="48"/>
      <c r="AY91" s="2"/>
      <c r="AZ91" s="2">
        <v>10</v>
      </c>
      <c r="BA91" s="2">
        <v>10</v>
      </c>
      <c r="BB91" s="2">
        <v>10</v>
      </c>
      <c r="BC91" s="2">
        <v>10</v>
      </c>
      <c r="BD91" s="2">
        <v>10</v>
      </c>
      <c r="BE91" s="2">
        <v>10</v>
      </c>
      <c r="BF91" s="2">
        <v>10</v>
      </c>
      <c r="BG91" s="2">
        <v>10</v>
      </c>
      <c r="BH91" s="2">
        <v>10</v>
      </c>
      <c r="BI91" s="2">
        <v>10</v>
      </c>
      <c r="BJ91" s="2" t="e">
        <f t="shared" ca="1" si="21"/>
        <v>#NAME?</v>
      </c>
      <c r="BK91" s="2">
        <v>10</v>
      </c>
      <c r="BL91" s="2">
        <v>10</v>
      </c>
      <c r="BM91" s="2">
        <v>10</v>
      </c>
      <c r="BN91" s="2">
        <v>10</v>
      </c>
      <c r="BO91" s="2">
        <v>10</v>
      </c>
      <c r="BP91" s="54">
        <f t="shared" si="5"/>
        <v>10</v>
      </c>
      <c r="BQ91" s="5"/>
      <c r="BR91" s="5"/>
      <c r="BS91" s="5">
        <v>10</v>
      </c>
      <c r="BT91" s="5">
        <v>10</v>
      </c>
      <c r="BU91" s="5">
        <v>10</v>
      </c>
      <c r="BV91" s="5">
        <v>10</v>
      </c>
      <c r="BW91" s="5">
        <v>10</v>
      </c>
      <c r="BX91" s="5">
        <v>10</v>
      </c>
      <c r="BY91" s="5">
        <v>10</v>
      </c>
      <c r="BZ91" s="5">
        <v>10</v>
      </c>
      <c r="CA91" s="5">
        <v>10</v>
      </c>
      <c r="CB91" s="5">
        <v>10</v>
      </c>
      <c r="CC91" s="2" t="e">
        <f t="shared" ca="1" si="22"/>
        <v>#NAME?</v>
      </c>
      <c r="CD91" s="55">
        <v>9</v>
      </c>
      <c r="CE91" s="2"/>
      <c r="CF91" s="2">
        <v>10</v>
      </c>
      <c r="CG91" s="2">
        <v>10</v>
      </c>
      <c r="CH91" s="2">
        <v>10</v>
      </c>
      <c r="CI91" s="2">
        <v>8</v>
      </c>
      <c r="CJ91" s="2">
        <v>8</v>
      </c>
      <c r="CK91" s="2">
        <v>10</v>
      </c>
      <c r="CL91" s="2">
        <v>10</v>
      </c>
      <c r="CM91" s="2">
        <v>10</v>
      </c>
      <c r="CN91" s="2">
        <v>10</v>
      </c>
      <c r="CO91" s="2">
        <v>7</v>
      </c>
      <c r="CP91" s="2" t="e">
        <f t="shared" ca="1" si="23"/>
        <v>#NAME?</v>
      </c>
      <c r="CQ91" s="2">
        <v>10</v>
      </c>
      <c r="CR91" s="2">
        <v>7</v>
      </c>
      <c r="CS91" s="2">
        <v>7</v>
      </c>
      <c r="CT91" s="2">
        <v>7</v>
      </c>
      <c r="CU91" s="2">
        <v>7</v>
      </c>
      <c r="CV91" s="54">
        <f t="shared" si="8"/>
        <v>8</v>
      </c>
      <c r="CW91" s="55">
        <v>13</v>
      </c>
      <c r="CX91" s="3"/>
    </row>
    <row r="92" spans="1:102" ht="16.5" x14ac:dyDescent="0.55000000000000004">
      <c r="A92" s="17">
        <v>1</v>
      </c>
      <c r="B92" s="17" t="s">
        <v>4</v>
      </c>
      <c r="C92" s="23" t="s">
        <v>224</v>
      </c>
      <c r="D92" s="24" t="s">
        <v>225</v>
      </c>
      <c r="E92" s="48">
        <v>9</v>
      </c>
      <c r="F92" s="2">
        <v>10</v>
      </c>
      <c r="G92" s="2">
        <v>10</v>
      </c>
      <c r="H92" s="2">
        <v>10</v>
      </c>
      <c r="I92" s="2">
        <v>10</v>
      </c>
      <c r="J92" s="2">
        <v>10</v>
      </c>
      <c r="K92" s="2">
        <v>10</v>
      </c>
      <c r="L92" s="2">
        <v>10</v>
      </c>
      <c r="M92" s="2">
        <v>10</v>
      </c>
      <c r="N92" s="2">
        <v>10</v>
      </c>
      <c r="O92" s="2">
        <v>10</v>
      </c>
      <c r="P92" s="2">
        <v>10</v>
      </c>
      <c r="Q92" s="2" t="e">
        <f t="shared" ca="1" si="19"/>
        <v>#NAME?</v>
      </c>
      <c r="R92" s="2">
        <v>10</v>
      </c>
      <c r="S92" s="2">
        <v>10</v>
      </c>
      <c r="T92" s="2">
        <v>10</v>
      </c>
      <c r="U92" s="2">
        <v>10</v>
      </c>
      <c r="V92" s="2">
        <v>10</v>
      </c>
      <c r="W92" s="54">
        <f t="shared" si="1"/>
        <v>10</v>
      </c>
      <c r="X92" s="48"/>
      <c r="Y92" s="2"/>
      <c r="Z92" s="69">
        <v>8</v>
      </c>
      <c r="AA92" s="2">
        <v>10</v>
      </c>
      <c r="AB92" s="2">
        <v>10</v>
      </c>
      <c r="AC92" s="2">
        <v>10</v>
      </c>
      <c r="AD92" s="2">
        <v>10</v>
      </c>
      <c r="AE92" s="2">
        <v>10</v>
      </c>
      <c r="AF92" s="2">
        <v>10</v>
      </c>
      <c r="AG92" s="2">
        <v>10</v>
      </c>
      <c r="AH92" s="2">
        <v>10</v>
      </c>
      <c r="AI92" s="2">
        <v>10</v>
      </c>
      <c r="AJ92" s="2">
        <v>10</v>
      </c>
      <c r="AK92" s="3"/>
      <c r="AL92" s="3"/>
      <c r="AM92" s="3"/>
      <c r="AN92" s="3"/>
      <c r="AO92" s="3"/>
      <c r="AP92" s="3"/>
      <c r="AQ92" s="2" t="e">
        <f t="shared" ca="1" si="20"/>
        <v>#NAME?</v>
      </c>
      <c r="AR92" s="2">
        <v>10</v>
      </c>
      <c r="AS92" s="2">
        <v>10</v>
      </c>
      <c r="AT92" s="2">
        <v>10</v>
      </c>
      <c r="AU92" s="2">
        <v>10</v>
      </c>
      <c r="AV92" s="2">
        <v>10</v>
      </c>
      <c r="AW92" s="54">
        <f t="shared" si="3"/>
        <v>10</v>
      </c>
      <c r="AX92" s="48"/>
      <c r="AY92" s="2"/>
      <c r="AZ92" s="71">
        <v>10</v>
      </c>
      <c r="BA92" s="71">
        <v>10</v>
      </c>
      <c r="BB92" s="71">
        <v>10</v>
      </c>
      <c r="BC92" s="71">
        <v>10</v>
      </c>
      <c r="BD92" s="71">
        <v>10</v>
      </c>
      <c r="BE92" s="71">
        <v>10</v>
      </c>
      <c r="BF92" s="71">
        <v>10</v>
      </c>
      <c r="BG92" s="71">
        <v>10</v>
      </c>
      <c r="BH92" s="71">
        <v>10</v>
      </c>
      <c r="BI92" s="71">
        <v>10</v>
      </c>
      <c r="BJ92" s="2" t="e">
        <f t="shared" ca="1" si="21"/>
        <v>#NAME?</v>
      </c>
      <c r="BK92" s="71">
        <v>10</v>
      </c>
      <c r="BL92" s="71">
        <v>10</v>
      </c>
      <c r="BM92" s="71">
        <v>10</v>
      </c>
      <c r="BN92" s="71">
        <v>10</v>
      </c>
      <c r="BO92" s="71">
        <v>10</v>
      </c>
      <c r="BP92" s="54">
        <f t="shared" si="5"/>
        <v>10</v>
      </c>
      <c r="BQ92" s="5"/>
      <c r="BR92" s="5"/>
      <c r="BS92" s="5">
        <v>10</v>
      </c>
      <c r="BT92" s="5">
        <v>10</v>
      </c>
      <c r="BU92" s="5">
        <v>10</v>
      </c>
      <c r="BV92" s="5">
        <v>10</v>
      </c>
      <c r="BW92" s="5">
        <v>10</v>
      </c>
      <c r="BX92" s="5">
        <v>10</v>
      </c>
      <c r="BY92" s="5">
        <v>7</v>
      </c>
      <c r="BZ92" s="5">
        <v>7</v>
      </c>
      <c r="CA92" s="5">
        <v>7</v>
      </c>
      <c r="CB92" s="5">
        <v>7</v>
      </c>
      <c r="CC92" s="2" t="e">
        <f t="shared" ca="1" si="22"/>
        <v>#NAME?</v>
      </c>
      <c r="CD92" s="55">
        <v>5</v>
      </c>
      <c r="CE92" s="2"/>
      <c r="CF92" s="2">
        <v>10</v>
      </c>
      <c r="CG92" s="2">
        <v>10</v>
      </c>
      <c r="CH92" s="2">
        <v>10</v>
      </c>
      <c r="CI92" s="2">
        <v>6</v>
      </c>
      <c r="CJ92" s="2">
        <v>7</v>
      </c>
      <c r="CK92" s="2">
        <v>9</v>
      </c>
      <c r="CL92" s="2">
        <v>9</v>
      </c>
      <c r="CM92" s="2">
        <v>10</v>
      </c>
      <c r="CN92" s="2">
        <v>10</v>
      </c>
      <c r="CO92" s="2">
        <v>10</v>
      </c>
      <c r="CP92" s="2" t="e">
        <f t="shared" ca="1" si="23"/>
        <v>#NAME?</v>
      </c>
      <c r="CQ92" s="2">
        <v>10</v>
      </c>
      <c r="CR92" s="2">
        <v>10</v>
      </c>
      <c r="CS92" s="2">
        <v>10</v>
      </c>
      <c r="CT92" s="2">
        <v>10</v>
      </c>
      <c r="CU92" s="2">
        <v>10</v>
      </c>
      <c r="CV92" s="54">
        <f t="shared" si="8"/>
        <v>10</v>
      </c>
      <c r="CW92" s="55">
        <v>9</v>
      </c>
      <c r="CX92" s="3"/>
    </row>
    <row r="93" spans="1:102" ht="16.5" x14ac:dyDescent="0.55000000000000004">
      <c r="A93" s="17">
        <v>1</v>
      </c>
      <c r="B93" s="17" t="s">
        <v>4</v>
      </c>
      <c r="C93" s="23" t="s">
        <v>226</v>
      </c>
      <c r="D93" s="24" t="s">
        <v>227</v>
      </c>
      <c r="E93" s="48">
        <v>10</v>
      </c>
      <c r="F93" s="2">
        <v>10</v>
      </c>
      <c r="G93" s="2">
        <v>10</v>
      </c>
      <c r="H93" s="2">
        <v>10</v>
      </c>
      <c r="I93" s="2">
        <v>10</v>
      </c>
      <c r="J93" s="2">
        <v>10</v>
      </c>
      <c r="K93" s="2">
        <v>10</v>
      </c>
      <c r="L93" s="2">
        <v>10</v>
      </c>
      <c r="M93" s="2">
        <v>10</v>
      </c>
      <c r="N93" s="2">
        <v>10</v>
      </c>
      <c r="O93" s="2">
        <v>10</v>
      </c>
      <c r="P93" s="2">
        <v>10</v>
      </c>
      <c r="Q93" s="2" t="e">
        <f t="shared" ca="1" si="19"/>
        <v>#NAME?</v>
      </c>
      <c r="R93" s="2">
        <v>10</v>
      </c>
      <c r="S93" s="2">
        <v>10</v>
      </c>
      <c r="T93" s="2">
        <v>10</v>
      </c>
      <c r="U93" s="2">
        <v>10</v>
      </c>
      <c r="V93" s="2">
        <v>10</v>
      </c>
      <c r="W93" s="54">
        <f t="shared" si="1"/>
        <v>10</v>
      </c>
      <c r="X93" s="48"/>
      <c r="Y93" s="2"/>
      <c r="Z93" s="69">
        <v>10</v>
      </c>
      <c r="AA93" s="2">
        <v>10</v>
      </c>
      <c r="AB93" s="2">
        <v>10</v>
      </c>
      <c r="AC93" s="2">
        <v>10</v>
      </c>
      <c r="AD93" s="2">
        <v>10</v>
      </c>
      <c r="AE93" s="2">
        <v>10</v>
      </c>
      <c r="AF93" s="2">
        <v>10</v>
      </c>
      <c r="AG93" s="2">
        <v>10</v>
      </c>
      <c r="AH93" s="2">
        <v>10</v>
      </c>
      <c r="AI93" s="2">
        <v>10</v>
      </c>
      <c r="AJ93" s="2">
        <v>10</v>
      </c>
      <c r="AK93" s="3"/>
      <c r="AL93" s="3"/>
      <c r="AM93" s="3"/>
      <c r="AN93" s="3"/>
      <c r="AO93" s="3"/>
      <c r="AP93" s="3"/>
      <c r="AQ93" s="2" t="e">
        <f t="shared" ca="1" si="20"/>
        <v>#NAME?</v>
      </c>
      <c r="AR93" s="8">
        <v>10</v>
      </c>
      <c r="AS93" s="8">
        <v>10</v>
      </c>
      <c r="AT93" s="8">
        <v>10</v>
      </c>
      <c r="AU93" s="8">
        <v>10</v>
      </c>
      <c r="AV93" s="8">
        <v>10</v>
      </c>
      <c r="AW93" s="54">
        <f t="shared" si="3"/>
        <v>10</v>
      </c>
      <c r="AX93" s="48"/>
      <c r="AY93" s="2"/>
      <c r="AZ93" s="1">
        <v>10</v>
      </c>
      <c r="BA93" s="1">
        <v>10</v>
      </c>
      <c r="BB93" s="1">
        <v>10</v>
      </c>
      <c r="BC93" s="1">
        <v>10</v>
      </c>
      <c r="BD93" s="1">
        <v>10</v>
      </c>
      <c r="BE93" s="1">
        <v>10</v>
      </c>
      <c r="BF93" s="1">
        <v>10</v>
      </c>
      <c r="BG93" s="1">
        <v>10</v>
      </c>
      <c r="BH93" s="1">
        <v>10</v>
      </c>
      <c r="BI93" s="1">
        <v>10</v>
      </c>
      <c r="BJ93" s="2" t="e">
        <f t="shared" ca="1" si="21"/>
        <v>#NAME?</v>
      </c>
      <c r="BK93" s="1">
        <v>10</v>
      </c>
      <c r="BL93" s="1">
        <v>10</v>
      </c>
      <c r="BM93" s="1">
        <v>10</v>
      </c>
      <c r="BN93" s="1">
        <v>10</v>
      </c>
      <c r="BO93" s="1">
        <v>10</v>
      </c>
      <c r="BP93" s="54">
        <f t="shared" si="5"/>
        <v>10</v>
      </c>
      <c r="BQ93" s="5"/>
      <c r="BR93" s="5"/>
      <c r="BS93" s="5">
        <v>10</v>
      </c>
      <c r="BT93" s="5">
        <v>10</v>
      </c>
      <c r="BU93" s="5">
        <v>10</v>
      </c>
      <c r="BV93" s="5">
        <v>10</v>
      </c>
      <c r="BW93" s="5">
        <v>10</v>
      </c>
      <c r="BX93" s="5">
        <v>10</v>
      </c>
      <c r="BY93" s="5">
        <v>7</v>
      </c>
      <c r="BZ93" s="5">
        <v>7</v>
      </c>
      <c r="CA93" s="5">
        <v>7</v>
      </c>
      <c r="CB93" s="5">
        <v>7</v>
      </c>
      <c r="CC93" s="2" t="e">
        <f t="shared" ca="1" si="22"/>
        <v>#NAME?</v>
      </c>
      <c r="CD93" s="55">
        <v>2</v>
      </c>
      <c r="CE93" s="2"/>
      <c r="CF93" s="2">
        <v>9</v>
      </c>
      <c r="CG93" s="2">
        <v>9</v>
      </c>
      <c r="CH93" s="2">
        <v>10</v>
      </c>
      <c r="CI93" s="2">
        <v>6</v>
      </c>
      <c r="CJ93" s="2">
        <v>7</v>
      </c>
      <c r="CK93" s="2">
        <v>8</v>
      </c>
      <c r="CL93" s="2">
        <v>9</v>
      </c>
      <c r="CM93" s="2">
        <v>10</v>
      </c>
      <c r="CN93" s="2">
        <v>9</v>
      </c>
      <c r="CO93" s="2">
        <v>10</v>
      </c>
      <c r="CP93" s="2" t="e">
        <f t="shared" ca="1" si="23"/>
        <v>#NAME?</v>
      </c>
      <c r="CQ93" s="2">
        <v>10</v>
      </c>
      <c r="CR93" s="2">
        <v>10</v>
      </c>
      <c r="CS93" s="2">
        <v>10</v>
      </c>
      <c r="CT93" s="2">
        <v>10</v>
      </c>
      <c r="CU93" s="2">
        <v>10</v>
      </c>
      <c r="CV93" s="54">
        <f t="shared" si="8"/>
        <v>10</v>
      </c>
      <c r="CW93" s="55">
        <v>5</v>
      </c>
      <c r="CX93" s="3"/>
    </row>
    <row r="94" spans="1:102" ht="16.5" x14ac:dyDescent="0.55000000000000004">
      <c r="A94" s="17">
        <v>1</v>
      </c>
      <c r="B94" s="17" t="s">
        <v>4</v>
      </c>
      <c r="C94" s="23" t="s">
        <v>228</v>
      </c>
      <c r="D94" s="24" t="s">
        <v>229</v>
      </c>
      <c r="E94" s="48">
        <v>10</v>
      </c>
      <c r="F94" s="2">
        <v>10</v>
      </c>
      <c r="G94" s="2">
        <v>10</v>
      </c>
      <c r="H94" s="2">
        <v>10</v>
      </c>
      <c r="I94" s="2">
        <v>10</v>
      </c>
      <c r="J94" s="2">
        <v>10</v>
      </c>
      <c r="K94" s="2">
        <v>10</v>
      </c>
      <c r="L94" s="2">
        <v>10</v>
      </c>
      <c r="M94" s="2">
        <v>10</v>
      </c>
      <c r="N94" s="2">
        <v>10</v>
      </c>
      <c r="O94" s="2">
        <v>10</v>
      </c>
      <c r="P94" s="2">
        <v>10</v>
      </c>
      <c r="Q94" s="2" t="e">
        <f t="shared" ca="1" si="19"/>
        <v>#NAME?</v>
      </c>
      <c r="R94" s="2">
        <v>10</v>
      </c>
      <c r="S94" s="2">
        <v>10</v>
      </c>
      <c r="T94" s="2">
        <v>10</v>
      </c>
      <c r="U94" s="2">
        <v>10</v>
      </c>
      <c r="V94" s="2">
        <v>10</v>
      </c>
      <c r="W94" s="54">
        <f t="shared" si="1"/>
        <v>10</v>
      </c>
      <c r="X94" s="48"/>
      <c r="Y94" s="2"/>
      <c r="Z94" s="69">
        <v>13</v>
      </c>
      <c r="AA94" s="2">
        <v>10</v>
      </c>
      <c r="AB94" s="2">
        <v>10</v>
      </c>
      <c r="AC94" s="2">
        <v>10</v>
      </c>
      <c r="AD94" s="2">
        <v>10</v>
      </c>
      <c r="AE94" s="2">
        <v>10</v>
      </c>
      <c r="AF94" s="2">
        <v>10</v>
      </c>
      <c r="AG94" s="2">
        <v>10</v>
      </c>
      <c r="AH94" s="2">
        <v>10</v>
      </c>
      <c r="AI94" s="2">
        <v>10</v>
      </c>
      <c r="AJ94" s="2">
        <v>10</v>
      </c>
      <c r="AK94" s="3"/>
      <c r="AL94" s="3"/>
      <c r="AM94" s="3"/>
      <c r="AN94" s="3"/>
      <c r="AO94" s="3"/>
      <c r="AP94" s="3"/>
      <c r="AQ94" s="2" t="e">
        <f t="shared" ca="1" si="20"/>
        <v>#NAME?</v>
      </c>
      <c r="AR94" s="2">
        <v>10</v>
      </c>
      <c r="AS94" s="2">
        <v>10</v>
      </c>
      <c r="AT94" s="2">
        <v>10</v>
      </c>
      <c r="AU94" s="2">
        <v>10</v>
      </c>
      <c r="AV94" s="2">
        <v>10</v>
      </c>
      <c r="AW94" s="54">
        <f t="shared" si="3"/>
        <v>10</v>
      </c>
      <c r="AX94" s="48"/>
      <c r="AY94" s="2"/>
      <c r="AZ94" s="71">
        <v>10</v>
      </c>
      <c r="BA94" s="71">
        <v>10</v>
      </c>
      <c r="BB94" s="71">
        <v>10</v>
      </c>
      <c r="BC94" s="71">
        <v>10</v>
      </c>
      <c r="BD94" s="71">
        <v>10</v>
      </c>
      <c r="BE94" s="71">
        <v>10</v>
      </c>
      <c r="BF94" s="71">
        <v>10</v>
      </c>
      <c r="BG94" s="71">
        <v>10</v>
      </c>
      <c r="BH94" s="71">
        <v>10</v>
      </c>
      <c r="BI94" s="71">
        <v>10</v>
      </c>
      <c r="BJ94" s="2" t="e">
        <f t="shared" ca="1" si="21"/>
        <v>#NAME?</v>
      </c>
      <c r="BK94" s="71">
        <v>10</v>
      </c>
      <c r="BL94" s="71">
        <v>10</v>
      </c>
      <c r="BM94" s="71">
        <v>10</v>
      </c>
      <c r="BN94" s="71">
        <v>10</v>
      </c>
      <c r="BO94" s="71">
        <v>10</v>
      </c>
      <c r="BP94" s="54">
        <f t="shared" si="5"/>
        <v>10</v>
      </c>
      <c r="BQ94" s="5"/>
      <c r="BR94" s="5"/>
      <c r="BS94" s="5">
        <v>10</v>
      </c>
      <c r="BT94" s="5">
        <v>10</v>
      </c>
      <c r="BU94" s="5">
        <v>10</v>
      </c>
      <c r="BV94" s="5">
        <v>10</v>
      </c>
      <c r="BW94" s="5">
        <v>7</v>
      </c>
      <c r="BX94" s="5">
        <v>7</v>
      </c>
      <c r="BY94" s="5">
        <v>7</v>
      </c>
      <c r="BZ94" s="5">
        <v>7</v>
      </c>
      <c r="CA94" s="5">
        <v>7</v>
      </c>
      <c r="CB94" s="5">
        <v>7</v>
      </c>
      <c r="CC94" s="2" t="e">
        <f t="shared" ca="1" si="22"/>
        <v>#NAME?</v>
      </c>
      <c r="CD94" s="55" t="s">
        <v>31</v>
      </c>
      <c r="CE94" s="2"/>
      <c r="CF94" s="2">
        <v>9</v>
      </c>
      <c r="CG94" s="2">
        <v>9</v>
      </c>
      <c r="CH94" s="2">
        <v>10</v>
      </c>
      <c r="CI94" s="2">
        <v>6</v>
      </c>
      <c r="CJ94" s="2">
        <v>7</v>
      </c>
      <c r="CK94" s="2">
        <v>8</v>
      </c>
      <c r="CL94" s="2">
        <v>9</v>
      </c>
      <c r="CM94" s="2">
        <v>10</v>
      </c>
      <c r="CN94" s="2">
        <v>10</v>
      </c>
      <c r="CO94" s="2">
        <v>10</v>
      </c>
      <c r="CP94" s="2" t="e">
        <f t="shared" ca="1" si="23"/>
        <v>#NAME?</v>
      </c>
      <c r="CQ94" s="2">
        <v>10</v>
      </c>
      <c r="CR94" s="2">
        <v>10</v>
      </c>
      <c r="CS94" s="2">
        <v>10</v>
      </c>
      <c r="CT94" s="2">
        <v>10</v>
      </c>
      <c r="CU94" s="2">
        <v>10</v>
      </c>
      <c r="CV94" s="54">
        <f t="shared" si="8"/>
        <v>10</v>
      </c>
      <c r="CW94" s="55">
        <v>8</v>
      </c>
      <c r="CX94" s="3"/>
    </row>
    <row r="95" spans="1:102" ht="16.5" x14ac:dyDescent="0.55000000000000004">
      <c r="A95" s="17">
        <v>1</v>
      </c>
      <c r="B95" s="17" t="s">
        <v>4</v>
      </c>
      <c r="C95" s="23" t="s">
        <v>230</v>
      </c>
      <c r="D95" s="24" t="s">
        <v>231</v>
      </c>
      <c r="E95" s="48">
        <v>10</v>
      </c>
      <c r="F95" s="2">
        <v>10</v>
      </c>
      <c r="G95" s="2">
        <v>10</v>
      </c>
      <c r="H95" s="2">
        <v>10</v>
      </c>
      <c r="I95" s="2">
        <v>10</v>
      </c>
      <c r="J95" s="2">
        <v>10</v>
      </c>
      <c r="K95" s="2">
        <v>10</v>
      </c>
      <c r="L95" s="2">
        <v>10</v>
      </c>
      <c r="M95" s="2">
        <v>10</v>
      </c>
      <c r="N95" s="2">
        <v>10</v>
      </c>
      <c r="O95" s="2">
        <v>10</v>
      </c>
      <c r="P95" s="2">
        <v>10</v>
      </c>
      <c r="Q95" s="2" t="e">
        <f t="shared" ca="1" si="19"/>
        <v>#NAME?</v>
      </c>
      <c r="R95" s="2">
        <v>10</v>
      </c>
      <c r="S95" s="2">
        <v>10</v>
      </c>
      <c r="T95" s="2">
        <v>10</v>
      </c>
      <c r="U95" s="2">
        <v>10</v>
      </c>
      <c r="V95" s="2">
        <v>10</v>
      </c>
      <c r="W95" s="54">
        <f t="shared" si="1"/>
        <v>10</v>
      </c>
      <c r="X95" s="48"/>
      <c r="Y95" s="2"/>
      <c r="Z95" s="69">
        <v>11</v>
      </c>
      <c r="AA95" s="2">
        <v>10</v>
      </c>
      <c r="AB95" s="2">
        <v>10</v>
      </c>
      <c r="AC95" s="2">
        <v>10</v>
      </c>
      <c r="AD95" s="2">
        <v>10</v>
      </c>
      <c r="AE95" s="2">
        <v>10</v>
      </c>
      <c r="AF95" s="2">
        <v>10</v>
      </c>
      <c r="AG95" s="2">
        <v>10</v>
      </c>
      <c r="AH95" s="2">
        <v>10</v>
      </c>
      <c r="AI95" s="2">
        <v>10</v>
      </c>
      <c r="AJ95" s="2">
        <v>10</v>
      </c>
      <c r="AK95" s="3"/>
      <c r="AL95" s="3"/>
      <c r="AM95" s="3"/>
      <c r="AN95" s="3"/>
      <c r="AO95" s="3"/>
      <c r="AP95" s="3"/>
      <c r="AQ95" s="2" t="e">
        <f t="shared" ca="1" si="20"/>
        <v>#NAME?</v>
      </c>
      <c r="AR95" s="2">
        <v>10</v>
      </c>
      <c r="AS95" s="2">
        <v>10</v>
      </c>
      <c r="AT95" s="2">
        <v>10</v>
      </c>
      <c r="AU95" s="2">
        <v>10</v>
      </c>
      <c r="AV95" s="2">
        <v>10</v>
      </c>
      <c r="AW95" s="54">
        <f t="shared" si="3"/>
        <v>10</v>
      </c>
      <c r="AX95" s="48"/>
      <c r="AY95" s="2"/>
      <c r="AZ95" s="70">
        <v>10</v>
      </c>
      <c r="BA95" s="71">
        <v>10</v>
      </c>
      <c r="BB95" s="71">
        <v>10</v>
      </c>
      <c r="BC95" s="78">
        <v>10</v>
      </c>
      <c r="BD95" s="2">
        <v>10</v>
      </c>
      <c r="BE95" s="2">
        <v>10</v>
      </c>
      <c r="BF95" s="2">
        <v>10</v>
      </c>
      <c r="BG95" s="2">
        <v>10</v>
      </c>
      <c r="BH95" s="2">
        <v>10</v>
      </c>
      <c r="BI95" s="2">
        <v>10</v>
      </c>
      <c r="BJ95" s="2" t="e">
        <f t="shared" ca="1" si="21"/>
        <v>#NAME?</v>
      </c>
      <c r="BK95" s="5">
        <v>10</v>
      </c>
      <c r="BL95" s="5">
        <v>10</v>
      </c>
      <c r="BM95" s="5">
        <v>10</v>
      </c>
      <c r="BN95" s="5">
        <v>10</v>
      </c>
      <c r="BO95" s="2">
        <v>10</v>
      </c>
      <c r="BP95" s="54">
        <f t="shared" si="5"/>
        <v>10</v>
      </c>
      <c r="BQ95" s="5"/>
      <c r="BR95" s="5"/>
      <c r="BS95" s="5">
        <v>10</v>
      </c>
      <c r="BT95" s="5">
        <v>10</v>
      </c>
      <c r="BU95" s="5">
        <v>10</v>
      </c>
      <c r="BV95" s="5">
        <v>10</v>
      </c>
      <c r="BW95" s="5">
        <v>10</v>
      </c>
      <c r="BX95" s="5">
        <v>10</v>
      </c>
      <c r="BY95" s="5">
        <v>10</v>
      </c>
      <c r="BZ95" s="5">
        <v>10</v>
      </c>
      <c r="CA95" s="5">
        <v>10</v>
      </c>
      <c r="CB95" s="5">
        <v>10</v>
      </c>
      <c r="CC95" s="2" t="e">
        <f t="shared" ca="1" si="22"/>
        <v>#NAME?</v>
      </c>
      <c r="CD95" s="55">
        <v>3</v>
      </c>
      <c r="CE95" s="2"/>
      <c r="CF95" s="2">
        <v>10</v>
      </c>
      <c r="CG95" s="2">
        <v>10</v>
      </c>
      <c r="CH95" s="2">
        <v>10</v>
      </c>
      <c r="CI95" s="2">
        <v>10</v>
      </c>
      <c r="CJ95" s="2">
        <v>10</v>
      </c>
      <c r="CK95" s="2">
        <v>10</v>
      </c>
      <c r="CL95" s="2">
        <v>10</v>
      </c>
      <c r="CM95" s="2">
        <v>10</v>
      </c>
      <c r="CN95" s="2">
        <v>10</v>
      </c>
      <c r="CO95" s="2">
        <v>10</v>
      </c>
      <c r="CP95" s="2" t="e">
        <f t="shared" ca="1" si="23"/>
        <v>#NAME?</v>
      </c>
      <c r="CQ95" s="2">
        <v>10</v>
      </c>
      <c r="CR95" s="2">
        <v>10</v>
      </c>
      <c r="CS95" s="2">
        <v>10</v>
      </c>
      <c r="CT95" s="2">
        <v>10</v>
      </c>
      <c r="CU95" s="2">
        <v>10</v>
      </c>
      <c r="CV95" s="54">
        <f t="shared" si="8"/>
        <v>10</v>
      </c>
      <c r="CW95" s="55">
        <v>7</v>
      </c>
      <c r="CX95" s="3"/>
    </row>
    <row r="96" spans="1:102" ht="16.5" x14ac:dyDescent="0.55000000000000004">
      <c r="A96" s="17">
        <v>1</v>
      </c>
      <c r="B96" s="17" t="s">
        <v>4</v>
      </c>
      <c r="C96" s="23" t="s">
        <v>232</v>
      </c>
      <c r="D96" s="24" t="s">
        <v>233</v>
      </c>
      <c r="E96" s="48">
        <v>10</v>
      </c>
      <c r="F96" s="2">
        <v>10</v>
      </c>
      <c r="G96" s="2">
        <v>10</v>
      </c>
      <c r="H96" s="2">
        <v>10</v>
      </c>
      <c r="I96" s="2">
        <v>10</v>
      </c>
      <c r="J96" s="2">
        <v>10</v>
      </c>
      <c r="K96" s="2">
        <v>10</v>
      </c>
      <c r="L96" s="2">
        <v>10</v>
      </c>
      <c r="M96" s="2">
        <v>10</v>
      </c>
      <c r="N96" s="2">
        <v>10</v>
      </c>
      <c r="O96" s="2">
        <v>10</v>
      </c>
      <c r="P96" s="2">
        <v>10</v>
      </c>
      <c r="Q96" s="2" t="e">
        <f t="shared" ca="1" si="19"/>
        <v>#NAME?</v>
      </c>
      <c r="R96" s="2">
        <v>10</v>
      </c>
      <c r="S96" s="2">
        <v>10</v>
      </c>
      <c r="T96" s="2">
        <v>10</v>
      </c>
      <c r="U96" s="2">
        <v>10</v>
      </c>
      <c r="V96" s="2">
        <v>10</v>
      </c>
      <c r="W96" s="54">
        <f t="shared" si="1"/>
        <v>10</v>
      </c>
      <c r="X96" s="48"/>
      <c r="Y96" s="2"/>
      <c r="Z96" s="69">
        <v>19</v>
      </c>
      <c r="AA96" s="2">
        <v>10</v>
      </c>
      <c r="AB96" s="2">
        <v>10</v>
      </c>
      <c r="AC96" s="2">
        <v>10</v>
      </c>
      <c r="AD96" s="2">
        <v>10</v>
      </c>
      <c r="AE96" s="2">
        <v>10</v>
      </c>
      <c r="AF96" s="2">
        <v>10</v>
      </c>
      <c r="AG96" s="2">
        <v>10</v>
      </c>
      <c r="AH96" s="2">
        <v>10</v>
      </c>
      <c r="AI96" s="2">
        <v>10</v>
      </c>
      <c r="AJ96" s="2">
        <v>10</v>
      </c>
      <c r="AK96" s="3"/>
      <c r="AL96" s="3"/>
      <c r="AM96" s="3"/>
      <c r="AN96" s="3"/>
      <c r="AO96" s="3"/>
      <c r="AP96" s="3"/>
      <c r="AQ96" s="2" t="e">
        <f t="shared" ca="1" si="20"/>
        <v>#NAME?</v>
      </c>
      <c r="AR96" s="2">
        <v>10</v>
      </c>
      <c r="AS96" s="2">
        <v>10</v>
      </c>
      <c r="AT96" s="2">
        <v>10</v>
      </c>
      <c r="AU96" s="2">
        <v>10</v>
      </c>
      <c r="AV96" s="2">
        <v>10</v>
      </c>
      <c r="AW96" s="54">
        <f t="shared" si="3"/>
        <v>10</v>
      </c>
      <c r="AX96" s="48"/>
      <c r="AY96" s="2"/>
      <c r="AZ96" s="71">
        <v>10</v>
      </c>
      <c r="BA96" s="71">
        <v>10</v>
      </c>
      <c r="BB96" s="71">
        <v>10</v>
      </c>
      <c r="BC96" s="71">
        <v>10</v>
      </c>
      <c r="BD96" s="71">
        <v>10</v>
      </c>
      <c r="BE96" s="71">
        <v>10</v>
      </c>
      <c r="BF96" s="71">
        <v>10</v>
      </c>
      <c r="BG96" s="71">
        <v>10</v>
      </c>
      <c r="BH96" s="71">
        <v>10</v>
      </c>
      <c r="BI96" s="71">
        <v>10</v>
      </c>
      <c r="BJ96" s="2" t="e">
        <f t="shared" ca="1" si="21"/>
        <v>#NAME?</v>
      </c>
      <c r="BK96" s="5">
        <v>10</v>
      </c>
      <c r="BL96" s="5">
        <v>10</v>
      </c>
      <c r="BM96" s="71">
        <v>10</v>
      </c>
      <c r="BN96" s="71">
        <v>10</v>
      </c>
      <c r="BO96" s="71">
        <v>10</v>
      </c>
      <c r="BP96" s="54">
        <f t="shared" si="5"/>
        <v>10</v>
      </c>
      <c r="BQ96" s="5"/>
      <c r="BR96" s="5"/>
      <c r="BS96" s="5">
        <v>10</v>
      </c>
      <c r="BT96" s="5">
        <v>10</v>
      </c>
      <c r="BU96" s="5">
        <v>10</v>
      </c>
      <c r="BV96" s="5">
        <v>10</v>
      </c>
      <c r="BW96" s="5">
        <v>10</v>
      </c>
      <c r="BX96" s="5">
        <v>10</v>
      </c>
      <c r="BY96" s="5">
        <v>10</v>
      </c>
      <c r="BZ96" s="5">
        <v>10</v>
      </c>
      <c r="CA96" s="5">
        <v>10</v>
      </c>
      <c r="CB96" s="5">
        <v>10</v>
      </c>
      <c r="CC96" s="2" t="e">
        <f t="shared" ca="1" si="22"/>
        <v>#NAME?</v>
      </c>
      <c r="CD96" s="55">
        <v>6</v>
      </c>
      <c r="CE96" s="2"/>
      <c r="CF96" s="2">
        <v>10</v>
      </c>
      <c r="CG96" s="2">
        <v>10</v>
      </c>
      <c r="CH96" s="2">
        <v>10</v>
      </c>
      <c r="CI96" s="2">
        <v>7</v>
      </c>
      <c r="CJ96" s="2">
        <v>8</v>
      </c>
      <c r="CK96" s="2">
        <v>9</v>
      </c>
      <c r="CL96" s="2">
        <v>10</v>
      </c>
      <c r="CM96" s="2">
        <v>10</v>
      </c>
      <c r="CN96" s="2">
        <v>10</v>
      </c>
      <c r="CO96" s="2">
        <v>10</v>
      </c>
      <c r="CP96" s="2" t="e">
        <f t="shared" ca="1" si="23"/>
        <v>#NAME?</v>
      </c>
      <c r="CQ96" s="2">
        <v>10</v>
      </c>
      <c r="CR96" s="2">
        <v>10</v>
      </c>
      <c r="CS96" s="2">
        <v>10</v>
      </c>
      <c r="CT96" s="2">
        <v>10</v>
      </c>
      <c r="CU96" s="2">
        <v>10</v>
      </c>
      <c r="CV96" s="54">
        <f t="shared" si="8"/>
        <v>10</v>
      </c>
      <c r="CW96" s="55">
        <v>18</v>
      </c>
      <c r="CX96" s="3"/>
    </row>
    <row r="97" spans="1:102" ht="16.5" x14ac:dyDescent="0.55000000000000004">
      <c r="A97" s="17">
        <v>2</v>
      </c>
      <c r="B97" s="17" t="s">
        <v>4</v>
      </c>
      <c r="C97" s="23" t="s">
        <v>234</v>
      </c>
      <c r="D97" s="24" t="s">
        <v>235</v>
      </c>
      <c r="E97" s="48">
        <v>10</v>
      </c>
      <c r="F97" s="2">
        <v>10</v>
      </c>
      <c r="G97" s="2">
        <v>10</v>
      </c>
      <c r="H97" s="2">
        <v>10</v>
      </c>
      <c r="I97" s="2">
        <v>10</v>
      </c>
      <c r="J97" s="2">
        <v>10</v>
      </c>
      <c r="K97" s="2">
        <v>10</v>
      </c>
      <c r="L97" s="2">
        <v>10</v>
      </c>
      <c r="M97" s="2">
        <v>10</v>
      </c>
      <c r="N97" s="2">
        <v>10</v>
      </c>
      <c r="O97" s="2">
        <v>10</v>
      </c>
      <c r="P97" s="2">
        <v>10</v>
      </c>
      <c r="Q97" s="2" t="e">
        <f t="shared" ca="1" si="19"/>
        <v>#NAME?</v>
      </c>
      <c r="R97" s="2">
        <v>10</v>
      </c>
      <c r="S97" s="2">
        <v>10</v>
      </c>
      <c r="T97" s="2">
        <v>10</v>
      </c>
      <c r="U97" s="2">
        <v>10</v>
      </c>
      <c r="V97" s="2">
        <v>10</v>
      </c>
      <c r="W97" s="54">
        <f t="shared" si="1"/>
        <v>10</v>
      </c>
      <c r="X97" s="48"/>
      <c r="Y97" s="2"/>
      <c r="Z97" s="69">
        <v>15</v>
      </c>
      <c r="AA97" s="2">
        <v>10</v>
      </c>
      <c r="AB97" s="2">
        <v>10</v>
      </c>
      <c r="AC97" s="2">
        <v>10</v>
      </c>
      <c r="AD97" s="2">
        <v>10</v>
      </c>
      <c r="AE97" s="2">
        <v>10</v>
      </c>
      <c r="AF97" s="2">
        <v>10</v>
      </c>
      <c r="AG97" s="2">
        <v>10</v>
      </c>
      <c r="AH97" s="2">
        <v>10</v>
      </c>
      <c r="AI97" s="2">
        <v>10</v>
      </c>
      <c r="AJ97" s="2">
        <v>10</v>
      </c>
      <c r="AK97" s="3"/>
      <c r="AL97" s="3"/>
      <c r="AM97" s="3"/>
      <c r="AN97" s="3"/>
      <c r="AO97" s="3"/>
      <c r="AP97" s="3"/>
      <c r="AQ97" s="2" t="e">
        <f t="shared" ca="1" si="20"/>
        <v>#NAME?</v>
      </c>
      <c r="AR97" s="2">
        <v>10</v>
      </c>
      <c r="AS97" s="2">
        <v>10</v>
      </c>
      <c r="AT97" s="2">
        <v>10</v>
      </c>
      <c r="AU97" s="2">
        <v>10</v>
      </c>
      <c r="AV97" s="2">
        <v>10</v>
      </c>
      <c r="AW97" s="54">
        <f t="shared" si="3"/>
        <v>10</v>
      </c>
      <c r="AX97" s="48"/>
      <c r="AY97" s="2"/>
      <c r="AZ97" s="2">
        <v>10</v>
      </c>
      <c r="BA97" s="2">
        <v>10</v>
      </c>
      <c r="BB97" s="2">
        <v>10</v>
      </c>
      <c r="BC97" s="2">
        <v>10</v>
      </c>
      <c r="BD97" s="2">
        <v>10</v>
      </c>
      <c r="BE97" s="2">
        <v>10</v>
      </c>
      <c r="BF97" s="2">
        <v>10</v>
      </c>
      <c r="BG97" s="2">
        <v>10</v>
      </c>
      <c r="BH97" s="2">
        <v>10</v>
      </c>
      <c r="BI97" s="2">
        <v>10</v>
      </c>
      <c r="BJ97" s="2" t="e">
        <f t="shared" ca="1" si="21"/>
        <v>#NAME?</v>
      </c>
      <c r="BK97" s="5">
        <v>10</v>
      </c>
      <c r="BL97" s="2">
        <v>10</v>
      </c>
      <c r="BM97" s="2">
        <v>10</v>
      </c>
      <c r="BN97" s="2">
        <v>10</v>
      </c>
      <c r="BO97" s="2">
        <v>10</v>
      </c>
      <c r="BP97" s="54">
        <f t="shared" si="5"/>
        <v>10</v>
      </c>
      <c r="BQ97" s="5"/>
      <c r="BR97" s="5"/>
      <c r="BS97" s="5">
        <v>10</v>
      </c>
      <c r="BT97" s="5">
        <v>10</v>
      </c>
      <c r="BU97" s="5">
        <v>10</v>
      </c>
      <c r="BV97" s="5">
        <v>10</v>
      </c>
      <c r="BW97" s="5">
        <v>10</v>
      </c>
      <c r="BX97" s="5">
        <v>10</v>
      </c>
      <c r="BY97" s="5">
        <v>10</v>
      </c>
      <c r="BZ97" s="5">
        <v>10</v>
      </c>
      <c r="CA97" s="5">
        <v>10</v>
      </c>
      <c r="CB97" s="5">
        <v>10</v>
      </c>
      <c r="CC97" s="2" t="e">
        <f t="shared" ca="1" si="22"/>
        <v>#NAME?</v>
      </c>
      <c r="CD97" s="55">
        <v>5</v>
      </c>
      <c r="CE97" s="2"/>
      <c r="CF97" s="2">
        <v>9</v>
      </c>
      <c r="CG97" s="2">
        <v>10</v>
      </c>
      <c r="CH97" s="2">
        <v>10</v>
      </c>
      <c r="CI97" s="2">
        <v>7</v>
      </c>
      <c r="CJ97" s="2">
        <v>8</v>
      </c>
      <c r="CK97" s="2">
        <v>9</v>
      </c>
      <c r="CL97" s="2">
        <v>10</v>
      </c>
      <c r="CM97" s="2">
        <v>10</v>
      </c>
      <c r="CN97" s="2">
        <v>10</v>
      </c>
      <c r="CO97" s="2">
        <v>10</v>
      </c>
      <c r="CP97" s="2" t="e">
        <f t="shared" ca="1" si="23"/>
        <v>#NAME?</v>
      </c>
      <c r="CQ97" s="2">
        <v>10</v>
      </c>
      <c r="CR97" s="2">
        <v>7</v>
      </c>
      <c r="CS97" s="2">
        <v>8</v>
      </c>
      <c r="CT97" s="2">
        <v>10</v>
      </c>
      <c r="CU97" s="2">
        <v>10</v>
      </c>
      <c r="CV97" s="54">
        <f t="shared" si="8"/>
        <v>9</v>
      </c>
      <c r="CW97" s="55">
        <v>12</v>
      </c>
      <c r="CX97" s="3"/>
    </row>
    <row r="98" spans="1:102" ht="16.5" x14ac:dyDescent="0.55000000000000004">
      <c r="A98" s="17">
        <v>2</v>
      </c>
      <c r="B98" s="17" t="s">
        <v>4</v>
      </c>
      <c r="C98" s="23" t="s">
        <v>236</v>
      </c>
      <c r="D98" s="24" t="s">
        <v>237</v>
      </c>
      <c r="E98" s="48">
        <v>8</v>
      </c>
      <c r="F98" s="2">
        <v>8</v>
      </c>
      <c r="G98" s="2">
        <v>10</v>
      </c>
      <c r="H98" s="2">
        <v>10</v>
      </c>
      <c r="I98" s="2">
        <v>9</v>
      </c>
      <c r="J98" s="2">
        <v>10</v>
      </c>
      <c r="K98" s="2">
        <v>10</v>
      </c>
      <c r="L98" s="2">
        <v>10</v>
      </c>
      <c r="M98" s="2">
        <v>10</v>
      </c>
      <c r="N98" s="2">
        <v>10</v>
      </c>
      <c r="O98" s="2">
        <v>10</v>
      </c>
      <c r="P98" s="2">
        <v>10</v>
      </c>
      <c r="Q98" s="2" t="e">
        <f t="shared" ca="1" si="19"/>
        <v>#NAME?</v>
      </c>
      <c r="R98" s="2">
        <v>10</v>
      </c>
      <c r="S98" s="2">
        <v>10</v>
      </c>
      <c r="T98" s="2">
        <v>10</v>
      </c>
      <c r="U98" s="2">
        <v>10</v>
      </c>
      <c r="V98" s="2">
        <v>10</v>
      </c>
      <c r="W98" s="54">
        <f t="shared" si="1"/>
        <v>10</v>
      </c>
      <c r="X98" s="48"/>
      <c r="Y98" s="2"/>
      <c r="Z98" s="73" t="s">
        <v>31</v>
      </c>
      <c r="AA98" s="2">
        <v>10</v>
      </c>
      <c r="AB98" s="2">
        <v>10</v>
      </c>
      <c r="AC98" s="2">
        <v>10</v>
      </c>
      <c r="AD98" s="2">
        <v>10</v>
      </c>
      <c r="AE98" s="2">
        <v>10</v>
      </c>
      <c r="AF98" s="2">
        <v>10</v>
      </c>
      <c r="AG98" s="2">
        <v>10</v>
      </c>
      <c r="AH98" s="2">
        <v>10</v>
      </c>
      <c r="AI98" s="2">
        <v>10</v>
      </c>
      <c r="AJ98" s="2">
        <v>10</v>
      </c>
      <c r="AK98" s="3"/>
      <c r="AL98" s="3"/>
      <c r="AM98" s="3"/>
      <c r="AN98" s="3"/>
      <c r="AO98" s="3"/>
      <c r="AP98" s="3"/>
      <c r="AQ98" s="2" t="e">
        <f t="shared" ca="1" si="20"/>
        <v>#NAME?</v>
      </c>
      <c r="AR98" s="2">
        <v>10</v>
      </c>
      <c r="AS98" s="2">
        <v>10</v>
      </c>
      <c r="AT98" s="2">
        <v>10</v>
      </c>
      <c r="AU98" s="2">
        <v>10</v>
      </c>
      <c r="AV98" s="2">
        <v>10</v>
      </c>
      <c r="AW98" s="54">
        <f t="shared" si="3"/>
        <v>10</v>
      </c>
      <c r="AX98" s="48"/>
      <c r="AY98" s="2"/>
      <c r="AZ98" s="1">
        <v>10</v>
      </c>
      <c r="BA98" s="1">
        <v>10</v>
      </c>
      <c r="BB98" s="1">
        <v>10</v>
      </c>
      <c r="BC98" s="1">
        <v>10</v>
      </c>
      <c r="BD98" s="1">
        <v>10</v>
      </c>
      <c r="BE98" s="1">
        <v>10</v>
      </c>
      <c r="BF98" s="1">
        <v>10</v>
      </c>
      <c r="BG98" s="1">
        <v>10</v>
      </c>
      <c r="BH98" s="1">
        <v>10</v>
      </c>
      <c r="BI98" s="1">
        <v>10</v>
      </c>
      <c r="BJ98" s="2" t="e">
        <f t="shared" ca="1" si="21"/>
        <v>#NAME?</v>
      </c>
      <c r="BK98" s="1">
        <v>10</v>
      </c>
      <c r="BL98" s="1">
        <v>10</v>
      </c>
      <c r="BM98" s="1">
        <v>10</v>
      </c>
      <c r="BN98" s="1">
        <v>10</v>
      </c>
      <c r="BO98" s="1">
        <v>10</v>
      </c>
      <c r="BP98" s="54">
        <f t="shared" si="5"/>
        <v>10</v>
      </c>
      <c r="BQ98" s="5"/>
      <c r="BR98" s="5"/>
      <c r="BS98" s="5">
        <v>10</v>
      </c>
      <c r="BT98" s="5">
        <v>10</v>
      </c>
      <c r="BU98" s="5">
        <v>10</v>
      </c>
      <c r="BV98" s="5">
        <v>10</v>
      </c>
      <c r="BW98" s="5">
        <v>10</v>
      </c>
      <c r="BX98" s="5">
        <v>10</v>
      </c>
      <c r="BY98" s="5">
        <v>10</v>
      </c>
      <c r="BZ98" s="5">
        <v>10</v>
      </c>
      <c r="CA98" s="5">
        <v>10</v>
      </c>
      <c r="CB98" s="5">
        <v>10</v>
      </c>
      <c r="CC98" s="2" t="e">
        <f t="shared" ca="1" si="22"/>
        <v>#NAME?</v>
      </c>
      <c r="CD98" s="55" t="s">
        <v>31</v>
      </c>
      <c r="CE98" s="2"/>
      <c r="CF98" s="2">
        <v>1</v>
      </c>
      <c r="CG98" s="2">
        <v>2</v>
      </c>
      <c r="CH98" s="2">
        <v>3</v>
      </c>
      <c r="CI98" s="2">
        <v>4</v>
      </c>
      <c r="CJ98" s="2">
        <v>5</v>
      </c>
      <c r="CK98" s="2">
        <v>6</v>
      </c>
      <c r="CL98" s="2">
        <v>7</v>
      </c>
      <c r="CM98" s="2">
        <v>8</v>
      </c>
      <c r="CN98" s="2">
        <v>9</v>
      </c>
      <c r="CO98" s="2">
        <v>10</v>
      </c>
      <c r="CP98" s="2" t="e">
        <f t="shared" ca="1" si="23"/>
        <v>#NAME?</v>
      </c>
      <c r="CQ98" s="2">
        <v>7</v>
      </c>
      <c r="CR98" s="2">
        <v>7</v>
      </c>
      <c r="CS98" s="2">
        <v>8</v>
      </c>
      <c r="CT98" s="2">
        <v>10</v>
      </c>
      <c r="CU98" s="2">
        <v>10</v>
      </c>
      <c r="CV98" s="54">
        <f t="shared" si="8"/>
        <v>9</v>
      </c>
      <c r="CW98" s="55" t="s">
        <v>31</v>
      </c>
      <c r="CX98" s="3"/>
    </row>
    <row r="99" spans="1:102" ht="16.5" x14ac:dyDescent="0.55000000000000004">
      <c r="A99" s="17">
        <v>2</v>
      </c>
      <c r="B99" s="17" t="s">
        <v>4</v>
      </c>
      <c r="C99" s="23" t="s">
        <v>238</v>
      </c>
      <c r="D99" s="24" t="s">
        <v>239</v>
      </c>
      <c r="E99" s="48">
        <v>10</v>
      </c>
      <c r="F99" s="2">
        <v>10</v>
      </c>
      <c r="G99" s="2">
        <v>10</v>
      </c>
      <c r="H99" s="2">
        <v>9</v>
      </c>
      <c r="I99" s="2">
        <v>10</v>
      </c>
      <c r="J99" s="2">
        <v>10</v>
      </c>
      <c r="K99" s="2">
        <v>10</v>
      </c>
      <c r="L99" s="2">
        <v>10</v>
      </c>
      <c r="M99" s="2">
        <v>10</v>
      </c>
      <c r="N99" s="2">
        <v>10</v>
      </c>
      <c r="O99" s="2">
        <v>10</v>
      </c>
      <c r="P99" s="2">
        <v>10</v>
      </c>
      <c r="Q99" s="2" t="e">
        <f t="shared" ca="1" si="19"/>
        <v>#NAME?</v>
      </c>
      <c r="R99" s="2">
        <v>10</v>
      </c>
      <c r="S99" s="2">
        <v>10</v>
      </c>
      <c r="T99" s="2">
        <v>10</v>
      </c>
      <c r="U99" s="2">
        <v>10</v>
      </c>
      <c r="V99" s="2">
        <v>10</v>
      </c>
      <c r="W99" s="54">
        <f t="shared" si="1"/>
        <v>10</v>
      </c>
      <c r="X99" s="48"/>
      <c r="Y99" s="2"/>
      <c r="Z99" s="69">
        <v>17</v>
      </c>
      <c r="AA99" s="8">
        <v>10</v>
      </c>
      <c r="AB99" s="8">
        <v>10</v>
      </c>
      <c r="AC99" s="8">
        <v>10</v>
      </c>
      <c r="AD99" s="8">
        <v>10</v>
      </c>
      <c r="AE99" s="8">
        <v>10</v>
      </c>
      <c r="AF99" s="8">
        <v>10</v>
      </c>
      <c r="AG99" s="8">
        <v>10</v>
      </c>
      <c r="AH99" s="8">
        <v>10</v>
      </c>
      <c r="AI99" s="8">
        <v>10</v>
      </c>
      <c r="AJ99" s="8">
        <v>10</v>
      </c>
      <c r="AK99" s="17"/>
      <c r="AL99" s="17"/>
      <c r="AM99" s="17"/>
      <c r="AN99" s="17"/>
      <c r="AO99" s="17"/>
      <c r="AP99" s="17"/>
      <c r="AQ99" s="2" t="e">
        <f t="shared" ca="1" si="20"/>
        <v>#NAME?</v>
      </c>
      <c r="AR99" s="8">
        <v>10</v>
      </c>
      <c r="AS99" s="8">
        <v>10</v>
      </c>
      <c r="AT99" s="8">
        <v>10</v>
      </c>
      <c r="AU99" s="8">
        <v>10</v>
      </c>
      <c r="AV99" s="8">
        <v>10</v>
      </c>
      <c r="AW99" s="54">
        <f t="shared" si="3"/>
        <v>10</v>
      </c>
      <c r="AX99" s="48"/>
      <c r="AY99" s="2"/>
      <c r="AZ99" s="2">
        <v>10</v>
      </c>
      <c r="BA99" s="2">
        <v>10</v>
      </c>
      <c r="BB99" s="2">
        <v>10</v>
      </c>
      <c r="BC99" s="2">
        <v>10</v>
      </c>
      <c r="BD99" s="2">
        <v>10</v>
      </c>
      <c r="BE99" s="2">
        <v>10</v>
      </c>
      <c r="BF99" s="2">
        <v>10</v>
      </c>
      <c r="BG99" s="2">
        <v>10</v>
      </c>
      <c r="BH99" s="2">
        <v>10</v>
      </c>
      <c r="BI99" s="2">
        <v>10</v>
      </c>
      <c r="BJ99" s="2" t="e">
        <f t="shared" ca="1" si="21"/>
        <v>#NAME?</v>
      </c>
      <c r="BK99" s="5">
        <v>10</v>
      </c>
      <c r="BL99" s="5">
        <v>10</v>
      </c>
      <c r="BM99" s="2">
        <v>10</v>
      </c>
      <c r="BN99" s="2">
        <v>10</v>
      </c>
      <c r="BO99" s="2">
        <v>10</v>
      </c>
      <c r="BP99" s="54">
        <f t="shared" si="5"/>
        <v>10</v>
      </c>
      <c r="BQ99" s="5"/>
      <c r="BR99" s="5"/>
      <c r="BS99" s="5">
        <v>10</v>
      </c>
      <c r="BT99" s="5">
        <v>10</v>
      </c>
      <c r="BU99" s="5">
        <v>10</v>
      </c>
      <c r="BV99" s="5">
        <v>10</v>
      </c>
      <c r="BW99" s="5">
        <v>10</v>
      </c>
      <c r="BX99" s="5">
        <v>10</v>
      </c>
      <c r="BY99" s="5">
        <v>10</v>
      </c>
      <c r="BZ99" s="5">
        <v>10</v>
      </c>
      <c r="CA99" s="5">
        <v>10</v>
      </c>
      <c r="CB99" s="5">
        <v>10</v>
      </c>
      <c r="CC99" s="2" t="e">
        <f t="shared" ca="1" si="22"/>
        <v>#NAME?</v>
      </c>
      <c r="CD99" s="55">
        <v>4</v>
      </c>
      <c r="CE99" s="2"/>
      <c r="CF99" s="2">
        <v>9</v>
      </c>
      <c r="CG99" s="2">
        <v>10</v>
      </c>
      <c r="CH99" s="2">
        <v>10</v>
      </c>
      <c r="CI99" s="2">
        <v>6</v>
      </c>
      <c r="CJ99" s="2">
        <v>7</v>
      </c>
      <c r="CK99" s="2">
        <v>9</v>
      </c>
      <c r="CL99" s="2">
        <v>10</v>
      </c>
      <c r="CM99" s="2">
        <v>9</v>
      </c>
      <c r="CN99" s="2">
        <v>10</v>
      </c>
      <c r="CO99" s="2">
        <v>10</v>
      </c>
      <c r="CP99" s="2" t="e">
        <f t="shared" ca="1" si="23"/>
        <v>#NAME?</v>
      </c>
      <c r="CQ99" s="2">
        <v>10</v>
      </c>
      <c r="CR99" s="2">
        <v>8</v>
      </c>
      <c r="CS99" s="2">
        <v>9</v>
      </c>
      <c r="CT99" s="2">
        <v>10</v>
      </c>
      <c r="CU99" s="2">
        <v>10</v>
      </c>
      <c r="CV99" s="54">
        <f t="shared" si="8"/>
        <v>10</v>
      </c>
      <c r="CW99" s="55">
        <v>10</v>
      </c>
      <c r="CX99" s="3"/>
    </row>
    <row r="100" spans="1:102" ht="16.5" x14ac:dyDescent="0.55000000000000004">
      <c r="A100" s="17">
        <v>2</v>
      </c>
      <c r="B100" s="17" t="s">
        <v>4</v>
      </c>
      <c r="C100" s="23" t="s">
        <v>240</v>
      </c>
      <c r="D100" s="24" t="s">
        <v>241</v>
      </c>
      <c r="E100" s="48">
        <v>10</v>
      </c>
      <c r="F100" s="2">
        <v>10</v>
      </c>
      <c r="G100" s="2">
        <v>10</v>
      </c>
      <c r="H100" s="2">
        <v>10</v>
      </c>
      <c r="I100" s="2">
        <v>10</v>
      </c>
      <c r="J100" s="2">
        <v>10</v>
      </c>
      <c r="K100" s="2">
        <v>10</v>
      </c>
      <c r="L100" s="2">
        <v>10</v>
      </c>
      <c r="M100" s="2">
        <v>10</v>
      </c>
      <c r="N100" s="2">
        <v>10</v>
      </c>
      <c r="O100" s="2">
        <v>10</v>
      </c>
      <c r="P100" s="2">
        <v>10</v>
      </c>
      <c r="Q100" s="2" t="e">
        <f t="shared" ca="1" si="19"/>
        <v>#NAME?</v>
      </c>
      <c r="R100" s="2">
        <v>10</v>
      </c>
      <c r="S100" s="2">
        <v>10</v>
      </c>
      <c r="T100" s="2">
        <v>10</v>
      </c>
      <c r="U100" s="2">
        <v>10</v>
      </c>
      <c r="V100" s="2">
        <v>10</v>
      </c>
      <c r="W100" s="54">
        <f t="shared" si="1"/>
        <v>10</v>
      </c>
      <c r="X100" s="48"/>
      <c r="Y100" s="2"/>
      <c r="Z100" s="69">
        <v>9</v>
      </c>
      <c r="AA100" s="8">
        <v>10</v>
      </c>
      <c r="AB100" s="8">
        <v>10</v>
      </c>
      <c r="AC100" s="8">
        <v>10</v>
      </c>
      <c r="AD100" s="8">
        <v>10</v>
      </c>
      <c r="AE100" s="8">
        <v>10</v>
      </c>
      <c r="AF100" s="8">
        <v>10</v>
      </c>
      <c r="AG100" s="8">
        <v>10</v>
      </c>
      <c r="AH100" s="8">
        <v>10</v>
      </c>
      <c r="AI100" s="8">
        <v>10</v>
      </c>
      <c r="AJ100" s="8">
        <v>10</v>
      </c>
      <c r="AK100" s="17"/>
      <c r="AL100" s="17"/>
      <c r="AM100" s="17"/>
      <c r="AN100" s="17"/>
      <c r="AO100" s="17"/>
      <c r="AP100" s="17"/>
      <c r="AQ100" s="2" t="e">
        <f t="shared" ca="1" si="20"/>
        <v>#NAME?</v>
      </c>
      <c r="AR100" s="8">
        <v>10</v>
      </c>
      <c r="AS100" s="8">
        <v>10</v>
      </c>
      <c r="AT100" s="8">
        <v>10</v>
      </c>
      <c r="AU100" s="8">
        <v>10</v>
      </c>
      <c r="AV100" s="8">
        <v>10</v>
      </c>
      <c r="AW100" s="54">
        <f t="shared" si="3"/>
        <v>10</v>
      </c>
      <c r="AX100" s="48"/>
      <c r="AY100" s="2"/>
      <c r="AZ100" s="2">
        <v>10</v>
      </c>
      <c r="BA100" s="2">
        <v>10</v>
      </c>
      <c r="BB100" s="2">
        <v>10</v>
      </c>
      <c r="BC100" s="2">
        <v>10</v>
      </c>
      <c r="BD100" s="2">
        <v>10</v>
      </c>
      <c r="BE100" s="2">
        <v>10</v>
      </c>
      <c r="BF100" s="2">
        <v>10</v>
      </c>
      <c r="BG100" s="2">
        <v>10</v>
      </c>
      <c r="BH100" s="2">
        <v>10</v>
      </c>
      <c r="BI100" s="2">
        <v>10</v>
      </c>
      <c r="BJ100" s="2" t="e">
        <f t="shared" ca="1" si="21"/>
        <v>#NAME?</v>
      </c>
      <c r="BK100" s="5">
        <v>10</v>
      </c>
      <c r="BL100" s="5">
        <v>10</v>
      </c>
      <c r="BM100" s="2">
        <v>10</v>
      </c>
      <c r="BN100" s="2">
        <v>10</v>
      </c>
      <c r="BO100" s="2">
        <v>10</v>
      </c>
      <c r="BP100" s="54">
        <f t="shared" si="5"/>
        <v>10</v>
      </c>
      <c r="BQ100" s="5"/>
      <c r="BR100" s="5"/>
      <c r="BS100" s="5">
        <v>10</v>
      </c>
      <c r="BT100" s="5">
        <v>10</v>
      </c>
      <c r="BU100" s="5">
        <v>10</v>
      </c>
      <c r="BV100" s="5">
        <v>10</v>
      </c>
      <c r="BW100" s="5">
        <v>10</v>
      </c>
      <c r="BX100" s="5">
        <v>10</v>
      </c>
      <c r="BY100" s="5">
        <v>10</v>
      </c>
      <c r="BZ100" s="5">
        <v>10</v>
      </c>
      <c r="CA100" s="5">
        <v>10</v>
      </c>
      <c r="CB100" s="5">
        <v>10</v>
      </c>
      <c r="CC100" s="2" t="e">
        <f t="shared" ca="1" si="22"/>
        <v>#NAME?</v>
      </c>
      <c r="CD100" s="55">
        <v>3</v>
      </c>
      <c r="CE100" s="2"/>
      <c r="CF100" s="2">
        <v>9</v>
      </c>
      <c r="CG100" s="2">
        <v>9</v>
      </c>
      <c r="CH100" s="2">
        <v>10</v>
      </c>
      <c r="CI100" s="2">
        <v>6</v>
      </c>
      <c r="CJ100" s="2">
        <v>7</v>
      </c>
      <c r="CK100" s="2">
        <v>7</v>
      </c>
      <c r="CL100" s="2">
        <v>10</v>
      </c>
      <c r="CM100" s="2">
        <v>10</v>
      </c>
      <c r="CN100" s="2">
        <v>9</v>
      </c>
      <c r="CO100" s="2">
        <v>10</v>
      </c>
      <c r="CP100" s="2" t="e">
        <f t="shared" ca="1" si="23"/>
        <v>#NAME?</v>
      </c>
      <c r="CQ100" s="2">
        <v>10</v>
      </c>
      <c r="CR100" s="2">
        <v>9</v>
      </c>
      <c r="CS100" s="2">
        <v>9</v>
      </c>
      <c r="CT100" s="2">
        <v>10</v>
      </c>
      <c r="CU100" s="2">
        <v>10</v>
      </c>
      <c r="CV100" s="54">
        <f t="shared" si="8"/>
        <v>10</v>
      </c>
      <c r="CW100" s="55">
        <v>5</v>
      </c>
      <c r="CX100" s="3"/>
    </row>
    <row r="101" spans="1:102" ht="16.5" x14ac:dyDescent="0.55000000000000004">
      <c r="A101" s="17">
        <v>2</v>
      </c>
      <c r="B101" s="17" t="s">
        <v>4</v>
      </c>
      <c r="C101" s="23" t="s">
        <v>242</v>
      </c>
      <c r="D101" s="24" t="s">
        <v>243</v>
      </c>
      <c r="E101" s="48">
        <v>10</v>
      </c>
      <c r="F101" s="2">
        <v>9</v>
      </c>
      <c r="G101" s="2">
        <v>10</v>
      </c>
      <c r="H101" s="2">
        <v>10</v>
      </c>
      <c r="I101" s="2">
        <v>10</v>
      </c>
      <c r="J101" s="2">
        <v>10</v>
      </c>
      <c r="K101" s="2">
        <v>10</v>
      </c>
      <c r="L101" s="2">
        <v>10</v>
      </c>
      <c r="M101" s="2">
        <v>10</v>
      </c>
      <c r="N101" s="2">
        <v>10</v>
      </c>
      <c r="O101" s="2">
        <v>10</v>
      </c>
      <c r="P101" s="2">
        <v>10</v>
      </c>
      <c r="Q101" s="2" t="e">
        <f t="shared" ca="1" si="19"/>
        <v>#NAME?</v>
      </c>
      <c r="R101" s="2">
        <v>10</v>
      </c>
      <c r="S101" s="2">
        <v>10</v>
      </c>
      <c r="T101" s="2">
        <v>10</v>
      </c>
      <c r="U101" s="2">
        <v>10</v>
      </c>
      <c r="V101" s="2">
        <v>10</v>
      </c>
      <c r="W101" s="54">
        <f t="shared" si="1"/>
        <v>10</v>
      </c>
      <c r="X101" s="48"/>
      <c r="Y101" s="2"/>
      <c r="Z101" s="69">
        <v>10</v>
      </c>
      <c r="AA101" s="8">
        <v>10</v>
      </c>
      <c r="AB101" s="8">
        <v>10</v>
      </c>
      <c r="AC101" s="8">
        <v>10</v>
      </c>
      <c r="AD101" s="8">
        <v>10</v>
      </c>
      <c r="AE101" s="8">
        <v>10</v>
      </c>
      <c r="AF101" s="8">
        <v>10</v>
      </c>
      <c r="AG101" s="8">
        <v>10</v>
      </c>
      <c r="AH101" s="8">
        <v>10</v>
      </c>
      <c r="AI101" s="8">
        <v>10</v>
      </c>
      <c r="AJ101" s="8">
        <v>10</v>
      </c>
      <c r="AK101" s="17"/>
      <c r="AL101" s="17"/>
      <c r="AM101" s="17"/>
      <c r="AN101" s="17"/>
      <c r="AO101" s="17"/>
      <c r="AP101" s="17"/>
      <c r="AQ101" s="2" t="e">
        <f t="shared" ca="1" si="20"/>
        <v>#NAME?</v>
      </c>
      <c r="AR101" s="8">
        <v>10</v>
      </c>
      <c r="AS101" s="8">
        <v>10</v>
      </c>
      <c r="AT101" s="8">
        <v>10</v>
      </c>
      <c r="AU101" s="8">
        <v>10</v>
      </c>
      <c r="AV101" s="8">
        <v>10</v>
      </c>
      <c r="AW101" s="54">
        <f t="shared" si="3"/>
        <v>10</v>
      </c>
      <c r="AX101" s="48"/>
      <c r="AY101" s="2"/>
      <c r="AZ101" s="2">
        <v>10</v>
      </c>
      <c r="BA101" s="2">
        <v>10</v>
      </c>
      <c r="BB101" s="2">
        <v>10</v>
      </c>
      <c r="BC101" s="2">
        <v>10</v>
      </c>
      <c r="BD101" s="2">
        <v>10</v>
      </c>
      <c r="BE101" s="2">
        <v>10</v>
      </c>
      <c r="BF101" s="2">
        <v>10</v>
      </c>
      <c r="BG101" s="2">
        <v>10</v>
      </c>
      <c r="BH101" s="2">
        <v>10</v>
      </c>
      <c r="BI101" s="2">
        <v>10</v>
      </c>
      <c r="BJ101" s="2" t="e">
        <f t="shared" ca="1" si="21"/>
        <v>#NAME?</v>
      </c>
      <c r="BK101" s="5">
        <v>10</v>
      </c>
      <c r="BL101" s="5">
        <v>10</v>
      </c>
      <c r="BM101" s="5">
        <v>10</v>
      </c>
      <c r="BN101" s="5">
        <v>10</v>
      </c>
      <c r="BO101" s="5">
        <v>10</v>
      </c>
      <c r="BP101" s="54">
        <f t="shared" si="5"/>
        <v>10</v>
      </c>
      <c r="BQ101" s="5"/>
      <c r="BR101" s="5"/>
      <c r="BS101" s="5">
        <v>7</v>
      </c>
      <c r="BT101" s="5">
        <v>7</v>
      </c>
      <c r="BU101" s="5">
        <v>7</v>
      </c>
      <c r="BV101" s="5">
        <v>7</v>
      </c>
      <c r="BW101" s="5">
        <v>7</v>
      </c>
      <c r="BX101" s="5">
        <v>7</v>
      </c>
      <c r="BY101" s="5">
        <v>7</v>
      </c>
      <c r="BZ101" s="5">
        <v>7</v>
      </c>
      <c r="CA101" s="5">
        <v>7</v>
      </c>
      <c r="CB101" s="5">
        <v>7</v>
      </c>
      <c r="CC101" s="2" t="e">
        <f t="shared" ca="1" si="22"/>
        <v>#NAME?</v>
      </c>
      <c r="CD101" s="55" t="s">
        <v>31</v>
      </c>
      <c r="CE101" s="2"/>
      <c r="CF101" s="2">
        <v>5</v>
      </c>
      <c r="CG101" s="2">
        <v>5</v>
      </c>
      <c r="CH101" s="2">
        <v>5</v>
      </c>
      <c r="CI101" s="2">
        <v>5</v>
      </c>
      <c r="CJ101" s="2">
        <v>5</v>
      </c>
      <c r="CK101" s="2">
        <v>5</v>
      </c>
      <c r="CL101" s="2">
        <v>5</v>
      </c>
      <c r="CM101" s="2">
        <v>5</v>
      </c>
      <c r="CN101" s="2">
        <v>5</v>
      </c>
      <c r="CO101" s="2">
        <v>5</v>
      </c>
      <c r="CP101" s="2" t="e">
        <f t="shared" ca="1" si="23"/>
        <v>#NAME?</v>
      </c>
      <c r="CQ101" s="2">
        <v>5</v>
      </c>
      <c r="CR101" s="2">
        <v>5</v>
      </c>
      <c r="CS101" s="2">
        <v>5</v>
      </c>
      <c r="CT101" s="2">
        <v>5</v>
      </c>
      <c r="CU101" s="2">
        <v>5</v>
      </c>
      <c r="CV101" s="54">
        <f t="shared" si="8"/>
        <v>5</v>
      </c>
      <c r="CW101" s="55">
        <v>9</v>
      </c>
      <c r="CX101" s="3"/>
    </row>
    <row r="102" spans="1:102" ht="16.5" x14ac:dyDescent="0.55000000000000004">
      <c r="A102" s="17">
        <v>2</v>
      </c>
      <c r="B102" s="17" t="s">
        <v>4</v>
      </c>
      <c r="C102" s="23" t="s">
        <v>244</v>
      </c>
      <c r="D102" s="24" t="s">
        <v>245</v>
      </c>
      <c r="E102" s="48">
        <v>7</v>
      </c>
      <c r="F102" s="2">
        <v>8</v>
      </c>
      <c r="G102" s="2">
        <v>6</v>
      </c>
      <c r="H102" s="2">
        <v>6</v>
      </c>
      <c r="I102" s="2">
        <v>6</v>
      </c>
      <c r="J102" s="2">
        <v>6</v>
      </c>
      <c r="K102" s="2">
        <v>6</v>
      </c>
      <c r="L102" s="2">
        <v>6</v>
      </c>
      <c r="M102" s="2">
        <v>6</v>
      </c>
      <c r="N102" s="2">
        <v>6</v>
      </c>
      <c r="O102" s="2">
        <v>6</v>
      </c>
      <c r="P102" s="2">
        <v>6</v>
      </c>
      <c r="Q102" s="2" t="e">
        <f t="shared" ca="1" si="19"/>
        <v>#NAME?</v>
      </c>
      <c r="R102" s="2">
        <v>6</v>
      </c>
      <c r="S102" s="2">
        <v>6</v>
      </c>
      <c r="T102" s="2">
        <v>6</v>
      </c>
      <c r="U102" s="2">
        <v>6</v>
      </c>
      <c r="V102" s="2">
        <v>6</v>
      </c>
      <c r="W102" s="54">
        <f t="shared" si="1"/>
        <v>6</v>
      </c>
      <c r="X102" s="48"/>
      <c r="Y102" s="2"/>
      <c r="Z102" s="73" t="s">
        <v>31</v>
      </c>
      <c r="AA102" s="2">
        <v>6</v>
      </c>
      <c r="AB102" s="2">
        <v>6</v>
      </c>
      <c r="AC102" s="2">
        <v>6</v>
      </c>
      <c r="AD102" s="2">
        <v>6</v>
      </c>
      <c r="AE102" s="2">
        <v>6</v>
      </c>
      <c r="AF102" s="2">
        <v>6</v>
      </c>
      <c r="AG102" s="2">
        <v>6</v>
      </c>
      <c r="AH102" s="2">
        <v>6</v>
      </c>
      <c r="AI102" s="2">
        <v>6</v>
      </c>
      <c r="AJ102" s="2">
        <v>6</v>
      </c>
      <c r="AK102" s="3"/>
      <c r="AL102" s="3"/>
      <c r="AM102" s="3"/>
      <c r="AN102" s="3"/>
      <c r="AO102" s="3"/>
      <c r="AP102" s="3"/>
      <c r="AQ102" s="2" t="e">
        <f t="shared" ca="1" si="20"/>
        <v>#NAME?</v>
      </c>
      <c r="AR102" s="2"/>
      <c r="AS102" s="2"/>
      <c r="AT102" s="2"/>
      <c r="AU102" s="2"/>
      <c r="AV102" s="2"/>
      <c r="AW102" s="54">
        <f t="shared" si="3"/>
        <v>0</v>
      </c>
      <c r="AX102" s="48"/>
      <c r="AY102" s="2"/>
      <c r="AZ102" s="2">
        <v>7</v>
      </c>
      <c r="BA102" s="2">
        <v>7</v>
      </c>
      <c r="BB102" s="2">
        <v>7</v>
      </c>
      <c r="BC102" s="2">
        <v>7</v>
      </c>
      <c r="BD102" s="2">
        <v>7</v>
      </c>
      <c r="BE102" s="2">
        <v>7</v>
      </c>
      <c r="BF102" s="2">
        <v>6</v>
      </c>
      <c r="BG102" s="2">
        <v>6</v>
      </c>
      <c r="BH102" s="2">
        <v>6</v>
      </c>
      <c r="BI102" s="57">
        <v>6</v>
      </c>
      <c r="BJ102" s="2" t="e">
        <f t="shared" ca="1" si="21"/>
        <v>#NAME?</v>
      </c>
      <c r="BK102" s="5">
        <v>6</v>
      </c>
      <c r="BL102" s="5">
        <v>6</v>
      </c>
      <c r="BM102" s="5">
        <v>6</v>
      </c>
      <c r="BN102" s="5">
        <v>6</v>
      </c>
      <c r="BO102" s="5">
        <v>6</v>
      </c>
      <c r="BP102" s="54">
        <f t="shared" si="5"/>
        <v>6</v>
      </c>
      <c r="BQ102" s="5"/>
      <c r="BR102" s="5"/>
      <c r="BS102" s="5">
        <v>4</v>
      </c>
      <c r="BT102" s="5">
        <v>4</v>
      </c>
      <c r="BU102" s="5">
        <v>4</v>
      </c>
      <c r="BV102" s="5">
        <v>4</v>
      </c>
      <c r="BW102" s="5">
        <v>4</v>
      </c>
      <c r="BX102" s="5">
        <v>4</v>
      </c>
      <c r="BY102" s="5">
        <v>4</v>
      </c>
      <c r="BZ102" s="5">
        <v>4</v>
      </c>
      <c r="CA102" s="5">
        <v>4</v>
      </c>
      <c r="CB102" s="5">
        <v>4</v>
      </c>
      <c r="CC102" s="2" t="e">
        <f t="shared" ca="1" si="22"/>
        <v>#NAME?</v>
      </c>
      <c r="CD102" s="55">
        <v>5</v>
      </c>
      <c r="CE102" s="2"/>
      <c r="CF102" s="2">
        <v>4</v>
      </c>
      <c r="CG102" s="2">
        <v>4</v>
      </c>
      <c r="CH102" s="2">
        <v>4</v>
      </c>
      <c r="CI102" s="2">
        <v>4</v>
      </c>
      <c r="CJ102" s="2">
        <v>4</v>
      </c>
      <c r="CK102" s="2">
        <v>4</v>
      </c>
      <c r="CL102" s="2">
        <v>4</v>
      </c>
      <c r="CM102" s="2">
        <v>4</v>
      </c>
      <c r="CN102" s="2">
        <v>4</v>
      </c>
      <c r="CO102" s="2">
        <v>4</v>
      </c>
      <c r="CP102" s="2" t="e">
        <f t="shared" ca="1" si="23"/>
        <v>#NAME?</v>
      </c>
      <c r="CQ102" s="2">
        <v>4</v>
      </c>
      <c r="CR102" s="2">
        <v>4</v>
      </c>
      <c r="CS102" s="2">
        <v>4</v>
      </c>
      <c r="CT102" s="2">
        <v>4</v>
      </c>
      <c r="CU102" s="2">
        <v>4</v>
      </c>
      <c r="CV102" s="54">
        <f t="shared" si="8"/>
        <v>4</v>
      </c>
      <c r="CW102" s="55" t="s">
        <v>31</v>
      </c>
      <c r="CX102" s="3"/>
    </row>
    <row r="103" spans="1:102" ht="16.5" x14ac:dyDescent="0.55000000000000004">
      <c r="A103" s="17">
        <v>2</v>
      </c>
      <c r="B103" s="17" t="s">
        <v>4</v>
      </c>
      <c r="C103" s="23" t="s">
        <v>246</v>
      </c>
      <c r="D103" s="24" t="s">
        <v>247</v>
      </c>
      <c r="E103" s="48">
        <v>10</v>
      </c>
      <c r="F103" s="2">
        <v>10</v>
      </c>
      <c r="G103" s="2">
        <v>10</v>
      </c>
      <c r="H103" s="2">
        <v>10</v>
      </c>
      <c r="I103" s="2">
        <v>10</v>
      </c>
      <c r="J103" s="2">
        <v>10</v>
      </c>
      <c r="K103" s="2">
        <v>10</v>
      </c>
      <c r="L103" s="2">
        <v>10</v>
      </c>
      <c r="M103" s="2">
        <v>10</v>
      </c>
      <c r="N103" s="2">
        <v>10</v>
      </c>
      <c r="O103" s="2">
        <v>10</v>
      </c>
      <c r="P103" s="2">
        <v>10</v>
      </c>
      <c r="Q103" s="2" t="e">
        <f t="shared" ca="1" si="19"/>
        <v>#NAME?</v>
      </c>
      <c r="R103" s="2">
        <v>10</v>
      </c>
      <c r="S103" s="2">
        <v>10</v>
      </c>
      <c r="T103" s="2">
        <v>10</v>
      </c>
      <c r="U103" s="2">
        <v>10</v>
      </c>
      <c r="V103" s="2">
        <v>10</v>
      </c>
      <c r="W103" s="54">
        <f t="shared" si="1"/>
        <v>10</v>
      </c>
      <c r="X103" s="48"/>
      <c r="Y103" s="2"/>
      <c r="Z103" s="69">
        <v>19</v>
      </c>
      <c r="AA103" s="2">
        <v>8</v>
      </c>
      <c r="AB103" s="2">
        <v>8</v>
      </c>
      <c r="AC103" s="2">
        <v>8</v>
      </c>
      <c r="AD103" s="2">
        <v>8</v>
      </c>
      <c r="AE103" s="2">
        <v>8</v>
      </c>
      <c r="AF103" s="2">
        <v>8</v>
      </c>
      <c r="AG103" s="2">
        <v>8</v>
      </c>
      <c r="AH103" s="2">
        <v>8</v>
      </c>
      <c r="AI103" s="2">
        <v>8</v>
      </c>
      <c r="AJ103" s="2">
        <v>8</v>
      </c>
      <c r="AK103" s="3"/>
      <c r="AL103" s="3"/>
      <c r="AM103" s="3"/>
      <c r="AN103" s="3"/>
      <c r="AO103" s="3"/>
      <c r="AP103" s="3"/>
      <c r="AQ103" s="2" t="e">
        <f t="shared" ca="1" si="20"/>
        <v>#NAME?</v>
      </c>
      <c r="AR103" s="2">
        <v>10</v>
      </c>
      <c r="AS103" s="2">
        <v>10</v>
      </c>
      <c r="AT103" s="2">
        <v>10</v>
      </c>
      <c r="AU103" s="2">
        <v>10</v>
      </c>
      <c r="AV103" s="2">
        <v>10</v>
      </c>
      <c r="AW103" s="54">
        <f t="shared" si="3"/>
        <v>10</v>
      </c>
      <c r="AX103" s="48"/>
      <c r="AY103" s="2"/>
      <c r="AZ103" s="2">
        <v>10</v>
      </c>
      <c r="BA103" s="2">
        <v>10</v>
      </c>
      <c r="BB103" s="2">
        <v>7</v>
      </c>
      <c r="BC103" s="2">
        <v>7</v>
      </c>
      <c r="BD103" s="2">
        <v>7</v>
      </c>
      <c r="BE103" s="2">
        <v>7</v>
      </c>
      <c r="BF103" s="2">
        <v>7</v>
      </c>
      <c r="BG103" s="2">
        <v>7</v>
      </c>
      <c r="BH103" s="2">
        <v>7</v>
      </c>
      <c r="BI103" s="2">
        <v>7</v>
      </c>
      <c r="BJ103" s="2" t="e">
        <f t="shared" ca="1" si="21"/>
        <v>#NAME?</v>
      </c>
      <c r="BK103" s="5">
        <v>7</v>
      </c>
      <c r="BL103" s="5">
        <v>7</v>
      </c>
      <c r="BM103" s="5">
        <v>7</v>
      </c>
      <c r="BN103" s="5">
        <v>7</v>
      </c>
      <c r="BO103" s="5">
        <v>7</v>
      </c>
      <c r="BP103" s="54">
        <f t="shared" si="5"/>
        <v>7</v>
      </c>
      <c r="BQ103" s="5"/>
      <c r="BR103" s="5"/>
      <c r="BS103" s="5">
        <v>5</v>
      </c>
      <c r="BT103" s="5">
        <v>5</v>
      </c>
      <c r="BU103" s="5">
        <v>5</v>
      </c>
      <c r="BV103" s="5">
        <v>5</v>
      </c>
      <c r="BW103" s="5">
        <v>5</v>
      </c>
      <c r="BX103" s="5">
        <v>5</v>
      </c>
      <c r="BY103" s="5">
        <v>5</v>
      </c>
      <c r="BZ103" s="5">
        <v>5</v>
      </c>
      <c r="CA103" s="5">
        <v>5</v>
      </c>
      <c r="CB103" s="5"/>
      <c r="CC103" s="2" t="e">
        <f t="shared" ca="1" si="22"/>
        <v>#NAME?</v>
      </c>
      <c r="CD103" s="55">
        <v>6</v>
      </c>
      <c r="CE103" s="2"/>
      <c r="CF103" s="2">
        <v>4</v>
      </c>
      <c r="CG103" s="2">
        <v>4</v>
      </c>
      <c r="CH103" s="2">
        <v>4</v>
      </c>
      <c r="CI103" s="2">
        <v>4</v>
      </c>
      <c r="CJ103" s="2">
        <v>4</v>
      </c>
      <c r="CK103" s="2">
        <v>4</v>
      </c>
      <c r="CL103" s="2">
        <v>4</v>
      </c>
      <c r="CM103" s="2">
        <v>4</v>
      </c>
      <c r="CN103" s="2">
        <v>4</v>
      </c>
      <c r="CO103" s="2">
        <v>4</v>
      </c>
      <c r="CP103" s="2" t="e">
        <f t="shared" ca="1" si="23"/>
        <v>#NAME?</v>
      </c>
      <c r="CQ103" s="2">
        <v>4</v>
      </c>
      <c r="CR103" s="2">
        <v>4</v>
      </c>
      <c r="CS103" s="2">
        <v>4</v>
      </c>
      <c r="CT103" s="2">
        <v>4</v>
      </c>
      <c r="CU103" s="2">
        <v>4</v>
      </c>
      <c r="CV103" s="54">
        <f t="shared" si="8"/>
        <v>4</v>
      </c>
      <c r="CW103" s="55">
        <v>12</v>
      </c>
      <c r="CX103" s="3"/>
    </row>
    <row r="104" spans="1:102" ht="16.5" x14ac:dyDescent="0.55000000000000004">
      <c r="A104" s="17">
        <v>2</v>
      </c>
      <c r="B104" s="17" t="s">
        <v>4</v>
      </c>
      <c r="C104" s="23" t="s">
        <v>248</v>
      </c>
      <c r="D104" s="24" t="s">
        <v>249</v>
      </c>
      <c r="E104" s="48">
        <v>10</v>
      </c>
      <c r="F104" s="2">
        <v>10</v>
      </c>
      <c r="G104" s="2">
        <v>10</v>
      </c>
      <c r="H104" s="2">
        <v>10</v>
      </c>
      <c r="I104" s="2">
        <v>10</v>
      </c>
      <c r="J104" s="2">
        <v>10</v>
      </c>
      <c r="K104" s="2">
        <v>10</v>
      </c>
      <c r="L104" s="2">
        <v>10</v>
      </c>
      <c r="M104" s="2">
        <v>10</v>
      </c>
      <c r="N104" s="2">
        <v>10</v>
      </c>
      <c r="O104" s="2">
        <v>10</v>
      </c>
      <c r="P104" s="2">
        <v>10</v>
      </c>
      <c r="Q104" s="2" t="e">
        <f t="shared" ca="1" si="19"/>
        <v>#NAME?</v>
      </c>
      <c r="R104" s="2">
        <v>10</v>
      </c>
      <c r="S104" s="2">
        <v>10</v>
      </c>
      <c r="T104" s="2">
        <v>10</v>
      </c>
      <c r="U104" s="2">
        <v>10</v>
      </c>
      <c r="V104" s="2">
        <v>10</v>
      </c>
      <c r="W104" s="54">
        <f t="shared" si="1"/>
        <v>10</v>
      </c>
      <c r="X104" s="48"/>
      <c r="Y104" s="2"/>
      <c r="Z104" s="69">
        <v>9</v>
      </c>
      <c r="AA104" s="8">
        <v>10</v>
      </c>
      <c r="AB104" s="8">
        <v>10</v>
      </c>
      <c r="AC104" s="8">
        <v>10</v>
      </c>
      <c r="AD104" s="8">
        <v>10</v>
      </c>
      <c r="AE104" s="8">
        <v>10</v>
      </c>
      <c r="AF104" s="8">
        <v>10</v>
      </c>
      <c r="AG104" s="8">
        <v>10</v>
      </c>
      <c r="AH104" s="8">
        <v>10</v>
      </c>
      <c r="AI104" s="8">
        <v>10</v>
      </c>
      <c r="AJ104" s="8">
        <v>10</v>
      </c>
      <c r="AK104" s="17"/>
      <c r="AL104" s="17"/>
      <c r="AM104" s="17"/>
      <c r="AN104" s="17"/>
      <c r="AO104" s="17"/>
      <c r="AP104" s="17"/>
      <c r="AQ104" s="2" t="e">
        <f t="shared" ca="1" si="20"/>
        <v>#NAME?</v>
      </c>
      <c r="AR104" s="8">
        <v>10</v>
      </c>
      <c r="AS104" s="8">
        <v>10</v>
      </c>
      <c r="AT104" s="8">
        <v>10</v>
      </c>
      <c r="AU104" s="8">
        <v>10</v>
      </c>
      <c r="AV104" s="8">
        <v>10</v>
      </c>
      <c r="AW104" s="54">
        <f t="shared" si="3"/>
        <v>10</v>
      </c>
      <c r="AX104" s="48"/>
      <c r="AY104" s="2"/>
      <c r="AZ104" s="2">
        <v>10</v>
      </c>
      <c r="BA104" s="2">
        <v>10</v>
      </c>
      <c r="BB104" s="2">
        <v>10</v>
      </c>
      <c r="BC104" s="2">
        <v>10</v>
      </c>
      <c r="BD104" s="2">
        <v>10</v>
      </c>
      <c r="BE104" s="2">
        <v>10</v>
      </c>
      <c r="BF104" s="2">
        <v>10</v>
      </c>
      <c r="BG104" s="2">
        <v>10</v>
      </c>
      <c r="BH104" s="2">
        <v>10</v>
      </c>
      <c r="BI104" s="2">
        <v>10</v>
      </c>
      <c r="BJ104" s="2" t="e">
        <f t="shared" ca="1" si="21"/>
        <v>#NAME?</v>
      </c>
      <c r="BK104" s="5">
        <v>10</v>
      </c>
      <c r="BL104" s="5">
        <v>10</v>
      </c>
      <c r="BM104" s="2">
        <v>10</v>
      </c>
      <c r="BN104" s="2">
        <v>10</v>
      </c>
      <c r="BO104" s="2">
        <v>10</v>
      </c>
      <c r="BP104" s="54">
        <f t="shared" si="5"/>
        <v>10</v>
      </c>
      <c r="BQ104" s="5"/>
      <c r="BR104" s="5"/>
      <c r="BS104" s="5">
        <v>10</v>
      </c>
      <c r="BT104" s="5">
        <v>10</v>
      </c>
      <c r="BU104" s="5">
        <v>10</v>
      </c>
      <c r="BV104" s="5">
        <v>10</v>
      </c>
      <c r="BW104" s="5">
        <v>10</v>
      </c>
      <c r="BX104" s="5">
        <v>10</v>
      </c>
      <c r="BY104" s="5">
        <v>10</v>
      </c>
      <c r="BZ104" s="5">
        <v>10</v>
      </c>
      <c r="CA104" s="5">
        <v>10</v>
      </c>
      <c r="CB104" s="5">
        <v>10</v>
      </c>
      <c r="CC104" s="2" t="e">
        <f t="shared" ca="1" si="22"/>
        <v>#NAME?</v>
      </c>
      <c r="CD104" s="55">
        <v>4</v>
      </c>
      <c r="CE104" s="2"/>
      <c r="CF104" s="2">
        <v>10</v>
      </c>
      <c r="CG104" s="2">
        <v>10</v>
      </c>
      <c r="CH104" s="2">
        <v>10</v>
      </c>
      <c r="CI104" s="2">
        <v>10</v>
      </c>
      <c r="CJ104" s="2">
        <v>7</v>
      </c>
      <c r="CK104" s="2">
        <v>8</v>
      </c>
      <c r="CL104" s="2">
        <v>9</v>
      </c>
      <c r="CM104" s="2">
        <v>10</v>
      </c>
      <c r="CN104" s="2">
        <v>10</v>
      </c>
      <c r="CO104" s="2">
        <v>10</v>
      </c>
      <c r="CP104" s="2" t="e">
        <f t="shared" ca="1" si="23"/>
        <v>#NAME?</v>
      </c>
      <c r="CQ104" s="2">
        <v>10</v>
      </c>
      <c r="CR104" s="2">
        <v>7</v>
      </c>
      <c r="CS104" s="2">
        <v>8</v>
      </c>
      <c r="CT104" s="2">
        <v>10</v>
      </c>
      <c r="CU104" s="2">
        <v>10</v>
      </c>
      <c r="CV104" s="54">
        <f t="shared" si="8"/>
        <v>9</v>
      </c>
      <c r="CW104" s="55">
        <v>10</v>
      </c>
      <c r="CX104" s="3"/>
    </row>
    <row r="105" spans="1:102" ht="16.5" x14ac:dyDescent="0.55000000000000004">
      <c r="A105" s="17">
        <v>2</v>
      </c>
      <c r="B105" s="17" t="s">
        <v>4</v>
      </c>
      <c r="C105" s="23" t="s">
        <v>250</v>
      </c>
      <c r="D105" s="24" t="s">
        <v>251</v>
      </c>
      <c r="E105" s="48">
        <v>9</v>
      </c>
      <c r="F105" s="2">
        <v>8</v>
      </c>
      <c r="G105" s="2">
        <v>9</v>
      </c>
      <c r="H105" s="2">
        <v>9</v>
      </c>
      <c r="I105" s="2">
        <v>10</v>
      </c>
      <c r="J105" s="2">
        <v>10</v>
      </c>
      <c r="K105" s="2">
        <v>10</v>
      </c>
      <c r="L105" s="2">
        <v>10</v>
      </c>
      <c r="M105" s="2">
        <v>10</v>
      </c>
      <c r="N105" s="2">
        <v>10</v>
      </c>
      <c r="O105" s="2">
        <v>10</v>
      </c>
      <c r="P105" s="2">
        <v>9</v>
      </c>
      <c r="Q105" s="2" t="e">
        <f t="shared" ca="1" si="19"/>
        <v>#NAME?</v>
      </c>
      <c r="R105" s="2">
        <v>9</v>
      </c>
      <c r="S105" s="2">
        <v>9</v>
      </c>
      <c r="T105" s="2">
        <v>9</v>
      </c>
      <c r="U105" s="2">
        <v>9</v>
      </c>
      <c r="V105" s="2">
        <v>9</v>
      </c>
      <c r="W105" s="54">
        <f t="shared" si="1"/>
        <v>9</v>
      </c>
      <c r="X105" s="48"/>
      <c r="Y105" s="2"/>
      <c r="Z105" s="73" t="s">
        <v>31</v>
      </c>
      <c r="AA105" s="2">
        <v>6</v>
      </c>
      <c r="AB105" s="2">
        <v>6</v>
      </c>
      <c r="AC105" s="2">
        <v>6</v>
      </c>
      <c r="AD105" s="2">
        <v>6</v>
      </c>
      <c r="AE105" s="2">
        <v>6</v>
      </c>
      <c r="AF105" s="2">
        <v>6</v>
      </c>
      <c r="AG105" s="2">
        <v>6</v>
      </c>
      <c r="AH105" s="2">
        <v>6</v>
      </c>
      <c r="AI105" s="2">
        <v>6</v>
      </c>
      <c r="AJ105" s="2">
        <v>6</v>
      </c>
      <c r="AK105" s="3"/>
      <c r="AL105" s="3"/>
      <c r="AM105" s="3"/>
      <c r="AN105" s="3"/>
      <c r="AO105" s="3"/>
      <c r="AP105" s="3"/>
      <c r="AQ105" s="2" t="e">
        <f t="shared" ca="1" si="20"/>
        <v>#NAME?</v>
      </c>
      <c r="AR105" s="2"/>
      <c r="AS105" s="2"/>
      <c r="AT105" s="2"/>
      <c r="AU105" s="2"/>
      <c r="AV105" s="2"/>
      <c r="AW105" s="54">
        <f t="shared" si="3"/>
        <v>0</v>
      </c>
      <c r="AX105" s="48"/>
      <c r="AY105" s="2"/>
      <c r="AZ105" s="2">
        <v>6</v>
      </c>
      <c r="BA105" s="2">
        <v>6</v>
      </c>
      <c r="BB105" s="2">
        <v>6</v>
      </c>
      <c r="BC105" s="2">
        <v>6</v>
      </c>
      <c r="BD105" s="2">
        <v>6</v>
      </c>
      <c r="BE105" s="2">
        <v>6</v>
      </c>
      <c r="BF105" s="2">
        <v>6</v>
      </c>
      <c r="BG105" s="2">
        <v>6</v>
      </c>
      <c r="BH105" s="2">
        <v>6</v>
      </c>
      <c r="BI105" s="57">
        <v>6</v>
      </c>
      <c r="BJ105" s="2" t="e">
        <f t="shared" ca="1" si="21"/>
        <v>#NAME?</v>
      </c>
      <c r="BK105" s="5">
        <v>6</v>
      </c>
      <c r="BL105" s="5">
        <v>6</v>
      </c>
      <c r="BM105" s="5">
        <v>6</v>
      </c>
      <c r="BN105" s="5">
        <v>6</v>
      </c>
      <c r="BO105" s="5">
        <v>6</v>
      </c>
      <c r="BP105" s="54">
        <f t="shared" si="5"/>
        <v>6</v>
      </c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2" t="e">
        <f t="shared" ca="1" si="22"/>
        <v>#NAME?</v>
      </c>
      <c r="CD105" s="55" t="s">
        <v>31</v>
      </c>
      <c r="CE105" s="2"/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 t="e">
        <f t="shared" ca="1" si="23"/>
        <v>#NAME?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54">
        <f t="shared" si="8"/>
        <v>0</v>
      </c>
      <c r="CW105" s="55" t="s">
        <v>31</v>
      </c>
      <c r="CX105" s="3"/>
    </row>
    <row r="106" spans="1:102" ht="16.5" x14ac:dyDescent="0.55000000000000004">
      <c r="A106" s="17">
        <v>2</v>
      </c>
      <c r="B106" s="17" t="s">
        <v>4</v>
      </c>
      <c r="C106" s="23" t="s">
        <v>252</v>
      </c>
      <c r="D106" s="24" t="s">
        <v>253</v>
      </c>
      <c r="E106" s="48">
        <v>9</v>
      </c>
      <c r="F106" s="2">
        <v>9</v>
      </c>
      <c r="G106" s="2">
        <v>10</v>
      </c>
      <c r="H106" s="2">
        <v>10</v>
      </c>
      <c r="I106" s="2">
        <v>10</v>
      </c>
      <c r="J106" s="2">
        <v>10</v>
      </c>
      <c r="K106" s="2">
        <v>10</v>
      </c>
      <c r="L106" s="2">
        <v>10</v>
      </c>
      <c r="M106" s="2">
        <v>10</v>
      </c>
      <c r="N106" s="2">
        <v>10</v>
      </c>
      <c r="O106" s="2">
        <v>10</v>
      </c>
      <c r="P106" s="2">
        <v>10</v>
      </c>
      <c r="Q106" s="2" t="e">
        <f t="shared" ca="1" si="19"/>
        <v>#NAME?</v>
      </c>
      <c r="R106" s="2">
        <v>10</v>
      </c>
      <c r="S106" s="2">
        <v>10</v>
      </c>
      <c r="T106" s="2">
        <v>10</v>
      </c>
      <c r="U106" s="2">
        <v>10</v>
      </c>
      <c r="V106" s="2">
        <v>10</v>
      </c>
      <c r="W106" s="54">
        <f t="shared" si="1"/>
        <v>10</v>
      </c>
      <c r="X106" s="48"/>
      <c r="Y106" s="2"/>
      <c r="Z106" s="69">
        <v>8</v>
      </c>
      <c r="AA106" s="2">
        <v>10</v>
      </c>
      <c r="AB106" s="2">
        <v>10</v>
      </c>
      <c r="AC106" s="2">
        <v>10</v>
      </c>
      <c r="AD106" s="2">
        <v>10</v>
      </c>
      <c r="AE106" s="2">
        <v>10</v>
      </c>
      <c r="AF106" s="2">
        <v>10</v>
      </c>
      <c r="AG106" s="2">
        <v>10</v>
      </c>
      <c r="AH106" s="2">
        <v>10</v>
      </c>
      <c r="AI106" s="2">
        <v>10</v>
      </c>
      <c r="AJ106" s="2">
        <v>10</v>
      </c>
      <c r="AK106" s="3"/>
      <c r="AL106" s="3"/>
      <c r="AM106" s="3"/>
      <c r="AN106" s="3"/>
      <c r="AO106" s="3"/>
      <c r="AP106" s="3"/>
      <c r="AQ106" s="2" t="e">
        <f t="shared" ca="1" si="20"/>
        <v>#NAME?</v>
      </c>
      <c r="AR106" s="2">
        <v>10</v>
      </c>
      <c r="AS106" s="2">
        <v>10</v>
      </c>
      <c r="AT106" s="2">
        <v>10</v>
      </c>
      <c r="AU106" s="2">
        <v>10</v>
      </c>
      <c r="AV106" s="2">
        <v>10</v>
      </c>
      <c r="AW106" s="54">
        <f t="shared" si="3"/>
        <v>10</v>
      </c>
      <c r="AX106" s="48"/>
      <c r="AY106" s="2"/>
      <c r="AZ106" s="2">
        <v>10</v>
      </c>
      <c r="BA106" s="2">
        <v>10</v>
      </c>
      <c r="BB106" s="2">
        <v>10</v>
      </c>
      <c r="BC106" s="2">
        <v>10</v>
      </c>
      <c r="BD106" s="2">
        <v>10</v>
      </c>
      <c r="BE106" s="2">
        <v>10</v>
      </c>
      <c r="BF106" s="2">
        <v>10</v>
      </c>
      <c r="BG106" s="2">
        <v>10</v>
      </c>
      <c r="BH106" s="2">
        <v>10</v>
      </c>
      <c r="BI106" s="2">
        <v>10</v>
      </c>
      <c r="BJ106" s="2" t="e">
        <f t="shared" ca="1" si="21"/>
        <v>#NAME?</v>
      </c>
      <c r="BK106" s="2">
        <v>10</v>
      </c>
      <c r="BL106" s="2">
        <v>10</v>
      </c>
      <c r="BM106" s="2">
        <v>10</v>
      </c>
      <c r="BN106" s="2">
        <v>10</v>
      </c>
      <c r="BO106" s="2">
        <v>10</v>
      </c>
      <c r="BP106" s="54">
        <f t="shared" si="5"/>
        <v>10</v>
      </c>
      <c r="BQ106" s="5"/>
      <c r="BR106" s="5"/>
      <c r="BS106" s="5">
        <v>10</v>
      </c>
      <c r="BT106" s="5">
        <v>10</v>
      </c>
      <c r="BU106" s="5">
        <v>10</v>
      </c>
      <c r="BV106" s="5">
        <v>10</v>
      </c>
      <c r="BW106" s="5">
        <v>10</v>
      </c>
      <c r="BX106" s="5">
        <v>10</v>
      </c>
      <c r="BY106" s="5">
        <v>10</v>
      </c>
      <c r="BZ106" s="5">
        <v>10</v>
      </c>
      <c r="CA106" s="5">
        <v>10</v>
      </c>
      <c r="CB106" s="5">
        <v>7</v>
      </c>
      <c r="CC106" s="2" t="e">
        <f t="shared" ca="1" si="22"/>
        <v>#NAME?</v>
      </c>
      <c r="CD106" s="55">
        <v>5</v>
      </c>
      <c r="CE106" s="2"/>
      <c r="CF106" s="2">
        <v>1</v>
      </c>
      <c r="CG106" s="2">
        <v>2</v>
      </c>
      <c r="CH106" s="2">
        <v>3</v>
      </c>
      <c r="CI106" s="2">
        <v>4</v>
      </c>
      <c r="CJ106" s="2">
        <v>5</v>
      </c>
      <c r="CK106" s="2">
        <v>6</v>
      </c>
      <c r="CL106" s="2">
        <v>7</v>
      </c>
      <c r="CM106" s="2">
        <v>8</v>
      </c>
      <c r="CN106" s="2">
        <v>9</v>
      </c>
      <c r="CO106" s="2">
        <v>10</v>
      </c>
      <c r="CP106" s="2" t="e">
        <f t="shared" ca="1" si="23"/>
        <v>#NAME?</v>
      </c>
      <c r="CQ106" s="2"/>
      <c r="CR106" s="2"/>
      <c r="CS106" s="2"/>
      <c r="CT106" s="2"/>
      <c r="CU106" s="2"/>
      <c r="CV106" s="54">
        <f t="shared" si="8"/>
        <v>0</v>
      </c>
      <c r="CW106" s="55">
        <v>4</v>
      </c>
      <c r="CX106" s="3"/>
    </row>
    <row r="107" spans="1:102" ht="16.5" x14ac:dyDescent="0.55000000000000004">
      <c r="A107" s="17">
        <v>2</v>
      </c>
      <c r="B107" s="17" t="s">
        <v>4</v>
      </c>
      <c r="C107" s="23" t="s">
        <v>254</v>
      </c>
      <c r="D107" s="24" t="s">
        <v>255</v>
      </c>
      <c r="E107" s="48">
        <v>9</v>
      </c>
      <c r="F107" s="2">
        <v>8</v>
      </c>
      <c r="G107" s="2">
        <v>10</v>
      </c>
      <c r="H107" s="2">
        <v>10</v>
      </c>
      <c r="I107" s="2">
        <v>10</v>
      </c>
      <c r="J107" s="2">
        <v>10</v>
      </c>
      <c r="K107" s="2">
        <v>10</v>
      </c>
      <c r="L107" s="2">
        <v>10</v>
      </c>
      <c r="M107" s="2">
        <v>10</v>
      </c>
      <c r="N107" s="2">
        <v>10</v>
      </c>
      <c r="O107" s="2">
        <v>10</v>
      </c>
      <c r="P107" s="2">
        <v>10</v>
      </c>
      <c r="Q107" s="2" t="e">
        <f t="shared" ca="1" si="19"/>
        <v>#NAME?</v>
      </c>
      <c r="R107" s="2">
        <v>10</v>
      </c>
      <c r="S107" s="2">
        <v>10</v>
      </c>
      <c r="T107" s="2">
        <v>10</v>
      </c>
      <c r="U107" s="2">
        <v>10</v>
      </c>
      <c r="V107" s="2">
        <v>10</v>
      </c>
      <c r="W107" s="54">
        <f t="shared" si="1"/>
        <v>10</v>
      </c>
      <c r="X107" s="48"/>
      <c r="Y107" s="2"/>
      <c r="Z107" s="69">
        <v>8</v>
      </c>
      <c r="AA107" s="2">
        <v>10</v>
      </c>
      <c r="AB107" s="2">
        <v>10</v>
      </c>
      <c r="AC107" s="2">
        <v>10</v>
      </c>
      <c r="AD107" s="2">
        <v>10</v>
      </c>
      <c r="AE107" s="2">
        <v>10</v>
      </c>
      <c r="AF107" s="2">
        <v>10</v>
      </c>
      <c r="AG107" s="2">
        <v>10</v>
      </c>
      <c r="AH107" s="2">
        <v>10</v>
      </c>
      <c r="AI107" s="2">
        <v>10</v>
      </c>
      <c r="AJ107" s="2">
        <v>10</v>
      </c>
      <c r="AK107" s="3"/>
      <c r="AL107" s="3"/>
      <c r="AM107" s="3"/>
      <c r="AN107" s="3"/>
      <c r="AO107" s="3"/>
      <c r="AP107" s="3"/>
      <c r="AQ107" s="2" t="e">
        <f t="shared" ca="1" si="20"/>
        <v>#NAME?</v>
      </c>
      <c r="AR107" s="2">
        <v>10</v>
      </c>
      <c r="AS107" s="2">
        <v>10</v>
      </c>
      <c r="AT107" s="2">
        <v>10</v>
      </c>
      <c r="AU107" s="2">
        <v>10</v>
      </c>
      <c r="AV107" s="2">
        <v>10</v>
      </c>
      <c r="AW107" s="54">
        <f t="shared" si="3"/>
        <v>10</v>
      </c>
      <c r="AX107" s="48"/>
      <c r="AY107" s="2"/>
      <c r="AZ107" s="1">
        <v>10</v>
      </c>
      <c r="BA107" s="1">
        <v>10</v>
      </c>
      <c r="BB107" s="1">
        <v>10</v>
      </c>
      <c r="BC107" s="1">
        <v>10</v>
      </c>
      <c r="BD107" s="1">
        <v>10</v>
      </c>
      <c r="BE107" s="1">
        <v>10</v>
      </c>
      <c r="BF107" s="1">
        <v>10</v>
      </c>
      <c r="BG107" s="1">
        <v>10</v>
      </c>
      <c r="BH107" s="1">
        <v>10</v>
      </c>
      <c r="BI107" s="1">
        <v>10</v>
      </c>
      <c r="BJ107" s="2" t="e">
        <f t="shared" ca="1" si="21"/>
        <v>#NAME?</v>
      </c>
      <c r="BK107" s="1">
        <v>10</v>
      </c>
      <c r="BL107" s="1">
        <v>10</v>
      </c>
      <c r="BM107" s="1">
        <v>10</v>
      </c>
      <c r="BN107" s="1">
        <v>10</v>
      </c>
      <c r="BO107" s="1">
        <v>10</v>
      </c>
      <c r="BP107" s="54">
        <f t="shared" si="5"/>
        <v>10</v>
      </c>
      <c r="BQ107" s="5"/>
      <c r="BR107" s="5"/>
      <c r="BS107" s="5">
        <v>10</v>
      </c>
      <c r="BT107" s="5">
        <v>10</v>
      </c>
      <c r="BU107" s="5">
        <v>10</v>
      </c>
      <c r="BV107" s="5">
        <v>10</v>
      </c>
      <c r="BW107" s="5">
        <v>10</v>
      </c>
      <c r="BX107" s="5">
        <v>10</v>
      </c>
      <c r="BY107" s="5">
        <v>10</v>
      </c>
      <c r="BZ107" s="5">
        <v>10</v>
      </c>
      <c r="CA107" s="5">
        <v>10</v>
      </c>
      <c r="CB107" s="5">
        <v>7</v>
      </c>
      <c r="CC107" s="2" t="e">
        <f t="shared" ca="1" si="22"/>
        <v>#NAME?</v>
      </c>
      <c r="CD107" s="55">
        <v>3</v>
      </c>
      <c r="CE107" s="2"/>
      <c r="CF107" s="2">
        <v>3</v>
      </c>
      <c r="CG107" s="2">
        <v>4</v>
      </c>
      <c r="CH107" s="2">
        <v>5</v>
      </c>
      <c r="CI107" s="2">
        <v>6</v>
      </c>
      <c r="CJ107" s="2">
        <v>6</v>
      </c>
      <c r="CK107" s="2">
        <v>7</v>
      </c>
      <c r="CL107" s="2">
        <v>8</v>
      </c>
      <c r="CM107" s="2">
        <v>9</v>
      </c>
      <c r="CN107" s="2">
        <v>10</v>
      </c>
      <c r="CO107" s="2">
        <v>10</v>
      </c>
      <c r="CP107" s="2" t="e">
        <f t="shared" ca="1" si="23"/>
        <v>#NAME?</v>
      </c>
      <c r="CQ107" s="2">
        <v>7</v>
      </c>
      <c r="CR107" s="2">
        <v>8</v>
      </c>
      <c r="CS107" s="2">
        <v>10</v>
      </c>
      <c r="CT107" s="2">
        <v>10</v>
      </c>
      <c r="CU107" s="2">
        <v>10</v>
      </c>
      <c r="CV107" s="54">
        <f t="shared" si="8"/>
        <v>9</v>
      </c>
      <c r="CW107" s="55">
        <v>6</v>
      </c>
      <c r="CX107" s="3"/>
    </row>
    <row r="108" spans="1:102" ht="16.5" x14ac:dyDescent="0.55000000000000004">
      <c r="A108" s="17">
        <v>2</v>
      </c>
      <c r="B108" s="17" t="s">
        <v>4</v>
      </c>
      <c r="C108" s="23" t="s">
        <v>256</v>
      </c>
      <c r="D108" s="24" t="s">
        <v>257</v>
      </c>
      <c r="E108" s="48">
        <v>10</v>
      </c>
      <c r="F108" s="2">
        <v>10</v>
      </c>
      <c r="G108" s="2">
        <v>10</v>
      </c>
      <c r="H108" s="2">
        <v>10</v>
      </c>
      <c r="I108" s="2">
        <v>10</v>
      </c>
      <c r="J108" s="2">
        <v>10</v>
      </c>
      <c r="K108" s="2">
        <v>10</v>
      </c>
      <c r="L108" s="2">
        <v>10</v>
      </c>
      <c r="M108" s="2">
        <v>10</v>
      </c>
      <c r="N108" s="2">
        <v>10</v>
      </c>
      <c r="O108" s="2">
        <v>10</v>
      </c>
      <c r="P108" s="2">
        <v>10</v>
      </c>
      <c r="Q108" s="2" t="e">
        <f t="shared" ca="1" si="19"/>
        <v>#NAME?</v>
      </c>
      <c r="R108" s="2">
        <v>10</v>
      </c>
      <c r="S108" s="2">
        <v>10</v>
      </c>
      <c r="T108" s="2">
        <v>10</v>
      </c>
      <c r="U108" s="2">
        <v>10</v>
      </c>
      <c r="V108" s="2">
        <v>10</v>
      </c>
      <c r="W108" s="54">
        <f t="shared" si="1"/>
        <v>10</v>
      </c>
      <c r="X108" s="48"/>
      <c r="Y108" s="2"/>
      <c r="Z108" s="69">
        <v>15</v>
      </c>
      <c r="AA108" s="2">
        <v>10</v>
      </c>
      <c r="AB108" s="2">
        <v>10</v>
      </c>
      <c r="AC108" s="2">
        <v>10</v>
      </c>
      <c r="AD108" s="2">
        <v>10</v>
      </c>
      <c r="AE108" s="2">
        <v>10</v>
      </c>
      <c r="AF108" s="2">
        <v>10</v>
      </c>
      <c r="AG108" s="2">
        <v>10</v>
      </c>
      <c r="AH108" s="2">
        <v>10</v>
      </c>
      <c r="AI108" s="2">
        <v>10</v>
      </c>
      <c r="AJ108" s="2">
        <v>10</v>
      </c>
      <c r="AK108" s="3"/>
      <c r="AL108" s="3"/>
      <c r="AM108" s="3"/>
      <c r="AN108" s="3"/>
      <c r="AO108" s="3"/>
      <c r="AP108" s="3"/>
      <c r="AQ108" s="2" t="e">
        <f t="shared" ca="1" si="20"/>
        <v>#NAME?</v>
      </c>
      <c r="AR108" s="2">
        <v>10</v>
      </c>
      <c r="AS108" s="2">
        <v>10</v>
      </c>
      <c r="AT108" s="2">
        <v>10</v>
      </c>
      <c r="AU108" s="2">
        <v>10</v>
      </c>
      <c r="AV108" s="2">
        <v>10</v>
      </c>
      <c r="AW108" s="54">
        <f t="shared" si="3"/>
        <v>10</v>
      </c>
      <c r="AX108" s="48"/>
      <c r="AY108" s="2"/>
      <c r="AZ108" s="2">
        <v>10</v>
      </c>
      <c r="BA108" s="2">
        <v>10</v>
      </c>
      <c r="BB108" s="2">
        <v>10</v>
      </c>
      <c r="BC108" s="2">
        <v>10</v>
      </c>
      <c r="BD108" s="2">
        <v>10</v>
      </c>
      <c r="BE108" s="2">
        <v>10</v>
      </c>
      <c r="BF108" s="2">
        <v>10</v>
      </c>
      <c r="BG108" s="2">
        <v>10</v>
      </c>
      <c r="BH108" s="2">
        <v>10</v>
      </c>
      <c r="BI108" s="2">
        <v>10</v>
      </c>
      <c r="BJ108" s="2" t="e">
        <f t="shared" ca="1" si="21"/>
        <v>#NAME?</v>
      </c>
      <c r="BK108" s="2">
        <v>10</v>
      </c>
      <c r="BL108" s="2">
        <v>10</v>
      </c>
      <c r="BM108" s="2">
        <v>10</v>
      </c>
      <c r="BN108" s="2">
        <v>10</v>
      </c>
      <c r="BO108" s="2">
        <v>10</v>
      </c>
      <c r="BP108" s="54">
        <f t="shared" si="5"/>
        <v>10</v>
      </c>
      <c r="BQ108" s="5"/>
      <c r="BR108" s="5"/>
      <c r="BS108" s="5">
        <v>10</v>
      </c>
      <c r="BT108" s="5">
        <v>10</v>
      </c>
      <c r="BU108" s="5">
        <v>10</v>
      </c>
      <c r="BV108" s="5">
        <v>10</v>
      </c>
      <c r="BW108" s="5">
        <v>10</v>
      </c>
      <c r="BX108" s="5">
        <v>10</v>
      </c>
      <c r="BY108" s="5">
        <v>10</v>
      </c>
      <c r="BZ108" s="5">
        <v>10</v>
      </c>
      <c r="CA108" s="5">
        <v>10</v>
      </c>
      <c r="CB108" s="5">
        <v>10</v>
      </c>
      <c r="CC108" s="2" t="e">
        <f t="shared" ca="1" si="22"/>
        <v>#NAME?</v>
      </c>
      <c r="CD108" s="55" t="s">
        <v>31</v>
      </c>
      <c r="CE108" s="2"/>
      <c r="CF108" s="2">
        <v>10</v>
      </c>
      <c r="CG108" s="2">
        <v>10</v>
      </c>
      <c r="CH108" s="2">
        <v>10</v>
      </c>
      <c r="CI108" s="2">
        <v>9</v>
      </c>
      <c r="CJ108" s="2">
        <v>8</v>
      </c>
      <c r="CK108" s="2">
        <v>10</v>
      </c>
      <c r="CL108" s="2">
        <v>10</v>
      </c>
      <c r="CM108" s="2">
        <v>10</v>
      </c>
      <c r="CN108" s="2">
        <v>10</v>
      </c>
      <c r="CO108" s="2">
        <v>10</v>
      </c>
      <c r="CP108" s="2" t="e">
        <f t="shared" ca="1" si="23"/>
        <v>#NAME?</v>
      </c>
      <c r="CQ108" s="2">
        <v>10</v>
      </c>
      <c r="CR108" s="2">
        <v>9</v>
      </c>
      <c r="CS108" s="2">
        <v>9</v>
      </c>
      <c r="CT108" s="2">
        <v>10</v>
      </c>
      <c r="CU108" s="2">
        <v>10</v>
      </c>
      <c r="CV108" s="54">
        <f t="shared" si="8"/>
        <v>10</v>
      </c>
      <c r="CW108" s="55">
        <v>15</v>
      </c>
      <c r="CX108" s="3"/>
    </row>
    <row r="109" spans="1:102" ht="16.5" x14ac:dyDescent="0.55000000000000004">
      <c r="A109" s="17">
        <v>2</v>
      </c>
      <c r="B109" s="17" t="s">
        <v>4</v>
      </c>
      <c r="C109" s="23" t="s">
        <v>258</v>
      </c>
      <c r="D109" s="24" t="s">
        <v>259</v>
      </c>
      <c r="E109" s="48">
        <v>10</v>
      </c>
      <c r="F109" s="2">
        <v>10</v>
      </c>
      <c r="G109" s="2">
        <v>10</v>
      </c>
      <c r="H109" s="2">
        <v>10</v>
      </c>
      <c r="I109" s="2">
        <v>10</v>
      </c>
      <c r="J109" s="2">
        <v>10</v>
      </c>
      <c r="K109" s="2">
        <v>10</v>
      </c>
      <c r="L109" s="2">
        <v>10</v>
      </c>
      <c r="M109" s="2">
        <v>10</v>
      </c>
      <c r="N109" s="2">
        <v>10</v>
      </c>
      <c r="O109" s="2">
        <v>10</v>
      </c>
      <c r="P109" s="2">
        <v>10</v>
      </c>
      <c r="Q109" s="2" t="e">
        <f t="shared" ca="1" si="19"/>
        <v>#NAME?</v>
      </c>
      <c r="R109" s="2">
        <v>10</v>
      </c>
      <c r="S109" s="2">
        <v>10</v>
      </c>
      <c r="T109" s="2">
        <v>10</v>
      </c>
      <c r="U109" s="2">
        <v>10</v>
      </c>
      <c r="V109" s="2">
        <v>10</v>
      </c>
      <c r="W109" s="54">
        <f t="shared" si="1"/>
        <v>10</v>
      </c>
      <c r="X109" s="48"/>
      <c r="Y109" s="2"/>
      <c r="Z109" s="69">
        <v>18</v>
      </c>
      <c r="AA109" s="2">
        <v>10</v>
      </c>
      <c r="AB109" s="2">
        <v>10</v>
      </c>
      <c r="AC109" s="2">
        <v>10</v>
      </c>
      <c r="AD109" s="2">
        <v>10</v>
      </c>
      <c r="AE109" s="2">
        <v>10</v>
      </c>
      <c r="AF109" s="2">
        <v>10</v>
      </c>
      <c r="AG109" s="2">
        <v>10</v>
      </c>
      <c r="AH109" s="2">
        <v>10</v>
      </c>
      <c r="AI109" s="2">
        <v>10</v>
      </c>
      <c r="AJ109" s="2">
        <v>10</v>
      </c>
      <c r="AK109" s="3"/>
      <c r="AL109" s="3"/>
      <c r="AM109" s="3"/>
      <c r="AN109" s="3"/>
      <c r="AO109" s="3"/>
      <c r="AP109" s="3"/>
      <c r="AQ109" s="2" t="e">
        <f t="shared" ca="1" si="20"/>
        <v>#NAME?</v>
      </c>
      <c r="AR109" s="2">
        <v>10</v>
      </c>
      <c r="AS109" s="2">
        <v>10</v>
      </c>
      <c r="AT109" s="2">
        <v>10</v>
      </c>
      <c r="AU109" s="2">
        <v>10</v>
      </c>
      <c r="AV109" s="2">
        <v>10</v>
      </c>
      <c r="AW109" s="54">
        <f t="shared" si="3"/>
        <v>10</v>
      </c>
      <c r="AX109" s="48"/>
      <c r="AY109" s="2"/>
      <c r="AZ109" s="2">
        <v>10</v>
      </c>
      <c r="BA109" s="2">
        <v>10</v>
      </c>
      <c r="BB109" s="2">
        <v>10</v>
      </c>
      <c r="BC109" s="2">
        <v>10</v>
      </c>
      <c r="BD109" s="2">
        <v>10</v>
      </c>
      <c r="BE109" s="2">
        <v>10</v>
      </c>
      <c r="BF109" s="2">
        <v>10</v>
      </c>
      <c r="BG109" s="2">
        <v>10</v>
      </c>
      <c r="BH109" s="2">
        <v>10</v>
      </c>
      <c r="BI109" s="2">
        <v>10</v>
      </c>
      <c r="BJ109" s="2" t="e">
        <f t="shared" ca="1" si="21"/>
        <v>#NAME?</v>
      </c>
      <c r="BK109" s="5">
        <v>10</v>
      </c>
      <c r="BL109" s="5">
        <v>10</v>
      </c>
      <c r="BM109" s="2">
        <v>10</v>
      </c>
      <c r="BN109" s="2">
        <v>10</v>
      </c>
      <c r="BO109" s="2">
        <v>10</v>
      </c>
      <c r="BP109" s="54">
        <f t="shared" si="5"/>
        <v>10</v>
      </c>
      <c r="BQ109" s="5"/>
      <c r="BR109" s="5"/>
      <c r="BS109" s="5">
        <v>10</v>
      </c>
      <c r="BT109" s="5">
        <v>10</v>
      </c>
      <c r="BU109" s="5">
        <v>10</v>
      </c>
      <c r="BV109" s="5">
        <v>10</v>
      </c>
      <c r="BW109" s="5">
        <v>10</v>
      </c>
      <c r="BX109" s="5">
        <v>10</v>
      </c>
      <c r="BY109" s="5">
        <v>10</v>
      </c>
      <c r="BZ109" s="5">
        <v>10</v>
      </c>
      <c r="CA109" s="5">
        <v>10</v>
      </c>
      <c r="CB109" s="5">
        <v>10</v>
      </c>
      <c r="CC109" s="2" t="e">
        <f t="shared" ca="1" si="22"/>
        <v>#NAME?</v>
      </c>
      <c r="CD109" s="55">
        <v>6</v>
      </c>
      <c r="CE109" s="2"/>
      <c r="CF109" s="2">
        <v>10</v>
      </c>
      <c r="CG109" s="2">
        <v>10</v>
      </c>
      <c r="CH109" s="2">
        <v>10</v>
      </c>
      <c r="CI109" s="2">
        <v>6</v>
      </c>
      <c r="CJ109" s="2">
        <v>7</v>
      </c>
      <c r="CK109" s="2">
        <v>8</v>
      </c>
      <c r="CL109" s="2">
        <v>9</v>
      </c>
      <c r="CM109" s="2">
        <v>9</v>
      </c>
      <c r="CN109" s="2">
        <v>10</v>
      </c>
      <c r="CO109" s="2">
        <v>10</v>
      </c>
      <c r="CP109" s="2" t="e">
        <f t="shared" ca="1" si="23"/>
        <v>#NAME?</v>
      </c>
      <c r="CQ109" s="2">
        <v>10</v>
      </c>
      <c r="CR109" s="2">
        <v>8</v>
      </c>
      <c r="CS109" s="2">
        <v>8</v>
      </c>
      <c r="CT109" s="2">
        <v>10</v>
      </c>
      <c r="CU109" s="2">
        <v>10</v>
      </c>
      <c r="CV109" s="54">
        <f t="shared" si="8"/>
        <v>10</v>
      </c>
      <c r="CW109" s="55">
        <v>16</v>
      </c>
      <c r="CX109" s="3"/>
    </row>
    <row r="110" spans="1:102" ht="16.5" x14ac:dyDescent="0.55000000000000004">
      <c r="A110" s="17">
        <v>2</v>
      </c>
      <c r="B110" s="17" t="s">
        <v>4</v>
      </c>
      <c r="C110" s="23" t="s">
        <v>260</v>
      </c>
      <c r="D110" s="24" t="s">
        <v>261</v>
      </c>
      <c r="E110" s="48">
        <v>9</v>
      </c>
      <c r="F110" s="2">
        <v>10</v>
      </c>
      <c r="G110" s="2">
        <v>10</v>
      </c>
      <c r="H110" s="2">
        <v>10</v>
      </c>
      <c r="I110" s="2">
        <v>10</v>
      </c>
      <c r="J110" s="2">
        <v>10</v>
      </c>
      <c r="K110" s="2">
        <v>10</v>
      </c>
      <c r="L110" s="2">
        <v>10</v>
      </c>
      <c r="M110" s="2">
        <v>10</v>
      </c>
      <c r="N110" s="2">
        <v>10</v>
      </c>
      <c r="O110" s="2">
        <v>10</v>
      </c>
      <c r="P110" s="2">
        <v>10</v>
      </c>
      <c r="Q110" s="2" t="e">
        <f t="shared" ca="1" si="19"/>
        <v>#NAME?</v>
      </c>
      <c r="R110" s="2">
        <v>10</v>
      </c>
      <c r="S110" s="2">
        <v>10</v>
      </c>
      <c r="T110" s="2">
        <v>10</v>
      </c>
      <c r="U110" s="2">
        <v>10</v>
      </c>
      <c r="V110" s="2">
        <v>10</v>
      </c>
      <c r="W110" s="54">
        <f t="shared" si="1"/>
        <v>10</v>
      </c>
      <c r="X110" s="48"/>
      <c r="Y110" s="2"/>
      <c r="Z110" s="69">
        <v>9</v>
      </c>
      <c r="AA110" s="2">
        <v>10</v>
      </c>
      <c r="AB110" s="2">
        <v>10</v>
      </c>
      <c r="AC110" s="2">
        <v>10</v>
      </c>
      <c r="AD110" s="2">
        <v>10</v>
      </c>
      <c r="AE110" s="2">
        <v>10</v>
      </c>
      <c r="AF110" s="2">
        <v>10</v>
      </c>
      <c r="AG110" s="2">
        <v>10</v>
      </c>
      <c r="AH110" s="2">
        <v>10</v>
      </c>
      <c r="AI110" s="2">
        <v>10</v>
      </c>
      <c r="AJ110" s="2">
        <v>10</v>
      </c>
      <c r="AK110" s="3"/>
      <c r="AL110" s="3"/>
      <c r="AM110" s="3"/>
      <c r="AN110" s="3"/>
      <c r="AO110" s="3"/>
      <c r="AP110" s="3"/>
      <c r="AQ110" s="2" t="e">
        <f t="shared" ca="1" si="20"/>
        <v>#NAME?</v>
      </c>
      <c r="AR110" s="2">
        <v>10</v>
      </c>
      <c r="AS110" s="2">
        <v>10</v>
      </c>
      <c r="AT110" s="2">
        <v>10</v>
      </c>
      <c r="AU110" s="2">
        <v>10</v>
      </c>
      <c r="AV110" s="2">
        <v>10</v>
      </c>
      <c r="AW110" s="54">
        <f t="shared" si="3"/>
        <v>10</v>
      </c>
      <c r="AX110" s="48"/>
      <c r="AY110" s="2"/>
      <c r="AZ110" s="2">
        <v>10</v>
      </c>
      <c r="BA110" s="2">
        <v>10</v>
      </c>
      <c r="BB110" s="2">
        <v>10</v>
      </c>
      <c r="BC110" s="2">
        <v>10</v>
      </c>
      <c r="BD110" s="2">
        <v>10</v>
      </c>
      <c r="BE110" s="2">
        <v>10</v>
      </c>
      <c r="BF110" s="2">
        <v>10</v>
      </c>
      <c r="BG110" s="2">
        <v>10</v>
      </c>
      <c r="BH110" s="2">
        <v>10</v>
      </c>
      <c r="BI110" s="2">
        <v>10</v>
      </c>
      <c r="BJ110" s="2" t="e">
        <f t="shared" ca="1" si="21"/>
        <v>#NAME?</v>
      </c>
      <c r="BK110" s="5">
        <v>10</v>
      </c>
      <c r="BL110" s="2">
        <v>10</v>
      </c>
      <c r="BM110" s="2">
        <v>10</v>
      </c>
      <c r="BN110" s="2">
        <v>10</v>
      </c>
      <c r="BO110" s="2">
        <v>10</v>
      </c>
      <c r="BP110" s="54">
        <f t="shared" si="5"/>
        <v>10</v>
      </c>
      <c r="BQ110" s="5"/>
      <c r="BR110" s="5"/>
      <c r="BS110" s="5">
        <v>10</v>
      </c>
      <c r="BT110" s="5">
        <v>10</v>
      </c>
      <c r="BU110" s="5">
        <v>10</v>
      </c>
      <c r="BV110" s="5">
        <v>10</v>
      </c>
      <c r="BW110" s="5">
        <v>10</v>
      </c>
      <c r="BX110" s="5">
        <v>10</v>
      </c>
      <c r="BY110" s="5">
        <v>10</v>
      </c>
      <c r="BZ110" s="5">
        <v>10</v>
      </c>
      <c r="CA110" s="5">
        <v>10</v>
      </c>
      <c r="CB110" s="5">
        <v>10</v>
      </c>
      <c r="CC110" s="2" t="e">
        <f t="shared" ca="1" si="22"/>
        <v>#NAME?</v>
      </c>
      <c r="CD110" s="55">
        <v>2</v>
      </c>
      <c r="CE110" s="2"/>
      <c r="CF110" s="2">
        <v>3</v>
      </c>
      <c r="CG110" s="2">
        <v>4</v>
      </c>
      <c r="CH110" s="2">
        <v>5</v>
      </c>
      <c r="CI110" s="2">
        <v>6</v>
      </c>
      <c r="CJ110" s="2">
        <v>6</v>
      </c>
      <c r="CK110" s="2">
        <v>7</v>
      </c>
      <c r="CL110" s="2">
        <v>8</v>
      </c>
      <c r="CM110" s="2">
        <v>9</v>
      </c>
      <c r="CN110" s="2">
        <v>9</v>
      </c>
      <c r="CO110" s="2">
        <v>10</v>
      </c>
      <c r="CP110" s="2" t="e">
        <f t="shared" ca="1" si="23"/>
        <v>#NAME?</v>
      </c>
      <c r="CQ110" s="2">
        <v>10</v>
      </c>
      <c r="CR110" s="2">
        <v>8</v>
      </c>
      <c r="CS110" s="2">
        <v>9</v>
      </c>
      <c r="CT110" s="2">
        <v>10</v>
      </c>
      <c r="CU110" s="2">
        <v>10</v>
      </c>
      <c r="CV110" s="54">
        <f t="shared" si="8"/>
        <v>10</v>
      </c>
      <c r="CW110" s="55">
        <v>6</v>
      </c>
      <c r="CX110" s="3"/>
    </row>
    <row r="111" spans="1:102" ht="16.5" x14ac:dyDescent="0.55000000000000004">
      <c r="A111" s="17">
        <v>2</v>
      </c>
      <c r="B111" s="17" t="s">
        <v>4</v>
      </c>
      <c r="C111" s="23" t="s">
        <v>262</v>
      </c>
      <c r="D111" s="24" t="s">
        <v>263</v>
      </c>
      <c r="E111" s="48">
        <v>10</v>
      </c>
      <c r="F111" s="2">
        <v>10</v>
      </c>
      <c r="G111" s="2">
        <v>10</v>
      </c>
      <c r="H111" s="2">
        <v>10</v>
      </c>
      <c r="I111" s="2">
        <v>10</v>
      </c>
      <c r="J111" s="2">
        <v>10</v>
      </c>
      <c r="K111" s="2">
        <v>10</v>
      </c>
      <c r="L111" s="2">
        <v>10</v>
      </c>
      <c r="M111" s="2">
        <v>10</v>
      </c>
      <c r="N111" s="2">
        <v>10</v>
      </c>
      <c r="O111" s="2">
        <v>10</v>
      </c>
      <c r="P111" s="2">
        <v>10</v>
      </c>
      <c r="Q111" s="2" t="e">
        <f t="shared" ca="1" si="19"/>
        <v>#NAME?</v>
      </c>
      <c r="R111" s="2">
        <v>10</v>
      </c>
      <c r="S111" s="2">
        <v>10</v>
      </c>
      <c r="T111" s="2">
        <v>10</v>
      </c>
      <c r="U111" s="2">
        <v>10</v>
      </c>
      <c r="V111" s="2">
        <v>10</v>
      </c>
      <c r="W111" s="54">
        <f t="shared" si="1"/>
        <v>10</v>
      </c>
      <c r="X111" s="48"/>
      <c r="Y111" s="2"/>
      <c r="Z111" s="69">
        <v>15</v>
      </c>
      <c r="AA111" s="2">
        <v>10</v>
      </c>
      <c r="AB111" s="2">
        <v>10</v>
      </c>
      <c r="AC111" s="2">
        <v>10</v>
      </c>
      <c r="AD111" s="2">
        <v>10</v>
      </c>
      <c r="AE111" s="2">
        <v>10</v>
      </c>
      <c r="AF111" s="2">
        <v>10</v>
      </c>
      <c r="AG111" s="2">
        <v>10</v>
      </c>
      <c r="AH111" s="2">
        <v>10</v>
      </c>
      <c r="AI111" s="2">
        <v>10</v>
      </c>
      <c r="AJ111" s="2">
        <v>10</v>
      </c>
      <c r="AK111" s="3"/>
      <c r="AL111" s="3"/>
      <c r="AM111" s="3"/>
      <c r="AN111" s="3"/>
      <c r="AO111" s="3"/>
      <c r="AP111" s="3"/>
      <c r="AQ111" s="2" t="e">
        <f t="shared" ca="1" si="20"/>
        <v>#NAME?</v>
      </c>
      <c r="AR111" s="2">
        <v>10</v>
      </c>
      <c r="AS111" s="2">
        <v>10</v>
      </c>
      <c r="AT111" s="2">
        <v>10</v>
      </c>
      <c r="AU111" s="2">
        <v>10</v>
      </c>
      <c r="AV111" s="2">
        <v>10</v>
      </c>
      <c r="AW111" s="54">
        <f t="shared" si="3"/>
        <v>10</v>
      </c>
      <c r="AX111" s="48"/>
      <c r="AY111" s="2"/>
      <c r="AZ111" s="2">
        <v>10</v>
      </c>
      <c r="BA111" s="2">
        <v>10</v>
      </c>
      <c r="BB111" s="2">
        <v>10</v>
      </c>
      <c r="BC111" s="2">
        <v>10</v>
      </c>
      <c r="BD111" s="2">
        <v>10</v>
      </c>
      <c r="BE111" s="2">
        <v>10</v>
      </c>
      <c r="BF111" s="2">
        <v>10</v>
      </c>
      <c r="BG111" s="2">
        <v>10</v>
      </c>
      <c r="BH111" s="2">
        <v>10</v>
      </c>
      <c r="BI111" s="2">
        <v>10</v>
      </c>
      <c r="BJ111" s="2" t="e">
        <f t="shared" ca="1" si="21"/>
        <v>#NAME?</v>
      </c>
      <c r="BK111" s="2">
        <v>10</v>
      </c>
      <c r="BL111" s="2">
        <v>10</v>
      </c>
      <c r="BM111" s="2">
        <v>10</v>
      </c>
      <c r="BN111" s="2">
        <v>10</v>
      </c>
      <c r="BO111" s="2">
        <v>10</v>
      </c>
      <c r="BP111" s="54">
        <f t="shared" si="5"/>
        <v>10</v>
      </c>
      <c r="BQ111" s="5"/>
      <c r="BR111" s="5"/>
      <c r="BS111" s="5">
        <v>10</v>
      </c>
      <c r="BT111" s="5">
        <v>10</v>
      </c>
      <c r="BU111" s="5">
        <v>10</v>
      </c>
      <c r="BV111" s="5">
        <v>10</v>
      </c>
      <c r="BW111" s="5">
        <v>10</v>
      </c>
      <c r="BX111" s="5">
        <v>10</v>
      </c>
      <c r="BY111" s="5">
        <v>10</v>
      </c>
      <c r="BZ111" s="5">
        <v>10</v>
      </c>
      <c r="CA111" s="5">
        <v>10</v>
      </c>
      <c r="CB111" s="5">
        <v>10</v>
      </c>
      <c r="CC111" s="2" t="e">
        <f t="shared" ca="1" si="22"/>
        <v>#NAME?</v>
      </c>
      <c r="CD111" s="55">
        <v>7</v>
      </c>
      <c r="CE111" s="2"/>
      <c r="CF111" s="2">
        <v>9</v>
      </c>
      <c r="CG111" s="2">
        <v>10</v>
      </c>
      <c r="CH111" s="2">
        <v>10</v>
      </c>
      <c r="CI111" s="2">
        <v>7</v>
      </c>
      <c r="CJ111" s="2">
        <v>8</v>
      </c>
      <c r="CK111" s="2">
        <v>9</v>
      </c>
      <c r="CL111" s="2">
        <v>10</v>
      </c>
      <c r="CM111" s="2">
        <v>10</v>
      </c>
      <c r="CN111" s="2">
        <v>10</v>
      </c>
      <c r="CO111" s="2">
        <v>10</v>
      </c>
      <c r="CP111" s="2" t="e">
        <f t="shared" ca="1" si="23"/>
        <v>#NAME?</v>
      </c>
      <c r="CQ111" s="2">
        <v>10</v>
      </c>
      <c r="CR111" s="2">
        <v>7</v>
      </c>
      <c r="CS111" s="2">
        <v>8</v>
      </c>
      <c r="CT111" s="2">
        <v>10</v>
      </c>
      <c r="CU111" s="2">
        <v>10</v>
      </c>
      <c r="CV111" s="54">
        <f t="shared" si="8"/>
        <v>9</v>
      </c>
      <c r="CW111" s="55">
        <v>19</v>
      </c>
      <c r="CX111" s="3"/>
    </row>
    <row r="112" spans="1:102" ht="16.5" x14ac:dyDescent="0.55000000000000004">
      <c r="A112" s="17">
        <v>2</v>
      </c>
      <c r="B112" s="17" t="s">
        <v>4</v>
      </c>
      <c r="C112" s="23" t="s">
        <v>264</v>
      </c>
      <c r="D112" s="24" t="s">
        <v>265</v>
      </c>
      <c r="E112" s="48">
        <v>6</v>
      </c>
      <c r="F112" s="2">
        <v>5</v>
      </c>
      <c r="G112" s="2">
        <v>9</v>
      </c>
      <c r="H112" s="2">
        <v>9</v>
      </c>
      <c r="I112" s="2">
        <v>9</v>
      </c>
      <c r="J112" s="2">
        <v>9</v>
      </c>
      <c r="K112" s="2">
        <v>9</v>
      </c>
      <c r="L112" s="2">
        <v>9</v>
      </c>
      <c r="M112" s="2">
        <v>9</v>
      </c>
      <c r="N112" s="2">
        <v>9</v>
      </c>
      <c r="O112" s="2">
        <v>9</v>
      </c>
      <c r="P112" s="2">
        <v>9</v>
      </c>
      <c r="Q112" s="2" t="e">
        <f t="shared" ca="1" si="19"/>
        <v>#NAME?</v>
      </c>
      <c r="R112" s="2">
        <v>9</v>
      </c>
      <c r="S112" s="2">
        <v>9</v>
      </c>
      <c r="T112" s="2">
        <v>9</v>
      </c>
      <c r="U112" s="2">
        <v>9</v>
      </c>
      <c r="V112" s="2">
        <v>9</v>
      </c>
      <c r="W112" s="54">
        <f t="shared" si="1"/>
        <v>9</v>
      </c>
      <c r="X112" s="48"/>
      <c r="Y112" s="2"/>
      <c r="Z112" s="73" t="s">
        <v>31</v>
      </c>
      <c r="AA112" s="2">
        <v>8</v>
      </c>
      <c r="AB112" s="2">
        <v>8</v>
      </c>
      <c r="AC112" s="2">
        <v>8</v>
      </c>
      <c r="AD112" s="2">
        <v>8</v>
      </c>
      <c r="AE112" s="2">
        <v>8</v>
      </c>
      <c r="AF112" s="2">
        <v>8</v>
      </c>
      <c r="AG112" s="2">
        <v>8</v>
      </c>
      <c r="AH112" s="2">
        <v>8</v>
      </c>
      <c r="AI112" s="2">
        <v>8</v>
      </c>
      <c r="AJ112" s="2">
        <v>8</v>
      </c>
      <c r="AK112" s="3"/>
      <c r="AL112" s="3"/>
      <c r="AM112" s="3"/>
      <c r="AN112" s="3"/>
      <c r="AO112" s="3"/>
      <c r="AP112" s="3"/>
      <c r="AQ112" s="2" t="e">
        <f t="shared" ca="1" si="20"/>
        <v>#NAME?</v>
      </c>
      <c r="AR112" s="2">
        <v>10</v>
      </c>
      <c r="AS112" s="2">
        <v>10</v>
      </c>
      <c r="AT112" s="2">
        <v>10</v>
      </c>
      <c r="AU112" s="2">
        <v>8</v>
      </c>
      <c r="AV112" s="2">
        <v>8</v>
      </c>
      <c r="AW112" s="54">
        <f t="shared" si="3"/>
        <v>10</v>
      </c>
      <c r="AX112" s="48"/>
      <c r="AY112" s="2"/>
      <c r="AZ112" s="2">
        <v>9</v>
      </c>
      <c r="BA112" s="2">
        <v>9</v>
      </c>
      <c r="BB112" s="2">
        <v>9</v>
      </c>
      <c r="BC112" s="2">
        <v>9</v>
      </c>
      <c r="BD112" s="2">
        <v>9</v>
      </c>
      <c r="BE112" s="2">
        <v>9</v>
      </c>
      <c r="BF112" s="2">
        <v>9</v>
      </c>
      <c r="BG112" s="2">
        <v>9</v>
      </c>
      <c r="BH112" s="2">
        <v>9</v>
      </c>
      <c r="BI112" s="2">
        <v>9</v>
      </c>
      <c r="BJ112" s="2" t="e">
        <f t="shared" ca="1" si="21"/>
        <v>#NAME?</v>
      </c>
      <c r="BK112" s="5">
        <v>9</v>
      </c>
      <c r="BL112" s="5">
        <v>9</v>
      </c>
      <c r="BM112" s="5">
        <v>7</v>
      </c>
      <c r="BN112" s="5">
        <v>7</v>
      </c>
      <c r="BO112" s="5">
        <v>7</v>
      </c>
      <c r="BP112" s="54">
        <f t="shared" si="5"/>
        <v>8</v>
      </c>
      <c r="BQ112" s="5"/>
      <c r="BR112" s="5"/>
      <c r="BS112" s="5">
        <v>7</v>
      </c>
      <c r="BT112" s="5">
        <v>7</v>
      </c>
      <c r="BU112" s="5">
        <v>7</v>
      </c>
      <c r="BV112" s="5">
        <v>7</v>
      </c>
      <c r="BW112" s="5">
        <v>7</v>
      </c>
      <c r="BX112" s="5">
        <v>7</v>
      </c>
      <c r="BY112" s="5">
        <v>7</v>
      </c>
      <c r="BZ112" s="5">
        <v>7</v>
      </c>
      <c r="CA112" s="5">
        <v>7</v>
      </c>
      <c r="CB112" s="5">
        <v>7</v>
      </c>
      <c r="CC112" s="2" t="e">
        <f t="shared" ca="1" si="22"/>
        <v>#NAME?</v>
      </c>
      <c r="CD112" s="55" t="s">
        <v>31</v>
      </c>
      <c r="CE112" s="2"/>
      <c r="CF112" s="2">
        <v>4</v>
      </c>
      <c r="CG112" s="2">
        <v>4</v>
      </c>
      <c r="CH112" s="2">
        <v>4</v>
      </c>
      <c r="CI112" s="2">
        <v>4</v>
      </c>
      <c r="CJ112" s="2">
        <v>4</v>
      </c>
      <c r="CK112" s="2">
        <v>4</v>
      </c>
      <c r="CL112" s="2">
        <v>4</v>
      </c>
      <c r="CM112" s="2">
        <v>4</v>
      </c>
      <c r="CN112" s="2">
        <v>4</v>
      </c>
      <c r="CO112" s="2">
        <v>4</v>
      </c>
      <c r="CP112" s="2" t="e">
        <f t="shared" ca="1" si="23"/>
        <v>#NAME?</v>
      </c>
      <c r="CQ112" s="2">
        <v>4</v>
      </c>
      <c r="CR112" s="2">
        <v>4</v>
      </c>
      <c r="CS112" s="2">
        <v>4</v>
      </c>
      <c r="CT112" s="2">
        <v>4</v>
      </c>
      <c r="CU112" s="2">
        <v>4</v>
      </c>
      <c r="CV112" s="54">
        <f t="shared" si="8"/>
        <v>4</v>
      </c>
      <c r="CW112" s="55" t="s">
        <v>31</v>
      </c>
      <c r="CX112" s="3"/>
    </row>
    <row r="113" spans="1:102" ht="16.5" x14ac:dyDescent="0.55000000000000004">
      <c r="A113" s="17">
        <v>2</v>
      </c>
      <c r="B113" s="17" t="s">
        <v>4</v>
      </c>
      <c r="C113" s="23" t="s">
        <v>266</v>
      </c>
      <c r="D113" s="24" t="s">
        <v>267</v>
      </c>
      <c r="E113" s="48">
        <v>10</v>
      </c>
      <c r="F113" s="2">
        <v>10</v>
      </c>
      <c r="G113" s="2">
        <v>10</v>
      </c>
      <c r="H113" s="2">
        <v>10</v>
      </c>
      <c r="I113" s="2">
        <v>10</v>
      </c>
      <c r="J113" s="2">
        <v>10</v>
      </c>
      <c r="K113" s="2">
        <v>10</v>
      </c>
      <c r="L113" s="2">
        <v>10</v>
      </c>
      <c r="M113" s="2">
        <v>10</v>
      </c>
      <c r="N113" s="2">
        <v>10</v>
      </c>
      <c r="O113" s="2">
        <v>10</v>
      </c>
      <c r="P113" s="2">
        <v>10</v>
      </c>
      <c r="Q113" s="2" t="e">
        <f t="shared" ca="1" si="19"/>
        <v>#NAME?</v>
      </c>
      <c r="R113" s="2">
        <v>10</v>
      </c>
      <c r="S113" s="2">
        <v>10</v>
      </c>
      <c r="T113" s="2">
        <v>10</v>
      </c>
      <c r="U113" s="2">
        <v>10</v>
      </c>
      <c r="V113" s="2">
        <v>10</v>
      </c>
      <c r="W113" s="54">
        <f t="shared" si="1"/>
        <v>10</v>
      </c>
      <c r="X113" s="48"/>
      <c r="Y113" s="2"/>
      <c r="Z113" s="69">
        <v>17</v>
      </c>
      <c r="AA113" s="8">
        <v>10</v>
      </c>
      <c r="AB113" s="8">
        <v>10</v>
      </c>
      <c r="AC113" s="8">
        <v>10</v>
      </c>
      <c r="AD113" s="8">
        <v>10</v>
      </c>
      <c r="AE113" s="8">
        <v>10</v>
      </c>
      <c r="AF113" s="8">
        <v>10</v>
      </c>
      <c r="AG113" s="8">
        <v>10</v>
      </c>
      <c r="AH113" s="8">
        <v>10</v>
      </c>
      <c r="AI113" s="8">
        <v>10</v>
      </c>
      <c r="AJ113" s="8">
        <v>10</v>
      </c>
      <c r="AK113" s="17"/>
      <c r="AL113" s="17"/>
      <c r="AM113" s="17"/>
      <c r="AN113" s="17"/>
      <c r="AO113" s="17"/>
      <c r="AP113" s="17"/>
      <c r="AQ113" s="2" t="e">
        <f t="shared" ca="1" si="20"/>
        <v>#NAME?</v>
      </c>
      <c r="AR113" s="8">
        <v>10</v>
      </c>
      <c r="AS113" s="8">
        <v>10</v>
      </c>
      <c r="AT113" s="8">
        <v>10</v>
      </c>
      <c r="AU113" s="8">
        <v>10</v>
      </c>
      <c r="AV113" s="8">
        <v>10</v>
      </c>
      <c r="AW113" s="54">
        <f t="shared" si="3"/>
        <v>10</v>
      </c>
      <c r="AX113" s="48"/>
      <c r="AY113" s="2"/>
      <c r="AZ113" s="2">
        <v>10</v>
      </c>
      <c r="BA113" s="2">
        <v>10</v>
      </c>
      <c r="BB113" s="2">
        <v>10</v>
      </c>
      <c r="BC113" s="2">
        <v>10</v>
      </c>
      <c r="BD113" s="2">
        <v>10</v>
      </c>
      <c r="BE113" s="2">
        <v>10</v>
      </c>
      <c r="BF113" s="2">
        <v>10</v>
      </c>
      <c r="BG113" s="2">
        <v>10</v>
      </c>
      <c r="BH113" s="2">
        <v>10</v>
      </c>
      <c r="BI113" s="2">
        <v>10</v>
      </c>
      <c r="BJ113" s="2" t="e">
        <f t="shared" ca="1" si="21"/>
        <v>#NAME?</v>
      </c>
      <c r="BK113" s="5">
        <v>10</v>
      </c>
      <c r="BL113" s="5">
        <v>10</v>
      </c>
      <c r="BM113" s="2">
        <v>10</v>
      </c>
      <c r="BN113" s="2">
        <v>10</v>
      </c>
      <c r="BO113" s="2">
        <v>10</v>
      </c>
      <c r="BP113" s="54">
        <f t="shared" si="5"/>
        <v>10</v>
      </c>
      <c r="BQ113" s="5"/>
      <c r="BR113" s="5"/>
      <c r="BS113" s="5">
        <v>10</v>
      </c>
      <c r="BT113" s="5">
        <v>10</v>
      </c>
      <c r="BU113" s="5">
        <v>10</v>
      </c>
      <c r="BV113" s="5">
        <v>10</v>
      </c>
      <c r="BW113" s="5">
        <v>10</v>
      </c>
      <c r="BX113" s="5">
        <v>10</v>
      </c>
      <c r="BY113" s="5">
        <v>10</v>
      </c>
      <c r="BZ113" s="5">
        <v>10</v>
      </c>
      <c r="CA113" s="5">
        <v>10</v>
      </c>
      <c r="CB113" s="5">
        <v>10</v>
      </c>
      <c r="CC113" s="2" t="e">
        <f t="shared" ca="1" si="22"/>
        <v>#NAME?</v>
      </c>
      <c r="CD113" s="55">
        <v>2</v>
      </c>
      <c r="CE113" s="2"/>
      <c r="CF113" s="2">
        <v>10</v>
      </c>
      <c r="CG113" s="2">
        <v>10</v>
      </c>
      <c r="CH113" s="2">
        <v>10</v>
      </c>
      <c r="CI113" s="2">
        <v>8</v>
      </c>
      <c r="CJ113" s="2">
        <v>9</v>
      </c>
      <c r="CK113" s="2">
        <v>8</v>
      </c>
      <c r="CL113" s="2">
        <v>10</v>
      </c>
      <c r="CM113" s="2">
        <v>10</v>
      </c>
      <c r="CN113" s="2">
        <v>10</v>
      </c>
      <c r="CO113" s="2">
        <v>10</v>
      </c>
      <c r="CP113" s="2" t="e">
        <f t="shared" ca="1" si="23"/>
        <v>#NAME?</v>
      </c>
      <c r="CQ113" s="2">
        <v>10</v>
      </c>
      <c r="CR113" s="2">
        <v>10</v>
      </c>
      <c r="CS113" s="2">
        <v>10</v>
      </c>
      <c r="CT113" s="2">
        <v>10</v>
      </c>
      <c r="CU113" s="2">
        <v>10</v>
      </c>
      <c r="CV113" s="54">
        <f t="shared" si="8"/>
        <v>10</v>
      </c>
      <c r="CW113" s="55">
        <v>14</v>
      </c>
      <c r="CX113" s="3"/>
    </row>
    <row r="114" spans="1:102" ht="16.5" x14ac:dyDescent="0.55000000000000004">
      <c r="A114" s="17">
        <v>2</v>
      </c>
      <c r="B114" s="17" t="s">
        <v>4</v>
      </c>
      <c r="C114" s="23" t="s">
        <v>268</v>
      </c>
      <c r="D114" s="24" t="s">
        <v>269</v>
      </c>
      <c r="E114" s="48">
        <v>10</v>
      </c>
      <c r="F114" s="2">
        <v>10</v>
      </c>
      <c r="G114" s="2">
        <v>10</v>
      </c>
      <c r="H114" s="2">
        <v>10</v>
      </c>
      <c r="I114" s="2">
        <v>10</v>
      </c>
      <c r="J114" s="2">
        <v>10</v>
      </c>
      <c r="K114" s="2">
        <v>10</v>
      </c>
      <c r="L114" s="2">
        <v>10</v>
      </c>
      <c r="M114" s="2">
        <v>10</v>
      </c>
      <c r="N114" s="2">
        <v>10</v>
      </c>
      <c r="O114" s="2">
        <v>10</v>
      </c>
      <c r="P114" s="2">
        <v>10</v>
      </c>
      <c r="Q114" s="2" t="e">
        <f t="shared" ca="1" si="19"/>
        <v>#NAME?</v>
      </c>
      <c r="R114" s="2">
        <v>10</v>
      </c>
      <c r="S114" s="2">
        <v>10</v>
      </c>
      <c r="T114" s="2">
        <v>10</v>
      </c>
      <c r="U114" s="2">
        <v>10</v>
      </c>
      <c r="V114" s="2">
        <v>10</v>
      </c>
      <c r="W114" s="54">
        <f t="shared" si="1"/>
        <v>10</v>
      </c>
      <c r="X114" s="48"/>
      <c r="Y114" s="2"/>
      <c r="Z114" s="69">
        <v>20</v>
      </c>
      <c r="AA114" s="8">
        <v>10</v>
      </c>
      <c r="AB114" s="8">
        <v>10</v>
      </c>
      <c r="AC114" s="8">
        <v>10</v>
      </c>
      <c r="AD114" s="8">
        <v>10</v>
      </c>
      <c r="AE114" s="8">
        <v>10</v>
      </c>
      <c r="AF114" s="8">
        <v>10</v>
      </c>
      <c r="AG114" s="8">
        <v>10</v>
      </c>
      <c r="AH114" s="8">
        <v>10</v>
      </c>
      <c r="AI114" s="8">
        <v>10</v>
      </c>
      <c r="AJ114" s="8">
        <v>10</v>
      </c>
      <c r="AK114" s="17"/>
      <c r="AL114" s="17"/>
      <c r="AM114" s="17"/>
      <c r="AN114" s="17"/>
      <c r="AO114" s="17"/>
      <c r="AP114" s="17"/>
      <c r="AQ114" s="2" t="e">
        <f t="shared" ca="1" si="20"/>
        <v>#NAME?</v>
      </c>
      <c r="AR114" s="8">
        <v>10</v>
      </c>
      <c r="AS114" s="8">
        <v>10</v>
      </c>
      <c r="AT114" s="8">
        <v>10</v>
      </c>
      <c r="AU114" s="8">
        <v>10</v>
      </c>
      <c r="AV114" s="8">
        <v>10</v>
      </c>
      <c r="AW114" s="54">
        <f t="shared" si="3"/>
        <v>10</v>
      </c>
      <c r="AX114" s="48"/>
      <c r="AY114" s="2"/>
      <c r="AZ114" s="2">
        <v>10</v>
      </c>
      <c r="BA114" s="2">
        <v>10</v>
      </c>
      <c r="BB114" s="2">
        <v>10</v>
      </c>
      <c r="BC114" s="2">
        <v>10</v>
      </c>
      <c r="BD114" s="2">
        <v>10</v>
      </c>
      <c r="BE114" s="2">
        <v>10</v>
      </c>
      <c r="BF114" s="2">
        <v>10</v>
      </c>
      <c r="BG114" s="2">
        <v>10</v>
      </c>
      <c r="BH114" s="2">
        <v>10</v>
      </c>
      <c r="BI114" s="2">
        <v>10</v>
      </c>
      <c r="BJ114" s="2" t="e">
        <f t="shared" ca="1" si="21"/>
        <v>#NAME?</v>
      </c>
      <c r="BK114" s="5">
        <v>10</v>
      </c>
      <c r="BL114" s="5">
        <v>10</v>
      </c>
      <c r="BM114" s="2">
        <v>10</v>
      </c>
      <c r="BN114" s="2">
        <v>10</v>
      </c>
      <c r="BO114" s="2">
        <v>10</v>
      </c>
      <c r="BP114" s="54">
        <f t="shared" si="5"/>
        <v>10</v>
      </c>
      <c r="BQ114" s="5"/>
      <c r="BR114" s="5"/>
      <c r="BS114" s="5">
        <v>10</v>
      </c>
      <c r="BT114" s="5">
        <v>10</v>
      </c>
      <c r="BU114" s="5">
        <v>10</v>
      </c>
      <c r="BV114" s="5">
        <v>10</v>
      </c>
      <c r="BW114" s="5">
        <v>10</v>
      </c>
      <c r="BX114" s="5">
        <v>10</v>
      </c>
      <c r="BY114" s="5">
        <v>10</v>
      </c>
      <c r="BZ114" s="5">
        <v>10</v>
      </c>
      <c r="CA114" s="5">
        <v>10</v>
      </c>
      <c r="CB114" s="5">
        <v>10</v>
      </c>
      <c r="CC114" s="2" t="e">
        <f t="shared" ca="1" si="22"/>
        <v>#NAME?</v>
      </c>
      <c r="CD114" s="55">
        <v>5</v>
      </c>
      <c r="CE114" s="2"/>
      <c r="CF114" s="2">
        <v>9</v>
      </c>
      <c r="CG114" s="2">
        <v>10</v>
      </c>
      <c r="CH114" s="2">
        <v>10</v>
      </c>
      <c r="CI114" s="2">
        <v>8</v>
      </c>
      <c r="CJ114" s="2">
        <v>9</v>
      </c>
      <c r="CK114" s="2">
        <v>9</v>
      </c>
      <c r="CL114" s="2">
        <v>10</v>
      </c>
      <c r="CM114" s="2">
        <v>10</v>
      </c>
      <c r="CN114" s="2">
        <v>10</v>
      </c>
      <c r="CO114" s="2">
        <v>10</v>
      </c>
      <c r="CP114" s="2" t="e">
        <f t="shared" ca="1" si="23"/>
        <v>#NAME?</v>
      </c>
      <c r="CQ114" s="2">
        <v>10</v>
      </c>
      <c r="CR114" s="2">
        <v>8</v>
      </c>
      <c r="CS114" s="2">
        <v>9</v>
      </c>
      <c r="CT114" s="2">
        <v>10</v>
      </c>
      <c r="CU114" s="2">
        <v>10</v>
      </c>
      <c r="CV114" s="54">
        <f t="shared" si="8"/>
        <v>10</v>
      </c>
      <c r="CW114" s="55">
        <v>20</v>
      </c>
      <c r="CX114" s="3"/>
    </row>
    <row r="115" spans="1:102" ht="16.5" x14ac:dyDescent="0.55000000000000004">
      <c r="A115" s="17">
        <v>2</v>
      </c>
      <c r="B115" s="17" t="s">
        <v>4</v>
      </c>
      <c r="C115" s="23" t="s">
        <v>270</v>
      </c>
      <c r="D115" s="24" t="s">
        <v>271</v>
      </c>
      <c r="E115" s="48" t="s">
        <v>31</v>
      </c>
      <c r="F115" s="2" t="s">
        <v>31</v>
      </c>
      <c r="G115" s="2">
        <v>6</v>
      </c>
      <c r="H115" s="2">
        <v>6</v>
      </c>
      <c r="I115" s="2">
        <v>6</v>
      </c>
      <c r="J115" s="2">
        <v>6</v>
      </c>
      <c r="K115" s="2">
        <v>6</v>
      </c>
      <c r="L115" s="2">
        <v>6</v>
      </c>
      <c r="M115" s="2">
        <v>6</v>
      </c>
      <c r="N115" s="2">
        <v>6</v>
      </c>
      <c r="O115" s="2">
        <v>6</v>
      </c>
      <c r="P115" s="2">
        <v>6</v>
      </c>
      <c r="Q115" s="2" t="e">
        <f t="shared" ca="1" si="19"/>
        <v>#NAME?</v>
      </c>
      <c r="R115" s="2">
        <v>6</v>
      </c>
      <c r="S115" s="2">
        <v>6</v>
      </c>
      <c r="T115" s="2">
        <v>6</v>
      </c>
      <c r="U115" s="2">
        <v>6</v>
      </c>
      <c r="V115" s="2">
        <v>6</v>
      </c>
      <c r="W115" s="54">
        <f t="shared" si="1"/>
        <v>6</v>
      </c>
      <c r="X115" s="48"/>
      <c r="Y115" s="2"/>
      <c r="Z115" s="73" t="s">
        <v>31</v>
      </c>
      <c r="AA115" s="2">
        <v>6</v>
      </c>
      <c r="AB115" s="2">
        <v>6</v>
      </c>
      <c r="AC115" s="2">
        <v>6</v>
      </c>
      <c r="AD115" s="2">
        <v>6</v>
      </c>
      <c r="AE115" s="2">
        <v>6</v>
      </c>
      <c r="AF115" s="2">
        <v>6</v>
      </c>
      <c r="AG115" s="2">
        <v>6</v>
      </c>
      <c r="AH115" s="2">
        <v>6</v>
      </c>
      <c r="AI115" s="2">
        <v>6</v>
      </c>
      <c r="AJ115" s="2">
        <v>6</v>
      </c>
      <c r="AK115" s="3"/>
      <c r="AL115" s="3"/>
      <c r="AM115" s="3"/>
      <c r="AN115" s="3"/>
      <c r="AO115" s="3"/>
      <c r="AP115" s="3"/>
      <c r="AQ115" s="2" t="e">
        <f t="shared" ca="1" si="20"/>
        <v>#NAME?</v>
      </c>
      <c r="AR115" s="2">
        <v>10</v>
      </c>
      <c r="AS115" s="2">
        <v>10</v>
      </c>
      <c r="AT115" s="2"/>
      <c r="AU115" s="2"/>
      <c r="AV115" s="2"/>
      <c r="AW115" s="54">
        <f t="shared" si="3"/>
        <v>10</v>
      </c>
      <c r="AX115" s="48"/>
      <c r="AY115" s="2"/>
      <c r="AZ115" s="2">
        <v>6</v>
      </c>
      <c r="BA115" s="2">
        <v>6</v>
      </c>
      <c r="BB115" s="2">
        <v>6</v>
      </c>
      <c r="BC115" s="2">
        <v>6</v>
      </c>
      <c r="BD115" s="2">
        <v>6</v>
      </c>
      <c r="BE115" s="2">
        <v>6</v>
      </c>
      <c r="BF115" s="2">
        <v>6</v>
      </c>
      <c r="BG115" s="2">
        <v>6</v>
      </c>
      <c r="BH115" s="2">
        <v>6</v>
      </c>
      <c r="BI115" s="57">
        <v>6</v>
      </c>
      <c r="BJ115" s="2" t="e">
        <f t="shared" ca="1" si="21"/>
        <v>#NAME?</v>
      </c>
      <c r="BK115" s="5">
        <v>6</v>
      </c>
      <c r="BL115" s="5">
        <v>6</v>
      </c>
      <c r="BM115" s="5">
        <v>6</v>
      </c>
      <c r="BN115" s="5">
        <v>6</v>
      </c>
      <c r="BO115" s="5">
        <v>6</v>
      </c>
      <c r="BP115" s="54">
        <f t="shared" si="5"/>
        <v>6</v>
      </c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2" t="e">
        <f t="shared" ca="1" si="22"/>
        <v>#NAME?</v>
      </c>
      <c r="CD115" s="55" t="s">
        <v>31</v>
      </c>
      <c r="CE115" s="2"/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 t="e">
        <f t="shared" ca="1" si="23"/>
        <v>#NAME?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54">
        <f t="shared" si="8"/>
        <v>0</v>
      </c>
      <c r="CW115" s="55" t="s">
        <v>31</v>
      </c>
      <c r="CX115" s="3"/>
    </row>
    <row r="116" spans="1:102" ht="16.5" x14ac:dyDescent="0.55000000000000004">
      <c r="A116" s="17">
        <v>2</v>
      </c>
      <c r="B116" s="17" t="s">
        <v>4</v>
      </c>
      <c r="C116" s="23" t="s">
        <v>272</v>
      </c>
      <c r="D116" s="24" t="s">
        <v>273</v>
      </c>
      <c r="E116" s="48">
        <v>8</v>
      </c>
      <c r="F116" s="2">
        <v>6</v>
      </c>
      <c r="G116" s="2">
        <v>10</v>
      </c>
      <c r="H116" s="2">
        <v>10</v>
      </c>
      <c r="I116" s="2">
        <v>10</v>
      </c>
      <c r="J116" s="2">
        <v>10</v>
      </c>
      <c r="K116" s="2">
        <v>10</v>
      </c>
      <c r="L116" s="2">
        <v>10</v>
      </c>
      <c r="M116" s="2">
        <v>10</v>
      </c>
      <c r="N116" s="2">
        <v>10</v>
      </c>
      <c r="O116" s="2">
        <v>10</v>
      </c>
      <c r="P116" s="2">
        <v>10</v>
      </c>
      <c r="Q116" s="2" t="e">
        <f t="shared" ca="1" si="19"/>
        <v>#NAME?</v>
      </c>
      <c r="R116" s="2">
        <v>10</v>
      </c>
      <c r="S116" s="2">
        <v>10</v>
      </c>
      <c r="T116" s="2">
        <v>10</v>
      </c>
      <c r="U116" s="2">
        <v>10</v>
      </c>
      <c r="V116" s="2">
        <v>10</v>
      </c>
      <c r="W116" s="54">
        <f t="shared" si="1"/>
        <v>10</v>
      </c>
      <c r="X116" s="48"/>
      <c r="Y116" s="2"/>
      <c r="Z116" s="69">
        <v>5</v>
      </c>
      <c r="AA116" s="2">
        <v>10</v>
      </c>
      <c r="AB116" s="2">
        <v>10</v>
      </c>
      <c r="AC116" s="2">
        <v>10</v>
      </c>
      <c r="AD116" s="2">
        <v>10</v>
      </c>
      <c r="AE116" s="2">
        <v>10</v>
      </c>
      <c r="AF116" s="2">
        <v>10</v>
      </c>
      <c r="AG116" s="2">
        <v>10</v>
      </c>
      <c r="AH116" s="2">
        <v>10</v>
      </c>
      <c r="AI116" s="2">
        <v>10</v>
      </c>
      <c r="AJ116" s="2">
        <v>10</v>
      </c>
      <c r="AK116" s="3"/>
      <c r="AL116" s="3"/>
      <c r="AM116" s="3"/>
      <c r="AN116" s="3"/>
      <c r="AO116" s="3"/>
      <c r="AP116" s="3"/>
      <c r="AQ116" s="2" t="e">
        <f t="shared" ca="1" si="20"/>
        <v>#NAME?</v>
      </c>
      <c r="AR116" s="2">
        <v>10</v>
      </c>
      <c r="AS116" s="2">
        <v>10</v>
      </c>
      <c r="AT116" s="2">
        <v>10</v>
      </c>
      <c r="AU116" s="2">
        <v>10</v>
      </c>
      <c r="AV116" s="2">
        <v>10</v>
      </c>
      <c r="AW116" s="54">
        <f t="shared" si="3"/>
        <v>10</v>
      </c>
      <c r="AX116" s="48"/>
      <c r="AY116" s="2"/>
      <c r="AZ116" s="2">
        <v>10</v>
      </c>
      <c r="BA116" s="2">
        <v>10</v>
      </c>
      <c r="BB116" s="2">
        <v>10</v>
      </c>
      <c r="BC116" s="2">
        <v>10</v>
      </c>
      <c r="BD116" s="2">
        <v>10</v>
      </c>
      <c r="BE116" s="2">
        <v>10</v>
      </c>
      <c r="BF116" s="2">
        <v>10</v>
      </c>
      <c r="BG116" s="2">
        <v>10</v>
      </c>
      <c r="BH116" s="2">
        <v>10</v>
      </c>
      <c r="BI116" s="2">
        <v>10</v>
      </c>
      <c r="BJ116" s="2" t="e">
        <f t="shared" ca="1" si="21"/>
        <v>#NAME?</v>
      </c>
      <c r="BK116" s="2">
        <v>10</v>
      </c>
      <c r="BL116" s="2">
        <v>10</v>
      </c>
      <c r="BM116" s="2">
        <v>10</v>
      </c>
      <c r="BN116" s="2">
        <v>10</v>
      </c>
      <c r="BO116" s="2">
        <v>10</v>
      </c>
      <c r="BP116" s="54">
        <f t="shared" si="5"/>
        <v>10</v>
      </c>
      <c r="BQ116" s="5"/>
      <c r="BR116" s="5"/>
      <c r="BS116" s="5">
        <v>10</v>
      </c>
      <c r="BT116" s="5">
        <v>10</v>
      </c>
      <c r="BU116" s="5">
        <v>10</v>
      </c>
      <c r="BV116" s="5">
        <v>10</v>
      </c>
      <c r="BW116" s="5">
        <v>10</v>
      </c>
      <c r="BX116" s="5">
        <v>10</v>
      </c>
      <c r="BY116" s="5">
        <v>10</v>
      </c>
      <c r="BZ116" s="5">
        <v>10</v>
      </c>
      <c r="CA116" s="5">
        <v>10</v>
      </c>
      <c r="CB116" s="5">
        <v>10</v>
      </c>
      <c r="CC116" s="2" t="e">
        <f t="shared" ca="1" si="22"/>
        <v>#NAME?</v>
      </c>
      <c r="CD116" s="55" t="s">
        <v>31</v>
      </c>
      <c r="CE116" s="2"/>
      <c r="CF116" s="2">
        <v>10</v>
      </c>
      <c r="CG116" s="2">
        <v>10</v>
      </c>
      <c r="CH116" s="2">
        <v>10</v>
      </c>
      <c r="CI116" s="2">
        <v>8</v>
      </c>
      <c r="CJ116" s="2">
        <v>6</v>
      </c>
      <c r="CK116" s="2">
        <v>7</v>
      </c>
      <c r="CL116" s="2">
        <v>8</v>
      </c>
      <c r="CM116" s="2">
        <v>9</v>
      </c>
      <c r="CN116" s="2">
        <v>9</v>
      </c>
      <c r="CO116" s="2">
        <v>3</v>
      </c>
      <c r="CP116" s="2" t="e">
        <f t="shared" ca="1" si="23"/>
        <v>#NAME?</v>
      </c>
      <c r="CQ116" s="2">
        <v>7</v>
      </c>
      <c r="CR116" s="2">
        <v>8</v>
      </c>
      <c r="CS116" s="2">
        <v>9</v>
      </c>
      <c r="CT116" s="2">
        <v>10</v>
      </c>
      <c r="CU116" s="2">
        <v>10</v>
      </c>
      <c r="CV116" s="54">
        <f t="shared" si="8"/>
        <v>9</v>
      </c>
      <c r="CW116" s="55">
        <v>6</v>
      </c>
      <c r="CX116" s="3"/>
    </row>
    <row r="117" spans="1:102" ht="16.5" x14ac:dyDescent="0.55000000000000004">
      <c r="A117" s="17">
        <v>2</v>
      </c>
      <c r="B117" s="17" t="s">
        <v>4</v>
      </c>
      <c r="C117" s="23" t="s">
        <v>274</v>
      </c>
      <c r="D117" s="24" t="s">
        <v>275</v>
      </c>
      <c r="E117" s="48">
        <v>10</v>
      </c>
      <c r="F117" s="2">
        <v>10</v>
      </c>
      <c r="G117" s="2">
        <v>10</v>
      </c>
      <c r="H117" s="2">
        <v>10</v>
      </c>
      <c r="I117" s="2">
        <v>10</v>
      </c>
      <c r="J117" s="2">
        <v>10</v>
      </c>
      <c r="K117" s="2">
        <v>10</v>
      </c>
      <c r="L117" s="2">
        <v>10</v>
      </c>
      <c r="M117" s="2">
        <v>10</v>
      </c>
      <c r="N117" s="2">
        <v>10</v>
      </c>
      <c r="O117" s="2">
        <v>10</v>
      </c>
      <c r="P117" s="2">
        <v>10</v>
      </c>
      <c r="Q117" s="2" t="e">
        <f t="shared" ca="1" si="19"/>
        <v>#NAME?</v>
      </c>
      <c r="R117" s="2">
        <v>10</v>
      </c>
      <c r="S117" s="2">
        <v>10</v>
      </c>
      <c r="T117" s="2">
        <v>10</v>
      </c>
      <c r="U117" s="2">
        <v>10</v>
      </c>
      <c r="V117" s="2">
        <v>10</v>
      </c>
      <c r="W117" s="54">
        <f t="shared" si="1"/>
        <v>10</v>
      </c>
      <c r="X117" s="48"/>
      <c r="Y117" s="2"/>
      <c r="Z117" s="69">
        <v>20</v>
      </c>
      <c r="AA117" s="2">
        <v>10</v>
      </c>
      <c r="AB117" s="2">
        <v>10</v>
      </c>
      <c r="AC117" s="2">
        <v>10</v>
      </c>
      <c r="AD117" s="2">
        <v>10</v>
      </c>
      <c r="AE117" s="2">
        <v>10</v>
      </c>
      <c r="AF117" s="2">
        <v>10</v>
      </c>
      <c r="AG117" s="2">
        <v>10</v>
      </c>
      <c r="AH117" s="2">
        <v>10</v>
      </c>
      <c r="AI117" s="2">
        <v>10</v>
      </c>
      <c r="AJ117" s="2">
        <v>10</v>
      </c>
      <c r="AK117" s="3"/>
      <c r="AL117" s="3"/>
      <c r="AM117" s="3"/>
      <c r="AN117" s="3"/>
      <c r="AO117" s="3"/>
      <c r="AP117" s="3"/>
      <c r="AQ117" s="2" t="e">
        <f t="shared" ca="1" si="20"/>
        <v>#NAME?</v>
      </c>
      <c r="AR117" s="2">
        <v>10</v>
      </c>
      <c r="AS117" s="2">
        <v>10</v>
      </c>
      <c r="AT117" s="2">
        <v>10</v>
      </c>
      <c r="AU117" s="2">
        <v>10</v>
      </c>
      <c r="AV117" s="2">
        <v>10</v>
      </c>
      <c r="AW117" s="54">
        <f t="shared" si="3"/>
        <v>10</v>
      </c>
      <c r="AX117" s="48"/>
      <c r="AY117" s="2"/>
      <c r="AZ117" s="2">
        <v>10</v>
      </c>
      <c r="BA117" s="2">
        <v>10</v>
      </c>
      <c r="BB117" s="2">
        <v>10</v>
      </c>
      <c r="BC117" s="2">
        <v>10</v>
      </c>
      <c r="BD117" s="2">
        <v>10</v>
      </c>
      <c r="BE117" s="2">
        <v>10</v>
      </c>
      <c r="BF117" s="2">
        <v>10</v>
      </c>
      <c r="BG117" s="2">
        <v>10</v>
      </c>
      <c r="BH117" s="2">
        <v>10</v>
      </c>
      <c r="BI117" s="2">
        <v>10</v>
      </c>
      <c r="BJ117" s="2" t="e">
        <f t="shared" ca="1" si="21"/>
        <v>#NAME?</v>
      </c>
      <c r="BK117" s="5">
        <v>10</v>
      </c>
      <c r="BL117" s="5">
        <v>10</v>
      </c>
      <c r="BM117" s="2">
        <v>10</v>
      </c>
      <c r="BN117" s="2">
        <v>10</v>
      </c>
      <c r="BO117" s="2">
        <v>10</v>
      </c>
      <c r="BP117" s="54">
        <f t="shared" si="5"/>
        <v>10</v>
      </c>
      <c r="BQ117" s="5"/>
      <c r="BR117" s="5"/>
      <c r="BS117" s="5">
        <v>10</v>
      </c>
      <c r="BT117" s="5">
        <v>10</v>
      </c>
      <c r="BU117" s="5">
        <v>10</v>
      </c>
      <c r="BV117" s="5">
        <v>10</v>
      </c>
      <c r="BW117" s="5">
        <v>10</v>
      </c>
      <c r="BX117" s="5">
        <v>10</v>
      </c>
      <c r="BY117" s="5">
        <v>10</v>
      </c>
      <c r="BZ117" s="5">
        <v>10</v>
      </c>
      <c r="CA117" s="5">
        <v>10</v>
      </c>
      <c r="CB117" s="5">
        <v>10</v>
      </c>
      <c r="CC117" s="2" t="e">
        <f t="shared" ca="1" si="22"/>
        <v>#NAME?</v>
      </c>
      <c r="CD117" s="55">
        <v>5</v>
      </c>
      <c r="CE117" s="2"/>
      <c r="CF117" s="2">
        <v>10</v>
      </c>
      <c r="CG117" s="2">
        <v>10</v>
      </c>
      <c r="CH117" s="2">
        <v>10</v>
      </c>
      <c r="CI117" s="2">
        <v>7</v>
      </c>
      <c r="CJ117" s="2">
        <v>8</v>
      </c>
      <c r="CK117" s="2">
        <v>8</v>
      </c>
      <c r="CL117" s="2">
        <v>10</v>
      </c>
      <c r="CM117" s="2">
        <v>7</v>
      </c>
      <c r="CN117" s="2">
        <v>10</v>
      </c>
      <c r="CO117" s="2">
        <v>10</v>
      </c>
      <c r="CP117" s="2" t="e">
        <f t="shared" ca="1" si="23"/>
        <v>#NAME?</v>
      </c>
      <c r="CQ117" s="2">
        <v>10</v>
      </c>
      <c r="CR117" s="2">
        <v>7</v>
      </c>
      <c r="CS117" s="2">
        <v>8</v>
      </c>
      <c r="CT117" s="2">
        <v>10</v>
      </c>
      <c r="CU117" s="2">
        <v>10</v>
      </c>
      <c r="CV117" s="54">
        <f t="shared" si="8"/>
        <v>9</v>
      </c>
      <c r="CW117" s="55">
        <v>15</v>
      </c>
      <c r="CX117" s="3"/>
    </row>
    <row r="118" spans="1:102" ht="16.5" x14ac:dyDescent="0.55000000000000004">
      <c r="A118" s="17">
        <v>2</v>
      </c>
      <c r="B118" s="17" t="s">
        <v>4</v>
      </c>
      <c r="C118" s="23" t="s">
        <v>276</v>
      </c>
      <c r="D118" s="24" t="s">
        <v>277</v>
      </c>
      <c r="E118" s="48">
        <v>10</v>
      </c>
      <c r="F118" s="2">
        <v>10</v>
      </c>
      <c r="G118" s="2">
        <v>10</v>
      </c>
      <c r="H118" s="2">
        <v>10</v>
      </c>
      <c r="I118" s="2">
        <v>10</v>
      </c>
      <c r="J118" s="2">
        <v>10</v>
      </c>
      <c r="K118" s="2">
        <v>10</v>
      </c>
      <c r="L118" s="2">
        <v>10</v>
      </c>
      <c r="M118" s="2">
        <v>10</v>
      </c>
      <c r="N118" s="2">
        <v>10</v>
      </c>
      <c r="O118" s="2">
        <v>10</v>
      </c>
      <c r="P118" s="2">
        <v>10</v>
      </c>
      <c r="Q118" s="2" t="e">
        <f t="shared" ca="1" si="19"/>
        <v>#NAME?</v>
      </c>
      <c r="R118" s="2">
        <v>10</v>
      </c>
      <c r="S118" s="2">
        <v>10</v>
      </c>
      <c r="T118" s="2">
        <v>10</v>
      </c>
      <c r="U118" s="2">
        <v>10</v>
      </c>
      <c r="V118" s="2">
        <v>10</v>
      </c>
      <c r="W118" s="54">
        <f t="shared" si="1"/>
        <v>10</v>
      </c>
      <c r="X118" s="48"/>
      <c r="Y118" s="2"/>
      <c r="Z118" s="69">
        <v>19</v>
      </c>
      <c r="AA118" s="2">
        <v>10</v>
      </c>
      <c r="AB118" s="2">
        <v>10</v>
      </c>
      <c r="AC118" s="2">
        <v>10</v>
      </c>
      <c r="AD118" s="2">
        <v>10</v>
      </c>
      <c r="AE118" s="2">
        <v>10</v>
      </c>
      <c r="AF118" s="2">
        <v>10</v>
      </c>
      <c r="AG118" s="2">
        <v>10</v>
      </c>
      <c r="AH118" s="2">
        <v>10</v>
      </c>
      <c r="AI118" s="2">
        <v>10</v>
      </c>
      <c r="AJ118" s="2">
        <v>10</v>
      </c>
      <c r="AK118" s="3"/>
      <c r="AL118" s="3"/>
      <c r="AM118" s="3"/>
      <c r="AN118" s="3"/>
      <c r="AO118" s="3"/>
      <c r="AP118" s="3"/>
      <c r="AQ118" s="2" t="e">
        <f t="shared" ca="1" si="20"/>
        <v>#NAME?</v>
      </c>
      <c r="AR118" s="2">
        <v>10</v>
      </c>
      <c r="AS118" s="2">
        <v>10</v>
      </c>
      <c r="AT118" s="2">
        <v>10</v>
      </c>
      <c r="AU118" s="2">
        <v>10</v>
      </c>
      <c r="AV118" s="2">
        <v>10</v>
      </c>
      <c r="AW118" s="54">
        <f t="shared" si="3"/>
        <v>10</v>
      </c>
      <c r="AX118" s="48"/>
      <c r="AY118" s="2"/>
      <c r="AZ118" s="2">
        <v>10</v>
      </c>
      <c r="BA118" s="2">
        <v>10</v>
      </c>
      <c r="BB118" s="2">
        <v>10</v>
      </c>
      <c r="BC118" s="2">
        <v>10</v>
      </c>
      <c r="BD118" s="2">
        <v>10</v>
      </c>
      <c r="BE118" s="2">
        <v>10</v>
      </c>
      <c r="BF118" s="2">
        <v>10</v>
      </c>
      <c r="BG118" s="2">
        <v>10</v>
      </c>
      <c r="BH118" s="2">
        <v>10</v>
      </c>
      <c r="BI118" s="2">
        <v>10</v>
      </c>
      <c r="BJ118" s="2" t="e">
        <f t="shared" ca="1" si="21"/>
        <v>#NAME?</v>
      </c>
      <c r="BK118" s="5">
        <v>10</v>
      </c>
      <c r="BL118" s="2">
        <v>10</v>
      </c>
      <c r="BM118" s="2">
        <v>10</v>
      </c>
      <c r="BN118" s="2">
        <v>10</v>
      </c>
      <c r="BO118" s="2">
        <v>10</v>
      </c>
      <c r="BP118" s="54">
        <f t="shared" si="5"/>
        <v>10</v>
      </c>
      <c r="BQ118" s="5"/>
      <c r="BR118" s="5"/>
      <c r="BS118" s="5">
        <v>10</v>
      </c>
      <c r="BT118" s="5">
        <v>10</v>
      </c>
      <c r="BU118" s="5">
        <v>10</v>
      </c>
      <c r="BV118" s="5">
        <v>10</v>
      </c>
      <c r="BW118" s="5">
        <v>10</v>
      </c>
      <c r="BX118" s="5">
        <v>10</v>
      </c>
      <c r="BY118" s="5">
        <v>10</v>
      </c>
      <c r="BZ118" s="5">
        <v>10</v>
      </c>
      <c r="CA118" s="5">
        <v>10</v>
      </c>
      <c r="CB118" s="5">
        <v>10</v>
      </c>
      <c r="CC118" s="2" t="e">
        <f t="shared" ca="1" si="22"/>
        <v>#NAME?</v>
      </c>
      <c r="CD118" s="55">
        <v>6</v>
      </c>
      <c r="CE118" s="2"/>
      <c r="CF118" s="2">
        <v>10</v>
      </c>
      <c r="CG118" s="2">
        <v>10</v>
      </c>
      <c r="CH118" s="2">
        <v>10</v>
      </c>
      <c r="CI118" s="2">
        <v>10</v>
      </c>
      <c r="CJ118" s="2">
        <v>7</v>
      </c>
      <c r="CK118" s="2">
        <v>7</v>
      </c>
      <c r="CL118" s="2">
        <v>8</v>
      </c>
      <c r="CM118" s="2">
        <v>10</v>
      </c>
      <c r="CN118" s="2">
        <v>9</v>
      </c>
      <c r="CO118" s="2">
        <v>10</v>
      </c>
      <c r="CP118" s="2" t="e">
        <f t="shared" ca="1" si="23"/>
        <v>#NAME?</v>
      </c>
      <c r="CQ118" s="2">
        <v>10</v>
      </c>
      <c r="CR118" s="2">
        <v>9</v>
      </c>
      <c r="CS118" s="2">
        <v>9</v>
      </c>
      <c r="CT118" s="2">
        <v>10</v>
      </c>
      <c r="CU118" s="2">
        <v>10</v>
      </c>
      <c r="CV118" s="54">
        <f t="shared" si="8"/>
        <v>10</v>
      </c>
      <c r="CW118" s="55">
        <v>14</v>
      </c>
      <c r="CX118" s="3"/>
    </row>
    <row r="119" spans="1:102" ht="16.5" x14ac:dyDescent="0.55000000000000004">
      <c r="A119" s="17">
        <v>2</v>
      </c>
      <c r="B119" s="17" t="s">
        <v>4</v>
      </c>
      <c r="C119" s="23" t="s">
        <v>278</v>
      </c>
      <c r="D119" s="24" t="s">
        <v>279</v>
      </c>
      <c r="E119" s="48">
        <v>10</v>
      </c>
      <c r="F119" s="2">
        <v>10</v>
      </c>
      <c r="G119" s="2">
        <v>10</v>
      </c>
      <c r="H119" s="2">
        <v>10</v>
      </c>
      <c r="I119" s="2">
        <v>10</v>
      </c>
      <c r="J119" s="2">
        <v>10</v>
      </c>
      <c r="K119" s="2">
        <v>10</v>
      </c>
      <c r="L119" s="2">
        <v>10</v>
      </c>
      <c r="M119" s="2">
        <v>10</v>
      </c>
      <c r="N119" s="2">
        <v>10</v>
      </c>
      <c r="O119" s="2">
        <v>10</v>
      </c>
      <c r="P119" s="2">
        <v>10</v>
      </c>
      <c r="Q119" s="2" t="e">
        <f t="shared" ca="1" si="19"/>
        <v>#NAME?</v>
      </c>
      <c r="R119" s="2">
        <v>10</v>
      </c>
      <c r="S119" s="2">
        <v>10</v>
      </c>
      <c r="T119" s="2">
        <v>10</v>
      </c>
      <c r="U119" s="2">
        <v>10</v>
      </c>
      <c r="V119" s="2">
        <v>10</v>
      </c>
      <c r="W119" s="54">
        <f t="shared" si="1"/>
        <v>10</v>
      </c>
      <c r="X119" s="48"/>
      <c r="Y119" s="2"/>
      <c r="Z119" s="69">
        <v>14</v>
      </c>
      <c r="AA119" s="8">
        <v>10</v>
      </c>
      <c r="AB119" s="8">
        <v>10</v>
      </c>
      <c r="AC119" s="8">
        <v>10</v>
      </c>
      <c r="AD119" s="8">
        <v>10</v>
      </c>
      <c r="AE119" s="8">
        <v>10</v>
      </c>
      <c r="AF119" s="8">
        <v>10</v>
      </c>
      <c r="AG119" s="8">
        <v>10</v>
      </c>
      <c r="AH119" s="8">
        <v>10</v>
      </c>
      <c r="AI119" s="8">
        <v>10</v>
      </c>
      <c r="AJ119" s="8">
        <v>10</v>
      </c>
      <c r="AK119" s="17"/>
      <c r="AL119" s="17"/>
      <c r="AM119" s="17"/>
      <c r="AN119" s="17"/>
      <c r="AO119" s="17"/>
      <c r="AP119" s="17"/>
      <c r="AQ119" s="2" t="e">
        <f t="shared" ca="1" si="20"/>
        <v>#NAME?</v>
      </c>
      <c r="AR119" s="8">
        <v>10</v>
      </c>
      <c r="AS119" s="8">
        <v>10</v>
      </c>
      <c r="AT119" s="8">
        <v>10</v>
      </c>
      <c r="AU119" s="8">
        <v>10</v>
      </c>
      <c r="AV119" s="8">
        <v>10</v>
      </c>
      <c r="AW119" s="54">
        <f t="shared" si="3"/>
        <v>10</v>
      </c>
      <c r="AX119" s="48"/>
      <c r="AY119" s="2"/>
      <c r="AZ119" s="2">
        <v>10</v>
      </c>
      <c r="BA119" s="2">
        <v>10</v>
      </c>
      <c r="BB119" s="2">
        <v>10</v>
      </c>
      <c r="BC119" s="2">
        <v>10</v>
      </c>
      <c r="BD119" s="2">
        <v>10</v>
      </c>
      <c r="BE119" s="2">
        <v>10</v>
      </c>
      <c r="BF119" s="2">
        <v>10</v>
      </c>
      <c r="BG119" s="2">
        <v>10</v>
      </c>
      <c r="BH119" s="2">
        <v>10</v>
      </c>
      <c r="BI119" s="2">
        <v>10</v>
      </c>
      <c r="BJ119" s="2" t="e">
        <f t="shared" ca="1" si="21"/>
        <v>#NAME?</v>
      </c>
      <c r="BK119" s="2">
        <v>10</v>
      </c>
      <c r="BL119" s="2">
        <v>10</v>
      </c>
      <c r="BM119" s="2">
        <v>10</v>
      </c>
      <c r="BN119" s="2">
        <v>10</v>
      </c>
      <c r="BO119" s="2">
        <v>10</v>
      </c>
      <c r="BP119" s="54">
        <f t="shared" si="5"/>
        <v>10</v>
      </c>
      <c r="BQ119" s="5"/>
      <c r="BR119" s="5"/>
      <c r="BS119" s="5">
        <v>10</v>
      </c>
      <c r="BT119" s="5">
        <v>10</v>
      </c>
      <c r="BU119" s="5">
        <v>10</v>
      </c>
      <c r="BV119" s="5">
        <v>10</v>
      </c>
      <c r="BW119" s="5">
        <v>10</v>
      </c>
      <c r="BX119" s="5">
        <v>10</v>
      </c>
      <c r="BY119" s="5">
        <v>10</v>
      </c>
      <c r="BZ119" s="5">
        <v>10</v>
      </c>
      <c r="CA119" s="5">
        <v>10</v>
      </c>
      <c r="CB119" s="5">
        <v>10</v>
      </c>
      <c r="CC119" s="2" t="e">
        <f t="shared" ca="1" si="22"/>
        <v>#NAME?</v>
      </c>
      <c r="CD119" s="55" t="s">
        <v>31</v>
      </c>
      <c r="CE119" s="2"/>
      <c r="CF119" s="2">
        <v>9</v>
      </c>
      <c r="CG119" s="2">
        <v>10</v>
      </c>
      <c r="CH119" s="2">
        <v>10</v>
      </c>
      <c r="CI119" s="2">
        <v>9</v>
      </c>
      <c r="CJ119" s="2">
        <v>8</v>
      </c>
      <c r="CK119" s="2">
        <v>9</v>
      </c>
      <c r="CL119" s="2">
        <v>9</v>
      </c>
      <c r="CM119" s="2">
        <v>10</v>
      </c>
      <c r="CN119" s="2">
        <v>10</v>
      </c>
      <c r="CO119" s="2">
        <v>10</v>
      </c>
      <c r="CP119" s="2" t="e">
        <f t="shared" ca="1" si="23"/>
        <v>#NAME?</v>
      </c>
      <c r="CQ119" s="2">
        <v>10</v>
      </c>
      <c r="CR119" s="2">
        <v>8</v>
      </c>
      <c r="CS119" s="2">
        <v>9</v>
      </c>
      <c r="CT119" s="2">
        <v>10</v>
      </c>
      <c r="CU119" s="2">
        <v>9</v>
      </c>
      <c r="CV119" s="54">
        <f t="shared" si="8"/>
        <v>10</v>
      </c>
      <c r="CW119" s="55">
        <v>11</v>
      </c>
      <c r="CX119" s="3"/>
    </row>
    <row r="120" spans="1:102" ht="16.5" x14ac:dyDescent="0.55000000000000004">
      <c r="A120" s="17">
        <v>3</v>
      </c>
      <c r="B120" s="17" t="s">
        <v>4</v>
      </c>
      <c r="C120" s="23" t="s">
        <v>280</v>
      </c>
      <c r="D120" s="24" t="s">
        <v>281</v>
      </c>
      <c r="E120" s="48">
        <v>10</v>
      </c>
      <c r="F120" s="2">
        <v>9</v>
      </c>
      <c r="G120" s="2">
        <v>10</v>
      </c>
      <c r="H120" s="2">
        <v>10</v>
      </c>
      <c r="I120" s="2">
        <v>10</v>
      </c>
      <c r="J120" s="2">
        <v>10</v>
      </c>
      <c r="K120" s="2">
        <v>10</v>
      </c>
      <c r="L120" s="2">
        <v>10</v>
      </c>
      <c r="M120" s="2">
        <v>10</v>
      </c>
      <c r="N120" s="2">
        <v>10</v>
      </c>
      <c r="O120" s="2">
        <v>10</v>
      </c>
      <c r="P120" s="2">
        <v>10</v>
      </c>
      <c r="Q120" s="2" t="e">
        <f t="shared" ca="1" si="19"/>
        <v>#NAME?</v>
      </c>
      <c r="R120" s="2">
        <v>10</v>
      </c>
      <c r="S120" s="2">
        <v>10</v>
      </c>
      <c r="T120" s="2">
        <v>10</v>
      </c>
      <c r="U120" s="2">
        <v>10</v>
      </c>
      <c r="V120" s="2">
        <v>10</v>
      </c>
      <c r="W120" s="54">
        <f t="shared" si="1"/>
        <v>10</v>
      </c>
      <c r="X120" s="48"/>
      <c r="Y120" s="2"/>
      <c r="Z120" s="69">
        <v>10</v>
      </c>
      <c r="AA120" s="8">
        <v>10</v>
      </c>
      <c r="AB120" s="8">
        <v>10</v>
      </c>
      <c r="AC120" s="8">
        <v>10</v>
      </c>
      <c r="AD120" s="8">
        <v>10</v>
      </c>
      <c r="AE120" s="8">
        <v>10</v>
      </c>
      <c r="AF120" s="8">
        <v>10</v>
      </c>
      <c r="AG120" s="8">
        <v>10</v>
      </c>
      <c r="AH120" s="8">
        <v>10</v>
      </c>
      <c r="AI120" s="8">
        <v>10</v>
      </c>
      <c r="AJ120" s="8">
        <v>10</v>
      </c>
      <c r="AK120" s="17"/>
      <c r="AL120" s="17"/>
      <c r="AM120" s="17"/>
      <c r="AN120" s="17"/>
      <c r="AO120" s="17"/>
      <c r="AP120" s="17"/>
      <c r="AQ120" s="2" t="e">
        <f t="shared" ca="1" si="20"/>
        <v>#NAME?</v>
      </c>
      <c r="AR120" s="8">
        <v>10</v>
      </c>
      <c r="AS120" s="8">
        <v>10</v>
      </c>
      <c r="AT120" s="8">
        <v>10</v>
      </c>
      <c r="AU120" s="8">
        <v>10</v>
      </c>
      <c r="AV120" s="8">
        <v>10</v>
      </c>
      <c r="AW120" s="54">
        <f t="shared" si="3"/>
        <v>10</v>
      </c>
      <c r="AX120" s="48"/>
      <c r="AY120" s="2"/>
      <c r="AZ120" s="2">
        <v>10</v>
      </c>
      <c r="BA120" s="2">
        <v>10</v>
      </c>
      <c r="BB120" s="2">
        <v>10</v>
      </c>
      <c r="BC120" s="2">
        <v>10</v>
      </c>
      <c r="BD120" s="2">
        <v>10</v>
      </c>
      <c r="BE120" s="2">
        <v>10</v>
      </c>
      <c r="BF120" s="2">
        <v>10</v>
      </c>
      <c r="BG120" s="2">
        <v>10</v>
      </c>
      <c r="BH120" s="2">
        <v>10</v>
      </c>
      <c r="BI120" s="2">
        <v>10</v>
      </c>
      <c r="BJ120" s="2" t="e">
        <f t="shared" ca="1" si="21"/>
        <v>#NAME?</v>
      </c>
      <c r="BK120" s="5">
        <v>10</v>
      </c>
      <c r="BL120" s="5">
        <v>10</v>
      </c>
      <c r="BM120" s="2">
        <v>10</v>
      </c>
      <c r="BN120" s="2">
        <v>10</v>
      </c>
      <c r="BO120" s="2">
        <v>10</v>
      </c>
      <c r="BP120" s="54">
        <f t="shared" si="5"/>
        <v>10</v>
      </c>
      <c r="BQ120" s="5"/>
      <c r="BR120" s="5"/>
      <c r="BS120" s="5">
        <v>10</v>
      </c>
      <c r="BT120" s="5">
        <v>10</v>
      </c>
      <c r="BU120" s="5">
        <v>10</v>
      </c>
      <c r="BV120" s="5">
        <v>10</v>
      </c>
      <c r="BW120" s="5">
        <v>10</v>
      </c>
      <c r="BX120" s="5">
        <v>10</v>
      </c>
      <c r="BY120" s="5">
        <v>10</v>
      </c>
      <c r="BZ120" s="5">
        <v>10</v>
      </c>
      <c r="CA120" s="5">
        <v>10</v>
      </c>
      <c r="CB120" s="5">
        <v>10</v>
      </c>
      <c r="CC120" s="2" t="e">
        <f t="shared" ca="1" si="22"/>
        <v>#NAME?</v>
      </c>
      <c r="CD120" s="55">
        <v>5</v>
      </c>
      <c r="CE120" s="2"/>
      <c r="CF120" s="2">
        <v>10</v>
      </c>
      <c r="CG120" s="2">
        <v>10</v>
      </c>
      <c r="CH120" s="2">
        <v>7</v>
      </c>
      <c r="CI120" s="2">
        <v>7</v>
      </c>
      <c r="CJ120" s="2">
        <v>8</v>
      </c>
      <c r="CK120" s="2">
        <v>8</v>
      </c>
      <c r="CL120" s="2">
        <v>10</v>
      </c>
      <c r="CM120" s="2">
        <v>8</v>
      </c>
      <c r="CN120" s="2">
        <v>9</v>
      </c>
      <c r="CO120" s="2">
        <v>10</v>
      </c>
      <c r="CP120" s="2" t="e">
        <f t="shared" ca="1" si="23"/>
        <v>#NAME?</v>
      </c>
      <c r="CQ120" s="2">
        <v>10</v>
      </c>
      <c r="CR120" s="2">
        <v>10</v>
      </c>
      <c r="CS120" s="2">
        <v>10</v>
      </c>
      <c r="CT120" s="2">
        <v>9</v>
      </c>
      <c r="CU120" s="2">
        <v>10</v>
      </c>
      <c r="CV120" s="54">
        <f t="shared" si="8"/>
        <v>10</v>
      </c>
      <c r="CW120" s="55">
        <v>9</v>
      </c>
      <c r="CX120" s="3"/>
    </row>
    <row r="121" spans="1:102" ht="16.5" x14ac:dyDescent="0.55000000000000004">
      <c r="A121" s="17">
        <v>3</v>
      </c>
      <c r="B121" s="17" t="s">
        <v>4</v>
      </c>
      <c r="C121" s="23" t="s">
        <v>282</v>
      </c>
      <c r="D121" s="24" t="s">
        <v>283</v>
      </c>
      <c r="E121" s="48">
        <v>7</v>
      </c>
      <c r="F121" s="2">
        <v>9</v>
      </c>
      <c r="G121" s="2">
        <v>9</v>
      </c>
      <c r="H121" s="2">
        <v>9</v>
      </c>
      <c r="I121" s="2">
        <v>9</v>
      </c>
      <c r="J121" s="2">
        <v>9</v>
      </c>
      <c r="K121" s="2">
        <v>9</v>
      </c>
      <c r="L121" s="2">
        <v>9</v>
      </c>
      <c r="M121" s="2">
        <v>9</v>
      </c>
      <c r="N121" s="2">
        <v>10</v>
      </c>
      <c r="O121" s="2">
        <v>10</v>
      </c>
      <c r="P121" s="2">
        <v>10</v>
      </c>
      <c r="Q121" s="2" t="e">
        <f t="shared" ca="1" si="19"/>
        <v>#NAME?</v>
      </c>
      <c r="R121" s="2">
        <v>10</v>
      </c>
      <c r="S121" s="2">
        <v>10</v>
      </c>
      <c r="T121" s="2">
        <v>10</v>
      </c>
      <c r="U121" s="2">
        <v>10</v>
      </c>
      <c r="V121" s="2">
        <v>10</v>
      </c>
      <c r="W121" s="54">
        <f t="shared" si="1"/>
        <v>10</v>
      </c>
      <c r="X121" s="48"/>
      <c r="Y121" s="2"/>
      <c r="Z121" s="69">
        <v>11</v>
      </c>
      <c r="AA121" s="8">
        <v>10</v>
      </c>
      <c r="AB121" s="8">
        <v>10</v>
      </c>
      <c r="AC121" s="8">
        <v>10</v>
      </c>
      <c r="AD121" s="8">
        <v>10</v>
      </c>
      <c r="AE121" s="8">
        <v>10</v>
      </c>
      <c r="AF121" s="8">
        <v>10</v>
      </c>
      <c r="AG121" s="8">
        <v>10</v>
      </c>
      <c r="AH121" s="8">
        <v>10</v>
      </c>
      <c r="AI121" s="8">
        <v>10</v>
      </c>
      <c r="AJ121" s="8">
        <v>10</v>
      </c>
      <c r="AK121" s="17"/>
      <c r="AL121" s="17"/>
      <c r="AM121" s="17"/>
      <c r="AN121" s="17"/>
      <c r="AO121" s="17"/>
      <c r="AP121" s="17"/>
      <c r="AQ121" s="2" t="e">
        <f t="shared" ca="1" si="20"/>
        <v>#NAME?</v>
      </c>
      <c r="AR121" s="8">
        <v>10</v>
      </c>
      <c r="AS121" s="8">
        <v>10</v>
      </c>
      <c r="AT121" s="8">
        <v>10</v>
      </c>
      <c r="AU121" s="8">
        <v>10</v>
      </c>
      <c r="AV121" s="8">
        <v>10</v>
      </c>
      <c r="AW121" s="54">
        <f t="shared" si="3"/>
        <v>10</v>
      </c>
      <c r="AX121" s="48"/>
      <c r="AY121" s="2"/>
      <c r="AZ121" s="2">
        <v>10</v>
      </c>
      <c r="BA121" s="2">
        <v>10</v>
      </c>
      <c r="BB121" s="2">
        <v>10</v>
      </c>
      <c r="BC121" s="2">
        <v>9</v>
      </c>
      <c r="BD121" s="2">
        <v>9</v>
      </c>
      <c r="BE121" s="2">
        <v>9</v>
      </c>
      <c r="BF121" s="2">
        <v>9</v>
      </c>
      <c r="BG121" s="2">
        <v>9</v>
      </c>
      <c r="BH121" s="2">
        <v>9</v>
      </c>
      <c r="BI121" s="2">
        <v>9</v>
      </c>
      <c r="BJ121" s="2" t="e">
        <f t="shared" ca="1" si="21"/>
        <v>#NAME?</v>
      </c>
      <c r="BK121" s="2">
        <v>9</v>
      </c>
      <c r="BL121" s="2">
        <v>9</v>
      </c>
      <c r="BM121" s="2">
        <v>8</v>
      </c>
      <c r="BN121" s="2">
        <v>8</v>
      </c>
      <c r="BO121" s="2">
        <v>8</v>
      </c>
      <c r="BP121" s="54">
        <f t="shared" si="5"/>
        <v>9</v>
      </c>
      <c r="BQ121" s="5"/>
      <c r="BR121" s="5"/>
      <c r="BS121" s="5">
        <v>10</v>
      </c>
      <c r="BT121" s="5">
        <v>10</v>
      </c>
      <c r="BU121" s="5">
        <v>5</v>
      </c>
      <c r="BV121" s="5">
        <v>5</v>
      </c>
      <c r="BW121" s="5">
        <v>5</v>
      </c>
      <c r="BX121" s="5">
        <v>5</v>
      </c>
      <c r="BY121" s="5">
        <v>5</v>
      </c>
      <c r="BZ121" s="5">
        <v>5</v>
      </c>
      <c r="CA121" s="5">
        <v>5</v>
      </c>
      <c r="CB121" s="5">
        <v>5</v>
      </c>
      <c r="CC121" s="2" t="e">
        <f t="shared" ca="1" si="22"/>
        <v>#NAME?</v>
      </c>
      <c r="CD121" s="55" t="s">
        <v>31</v>
      </c>
      <c r="CE121" s="2"/>
      <c r="CF121" s="2">
        <v>3</v>
      </c>
      <c r="CG121" s="2">
        <v>3</v>
      </c>
      <c r="CH121" s="2">
        <v>3</v>
      </c>
      <c r="CI121" s="2">
        <v>3</v>
      </c>
      <c r="CJ121" s="2">
        <v>3</v>
      </c>
      <c r="CK121" s="2">
        <v>3</v>
      </c>
      <c r="CL121" s="2">
        <v>3</v>
      </c>
      <c r="CM121" s="2">
        <v>3</v>
      </c>
      <c r="CN121" s="2">
        <v>3</v>
      </c>
      <c r="CO121" s="2">
        <v>3</v>
      </c>
      <c r="CP121" s="2" t="e">
        <f t="shared" ca="1" si="23"/>
        <v>#NAME?</v>
      </c>
      <c r="CQ121" s="2">
        <v>3</v>
      </c>
      <c r="CR121" s="2">
        <v>3</v>
      </c>
      <c r="CS121" s="2">
        <v>3</v>
      </c>
      <c r="CT121" s="2">
        <v>3</v>
      </c>
      <c r="CU121" s="2">
        <v>3</v>
      </c>
      <c r="CV121" s="54">
        <f t="shared" si="8"/>
        <v>3</v>
      </c>
      <c r="CW121" s="55">
        <v>10</v>
      </c>
      <c r="CX121" s="3"/>
    </row>
    <row r="122" spans="1:102" ht="16.5" x14ac:dyDescent="0.55000000000000004">
      <c r="A122" s="17">
        <v>3</v>
      </c>
      <c r="B122" s="17" t="s">
        <v>4</v>
      </c>
      <c r="C122" s="23" t="s">
        <v>284</v>
      </c>
      <c r="D122" s="24" t="s">
        <v>285</v>
      </c>
      <c r="E122" s="48">
        <v>10</v>
      </c>
      <c r="F122" s="2">
        <v>10</v>
      </c>
      <c r="G122" s="2">
        <v>10</v>
      </c>
      <c r="H122" s="2">
        <v>10</v>
      </c>
      <c r="I122" s="2">
        <v>10</v>
      </c>
      <c r="J122" s="2">
        <v>10</v>
      </c>
      <c r="K122" s="2">
        <v>10</v>
      </c>
      <c r="L122" s="2">
        <v>10</v>
      </c>
      <c r="M122" s="2">
        <v>10</v>
      </c>
      <c r="N122" s="2">
        <v>10</v>
      </c>
      <c r="O122" s="2">
        <v>10</v>
      </c>
      <c r="P122" s="2">
        <v>10</v>
      </c>
      <c r="Q122" s="2" t="e">
        <f t="shared" ca="1" si="19"/>
        <v>#NAME?</v>
      </c>
      <c r="R122" s="2">
        <v>10</v>
      </c>
      <c r="S122" s="2">
        <v>10</v>
      </c>
      <c r="T122" s="2">
        <v>10</v>
      </c>
      <c r="U122" s="2">
        <v>10</v>
      </c>
      <c r="V122" s="2">
        <v>10</v>
      </c>
      <c r="W122" s="54">
        <f t="shared" si="1"/>
        <v>10</v>
      </c>
      <c r="X122" s="48"/>
      <c r="Y122" s="2"/>
      <c r="Z122" s="69">
        <v>12</v>
      </c>
      <c r="AA122" s="8">
        <v>10</v>
      </c>
      <c r="AB122" s="8">
        <v>10</v>
      </c>
      <c r="AC122" s="8">
        <v>10</v>
      </c>
      <c r="AD122" s="8">
        <v>10</v>
      </c>
      <c r="AE122" s="8">
        <v>10</v>
      </c>
      <c r="AF122" s="8">
        <v>10</v>
      </c>
      <c r="AG122" s="8">
        <v>10</v>
      </c>
      <c r="AH122" s="8">
        <v>10</v>
      </c>
      <c r="AI122" s="8">
        <v>10</v>
      </c>
      <c r="AJ122" s="8">
        <v>10</v>
      </c>
      <c r="AK122" s="17"/>
      <c r="AL122" s="17"/>
      <c r="AM122" s="17"/>
      <c r="AN122" s="17"/>
      <c r="AO122" s="17"/>
      <c r="AP122" s="17"/>
      <c r="AQ122" s="2" t="e">
        <f t="shared" ca="1" si="20"/>
        <v>#NAME?</v>
      </c>
      <c r="AR122" s="8">
        <v>10</v>
      </c>
      <c r="AS122" s="8">
        <v>10</v>
      </c>
      <c r="AT122" s="8">
        <v>10</v>
      </c>
      <c r="AU122" s="8">
        <v>10</v>
      </c>
      <c r="AV122" s="8">
        <v>10</v>
      </c>
      <c r="AW122" s="54">
        <f t="shared" si="3"/>
        <v>10</v>
      </c>
      <c r="AX122" s="48"/>
      <c r="AY122" s="2"/>
      <c r="AZ122" s="2">
        <v>10</v>
      </c>
      <c r="BA122" s="2">
        <v>10</v>
      </c>
      <c r="BB122" s="2">
        <v>10</v>
      </c>
      <c r="BC122" s="2">
        <v>10</v>
      </c>
      <c r="BD122" s="2">
        <v>10</v>
      </c>
      <c r="BE122" s="2">
        <v>10</v>
      </c>
      <c r="BF122" s="2">
        <v>10</v>
      </c>
      <c r="BG122" s="2">
        <v>10</v>
      </c>
      <c r="BH122" s="2">
        <v>10</v>
      </c>
      <c r="BI122" s="2">
        <v>10</v>
      </c>
      <c r="BJ122" s="2" t="e">
        <f t="shared" ca="1" si="21"/>
        <v>#NAME?</v>
      </c>
      <c r="BK122" s="5">
        <v>10</v>
      </c>
      <c r="BL122" s="2">
        <v>10</v>
      </c>
      <c r="BM122" s="2">
        <v>10</v>
      </c>
      <c r="BN122" s="2">
        <v>10</v>
      </c>
      <c r="BO122" s="2">
        <v>10</v>
      </c>
      <c r="BP122" s="54">
        <f t="shared" si="5"/>
        <v>10</v>
      </c>
      <c r="BQ122" s="5"/>
      <c r="BR122" s="5"/>
      <c r="BS122" s="5">
        <v>10</v>
      </c>
      <c r="BT122" s="5">
        <v>10</v>
      </c>
      <c r="BU122" s="5">
        <v>10</v>
      </c>
      <c r="BV122" s="5">
        <v>10</v>
      </c>
      <c r="BW122" s="5">
        <v>10</v>
      </c>
      <c r="BX122" s="5">
        <v>10</v>
      </c>
      <c r="BY122" s="5">
        <v>10</v>
      </c>
      <c r="BZ122" s="5">
        <v>10</v>
      </c>
      <c r="CA122" s="5">
        <v>10</v>
      </c>
      <c r="CB122" s="5">
        <v>10</v>
      </c>
      <c r="CC122" s="2" t="e">
        <f t="shared" ca="1" si="22"/>
        <v>#NAME?</v>
      </c>
      <c r="CD122" s="55">
        <v>3</v>
      </c>
      <c r="CE122" s="2"/>
      <c r="CF122" s="2">
        <v>10</v>
      </c>
      <c r="CG122" s="2">
        <v>9</v>
      </c>
      <c r="CH122" s="2">
        <v>10</v>
      </c>
      <c r="CI122" s="2">
        <v>10</v>
      </c>
      <c r="CJ122" s="2">
        <v>9</v>
      </c>
      <c r="CK122" s="2">
        <v>9</v>
      </c>
      <c r="CL122" s="2">
        <v>10</v>
      </c>
      <c r="CM122" s="2">
        <v>9</v>
      </c>
      <c r="CN122" s="2">
        <v>10</v>
      </c>
      <c r="CO122" s="2">
        <v>10</v>
      </c>
      <c r="CP122" s="2" t="e">
        <f t="shared" ca="1" si="23"/>
        <v>#NAME?</v>
      </c>
      <c r="CQ122" s="2">
        <v>10</v>
      </c>
      <c r="CR122" s="2">
        <v>9</v>
      </c>
      <c r="CS122" s="2">
        <v>10</v>
      </c>
      <c r="CT122" s="2">
        <v>10</v>
      </c>
      <c r="CU122" s="2">
        <v>10</v>
      </c>
      <c r="CV122" s="54">
        <f t="shared" si="8"/>
        <v>10</v>
      </c>
      <c r="CW122" s="55">
        <v>17</v>
      </c>
      <c r="CX122" s="3"/>
    </row>
    <row r="123" spans="1:102" ht="16.5" x14ac:dyDescent="0.55000000000000004">
      <c r="A123" s="17">
        <v>3</v>
      </c>
      <c r="B123" s="17" t="s">
        <v>4</v>
      </c>
      <c r="C123" s="23" t="s">
        <v>286</v>
      </c>
      <c r="D123" s="24" t="s">
        <v>287</v>
      </c>
      <c r="E123" s="48">
        <v>10</v>
      </c>
      <c r="F123" s="2">
        <v>9</v>
      </c>
      <c r="G123" s="2">
        <v>10</v>
      </c>
      <c r="H123" s="2">
        <v>10</v>
      </c>
      <c r="I123" s="2">
        <v>10</v>
      </c>
      <c r="J123" s="2">
        <v>10</v>
      </c>
      <c r="K123" s="2">
        <v>10</v>
      </c>
      <c r="L123" s="2">
        <v>10</v>
      </c>
      <c r="M123" s="2">
        <v>10</v>
      </c>
      <c r="N123" s="2">
        <v>10</v>
      </c>
      <c r="O123" s="2">
        <v>10</v>
      </c>
      <c r="P123" s="2">
        <v>10</v>
      </c>
      <c r="Q123" s="2" t="e">
        <f t="shared" ca="1" si="19"/>
        <v>#NAME?</v>
      </c>
      <c r="R123" s="2">
        <v>10</v>
      </c>
      <c r="S123" s="2">
        <v>10</v>
      </c>
      <c r="T123" s="2">
        <v>10</v>
      </c>
      <c r="U123" s="2">
        <v>10</v>
      </c>
      <c r="V123" s="2">
        <v>10</v>
      </c>
      <c r="W123" s="54">
        <f t="shared" si="1"/>
        <v>10</v>
      </c>
      <c r="X123" s="48"/>
      <c r="Y123" s="2"/>
      <c r="Z123" s="69">
        <v>18</v>
      </c>
      <c r="AA123" s="8">
        <v>10</v>
      </c>
      <c r="AB123" s="8">
        <v>10</v>
      </c>
      <c r="AC123" s="8">
        <v>10</v>
      </c>
      <c r="AD123" s="8">
        <v>10</v>
      </c>
      <c r="AE123" s="8">
        <v>10</v>
      </c>
      <c r="AF123" s="8">
        <v>10</v>
      </c>
      <c r="AG123" s="8">
        <v>10</v>
      </c>
      <c r="AH123" s="8">
        <v>10</v>
      </c>
      <c r="AI123" s="8">
        <v>10</v>
      </c>
      <c r="AJ123" s="8">
        <v>10</v>
      </c>
      <c r="AK123" s="17"/>
      <c r="AL123" s="17"/>
      <c r="AM123" s="17"/>
      <c r="AN123" s="17"/>
      <c r="AO123" s="17"/>
      <c r="AP123" s="17"/>
      <c r="AQ123" s="2" t="e">
        <f t="shared" ca="1" si="20"/>
        <v>#NAME?</v>
      </c>
      <c r="AR123" s="8">
        <v>10</v>
      </c>
      <c r="AS123" s="8">
        <v>10</v>
      </c>
      <c r="AT123" s="8">
        <v>10</v>
      </c>
      <c r="AU123" s="8">
        <v>10</v>
      </c>
      <c r="AV123" s="8">
        <v>10</v>
      </c>
      <c r="AW123" s="54">
        <f t="shared" si="3"/>
        <v>10</v>
      </c>
      <c r="AX123" s="48"/>
      <c r="AY123" s="2"/>
      <c r="AZ123" s="2">
        <v>10</v>
      </c>
      <c r="BA123" s="2">
        <v>10</v>
      </c>
      <c r="BB123" s="2">
        <v>10</v>
      </c>
      <c r="BC123" s="2">
        <v>10</v>
      </c>
      <c r="BD123" s="2">
        <v>10</v>
      </c>
      <c r="BE123" s="2">
        <v>10</v>
      </c>
      <c r="BF123" s="2">
        <v>10</v>
      </c>
      <c r="BG123" s="2">
        <v>10</v>
      </c>
      <c r="BH123" s="2">
        <v>10</v>
      </c>
      <c r="BI123" s="2">
        <v>10</v>
      </c>
      <c r="BJ123" s="2" t="e">
        <f t="shared" ca="1" si="21"/>
        <v>#NAME?</v>
      </c>
      <c r="BK123" s="5">
        <v>10</v>
      </c>
      <c r="BL123" s="5">
        <v>10</v>
      </c>
      <c r="BM123" s="2">
        <v>10</v>
      </c>
      <c r="BN123" s="2">
        <v>10</v>
      </c>
      <c r="BO123" s="2">
        <v>10</v>
      </c>
      <c r="BP123" s="54">
        <f t="shared" si="5"/>
        <v>10</v>
      </c>
      <c r="BQ123" s="5"/>
      <c r="BR123" s="5"/>
      <c r="BS123" s="5">
        <v>10</v>
      </c>
      <c r="BT123" s="5">
        <v>10</v>
      </c>
      <c r="BU123" s="5">
        <v>10</v>
      </c>
      <c r="BV123" s="5">
        <v>10</v>
      </c>
      <c r="BW123" s="5">
        <v>10</v>
      </c>
      <c r="BX123" s="5">
        <v>10</v>
      </c>
      <c r="BY123" s="5">
        <v>10</v>
      </c>
      <c r="BZ123" s="5">
        <v>10</v>
      </c>
      <c r="CA123" s="5">
        <v>10</v>
      </c>
      <c r="CB123" s="5">
        <v>10</v>
      </c>
      <c r="CC123" s="2" t="e">
        <f t="shared" ca="1" si="22"/>
        <v>#NAME?</v>
      </c>
      <c r="CD123" s="55">
        <v>7</v>
      </c>
      <c r="CE123" s="2"/>
      <c r="CF123" s="2">
        <v>10</v>
      </c>
      <c r="CG123" s="2">
        <v>10</v>
      </c>
      <c r="CH123" s="2">
        <v>10</v>
      </c>
      <c r="CI123" s="2">
        <v>9</v>
      </c>
      <c r="CJ123" s="2">
        <v>7</v>
      </c>
      <c r="CK123" s="2">
        <v>8</v>
      </c>
      <c r="CL123" s="2">
        <v>9</v>
      </c>
      <c r="CM123" s="2">
        <v>9</v>
      </c>
      <c r="CN123" s="2">
        <v>10</v>
      </c>
      <c r="CO123" s="2">
        <v>10</v>
      </c>
      <c r="CP123" s="2" t="e">
        <f t="shared" ca="1" si="23"/>
        <v>#NAME?</v>
      </c>
      <c r="CQ123" s="2">
        <v>10</v>
      </c>
      <c r="CR123" s="2">
        <v>10</v>
      </c>
      <c r="CS123" s="2">
        <v>10</v>
      </c>
      <c r="CT123" s="2">
        <v>10</v>
      </c>
      <c r="CU123" s="2">
        <v>10</v>
      </c>
      <c r="CV123" s="54">
        <f t="shared" si="8"/>
        <v>10</v>
      </c>
      <c r="CW123" s="55">
        <v>16</v>
      </c>
      <c r="CX123" s="3"/>
    </row>
    <row r="124" spans="1:102" ht="16.5" x14ac:dyDescent="0.55000000000000004">
      <c r="A124" s="17">
        <v>3</v>
      </c>
      <c r="B124" s="17" t="s">
        <v>4</v>
      </c>
      <c r="C124" s="23" t="s">
        <v>288</v>
      </c>
      <c r="D124" s="24" t="s">
        <v>289</v>
      </c>
      <c r="E124" s="48">
        <v>10</v>
      </c>
      <c r="F124" s="2">
        <v>10</v>
      </c>
      <c r="G124" s="2">
        <v>10</v>
      </c>
      <c r="H124" s="2">
        <v>10</v>
      </c>
      <c r="I124" s="2">
        <v>10</v>
      </c>
      <c r="J124" s="2">
        <v>10</v>
      </c>
      <c r="K124" s="2">
        <v>10</v>
      </c>
      <c r="L124" s="2">
        <v>10</v>
      </c>
      <c r="M124" s="2">
        <v>10</v>
      </c>
      <c r="N124" s="2">
        <v>10</v>
      </c>
      <c r="O124" s="2">
        <v>10</v>
      </c>
      <c r="P124" s="2">
        <v>10</v>
      </c>
      <c r="Q124" s="2" t="e">
        <f t="shared" ca="1" si="19"/>
        <v>#NAME?</v>
      </c>
      <c r="R124" s="2">
        <v>10</v>
      </c>
      <c r="S124" s="2">
        <v>10</v>
      </c>
      <c r="T124" s="2">
        <v>10</v>
      </c>
      <c r="U124" s="2">
        <v>10</v>
      </c>
      <c r="V124" s="2">
        <v>10</v>
      </c>
      <c r="W124" s="54">
        <f t="shared" si="1"/>
        <v>10</v>
      </c>
      <c r="X124" s="48"/>
      <c r="Y124" s="2"/>
      <c r="Z124" s="69">
        <v>15</v>
      </c>
      <c r="AA124" s="8">
        <v>10</v>
      </c>
      <c r="AB124" s="8">
        <v>10</v>
      </c>
      <c r="AC124" s="8">
        <v>10</v>
      </c>
      <c r="AD124" s="8">
        <v>10</v>
      </c>
      <c r="AE124" s="8">
        <v>10</v>
      </c>
      <c r="AF124" s="8">
        <v>10</v>
      </c>
      <c r="AG124" s="8">
        <v>10</v>
      </c>
      <c r="AH124" s="8">
        <v>10</v>
      </c>
      <c r="AI124" s="8">
        <v>10</v>
      </c>
      <c r="AJ124" s="8">
        <v>10</v>
      </c>
      <c r="AK124" s="17"/>
      <c r="AL124" s="17"/>
      <c r="AM124" s="17"/>
      <c r="AN124" s="17"/>
      <c r="AO124" s="17"/>
      <c r="AP124" s="17"/>
      <c r="AQ124" s="2" t="e">
        <f t="shared" ca="1" si="20"/>
        <v>#NAME?</v>
      </c>
      <c r="AR124" s="8">
        <v>10</v>
      </c>
      <c r="AS124" s="8">
        <v>10</v>
      </c>
      <c r="AT124" s="8">
        <v>10</v>
      </c>
      <c r="AU124" s="8">
        <v>10</v>
      </c>
      <c r="AV124" s="8">
        <v>10</v>
      </c>
      <c r="AW124" s="54">
        <f t="shared" si="3"/>
        <v>10</v>
      </c>
      <c r="AX124" s="48"/>
      <c r="AY124" s="2"/>
      <c r="AZ124" s="2">
        <v>10</v>
      </c>
      <c r="BA124" s="2">
        <v>10</v>
      </c>
      <c r="BB124" s="2">
        <v>10</v>
      </c>
      <c r="BC124" s="2">
        <v>10</v>
      </c>
      <c r="BD124" s="2">
        <v>10</v>
      </c>
      <c r="BE124" s="2">
        <v>10</v>
      </c>
      <c r="BF124" s="2">
        <v>10</v>
      </c>
      <c r="BG124" s="2">
        <v>10</v>
      </c>
      <c r="BH124" s="2">
        <v>10</v>
      </c>
      <c r="BI124" s="2">
        <v>10</v>
      </c>
      <c r="BJ124" s="2" t="e">
        <f t="shared" ca="1" si="21"/>
        <v>#NAME?</v>
      </c>
      <c r="BK124" s="5">
        <v>10</v>
      </c>
      <c r="BL124" s="5">
        <v>10</v>
      </c>
      <c r="BM124" s="2">
        <v>10</v>
      </c>
      <c r="BN124" s="2">
        <v>10</v>
      </c>
      <c r="BO124" s="2">
        <v>10</v>
      </c>
      <c r="BP124" s="54">
        <f t="shared" si="5"/>
        <v>10</v>
      </c>
      <c r="BQ124" s="5"/>
      <c r="BR124" s="5"/>
      <c r="BS124" s="5">
        <v>10</v>
      </c>
      <c r="BT124" s="5">
        <v>10</v>
      </c>
      <c r="BU124" s="5">
        <v>10</v>
      </c>
      <c r="BV124" s="5">
        <v>10</v>
      </c>
      <c r="BW124" s="5">
        <v>10</v>
      </c>
      <c r="BX124" s="5">
        <v>10</v>
      </c>
      <c r="BY124" s="5">
        <v>10</v>
      </c>
      <c r="BZ124" s="5">
        <v>9</v>
      </c>
      <c r="CA124" s="5">
        <v>9</v>
      </c>
      <c r="CB124" s="5">
        <v>9</v>
      </c>
      <c r="CC124" s="2" t="e">
        <f t="shared" ca="1" si="22"/>
        <v>#NAME?</v>
      </c>
      <c r="CD124" s="55">
        <v>3</v>
      </c>
      <c r="CE124" s="2"/>
      <c r="CF124" s="2">
        <v>10</v>
      </c>
      <c r="CG124" s="2">
        <v>10</v>
      </c>
      <c r="CH124" s="2">
        <v>10</v>
      </c>
      <c r="CI124" s="2">
        <v>10</v>
      </c>
      <c r="CJ124" s="2">
        <v>10</v>
      </c>
      <c r="CK124" s="2">
        <v>9</v>
      </c>
      <c r="CL124" s="2">
        <v>9</v>
      </c>
      <c r="CM124" s="2">
        <v>10</v>
      </c>
      <c r="CN124" s="2">
        <v>9</v>
      </c>
      <c r="CO124" s="2">
        <v>9</v>
      </c>
      <c r="CP124" s="2" t="e">
        <f t="shared" ca="1" si="23"/>
        <v>#NAME?</v>
      </c>
      <c r="CQ124" s="2">
        <v>10</v>
      </c>
      <c r="CR124" s="2">
        <v>8</v>
      </c>
      <c r="CS124" s="2">
        <v>9</v>
      </c>
      <c r="CT124" s="2">
        <v>10</v>
      </c>
      <c r="CU124" s="2">
        <v>10</v>
      </c>
      <c r="CV124" s="54">
        <f t="shared" si="8"/>
        <v>10</v>
      </c>
      <c r="CW124" s="55">
        <v>16</v>
      </c>
      <c r="CX124" s="3"/>
    </row>
    <row r="125" spans="1:102" ht="16.5" x14ac:dyDescent="0.55000000000000004">
      <c r="A125" s="17">
        <v>3</v>
      </c>
      <c r="B125" s="17" t="s">
        <v>4</v>
      </c>
      <c r="C125" s="23" t="s">
        <v>290</v>
      </c>
      <c r="D125" s="24" t="s">
        <v>291</v>
      </c>
      <c r="E125" s="48">
        <v>10</v>
      </c>
      <c r="F125" s="2">
        <v>10</v>
      </c>
      <c r="G125" s="2">
        <v>10</v>
      </c>
      <c r="H125" s="2">
        <v>10</v>
      </c>
      <c r="I125" s="2">
        <v>10</v>
      </c>
      <c r="J125" s="2">
        <v>10</v>
      </c>
      <c r="K125" s="2">
        <v>10</v>
      </c>
      <c r="L125" s="2">
        <v>10</v>
      </c>
      <c r="M125" s="2">
        <v>10</v>
      </c>
      <c r="N125" s="2">
        <v>10</v>
      </c>
      <c r="O125" s="2">
        <v>10</v>
      </c>
      <c r="P125" s="2">
        <v>10</v>
      </c>
      <c r="Q125" s="2" t="e">
        <f t="shared" ca="1" si="19"/>
        <v>#NAME?</v>
      </c>
      <c r="R125" s="2">
        <v>10</v>
      </c>
      <c r="S125" s="2">
        <v>10</v>
      </c>
      <c r="T125" s="2">
        <v>10</v>
      </c>
      <c r="U125" s="2">
        <v>10</v>
      </c>
      <c r="V125" s="2">
        <v>10</v>
      </c>
      <c r="W125" s="54">
        <f t="shared" si="1"/>
        <v>10</v>
      </c>
      <c r="X125" s="48"/>
      <c r="Y125" s="2"/>
      <c r="Z125" s="69">
        <v>9</v>
      </c>
      <c r="AA125" s="8">
        <v>10</v>
      </c>
      <c r="AB125" s="8">
        <v>10</v>
      </c>
      <c r="AC125" s="8">
        <v>10</v>
      </c>
      <c r="AD125" s="8">
        <v>10</v>
      </c>
      <c r="AE125" s="8">
        <v>10</v>
      </c>
      <c r="AF125" s="8">
        <v>10</v>
      </c>
      <c r="AG125" s="8">
        <v>10</v>
      </c>
      <c r="AH125" s="8">
        <v>10</v>
      </c>
      <c r="AI125" s="8">
        <v>10</v>
      </c>
      <c r="AJ125" s="8">
        <v>10</v>
      </c>
      <c r="AK125" s="17"/>
      <c r="AL125" s="17"/>
      <c r="AM125" s="17"/>
      <c r="AN125" s="17"/>
      <c r="AO125" s="17"/>
      <c r="AP125" s="17"/>
      <c r="AQ125" s="2" t="e">
        <f t="shared" ca="1" si="20"/>
        <v>#NAME?</v>
      </c>
      <c r="AR125" s="8">
        <v>10</v>
      </c>
      <c r="AS125" s="8">
        <v>10</v>
      </c>
      <c r="AT125" s="8">
        <v>10</v>
      </c>
      <c r="AU125" s="8">
        <v>10</v>
      </c>
      <c r="AV125" s="8">
        <v>10</v>
      </c>
      <c r="AW125" s="54">
        <f t="shared" si="3"/>
        <v>10</v>
      </c>
      <c r="AX125" s="48"/>
      <c r="AY125" s="2"/>
      <c r="AZ125" s="2">
        <v>10</v>
      </c>
      <c r="BA125" s="2">
        <v>10</v>
      </c>
      <c r="BB125" s="2">
        <v>10</v>
      </c>
      <c r="BC125" s="2">
        <v>10</v>
      </c>
      <c r="BD125" s="2">
        <v>10</v>
      </c>
      <c r="BE125" s="2">
        <v>10</v>
      </c>
      <c r="BF125" s="2">
        <v>10</v>
      </c>
      <c r="BG125" s="2">
        <v>10</v>
      </c>
      <c r="BH125" s="2">
        <v>10</v>
      </c>
      <c r="BI125" s="2">
        <v>10</v>
      </c>
      <c r="BJ125" s="2" t="e">
        <f t="shared" ca="1" si="21"/>
        <v>#NAME?</v>
      </c>
      <c r="BK125" s="5">
        <v>10</v>
      </c>
      <c r="BL125" s="5">
        <v>10</v>
      </c>
      <c r="BM125" s="2">
        <v>10</v>
      </c>
      <c r="BN125" s="2">
        <v>10</v>
      </c>
      <c r="BO125" s="2">
        <v>10</v>
      </c>
      <c r="BP125" s="54">
        <f t="shared" si="5"/>
        <v>10</v>
      </c>
      <c r="BQ125" s="5"/>
      <c r="BR125" s="5"/>
      <c r="BS125" s="5">
        <v>10</v>
      </c>
      <c r="BT125" s="5">
        <v>10</v>
      </c>
      <c r="BU125" s="5">
        <v>10</v>
      </c>
      <c r="BV125" s="5">
        <v>8</v>
      </c>
      <c r="BW125" s="5">
        <v>8</v>
      </c>
      <c r="BX125" s="5">
        <v>8</v>
      </c>
      <c r="BY125" s="5">
        <v>8</v>
      </c>
      <c r="BZ125" s="5">
        <v>8</v>
      </c>
      <c r="CA125" s="5">
        <v>8</v>
      </c>
      <c r="CB125" s="5">
        <v>8</v>
      </c>
      <c r="CC125" s="2" t="e">
        <f t="shared" ca="1" si="22"/>
        <v>#NAME?</v>
      </c>
      <c r="CD125" s="55">
        <v>4</v>
      </c>
      <c r="CE125" s="2"/>
      <c r="CF125" s="2">
        <v>10</v>
      </c>
      <c r="CG125" s="2">
        <v>10</v>
      </c>
      <c r="CH125" s="2">
        <v>7</v>
      </c>
      <c r="CI125" s="2">
        <v>6</v>
      </c>
      <c r="CJ125" s="2">
        <v>7</v>
      </c>
      <c r="CK125" s="2">
        <v>8</v>
      </c>
      <c r="CL125" s="2">
        <v>9</v>
      </c>
      <c r="CM125" s="2">
        <v>10</v>
      </c>
      <c r="CN125" s="2">
        <v>10</v>
      </c>
      <c r="CO125" s="2">
        <v>10</v>
      </c>
      <c r="CP125" s="2" t="e">
        <f t="shared" ca="1" si="23"/>
        <v>#NAME?</v>
      </c>
      <c r="CQ125" s="2">
        <v>10</v>
      </c>
      <c r="CR125" s="2">
        <v>10</v>
      </c>
      <c r="CS125" s="2">
        <v>9</v>
      </c>
      <c r="CT125" s="2">
        <v>10</v>
      </c>
      <c r="CU125" s="2">
        <v>10</v>
      </c>
      <c r="CV125" s="54">
        <f t="shared" si="8"/>
        <v>10</v>
      </c>
      <c r="CW125" s="55">
        <v>13</v>
      </c>
      <c r="CX125" s="3"/>
    </row>
    <row r="126" spans="1:102" ht="16.5" x14ac:dyDescent="0.55000000000000004">
      <c r="A126" s="17">
        <v>3</v>
      </c>
      <c r="B126" s="17" t="s">
        <v>4</v>
      </c>
      <c r="C126" s="23" t="s">
        <v>292</v>
      </c>
      <c r="D126" s="24" t="s">
        <v>293</v>
      </c>
      <c r="E126" s="48">
        <v>10</v>
      </c>
      <c r="F126" s="2">
        <v>10</v>
      </c>
      <c r="G126" s="2">
        <v>10</v>
      </c>
      <c r="H126" s="2">
        <v>10</v>
      </c>
      <c r="I126" s="2">
        <v>10</v>
      </c>
      <c r="J126" s="2">
        <v>10</v>
      </c>
      <c r="K126" s="2">
        <v>10</v>
      </c>
      <c r="L126" s="2">
        <v>10</v>
      </c>
      <c r="M126" s="2">
        <v>10</v>
      </c>
      <c r="N126" s="2">
        <v>10</v>
      </c>
      <c r="O126" s="2">
        <v>10</v>
      </c>
      <c r="P126" s="2">
        <v>10</v>
      </c>
      <c r="Q126" s="2" t="e">
        <f t="shared" ca="1" si="19"/>
        <v>#NAME?</v>
      </c>
      <c r="R126" s="2">
        <v>10</v>
      </c>
      <c r="S126" s="2">
        <v>10</v>
      </c>
      <c r="T126" s="2">
        <v>10</v>
      </c>
      <c r="U126" s="2">
        <v>10</v>
      </c>
      <c r="V126" s="2">
        <v>10</v>
      </c>
      <c r="W126" s="54">
        <f t="shared" si="1"/>
        <v>10</v>
      </c>
      <c r="X126" s="48"/>
      <c r="Y126" s="2"/>
      <c r="Z126" s="69">
        <v>11</v>
      </c>
      <c r="AA126" s="8">
        <v>10</v>
      </c>
      <c r="AB126" s="8">
        <v>10</v>
      </c>
      <c r="AC126" s="8">
        <v>10</v>
      </c>
      <c r="AD126" s="8">
        <v>10</v>
      </c>
      <c r="AE126" s="8">
        <v>10</v>
      </c>
      <c r="AF126" s="8">
        <v>10</v>
      </c>
      <c r="AG126" s="8">
        <v>10</v>
      </c>
      <c r="AH126" s="8">
        <v>10</v>
      </c>
      <c r="AI126" s="8">
        <v>10</v>
      </c>
      <c r="AJ126" s="8">
        <v>10</v>
      </c>
      <c r="AK126" s="17"/>
      <c r="AL126" s="17"/>
      <c r="AM126" s="17"/>
      <c r="AN126" s="17"/>
      <c r="AO126" s="17"/>
      <c r="AP126" s="17"/>
      <c r="AQ126" s="2" t="e">
        <f t="shared" ca="1" si="20"/>
        <v>#NAME?</v>
      </c>
      <c r="AR126" s="8">
        <v>10</v>
      </c>
      <c r="AS126" s="8">
        <v>10</v>
      </c>
      <c r="AT126" s="8">
        <v>10</v>
      </c>
      <c r="AU126" s="8">
        <v>10</v>
      </c>
      <c r="AV126" s="8">
        <v>10</v>
      </c>
      <c r="AW126" s="54">
        <f t="shared" si="3"/>
        <v>10</v>
      </c>
      <c r="AX126" s="48"/>
      <c r="AY126" s="2"/>
      <c r="AZ126" s="2">
        <v>10</v>
      </c>
      <c r="BA126" s="2">
        <v>10</v>
      </c>
      <c r="BB126" s="2">
        <v>10</v>
      </c>
      <c r="BC126" s="2">
        <v>10</v>
      </c>
      <c r="BD126" s="2">
        <v>10</v>
      </c>
      <c r="BE126" s="2">
        <v>10</v>
      </c>
      <c r="BF126" s="2">
        <v>10</v>
      </c>
      <c r="BG126" s="2">
        <v>10</v>
      </c>
      <c r="BH126" s="2">
        <v>10</v>
      </c>
      <c r="BI126" s="2">
        <v>10</v>
      </c>
      <c r="BJ126" s="2" t="e">
        <f t="shared" ca="1" si="21"/>
        <v>#NAME?</v>
      </c>
      <c r="BK126" s="5">
        <v>10</v>
      </c>
      <c r="BL126" s="5">
        <v>10</v>
      </c>
      <c r="BM126" s="2">
        <v>10</v>
      </c>
      <c r="BN126" s="2">
        <v>10</v>
      </c>
      <c r="BO126" s="2">
        <v>10</v>
      </c>
      <c r="BP126" s="54">
        <f t="shared" si="5"/>
        <v>10</v>
      </c>
      <c r="BQ126" s="5"/>
      <c r="BR126" s="5"/>
      <c r="BS126" s="5">
        <v>10</v>
      </c>
      <c r="BT126" s="5">
        <v>10</v>
      </c>
      <c r="BU126" s="5">
        <v>10</v>
      </c>
      <c r="BV126" s="5">
        <v>10</v>
      </c>
      <c r="BW126" s="5">
        <v>10</v>
      </c>
      <c r="BX126" s="5">
        <v>10</v>
      </c>
      <c r="BY126" s="5">
        <v>10</v>
      </c>
      <c r="BZ126" s="5">
        <v>10</v>
      </c>
      <c r="CA126" s="5">
        <v>10</v>
      </c>
      <c r="CB126" s="5">
        <v>10</v>
      </c>
      <c r="CC126" s="2" t="e">
        <f t="shared" ca="1" si="22"/>
        <v>#NAME?</v>
      </c>
      <c r="CD126" s="55">
        <v>3</v>
      </c>
      <c r="CE126" s="2"/>
      <c r="CF126" s="2">
        <v>10</v>
      </c>
      <c r="CG126" s="2">
        <v>10</v>
      </c>
      <c r="CH126" s="2">
        <v>7</v>
      </c>
      <c r="CI126" s="2">
        <v>8</v>
      </c>
      <c r="CJ126" s="2">
        <v>9</v>
      </c>
      <c r="CK126" s="2">
        <v>7</v>
      </c>
      <c r="CL126" s="2">
        <v>8</v>
      </c>
      <c r="CM126" s="2">
        <v>9</v>
      </c>
      <c r="CN126" s="2">
        <v>10</v>
      </c>
      <c r="CO126" s="2">
        <v>10</v>
      </c>
      <c r="CP126" s="2" t="e">
        <f t="shared" ca="1" si="23"/>
        <v>#NAME?</v>
      </c>
      <c r="CQ126" s="2">
        <v>10</v>
      </c>
      <c r="CR126" s="2">
        <v>9</v>
      </c>
      <c r="CS126" s="2">
        <v>9</v>
      </c>
      <c r="CT126" s="2">
        <v>10</v>
      </c>
      <c r="CU126" s="2">
        <v>10</v>
      </c>
      <c r="CV126" s="54">
        <f t="shared" si="8"/>
        <v>10</v>
      </c>
      <c r="CW126" s="55">
        <v>9</v>
      </c>
      <c r="CX126" s="3"/>
    </row>
    <row r="127" spans="1:102" ht="16.5" x14ac:dyDescent="0.55000000000000004">
      <c r="A127" s="17">
        <v>3</v>
      </c>
      <c r="B127" s="17" t="s">
        <v>4</v>
      </c>
      <c r="C127" s="23" t="s">
        <v>294</v>
      </c>
      <c r="D127" s="24" t="s">
        <v>295</v>
      </c>
      <c r="E127" s="48">
        <v>10</v>
      </c>
      <c r="F127" s="2">
        <v>10</v>
      </c>
      <c r="G127" s="2">
        <v>10</v>
      </c>
      <c r="H127" s="2">
        <v>10</v>
      </c>
      <c r="I127" s="2">
        <v>10</v>
      </c>
      <c r="J127" s="2">
        <v>10</v>
      </c>
      <c r="K127" s="2">
        <v>10</v>
      </c>
      <c r="L127" s="2">
        <v>10</v>
      </c>
      <c r="M127" s="2">
        <v>10</v>
      </c>
      <c r="N127" s="2">
        <v>10</v>
      </c>
      <c r="O127" s="2">
        <v>10</v>
      </c>
      <c r="P127" s="2">
        <v>10</v>
      </c>
      <c r="Q127" s="2" t="e">
        <f t="shared" ca="1" si="19"/>
        <v>#NAME?</v>
      </c>
      <c r="R127" s="2">
        <v>10</v>
      </c>
      <c r="S127" s="2">
        <v>10</v>
      </c>
      <c r="T127" s="2">
        <v>10</v>
      </c>
      <c r="U127" s="2">
        <v>10</v>
      </c>
      <c r="V127" s="2">
        <v>10</v>
      </c>
      <c r="W127" s="54">
        <f t="shared" si="1"/>
        <v>10</v>
      </c>
      <c r="X127" s="48"/>
      <c r="Y127" s="2"/>
      <c r="Z127" s="69">
        <v>15</v>
      </c>
      <c r="AA127" s="8">
        <v>10</v>
      </c>
      <c r="AB127" s="8">
        <v>10</v>
      </c>
      <c r="AC127" s="8">
        <v>10</v>
      </c>
      <c r="AD127" s="8">
        <v>10</v>
      </c>
      <c r="AE127" s="8">
        <v>10</v>
      </c>
      <c r="AF127" s="8">
        <v>10</v>
      </c>
      <c r="AG127" s="8">
        <v>10</v>
      </c>
      <c r="AH127" s="8">
        <v>10</v>
      </c>
      <c r="AI127" s="8">
        <v>10</v>
      </c>
      <c r="AJ127" s="8">
        <v>10</v>
      </c>
      <c r="AK127" s="17"/>
      <c r="AL127" s="17"/>
      <c r="AM127" s="17"/>
      <c r="AN127" s="17"/>
      <c r="AO127" s="17"/>
      <c r="AP127" s="17"/>
      <c r="AQ127" s="2" t="e">
        <f t="shared" ca="1" si="20"/>
        <v>#NAME?</v>
      </c>
      <c r="AR127" s="8">
        <v>10</v>
      </c>
      <c r="AS127" s="8">
        <v>10</v>
      </c>
      <c r="AT127" s="8">
        <v>10</v>
      </c>
      <c r="AU127" s="8">
        <v>10</v>
      </c>
      <c r="AV127" s="8">
        <v>10</v>
      </c>
      <c r="AW127" s="54">
        <f t="shared" si="3"/>
        <v>10</v>
      </c>
      <c r="AX127" s="48"/>
      <c r="AY127" s="2"/>
      <c r="AZ127" s="2">
        <v>10</v>
      </c>
      <c r="BA127" s="2">
        <v>10</v>
      </c>
      <c r="BB127" s="2">
        <v>10</v>
      </c>
      <c r="BC127" s="2">
        <v>10</v>
      </c>
      <c r="BD127" s="2">
        <v>10</v>
      </c>
      <c r="BE127" s="2">
        <v>10</v>
      </c>
      <c r="BF127" s="2">
        <v>10</v>
      </c>
      <c r="BG127" s="2">
        <v>10</v>
      </c>
      <c r="BH127" s="2">
        <v>10</v>
      </c>
      <c r="BI127" s="2">
        <v>10</v>
      </c>
      <c r="BJ127" s="2" t="e">
        <f t="shared" ca="1" si="21"/>
        <v>#NAME?</v>
      </c>
      <c r="BK127" s="5">
        <v>10</v>
      </c>
      <c r="BL127" s="5">
        <v>10</v>
      </c>
      <c r="BM127" s="2">
        <v>10</v>
      </c>
      <c r="BN127" s="2">
        <v>10</v>
      </c>
      <c r="BO127" s="2">
        <v>10</v>
      </c>
      <c r="BP127" s="54">
        <f t="shared" si="5"/>
        <v>10</v>
      </c>
      <c r="BQ127" s="5"/>
      <c r="BR127" s="5"/>
      <c r="BS127" s="5">
        <v>10</v>
      </c>
      <c r="BT127" s="5">
        <v>10</v>
      </c>
      <c r="BU127" s="5">
        <v>10</v>
      </c>
      <c r="BV127" s="5">
        <v>10</v>
      </c>
      <c r="BW127" s="5">
        <v>10</v>
      </c>
      <c r="BX127" s="5">
        <v>10</v>
      </c>
      <c r="BY127" s="5">
        <v>10</v>
      </c>
      <c r="BZ127" s="5">
        <v>10</v>
      </c>
      <c r="CA127" s="5">
        <v>10</v>
      </c>
      <c r="CB127" s="5">
        <v>10</v>
      </c>
      <c r="CC127" s="2" t="e">
        <f t="shared" ca="1" si="22"/>
        <v>#NAME?</v>
      </c>
      <c r="CD127" s="55">
        <v>10</v>
      </c>
      <c r="CE127" s="2"/>
      <c r="CF127" s="2">
        <v>10</v>
      </c>
      <c r="CG127" s="2">
        <v>10</v>
      </c>
      <c r="CH127" s="2">
        <v>10</v>
      </c>
      <c r="CI127" s="2">
        <v>10</v>
      </c>
      <c r="CJ127" s="2">
        <v>10</v>
      </c>
      <c r="CK127" s="2">
        <v>10</v>
      </c>
      <c r="CL127" s="2">
        <v>10</v>
      </c>
      <c r="CM127" s="2">
        <v>10</v>
      </c>
      <c r="CN127" s="2">
        <v>10</v>
      </c>
      <c r="CO127" s="2">
        <v>10</v>
      </c>
      <c r="CP127" s="2" t="e">
        <f t="shared" ca="1" si="23"/>
        <v>#NAME?</v>
      </c>
      <c r="CQ127" s="2">
        <v>10</v>
      </c>
      <c r="CR127" s="2">
        <v>10</v>
      </c>
      <c r="CS127" s="2">
        <v>10</v>
      </c>
      <c r="CT127" s="2">
        <v>10</v>
      </c>
      <c r="CU127" s="2">
        <v>10</v>
      </c>
      <c r="CV127" s="54">
        <f t="shared" si="8"/>
        <v>10</v>
      </c>
      <c r="CW127" s="55">
        <v>15</v>
      </c>
      <c r="CX127" s="3"/>
    </row>
    <row r="128" spans="1:102" ht="16.5" x14ac:dyDescent="0.55000000000000004">
      <c r="A128" s="17">
        <v>3</v>
      </c>
      <c r="B128" s="17" t="s">
        <v>4</v>
      </c>
      <c r="C128" s="23" t="s">
        <v>296</v>
      </c>
      <c r="D128" s="24" t="s">
        <v>297</v>
      </c>
      <c r="E128" s="48">
        <v>9</v>
      </c>
      <c r="F128" s="2">
        <v>8</v>
      </c>
      <c r="G128" s="2">
        <v>9</v>
      </c>
      <c r="H128" s="2">
        <v>9</v>
      </c>
      <c r="I128" s="2">
        <v>9</v>
      </c>
      <c r="J128" s="2">
        <v>9</v>
      </c>
      <c r="K128" s="2">
        <v>10</v>
      </c>
      <c r="L128" s="2">
        <v>10</v>
      </c>
      <c r="M128" s="2">
        <v>10</v>
      </c>
      <c r="N128" s="2">
        <v>10</v>
      </c>
      <c r="O128" s="2">
        <v>10</v>
      </c>
      <c r="P128" s="2">
        <v>10</v>
      </c>
      <c r="Q128" s="2" t="e">
        <f t="shared" ca="1" si="19"/>
        <v>#NAME?</v>
      </c>
      <c r="R128" s="2">
        <v>10</v>
      </c>
      <c r="S128" s="2">
        <v>10</v>
      </c>
      <c r="T128" s="2">
        <v>10</v>
      </c>
      <c r="U128" s="2">
        <v>10</v>
      </c>
      <c r="V128" s="2">
        <v>10</v>
      </c>
      <c r="W128" s="54">
        <f t="shared" si="1"/>
        <v>10</v>
      </c>
      <c r="X128" s="48"/>
      <c r="Y128" s="2"/>
      <c r="Z128" s="73" t="s">
        <v>31</v>
      </c>
      <c r="AA128" s="8">
        <v>10</v>
      </c>
      <c r="AB128" s="8">
        <v>10</v>
      </c>
      <c r="AC128" s="8">
        <v>10</v>
      </c>
      <c r="AD128" s="8">
        <v>10</v>
      </c>
      <c r="AE128" s="8">
        <v>10</v>
      </c>
      <c r="AF128" s="8">
        <v>10</v>
      </c>
      <c r="AG128" s="8">
        <v>10</v>
      </c>
      <c r="AH128" s="8">
        <v>10</v>
      </c>
      <c r="AI128" s="8">
        <v>10</v>
      </c>
      <c r="AJ128" s="8">
        <v>10</v>
      </c>
      <c r="AK128" s="17"/>
      <c r="AL128" s="17"/>
      <c r="AM128" s="17"/>
      <c r="AN128" s="17"/>
      <c r="AO128" s="17"/>
      <c r="AP128" s="17"/>
      <c r="AQ128" s="2" t="e">
        <f t="shared" ca="1" si="20"/>
        <v>#NAME?</v>
      </c>
      <c r="AR128" s="8">
        <v>10</v>
      </c>
      <c r="AS128" s="8">
        <v>10</v>
      </c>
      <c r="AT128" s="8">
        <v>10</v>
      </c>
      <c r="AU128" s="8">
        <v>10</v>
      </c>
      <c r="AV128" s="8">
        <v>10</v>
      </c>
      <c r="AW128" s="54">
        <f t="shared" si="3"/>
        <v>10</v>
      </c>
      <c r="AX128" s="48"/>
      <c r="AY128" s="2"/>
      <c r="AZ128" s="1">
        <v>10</v>
      </c>
      <c r="BA128" s="1">
        <v>10</v>
      </c>
      <c r="BB128" s="1">
        <v>10</v>
      </c>
      <c r="BC128" s="1">
        <v>10</v>
      </c>
      <c r="BD128" s="1">
        <v>10</v>
      </c>
      <c r="BE128" s="1">
        <v>10</v>
      </c>
      <c r="BF128" s="1">
        <v>10</v>
      </c>
      <c r="BG128" s="1">
        <v>10</v>
      </c>
      <c r="BH128" s="1">
        <v>10</v>
      </c>
      <c r="BI128" s="1">
        <v>10</v>
      </c>
      <c r="BJ128" s="2" t="e">
        <f t="shared" ca="1" si="21"/>
        <v>#NAME?</v>
      </c>
      <c r="BK128" s="1">
        <v>10</v>
      </c>
      <c r="BL128" s="1">
        <v>10</v>
      </c>
      <c r="BM128" s="1">
        <v>10</v>
      </c>
      <c r="BN128" s="1">
        <v>10</v>
      </c>
      <c r="BO128" s="1">
        <v>10</v>
      </c>
      <c r="BP128" s="54">
        <f t="shared" si="5"/>
        <v>10</v>
      </c>
      <c r="BQ128" s="5"/>
      <c r="BR128" s="5"/>
      <c r="BS128" s="5">
        <v>10</v>
      </c>
      <c r="BT128" s="5">
        <v>10</v>
      </c>
      <c r="BU128" s="5">
        <v>10</v>
      </c>
      <c r="BV128" s="5">
        <v>10</v>
      </c>
      <c r="BW128" s="5">
        <v>6</v>
      </c>
      <c r="BX128" s="5">
        <v>6</v>
      </c>
      <c r="BY128" s="5">
        <v>6</v>
      </c>
      <c r="BZ128" s="5">
        <v>6</v>
      </c>
      <c r="CA128" s="5">
        <v>8</v>
      </c>
      <c r="CB128" s="5">
        <v>9</v>
      </c>
      <c r="CC128" s="2" t="e">
        <f t="shared" ca="1" si="22"/>
        <v>#NAME?</v>
      </c>
      <c r="CD128" s="55" t="s">
        <v>31</v>
      </c>
      <c r="CE128" s="2"/>
      <c r="CF128" s="2">
        <v>1</v>
      </c>
      <c r="CG128" s="2">
        <v>2</v>
      </c>
      <c r="CH128" s="2">
        <v>3</v>
      </c>
      <c r="CI128" s="2">
        <v>4</v>
      </c>
      <c r="CJ128" s="2">
        <v>5</v>
      </c>
      <c r="CK128" s="2">
        <v>6</v>
      </c>
      <c r="CL128" s="2">
        <v>7</v>
      </c>
      <c r="CM128" s="2">
        <v>8</v>
      </c>
      <c r="CN128" s="2">
        <v>9</v>
      </c>
      <c r="CO128" s="2">
        <v>10</v>
      </c>
      <c r="CP128" s="2" t="e">
        <f t="shared" ca="1" si="23"/>
        <v>#NAME?</v>
      </c>
      <c r="CQ128" s="2">
        <v>6</v>
      </c>
      <c r="CR128" s="2">
        <v>7</v>
      </c>
      <c r="CS128" s="2">
        <v>8</v>
      </c>
      <c r="CT128" s="2">
        <v>9</v>
      </c>
      <c r="CU128" s="2">
        <v>10</v>
      </c>
      <c r="CV128" s="54">
        <f t="shared" si="8"/>
        <v>8</v>
      </c>
      <c r="CW128" s="55" t="s">
        <v>31</v>
      </c>
      <c r="CX128" s="3"/>
    </row>
    <row r="129" spans="1:102" ht="16.5" x14ac:dyDescent="0.55000000000000004">
      <c r="A129" s="17">
        <v>3</v>
      </c>
      <c r="B129" s="17" t="s">
        <v>4</v>
      </c>
      <c r="C129" s="23" t="s">
        <v>298</v>
      </c>
      <c r="D129" s="24" t="s">
        <v>299</v>
      </c>
      <c r="E129" s="48">
        <v>10</v>
      </c>
      <c r="F129" s="2">
        <v>10</v>
      </c>
      <c r="G129" s="2">
        <v>10</v>
      </c>
      <c r="H129" s="2">
        <v>10</v>
      </c>
      <c r="I129" s="2">
        <v>10</v>
      </c>
      <c r="J129" s="2">
        <v>10</v>
      </c>
      <c r="K129" s="2">
        <v>10</v>
      </c>
      <c r="L129" s="2">
        <v>10</v>
      </c>
      <c r="M129" s="2">
        <v>10</v>
      </c>
      <c r="N129" s="2">
        <v>10</v>
      </c>
      <c r="O129" s="2">
        <v>10</v>
      </c>
      <c r="P129" s="2">
        <v>10</v>
      </c>
      <c r="Q129" s="2" t="e">
        <f t="shared" ca="1" si="19"/>
        <v>#NAME?</v>
      </c>
      <c r="R129" s="2">
        <v>10</v>
      </c>
      <c r="S129" s="2">
        <v>10</v>
      </c>
      <c r="T129" s="2">
        <v>10</v>
      </c>
      <c r="U129" s="2">
        <v>10</v>
      </c>
      <c r="V129" s="2">
        <v>10</v>
      </c>
      <c r="W129" s="54">
        <f t="shared" si="1"/>
        <v>10</v>
      </c>
      <c r="X129" s="48"/>
      <c r="Y129" s="2"/>
      <c r="Z129" s="69">
        <v>2</v>
      </c>
      <c r="AA129" s="8">
        <v>10</v>
      </c>
      <c r="AB129" s="8">
        <v>10</v>
      </c>
      <c r="AC129" s="8">
        <v>10</v>
      </c>
      <c r="AD129" s="8">
        <v>10</v>
      </c>
      <c r="AE129" s="8">
        <v>10</v>
      </c>
      <c r="AF129" s="8">
        <v>10</v>
      </c>
      <c r="AG129" s="8">
        <v>10</v>
      </c>
      <c r="AH129" s="8">
        <v>10</v>
      </c>
      <c r="AI129" s="8">
        <v>10</v>
      </c>
      <c r="AJ129" s="8">
        <v>10</v>
      </c>
      <c r="AK129" s="17"/>
      <c r="AL129" s="17"/>
      <c r="AM129" s="17"/>
      <c r="AN129" s="17"/>
      <c r="AO129" s="17"/>
      <c r="AP129" s="17"/>
      <c r="AQ129" s="2" t="e">
        <f t="shared" ca="1" si="20"/>
        <v>#NAME?</v>
      </c>
      <c r="AR129" s="8">
        <v>10</v>
      </c>
      <c r="AS129" s="8">
        <v>10</v>
      </c>
      <c r="AT129" s="8">
        <v>10</v>
      </c>
      <c r="AU129" s="8">
        <v>10</v>
      </c>
      <c r="AV129" s="8">
        <v>10</v>
      </c>
      <c r="AW129" s="54">
        <f t="shared" si="3"/>
        <v>10</v>
      </c>
      <c r="AX129" s="48"/>
      <c r="AY129" s="2"/>
      <c r="AZ129" s="2">
        <v>10</v>
      </c>
      <c r="BA129" s="2">
        <v>10</v>
      </c>
      <c r="BB129" s="2">
        <v>10</v>
      </c>
      <c r="BC129" s="2">
        <v>10</v>
      </c>
      <c r="BD129" s="2">
        <v>10</v>
      </c>
      <c r="BE129" s="2">
        <v>10</v>
      </c>
      <c r="BF129" s="2">
        <v>10</v>
      </c>
      <c r="BG129" s="2">
        <v>10</v>
      </c>
      <c r="BH129" s="2">
        <v>10</v>
      </c>
      <c r="BI129" s="2">
        <v>10</v>
      </c>
      <c r="BJ129" s="2" t="e">
        <f t="shared" ca="1" si="21"/>
        <v>#NAME?</v>
      </c>
      <c r="BK129" s="2">
        <v>10</v>
      </c>
      <c r="BL129" s="2">
        <v>10</v>
      </c>
      <c r="BM129" s="2">
        <v>10</v>
      </c>
      <c r="BN129" s="2">
        <v>9</v>
      </c>
      <c r="BO129" s="2">
        <v>9</v>
      </c>
      <c r="BP129" s="54">
        <f t="shared" si="5"/>
        <v>10</v>
      </c>
      <c r="BQ129" s="5"/>
      <c r="BR129" s="5"/>
      <c r="BS129" s="5">
        <v>10</v>
      </c>
      <c r="BT129" s="5">
        <v>10</v>
      </c>
      <c r="BU129" s="5">
        <v>10</v>
      </c>
      <c r="BV129" s="5">
        <v>8</v>
      </c>
      <c r="BW129" s="5">
        <v>8</v>
      </c>
      <c r="BX129" s="5">
        <v>10</v>
      </c>
      <c r="BY129" s="5">
        <v>10</v>
      </c>
      <c r="BZ129" s="5">
        <v>10</v>
      </c>
      <c r="CA129" s="5">
        <v>10</v>
      </c>
      <c r="CB129" s="5">
        <v>10</v>
      </c>
      <c r="CC129" s="2" t="e">
        <f t="shared" ca="1" si="22"/>
        <v>#NAME?</v>
      </c>
      <c r="CD129" s="55" t="s">
        <v>31</v>
      </c>
      <c r="CE129" s="2"/>
      <c r="CF129" s="2">
        <v>10</v>
      </c>
      <c r="CG129" s="2">
        <v>10</v>
      </c>
      <c r="CH129" s="2">
        <v>10</v>
      </c>
      <c r="CI129" s="2">
        <v>5</v>
      </c>
      <c r="CJ129" s="2">
        <v>6</v>
      </c>
      <c r="CK129" s="2">
        <v>7</v>
      </c>
      <c r="CL129" s="2">
        <v>8</v>
      </c>
      <c r="CM129" s="2">
        <v>10</v>
      </c>
      <c r="CN129" s="2">
        <v>9</v>
      </c>
      <c r="CO129" s="2">
        <v>10</v>
      </c>
      <c r="CP129" s="2" t="e">
        <f t="shared" ca="1" si="23"/>
        <v>#NAME?</v>
      </c>
      <c r="CQ129" s="2">
        <v>9</v>
      </c>
      <c r="CR129" s="2">
        <v>7</v>
      </c>
      <c r="CS129" s="2">
        <v>9</v>
      </c>
      <c r="CT129" s="2">
        <v>10</v>
      </c>
      <c r="CU129" s="2">
        <v>10</v>
      </c>
      <c r="CV129" s="54">
        <f t="shared" si="8"/>
        <v>9</v>
      </c>
      <c r="CW129" s="55">
        <v>13</v>
      </c>
      <c r="CX129" s="3"/>
    </row>
    <row r="130" spans="1:102" ht="16.5" x14ac:dyDescent="0.55000000000000004">
      <c r="A130" s="17">
        <v>3</v>
      </c>
      <c r="B130" s="17" t="s">
        <v>4</v>
      </c>
      <c r="C130" s="23" t="s">
        <v>300</v>
      </c>
      <c r="D130" s="24" t="s">
        <v>301</v>
      </c>
      <c r="E130" s="48">
        <v>10</v>
      </c>
      <c r="F130" s="2">
        <v>10</v>
      </c>
      <c r="G130" s="2">
        <v>10</v>
      </c>
      <c r="H130" s="2">
        <v>10</v>
      </c>
      <c r="I130" s="2">
        <v>10</v>
      </c>
      <c r="J130" s="2">
        <v>10</v>
      </c>
      <c r="K130" s="2">
        <v>10</v>
      </c>
      <c r="L130" s="2">
        <v>10</v>
      </c>
      <c r="M130" s="2">
        <v>10</v>
      </c>
      <c r="N130" s="2">
        <v>10</v>
      </c>
      <c r="O130" s="2">
        <v>10</v>
      </c>
      <c r="P130" s="2">
        <v>10</v>
      </c>
      <c r="Q130" s="2" t="e">
        <f t="shared" ca="1" si="19"/>
        <v>#NAME?</v>
      </c>
      <c r="R130" s="2">
        <v>10</v>
      </c>
      <c r="S130" s="2">
        <v>10</v>
      </c>
      <c r="T130" s="2">
        <v>10</v>
      </c>
      <c r="U130" s="2">
        <v>10</v>
      </c>
      <c r="V130" s="2">
        <v>10</v>
      </c>
      <c r="W130" s="54">
        <f t="shared" si="1"/>
        <v>10</v>
      </c>
      <c r="X130" s="48"/>
      <c r="Y130" s="2"/>
      <c r="Z130" s="69">
        <v>6</v>
      </c>
      <c r="AA130" s="8">
        <v>10</v>
      </c>
      <c r="AB130" s="8">
        <v>10</v>
      </c>
      <c r="AC130" s="8">
        <v>10</v>
      </c>
      <c r="AD130" s="8">
        <v>10</v>
      </c>
      <c r="AE130" s="8">
        <v>10</v>
      </c>
      <c r="AF130" s="8">
        <v>10</v>
      </c>
      <c r="AG130" s="8">
        <v>10</v>
      </c>
      <c r="AH130" s="8">
        <v>10</v>
      </c>
      <c r="AI130" s="8">
        <v>10</v>
      </c>
      <c r="AJ130" s="8">
        <v>10</v>
      </c>
      <c r="AK130" s="17"/>
      <c r="AL130" s="17"/>
      <c r="AM130" s="17"/>
      <c r="AN130" s="17"/>
      <c r="AO130" s="17"/>
      <c r="AP130" s="17"/>
      <c r="AQ130" s="2" t="e">
        <f t="shared" ca="1" si="20"/>
        <v>#NAME?</v>
      </c>
      <c r="AR130" s="8">
        <v>10</v>
      </c>
      <c r="AS130" s="8">
        <v>10</v>
      </c>
      <c r="AT130" s="8">
        <v>10</v>
      </c>
      <c r="AU130" s="8">
        <v>10</v>
      </c>
      <c r="AV130" s="8">
        <v>10</v>
      </c>
      <c r="AW130" s="54">
        <f t="shared" si="3"/>
        <v>10</v>
      </c>
      <c r="AX130" s="48"/>
      <c r="AY130" s="2"/>
      <c r="AZ130" s="2">
        <v>10</v>
      </c>
      <c r="BA130" s="2">
        <v>10</v>
      </c>
      <c r="BB130" s="2">
        <v>10</v>
      </c>
      <c r="BC130" s="2">
        <v>10</v>
      </c>
      <c r="BD130" s="2">
        <v>10</v>
      </c>
      <c r="BE130" s="2">
        <v>10</v>
      </c>
      <c r="BF130" s="2">
        <v>10</v>
      </c>
      <c r="BG130" s="2">
        <v>10</v>
      </c>
      <c r="BH130" s="2">
        <v>10</v>
      </c>
      <c r="BI130" s="2">
        <v>10</v>
      </c>
      <c r="BJ130" s="2" t="e">
        <f t="shared" ca="1" si="21"/>
        <v>#NAME?</v>
      </c>
      <c r="BK130" s="2">
        <v>10</v>
      </c>
      <c r="BL130" s="2">
        <v>10</v>
      </c>
      <c r="BM130" s="2">
        <v>10</v>
      </c>
      <c r="BN130" s="2">
        <v>10</v>
      </c>
      <c r="BO130" s="2">
        <v>10</v>
      </c>
      <c r="BP130" s="54">
        <f t="shared" si="5"/>
        <v>10</v>
      </c>
      <c r="BQ130" s="5"/>
      <c r="BR130" s="5"/>
      <c r="BS130" s="5">
        <v>10</v>
      </c>
      <c r="BT130" s="5">
        <v>10</v>
      </c>
      <c r="BU130" s="5">
        <v>10</v>
      </c>
      <c r="BV130" s="5">
        <v>8</v>
      </c>
      <c r="BW130" s="5">
        <v>8</v>
      </c>
      <c r="BX130" s="5">
        <v>10</v>
      </c>
      <c r="BY130" s="5">
        <v>10</v>
      </c>
      <c r="BZ130" s="5">
        <v>10</v>
      </c>
      <c r="CA130" s="5">
        <v>10</v>
      </c>
      <c r="CB130" s="5">
        <v>10</v>
      </c>
      <c r="CC130" s="2" t="e">
        <f t="shared" ca="1" si="22"/>
        <v>#NAME?</v>
      </c>
      <c r="CD130" s="55" t="s">
        <v>31</v>
      </c>
      <c r="CE130" s="2"/>
      <c r="CF130" s="2">
        <v>10</v>
      </c>
      <c r="CG130" s="2">
        <v>10</v>
      </c>
      <c r="CH130" s="2">
        <v>10</v>
      </c>
      <c r="CI130" s="2">
        <v>6</v>
      </c>
      <c r="CJ130" s="2">
        <v>7</v>
      </c>
      <c r="CK130" s="2">
        <v>8</v>
      </c>
      <c r="CL130" s="2">
        <v>9</v>
      </c>
      <c r="CM130" s="2">
        <v>10</v>
      </c>
      <c r="CN130" s="2">
        <v>9</v>
      </c>
      <c r="CO130" s="2">
        <v>10</v>
      </c>
      <c r="CP130" s="2" t="e">
        <f t="shared" ca="1" si="23"/>
        <v>#NAME?</v>
      </c>
      <c r="CQ130" s="2">
        <v>10</v>
      </c>
      <c r="CR130" s="2">
        <v>10</v>
      </c>
      <c r="CS130" s="2">
        <v>10</v>
      </c>
      <c r="CT130" s="2">
        <v>10</v>
      </c>
      <c r="CU130" s="2">
        <v>10</v>
      </c>
      <c r="CV130" s="54">
        <f t="shared" si="8"/>
        <v>10</v>
      </c>
      <c r="CW130" s="55">
        <v>8</v>
      </c>
      <c r="CX130" s="3"/>
    </row>
    <row r="131" spans="1:102" ht="16.5" x14ac:dyDescent="0.55000000000000004">
      <c r="A131" s="17">
        <v>3</v>
      </c>
      <c r="B131" s="17" t="s">
        <v>4</v>
      </c>
      <c r="C131" s="23" t="s">
        <v>302</v>
      </c>
      <c r="D131" s="24" t="s">
        <v>303</v>
      </c>
      <c r="E131" s="48">
        <v>9</v>
      </c>
      <c r="F131" s="2">
        <v>9</v>
      </c>
      <c r="G131" s="2">
        <v>10</v>
      </c>
      <c r="H131" s="2">
        <v>10</v>
      </c>
      <c r="I131" s="2">
        <v>10</v>
      </c>
      <c r="J131" s="2">
        <v>10</v>
      </c>
      <c r="K131" s="2">
        <v>10</v>
      </c>
      <c r="L131" s="2">
        <v>10</v>
      </c>
      <c r="M131" s="2">
        <v>10</v>
      </c>
      <c r="N131" s="2">
        <v>10</v>
      </c>
      <c r="O131" s="2">
        <v>10</v>
      </c>
      <c r="P131" s="2">
        <v>10</v>
      </c>
      <c r="Q131" s="2" t="e">
        <f t="shared" ca="1" si="19"/>
        <v>#NAME?</v>
      </c>
      <c r="R131" s="2">
        <v>10</v>
      </c>
      <c r="S131" s="2">
        <v>10</v>
      </c>
      <c r="T131" s="2">
        <v>10</v>
      </c>
      <c r="U131" s="2">
        <v>10</v>
      </c>
      <c r="V131" s="2">
        <v>10</v>
      </c>
      <c r="W131" s="54">
        <f t="shared" si="1"/>
        <v>10</v>
      </c>
      <c r="X131" s="48"/>
      <c r="Y131" s="2"/>
      <c r="Z131" s="69">
        <v>13</v>
      </c>
      <c r="AA131" s="8">
        <v>10</v>
      </c>
      <c r="AB131" s="8">
        <v>10</v>
      </c>
      <c r="AC131" s="8">
        <v>10</v>
      </c>
      <c r="AD131" s="8">
        <v>10</v>
      </c>
      <c r="AE131" s="8">
        <v>10</v>
      </c>
      <c r="AF131" s="8">
        <v>10</v>
      </c>
      <c r="AG131" s="8">
        <v>10</v>
      </c>
      <c r="AH131" s="8">
        <v>10</v>
      </c>
      <c r="AI131" s="8">
        <v>10</v>
      </c>
      <c r="AJ131" s="8">
        <v>10</v>
      </c>
      <c r="AK131" s="17"/>
      <c r="AL131" s="17"/>
      <c r="AM131" s="17"/>
      <c r="AN131" s="17"/>
      <c r="AO131" s="17"/>
      <c r="AP131" s="17"/>
      <c r="AQ131" s="2" t="e">
        <f t="shared" ca="1" si="20"/>
        <v>#NAME?</v>
      </c>
      <c r="AR131" s="8">
        <v>10</v>
      </c>
      <c r="AS131" s="8">
        <v>10</v>
      </c>
      <c r="AT131" s="8">
        <v>10</v>
      </c>
      <c r="AU131" s="8">
        <v>10</v>
      </c>
      <c r="AV131" s="8">
        <v>10</v>
      </c>
      <c r="AW131" s="54">
        <f t="shared" si="3"/>
        <v>10</v>
      </c>
      <c r="AX131" s="48"/>
      <c r="AY131" s="2"/>
      <c r="AZ131" s="2">
        <v>10</v>
      </c>
      <c r="BA131" s="2">
        <v>10</v>
      </c>
      <c r="BB131" s="2">
        <v>10</v>
      </c>
      <c r="BC131" s="2">
        <v>10</v>
      </c>
      <c r="BD131" s="2">
        <v>10</v>
      </c>
      <c r="BE131" s="2">
        <v>10</v>
      </c>
      <c r="BF131" s="2">
        <v>10</v>
      </c>
      <c r="BG131" s="2">
        <v>10</v>
      </c>
      <c r="BH131" s="2">
        <v>10</v>
      </c>
      <c r="BI131" s="2">
        <v>10</v>
      </c>
      <c r="BJ131" s="2" t="e">
        <f t="shared" ca="1" si="21"/>
        <v>#NAME?</v>
      </c>
      <c r="BK131" s="5">
        <v>10</v>
      </c>
      <c r="BL131" s="5">
        <v>10</v>
      </c>
      <c r="BM131" s="2">
        <v>10</v>
      </c>
      <c r="BN131" s="2">
        <v>10</v>
      </c>
      <c r="BO131" s="2">
        <v>10</v>
      </c>
      <c r="BP131" s="54">
        <f t="shared" si="5"/>
        <v>10</v>
      </c>
      <c r="BQ131" s="5"/>
      <c r="BR131" s="5"/>
      <c r="BS131" s="5">
        <v>10</v>
      </c>
      <c r="BT131" s="5">
        <v>10</v>
      </c>
      <c r="BU131" s="5">
        <v>10</v>
      </c>
      <c r="BV131" s="5">
        <v>10</v>
      </c>
      <c r="BW131" s="5">
        <v>10</v>
      </c>
      <c r="BX131" s="5">
        <v>10</v>
      </c>
      <c r="BY131" s="5">
        <v>10</v>
      </c>
      <c r="BZ131" s="5">
        <v>10</v>
      </c>
      <c r="CA131" s="5">
        <v>10</v>
      </c>
      <c r="CB131" s="5">
        <v>10</v>
      </c>
      <c r="CC131" s="2" t="e">
        <f t="shared" ca="1" si="22"/>
        <v>#NAME?</v>
      </c>
      <c r="CD131" s="55">
        <v>2</v>
      </c>
      <c r="CE131" s="2"/>
      <c r="CF131" s="2">
        <v>10</v>
      </c>
      <c r="CG131" s="2">
        <v>10</v>
      </c>
      <c r="CH131" s="2">
        <v>7</v>
      </c>
      <c r="CI131" s="2">
        <v>7</v>
      </c>
      <c r="CJ131" s="2">
        <v>8</v>
      </c>
      <c r="CK131" s="2">
        <v>8</v>
      </c>
      <c r="CL131" s="2">
        <v>10</v>
      </c>
      <c r="CM131" s="2">
        <v>9</v>
      </c>
      <c r="CN131" s="2">
        <v>9</v>
      </c>
      <c r="CO131" s="2">
        <v>10</v>
      </c>
      <c r="CP131" s="2" t="e">
        <f t="shared" ca="1" si="23"/>
        <v>#NAME?</v>
      </c>
      <c r="CQ131" s="2">
        <v>10</v>
      </c>
      <c r="CR131" s="2">
        <v>10</v>
      </c>
      <c r="CS131" s="2">
        <v>10</v>
      </c>
      <c r="CT131" s="2">
        <v>9</v>
      </c>
      <c r="CU131" s="2">
        <v>10</v>
      </c>
      <c r="CV131" s="54">
        <f t="shared" si="8"/>
        <v>10</v>
      </c>
      <c r="CW131" s="55">
        <v>10</v>
      </c>
      <c r="CX131" s="3"/>
    </row>
    <row r="132" spans="1:102" ht="16.5" x14ac:dyDescent="0.55000000000000004">
      <c r="A132" s="17">
        <v>3</v>
      </c>
      <c r="B132" s="17" t="s">
        <v>4</v>
      </c>
      <c r="C132" s="23" t="s">
        <v>304</v>
      </c>
      <c r="D132" s="24" t="s">
        <v>305</v>
      </c>
      <c r="E132" s="48">
        <v>10</v>
      </c>
      <c r="F132" s="2">
        <v>10</v>
      </c>
      <c r="G132" s="2">
        <v>10</v>
      </c>
      <c r="H132" s="2">
        <v>10</v>
      </c>
      <c r="I132" s="2">
        <v>10</v>
      </c>
      <c r="J132" s="2">
        <v>10</v>
      </c>
      <c r="K132" s="2">
        <v>10</v>
      </c>
      <c r="L132" s="2">
        <v>10</v>
      </c>
      <c r="M132" s="2">
        <v>10</v>
      </c>
      <c r="N132" s="2">
        <v>10</v>
      </c>
      <c r="O132" s="2">
        <v>10</v>
      </c>
      <c r="P132" s="2">
        <v>10</v>
      </c>
      <c r="Q132" s="2" t="e">
        <f t="shared" ca="1" si="19"/>
        <v>#NAME?</v>
      </c>
      <c r="R132" s="2">
        <v>10</v>
      </c>
      <c r="S132" s="2">
        <v>10</v>
      </c>
      <c r="T132" s="2">
        <v>10</v>
      </c>
      <c r="U132" s="2">
        <v>10</v>
      </c>
      <c r="V132" s="2">
        <v>10</v>
      </c>
      <c r="W132" s="54">
        <f t="shared" si="1"/>
        <v>10</v>
      </c>
      <c r="X132" s="48"/>
      <c r="Y132" s="2">
        <v>10</v>
      </c>
      <c r="Z132" s="69">
        <v>14</v>
      </c>
      <c r="AA132" s="8">
        <v>10</v>
      </c>
      <c r="AB132" s="8">
        <v>10</v>
      </c>
      <c r="AC132" s="8">
        <v>10</v>
      </c>
      <c r="AD132" s="8">
        <v>10</v>
      </c>
      <c r="AE132" s="8">
        <v>10</v>
      </c>
      <c r="AF132" s="8">
        <v>10</v>
      </c>
      <c r="AG132" s="8">
        <v>10</v>
      </c>
      <c r="AH132" s="8">
        <v>10</v>
      </c>
      <c r="AI132" s="8">
        <v>10</v>
      </c>
      <c r="AJ132" s="8">
        <v>10</v>
      </c>
      <c r="AK132" s="17"/>
      <c r="AL132" s="17"/>
      <c r="AM132" s="17"/>
      <c r="AN132" s="17"/>
      <c r="AO132" s="17"/>
      <c r="AP132" s="17"/>
      <c r="AQ132" s="2" t="e">
        <f t="shared" ca="1" si="20"/>
        <v>#NAME?</v>
      </c>
      <c r="AR132" s="8">
        <v>10</v>
      </c>
      <c r="AS132" s="8">
        <v>10</v>
      </c>
      <c r="AT132" s="8">
        <v>10</v>
      </c>
      <c r="AU132" s="8">
        <v>10</v>
      </c>
      <c r="AV132" s="8">
        <v>10</v>
      </c>
      <c r="AW132" s="54">
        <f t="shared" si="3"/>
        <v>10</v>
      </c>
      <c r="AX132" s="48"/>
      <c r="AY132" s="2"/>
      <c r="AZ132" s="2">
        <v>10</v>
      </c>
      <c r="BA132" s="2">
        <v>10</v>
      </c>
      <c r="BB132" s="2">
        <v>10</v>
      </c>
      <c r="BC132" s="2">
        <v>10</v>
      </c>
      <c r="BD132" s="2">
        <v>10</v>
      </c>
      <c r="BE132" s="2">
        <v>10</v>
      </c>
      <c r="BF132" s="2">
        <v>10</v>
      </c>
      <c r="BG132" s="2">
        <v>10</v>
      </c>
      <c r="BH132" s="2">
        <v>10</v>
      </c>
      <c r="BI132" s="2">
        <v>10</v>
      </c>
      <c r="BJ132" s="2" t="e">
        <f t="shared" ca="1" si="21"/>
        <v>#NAME?</v>
      </c>
      <c r="BK132" s="5">
        <v>10</v>
      </c>
      <c r="BL132" s="5">
        <v>10</v>
      </c>
      <c r="BM132" s="2">
        <v>10</v>
      </c>
      <c r="BN132" s="2">
        <v>10</v>
      </c>
      <c r="BO132" s="2">
        <v>10</v>
      </c>
      <c r="BP132" s="54">
        <f t="shared" si="5"/>
        <v>10</v>
      </c>
      <c r="BQ132" s="5"/>
      <c r="BR132" s="5"/>
      <c r="BS132" s="5">
        <v>10</v>
      </c>
      <c r="BT132" s="5">
        <v>10</v>
      </c>
      <c r="BU132" s="5">
        <v>10</v>
      </c>
      <c r="BV132" s="5">
        <v>10</v>
      </c>
      <c r="BW132" s="5">
        <v>10</v>
      </c>
      <c r="BX132" s="5">
        <v>10</v>
      </c>
      <c r="BY132" s="5">
        <v>10</v>
      </c>
      <c r="BZ132" s="5">
        <v>10</v>
      </c>
      <c r="CA132" s="5">
        <v>10</v>
      </c>
      <c r="CB132" s="5">
        <v>10</v>
      </c>
      <c r="CC132" s="2" t="e">
        <f t="shared" ca="1" si="22"/>
        <v>#NAME?</v>
      </c>
      <c r="CD132" s="55">
        <v>3</v>
      </c>
      <c r="CE132" s="2"/>
      <c r="CF132" s="2">
        <v>10</v>
      </c>
      <c r="CG132" s="2">
        <v>10</v>
      </c>
      <c r="CH132" s="2">
        <v>10</v>
      </c>
      <c r="CI132" s="2">
        <v>10</v>
      </c>
      <c r="CJ132" s="2">
        <v>9</v>
      </c>
      <c r="CK132" s="2">
        <v>9</v>
      </c>
      <c r="CL132" s="2">
        <v>10</v>
      </c>
      <c r="CM132" s="2">
        <v>10</v>
      </c>
      <c r="CN132" s="2">
        <v>10</v>
      </c>
      <c r="CO132" s="2">
        <v>10</v>
      </c>
      <c r="CP132" s="2" t="e">
        <f t="shared" ca="1" si="23"/>
        <v>#NAME?</v>
      </c>
      <c r="CQ132" s="2">
        <v>10</v>
      </c>
      <c r="CR132" s="2">
        <v>9</v>
      </c>
      <c r="CS132" s="2">
        <v>9</v>
      </c>
      <c r="CT132" s="2">
        <v>10</v>
      </c>
      <c r="CU132" s="2">
        <v>10</v>
      </c>
      <c r="CV132" s="54">
        <f t="shared" si="8"/>
        <v>10</v>
      </c>
      <c r="CW132" s="55">
        <v>11</v>
      </c>
      <c r="CX132" s="3"/>
    </row>
    <row r="133" spans="1:102" ht="16.5" x14ac:dyDescent="0.55000000000000004">
      <c r="A133" s="17">
        <v>3</v>
      </c>
      <c r="B133" s="17" t="s">
        <v>4</v>
      </c>
      <c r="C133" s="23" t="s">
        <v>306</v>
      </c>
      <c r="D133" s="24" t="s">
        <v>307</v>
      </c>
      <c r="E133" s="48">
        <v>10</v>
      </c>
      <c r="F133" s="2">
        <v>9</v>
      </c>
      <c r="G133" s="2">
        <v>10</v>
      </c>
      <c r="H133" s="2">
        <v>10</v>
      </c>
      <c r="I133" s="2">
        <v>10</v>
      </c>
      <c r="J133" s="2">
        <v>10</v>
      </c>
      <c r="K133" s="2">
        <v>10</v>
      </c>
      <c r="L133" s="2">
        <v>10</v>
      </c>
      <c r="M133" s="2">
        <v>10</v>
      </c>
      <c r="N133" s="2">
        <v>10</v>
      </c>
      <c r="O133" s="2">
        <v>10</v>
      </c>
      <c r="P133" s="2">
        <v>10</v>
      </c>
      <c r="Q133" s="2" t="e">
        <f t="shared" ca="1" si="19"/>
        <v>#NAME?</v>
      </c>
      <c r="R133" s="2">
        <v>10</v>
      </c>
      <c r="S133" s="2">
        <v>10</v>
      </c>
      <c r="T133" s="2">
        <v>10</v>
      </c>
      <c r="U133" s="2">
        <v>10</v>
      </c>
      <c r="V133" s="2">
        <v>10</v>
      </c>
      <c r="W133" s="54">
        <f t="shared" si="1"/>
        <v>10</v>
      </c>
      <c r="X133" s="48"/>
      <c r="Y133" s="2"/>
      <c r="Z133" s="69">
        <v>10</v>
      </c>
      <c r="AA133" s="8">
        <v>10</v>
      </c>
      <c r="AB133" s="8">
        <v>10</v>
      </c>
      <c r="AC133" s="8">
        <v>10</v>
      </c>
      <c r="AD133" s="8">
        <v>10</v>
      </c>
      <c r="AE133" s="8">
        <v>10</v>
      </c>
      <c r="AF133" s="8">
        <v>10</v>
      </c>
      <c r="AG133" s="8">
        <v>10</v>
      </c>
      <c r="AH133" s="8">
        <v>10</v>
      </c>
      <c r="AI133" s="8">
        <v>10</v>
      </c>
      <c r="AJ133" s="8">
        <v>10</v>
      </c>
      <c r="AK133" s="17"/>
      <c r="AL133" s="17"/>
      <c r="AM133" s="17"/>
      <c r="AN133" s="17"/>
      <c r="AO133" s="17"/>
      <c r="AP133" s="17"/>
      <c r="AQ133" s="2" t="e">
        <f t="shared" ca="1" si="20"/>
        <v>#NAME?</v>
      </c>
      <c r="AR133" s="8">
        <v>10</v>
      </c>
      <c r="AS133" s="8">
        <v>10</v>
      </c>
      <c r="AT133" s="8">
        <v>10</v>
      </c>
      <c r="AU133" s="8">
        <v>10</v>
      </c>
      <c r="AV133" s="8">
        <v>10</v>
      </c>
      <c r="AW133" s="54">
        <f t="shared" si="3"/>
        <v>10</v>
      </c>
      <c r="AX133" s="48"/>
      <c r="AY133" s="2"/>
      <c r="AZ133" s="2">
        <v>10</v>
      </c>
      <c r="BA133" s="2">
        <v>10</v>
      </c>
      <c r="BB133" s="2">
        <v>10</v>
      </c>
      <c r="BC133" s="2">
        <v>10</v>
      </c>
      <c r="BD133" s="2">
        <v>10</v>
      </c>
      <c r="BE133" s="2">
        <v>10</v>
      </c>
      <c r="BF133" s="2">
        <v>10</v>
      </c>
      <c r="BG133" s="2">
        <v>10</v>
      </c>
      <c r="BH133" s="2">
        <v>10</v>
      </c>
      <c r="BI133" s="2">
        <v>10</v>
      </c>
      <c r="BJ133" s="2" t="e">
        <f t="shared" ca="1" si="21"/>
        <v>#NAME?</v>
      </c>
      <c r="BK133" s="5">
        <v>10</v>
      </c>
      <c r="BL133" s="2">
        <v>10</v>
      </c>
      <c r="BM133" s="2">
        <v>10</v>
      </c>
      <c r="BN133" s="2">
        <v>10</v>
      </c>
      <c r="BO133" s="2">
        <v>10</v>
      </c>
      <c r="BP133" s="54">
        <f t="shared" si="5"/>
        <v>10</v>
      </c>
      <c r="BQ133" s="5"/>
      <c r="BR133" s="5"/>
      <c r="BS133" s="5">
        <v>10</v>
      </c>
      <c r="BT133" s="5">
        <v>10</v>
      </c>
      <c r="BU133" s="5">
        <v>10</v>
      </c>
      <c r="BV133" s="5">
        <v>10</v>
      </c>
      <c r="BW133" s="5">
        <v>8</v>
      </c>
      <c r="BX133" s="5">
        <v>8</v>
      </c>
      <c r="BY133" s="5">
        <v>10</v>
      </c>
      <c r="BZ133" s="5">
        <v>10</v>
      </c>
      <c r="CA133" s="5">
        <v>10</v>
      </c>
      <c r="CB133" s="5">
        <v>10</v>
      </c>
      <c r="CC133" s="2" t="e">
        <f t="shared" ca="1" si="22"/>
        <v>#NAME?</v>
      </c>
      <c r="CD133" s="55">
        <v>4</v>
      </c>
      <c r="CE133" s="2"/>
      <c r="CF133" s="2">
        <v>9</v>
      </c>
      <c r="CG133" s="2">
        <v>9</v>
      </c>
      <c r="CH133" s="2">
        <v>10</v>
      </c>
      <c r="CI133" s="2">
        <v>7</v>
      </c>
      <c r="CJ133" s="2">
        <v>6</v>
      </c>
      <c r="CK133" s="2">
        <v>7</v>
      </c>
      <c r="CL133" s="2">
        <v>8</v>
      </c>
      <c r="CM133" s="2">
        <v>9</v>
      </c>
      <c r="CN133" s="2">
        <v>10</v>
      </c>
      <c r="CO133" s="2">
        <v>10</v>
      </c>
      <c r="CP133" s="2" t="e">
        <f t="shared" ca="1" si="23"/>
        <v>#NAME?</v>
      </c>
      <c r="CQ133" s="2">
        <v>9</v>
      </c>
      <c r="CR133" s="2">
        <v>8</v>
      </c>
      <c r="CS133" s="2">
        <v>9</v>
      </c>
      <c r="CT133" s="2">
        <v>10</v>
      </c>
      <c r="CU133" s="2">
        <v>10</v>
      </c>
      <c r="CV133" s="54">
        <f t="shared" si="8"/>
        <v>10</v>
      </c>
      <c r="CW133" s="55">
        <v>11</v>
      </c>
      <c r="CX133" s="3"/>
    </row>
    <row r="134" spans="1:102" ht="16.5" x14ac:dyDescent="0.55000000000000004">
      <c r="A134" s="17">
        <v>3</v>
      </c>
      <c r="B134" s="17" t="s">
        <v>4</v>
      </c>
      <c r="C134" s="23" t="s">
        <v>308</v>
      </c>
      <c r="D134" s="24" t="s">
        <v>309</v>
      </c>
      <c r="E134" s="62" t="s">
        <v>31</v>
      </c>
      <c r="F134" s="10" t="s">
        <v>31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 t="e">
        <f t="shared" ca="1" si="19"/>
        <v>#NAME?</v>
      </c>
      <c r="R134" s="2"/>
      <c r="S134" s="2"/>
      <c r="T134" s="2"/>
      <c r="U134" s="2"/>
      <c r="V134" s="2"/>
      <c r="W134" s="54">
        <f t="shared" si="1"/>
        <v>0</v>
      </c>
      <c r="X134" s="48"/>
      <c r="Y134" s="2">
        <v>0</v>
      </c>
      <c r="Z134" s="73" t="s">
        <v>31</v>
      </c>
      <c r="AA134" s="2">
        <v>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3"/>
      <c r="AL134" s="3"/>
      <c r="AM134" s="3"/>
      <c r="AN134" s="3"/>
      <c r="AO134" s="3"/>
      <c r="AP134" s="3"/>
      <c r="AQ134" s="2" t="e">
        <f t="shared" ca="1" si="20"/>
        <v>#NAME?</v>
      </c>
      <c r="AR134" s="2"/>
      <c r="AS134" s="2"/>
      <c r="AT134" s="2"/>
      <c r="AU134" s="2"/>
      <c r="AV134" s="2"/>
      <c r="AW134" s="54">
        <f t="shared" si="3"/>
        <v>0</v>
      </c>
      <c r="AX134" s="48"/>
      <c r="AY134" s="2"/>
      <c r="AZ134" s="2">
        <v>10</v>
      </c>
      <c r="BA134" s="2">
        <v>10</v>
      </c>
      <c r="BB134" s="2">
        <v>10</v>
      </c>
      <c r="BC134" s="2"/>
      <c r="BD134" s="2"/>
      <c r="BE134" s="2"/>
      <c r="BF134" s="2"/>
      <c r="BG134" s="2"/>
      <c r="BH134" s="2"/>
      <c r="BI134" s="57"/>
      <c r="BJ134" s="2" t="e">
        <f t="shared" ca="1" si="21"/>
        <v>#NAME?</v>
      </c>
      <c r="BK134" s="5">
        <v>10</v>
      </c>
      <c r="BL134" s="5"/>
      <c r="BM134" s="5"/>
      <c r="BN134" s="5"/>
      <c r="BO134" s="5"/>
      <c r="BP134" s="54">
        <f t="shared" si="5"/>
        <v>10</v>
      </c>
      <c r="BQ134" s="5"/>
      <c r="BR134" s="5"/>
      <c r="BS134" s="5" t="s">
        <v>31</v>
      </c>
      <c r="BT134" s="5"/>
      <c r="BU134" s="5"/>
      <c r="BV134" s="5"/>
      <c r="BW134" s="5"/>
      <c r="BX134" s="5"/>
      <c r="BY134" s="5"/>
      <c r="BZ134" s="5"/>
      <c r="CA134" s="5"/>
      <c r="CB134" s="5"/>
      <c r="CC134" s="2" t="e">
        <f t="shared" ca="1" si="22"/>
        <v>#NAME?</v>
      </c>
      <c r="CD134" s="55">
        <v>3</v>
      </c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 t="e">
        <f t="shared" ca="1" si="23"/>
        <v>#NAME?</v>
      </c>
      <c r="CQ134" s="2"/>
      <c r="CR134" s="2"/>
      <c r="CS134" s="2"/>
      <c r="CT134" s="2"/>
      <c r="CU134" s="2"/>
      <c r="CV134" s="54">
        <f t="shared" si="8"/>
        <v>0</v>
      </c>
      <c r="CW134" s="55" t="s">
        <v>31</v>
      </c>
      <c r="CX134" s="3"/>
    </row>
    <row r="135" spans="1:102" ht="16.5" x14ac:dyDescent="0.55000000000000004">
      <c r="A135" s="17">
        <v>3</v>
      </c>
      <c r="B135" s="17" t="s">
        <v>4</v>
      </c>
      <c r="C135" s="23" t="s">
        <v>310</v>
      </c>
      <c r="D135" s="24" t="s">
        <v>311</v>
      </c>
      <c r="E135" s="48">
        <v>10</v>
      </c>
      <c r="F135" s="2">
        <v>9</v>
      </c>
      <c r="G135" s="2">
        <v>10</v>
      </c>
      <c r="H135" s="2">
        <v>10</v>
      </c>
      <c r="I135" s="2">
        <v>10</v>
      </c>
      <c r="J135" s="2">
        <v>10</v>
      </c>
      <c r="K135" s="2">
        <v>10</v>
      </c>
      <c r="L135" s="2">
        <v>10</v>
      </c>
      <c r="M135" s="2">
        <v>10</v>
      </c>
      <c r="N135" s="2">
        <v>10</v>
      </c>
      <c r="O135" s="2">
        <v>10</v>
      </c>
      <c r="P135" s="2">
        <v>10</v>
      </c>
      <c r="Q135" s="2" t="e">
        <f t="shared" ca="1" si="19"/>
        <v>#NAME?</v>
      </c>
      <c r="R135" s="2">
        <v>10</v>
      </c>
      <c r="S135" s="2">
        <v>10</v>
      </c>
      <c r="T135" s="2">
        <v>10</v>
      </c>
      <c r="U135" s="2">
        <v>10</v>
      </c>
      <c r="V135" s="2">
        <v>10</v>
      </c>
      <c r="W135" s="54">
        <f t="shared" si="1"/>
        <v>10</v>
      </c>
      <c r="X135" s="48"/>
      <c r="Y135" s="2"/>
      <c r="Z135" s="69">
        <v>8</v>
      </c>
      <c r="AA135" s="8">
        <v>10</v>
      </c>
      <c r="AB135" s="8">
        <v>10</v>
      </c>
      <c r="AC135" s="8">
        <v>10</v>
      </c>
      <c r="AD135" s="8">
        <v>10</v>
      </c>
      <c r="AE135" s="8">
        <v>10</v>
      </c>
      <c r="AF135" s="8">
        <v>10</v>
      </c>
      <c r="AG135" s="8">
        <v>10</v>
      </c>
      <c r="AH135" s="8">
        <v>10</v>
      </c>
      <c r="AI135" s="8">
        <v>10</v>
      </c>
      <c r="AJ135" s="8">
        <v>10</v>
      </c>
      <c r="AK135" s="17"/>
      <c r="AL135" s="17"/>
      <c r="AM135" s="17"/>
      <c r="AN135" s="17"/>
      <c r="AO135" s="17"/>
      <c r="AP135" s="17"/>
      <c r="AQ135" s="2" t="e">
        <f t="shared" ca="1" si="20"/>
        <v>#NAME?</v>
      </c>
      <c r="AR135" s="8">
        <v>10</v>
      </c>
      <c r="AS135" s="8">
        <v>10</v>
      </c>
      <c r="AT135" s="8">
        <v>10</v>
      </c>
      <c r="AU135" s="8">
        <v>10</v>
      </c>
      <c r="AV135" s="8">
        <v>10</v>
      </c>
      <c r="AW135" s="54">
        <f t="shared" si="3"/>
        <v>10</v>
      </c>
      <c r="AX135" s="48"/>
      <c r="AY135" s="2"/>
      <c r="AZ135" s="2">
        <v>10</v>
      </c>
      <c r="BA135" s="2">
        <v>10</v>
      </c>
      <c r="BB135" s="2">
        <v>10</v>
      </c>
      <c r="BC135" s="2">
        <v>10</v>
      </c>
      <c r="BD135" s="2">
        <v>10</v>
      </c>
      <c r="BE135" s="2">
        <v>10</v>
      </c>
      <c r="BF135" s="2">
        <v>10</v>
      </c>
      <c r="BG135" s="2">
        <v>10</v>
      </c>
      <c r="BH135" s="2">
        <v>10</v>
      </c>
      <c r="BI135" s="2">
        <v>10</v>
      </c>
      <c r="BJ135" s="2" t="e">
        <f t="shared" ca="1" si="21"/>
        <v>#NAME?</v>
      </c>
      <c r="BK135" s="5">
        <v>10</v>
      </c>
      <c r="BL135" s="2">
        <v>10</v>
      </c>
      <c r="BM135" s="2">
        <v>10</v>
      </c>
      <c r="BN135" s="2">
        <v>10</v>
      </c>
      <c r="BO135" s="2">
        <v>10</v>
      </c>
      <c r="BP135" s="54">
        <f t="shared" si="5"/>
        <v>10</v>
      </c>
      <c r="BQ135" s="5"/>
      <c r="BR135" s="5"/>
      <c r="BS135" s="5">
        <v>10</v>
      </c>
      <c r="BT135" s="5">
        <v>10</v>
      </c>
      <c r="BU135" s="5">
        <v>10</v>
      </c>
      <c r="BV135" s="5">
        <v>10</v>
      </c>
      <c r="BW135" s="5">
        <v>10</v>
      </c>
      <c r="BX135" s="5">
        <v>10</v>
      </c>
      <c r="BY135" s="5">
        <v>10</v>
      </c>
      <c r="BZ135" s="5">
        <v>10</v>
      </c>
      <c r="CA135" s="5">
        <v>10</v>
      </c>
      <c r="CB135" s="5">
        <v>10</v>
      </c>
      <c r="CC135" s="2" t="e">
        <f t="shared" ca="1" si="22"/>
        <v>#NAME?</v>
      </c>
      <c r="CD135" s="55">
        <v>3</v>
      </c>
      <c r="CE135" s="2"/>
      <c r="CF135" s="2">
        <v>10</v>
      </c>
      <c r="CG135" s="2">
        <v>10</v>
      </c>
      <c r="CH135" s="2">
        <v>7</v>
      </c>
      <c r="CI135" s="2">
        <v>7</v>
      </c>
      <c r="CJ135" s="2">
        <v>8</v>
      </c>
      <c r="CK135" s="2">
        <v>8</v>
      </c>
      <c r="CL135" s="2">
        <v>10</v>
      </c>
      <c r="CM135" s="2">
        <v>8</v>
      </c>
      <c r="CN135" s="2">
        <v>10</v>
      </c>
      <c r="CO135" s="2">
        <v>8</v>
      </c>
      <c r="CP135" s="2" t="e">
        <f t="shared" ca="1" si="23"/>
        <v>#NAME?</v>
      </c>
      <c r="CQ135" s="2">
        <v>10</v>
      </c>
      <c r="CR135" s="2">
        <v>10</v>
      </c>
      <c r="CS135" s="2">
        <v>9</v>
      </c>
      <c r="CT135" s="2">
        <v>10</v>
      </c>
      <c r="CU135" s="2">
        <v>10</v>
      </c>
      <c r="CV135" s="54">
        <f t="shared" si="8"/>
        <v>10</v>
      </c>
      <c r="CW135" s="55">
        <v>10</v>
      </c>
      <c r="CX135" s="3"/>
    </row>
    <row r="136" spans="1:102" ht="16.5" x14ac:dyDescent="0.55000000000000004">
      <c r="A136" s="17">
        <v>3</v>
      </c>
      <c r="B136" s="17" t="s">
        <v>4</v>
      </c>
      <c r="C136" s="23" t="s">
        <v>312</v>
      </c>
      <c r="D136" s="24" t="s">
        <v>313</v>
      </c>
      <c r="E136" s="48">
        <v>10</v>
      </c>
      <c r="F136" s="2">
        <v>10</v>
      </c>
      <c r="G136" s="2">
        <v>10</v>
      </c>
      <c r="H136" s="2">
        <v>10</v>
      </c>
      <c r="I136" s="2">
        <v>10</v>
      </c>
      <c r="J136" s="2">
        <v>10</v>
      </c>
      <c r="K136" s="2">
        <v>10</v>
      </c>
      <c r="L136" s="2">
        <v>10</v>
      </c>
      <c r="M136" s="2">
        <v>10</v>
      </c>
      <c r="N136" s="2">
        <v>10</v>
      </c>
      <c r="O136" s="2">
        <v>10</v>
      </c>
      <c r="P136" s="2">
        <v>10</v>
      </c>
      <c r="Q136" s="2" t="e">
        <f t="shared" ca="1" si="19"/>
        <v>#NAME?</v>
      </c>
      <c r="R136" s="2">
        <v>10</v>
      </c>
      <c r="S136" s="2">
        <v>10</v>
      </c>
      <c r="T136" s="2">
        <v>10</v>
      </c>
      <c r="U136" s="2">
        <v>10</v>
      </c>
      <c r="V136" s="2">
        <v>10</v>
      </c>
      <c r="W136" s="54">
        <f t="shared" si="1"/>
        <v>10</v>
      </c>
      <c r="X136" s="48"/>
      <c r="Y136" s="2">
        <v>10</v>
      </c>
      <c r="Z136" s="69">
        <v>17</v>
      </c>
      <c r="AA136" s="8">
        <v>10</v>
      </c>
      <c r="AB136" s="8">
        <v>10</v>
      </c>
      <c r="AC136" s="8">
        <v>10</v>
      </c>
      <c r="AD136" s="8">
        <v>10</v>
      </c>
      <c r="AE136" s="8">
        <v>10</v>
      </c>
      <c r="AF136" s="8">
        <v>10</v>
      </c>
      <c r="AG136" s="8">
        <v>10</v>
      </c>
      <c r="AH136" s="8">
        <v>10</v>
      </c>
      <c r="AI136" s="8">
        <v>10</v>
      </c>
      <c r="AJ136" s="8">
        <v>10</v>
      </c>
      <c r="AK136" s="17"/>
      <c r="AL136" s="17"/>
      <c r="AM136" s="17"/>
      <c r="AN136" s="17"/>
      <c r="AO136" s="17"/>
      <c r="AP136" s="17"/>
      <c r="AQ136" s="2" t="e">
        <f t="shared" ca="1" si="20"/>
        <v>#NAME?</v>
      </c>
      <c r="AR136" s="8">
        <v>10</v>
      </c>
      <c r="AS136" s="8">
        <v>10</v>
      </c>
      <c r="AT136" s="8">
        <v>10</v>
      </c>
      <c r="AU136" s="8">
        <v>10</v>
      </c>
      <c r="AV136" s="8">
        <v>10</v>
      </c>
      <c r="AW136" s="54">
        <f t="shared" si="3"/>
        <v>10</v>
      </c>
      <c r="AX136" s="48"/>
      <c r="AY136" s="2"/>
      <c r="AZ136" s="2">
        <v>10</v>
      </c>
      <c r="BA136" s="2">
        <v>10</v>
      </c>
      <c r="BB136" s="2">
        <v>10</v>
      </c>
      <c r="BC136" s="2">
        <v>10</v>
      </c>
      <c r="BD136" s="2">
        <v>10</v>
      </c>
      <c r="BE136" s="2">
        <v>10</v>
      </c>
      <c r="BF136" s="2">
        <v>10</v>
      </c>
      <c r="BG136" s="2">
        <v>10</v>
      </c>
      <c r="BH136" s="2">
        <v>10</v>
      </c>
      <c r="BI136" s="2">
        <v>10</v>
      </c>
      <c r="BJ136" s="2" t="e">
        <f t="shared" ca="1" si="21"/>
        <v>#NAME?</v>
      </c>
      <c r="BK136" s="5">
        <v>10</v>
      </c>
      <c r="BL136" s="5">
        <v>10</v>
      </c>
      <c r="BM136" s="2">
        <v>10</v>
      </c>
      <c r="BN136" s="2">
        <v>10</v>
      </c>
      <c r="BO136" s="2">
        <v>10</v>
      </c>
      <c r="BP136" s="54">
        <f t="shared" si="5"/>
        <v>10</v>
      </c>
      <c r="BQ136" s="5"/>
      <c r="BR136" s="5"/>
      <c r="BS136" s="5">
        <v>10</v>
      </c>
      <c r="BT136" s="5">
        <v>10</v>
      </c>
      <c r="BU136" s="5">
        <v>10</v>
      </c>
      <c r="BV136" s="5">
        <v>10</v>
      </c>
      <c r="BW136" s="5">
        <v>10</v>
      </c>
      <c r="BX136" s="5">
        <v>10</v>
      </c>
      <c r="BY136" s="5">
        <v>10</v>
      </c>
      <c r="BZ136" s="5">
        <v>10</v>
      </c>
      <c r="CA136" s="5">
        <v>10</v>
      </c>
      <c r="CB136" s="5">
        <v>10</v>
      </c>
      <c r="CC136" s="2" t="e">
        <f t="shared" ca="1" si="22"/>
        <v>#NAME?</v>
      </c>
      <c r="CD136" s="55">
        <v>7</v>
      </c>
      <c r="CE136" s="2"/>
      <c r="CF136" s="2">
        <v>10</v>
      </c>
      <c r="CG136" s="2">
        <v>10</v>
      </c>
      <c r="CH136" s="2">
        <v>10</v>
      </c>
      <c r="CI136" s="2">
        <v>9</v>
      </c>
      <c r="CJ136" s="2">
        <v>6</v>
      </c>
      <c r="CK136" s="2">
        <v>7</v>
      </c>
      <c r="CL136" s="2">
        <v>8</v>
      </c>
      <c r="CM136" s="2">
        <v>9</v>
      </c>
      <c r="CN136" s="2">
        <v>9</v>
      </c>
      <c r="CO136" s="2">
        <v>10</v>
      </c>
      <c r="CP136" s="2" t="e">
        <f t="shared" ca="1" si="23"/>
        <v>#NAME?</v>
      </c>
      <c r="CQ136" s="2">
        <v>10</v>
      </c>
      <c r="CR136" s="2">
        <v>10</v>
      </c>
      <c r="CS136" s="2">
        <v>10</v>
      </c>
      <c r="CT136" s="2">
        <v>10</v>
      </c>
      <c r="CU136" s="2">
        <v>10</v>
      </c>
      <c r="CV136" s="54">
        <f t="shared" si="8"/>
        <v>10</v>
      </c>
      <c r="CW136" s="55">
        <v>14</v>
      </c>
      <c r="CX136" s="3"/>
    </row>
    <row r="137" spans="1:102" ht="16.5" x14ac:dyDescent="0.55000000000000004">
      <c r="A137" s="17">
        <v>3</v>
      </c>
      <c r="B137" s="17" t="s">
        <v>4</v>
      </c>
      <c r="C137" s="23" t="s">
        <v>314</v>
      </c>
      <c r="D137" s="24" t="s">
        <v>315</v>
      </c>
      <c r="E137" s="48">
        <v>9</v>
      </c>
      <c r="F137" s="2">
        <v>10</v>
      </c>
      <c r="G137" s="2">
        <v>10</v>
      </c>
      <c r="H137" s="2">
        <v>10</v>
      </c>
      <c r="I137" s="2">
        <v>10</v>
      </c>
      <c r="J137" s="2">
        <v>10</v>
      </c>
      <c r="K137" s="2">
        <v>10</v>
      </c>
      <c r="L137" s="2">
        <v>10</v>
      </c>
      <c r="M137" s="2">
        <v>10</v>
      </c>
      <c r="N137" s="2">
        <v>10</v>
      </c>
      <c r="O137" s="2">
        <v>10</v>
      </c>
      <c r="P137" s="2">
        <v>10</v>
      </c>
      <c r="Q137" s="2" t="e">
        <f t="shared" ca="1" si="19"/>
        <v>#NAME?</v>
      </c>
      <c r="R137" s="2">
        <v>10</v>
      </c>
      <c r="S137" s="2">
        <v>10</v>
      </c>
      <c r="T137" s="2">
        <v>10</v>
      </c>
      <c r="U137" s="2">
        <v>10</v>
      </c>
      <c r="V137" s="2">
        <v>10</v>
      </c>
      <c r="W137" s="54">
        <f t="shared" si="1"/>
        <v>10</v>
      </c>
      <c r="X137" s="48"/>
      <c r="Y137" s="2"/>
      <c r="Z137" s="69">
        <v>10</v>
      </c>
      <c r="AA137" s="8">
        <v>10</v>
      </c>
      <c r="AB137" s="8">
        <v>10</v>
      </c>
      <c r="AC137" s="8">
        <v>10</v>
      </c>
      <c r="AD137" s="8">
        <v>10</v>
      </c>
      <c r="AE137" s="8">
        <v>10</v>
      </c>
      <c r="AF137" s="8">
        <v>10</v>
      </c>
      <c r="AG137" s="8">
        <v>10</v>
      </c>
      <c r="AH137" s="8">
        <v>10</v>
      </c>
      <c r="AI137" s="8">
        <v>10</v>
      </c>
      <c r="AJ137" s="8">
        <v>10</v>
      </c>
      <c r="AK137" s="17"/>
      <c r="AL137" s="17"/>
      <c r="AM137" s="17"/>
      <c r="AN137" s="17"/>
      <c r="AO137" s="17"/>
      <c r="AP137" s="17"/>
      <c r="AQ137" s="2" t="e">
        <f t="shared" ca="1" si="20"/>
        <v>#NAME?</v>
      </c>
      <c r="AR137" s="8">
        <v>10</v>
      </c>
      <c r="AS137" s="8">
        <v>10</v>
      </c>
      <c r="AT137" s="8">
        <v>10</v>
      </c>
      <c r="AU137" s="8">
        <v>10</v>
      </c>
      <c r="AV137" s="8">
        <v>10</v>
      </c>
      <c r="AW137" s="54">
        <f t="shared" si="3"/>
        <v>10</v>
      </c>
      <c r="AX137" s="48"/>
      <c r="AY137" s="2"/>
      <c r="AZ137" s="2">
        <v>10</v>
      </c>
      <c r="BA137" s="2">
        <v>10</v>
      </c>
      <c r="BB137" s="2">
        <v>10</v>
      </c>
      <c r="BC137" s="2">
        <v>10</v>
      </c>
      <c r="BD137" s="2">
        <v>10</v>
      </c>
      <c r="BE137" s="2">
        <v>10</v>
      </c>
      <c r="BF137" s="2">
        <v>10</v>
      </c>
      <c r="BG137" s="2">
        <v>10</v>
      </c>
      <c r="BH137" s="2">
        <v>10</v>
      </c>
      <c r="BI137" s="2">
        <v>10</v>
      </c>
      <c r="BJ137" s="2" t="e">
        <f t="shared" ca="1" si="21"/>
        <v>#NAME?</v>
      </c>
      <c r="BK137" s="5">
        <v>10</v>
      </c>
      <c r="BL137" s="2">
        <v>10</v>
      </c>
      <c r="BM137" s="2">
        <v>10</v>
      </c>
      <c r="BN137" s="2">
        <v>10</v>
      </c>
      <c r="BO137" s="2">
        <v>10</v>
      </c>
      <c r="BP137" s="54">
        <f t="shared" si="5"/>
        <v>10</v>
      </c>
      <c r="BQ137" s="5"/>
      <c r="BR137" s="5"/>
      <c r="BS137" s="5">
        <v>10</v>
      </c>
      <c r="BT137" s="5">
        <v>10</v>
      </c>
      <c r="BU137" s="5">
        <v>10</v>
      </c>
      <c r="BV137" s="5">
        <v>10</v>
      </c>
      <c r="BW137" s="5">
        <v>8</v>
      </c>
      <c r="BX137" s="5">
        <v>8</v>
      </c>
      <c r="BY137" s="5">
        <v>10</v>
      </c>
      <c r="BZ137" s="5">
        <v>10</v>
      </c>
      <c r="CA137" s="5">
        <v>10</v>
      </c>
      <c r="CB137" s="5">
        <v>10</v>
      </c>
      <c r="CC137" s="2" t="e">
        <f t="shared" ca="1" si="22"/>
        <v>#NAME?</v>
      </c>
      <c r="CD137" s="55">
        <v>3</v>
      </c>
      <c r="CE137" s="2"/>
      <c r="CF137" s="2">
        <v>9</v>
      </c>
      <c r="CG137" s="2">
        <v>9</v>
      </c>
      <c r="CH137" s="2">
        <v>10</v>
      </c>
      <c r="CI137" s="2">
        <v>7</v>
      </c>
      <c r="CJ137" s="2">
        <v>6</v>
      </c>
      <c r="CK137" s="2">
        <v>7</v>
      </c>
      <c r="CL137" s="2">
        <v>8</v>
      </c>
      <c r="CM137" s="2">
        <v>8</v>
      </c>
      <c r="CN137" s="2">
        <v>9</v>
      </c>
      <c r="CO137" s="2">
        <v>10</v>
      </c>
      <c r="CP137" s="2" t="e">
        <f t="shared" ca="1" si="23"/>
        <v>#NAME?</v>
      </c>
      <c r="CQ137" s="2">
        <v>9</v>
      </c>
      <c r="CR137" s="2">
        <v>8</v>
      </c>
      <c r="CS137" s="2">
        <v>9</v>
      </c>
      <c r="CT137" s="2">
        <v>10</v>
      </c>
      <c r="CU137" s="2">
        <v>10</v>
      </c>
      <c r="CV137" s="54">
        <f t="shared" si="8"/>
        <v>10</v>
      </c>
      <c r="CW137" s="55">
        <v>11</v>
      </c>
      <c r="CX137" s="3"/>
    </row>
    <row r="138" spans="1:102" ht="16.5" x14ac:dyDescent="0.55000000000000004">
      <c r="A138" s="17">
        <v>3</v>
      </c>
      <c r="B138" s="17" t="s">
        <v>4</v>
      </c>
      <c r="C138" s="23" t="s">
        <v>316</v>
      </c>
      <c r="D138" s="24" t="s">
        <v>317</v>
      </c>
      <c r="E138" s="48">
        <v>10</v>
      </c>
      <c r="F138" s="2">
        <v>10</v>
      </c>
      <c r="G138" s="2">
        <v>10</v>
      </c>
      <c r="H138" s="2">
        <v>10</v>
      </c>
      <c r="I138" s="2">
        <v>10</v>
      </c>
      <c r="J138" s="2">
        <v>10</v>
      </c>
      <c r="K138" s="2">
        <v>10</v>
      </c>
      <c r="L138" s="2">
        <v>10</v>
      </c>
      <c r="M138" s="2">
        <v>10</v>
      </c>
      <c r="N138" s="2">
        <v>10</v>
      </c>
      <c r="O138" s="2">
        <v>10</v>
      </c>
      <c r="P138" s="2">
        <v>10</v>
      </c>
      <c r="Q138" s="2" t="e">
        <f t="shared" ca="1" si="19"/>
        <v>#NAME?</v>
      </c>
      <c r="R138" s="2">
        <v>10</v>
      </c>
      <c r="S138" s="2">
        <v>10</v>
      </c>
      <c r="T138" s="2">
        <v>10</v>
      </c>
      <c r="U138" s="2">
        <v>10</v>
      </c>
      <c r="V138" s="2">
        <v>10</v>
      </c>
      <c r="W138" s="54">
        <f t="shared" si="1"/>
        <v>10</v>
      </c>
      <c r="X138" s="48"/>
      <c r="Y138" s="2"/>
      <c r="Z138" s="69">
        <v>14</v>
      </c>
      <c r="AA138" s="8">
        <v>10</v>
      </c>
      <c r="AB138" s="8">
        <v>10</v>
      </c>
      <c r="AC138" s="8">
        <v>10</v>
      </c>
      <c r="AD138" s="8">
        <v>10</v>
      </c>
      <c r="AE138" s="8">
        <v>10</v>
      </c>
      <c r="AF138" s="8">
        <v>10</v>
      </c>
      <c r="AG138" s="8">
        <v>10</v>
      </c>
      <c r="AH138" s="8">
        <v>10</v>
      </c>
      <c r="AI138" s="8">
        <v>10</v>
      </c>
      <c r="AJ138" s="8">
        <v>10</v>
      </c>
      <c r="AK138" s="17"/>
      <c r="AL138" s="17"/>
      <c r="AM138" s="17"/>
      <c r="AN138" s="17"/>
      <c r="AO138" s="17"/>
      <c r="AP138" s="17"/>
      <c r="AQ138" s="2" t="e">
        <f t="shared" ca="1" si="20"/>
        <v>#NAME?</v>
      </c>
      <c r="AR138" s="8">
        <v>10</v>
      </c>
      <c r="AS138" s="8">
        <v>10</v>
      </c>
      <c r="AT138" s="8">
        <v>10</v>
      </c>
      <c r="AU138" s="8">
        <v>10</v>
      </c>
      <c r="AV138" s="8">
        <v>10</v>
      </c>
      <c r="AW138" s="54">
        <f t="shared" si="3"/>
        <v>10</v>
      </c>
      <c r="AX138" s="48"/>
      <c r="AY138" s="2"/>
      <c r="AZ138" s="2">
        <v>10</v>
      </c>
      <c r="BA138" s="2">
        <v>10</v>
      </c>
      <c r="BB138" s="2">
        <v>10</v>
      </c>
      <c r="BC138" s="2">
        <v>10</v>
      </c>
      <c r="BD138" s="2">
        <v>10</v>
      </c>
      <c r="BE138" s="2">
        <v>10</v>
      </c>
      <c r="BF138" s="2">
        <v>10</v>
      </c>
      <c r="BG138" s="2">
        <v>10</v>
      </c>
      <c r="BH138" s="2">
        <v>10</v>
      </c>
      <c r="BI138" s="2">
        <v>10</v>
      </c>
      <c r="BJ138" s="2" t="e">
        <f t="shared" ca="1" si="21"/>
        <v>#NAME?</v>
      </c>
      <c r="BK138" s="5">
        <v>10</v>
      </c>
      <c r="BL138" s="5">
        <v>10</v>
      </c>
      <c r="BM138" s="2">
        <v>10</v>
      </c>
      <c r="BN138" s="2">
        <v>10</v>
      </c>
      <c r="BO138" s="2">
        <v>10</v>
      </c>
      <c r="BP138" s="54">
        <f t="shared" si="5"/>
        <v>10</v>
      </c>
      <c r="BQ138" s="5"/>
      <c r="BR138" s="5"/>
      <c r="BS138" s="5">
        <v>10</v>
      </c>
      <c r="BT138" s="5">
        <v>10</v>
      </c>
      <c r="BU138" s="5">
        <v>10</v>
      </c>
      <c r="BV138" s="5">
        <v>10</v>
      </c>
      <c r="BW138" s="5">
        <v>10</v>
      </c>
      <c r="BX138" s="5">
        <v>10</v>
      </c>
      <c r="BY138" s="5">
        <v>10</v>
      </c>
      <c r="BZ138" s="5">
        <v>10</v>
      </c>
      <c r="CA138" s="5">
        <v>10</v>
      </c>
      <c r="CB138" s="5">
        <v>10</v>
      </c>
      <c r="CC138" s="2" t="e">
        <f t="shared" ca="1" si="22"/>
        <v>#NAME?</v>
      </c>
      <c r="CD138" s="55">
        <v>4</v>
      </c>
      <c r="CE138" s="2"/>
      <c r="CF138" s="2">
        <v>10</v>
      </c>
      <c r="CG138" s="2">
        <v>10</v>
      </c>
      <c r="CH138" s="2">
        <v>10</v>
      </c>
      <c r="CI138" s="2">
        <v>10</v>
      </c>
      <c r="CJ138" s="2">
        <v>9</v>
      </c>
      <c r="CK138" s="2">
        <v>9</v>
      </c>
      <c r="CL138" s="2">
        <v>10</v>
      </c>
      <c r="CM138" s="2">
        <v>9</v>
      </c>
      <c r="CN138" s="2">
        <v>10</v>
      </c>
      <c r="CO138" s="2">
        <v>10</v>
      </c>
      <c r="CP138" s="2" t="e">
        <f t="shared" ca="1" si="23"/>
        <v>#NAME?</v>
      </c>
      <c r="CQ138" s="2">
        <v>10</v>
      </c>
      <c r="CR138" s="2">
        <v>10</v>
      </c>
      <c r="CS138" s="2">
        <v>9</v>
      </c>
      <c r="CT138" s="2">
        <v>10</v>
      </c>
      <c r="CU138" s="2">
        <v>10</v>
      </c>
      <c r="CV138" s="54">
        <f t="shared" si="8"/>
        <v>10</v>
      </c>
      <c r="CW138" s="55">
        <v>12</v>
      </c>
      <c r="CX138" s="3"/>
    </row>
    <row r="139" spans="1:102" ht="16.5" x14ac:dyDescent="0.55000000000000004">
      <c r="A139" s="17">
        <v>3</v>
      </c>
      <c r="B139" s="17" t="s">
        <v>4</v>
      </c>
      <c r="C139" s="23" t="s">
        <v>318</v>
      </c>
      <c r="D139" s="24" t="s">
        <v>319</v>
      </c>
      <c r="E139" s="48">
        <v>10</v>
      </c>
      <c r="F139" s="2">
        <v>10</v>
      </c>
      <c r="G139" s="2">
        <v>10</v>
      </c>
      <c r="H139" s="2">
        <v>10</v>
      </c>
      <c r="I139" s="2">
        <v>10</v>
      </c>
      <c r="J139" s="2">
        <v>10</v>
      </c>
      <c r="K139" s="2">
        <v>10</v>
      </c>
      <c r="L139" s="2">
        <v>10</v>
      </c>
      <c r="M139" s="2">
        <v>10</v>
      </c>
      <c r="N139" s="2">
        <v>10</v>
      </c>
      <c r="O139" s="2">
        <v>10</v>
      </c>
      <c r="P139" s="2">
        <v>10</v>
      </c>
      <c r="Q139" s="2" t="e">
        <f t="shared" ca="1" si="19"/>
        <v>#NAME?</v>
      </c>
      <c r="R139" s="2">
        <v>10</v>
      </c>
      <c r="S139" s="2">
        <v>10</v>
      </c>
      <c r="T139" s="2">
        <v>10</v>
      </c>
      <c r="U139" s="2">
        <v>10</v>
      </c>
      <c r="V139" s="2">
        <v>10</v>
      </c>
      <c r="W139" s="54">
        <f t="shared" si="1"/>
        <v>10</v>
      </c>
      <c r="X139" s="48"/>
      <c r="Y139" s="2"/>
      <c r="Z139" s="69">
        <v>9</v>
      </c>
      <c r="AA139" s="8">
        <v>10</v>
      </c>
      <c r="AB139" s="8">
        <v>10</v>
      </c>
      <c r="AC139" s="8">
        <v>10</v>
      </c>
      <c r="AD139" s="8">
        <v>10</v>
      </c>
      <c r="AE139" s="8">
        <v>10</v>
      </c>
      <c r="AF139" s="8">
        <v>10</v>
      </c>
      <c r="AG139" s="8">
        <v>10</v>
      </c>
      <c r="AH139" s="8">
        <v>10</v>
      </c>
      <c r="AI139" s="8">
        <v>10</v>
      </c>
      <c r="AJ139" s="8">
        <v>10</v>
      </c>
      <c r="AK139" s="17"/>
      <c r="AL139" s="17"/>
      <c r="AM139" s="17"/>
      <c r="AN139" s="17"/>
      <c r="AO139" s="17"/>
      <c r="AP139" s="17"/>
      <c r="AQ139" s="2" t="e">
        <f t="shared" ca="1" si="20"/>
        <v>#NAME?</v>
      </c>
      <c r="AR139" s="8">
        <v>10</v>
      </c>
      <c r="AS139" s="8">
        <v>10</v>
      </c>
      <c r="AT139" s="8">
        <v>10</v>
      </c>
      <c r="AU139" s="8">
        <v>10</v>
      </c>
      <c r="AV139" s="8">
        <v>10</v>
      </c>
      <c r="AW139" s="54">
        <f t="shared" si="3"/>
        <v>10</v>
      </c>
      <c r="AX139" s="48"/>
      <c r="AY139" s="2"/>
      <c r="AZ139" s="2">
        <v>10</v>
      </c>
      <c r="BA139" s="2">
        <v>10</v>
      </c>
      <c r="BB139" s="2">
        <v>10</v>
      </c>
      <c r="BC139" s="2">
        <v>10</v>
      </c>
      <c r="BD139" s="2">
        <v>10</v>
      </c>
      <c r="BE139" s="2">
        <v>10</v>
      </c>
      <c r="BF139" s="2">
        <v>10</v>
      </c>
      <c r="BG139" s="2">
        <v>10</v>
      </c>
      <c r="BH139" s="2">
        <v>10</v>
      </c>
      <c r="BI139" s="2">
        <v>10</v>
      </c>
      <c r="BJ139" s="2" t="e">
        <f t="shared" ca="1" si="21"/>
        <v>#NAME?</v>
      </c>
      <c r="BK139" s="5">
        <v>10</v>
      </c>
      <c r="BL139" s="5">
        <v>10</v>
      </c>
      <c r="BM139" s="2">
        <v>10</v>
      </c>
      <c r="BN139" s="2">
        <v>10</v>
      </c>
      <c r="BO139" s="2">
        <v>10</v>
      </c>
      <c r="BP139" s="54">
        <f t="shared" si="5"/>
        <v>10</v>
      </c>
      <c r="BQ139" s="5"/>
      <c r="BR139" s="5"/>
      <c r="BS139" s="5">
        <v>10</v>
      </c>
      <c r="BT139" s="5">
        <v>10</v>
      </c>
      <c r="BU139" s="5">
        <v>10</v>
      </c>
      <c r="BV139" s="5">
        <v>10</v>
      </c>
      <c r="BW139" s="5">
        <v>10</v>
      </c>
      <c r="BX139" s="5">
        <v>8</v>
      </c>
      <c r="BY139" s="5">
        <v>8</v>
      </c>
      <c r="BZ139" s="5">
        <v>8</v>
      </c>
      <c r="CA139" s="5">
        <v>9</v>
      </c>
      <c r="CB139" s="5">
        <v>9</v>
      </c>
      <c r="CC139" s="2" t="e">
        <f t="shared" ca="1" si="22"/>
        <v>#NAME?</v>
      </c>
      <c r="CD139" s="55">
        <v>4</v>
      </c>
      <c r="CE139" s="2"/>
      <c r="CF139" s="2">
        <v>10</v>
      </c>
      <c r="CG139" s="2">
        <v>10</v>
      </c>
      <c r="CH139" s="2">
        <v>3</v>
      </c>
      <c r="CI139" s="2">
        <v>4</v>
      </c>
      <c r="CJ139" s="2">
        <v>5</v>
      </c>
      <c r="CK139" s="2">
        <v>6</v>
      </c>
      <c r="CL139" s="2">
        <v>7</v>
      </c>
      <c r="CM139" s="2">
        <v>8</v>
      </c>
      <c r="CN139" s="2">
        <v>9</v>
      </c>
      <c r="CO139" s="2">
        <v>10</v>
      </c>
      <c r="CP139" s="2" t="e">
        <f t="shared" ca="1" si="23"/>
        <v>#NAME?</v>
      </c>
      <c r="CQ139" s="2">
        <v>10</v>
      </c>
      <c r="CR139" s="2">
        <v>10</v>
      </c>
      <c r="CS139" s="2">
        <v>10</v>
      </c>
      <c r="CT139" s="2">
        <v>10</v>
      </c>
      <c r="CU139" s="2">
        <v>10</v>
      </c>
      <c r="CV139" s="54">
        <f t="shared" si="8"/>
        <v>10</v>
      </c>
      <c r="CW139" s="55">
        <v>7</v>
      </c>
      <c r="CX139" s="3"/>
    </row>
    <row r="140" spans="1:102" ht="16.5" x14ac:dyDescent="0.55000000000000004">
      <c r="A140" s="17">
        <v>3</v>
      </c>
      <c r="B140" s="17" t="s">
        <v>4</v>
      </c>
      <c r="C140" s="23" t="s">
        <v>320</v>
      </c>
      <c r="D140" s="24" t="s">
        <v>321</v>
      </c>
      <c r="E140" s="48">
        <v>8</v>
      </c>
      <c r="F140" s="2">
        <v>7</v>
      </c>
      <c r="G140" s="2">
        <v>9</v>
      </c>
      <c r="H140" s="2">
        <v>9</v>
      </c>
      <c r="I140" s="2">
        <v>9</v>
      </c>
      <c r="J140" s="2">
        <v>9</v>
      </c>
      <c r="K140" s="2">
        <v>9</v>
      </c>
      <c r="L140" s="2">
        <v>9</v>
      </c>
      <c r="M140" s="2">
        <v>9</v>
      </c>
      <c r="N140" s="2">
        <v>9</v>
      </c>
      <c r="O140" s="2">
        <v>9</v>
      </c>
      <c r="P140" s="2">
        <v>9</v>
      </c>
      <c r="Q140" s="2" t="e">
        <f t="shared" ca="1" si="19"/>
        <v>#NAME?</v>
      </c>
      <c r="R140" s="2">
        <v>9</v>
      </c>
      <c r="S140" s="2">
        <v>9</v>
      </c>
      <c r="T140" s="2">
        <v>9</v>
      </c>
      <c r="U140" s="2">
        <v>9</v>
      </c>
      <c r="V140" s="2">
        <v>9</v>
      </c>
      <c r="W140" s="54">
        <f t="shared" si="1"/>
        <v>9</v>
      </c>
      <c r="X140" s="48"/>
      <c r="Y140" s="2"/>
      <c r="Z140" s="69">
        <v>8</v>
      </c>
      <c r="AA140" s="8">
        <v>10</v>
      </c>
      <c r="AB140" s="8">
        <v>10</v>
      </c>
      <c r="AC140" s="8">
        <v>10</v>
      </c>
      <c r="AD140" s="8">
        <v>10</v>
      </c>
      <c r="AE140" s="8">
        <v>10</v>
      </c>
      <c r="AF140" s="8">
        <v>10</v>
      </c>
      <c r="AG140" s="8">
        <v>10</v>
      </c>
      <c r="AH140" s="8">
        <v>10</v>
      </c>
      <c r="AI140" s="8">
        <v>10</v>
      </c>
      <c r="AJ140" s="8">
        <v>10</v>
      </c>
      <c r="AK140" s="17"/>
      <c r="AL140" s="17"/>
      <c r="AM140" s="17"/>
      <c r="AN140" s="17"/>
      <c r="AO140" s="17"/>
      <c r="AP140" s="17"/>
      <c r="AQ140" s="2" t="e">
        <f t="shared" ca="1" si="20"/>
        <v>#NAME?</v>
      </c>
      <c r="AR140" s="8">
        <v>10</v>
      </c>
      <c r="AS140" s="8">
        <v>10</v>
      </c>
      <c r="AT140" s="8">
        <v>10</v>
      </c>
      <c r="AU140" s="8">
        <v>10</v>
      </c>
      <c r="AV140" s="8">
        <v>10</v>
      </c>
      <c r="AW140" s="54">
        <f t="shared" si="3"/>
        <v>10</v>
      </c>
      <c r="AX140" s="48"/>
      <c r="AY140" s="2"/>
      <c r="AZ140" s="2">
        <v>9</v>
      </c>
      <c r="BA140" s="2">
        <v>9</v>
      </c>
      <c r="BB140" s="2">
        <v>9</v>
      </c>
      <c r="BC140" s="2">
        <v>9</v>
      </c>
      <c r="BD140" s="2">
        <v>9</v>
      </c>
      <c r="BE140" s="2">
        <v>9</v>
      </c>
      <c r="BF140" s="2">
        <v>9</v>
      </c>
      <c r="BG140" s="2">
        <v>9</v>
      </c>
      <c r="BH140" s="2">
        <v>9</v>
      </c>
      <c r="BI140" s="2">
        <v>9</v>
      </c>
      <c r="BJ140" s="2" t="e">
        <f t="shared" ca="1" si="21"/>
        <v>#NAME?</v>
      </c>
      <c r="BK140" s="5">
        <v>10</v>
      </c>
      <c r="BL140" s="2">
        <v>9</v>
      </c>
      <c r="BM140" s="2">
        <v>9</v>
      </c>
      <c r="BN140" s="5">
        <v>8</v>
      </c>
      <c r="BO140" s="5">
        <v>8</v>
      </c>
      <c r="BP140" s="54">
        <f t="shared" si="5"/>
        <v>9</v>
      </c>
      <c r="BQ140" s="5"/>
      <c r="BR140" s="5"/>
      <c r="BS140" s="5">
        <v>10</v>
      </c>
      <c r="BT140" s="5">
        <v>10</v>
      </c>
      <c r="BU140" s="5">
        <v>5</v>
      </c>
      <c r="BV140" s="5">
        <v>5</v>
      </c>
      <c r="BW140" s="5">
        <v>5</v>
      </c>
      <c r="BX140" s="5">
        <v>5</v>
      </c>
      <c r="BY140" s="5">
        <v>5</v>
      </c>
      <c r="BZ140" s="5">
        <v>5</v>
      </c>
      <c r="CA140" s="5">
        <v>5</v>
      </c>
      <c r="CB140" s="5">
        <v>5</v>
      </c>
      <c r="CC140" s="2" t="e">
        <f t="shared" ca="1" si="22"/>
        <v>#NAME?</v>
      </c>
      <c r="CD140" s="55">
        <v>5</v>
      </c>
      <c r="CE140" s="2"/>
      <c r="CF140" s="2">
        <v>4</v>
      </c>
      <c r="CG140" s="2">
        <v>4</v>
      </c>
      <c r="CH140" s="2">
        <v>4</v>
      </c>
      <c r="CI140" s="2">
        <v>4</v>
      </c>
      <c r="CJ140" s="2">
        <v>4</v>
      </c>
      <c r="CK140" s="2">
        <v>4</v>
      </c>
      <c r="CL140" s="2">
        <v>4</v>
      </c>
      <c r="CM140" s="2">
        <v>4</v>
      </c>
      <c r="CN140" s="2">
        <v>4</v>
      </c>
      <c r="CO140" s="2">
        <v>4</v>
      </c>
      <c r="CP140" s="2" t="e">
        <f t="shared" ca="1" si="23"/>
        <v>#NAME?</v>
      </c>
      <c r="CQ140" s="2">
        <v>4</v>
      </c>
      <c r="CR140" s="2">
        <v>4</v>
      </c>
      <c r="CS140" s="2">
        <v>4</v>
      </c>
      <c r="CT140" s="2">
        <v>4</v>
      </c>
      <c r="CU140" s="2">
        <v>4</v>
      </c>
      <c r="CV140" s="54">
        <f t="shared" si="8"/>
        <v>4</v>
      </c>
      <c r="CW140" s="55">
        <v>8</v>
      </c>
      <c r="CX140" s="3"/>
    </row>
    <row r="141" spans="1:102" ht="16.5" x14ac:dyDescent="0.55000000000000004">
      <c r="A141" s="17">
        <v>3</v>
      </c>
      <c r="B141" s="17" t="s">
        <v>4</v>
      </c>
      <c r="C141" s="23" t="s">
        <v>322</v>
      </c>
      <c r="D141" s="24" t="s">
        <v>323</v>
      </c>
      <c r="E141" s="48">
        <v>10</v>
      </c>
      <c r="F141" s="2">
        <v>9</v>
      </c>
      <c r="G141" s="2">
        <v>10</v>
      </c>
      <c r="H141" s="2">
        <v>10</v>
      </c>
      <c r="I141" s="2">
        <v>10</v>
      </c>
      <c r="J141" s="2">
        <v>10</v>
      </c>
      <c r="K141" s="2">
        <v>10</v>
      </c>
      <c r="L141" s="2">
        <v>10</v>
      </c>
      <c r="M141" s="2">
        <v>10</v>
      </c>
      <c r="N141" s="2">
        <v>10</v>
      </c>
      <c r="O141" s="2">
        <v>10</v>
      </c>
      <c r="P141" s="2">
        <v>10</v>
      </c>
      <c r="Q141" s="2" t="e">
        <f t="shared" ca="1" si="19"/>
        <v>#NAME?</v>
      </c>
      <c r="R141" s="2">
        <v>10</v>
      </c>
      <c r="S141" s="2">
        <v>10</v>
      </c>
      <c r="T141" s="2">
        <v>10</v>
      </c>
      <c r="U141" s="2">
        <v>10</v>
      </c>
      <c r="V141" s="2">
        <v>10</v>
      </c>
      <c r="W141" s="54">
        <f t="shared" si="1"/>
        <v>10</v>
      </c>
      <c r="X141" s="48"/>
      <c r="Y141" s="2"/>
      <c r="Z141" s="69">
        <v>3</v>
      </c>
      <c r="AA141" s="8">
        <v>10</v>
      </c>
      <c r="AB141" s="8">
        <v>10</v>
      </c>
      <c r="AC141" s="8">
        <v>10</v>
      </c>
      <c r="AD141" s="8">
        <v>10</v>
      </c>
      <c r="AE141" s="8">
        <v>10</v>
      </c>
      <c r="AF141" s="8">
        <v>10</v>
      </c>
      <c r="AG141" s="8">
        <v>10</v>
      </c>
      <c r="AH141" s="8">
        <v>10</v>
      </c>
      <c r="AI141" s="8">
        <v>10</v>
      </c>
      <c r="AJ141" s="8">
        <v>10</v>
      </c>
      <c r="AK141" s="17"/>
      <c r="AL141" s="17"/>
      <c r="AM141" s="17"/>
      <c r="AN141" s="17"/>
      <c r="AO141" s="17"/>
      <c r="AP141" s="17"/>
      <c r="AQ141" s="2" t="e">
        <f t="shared" ca="1" si="20"/>
        <v>#NAME?</v>
      </c>
      <c r="AR141" s="8">
        <v>10</v>
      </c>
      <c r="AS141" s="8">
        <v>10</v>
      </c>
      <c r="AT141" s="8">
        <v>10</v>
      </c>
      <c r="AU141" s="8">
        <v>10</v>
      </c>
      <c r="AV141" s="8">
        <v>10</v>
      </c>
      <c r="AW141" s="54">
        <f t="shared" si="3"/>
        <v>10</v>
      </c>
      <c r="AX141" s="48"/>
      <c r="AY141" s="2"/>
      <c r="AZ141" s="2">
        <v>10</v>
      </c>
      <c r="BA141" s="2">
        <v>10</v>
      </c>
      <c r="BB141" s="2">
        <v>10</v>
      </c>
      <c r="BC141" s="2">
        <v>10</v>
      </c>
      <c r="BD141" s="2">
        <v>10</v>
      </c>
      <c r="BE141" s="2">
        <v>10</v>
      </c>
      <c r="BF141" s="2">
        <v>10</v>
      </c>
      <c r="BG141" s="2">
        <v>10</v>
      </c>
      <c r="BH141" s="2">
        <v>10</v>
      </c>
      <c r="BI141" s="2">
        <v>10</v>
      </c>
      <c r="BJ141" s="2" t="e">
        <f t="shared" ca="1" si="21"/>
        <v>#NAME?</v>
      </c>
      <c r="BK141" s="2">
        <v>10</v>
      </c>
      <c r="BL141" s="2">
        <v>10</v>
      </c>
      <c r="BM141" s="2">
        <v>10</v>
      </c>
      <c r="BN141" s="2">
        <v>10</v>
      </c>
      <c r="BO141" s="2">
        <v>10</v>
      </c>
      <c r="BP141" s="54">
        <f t="shared" si="5"/>
        <v>10</v>
      </c>
      <c r="BQ141" s="5"/>
      <c r="BR141" s="5"/>
      <c r="BS141" s="5">
        <v>10</v>
      </c>
      <c r="BT141" s="5">
        <v>10</v>
      </c>
      <c r="BU141" s="5">
        <v>10</v>
      </c>
      <c r="BV141" s="5">
        <v>10</v>
      </c>
      <c r="BW141" s="5">
        <v>10</v>
      </c>
      <c r="BX141" s="5">
        <v>7</v>
      </c>
      <c r="BY141" s="5">
        <v>7</v>
      </c>
      <c r="BZ141" s="5">
        <v>9</v>
      </c>
      <c r="CA141" s="5">
        <v>9</v>
      </c>
      <c r="CB141" s="5">
        <v>9</v>
      </c>
      <c r="CC141" s="2" t="e">
        <f t="shared" ca="1" si="22"/>
        <v>#NAME?</v>
      </c>
      <c r="CD141" s="55" t="s">
        <v>31</v>
      </c>
      <c r="CE141" s="2"/>
      <c r="CF141" s="2">
        <v>8</v>
      </c>
      <c r="CG141" s="2">
        <v>8</v>
      </c>
      <c r="CH141" s="2">
        <v>9</v>
      </c>
      <c r="CI141" s="2">
        <v>9</v>
      </c>
      <c r="CJ141" s="2">
        <v>6</v>
      </c>
      <c r="CK141" s="2">
        <v>7</v>
      </c>
      <c r="CL141" s="2">
        <v>8</v>
      </c>
      <c r="CM141" s="2">
        <v>8</v>
      </c>
      <c r="CN141" s="2">
        <v>8</v>
      </c>
      <c r="CO141" s="2">
        <v>9</v>
      </c>
      <c r="CP141" s="2" t="e">
        <f t="shared" ca="1" si="23"/>
        <v>#NAME?</v>
      </c>
      <c r="CQ141" s="2">
        <v>9</v>
      </c>
      <c r="CR141" s="2">
        <v>9</v>
      </c>
      <c r="CS141" s="2">
        <v>10</v>
      </c>
      <c r="CT141" s="2">
        <v>10</v>
      </c>
      <c r="CU141" s="2">
        <v>10</v>
      </c>
      <c r="CV141" s="54">
        <f t="shared" si="8"/>
        <v>10</v>
      </c>
      <c r="CW141" s="55">
        <v>7</v>
      </c>
      <c r="CX141" s="3"/>
    </row>
    <row r="142" spans="1:102" ht="16.5" x14ac:dyDescent="0.55000000000000004">
      <c r="A142" s="17">
        <v>3</v>
      </c>
      <c r="B142" s="17" t="s">
        <v>4</v>
      </c>
      <c r="C142" s="23" t="s">
        <v>324</v>
      </c>
      <c r="D142" s="24" t="s">
        <v>325</v>
      </c>
      <c r="E142" s="48">
        <v>7</v>
      </c>
      <c r="F142" s="2">
        <v>6</v>
      </c>
      <c r="G142" s="2">
        <v>9</v>
      </c>
      <c r="H142" s="2">
        <v>9</v>
      </c>
      <c r="I142" s="2">
        <v>9</v>
      </c>
      <c r="J142" s="2">
        <v>9</v>
      </c>
      <c r="K142" s="2">
        <v>9</v>
      </c>
      <c r="L142" s="2">
        <v>9</v>
      </c>
      <c r="M142" s="2">
        <v>9</v>
      </c>
      <c r="N142" s="2">
        <v>9</v>
      </c>
      <c r="O142" s="2">
        <v>9</v>
      </c>
      <c r="P142" s="2">
        <v>9</v>
      </c>
      <c r="Q142" s="2" t="e">
        <f t="shared" ca="1" si="19"/>
        <v>#NAME?</v>
      </c>
      <c r="R142" s="2">
        <v>9</v>
      </c>
      <c r="S142" s="2">
        <v>9</v>
      </c>
      <c r="T142" s="2">
        <v>9</v>
      </c>
      <c r="U142" s="2">
        <v>9</v>
      </c>
      <c r="V142" s="2">
        <v>9</v>
      </c>
      <c r="W142" s="54">
        <f t="shared" si="1"/>
        <v>9</v>
      </c>
      <c r="X142" s="48"/>
      <c r="Y142" s="2"/>
      <c r="Z142" s="69">
        <v>8</v>
      </c>
      <c r="AA142" s="8">
        <v>10</v>
      </c>
      <c r="AB142" s="8">
        <v>10</v>
      </c>
      <c r="AC142" s="8">
        <v>10</v>
      </c>
      <c r="AD142" s="8">
        <v>10</v>
      </c>
      <c r="AE142" s="8">
        <v>10</v>
      </c>
      <c r="AF142" s="8">
        <v>10</v>
      </c>
      <c r="AG142" s="8">
        <v>10</v>
      </c>
      <c r="AH142" s="8">
        <v>10</v>
      </c>
      <c r="AI142" s="8">
        <v>10</v>
      </c>
      <c r="AJ142" s="8">
        <v>10</v>
      </c>
      <c r="AK142" s="17"/>
      <c r="AL142" s="17"/>
      <c r="AM142" s="17"/>
      <c r="AN142" s="17"/>
      <c r="AO142" s="17"/>
      <c r="AP142" s="17"/>
      <c r="AQ142" s="2" t="e">
        <f t="shared" ca="1" si="20"/>
        <v>#NAME?</v>
      </c>
      <c r="AR142" s="8">
        <v>10</v>
      </c>
      <c r="AS142" s="8">
        <v>10</v>
      </c>
      <c r="AT142" s="8">
        <v>10</v>
      </c>
      <c r="AU142" s="8">
        <v>10</v>
      </c>
      <c r="AV142" s="8">
        <v>10</v>
      </c>
      <c r="AW142" s="54">
        <f t="shared" si="3"/>
        <v>10</v>
      </c>
      <c r="AX142" s="48"/>
      <c r="AY142" s="2"/>
      <c r="AZ142" s="2">
        <v>10</v>
      </c>
      <c r="BA142" s="2">
        <v>9</v>
      </c>
      <c r="BB142" s="2">
        <v>9</v>
      </c>
      <c r="BC142" s="2">
        <v>9</v>
      </c>
      <c r="BD142" s="2">
        <v>9</v>
      </c>
      <c r="BE142" s="2">
        <v>9</v>
      </c>
      <c r="BF142" s="2">
        <v>9</v>
      </c>
      <c r="BG142" s="2">
        <v>9</v>
      </c>
      <c r="BH142" s="2">
        <v>9</v>
      </c>
      <c r="BI142" s="2">
        <v>9</v>
      </c>
      <c r="BJ142" s="2" t="e">
        <f t="shared" ca="1" si="21"/>
        <v>#NAME?</v>
      </c>
      <c r="BK142" s="2">
        <v>9</v>
      </c>
      <c r="BL142" s="2">
        <v>9</v>
      </c>
      <c r="BM142" s="2">
        <v>9</v>
      </c>
      <c r="BN142" s="2">
        <v>9</v>
      </c>
      <c r="BO142" s="2">
        <v>9</v>
      </c>
      <c r="BP142" s="54">
        <f t="shared" si="5"/>
        <v>9</v>
      </c>
      <c r="BQ142" s="5"/>
      <c r="BR142" s="5"/>
      <c r="BS142" s="5">
        <v>10</v>
      </c>
      <c r="BT142" s="5">
        <v>10</v>
      </c>
      <c r="BU142" s="5">
        <v>10</v>
      </c>
      <c r="BV142" s="5">
        <v>5</v>
      </c>
      <c r="BW142" s="5">
        <v>5</v>
      </c>
      <c r="BX142" s="5">
        <v>5</v>
      </c>
      <c r="BY142" s="5">
        <v>5</v>
      </c>
      <c r="BZ142" s="5">
        <v>5</v>
      </c>
      <c r="CA142" s="5">
        <v>5</v>
      </c>
      <c r="CB142" s="5">
        <v>5</v>
      </c>
      <c r="CC142" s="2" t="e">
        <f t="shared" ca="1" si="22"/>
        <v>#NAME?</v>
      </c>
      <c r="CD142" s="55">
        <v>2</v>
      </c>
      <c r="CE142" s="2"/>
      <c r="CF142" s="2">
        <v>2</v>
      </c>
      <c r="CG142" s="2">
        <v>2</v>
      </c>
      <c r="CH142" s="2">
        <v>2</v>
      </c>
      <c r="CI142" s="2">
        <v>2</v>
      </c>
      <c r="CJ142" s="2">
        <v>2</v>
      </c>
      <c r="CK142" s="2">
        <v>2</v>
      </c>
      <c r="CL142" s="2">
        <v>2</v>
      </c>
      <c r="CM142" s="2">
        <v>2</v>
      </c>
      <c r="CN142" s="2">
        <v>2</v>
      </c>
      <c r="CO142" s="2">
        <v>2</v>
      </c>
      <c r="CP142" s="2" t="e">
        <f t="shared" ca="1" si="23"/>
        <v>#NAME?</v>
      </c>
      <c r="CQ142" s="2">
        <v>2</v>
      </c>
      <c r="CR142" s="2">
        <v>2</v>
      </c>
      <c r="CS142" s="2">
        <v>2</v>
      </c>
      <c r="CT142" s="2">
        <v>2</v>
      </c>
      <c r="CU142" s="2">
        <v>2</v>
      </c>
      <c r="CV142" s="54">
        <f t="shared" si="8"/>
        <v>2</v>
      </c>
      <c r="CW142" s="55">
        <v>4</v>
      </c>
      <c r="CX142" s="3"/>
    </row>
    <row r="143" spans="1:102" ht="16.5" x14ac:dyDescent="0.55000000000000004">
      <c r="A143" s="17">
        <v>4</v>
      </c>
      <c r="B143" s="17" t="s">
        <v>4</v>
      </c>
      <c r="C143" s="23" t="s">
        <v>326</v>
      </c>
      <c r="D143" s="24" t="s">
        <v>327</v>
      </c>
      <c r="E143" s="48">
        <v>10</v>
      </c>
      <c r="F143" s="2">
        <v>8</v>
      </c>
      <c r="G143" s="49">
        <v>10</v>
      </c>
      <c r="H143" s="49">
        <v>9</v>
      </c>
      <c r="I143" s="49">
        <v>10</v>
      </c>
      <c r="J143" s="49">
        <v>10</v>
      </c>
      <c r="K143" s="49">
        <v>10</v>
      </c>
      <c r="L143" s="49">
        <v>10</v>
      </c>
      <c r="M143" s="49">
        <v>9</v>
      </c>
      <c r="N143" s="49">
        <v>10</v>
      </c>
      <c r="O143" s="49">
        <v>10</v>
      </c>
      <c r="P143" s="49">
        <v>10</v>
      </c>
      <c r="Q143" s="2" t="e">
        <f t="shared" ca="1" si="19"/>
        <v>#NAME?</v>
      </c>
      <c r="R143" s="49">
        <v>10</v>
      </c>
      <c r="S143" s="49">
        <v>10</v>
      </c>
      <c r="T143" s="49">
        <v>10</v>
      </c>
      <c r="U143" s="49">
        <v>10</v>
      </c>
      <c r="V143" s="49">
        <v>10</v>
      </c>
      <c r="W143" s="54">
        <f t="shared" si="1"/>
        <v>10</v>
      </c>
      <c r="X143" s="48"/>
      <c r="Y143" s="2"/>
      <c r="Z143" s="69">
        <v>19</v>
      </c>
      <c r="AA143" s="8">
        <v>10</v>
      </c>
      <c r="AB143" s="8">
        <v>10</v>
      </c>
      <c r="AC143" s="8">
        <v>10</v>
      </c>
      <c r="AD143" s="8">
        <v>10</v>
      </c>
      <c r="AE143" s="8">
        <v>10</v>
      </c>
      <c r="AF143" s="8">
        <v>10</v>
      </c>
      <c r="AG143" s="8">
        <v>10</v>
      </c>
      <c r="AH143" s="8">
        <v>10</v>
      </c>
      <c r="AI143" s="8">
        <v>10</v>
      </c>
      <c r="AJ143" s="8">
        <v>10</v>
      </c>
      <c r="AK143" s="17"/>
      <c r="AL143" s="17"/>
      <c r="AM143" s="17"/>
      <c r="AN143" s="17"/>
      <c r="AO143" s="17"/>
      <c r="AP143" s="17"/>
      <c r="AQ143" s="2" t="e">
        <f t="shared" ca="1" si="20"/>
        <v>#NAME?</v>
      </c>
      <c r="AR143" s="8">
        <v>10</v>
      </c>
      <c r="AS143" s="8">
        <v>10</v>
      </c>
      <c r="AT143" s="8">
        <v>10</v>
      </c>
      <c r="AU143" s="8">
        <v>10</v>
      </c>
      <c r="AV143" s="8">
        <v>10</v>
      </c>
      <c r="AW143" s="54">
        <f t="shared" si="3"/>
        <v>10</v>
      </c>
      <c r="AX143" s="48"/>
      <c r="AY143" s="2"/>
      <c r="AZ143" s="2">
        <v>10</v>
      </c>
      <c r="BA143" s="2">
        <v>10</v>
      </c>
      <c r="BB143" s="2">
        <v>10</v>
      </c>
      <c r="BC143" s="2">
        <v>10</v>
      </c>
      <c r="BD143" s="2">
        <v>10</v>
      </c>
      <c r="BE143" s="2">
        <v>10</v>
      </c>
      <c r="BF143" s="2">
        <v>10</v>
      </c>
      <c r="BG143" s="2">
        <v>10</v>
      </c>
      <c r="BH143" s="2">
        <v>10</v>
      </c>
      <c r="BI143" s="2">
        <v>10</v>
      </c>
      <c r="BJ143" s="2" t="e">
        <f t="shared" ca="1" si="21"/>
        <v>#NAME?</v>
      </c>
      <c r="BK143" s="2">
        <v>10</v>
      </c>
      <c r="BL143" s="2">
        <v>10</v>
      </c>
      <c r="BM143" s="2">
        <v>10</v>
      </c>
      <c r="BN143" s="2">
        <v>10</v>
      </c>
      <c r="BO143" s="2">
        <v>10</v>
      </c>
      <c r="BP143" s="54">
        <f t="shared" si="5"/>
        <v>10</v>
      </c>
      <c r="BQ143" s="5"/>
      <c r="BR143" s="5"/>
      <c r="BS143" s="82">
        <v>10</v>
      </c>
      <c r="BT143" s="83">
        <v>10</v>
      </c>
      <c r="BU143" s="83">
        <v>10</v>
      </c>
      <c r="BV143" s="83">
        <v>9</v>
      </c>
      <c r="BW143" s="83">
        <v>9</v>
      </c>
      <c r="BX143" s="83">
        <v>10</v>
      </c>
      <c r="BY143" s="83">
        <v>10</v>
      </c>
      <c r="BZ143" s="83">
        <v>10</v>
      </c>
      <c r="CA143" s="84">
        <v>10</v>
      </c>
      <c r="CB143" s="84">
        <v>10</v>
      </c>
      <c r="CC143" s="2" t="e">
        <f t="shared" ca="1" si="22"/>
        <v>#NAME?</v>
      </c>
      <c r="CD143" s="55">
        <v>5</v>
      </c>
      <c r="CE143" s="2"/>
      <c r="CF143" s="2">
        <v>9</v>
      </c>
      <c r="CG143" s="2">
        <v>9</v>
      </c>
      <c r="CH143" s="2">
        <v>10</v>
      </c>
      <c r="CI143" s="2">
        <v>8</v>
      </c>
      <c r="CJ143" s="2">
        <v>6</v>
      </c>
      <c r="CK143" s="2">
        <v>9</v>
      </c>
      <c r="CL143" s="2">
        <v>8</v>
      </c>
      <c r="CM143" s="2">
        <v>9</v>
      </c>
      <c r="CN143" s="2">
        <v>10</v>
      </c>
      <c r="CO143" s="2">
        <v>10</v>
      </c>
      <c r="CP143" s="2" t="e">
        <f t="shared" ca="1" si="23"/>
        <v>#NAME?</v>
      </c>
      <c r="CQ143" s="2">
        <v>10</v>
      </c>
      <c r="CR143" s="2">
        <v>8</v>
      </c>
      <c r="CS143" s="2">
        <v>9</v>
      </c>
      <c r="CT143" s="2">
        <v>10</v>
      </c>
      <c r="CU143" s="2">
        <v>10</v>
      </c>
      <c r="CV143" s="54">
        <f t="shared" si="8"/>
        <v>10</v>
      </c>
      <c r="CW143" s="55">
        <v>17</v>
      </c>
      <c r="CX143" s="3"/>
    </row>
    <row r="144" spans="1:102" ht="16.5" x14ac:dyDescent="0.55000000000000004">
      <c r="A144" s="17">
        <v>4</v>
      </c>
      <c r="B144" s="17" t="s">
        <v>4</v>
      </c>
      <c r="C144" s="23" t="s">
        <v>328</v>
      </c>
      <c r="D144" s="24" t="s">
        <v>329</v>
      </c>
      <c r="E144" s="48">
        <v>10</v>
      </c>
      <c r="F144" s="2">
        <v>8</v>
      </c>
      <c r="G144" s="49">
        <v>10</v>
      </c>
      <c r="H144" s="49">
        <v>9</v>
      </c>
      <c r="I144" s="49">
        <v>9</v>
      </c>
      <c r="J144" s="49">
        <v>10</v>
      </c>
      <c r="K144" s="49">
        <v>10</v>
      </c>
      <c r="L144" s="49">
        <v>10</v>
      </c>
      <c r="M144" s="49">
        <v>9</v>
      </c>
      <c r="N144" s="49">
        <v>9</v>
      </c>
      <c r="O144" s="49">
        <v>10</v>
      </c>
      <c r="P144" s="49">
        <v>10</v>
      </c>
      <c r="Q144" s="2" t="e">
        <f t="shared" ca="1" si="19"/>
        <v>#NAME?</v>
      </c>
      <c r="R144" s="49">
        <v>10</v>
      </c>
      <c r="S144" s="49">
        <v>10</v>
      </c>
      <c r="T144" s="49">
        <v>10</v>
      </c>
      <c r="U144" s="49">
        <v>10</v>
      </c>
      <c r="V144" s="49">
        <v>10</v>
      </c>
      <c r="W144" s="54">
        <f t="shared" si="1"/>
        <v>10</v>
      </c>
      <c r="X144" s="48"/>
      <c r="Y144" s="2"/>
      <c r="Z144" s="69">
        <v>17</v>
      </c>
      <c r="AA144" s="8">
        <v>10</v>
      </c>
      <c r="AB144" s="8">
        <v>10</v>
      </c>
      <c r="AC144" s="8">
        <v>10</v>
      </c>
      <c r="AD144" s="8">
        <v>10</v>
      </c>
      <c r="AE144" s="8">
        <v>10</v>
      </c>
      <c r="AF144" s="8">
        <v>10</v>
      </c>
      <c r="AG144" s="8">
        <v>10</v>
      </c>
      <c r="AH144" s="8">
        <v>10</v>
      </c>
      <c r="AI144" s="8">
        <v>10</v>
      </c>
      <c r="AJ144" s="8">
        <v>10</v>
      </c>
      <c r="AK144" s="17"/>
      <c r="AL144" s="17"/>
      <c r="AM144" s="17"/>
      <c r="AN144" s="17"/>
      <c r="AO144" s="17"/>
      <c r="AP144" s="17"/>
      <c r="AQ144" s="2" t="e">
        <f t="shared" ca="1" si="20"/>
        <v>#NAME?</v>
      </c>
      <c r="AR144" s="8">
        <v>10</v>
      </c>
      <c r="AS144" s="8">
        <v>10</v>
      </c>
      <c r="AT144" s="8">
        <v>10</v>
      </c>
      <c r="AU144" s="8">
        <v>10</v>
      </c>
      <c r="AV144" s="8">
        <v>10</v>
      </c>
      <c r="AW144" s="54">
        <f t="shared" si="3"/>
        <v>10</v>
      </c>
      <c r="AX144" s="48"/>
      <c r="AY144" s="2"/>
      <c r="AZ144" s="2">
        <v>10</v>
      </c>
      <c r="BA144" s="2">
        <v>10</v>
      </c>
      <c r="BB144" s="2">
        <v>10</v>
      </c>
      <c r="BC144" s="2">
        <v>10</v>
      </c>
      <c r="BD144" s="2">
        <v>10</v>
      </c>
      <c r="BE144" s="2">
        <v>10</v>
      </c>
      <c r="BF144" s="2">
        <v>10</v>
      </c>
      <c r="BG144" s="2">
        <v>10</v>
      </c>
      <c r="BH144" s="2">
        <v>10</v>
      </c>
      <c r="BI144" s="2">
        <v>10</v>
      </c>
      <c r="BJ144" s="2" t="e">
        <f t="shared" ca="1" si="21"/>
        <v>#NAME?</v>
      </c>
      <c r="BK144" s="5">
        <v>10</v>
      </c>
      <c r="BL144" s="2">
        <v>10</v>
      </c>
      <c r="BM144" s="2">
        <v>10</v>
      </c>
      <c r="BN144" s="2">
        <v>10</v>
      </c>
      <c r="BO144" s="2">
        <v>10</v>
      </c>
      <c r="BP144" s="54">
        <f t="shared" si="5"/>
        <v>10</v>
      </c>
      <c r="BQ144" s="5"/>
      <c r="BR144" s="5"/>
      <c r="BS144" s="85">
        <v>10</v>
      </c>
      <c r="BT144" s="8">
        <v>10</v>
      </c>
      <c r="BU144" s="8">
        <v>10</v>
      </c>
      <c r="BV144" s="8">
        <v>10</v>
      </c>
      <c r="BW144" s="8">
        <v>10</v>
      </c>
      <c r="BX144" s="8">
        <v>10</v>
      </c>
      <c r="BY144" s="8">
        <v>10</v>
      </c>
      <c r="BZ144" s="8">
        <v>10</v>
      </c>
      <c r="CA144" s="86">
        <v>10</v>
      </c>
      <c r="CB144" s="86">
        <v>10</v>
      </c>
      <c r="CC144" s="2" t="e">
        <f t="shared" ca="1" si="22"/>
        <v>#NAME?</v>
      </c>
      <c r="CD144" s="55">
        <v>5</v>
      </c>
      <c r="CE144" s="2"/>
      <c r="CF144" s="2">
        <v>10</v>
      </c>
      <c r="CG144" s="2">
        <v>10</v>
      </c>
      <c r="CH144" s="2">
        <v>10</v>
      </c>
      <c r="CI144" s="2">
        <v>6</v>
      </c>
      <c r="CJ144" s="2">
        <v>6</v>
      </c>
      <c r="CK144" s="2">
        <v>7</v>
      </c>
      <c r="CL144" s="2">
        <v>7</v>
      </c>
      <c r="CM144" s="2">
        <v>10</v>
      </c>
      <c r="CN144" s="2">
        <v>7</v>
      </c>
      <c r="CO144" s="2">
        <v>9</v>
      </c>
      <c r="CP144" s="2" t="e">
        <f t="shared" ca="1" si="23"/>
        <v>#NAME?</v>
      </c>
      <c r="CQ144" s="2">
        <v>10</v>
      </c>
      <c r="CR144" s="2">
        <v>8</v>
      </c>
      <c r="CS144" s="2">
        <v>8</v>
      </c>
      <c r="CT144" s="2">
        <v>9</v>
      </c>
      <c r="CU144" s="2">
        <v>10</v>
      </c>
      <c r="CV144" s="54">
        <f t="shared" si="8"/>
        <v>9</v>
      </c>
      <c r="CW144" s="55">
        <v>10</v>
      </c>
      <c r="CX144" s="3"/>
    </row>
    <row r="145" spans="1:102" ht="16.5" x14ac:dyDescent="0.55000000000000004">
      <c r="A145" s="17">
        <v>4</v>
      </c>
      <c r="B145" s="17" t="s">
        <v>4</v>
      </c>
      <c r="C145" s="23" t="s">
        <v>330</v>
      </c>
      <c r="D145" s="24" t="s">
        <v>331</v>
      </c>
      <c r="E145" s="48">
        <v>10</v>
      </c>
      <c r="F145" s="2">
        <v>10</v>
      </c>
      <c r="G145" s="49">
        <v>10</v>
      </c>
      <c r="H145" s="49">
        <v>9</v>
      </c>
      <c r="I145" s="49">
        <v>9</v>
      </c>
      <c r="J145" s="49">
        <v>10</v>
      </c>
      <c r="K145" s="49">
        <v>10</v>
      </c>
      <c r="L145" s="49">
        <v>10</v>
      </c>
      <c r="M145" s="49">
        <v>9</v>
      </c>
      <c r="N145" s="49">
        <v>9</v>
      </c>
      <c r="O145" s="49">
        <v>10</v>
      </c>
      <c r="P145" s="49">
        <v>10</v>
      </c>
      <c r="Q145" s="2" t="e">
        <f t="shared" ca="1" si="19"/>
        <v>#NAME?</v>
      </c>
      <c r="R145" s="49">
        <v>10</v>
      </c>
      <c r="S145" s="49">
        <v>10</v>
      </c>
      <c r="T145" s="49">
        <v>9</v>
      </c>
      <c r="U145" s="49">
        <v>10</v>
      </c>
      <c r="V145" s="49">
        <v>10</v>
      </c>
      <c r="W145" s="54">
        <f t="shared" si="1"/>
        <v>10</v>
      </c>
      <c r="X145" s="48"/>
      <c r="Y145" s="2"/>
      <c r="Z145" s="69">
        <v>8</v>
      </c>
      <c r="AA145" s="8">
        <v>10</v>
      </c>
      <c r="AB145" s="8">
        <v>10</v>
      </c>
      <c r="AC145" s="8">
        <v>10</v>
      </c>
      <c r="AD145" s="8">
        <v>10</v>
      </c>
      <c r="AE145" s="8">
        <v>10</v>
      </c>
      <c r="AF145" s="8">
        <v>10</v>
      </c>
      <c r="AG145" s="8">
        <v>10</v>
      </c>
      <c r="AH145" s="8">
        <v>10</v>
      </c>
      <c r="AI145" s="8">
        <v>10</v>
      </c>
      <c r="AJ145" s="8">
        <v>10</v>
      </c>
      <c r="AK145" s="17"/>
      <c r="AL145" s="17"/>
      <c r="AM145" s="17"/>
      <c r="AN145" s="17"/>
      <c r="AO145" s="17"/>
      <c r="AP145" s="17"/>
      <c r="AQ145" s="2" t="e">
        <f t="shared" ca="1" si="20"/>
        <v>#NAME?</v>
      </c>
      <c r="AR145" s="8">
        <v>10</v>
      </c>
      <c r="AS145" s="8">
        <v>10</v>
      </c>
      <c r="AT145" s="8">
        <v>10</v>
      </c>
      <c r="AU145" s="8">
        <v>10</v>
      </c>
      <c r="AV145" s="8">
        <v>10</v>
      </c>
      <c r="AW145" s="54">
        <f t="shared" si="3"/>
        <v>10</v>
      </c>
      <c r="AX145" s="48"/>
      <c r="AY145" s="2"/>
      <c r="AZ145" s="2">
        <v>10</v>
      </c>
      <c r="BA145" s="2">
        <v>10</v>
      </c>
      <c r="BB145" s="2">
        <v>10</v>
      </c>
      <c r="BC145" s="2">
        <v>10</v>
      </c>
      <c r="BD145" s="2">
        <v>10</v>
      </c>
      <c r="BE145" s="2">
        <v>10</v>
      </c>
      <c r="BF145" s="2">
        <v>10</v>
      </c>
      <c r="BG145" s="2">
        <v>10</v>
      </c>
      <c r="BH145" s="2">
        <v>10</v>
      </c>
      <c r="BI145" s="2">
        <v>10</v>
      </c>
      <c r="BJ145" s="2" t="e">
        <f t="shared" ca="1" si="21"/>
        <v>#NAME?</v>
      </c>
      <c r="BK145" s="5">
        <v>10</v>
      </c>
      <c r="BL145" s="2">
        <v>10</v>
      </c>
      <c r="BM145" s="2">
        <v>10</v>
      </c>
      <c r="BN145" s="2">
        <v>10</v>
      </c>
      <c r="BO145" s="2">
        <v>10</v>
      </c>
      <c r="BP145" s="54">
        <f t="shared" si="5"/>
        <v>10</v>
      </c>
      <c r="BQ145" s="5"/>
      <c r="BR145" s="5"/>
      <c r="BS145" s="85">
        <v>10</v>
      </c>
      <c r="BT145" s="8">
        <v>10</v>
      </c>
      <c r="BU145" s="8">
        <v>10</v>
      </c>
      <c r="BV145" s="8">
        <v>10</v>
      </c>
      <c r="BW145" s="8">
        <v>10</v>
      </c>
      <c r="BX145" s="8">
        <v>10</v>
      </c>
      <c r="BY145" s="8">
        <v>10</v>
      </c>
      <c r="BZ145" s="8">
        <v>10</v>
      </c>
      <c r="CA145" s="86">
        <v>10</v>
      </c>
      <c r="CB145" s="86">
        <v>10</v>
      </c>
      <c r="CC145" s="2" t="e">
        <f t="shared" ca="1" si="22"/>
        <v>#NAME?</v>
      </c>
      <c r="CD145" s="55" t="s">
        <v>31</v>
      </c>
      <c r="CE145" s="2"/>
      <c r="CF145" s="2">
        <v>10</v>
      </c>
      <c r="CG145" s="2">
        <v>10</v>
      </c>
      <c r="CH145" s="2">
        <v>9</v>
      </c>
      <c r="CI145" s="2">
        <v>6</v>
      </c>
      <c r="CJ145" s="2">
        <v>6</v>
      </c>
      <c r="CK145" s="2">
        <v>7</v>
      </c>
      <c r="CL145" s="2">
        <v>7</v>
      </c>
      <c r="CM145" s="2">
        <v>10</v>
      </c>
      <c r="CN145" s="2">
        <v>7</v>
      </c>
      <c r="CO145" s="2">
        <v>9</v>
      </c>
      <c r="CP145" s="2" t="e">
        <f t="shared" ca="1" si="23"/>
        <v>#NAME?</v>
      </c>
      <c r="CQ145" s="2">
        <v>9</v>
      </c>
      <c r="CR145" s="2">
        <v>8</v>
      </c>
      <c r="CS145" s="2">
        <v>8</v>
      </c>
      <c r="CT145" s="2">
        <v>9</v>
      </c>
      <c r="CU145" s="2">
        <v>9</v>
      </c>
      <c r="CV145" s="54">
        <f t="shared" si="8"/>
        <v>9</v>
      </c>
      <c r="CW145" s="55">
        <v>2</v>
      </c>
      <c r="CX145" s="3"/>
    </row>
    <row r="146" spans="1:102" ht="16.5" x14ac:dyDescent="0.55000000000000004">
      <c r="A146" s="17">
        <v>4</v>
      </c>
      <c r="B146" s="17" t="s">
        <v>4</v>
      </c>
      <c r="C146" s="23" t="s">
        <v>332</v>
      </c>
      <c r="D146" s="20" t="s">
        <v>333</v>
      </c>
      <c r="E146" s="48">
        <v>9</v>
      </c>
      <c r="F146" s="2">
        <v>9</v>
      </c>
      <c r="G146" s="49">
        <v>10</v>
      </c>
      <c r="H146" s="49">
        <v>10</v>
      </c>
      <c r="I146" s="49">
        <v>10</v>
      </c>
      <c r="J146" s="49">
        <v>9</v>
      </c>
      <c r="K146" s="49">
        <v>10</v>
      </c>
      <c r="L146" s="49">
        <v>10</v>
      </c>
      <c r="M146" s="49">
        <v>10</v>
      </c>
      <c r="N146" s="49">
        <v>10</v>
      </c>
      <c r="O146" s="49">
        <v>9</v>
      </c>
      <c r="P146" s="49">
        <v>10</v>
      </c>
      <c r="Q146" s="2" t="e">
        <f t="shared" ca="1" si="19"/>
        <v>#NAME?</v>
      </c>
      <c r="R146" s="49">
        <v>10</v>
      </c>
      <c r="S146" s="49">
        <v>10</v>
      </c>
      <c r="T146" s="49">
        <v>10</v>
      </c>
      <c r="U146" s="49">
        <v>10</v>
      </c>
      <c r="V146" s="49">
        <v>10</v>
      </c>
      <c r="W146" s="54">
        <f t="shared" si="1"/>
        <v>10</v>
      </c>
      <c r="X146" s="48"/>
      <c r="Y146" s="2"/>
      <c r="Z146" s="69">
        <v>8</v>
      </c>
      <c r="AA146" s="8">
        <v>10</v>
      </c>
      <c r="AB146" s="8">
        <v>10</v>
      </c>
      <c r="AC146" s="8">
        <v>10</v>
      </c>
      <c r="AD146" s="8">
        <v>10</v>
      </c>
      <c r="AE146" s="8">
        <v>10</v>
      </c>
      <c r="AF146" s="8">
        <v>10</v>
      </c>
      <c r="AG146" s="8">
        <v>10</v>
      </c>
      <c r="AH146" s="8">
        <v>10</v>
      </c>
      <c r="AI146" s="8">
        <v>10</v>
      </c>
      <c r="AJ146" s="8">
        <v>10</v>
      </c>
      <c r="AK146" s="17"/>
      <c r="AL146" s="17"/>
      <c r="AM146" s="17"/>
      <c r="AN146" s="17"/>
      <c r="AO146" s="17"/>
      <c r="AP146" s="17"/>
      <c r="AQ146" s="2" t="e">
        <f t="shared" ca="1" si="20"/>
        <v>#NAME?</v>
      </c>
      <c r="AR146" s="8">
        <v>10</v>
      </c>
      <c r="AS146" s="8">
        <v>10</v>
      </c>
      <c r="AT146" s="8">
        <v>10</v>
      </c>
      <c r="AU146" s="8">
        <v>10</v>
      </c>
      <c r="AV146" s="8">
        <v>10</v>
      </c>
      <c r="AW146" s="54">
        <f t="shared" si="3"/>
        <v>10</v>
      </c>
      <c r="AX146" s="48"/>
      <c r="AY146" s="2"/>
      <c r="AZ146" s="2">
        <v>10</v>
      </c>
      <c r="BA146" s="2">
        <v>10</v>
      </c>
      <c r="BB146" s="2">
        <v>10</v>
      </c>
      <c r="BC146" s="2">
        <v>10</v>
      </c>
      <c r="BD146" s="2">
        <v>10</v>
      </c>
      <c r="BE146" s="2">
        <v>10</v>
      </c>
      <c r="BF146" s="2">
        <v>10</v>
      </c>
      <c r="BG146" s="2">
        <v>10</v>
      </c>
      <c r="BH146" s="2">
        <v>10</v>
      </c>
      <c r="BI146" s="2">
        <v>10</v>
      </c>
      <c r="BJ146" s="2" t="e">
        <f t="shared" ca="1" si="21"/>
        <v>#NAME?</v>
      </c>
      <c r="BK146" s="5">
        <v>10</v>
      </c>
      <c r="BL146" s="5">
        <v>10</v>
      </c>
      <c r="BM146" s="2">
        <v>10</v>
      </c>
      <c r="BN146" s="2">
        <v>10</v>
      </c>
      <c r="BO146" s="2">
        <v>10</v>
      </c>
      <c r="BP146" s="54">
        <f t="shared" si="5"/>
        <v>10</v>
      </c>
      <c r="BQ146" s="5"/>
      <c r="BR146" s="5"/>
      <c r="BS146" s="85">
        <v>9</v>
      </c>
      <c r="BT146" s="8">
        <v>9</v>
      </c>
      <c r="BU146" s="8">
        <v>10</v>
      </c>
      <c r="BV146" s="8">
        <v>10</v>
      </c>
      <c r="BW146" s="8">
        <v>10</v>
      </c>
      <c r="BX146" s="8">
        <v>10</v>
      </c>
      <c r="BY146" s="8">
        <v>10</v>
      </c>
      <c r="BZ146" s="8">
        <v>10</v>
      </c>
      <c r="CA146" s="86">
        <v>10</v>
      </c>
      <c r="CB146" s="86">
        <v>10</v>
      </c>
      <c r="CC146" s="2" t="e">
        <f t="shared" ca="1" si="22"/>
        <v>#NAME?</v>
      </c>
      <c r="CD146" s="55">
        <v>6</v>
      </c>
      <c r="CE146" s="2"/>
      <c r="CF146" s="2">
        <v>10</v>
      </c>
      <c r="CG146" s="2">
        <v>10</v>
      </c>
      <c r="CH146" s="2">
        <v>10</v>
      </c>
      <c r="CI146" s="2">
        <v>7</v>
      </c>
      <c r="CJ146" s="2">
        <v>8</v>
      </c>
      <c r="CK146" s="2">
        <v>8</v>
      </c>
      <c r="CL146" s="2">
        <v>9</v>
      </c>
      <c r="CM146" s="2">
        <v>7</v>
      </c>
      <c r="CN146" s="2">
        <v>3</v>
      </c>
      <c r="CO146" s="2">
        <v>3</v>
      </c>
      <c r="CP146" s="2" t="e">
        <f t="shared" ca="1" si="23"/>
        <v>#NAME?</v>
      </c>
      <c r="CQ146" s="2">
        <v>10</v>
      </c>
      <c r="CR146" s="2">
        <v>10</v>
      </c>
      <c r="CS146" s="2">
        <v>9</v>
      </c>
      <c r="CT146" s="2">
        <v>10</v>
      </c>
      <c r="CU146" s="2">
        <v>10</v>
      </c>
      <c r="CV146" s="54">
        <f t="shared" si="8"/>
        <v>10</v>
      </c>
      <c r="CW146" s="55">
        <v>5</v>
      </c>
      <c r="CX146" s="3"/>
    </row>
    <row r="147" spans="1:102" ht="16.5" x14ac:dyDescent="0.55000000000000004">
      <c r="A147" s="17">
        <v>4</v>
      </c>
      <c r="B147" s="17" t="s">
        <v>4</v>
      </c>
      <c r="C147" s="23" t="s">
        <v>334</v>
      </c>
      <c r="D147" s="24" t="s">
        <v>335</v>
      </c>
      <c r="E147" s="48">
        <v>10</v>
      </c>
      <c r="F147" s="2">
        <v>9</v>
      </c>
      <c r="G147" s="49">
        <v>10</v>
      </c>
      <c r="H147" s="49">
        <v>9.5</v>
      </c>
      <c r="I147" s="49">
        <v>10</v>
      </c>
      <c r="J147" s="49">
        <v>10</v>
      </c>
      <c r="K147" s="49">
        <v>10</v>
      </c>
      <c r="L147" s="49">
        <v>10</v>
      </c>
      <c r="M147" s="49">
        <v>9.5</v>
      </c>
      <c r="N147" s="49">
        <v>10</v>
      </c>
      <c r="O147" s="49">
        <v>10</v>
      </c>
      <c r="P147" s="49">
        <v>10</v>
      </c>
      <c r="Q147" s="2" t="e">
        <f t="shared" ca="1" si="19"/>
        <v>#NAME?</v>
      </c>
      <c r="R147" s="49">
        <v>10</v>
      </c>
      <c r="S147" s="49">
        <v>10</v>
      </c>
      <c r="T147" s="49">
        <v>10</v>
      </c>
      <c r="U147" s="49">
        <v>10</v>
      </c>
      <c r="V147" s="49">
        <v>10</v>
      </c>
      <c r="W147" s="54">
        <f t="shared" si="1"/>
        <v>10</v>
      </c>
      <c r="X147" s="48"/>
      <c r="Y147" s="2"/>
      <c r="Z147" s="69">
        <v>8</v>
      </c>
      <c r="AA147" s="8">
        <v>10</v>
      </c>
      <c r="AB147" s="8">
        <v>10</v>
      </c>
      <c r="AC147" s="8">
        <v>10</v>
      </c>
      <c r="AD147" s="8">
        <v>10</v>
      </c>
      <c r="AE147" s="8">
        <v>10</v>
      </c>
      <c r="AF147" s="8">
        <v>10</v>
      </c>
      <c r="AG147" s="8">
        <v>10</v>
      </c>
      <c r="AH147" s="8">
        <v>10</v>
      </c>
      <c r="AI147" s="8">
        <v>10</v>
      </c>
      <c r="AJ147" s="8">
        <v>10</v>
      </c>
      <c r="AK147" s="17"/>
      <c r="AL147" s="17"/>
      <c r="AM147" s="17"/>
      <c r="AN147" s="17"/>
      <c r="AO147" s="17"/>
      <c r="AP147" s="17"/>
      <c r="AQ147" s="2" t="e">
        <f t="shared" ca="1" si="20"/>
        <v>#NAME?</v>
      </c>
      <c r="AR147" s="8">
        <v>10</v>
      </c>
      <c r="AS147" s="8">
        <v>10</v>
      </c>
      <c r="AT147" s="8">
        <v>10</v>
      </c>
      <c r="AU147" s="8">
        <v>10</v>
      </c>
      <c r="AV147" s="8">
        <v>10</v>
      </c>
      <c r="AW147" s="54">
        <f t="shared" si="3"/>
        <v>10</v>
      </c>
      <c r="AX147" s="48"/>
      <c r="AY147" s="2"/>
      <c r="AZ147" s="2">
        <v>10</v>
      </c>
      <c r="BA147" s="2">
        <v>10</v>
      </c>
      <c r="BB147" s="2">
        <v>10</v>
      </c>
      <c r="BC147" s="2">
        <v>10</v>
      </c>
      <c r="BD147" s="2">
        <v>10</v>
      </c>
      <c r="BE147" s="2">
        <v>10</v>
      </c>
      <c r="BF147" s="2">
        <v>10</v>
      </c>
      <c r="BG147" s="2">
        <v>10</v>
      </c>
      <c r="BH147" s="2">
        <v>10</v>
      </c>
      <c r="BI147" s="2">
        <v>10</v>
      </c>
      <c r="BJ147" s="2" t="e">
        <f t="shared" ca="1" si="21"/>
        <v>#NAME?</v>
      </c>
      <c r="BK147" s="5">
        <v>10</v>
      </c>
      <c r="BL147" s="5">
        <v>10</v>
      </c>
      <c r="BM147" s="2">
        <v>10</v>
      </c>
      <c r="BN147" s="2">
        <v>10</v>
      </c>
      <c r="BO147" s="2">
        <v>10</v>
      </c>
      <c r="BP147" s="54">
        <f t="shared" si="5"/>
        <v>10</v>
      </c>
      <c r="BQ147" s="5"/>
      <c r="BR147" s="5"/>
      <c r="BS147" s="85">
        <v>10</v>
      </c>
      <c r="BT147" s="8">
        <v>10</v>
      </c>
      <c r="BU147" s="8">
        <v>10</v>
      </c>
      <c r="BV147" s="8">
        <v>10</v>
      </c>
      <c r="BW147" s="8">
        <v>10</v>
      </c>
      <c r="BX147" s="8">
        <v>10</v>
      </c>
      <c r="BY147" s="8">
        <v>10</v>
      </c>
      <c r="BZ147" s="8">
        <v>10</v>
      </c>
      <c r="CA147" s="86">
        <v>10</v>
      </c>
      <c r="CB147" s="86">
        <v>10</v>
      </c>
      <c r="CC147" s="2" t="e">
        <f t="shared" ca="1" si="22"/>
        <v>#NAME?</v>
      </c>
      <c r="CD147" s="55" t="s">
        <v>31</v>
      </c>
      <c r="CE147" s="2"/>
      <c r="CF147" s="2">
        <v>10</v>
      </c>
      <c r="CG147" s="2">
        <v>10</v>
      </c>
      <c r="CH147" s="2">
        <v>10</v>
      </c>
      <c r="CI147" s="2">
        <v>6</v>
      </c>
      <c r="CJ147" s="2">
        <v>7</v>
      </c>
      <c r="CK147" s="2">
        <v>8</v>
      </c>
      <c r="CL147" s="2">
        <v>9</v>
      </c>
      <c r="CM147" s="2">
        <v>10</v>
      </c>
      <c r="CN147" s="2">
        <v>10</v>
      </c>
      <c r="CO147" s="2">
        <v>10</v>
      </c>
      <c r="CP147" s="2" t="e">
        <f t="shared" ca="1" si="23"/>
        <v>#NAME?</v>
      </c>
      <c r="CQ147" s="2">
        <v>10</v>
      </c>
      <c r="CR147" s="2">
        <v>8</v>
      </c>
      <c r="CS147" s="2">
        <v>10</v>
      </c>
      <c r="CT147" s="2">
        <v>10</v>
      </c>
      <c r="CU147" s="2">
        <v>10</v>
      </c>
      <c r="CV147" s="54">
        <f t="shared" si="8"/>
        <v>10</v>
      </c>
      <c r="CW147" s="55">
        <v>6</v>
      </c>
      <c r="CX147" s="3"/>
    </row>
    <row r="148" spans="1:102" ht="16.5" x14ac:dyDescent="0.55000000000000004">
      <c r="A148" s="17">
        <v>4</v>
      </c>
      <c r="B148" s="17" t="s">
        <v>4</v>
      </c>
      <c r="C148" s="23" t="s">
        <v>336</v>
      </c>
      <c r="D148" s="24" t="s">
        <v>337</v>
      </c>
      <c r="E148" s="48">
        <v>10</v>
      </c>
      <c r="F148" s="2">
        <v>10</v>
      </c>
      <c r="G148" s="49">
        <v>10</v>
      </c>
      <c r="H148" s="49">
        <v>9.5</v>
      </c>
      <c r="I148" s="49">
        <v>10</v>
      </c>
      <c r="J148" s="49">
        <v>10</v>
      </c>
      <c r="K148" s="49">
        <v>10</v>
      </c>
      <c r="L148" s="49">
        <v>10</v>
      </c>
      <c r="M148" s="49">
        <v>9.5</v>
      </c>
      <c r="N148" s="49">
        <v>10</v>
      </c>
      <c r="O148" s="49">
        <v>10</v>
      </c>
      <c r="P148" s="49">
        <v>10</v>
      </c>
      <c r="Q148" s="2" t="e">
        <f t="shared" ca="1" si="19"/>
        <v>#NAME?</v>
      </c>
      <c r="R148" s="49">
        <v>9.5</v>
      </c>
      <c r="S148" s="49">
        <v>10</v>
      </c>
      <c r="T148" s="49">
        <v>10</v>
      </c>
      <c r="U148" s="49">
        <v>10</v>
      </c>
      <c r="V148" s="49">
        <v>10</v>
      </c>
      <c r="W148" s="54">
        <f t="shared" si="1"/>
        <v>10</v>
      </c>
      <c r="X148" s="48"/>
      <c r="Y148" s="2"/>
      <c r="Z148" s="69">
        <v>17</v>
      </c>
      <c r="AA148" s="8">
        <v>10</v>
      </c>
      <c r="AB148" s="8">
        <v>10</v>
      </c>
      <c r="AC148" s="8">
        <v>10</v>
      </c>
      <c r="AD148" s="8">
        <v>10</v>
      </c>
      <c r="AE148" s="8">
        <v>10</v>
      </c>
      <c r="AF148" s="8">
        <v>10</v>
      </c>
      <c r="AG148" s="8">
        <v>10</v>
      </c>
      <c r="AH148" s="8">
        <v>10</v>
      </c>
      <c r="AI148" s="8">
        <v>10</v>
      </c>
      <c r="AJ148" s="8">
        <v>10</v>
      </c>
      <c r="AK148" s="17"/>
      <c r="AL148" s="17"/>
      <c r="AM148" s="17"/>
      <c r="AN148" s="17"/>
      <c r="AO148" s="17"/>
      <c r="AP148" s="17"/>
      <c r="AQ148" s="2" t="e">
        <f t="shared" ca="1" si="20"/>
        <v>#NAME?</v>
      </c>
      <c r="AR148" s="8">
        <v>10</v>
      </c>
      <c r="AS148" s="8">
        <v>10</v>
      </c>
      <c r="AT148" s="8">
        <v>10</v>
      </c>
      <c r="AU148" s="8">
        <v>10</v>
      </c>
      <c r="AV148" s="8">
        <v>10</v>
      </c>
      <c r="AW148" s="54">
        <f t="shared" si="3"/>
        <v>10</v>
      </c>
      <c r="AX148" s="48"/>
      <c r="AY148" s="2"/>
      <c r="AZ148" s="2">
        <v>10</v>
      </c>
      <c r="BA148" s="2">
        <v>10</v>
      </c>
      <c r="BB148" s="2">
        <v>10</v>
      </c>
      <c r="BC148" s="2">
        <v>10</v>
      </c>
      <c r="BD148" s="2">
        <v>10</v>
      </c>
      <c r="BE148" s="2">
        <v>10</v>
      </c>
      <c r="BF148" s="2">
        <v>10</v>
      </c>
      <c r="BG148" s="2">
        <v>10</v>
      </c>
      <c r="BH148" s="2">
        <v>10</v>
      </c>
      <c r="BI148" s="2">
        <v>10</v>
      </c>
      <c r="BJ148" s="2" t="e">
        <f t="shared" ca="1" si="21"/>
        <v>#NAME?</v>
      </c>
      <c r="BK148" s="5">
        <v>10</v>
      </c>
      <c r="BL148" s="5">
        <v>10</v>
      </c>
      <c r="BM148" s="2">
        <v>10</v>
      </c>
      <c r="BN148" s="2">
        <v>10</v>
      </c>
      <c r="BO148" s="2">
        <v>10</v>
      </c>
      <c r="BP148" s="54">
        <f t="shared" si="5"/>
        <v>10</v>
      </c>
      <c r="BQ148" s="5"/>
      <c r="BR148" s="5"/>
      <c r="BS148" s="85">
        <v>10</v>
      </c>
      <c r="BT148" s="8">
        <v>10</v>
      </c>
      <c r="BU148" s="8">
        <v>10</v>
      </c>
      <c r="BV148" s="8">
        <v>10</v>
      </c>
      <c r="BW148" s="8">
        <v>10</v>
      </c>
      <c r="BX148" s="8">
        <v>10</v>
      </c>
      <c r="BY148" s="8">
        <v>10</v>
      </c>
      <c r="BZ148" s="8">
        <v>10</v>
      </c>
      <c r="CA148" s="86">
        <v>10</v>
      </c>
      <c r="CB148" s="86">
        <v>10</v>
      </c>
      <c r="CC148" s="2" t="e">
        <f t="shared" ca="1" si="22"/>
        <v>#NAME?</v>
      </c>
      <c r="CD148" s="55" t="s">
        <v>31</v>
      </c>
      <c r="CE148" s="2"/>
      <c r="CF148" s="2">
        <v>10</v>
      </c>
      <c r="CG148" s="2">
        <v>10</v>
      </c>
      <c r="CH148" s="2">
        <v>10</v>
      </c>
      <c r="CI148" s="2">
        <v>9</v>
      </c>
      <c r="CJ148" s="2">
        <v>7</v>
      </c>
      <c r="CK148" s="2">
        <v>8</v>
      </c>
      <c r="CL148" s="2">
        <v>9</v>
      </c>
      <c r="CM148" s="2">
        <v>9</v>
      </c>
      <c r="CN148" s="2">
        <v>10</v>
      </c>
      <c r="CO148" s="2">
        <v>10</v>
      </c>
      <c r="CP148" s="2" t="e">
        <f t="shared" ca="1" si="23"/>
        <v>#NAME?</v>
      </c>
      <c r="CQ148" s="2">
        <v>10</v>
      </c>
      <c r="CR148" s="2">
        <v>10</v>
      </c>
      <c r="CS148" s="2">
        <v>10</v>
      </c>
      <c r="CT148" s="2">
        <v>10</v>
      </c>
      <c r="CU148" s="2">
        <v>10</v>
      </c>
      <c r="CV148" s="54">
        <f t="shared" si="8"/>
        <v>10</v>
      </c>
      <c r="CW148" s="55">
        <v>15</v>
      </c>
      <c r="CX148" s="3"/>
    </row>
    <row r="149" spans="1:102" ht="16.5" x14ac:dyDescent="0.55000000000000004">
      <c r="A149" s="17">
        <v>4</v>
      </c>
      <c r="B149" s="17" t="s">
        <v>4</v>
      </c>
      <c r="C149" s="23" t="s">
        <v>338</v>
      </c>
      <c r="D149" s="24" t="s">
        <v>339</v>
      </c>
      <c r="E149" s="48">
        <v>8</v>
      </c>
      <c r="F149" s="2">
        <v>9</v>
      </c>
      <c r="G149" s="49">
        <v>10</v>
      </c>
      <c r="H149" s="49">
        <v>9.5</v>
      </c>
      <c r="I149" s="49">
        <v>10</v>
      </c>
      <c r="J149" s="49">
        <v>10</v>
      </c>
      <c r="K149" s="49">
        <v>10</v>
      </c>
      <c r="L149" s="49">
        <v>10</v>
      </c>
      <c r="M149" s="49">
        <v>9.5</v>
      </c>
      <c r="N149" s="49">
        <v>10</v>
      </c>
      <c r="O149" s="49">
        <v>10</v>
      </c>
      <c r="P149" s="49">
        <v>10</v>
      </c>
      <c r="Q149" s="2" t="e">
        <f t="shared" ca="1" si="19"/>
        <v>#NAME?</v>
      </c>
      <c r="R149" s="49">
        <v>9.5</v>
      </c>
      <c r="S149" s="49">
        <v>10</v>
      </c>
      <c r="T149" s="49">
        <v>10</v>
      </c>
      <c r="U149" s="49">
        <v>10</v>
      </c>
      <c r="V149" s="49">
        <v>10</v>
      </c>
      <c r="W149" s="54">
        <f t="shared" si="1"/>
        <v>10</v>
      </c>
      <c r="X149" s="48"/>
      <c r="Y149" s="2"/>
      <c r="Z149" s="73" t="s">
        <v>31</v>
      </c>
      <c r="AA149" s="8">
        <v>10</v>
      </c>
      <c r="AB149" s="8">
        <v>10</v>
      </c>
      <c r="AC149" s="8">
        <v>10</v>
      </c>
      <c r="AD149" s="8">
        <v>10</v>
      </c>
      <c r="AE149" s="8">
        <v>10</v>
      </c>
      <c r="AF149" s="8">
        <v>10</v>
      </c>
      <c r="AG149" s="8">
        <v>10</v>
      </c>
      <c r="AH149" s="8">
        <v>10</v>
      </c>
      <c r="AI149" s="8">
        <v>10</v>
      </c>
      <c r="AJ149" s="8">
        <v>10</v>
      </c>
      <c r="AK149" s="17"/>
      <c r="AL149" s="17"/>
      <c r="AM149" s="17"/>
      <c r="AN149" s="17"/>
      <c r="AO149" s="17"/>
      <c r="AP149" s="17"/>
      <c r="AQ149" s="2" t="e">
        <f t="shared" ca="1" si="20"/>
        <v>#NAME?</v>
      </c>
      <c r="AR149" s="8">
        <v>10</v>
      </c>
      <c r="AS149" s="8">
        <v>10</v>
      </c>
      <c r="AT149" s="8">
        <v>10</v>
      </c>
      <c r="AU149" s="8">
        <v>10</v>
      </c>
      <c r="AV149" s="8">
        <v>10</v>
      </c>
      <c r="AW149" s="54">
        <f t="shared" si="3"/>
        <v>10</v>
      </c>
      <c r="AX149" s="48"/>
      <c r="AY149" s="2"/>
      <c r="AZ149" s="2">
        <v>10</v>
      </c>
      <c r="BA149" s="2">
        <v>10</v>
      </c>
      <c r="BB149" s="2">
        <v>10</v>
      </c>
      <c r="BC149" s="2">
        <v>10</v>
      </c>
      <c r="BD149" s="2">
        <v>10</v>
      </c>
      <c r="BE149" s="2">
        <v>10</v>
      </c>
      <c r="BF149" s="2">
        <v>10</v>
      </c>
      <c r="BG149" s="2">
        <v>10</v>
      </c>
      <c r="BH149" s="2">
        <v>10</v>
      </c>
      <c r="BI149" s="2">
        <v>10</v>
      </c>
      <c r="BJ149" s="2" t="e">
        <f t="shared" ca="1" si="21"/>
        <v>#NAME?</v>
      </c>
      <c r="BK149" s="2">
        <v>10</v>
      </c>
      <c r="BL149" s="2">
        <v>10</v>
      </c>
      <c r="BM149" s="2">
        <v>10</v>
      </c>
      <c r="BN149" s="2">
        <v>10</v>
      </c>
      <c r="BO149" s="2">
        <v>10</v>
      </c>
      <c r="BP149" s="54">
        <f t="shared" si="5"/>
        <v>10</v>
      </c>
      <c r="BQ149" s="5"/>
      <c r="BR149" s="5"/>
      <c r="BS149" s="85">
        <v>10</v>
      </c>
      <c r="BT149" s="8">
        <v>10</v>
      </c>
      <c r="BU149" s="8">
        <v>10</v>
      </c>
      <c r="BV149" s="8">
        <v>10</v>
      </c>
      <c r="BW149" s="8">
        <v>10</v>
      </c>
      <c r="BX149" s="8">
        <v>10</v>
      </c>
      <c r="BY149" s="8">
        <v>10</v>
      </c>
      <c r="BZ149" s="8">
        <v>10</v>
      </c>
      <c r="CA149" s="86">
        <v>10</v>
      </c>
      <c r="CB149" s="86">
        <v>10</v>
      </c>
      <c r="CC149" s="2" t="e">
        <f t="shared" ca="1" si="22"/>
        <v>#NAME?</v>
      </c>
      <c r="CD149" s="55" t="s">
        <v>31</v>
      </c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 t="e">
        <f t="shared" ca="1" si="23"/>
        <v>#NAME?</v>
      </c>
      <c r="CQ149" s="2"/>
      <c r="CR149" s="2"/>
      <c r="CS149" s="2"/>
      <c r="CT149" s="2"/>
      <c r="CU149" s="2"/>
      <c r="CV149" s="54">
        <f t="shared" si="8"/>
        <v>0</v>
      </c>
      <c r="CW149" s="55" t="s">
        <v>31</v>
      </c>
      <c r="CX149" s="3"/>
    </row>
    <row r="150" spans="1:102" ht="16.5" x14ac:dyDescent="0.55000000000000004">
      <c r="A150" s="17">
        <v>4</v>
      </c>
      <c r="B150" s="17" t="s">
        <v>4</v>
      </c>
      <c r="C150" s="23" t="s">
        <v>340</v>
      </c>
      <c r="D150" s="24" t="s">
        <v>341</v>
      </c>
      <c r="E150" s="48">
        <v>10</v>
      </c>
      <c r="F150" s="2">
        <v>9</v>
      </c>
      <c r="G150" s="49">
        <v>10</v>
      </c>
      <c r="H150" s="49">
        <v>10</v>
      </c>
      <c r="I150" s="49">
        <v>10</v>
      </c>
      <c r="J150" s="49">
        <v>10</v>
      </c>
      <c r="K150" s="49">
        <v>10</v>
      </c>
      <c r="L150" s="49">
        <v>10</v>
      </c>
      <c r="M150" s="49">
        <v>10</v>
      </c>
      <c r="N150" s="49">
        <v>10</v>
      </c>
      <c r="O150" s="49">
        <v>10</v>
      </c>
      <c r="P150" s="49">
        <v>10</v>
      </c>
      <c r="Q150" s="2" t="e">
        <f t="shared" ca="1" si="19"/>
        <v>#NAME?</v>
      </c>
      <c r="R150" s="49">
        <v>10</v>
      </c>
      <c r="S150" s="49">
        <v>10</v>
      </c>
      <c r="T150" s="49">
        <v>10</v>
      </c>
      <c r="U150" s="49">
        <v>10</v>
      </c>
      <c r="V150" s="49">
        <v>10</v>
      </c>
      <c r="W150" s="54">
        <f t="shared" si="1"/>
        <v>10</v>
      </c>
      <c r="X150" s="48"/>
      <c r="Y150" s="2"/>
      <c r="Z150" s="69">
        <v>8</v>
      </c>
      <c r="AA150" s="8">
        <v>10</v>
      </c>
      <c r="AB150" s="8">
        <v>10</v>
      </c>
      <c r="AC150" s="8">
        <v>10</v>
      </c>
      <c r="AD150" s="8">
        <v>10</v>
      </c>
      <c r="AE150" s="8">
        <v>10</v>
      </c>
      <c r="AF150" s="8">
        <v>10</v>
      </c>
      <c r="AG150" s="8">
        <v>10</v>
      </c>
      <c r="AH150" s="8">
        <v>10</v>
      </c>
      <c r="AI150" s="8">
        <v>10</v>
      </c>
      <c r="AJ150" s="8">
        <v>10</v>
      </c>
      <c r="AK150" s="17"/>
      <c r="AL150" s="17"/>
      <c r="AM150" s="17"/>
      <c r="AN150" s="17"/>
      <c r="AO150" s="17"/>
      <c r="AP150" s="17"/>
      <c r="AQ150" s="2" t="e">
        <f t="shared" ca="1" si="20"/>
        <v>#NAME?</v>
      </c>
      <c r="AR150" s="8">
        <v>10</v>
      </c>
      <c r="AS150" s="8">
        <v>10</v>
      </c>
      <c r="AT150" s="8">
        <v>10</v>
      </c>
      <c r="AU150" s="8">
        <v>10</v>
      </c>
      <c r="AV150" s="8">
        <v>10</v>
      </c>
      <c r="AW150" s="54">
        <f t="shared" si="3"/>
        <v>10</v>
      </c>
      <c r="AX150" s="48"/>
      <c r="AY150" s="2"/>
      <c r="AZ150" s="2">
        <v>10</v>
      </c>
      <c r="BA150" s="2">
        <v>10</v>
      </c>
      <c r="BB150" s="2">
        <v>10</v>
      </c>
      <c r="BC150" s="2">
        <v>10</v>
      </c>
      <c r="BD150" s="2">
        <v>10</v>
      </c>
      <c r="BE150" s="2">
        <v>10</v>
      </c>
      <c r="BF150" s="2">
        <v>10</v>
      </c>
      <c r="BG150" s="2">
        <v>10</v>
      </c>
      <c r="BH150" s="2">
        <v>10</v>
      </c>
      <c r="BI150" s="2">
        <v>10</v>
      </c>
      <c r="BJ150" s="2" t="e">
        <f t="shared" ca="1" si="21"/>
        <v>#NAME?</v>
      </c>
      <c r="BK150" s="5">
        <v>10</v>
      </c>
      <c r="BL150" s="2">
        <v>10</v>
      </c>
      <c r="BM150" s="2">
        <v>10</v>
      </c>
      <c r="BN150" s="2">
        <v>10</v>
      </c>
      <c r="BO150" s="2">
        <v>10</v>
      </c>
      <c r="BP150" s="54">
        <f t="shared" si="5"/>
        <v>10</v>
      </c>
      <c r="BQ150" s="5"/>
      <c r="BR150" s="5"/>
      <c r="BS150" s="85">
        <v>10</v>
      </c>
      <c r="BT150" s="8">
        <v>10</v>
      </c>
      <c r="BU150" s="8">
        <v>10</v>
      </c>
      <c r="BV150" s="8">
        <v>10</v>
      </c>
      <c r="BW150" s="8">
        <v>10</v>
      </c>
      <c r="BX150" s="8">
        <v>10</v>
      </c>
      <c r="BY150" s="8">
        <v>10</v>
      </c>
      <c r="BZ150" s="8">
        <v>10</v>
      </c>
      <c r="CA150" s="86">
        <v>10</v>
      </c>
      <c r="CB150" s="86">
        <v>10</v>
      </c>
      <c r="CC150" s="2" t="e">
        <f t="shared" ca="1" si="22"/>
        <v>#NAME?</v>
      </c>
      <c r="CD150" s="55">
        <v>4</v>
      </c>
      <c r="CE150" s="2"/>
      <c r="CF150" s="2">
        <v>9</v>
      </c>
      <c r="CG150" s="2">
        <v>9</v>
      </c>
      <c r="CH150" s="2">
        <v>10</v>
      </c>
      <c r="CI150" s="2">
        <v>5</v>
      </c>
      <c r="CJ150" s="2">
        <v>6</v>
      </c>
      <c r="CK150" s="2">
        <v>7</v>
      </c>
      <c r="CL150" s="2">
        <v>8</v>
      </c>
      <c r="CM150" s="2">
        <v>9</v>
      </c>
      <c r="CN150" s="2">
        <v>9</v>
      </c>
      <c r="CO150" s="2">
        <v>10</v>
      </c>
      <c r="CP150" s="2" t="e">
        <f t="shared" ca="1" si="23"/>
        <v>#NAME?</v>
      </c>
      <c r="CQ150" s="2">
        <v>10</v>
      </c>
      <c r="CR150" s="2">
        <v>10</v>
      </c>
      <c r="CS150" s="2">
        <v>10</v>
      </c>
      <c r="CT150" s="2">
        <v>10</v>
      </c>
      <c r="CU150" s="2">
        <v>10</v>
      </c>
      <c r="CV150" s="54">
        <f t="shared" si="8"/>
        <v>10</v>
      </c>
      <c r="CW150" s="55">
        <v>5</v>
      </c>
      <c r="CX150" s="3"/>
    </row>
    <row r="151" spans="1:102" ht="16.5" x14ac:dyDescent="0.55000000000000004">
      <c r="A151" s="17">
        <v>4</v>
      </c>
      <c r="B151" s="17" t="s">
        <v>4</v>
      </c>
      <c r="C151" s="23" t="s">
        <v>342</v>
      </c>
      <c r="D151" s="24" t="s">
        <v>343</v>
      </c>
      <c r="E151" s="48">
        <v>10</v>
      </c>
      <c r="F151" s="2">
        <v>9</v>
      </c>
      <c r="G151" s="49">
        <v>10</v>
      </c>
      <c r="H151" s="49">
        <v>10</v>
      </c>
      <c r="I151" s="49">
        <v>10</v>
      </c>
      <c r="J151" s="49">
        <v>10</v>
      </c>
      <c r="K151" s="49">
        <v>10</v>
      </c>
      <c r="L151" s="49">
        <v>10</v>
      </c>
      <c r="M151" s="49">
        <v>10</v>
      </c>
      <c r="N151" s="49">
        <v>10</v>
      </c>
      <c r="O151" s="49">
        <v>10</v>
      </c>
      <c r="P151" s="49">
        <v>10</v>
      </c>
      <c r="Q151" s="2" t="e">
        <f t="shared" ca="1" si="19"/>
        <v>#NAME?</v>
      </c>
      <c r="R151" s="49">
        <v>10</v>
      </c>
      <c r="S151" s="49">
        <v>10</v>
      </c>
      <c r="T151" s="49">
        <v>10</v>
      </c>
      <c r="U151" s="49">
        <v>10</v>
      </c>
      <c r="V151" s="49">
        <v>10</v>
      </c>
      <c r="W151" s="54">
        <f t="shared" si="1"/>
        <v>10</v>
      </c>
      <c r="X151" s="48"/>
      <c r="Y151" s="2"/>
      <c r="Z151" s="69">
        <v>8</v>
      </c>
      <c r="AA151" s="8">
        <v>10</v>
      </c>
      <c r="AB151" s="8">
        <v>10</v>
      </c>
      <c r="AC151" s="8">
        <v>10</v>
      </c>
      <c r="AD151" s="8">
        <v>10</v>
      </c>
      <c r="AE151" s="8">
        <v>10</v>
      </c>
      <c r="AF151" s="8">
        <v>10</v>
      </c>
      <c r="AG151" s="8">
        <v>10</v>
      </c>
      <c r="AH151" s="8">
        <v>10</v>
      </c>
      <c r="AI151" s="8">
        <v>10</v>
      </c>
      <c r="AJ151" s="8">
        <v>10</v>
      </c>
      <c r="AK151" s="17"/>
      <c r="AL151" s="17"/>
      <c r="AM151" s="17"/>
      <c r="AN151" s="17"/>
      <c r="AO151" s="17"/>
      <c r="AP151" s="17"/>
      <c r="AQ151" s="2" t="e">
        <f t="shared" ca="1" si="20"/>
        <v>#NAME?</v>
      </c>
      <c r="AR151" s="8">
        <v>10</v>
      </c>
      <c r="AS151" s="8">
        <v>10</v>
      </c>
      <c r="AT151" s="8">
        <v>10</v>
      </c>
      <c r="AU151" s="8">
        <v>10</v>
      </c>
      <c r="AV151" s="8">
        <v>10</v>
      </c>
      <c r="AW151" s="54">
        <f t="shared" si="3"/>
        <v>10</v>
      </c>
      <c r="AX151" s="48"/>
      <c r="AY151" s="2"/>
      <c r="AZ151" s="2">
        <v>10</v>
      </c>
      <c r="BA151" s="2">
        <v>10</v>
      </c>
      <c r="BB151" s="2">
        <v>10</v>
      </c>
      <c r="BC151" s="2">
        <v>10</v>
      </c>
      <c r="BD151" s="2">
        <v>10</v>
      </c>
      <c r="BE151" s="2">
        <v>10</v>
      </c>
      <c r="BF151" s="2">
        <v>10</v>
      </c>
      <c r="BG151" s="2">
        <v>10</v>
      </c>
      <c r="BH151" s="2">
        <v>10</v>
      </c>
      <c r="BI151" s="2">
        <v>10</v>
      </c>
      <c r="BJ151" s="2" t="e">
        <f t="shared" ca="1" si="21"/>
        <v>#NAME?</v>
      </c>
      <c r="BK151" s="5">
        <v>10</v>
      </c>
      <c r="BL151" s="5">
        <v>10</v>
      </c>
      <c r="BM151" s="2">
        <v>10</v>
      </c>
      <c r="BN151" s="2">
        <v>10</v>
      </c>
      <c r="BO151" s="2">
        <v>10</v>
      </c>
      <c r="BP151" s="54">
        <f t="shared" si="5"/>
        <v>10</v>
      </c>
      <c r="BQ151" s="5"/>
      <c r="BR151" s="5"/>
      <c r="BS151" s="85">
        <v>10</v>
      </c>
      <c r="BT151" s="8">
        <v>10</v>
      </c>
      <c r="BU151" s="8">
        <v>10</v>
      </c>
      <c r="BV151" s="8">
        <v>10</v>
      </c>
      <c r="BW151" s="8">
        <v>10</v>
      </c>
      <c r="BX151" s="8">
        <v>10</v>
      </c>
      <c r="BY151" s="8">
        <v>10</v>
      </c>
      <c r="BZ151" s="8">
        <v>10</v>
      </c>
      <c r="CA151" s="86">
        <v>10</v>
      </c>
      <c r="CB151" s="86">
        <v>10</v>
      </c>
      <c r="CC151" s="2" t="e">
        <f t="shared" ca="1" si="22"/>
        <v>#NAME?</v>
      </c>
      <c r="CD151" s="55">
        <v>4</v>
      </c>
      <c r="CE151" s="2"/>
      <c r="CF151" s="2">
        <v>9</v>
      </c>
      <c r="CG151" s="2">
        <v>9</v>
      </c>
      <c r="CH151" s="2">
        <v>10</v>
      </c>
      <c r="CI151" s="2">
        <v>10</v>
      </c>
      <c r="CJ151" s="2">
        <v>10</v>
      </c>
      <c r="CK151" s="2">
        <v>10</v>
      </c>
      <c r="CL151" s="2">
        <v>9</v>
      </c>
      <c r="CM151" s="2">
        <v>9</v>
      </c>
      <c r="CN151" s="2">
        <v>10</v>
      </c>
      <c r="CO151" s="2">
        <v>9</v>
      </c>
      <c r="CP151" s="2" t="e">
        <f t="shared" ca="1" si="23"/>
        <v>#NAME?</v>
      </c>
      <c r="CQ151" s="2">
        <v>10</v>
      </c>
      <c r="CR151" s="2">
        <v>10</v>
      </c>
      <c r="CS151" s="2">
        <v>10</v>
      </c>
      <c r="CT151" s="2">
        <v>10</v>
      </c>
      <c r="CU151" s="2">
        <v>10</v>
      </c>
      <c r="CV151" s="54">
        <f t="shared" si="8"/>
        <v>10</v>
      </c>
      <c r="CW151" s="55">
        <v>9</v>
      </c>
      <c r="CX151" s="3"/>
    </row>
    <row r="152" spans="1:102" ht="16.5" x14ac:dyDescent="0.55000000000000004">
      <c r="A152" s="17">
        <v>4</v>
      </c>
      <c r="B152" s="17" t="s">
        <v>4</v>
      </c>
      <c r="C152" s="23" t="s">
        <v>344</v>
      </c>
      <c r="D152" s="24" t="s">
        <v>345</v>
      </c>
      <c r="E152" s="48"/>
      <c r="F152" s="2"/>
      <c r="G152" s="49">
        <v>10</v>
      </c>
      <c r="H152" s="49">
        <v>10</v>
      </c>
      <c r="I152" s="49">
        <v>9</v>
      </c>
      <c r="J152" s="49">
        <v>9.5</v>
      </c>
      <c r="K152" s="49">
        <v>10</v>
      </c>
      <c r="L152" s="49">
        <v>10</v>
      </c>
      <c r="M152" s="49">
        <v>10</v>
      </c>
      <c r="N152" s="49">
        <v>9</v>
      </c>
      <c r="O152" s="49">
        <v>9.5</v>
      </c>
      <c r="P152" s="49">
        <v>10</v>
      </c>
      <c r="Q152" s="2" t="e">
        <f t="shared" ca="1" si="19"/>
        <v>#NAME?</v>
      </c>
      <c r="R152" s="49">
        <v>10</v>
      </c>
      <c r="S152" s="49">
        <v>10</v>
      </c>
      <c r="T152" s="49">
        <v>9</v>
      </c>
      <c r="U152" s="49">
        <v>10</v>
      </c>
      <c r="V152" s="49">
        <v>10</v>
      </c>
      <c r="W152" s="54">
        <f t="shared" si="1"/>
        <v>10</v>
      </c>
      <c r="X152" s="48"/>
      <c r="Y152" s="2"/>
      <c r="Z152" s="69">
        <v>9</v>
      </c>
      <c r="AA152" s="8">
        <v>10</v>
      </c>
      <c r="AB152" s="8">
        <v>10</v>
      </c>
      <c r="AC152" s="8">
        <v>10</v>
      </c>
      <c r="AD152" s="8">
        <v>10</v>
      </c>
      <c r="AE152" s="8">
        <v>10</v>
      </c>
      <c r="AF152" s="8">
        <v>10</v>
      </c>
      <c r="AG152" s="8">
        <v>10</v>
      </c>
      <c r="AH152" s="8">
        <v>10</v>
      </c>
      <c r="AI152" s="8">
        <v>10</v>
      </c>
      <c r="AJ152" s="8">
        <v>10</v>
      </c>
      <c r="AK152" s="17"/>
      <c r="AL152" s="17"/>
      <c r="AM152" s="17"/>
      <c r="AN152" s="17"/>
      <c r="AO152" s="17"/>
      <c r="AP152" s="17"/>
      <c r="AQ152" s="2" t="e">
        <f t="shared" ca="1" si="20"/>
        <v>#NAME?</v>
      </c>
      <c r="AR152" s="8">
        <v>10</v>
      </c>
      <c r="AS152" s="8">
        <v>10</v>
      </c>
      <c r="AT152" s="8">
        <v>10</v>
      </c>
      <c r="AU152" s="8">
        <v>10</v>
      </c>
      <c r="AV152" s="8">
        <v>10</v>
      </c>
      <c r="AW152" s="54">
        <f t="shared" si="3"/>
        <v>10</v>
      </c>
      <c r="AX152" s="48"/>
      <c r="AY152" s="2"/>
      <c r="AZ152" s="2">
        <v>10</v>
      </c>
      <c r="BA152" s="2">
        <v>10</v>
      </c>
      <c r="BB152" s="2">
        <v>10</v>
      </c>
      <c r="BC152" s="2">
        <v>10</v>
      </c>
      <c r="BD152" s="2">
        <v>10</v>
      </c>
      <c r="BE152" s="2">
        <v>10</v>
      </c>
      <c r="BF152" s="2">
        <v>10</v>
      </c>
      <c r="BG152" s="2">
        <v>10</v>
      </c>
      <c r="BH152" s="2">
        <v>10</v>
      </c>
      <c r="BI152" s="2">
        <v>10</v>
      </c>
      <c r="BJ152" s="2" t="e">
        <f t="shared" ca="1" si="21"/>
        <v>#NAME?</v>
      </c>
      <c r="BK152" s="2">
        <v>10</v>
      </c>
      <c r="BL152" s="2">
        <v>10</v>
      </c>
      <c r="BM152" s="2">
        <v>10</v>
      </c>
      <c r="BN152" s="2">
        <v>10</v>
      </c>
      <c r="BO152" s="2">
        <v>10</v>
      </c>
      <c r="BP152" s="54">
        <f t="shared" si="5"/>
        <v>10</v>
      </c>
      <c r="BQ152" s="5"/>
      <c r="BR152" s="5"/>
      <c r="BS152" s="85">
        <v>9</v>
      </c>
      <c r="BT152" s="8">
        <v>9</v>
      </c>
      <c r="BU152" s="8">
        <v>10</v>
      </c>
      <c r="BV152" s="8">
        <v>10</v>
      </c>
      <c r="BW152" s="8">
        <v>10</v>
      </c>
      <c r="BX152" s="8">
        <v>10</v>
      </c>
      <c r="BY152" s="8">
        <v>10</v>
      </c>
      <c r="BZ152" s="8">
        <v>10</v>
      </c>
      <c r="CA152" s="86">
        <v>10</v>
      </c>
      <c r="CB152" s="86">
        <v>10</v>
      </c>
      <c r="CC152" s="2" t="e">
        <f t="shared" ca="1" si="22"/>
        <v>#NAME?</v>
      </c>
      <c r="CD152" s="55">
        <v>4</v>
      </c>
      <c r="CE152" s="2"/>
      <c r="CF152" s="2">
        <v>10</v>
      </c>
      <c r="CG152" s="2">
        <v>10</v>
      </c>
      <c r="CH152" s="2">
        <v>10</v>
      </c>
      <c r="CI152" s="2">
        <v>3</v>
      </c>
      <c r="CJ152" s="2">
        <v>3</v>
      </c>
      <c r="CK152" s="2">
        <v>3</v>
      </c>
      <c r="CL152" s="2">
        <v>3</v>
      </c>
      <c r="CM152" s="2">
        <v>3</v>
      </c>
      <c r="CN152" s="2">
        <v>3</v>
      </c>
      <c r="CO152" s="2">
        <v>3</v>
      </c>
      <c r="CP152" s="2" t="e">
        <f t="shared" ca="1" si="23"/>
        <v>#NAME?</v>
      </c>
      <c r="CQ152" s="2">
        <v>8</v>
      </c>
      <c r="CR152" s="2">
        <v>3</v>
      </c>
      <c r="CS152" s="2">
        <v>3</v>
      </c>
      <c r="CT152" s="2">
        <v>3</v>
      </c>
      <c r="CU152" s="2">
        <v>3</v>
      </c>
      <c r="CV152" s="54">
        <f t="shared" si="8"/>
        <v>4</v>
      </c>
      <c r="CW152" s="55">
        <v>6</v>
      </c>
      <c r="CX152" s="3"/>
    </row>
    <row r="153" spans="1:102" ht="16.5" x14ac:dyDescent="0.55000000000000004">
      <c r="A153" s="17">
        <v>4</v>
      </c>
      <c r="B153" s="17" t="s">
        <v>4</v>
      </c>
      <c r="C153" s="23" t="s">
        <v>346</v>
      </c>
      <c r="D153" s="24" t="s">
        <v>347</v>
      </c>
      <c r="E153" s="48"/>
      <c r="F153" s="2"/>
      <c r="G153" s="49">
        <v>10</v>
      </c>
      <c r="H153" s="49">
        <v>8</v>
      </c>
      <c r="I153" s="49">
        <v>8</v>
      </c>
      <c r="J153" s="49">
        <v>9</v>
      </c>
      <c r="K153" s="49">
        <v>10</v>
      </c>
      <c r="L153" s="49">
        <v>10</v>
      </c>
      <c r="M153" s="49">
        <v>8</v>
      </c>
      <c r="N153" s="49">
        <v>8</v>
      </c>
      <c r="O153" s="49">
        <v>9</v>
      </c>
      <c r="P153" s="49">
        <v>10</v>
      </c>
      <c r="Q153" s="2" t="e">
        <f t="shared" ca="1" si="19"/>
        <v>#NAME?</v>
      </c>
      <c r="R153" s="49">
        <v>10</v>
      </c>
      <c r="S153" s="49">
        <v>10</v>
      </c>
      <c r="T153" s="49">
        <v>9</v>
      </c>
      <c r="U153" s="49">
        <v>9</v>
      </c>
      <c r="V153" s="49">
        <v>10</v>
      </c>
      <c r="W153" s="54">
        <f t="shared" si="1"/>
        <v>10</v>
      </c>
      <c r="X153" s="48"/>
      <c r="Y153" s="2"/>
      <c r="Z153" s="69">
        <v>3</v>
      </c>
      <c r="AA153" s="8">
        <v>10</v>
      </c>
      <c r="AB153" s="8">
        <v>10</v>
      </c>
      <c r="AC153" s="8">
        <v>10</v>
      </c>
      <c r="AD153" s="8">
        <v>10</v>
      </c>
      <c r="AE153" s="8">
        <v>10</v>
      </c>
      <c r="AF153" s="8">
        <v>10</v>
      </c>
      <c r="AG153" s="8">
        <v>10</v>
      </c>
      <c r="AH153" s="8">
        <v>10</v>
      </c>
      <c r="AI153" s="8">
        <v>10</v>
      </c>
      <c r="AJ153" s="8">
        <v>10</v>
      </c>
      <c r="AK153" s="17"/>
      <c r="AL153" s="17"/>
      <c r="AM153" s="17"/>
      <c r="AN153" s="17"/>
      <c r="AO153" s="17"/>
      <c r="AP153" s="17"/>
      <c r="AQ153" s="2" t="e">
        <f t="shared" ca="1" si="20"/>
        <v>#NAME?</v>
      </c>
      <c r="AR153" s="8">
        <v>10</v>
      </c>
      <c r="AS153" s="8">
        <v>10</v>
      </c>
      <c r="AT153" s="8">
        <v>10</v>
      </c>
      <c r="AU153" s="8">
        <v>10</v>
      </c>
      <c r="AV153" s="8">
        <v>10</v>
      </c>
      <c r="AW153" s="54">
        <f t="shared" si="3"/>
        <v>10</v>
      </c>
      <c r="AX153" s="48"/>
      <c r="AY153" s="2"/>
      <c r="AZ153" s="2">
        <v>9</v>
      </c>
      <c r="BA153" s="2">
        <v>9</v>
      </c>
      <c r="BB153" s="2">
        <v>9</v>
      </c>
      <c r="BC153" s="2">
        <v>7</v>
      </c>
      <c r="BD153" s="2">
        <v>7</v>
      </c>
      <c r="BE153" s="2">
        <v>7</v>
      </c>
      <c r="BF153" s="2">
        <v>7</v>
      </c>
      <c r="BG153" s="2">
        <v>7</v>
      </c>
      <c r="BH153" s="2">
        <v>7</v>
      </c>
      <c r="BI153" s="57">
        <v>7</v>
      </c>
      <c r="BJ153" s="2" t="e">
        <f t="shared" ca="1" si="21"/>
        <v>#NAME?</v>
      </c>
      <c r="BK153" s="5">
        <v>7</v>
      </c>
      <c r="BL153" s="5">
        <v>7</v>
      </c>
      <c r="BM153" s="5">
        <v>7</v>
      </c>
      <c r="BN153" s="5">
        <v>7</v>
      </c>
      <c r="BO153" s="5">
        <v>7</v>
      </c>
      <c r="BP153" s="54">
        <f t="shared" si="5"/>
        <v>7</v>
      </c>
      <c r="BQ153" s="5"/>
      <c r="BR153" s="5"/>
      <c r="BS153" s="85">
        <v>9</v>
      </c>
      <c r="BT153" s="8">
        <v>9</v>
      </c>
      <c r="BU153" s="8">
        <v>10</v>
      </c>
      <c r="BV153" s="8">
        <v>10</v>
      </c>
      <c r="BW153" s="8">
        <v>10</v>
      </c>
      <c r="BX153" s="8">
        <v>10</v>
      </c>
      <c r="BY153" s="8">
        <v>10</v>
      </c>
      <c r="BZ153" s="8">
        <v>10</v>
      </c>
      <c r="CA153" s="86">
        <v>10</v>
      </c>
      <c r="CB153" s="86">
        <v>10</v>
      </c>
      <c r="CC153" s="2" t="e">
        <f t="shared" ca="1" si="22"/>
        <v>#NAME?</v>
      </c>
      <c r="CD153" s="55" t="s">
        <v>31</v>
      </c>
      <c r="CE153" s="2"/>
      <c r="CF153" s="2">
        <v>4</v>
      </c>
      <c r="CG153" s="2">
        <v>4</v>
      </c>
      <c r="CH153" s="2">
        <v>4</v>
      </c>
      <c r="CI153" s="2">
        <v>4</v>
      </c>
      <c r="CJ153" s="2">
        <v>4</v>
      </c>
      <c r="CK153" s="2">
        <v>4</v>
      </c>
      <c r="CL153" s="2">
        <v>4</v>
      </c>
      <c r="CM153" s="2">
        <v>4</v>
      </c>
      <c r="CN153" s="2">
        <v>4</v>
      </c>
      <c r="CO153" s="2">
        <v>4</v>
      </c>
      <c r="CP153" s="2" t="e">
        <f t="shared" ca="1" si="23"/>
        <v>#NAME?</v>
      </c>
      <c r="CQ153" s="2">
        <v>4</v>
      </c>
      <c r="CR153" s="2">
        <v>4</v>
      </c>
      <c r="CS153" s="2">
        <v>4</v>
      </c>
      <c r="CT153" s="2">
        <v>4</v>
      </c>
      <c r="CU153" s="2">
        <v>4</v>
      </c>
      <c r="CV153" s="54">
        <f t="shared" si="8"/>
        <v>4</v>
      </c>
      <c r="CW153" s="55">
        <v>4</v>
      </c>
      <c r="CX153" s="3"/>
    </row>
    <row r="154" spans="1:102" ht="16.5" x14ac:dyDescent="0.55000000000000004">
      <c r="A154" s="17">
        <v>4</v>
      </c>
      <c r="B154" s="17" t="s">
        <v>4</v>
      </c>
      <c r="C154" s="23" t="s">
        <v>348</v>
      </c>
      <c r="D154" s="24" t="s">
        <v>349</v>
      </c>
      <c r="E154" s="48"/>
      <c r="F154" s="2"/>
      <c r="G154" s="49">
        <v>10</v>
      </c>
      <c r="H154" s="49">
        <v>8</v>
      </c>
      <c r="I154" s="49">
        <v>8</v>
      </c>
      <c r="J154" s="49">
        <v>9</v>
      </c>
      <c r="K154" s="49">
        <v>10</v>
      </c>
      <c r="L154" s="49">
        <v>10</v>
      </c>
      <c r="M154" s="49">
        <v>8</v>
      </c>
      <c r="N154" s="49">
        <v>8</v>
      </c>
      <c r="O154" s="49">
        <v>9</v>
      </c>
      <c r="P154" s="49">
        <v>10</v>
      </c>
      <c r="Q154" s="2" t="e">
        <f t="shared" ca="1" si="19"/>
        <v>#NAME?</v>
      </c>
      <c r="R154" s="49">
        <v>10</v>
      </c>
      <c r="S154" s="49">
        <v>10</v>
      </c>
      <c r="T154" s="49">
        <v>9</v>
      </c>
      <c r="U154" s="49">
        <v>9</v>
      </c>
      <c r="V154" s="49">
        <v>10</v>
      </c>
      <c r="W154" s="54">
        <f t="shared" si="1"/>
        <v>10</v>
      </c>
      <c r="X154" s="48"/>
      <c r="Y154" s="2"/>
      <c r="Z154" s="69">
        <v>8</v>
      </c>
      <c r="AA154" s="8">
        <v>10</v>
      </c>
      <c r="AB154" s="8">
        <v>10</v>
      </c>
      <c r="AC154" s="8">
        <v>10</v>
      </c>
      <c r="AD154" s="8">
        <v>10</v>
      </c>
      <c r="AE154" s="8">
        <v>10</v>
      </c>
      <c r="AF154" s="8">
        <v>10</v>
      </c>
      <c r="AG154" s="8">
        <v>10</v>
      </c>
      <c r="AH154" s="8">
        <v>10</v>
      </c>
      <c r="AI154" s="8">
        <v>10</v>
      </c>
      <c r="AJ154" s="8">
        <v>10</v>
      </c>
      <c r="AK154" s="17"/>
      <c r="AL154" s="17"/>
      <c r="AM154" s="17"/>
      <c r="AN154" s="17"/>
      <c r="AO154" s="17"/>
      <c r="AP154" s="17"/>
      <c r="AQ154" s="2" t="e">
        <f t="shared" ca="1" si="20"/>
        <v>#NAME?</v>
      </c>
      <c r="AR154" s="8">
        <v>10</v>
      </c>
      <c r="AS154" s="8">
        <v>10</v>
      </c>
      <c r="AT154" s="8">
        <v>10</v>
      </c>
      <c r="AU154" s="8">
        <v>10</v>
      </c>
      <c r="AV154" s="8">
        <v>10</v>
      </c>
      <c r="AW154" s="54">
        <f t="shared" si="3"/>
        <v>10</v>
      </c>
      <c r="AX154" s="48"/>
      <c r="AY154" s="2"/>
      <c r="AZ154" s="2">
        <v>9</v>
      </c>
      <c r="BA154" s="2">
        <v>9</v>
      </c>
      <c r="BB154" s="2">
        <v>9</v>
      </c>
      <c r="BC154" s="2">
        <v>9</v>
      </c>
      <c r="BD154" s="2">
        <v>9</v>
      </c>
      <c r="BE154" s="2">
        <v>9</v>
      </c>
      <c r="BF154" s="2">
        <v>8</v>
      </c>
      <c r="BG154" s="2">
        <v>8</v>
      </c>
      <c r="BH154" s="2">
        <v>8</v>
      </c>
      <c r="BI154" s="57">
        <v>8</v>
      </c>
      <c r="BJ154" s="2" t="e">
        <f t="shared" ca="1" si="21"/>
        <v>#NAME?</v>
      </c>
      <c r="BK154" s="5">
        <v>9</v>
      </c>
      <c r="BL154" s="5">
        <v>9</v>
      </c>
      <c r="BM154" s="5">
        <v>9</v>
      </c>
      <c r="BN154" s="5">
        <v>8</v>
      </c>
      <c r="BO154" s="5">
        <v>8</v>
      </c>
      <c r="BP154" s="54">
        <f t="shared" si="5"/>
        <v>9</v>
      </c>
      <c r="BQ154" s="5"/>
      <c r="BR154" s="5"/>
      <c r="BS154" s="85">
        <v>9</v>
      </c>
      <c r="BT154" s="8">
        <v>9</v>
      </c>
      <c r="BU154" s="8">
        <v>10</v>
      </c>
      <c r="BV154" s="8">
        <v>10</v>
      </c>
      <c r="BW154" s="8">
        <v>10</v>
      </c>
      <c r="BX154" s="8">
        <v>10</v>
      </c>
      <c r="BY154" s="8">
        <v>10</v>
      </c>
      <c r="BZ154" s="8">
        <v>10</v>
      </c>
      <c r="CA154" s="86">
        <v>10</v>
      </c>
      <c r="CB154" s="86">
        <v>10</v>
      </c>
      <c r="CC154" s="2" t="e">
        <f t="shared" ca="1" si="22"/>
        <v>#NAME?</v>
      </c>
      <c r="CD154" s="55">
        <v>4</v>
      </c>
      <c r="CE154" s="2"/>
      <c r="CF154" s="2">
        <v>4</v>
      </c>
      <c r="CG154" s="2">
        <v>4</v>
      </c>
      <c r="CH154" s="2">
        <v>4</v>
      </c>
      <c r="CI154" s="2">
        <v>4</v>
      </c>
      <c r="CJ154" s="2">
        <v>4</v>
      </c>
      <c r="CK154" s="2">
        <v>4</v>
      </c>
      <c r="CL154" s="2">
        <v>4</v>
      </c>
      <c r="CM154" s="2">
        <v>4</v>
      </c>
      <c r="CN154" s="2">
        <v>4</v>
      </c>
      <c r="CO154" s="2">
        <v>4</v>
      </c>
      <c r="CP154" s="2" t="e">
        <f t="shared" ca="1" si="23"/>
        <v>#NAME?</v>
      </c>
      <c r="CQ154" s="2">
        <v>4</v>
      </c>
      <c r="CR154" s="2">
        <v>4</v>
      </c>
      <c r="CS154" s="2">
        <v>4</v>
      </c>
      <c r="CT154" s="2">
        <v>4</v>
      </c>
      <c r="CU154" s="2">
        <v>4</v>
      </c>
      <c r="CV154" s="54">
        <f t="shared" si="8"/>
        <v>4</v>
      </c>
      <c r="CW154" s="55">
        <v>11</v>
      </c>
      <c r="CX154" s="3"/>
    </row>
    <row r="155" spans="1:102" ht="16.5" x14ac:dyDescent="0.55000000000000004">
      <c r="A155" s="17">
        <v>4</v>
      </c>
      <c r="B155" s="17" t="s">
        <v>4</v>
      </c>
      <c r="C155" s="23" t="s">
        <v>350</v>
      </c>
      <c r="D155" s="24" t="s">
        <v>351</v>
      </c>
      <c r="E155" s="48"/>
      <c r="F155" s="2"/>
      <c r="G155" s="49">
        <v>10</v>
      </c>
      <c r="H155" s="49">
        <v>8</v>
      </c>
      <c r="I155" s="49">
        <v>8</v>
      </c>
      <c r="J155" s="49">
        <v>9</v>
      </c>
      <c r="K155" s="49">
        <v>9</v>
      </c>
      <c r="L155" s="49">
        <v>8</v>
      </c>
      <c r="M155" s="49">
        <v>8</v>
      </c>
      <c r="N155" s="49">
        <v>8</v>
      </c>
      <c r="O155" s="49">
        <v>9</v>
      </c>
      <c r="P155" s="49">
        <v>10</v>
      </c>
      <c r="Q155" s="2" t="e">
        <f t="shared" ca="1" si="19"/>
        <v>#NAME?</v>
      </c>
      <c r="R155" s="49">
        <v>10</v>
      </c>
      <c r="S155" s="49">
        <v>10</v>
      </c>
      <c r="T155" s="49">
        <v>9</v>
      </c>
      <c r="U155" s="49">
        <v>9</v>
      </c>
      <c r="V155" s="49">
        <v>10</v>
      </c>
      <c r="W155" s="54">
        <f t="shared" si="1"/>
        <v>10</v>
      </c>
      <c r="X155" s="48"/>
      <c r="Y155" s="2"/>
      <c r="Z155" s="73" t="s">
        <v>31</v>
      </c>
      <c r="AA155" s="8">
        <v>10</v>
      </c>
      <c r="AB155" s="8">
        <v>10</v>
      </c>
      <c r="AC155" s="8">
        <v>10</v>
      </c>
      <c r="AD155" s="8">
        <v>10</v>
      </c>
      <c r="AE155" s="8">
        <v>10</v>
      </c>
      <c r="AF155" s="8">
        <v>10</v>
      </c>
      <c r="AG155" s="8">
        <v>10</v>
      </c>
      <c r="AH155" s="8">
        <v>10</v>
      </c>
      <c r="AI155" s="8">
        <v>10</v>
      </c>
      <c r="AJ155" s="8">
        <v>10</v>
      </c>
      <c r="AK155" s="17"/>
      <c r="AL155" s="17"/>
      <c r="AM155" s="17"/>
      <c r="AN155" s="17"/>
      <c r="AO155" s="17"/>
      <c r="AP155" s="17"/>
      <c r="AQ155" s="2" t="e">
        <f t="shared" ca="1" si="20"/>
        <v>#NAME?</v>
      </c>
      <c r="AR155" s="8">
        <v>10</v>
      </c>
      <c r="AS155" s="8">
        <v>10</v>
      </c>
      <c r="AT155" s="8">
        <v>10</v>
      </c>
      <c r="AU155" s="8">
        <v>10</v>
      </c>
      <c r="AV155" s="8">
        <v>10</v>
      </c>
      <c r="AW155" s="54">
        <f t="shared" si="3"/>
        <v>10</v>
      </c>
      <c r="AX155" s="48"/>
      <c r="AY155" s="2"/>
      <c r="AZ155" s="2">
        <v>7</v>
      </c>
      <c r="BA155" s="2">
        <v>7</v>
      </c>
      <c r="BB155" s="2">
        <v>7</v>
      </c>
      <c r="BC155" s="2">
        <v>7</v>
      </c>
      <c r="BD155" s="2">
        <v>7</v>
      </c>
      <c r="BE155" s="2">
        <v>7</v>
      </c>
      <c r="BF155" s="2">
        <v>7</v>
      </c>
      <c r="BG155" s="2">
        <v>7</v>
      </c>
      <c r="BH155" s="2">
        <v>7</v>
      </c>
      <c r="BI155" s="57">
        <v>7</v>
      </c>
      <c r="BJ155" s="2" t="e">
        <f t="shared" ca="1" si="21"/>
        <v>#NAME?</v>
      </c>
      <c r="BK155" s="5">
        <v>7</v>
      </c>
      <c r="BL155" s="5">
        <v>7</v>
      </c>
      <c r="BM155" s="5">
        <v>7</v>
      </c>
      <c r="BN155" s="5">
        <v>7</v>
      </c>
      <c r="BO155" s="5">
        <v>7</v>
      </c>
      <c r="BP155" s="54">
        <f t="shared" si="5"/>
        <v>7</v>
      </c>
      <c r="BQ155" s="5"/>
      <c r="BR155" s="5"/>
      <c r="BS155" s="85">
        <v>7</v>
      </c>
      <c r="BT155" s="85">
        <v>7</v>
      </c>
      <c r="BU155" s="85">
        <v>7</v>
      </c>
      <c r="BV155" s="85">
        <v>7</v>
      </c>
      <c r="BW155" s="85">
        <v>7</v>
      </c>
      <c r="BX155" s="85">
        <v>7</v>
      </c>
      <c r="BY155" s="85">
        <v>7</v>
      </c>
      <c r="BZ155" s="85">
        <v>7</v>
      </c>
      <c r="CA155" s="85">
        <v>7</v>
      </c>
      <c r="CB155" s="85">
        <v>7</v>
      </c>
      <c r="CC155" s="2" t="e">
        <f t="shared" ca="1" si="22"/>
        <v>#NAME?</v>
      </c>
      <c r="CD155" s="55">
        <v>2</v>
      </c>
      <c r="CE155" s="2"/>
      <c r="CF155" s="2">
        <v>4</v>
      </c>
      <c r="CG155" s="2">
        <v>4</v>
      </c>
      <c r="CH155" s="2">
        <v>4</v>
      </c>
      <c r="CI155" s="2">
        <v>4</v>
      </c>
      <c r="CJ155" s="2">
        <v>4</v>
      </c>
      <c r="CK155" s="2">
        <v>4</v>
      </c>
      <c r="CL155" s="2">
        <v>4</v>
      </c>
      <c r="CM155" s="2">
        <v>4</v>
      </c>
      <c r="CN155" s="2">
        <v>4</v>
      </c>
      <c r="CO155" s="2">
        <v>4</v>
      </c>
      <c r="CP155" s="2" t="e">
        <f t="shared" ca="1" si="23"/>
        <v>#NAME?</v>
      </c>
      <c r="CQ155" s="2">
        <v>4</v>
      </c>
      <c r="CR155" s="2">
        <v>4</v>
      </c>
      <c r="CS155" s="2">
        <v>4</v>
      </c>
      <c r="CT155" s="2">
        <v>4</v>
      </c>
      <c r="CU155" s="2">
        <v>4</v>
      </c>
      <c r="CV155" s="54">
        <f t="shared" si="8"/>
        <v>4</v>
      </c>
      <c r="CW155" s="55" t="s">
        <v>31</v>
      </c>
      <c r="CX155" s="3"/>
    </row>
    <row r="156" spans="1:102" ht="16.5" x14ac:dyDescent="0.55000000000000004">
      <c r="A156" s="17">
        <v>4</v>
      </c>
      <c r="B156" s="17" t="s">
        <v>4</v>
      </c>
      <c r="C156" s="23" t="s">
        <v>352</v>
      </c>
      <c r="D156" s="24" t="s">
        <v>353</v>
      </c>
      <c r="E156" s="62" t="s">
        <v>31</v>
      </c>
      <c r="F156" s="10" t="s">
        <v>31</v>
      </c>
      <c r="G156" s="49">
        <v>10</v>
      </c>
      <c r="H156" s="49">
        <v>8</v>
      </c>
      <c r="I156" s="49">
        <v>8</v>
      </c>
      <c r="J156" s="49">
        <v>9</v>
      </c>
      <c r="K156" s="49">
        <v>9</v>
      </c>
      <c r="L156" s="49">
        <v>8</v>
      </c>
      <c r="M156" s="49">
        <v>8</v>
      </c>
      <c r="N156" s="49">
        <v>8</v>
      </c>
      <c r="O156" s="49">
        <v>9</v>
      </c>
      <c r="P156" s="49">
        <v>10</v>
      </c>
      <c r="Q156" s="2" t="e">
        <f t="shared" ca="1" si="19"/>
        <v>#NAME?</v>
      </c>
      <c r="R156" s="49">
        <v>10</v>
      </c>
      <c r="S156" s="49">
        <v>10</v>
      </c>
      <c r="T156" s="49">
        <v>9</v>
      </c>
      <c r="U156" s="49">
        <v>9</v>
      </c>
      <c r="V156" s="49">
        <v>10</v>
      </c>
      <c r="W156" s="54">
        <f t="shared" si="1"/>
        <v>10</v>
      </c>
      <c r="X156" s="48"/>
      <c r="Y156" s="2"/>
      <c r="Z156" s="73" t="s">
        <v>31</v>
      </c>
      <c r="AA156" s="2">
        <v>6</v>
      </c>
      <c r="AB156" s="2">
        <v>6</v>
      </c>
      <c r="AC156" s="2">
        <v>6</v>
      </c>
      <c r="AD156" s="2">
        <v>6</v>
      </c>
      <c r="AE156" s="2">
        <v>6</v>
      </c>
      <c r="AF156" s="2">
        <v>6</v>
      </c>
      <c r="AG156" s="2">
        <v>6</v>
      </c>
      <c r="AH156" s="2">
        <v>6</v>
      </c>
      <c r="AI156" s="2">
        <v>6</v>
      </c>
      <c r="AJ156" s="2">
        <v>6</v>
      </c>
      <c r="AK156" s="3"/>
      <c r="AL156" s="3"/>
      <c r="AM156" s="3"/>
      <c r="AN156" s="3"/>
      <c r="AO156" s="3"/>
      <c r="AP156" s="3"/>
      <c r="AQ156" s="2" t="e">
        <f t="shared" ca="1" si="20"/>
        <v>#NAME?</v>
      </c>
      <c r="AR156" s="2"/>
      <c r="AS156" s="2"/>
      <c r="AT156" s="2"/>
      <c r="AU156" s="2"/>
      <c r="AV156" s="2"/>
      <c r="AW156" s="54">
        <f t="shared" si="3"/>
        <v>0</v>
      </c>
      <c r="AX156" s="48"/>
      <c r="AY156" s="2"/>
      <c r="AZ156" s="2">
        <v>7</v>
      </c>
      <c r="BA156" s="2">
        <v>7</v>
      </c>
      <c r="BB156" s="2">
        <v>6</v>
      </c>
      <c r="BC156" s="2">
        <v>6</v>
      </c>
      <c r="BD156" s="2">
        <v>6</v>
      </c>
      <c r="BE156" s="2">
        <v>6</v>
      </c>
      <c r="BF156" s="2">
        <v>7</v>
      </c>
      <c r="BG156" s="2">
        <v>7</v>
      </c>
      <c r="BH156" s="2">
        <v>7</v>
      </c>
      <c r="BI156" s="57">
        <v>7</v>
      </c>
      <c r="BJ156" s="2" t="e">
        <f t="shared" ca="1" si="21"/>
        <v>#NAME?</v>
      </c>
      <c r="BK156" s="5">
        <v>6</v>
      </c>
      <c r="BL156" s="5">
        <v>6</v>
      </c>
      <c r="BM156" s="5">
        <v>6</v>
      </c>
      <c r="BN156" s="5">
        <v>7</v>
      </c>
      <c r="BO156" s="5">
        <v>7</v>
      </c>
      <c r="BP156" s="54">
        <f t="shared" si="5"/>
        <v>7</v>
      </c>
      <c r="BQ156" s="5"/>
      <c r="BR156" s="5"/>
      <c r="BS156" s="87">
        <v>8</v>
      </c>
      <c r="BT156" s="50">
        <v>8</v>
      </c>
      <c r="BU156" s="50">
        <v>9</v>
      </c>
      <c r="BV156" s="8">
        <v>10</v>
      </c>
      <c r="BW156" s="8">
        <v>10</v>
      </c>
      <c r="BX156" s="8">
        <v>10</v>
      </c>
      <c r="BY156" s="8">
        <v>10</v>
      </c>
      <c r="BZ156" s="8">
        <v>10</v>
      </c>
      <c r="CA156" s="86">
        <v>10</v>
      </c>
      <c r="CB156" s="86">
        <v>10</v>
      </c>
      <c r="CC156" s="2" t="e">
        <f t="shared" ca="1" si="22"/>
        <v>#NAME?</v>
      </c>
      <c r="CD156" s="55" t="s">
        <v>31</v>
      </c>
      <c r="CE156" s="2"/>
      <c r="CF156" s="2">
        <v>4</v>
      </c>
      <c r="CG156" s="2">
        <v>4</v>
      </c>
      <c r="CH156" s="2">
        <v>4</v>
      </c>
      <c r="CI156" s="2">
        <v>4</v>
      </c>
      <c r="CJ156" s="2">
        <v>4</v>
      </c>
      <c r="CK156" s="2">
        <v>4</v>
      </c>
      <c r="CL156" s="2">
        <v>4</v>
      </c>
      <c r="CM156" s="2">
        <v>4</v>
      </c>
      <c r="CN156" s="2">
        <v>4</v>
      </c>
      <c r="CO156" s="2">
        <v>4</v>
      </c>
      <c r="CP156" s="2" t="e">
        <f t="shared" ca="1" si="23"/>
        <v>#NAME?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54">
        <f t="shared" si="8"/>
        <v>0</v>
      </c>
      <c r="CW156" s="55" t="s">
        <v>31</v>
      </c>
      <c r="CX156" s="3"/>
    </row>
    <row r="157" spans="1:102" ht="16.5" x14ac:dyDescent="0.55000000000000004">
      <c r="A157" s="17">
        <v>4</v>
      </c>
      <c r="B157" s="17" t="s">
        <v>4</v>
      </c>
      <c r="C157" s="23" t="s">
        <v>354</v>
      </c>
      <c r="D157" s="24" t="s">
        <v>355</v>
      </c>
      <c r="E157" s="48">
        <v>10</v>
      </c>
      <c r="F157" s="2">
        <v>10</v>
      </c>
      <c r="G157" s="49">
        <v>10</v>
      </c>
      <c r="H157" s="49">
        <v>10</v>
      </c>
      <c r="I157" s="49">
        <v>10</v>
      </c>
      <c r="J157" s="49">
        <v>10</v>
      </c>
      <c r="K157" s="49">
        <v>10</v>
      </c>
      <c r="L157" s="49">
        <v>10</v>
      </c>
      <c r="M157" s="49">
        <v>10</v>
      </c>
      <c r="N157" s="49">
        <v>10</v>
      </c>
      <c r="O157" s="49">
        <v>10</v>
      </c>
      <c r="P157" s="49">
        <v>10</v>
      </c>
      <c r="Q157" s="2" t="e">
        <f t="shared" ca="1" si="19"/>
        <v>#NAME?</v>
      </c>
      <c r="R157" s="49">
        <v>10</v>
      </c>
      <c r="S157" s="49">
        <v>10</v>
      </c>
      <c r="T157" s="49">
        <v>10</v>
      </c>
      <c r="U157" s="49">
        <v>10</v>
      </c>
      <c r="V157" s="49">
        <v>10</v>
      </c>
      <c r="W157" s="54">
        <f t="shared" si="1"/>
        <v>10</v>
      </c>
      <c r="X157" s="48"/>
      <c r="Y157" s="2"/>
      <c r="Z157" s="69">
        <v>20</v>
      </c>
      <c r="AA157" s="8">
        <v>10</v>
      </c>
      <c r="AB157" s="8">
        <v>10</v>
      </c>
      <c r="AC157" s="8">
        <v>10</v>
      </c>
      <c r="AD157" s="8">
        <v>10</v>
      </c>
      <c r="AE157" s="8">
        <v>10</v>
      </c>
      <c r="AF157" s="8">
        <v>10</v>
      </c>
      <c r="AG157" s="8">
        <v>10</v>
      </c>
      <c r="AH157" s="8">
        <v>10</v>
      </c>
      <c r="AI157" s="8">
        <v>10</v>
      </c>
      <c r="AJ157" s="8">
        <v>10</v>
      </c>
      <c r="AK157" s="17"/>
      <c r="AL157" s="17"/>
      <c r="AM157" s="17"/>
      <c r="AN157" s="17"/>
      <c r="AO157" s="17"/>
      <c r="AP157" s="17"/>
      <c r="AQ157" s="2" t="e">
        <f t="shared" ca="1" si="20"/>
        <v>#NAME?</v>
      </c>
      <c r="AR157" s="8">
        <v>10</v>
      </c>
      <c r="AS157" s="8">
        <v>10</v>
      </c>
      <c r="AT157" s="8">
        <v>10</v>
      </c>
      <c r="AU157" s="8">
        <v>10</v>
      </c>
      <c r="AV157" s="8">
        <v>10</v>
      </c>
      <c r="AW157" s="54">
        <f t="shared" si="3"/>
        <v>10</v>
      </c>
      <c r="AX157" s="48"/>
      <c r="AY157" s="2"/>
      <c r="AZ157" s="2">
        <v>10</v>
      </c>
      <c r="BA157" s="2">
        <v>10</v>
      </c>
      <c r="BB157" s="2">
        <v>10</v>
      </c>
      <c r="BC157" s="2">
        <v>10</v>
      </c>
      <c r="BD157" s="2">
        <v>10</v>
      </c>
      <c r="BE157" s="2">
        <v>10</v>
      </c>
      <c r="BF157" s="2">
        <v>10</v>
      </c>
      <c r="BG157" s="2">
        <v>10</v>
      </c>
      <c r="BH157" s="2">
        <v>10</v>
      </c>
      <c r="BI157" s="2">
        <v>10</v>
      </c>
      <c r="BJ157" s="2" t="e">
        <f t="shared" ca="1" si="21"/>
        <v>#NAME?</v>
      </c>
      <c r="BK157" s="5">
        <v>10</v>
      </c>
      <c r="BL157" s="5">
        <v>10</v>
      </c>
      <c r="BM157" s="2">
        <v>10</v>
      </c>
      <c r="BN157" s="2">
        <v>10</v>
      </c>
      <c r="BO157" s="2">
        <v>10</v>
      </c>
      <c r="BP157" s="54">
        <f t="shared" si="5"/>
        <v>10</v>
      </c>
      <c r="BQ157" s="5"/>
      <c r="BR157" s="5"/>
      <c r="BS157" s="85">
        <v>10</v>
      </c>
      <c r="BT157" s="8">
        <v>10</v>
      </c>
      <c r="BU157" s="8">
        <v>10</v>
      </c>
      <c r="BV157" s="8">
        <v>10</v>
      </c>
      <c r="BW157" s="8">
        <v>10</v>
      </c>
      <c r="BX157" s="8">
        <v>10</v>
      </c>
      <c r="BY157" s="8">
        <v>10</v>
      </c>
      <c r="BZ157" s="8">
        <v>10</v>
      </c>
      <c r="CA157" s="86">
        <v>10</v>
      </c>
      <c r="CB157" s="86">
        <v>10</v>
      </c>
      <c r="CC157" s="2" t="e">
        <f t="shared" ca="1" si="22"/>
        <v>#NAME?</v>
      </c>
      <c r="CD157" s="55">
        <v>7</v>
      </c>
      <c r="CE157" s="2"/>
      <c r="CF157" s="2">
        <v>10</v>
      </c>
      <c r="CG157" s="2">
        <v>10</v>
      </c>
      <c r="CH157" s="2">
        <v>10</v>
      </c>
      <c r="CI157" s="2">
        <v>10</v>
      </c>
      <c r="CJ157" s="2">
        <v>10</v>
      </c>
      <c r="CK157" s="2">
        <v>9</v>
      </c>
      <c r="CL157" s="2">
        <v>10</v>
      </c>
      <c r="CM157" s="2">
        <v>10</v>
      </c>
      <c r="CN157" s="2">
        <v>10</v>
      </c>
      <c r="CO157" s="2">
        <v>10</v>
      </c>
      <c r="CP157" s="2" t="e">
        <f t="shared" ca="1" si="23"/>
        <v>#NAME?</v>
      </c>
      <c r="CQ157" s="2">
        <v>10</v>
      </c>
      <c r="CR157" s="2">
        <v>9</v>
      </c>
      <c r="CS157" s="2">
        <v>9</v>
      </c>
      <c r="CT157" s="2">
        <v>10</v>
      </c>
      <c r="CU157" s="2">
        <v>10</v>
      </c>
      <c r="CV157" s="54">
        <f t="shared" si="8"/>
        <v>10</v>
      </c>
      <c r="CW157" s="55">
        <v>20</v>
      </c>
      <c r="CX157" s="3"/>
    </row>
    <row r="158" spans="1:102" ht="16.5" x14ac:dyDescent="0.55000000000000004">
      <c r="A158" s="17">
        <v>4</v>
      </c>
      <c r="B158" s="17" t="s">
        <v>4</v>
      </c>
      <c r="C158" s="23" t="s">
        <v>356</v>
      </c>
      <c r="D158" s="24" t="s">
        <v>357</v>
      </c>
      <c r="E158" s="48">
        <v>10</v>
      </c>
      <c r="F158" s="2">
        <v>10</v>
      </c>
      <c r="G158" s="49">
        <v>10</v>
      </c>
      <c r="H158" s="49">
        <v>10</v>
      </c>
      <c r="I158" s="49">
        <v>10</v>
      </c>
      <c r="J158" s="49">
        <v>10</v>
      </c>
      <c r="K158" s="49">
        <v>10</v>
      </c>
      <c r="L158" s="49">
        <v>10</v>
      </c>
      <c r="M158" s="49">
        <v>10</v>
      </c>
      <c r="N158" s="49">
        <v>10</v>
      </c>
      <c r="O158" s="49">
        <v>10</v>
      </c>
      <c r="P158" s="49">
        <v>10</v>
      </c>
      <c r="Q158" s="2" t="e">
        <f t="shared" ca="1" si="19"/>
        <v>#NAME?</v>
      </c>
      <c r="R158" s="49">
        <v>10</v>
      </c>
      <c r="S158" s="49">
        <v>10</v>
      </c>
      <c r="T158" s="49">
        <v>10</v>
      </c>
      <c r="U158" s="49">
        <v>10</v>
      </c>
      <c r="V158" s="49">
        <v>10</v>
      </c>
      <c r="W158" s="54">
        <f t="shared" si="1"/>
        <v>10</v>
      </c>
      <c r="X158" s="48"/>
      <c r="Y158" s="2"/>
      <c r="Z158" s="69">
        <v>10</v>
      </c>
      <c r="AA158" s="8">
        <v>10</v>
      </c>
      <c r="AB158" s="8">
        <v>10</v>
      </c>
      <c r="AC158" s="8">
        <v>10</v>
      </c>
      <c r="AD158" s="8">
        <v>10</v>
      </c>
      <c r="AE158" s="8">
        <v>10</v>
      </c>
      <c r="AF158" s="8">
        <v>10</v>
      </c>
      <c r="AG158" s="8">
        <v>10</v>
      </c>
      <c r="AH158" s="8">
        <v>10</v>
      </c>
      <c r="AI158" s="8">
        <v>10</v>
      </c>
      <c r="AJ158" s="8">
        <v>10</v>
      </c>
      <c r="AK158" s="17"/>
      <c r="AL158" s="17"/>
      <c r="AM158" s="17"/>
      <c r="AN158" s="17"/>
      <c r="AO158" s="17"/>
      <c r="AP158" s="17"/>
      <c r="AQ158" s="2" t="e">
        <f t="shared" ca="1" si="20"/>
        <v>#NAME?</v>
      </c>
      <c r="AR158" s="8">
        <v>10</v>
      </c>
      <c r="AS158" s="8">
        <v>10</v>
      </c>
      <c r="AT158" s="8">
        <v>10</v>
      </c>
      <c r="AU158" s="8">
        <v>10</v>
      </c>
      <c r="AV158" s="8">
        <v>10</v>
      </c>
      <c r="AW158" s="54">
        <f t="shared" si="3"/>
        <v>10</v>
      </c>
      <c r="AX158" s="48"/>
      <c r="AY158" s="2"/>
      <c r="AZ158" s="2">
        <v>10</v>
      </c>
      <c r="BA158" s="2">
        <v>10</v>
      </c>
      <c r="BB158" s="2">
        <v>10</v>
      </c>
      <c r="BC158" s="2">
        <v>10</v>
      </c>
      <c r="BD158" s="2">
        <v>10</v>
      </c>
      <c r="BE158" s="2">
        <v>10</v>
      </c>
      <c r="BF158" s="2">
        <v>10</v>
      </c>
      <c r="BG158" s="2">
        <v>10</v>
      </c>
      <c r="BH158" s="2">
        <v>10</v>
      </c>
      <c r="BI158" s="2">
        <v>10</v>
      </c>
      <c r="BJ158" s="2" t="e">
        <f t="shared" ca="1" si="21"/>
        <v>#NAME?</v>
      </c>
      <c r="BK158" s="5">
        <v>10</v>
      </c>
      <c r="BL158" s="5">
        <v>10</v>
      </c>
      <c r="BM158" s="2">
        <v>10</v>
      </c>
      <c r="BN158" s="2">
        <v>10</v>
      </c>
      <c r="BO158" s="2">
        <v>10</v>
      </c>
      <c r="BP158" s="54">
        <f t="shared" si="5"/>
        <v>10</v>
      </c>
      <c r="BQ158" s="5"/>
      <c r="BR158" s="5"/>
      <c r="BS158" s="85">
        <v>10</v>
      </c>
      <c r="BT158" s="8">
        <v>10</v>
      </c>
      <c r="BU158" s="8">
        <v>10</v>
      </c>
      <c r="BV158" s="8">
        <v>10</v>
      </c>
      <c r="BW158" s="8">
        <v>10</v>
      </c>
      <c r="BX158" s="8">
        <v>10</v>
      </c>
      <c r="BY158" s="8">
        <v>10</v>
      </c>
      <c r="BZ158" s="8">
        <v>10</v>
      </c>
      <c r="CA158" s="86">
        <v>10</v>
      </c>
      <c r="CB158" s="86">
        <v>10</v>
      </c>
      <c r="CC158" s="2" t="e">
        <f t="shared" ca="1" si="22"/>
        <v>#NAME?</v>
      </c>
      <c r="CD158" s="55">
        <v>2</v>
      </c>
      <c r="CE158" s="2"/>
      <c r="CF158" s="2">
        <v>10</v>
      </c>
      <c r="CG158" s="2">
        <v>10</v>
      </c>
      <c r="CH158" s="2">
        <v>10</v>
      </c>
      <c r="CI158" s="2">
        <v>8</v>
      </c>
      <c r="CJ158" s="2">
        <v>8</v>
      </c>
      <c r="CK158" s="2">
        <v>9</v>
      </c>
      <c r="CL158" s="2">
        <v>9</v>
      </c>
      <c r="CM158" s="2">
        <v>8</v>
      </c>
      <c r="CN158" s="2">
        <v>10</v>
      </c>
      <c r="CO158" s="2">
        <v>10</v>
      </c>
      <c r="CP158" s="2" t="e">
        <f t="shared" ca="1" si="23"/>
        <v>#NAME?</v>
      </c>
      <c r="CQ158" s="2">
        <v>10</v>
      </c>
      <c r="CR158" s="2">
        <v>8</v>
      </c>
      <c r="CS158" s="2">
        <v>9</v>
      </c>
      <c r="CT158" s="2">
        <v>10</v>
      </c>
      <c r="CU158" s="2">
        <v>10</v>
      </c>
      <c r="CV158" s="54">
        <f t="shared" si="8"/>
        <v>10</v>
      </c>
      <c r="CW158" s="55">
        <v>10</v>
      </c>
      <c r="CX158" s="3"/>
    </row>
    <row r="159" spans="1:102" ht="16.5" x14ac:dyDescent="0.55000000000000004">
      <c r="A159" s="17">
        <v>4</v>
      </c>
      <c r="B159" s="17" t="s">
        <v>4</v>
      </c>
      <c r="C159" s="23" t="s">
        <v>358</v>
      </c>
      <c r="D159" s="24" t="s">
        <v>359</v>
      </c>
      <c r="E159" s="48">
        <v>9</v>
      </c>
      <c r="F159" s="2">
        <v>8</v>
      </c>
      <c r="G159" s="49">
        <v>10</v>
      </c>
      <c r="H159" s="49">
        <v>10</v>
      </c>
      <c r="I159" s="49">
        <v>10</v>
      </c>
      <c r="J159" s="49">
        <v>10</v>
      </c>
      <c r="K159" s="49">
        <v>10</v>
      </c>
      <c r="L159" s="49">
        <v>10</v>
      </c>
      <c r="M159" s="49">
        <v>10</v>
      </c>
      <c r="N159" s="49">
        <v>10</v>
      </c>
      <c r="O159" s="49">
        <v>10</v>
      </c>
      <c r="P159" s="49">
        <v>10</v>
      </c>
      <c r="Q159" s="2" t="e">
        <f t="shared" ca="1" si="19"/>
        <v>#NAME?</v>
      </c>
      <c r="R159" s="49">
        <v>10</v>
      </c>
      <c r="S159" s="49">
        <v>10</v>
      </c>
      <c r="T159" s="49">
        <v>10</v>
      </c>
      <c r="U159" s="49">
        <v>10</v>
      </c>
      <c r="V159" s="49">
        <v>10</v>
      </c>
      <c r="W159" s="54">
        <f t="shared" si="1"/>
        <v>10</v>
      </c>
      <c r="X159" s="48"/>
      <c r="Y159" s="2"/>
      <c r="Z159" s="73" t="s">
        <v>31</v>
      </c>
      <c r="AA159" s="8">
        <v>10</v>
      </c>
      <c r="AB159" s="8">
        <v>10</v>
      </c>
      <c r="AC159" s="8">
        <v>10</v>
      </c>
      <c r="AD159" s="8">
        <v>10</v>
      </c>
      <c r="AE159" s="8">
        <v>10</v>
      </c>
      <c r="AF159" s="8">
        <v>10</v>
      </c>
      <c r="AG159" s="8">
        <v>10</v>
      </c>
      <c r="AH159" s="8">
        <v>10</v>
      </c>
      <c r="AI159" s="8">
        <v>10</v>
      </c>
      <c r="AJ159" s="8">
        <v>10</v>
      </c>
      <c r="AK159" s="17"/>
      <c r="AL159" s="17"/>
      <c r="AM159" s="17"/>
      <c r="AN159" s="17"/>
      <c r="AO159" s="17"/>
      <c r="AP159" s="17"/>
      <c r="AQ159" s="2" t="e">
        <f t="shared" ca="1" si="20"/>
        <v>#NAME?</v>
      </c>
      <c r="AR159" s="8">
        <v>10</v>
      </c>
      <c r="AS159" s="8">
        <v>10</v>
      </c>
      <c r="AT159" s="8">
        <v>10</v>
      </c>
      <c r="AU159" s="8">
        <v>10</v>
      </c>
      <c r="AV159" s="8">
        <v>10</v>
      </c>
      <c r="AW159" s="54">
        <f t="shared" si="3"/>
        <v>10</v>
      </c>
      <c r="AX159" s="48"/>
      <c r="AY159" s="2"/>
      <c r="AZ159" s="2">
        <v>10</v>
      </c>
      <c r="BA159" s="2">
        <v>10</v>
      </c>
      <c r="BB159" s="2">
        <v>10</v>
      </c>
      <c r="BC159" s="2">
        <v>10</v>
      </c>
      <c r="BD159" s="2">
        <v>10</v>
      </c>
      <c r="BE159" s="2">
        <v>10</v>
      </c>
      <c r="BF159" s="2">
        <v>10</v>
      </c>
      <c r="BG159" s="2">
        <v>10</v>
      </c>
      <c r="BH159" s="2">
        <v>10</v>
      </c>
      <c r="BI159" s="2">
        <v>10</v>
      </c>
      <c r="BJ159" s="2" t="e">
        <f t="shared" ca="1" si="21"/>
        <v>#NAME?</v>
      </c>
      <c r="BK159" s="2">
        <v>10</v>
      </c>
      <c r="BL159" s="2">
        <v>10</v>
      </c>
      <c r="BM159" s="2">
        <v>10</v>
      </c>
      <c r="BN159" s="2">
        <v>10</v>
      </c>
      <c r="BO159" s="2">
        <v>10</v>
      </c>
      <c r="BP159" s="54">
        <f t="shared" si="5"/>
        <v>10</v>
      </c>
      <c r="BQ159" s="5"/>
      <c r="BR159" s="5"/>
      <c r="BS159" s="85">
        <v>10</v>
      </c>
      <c r="BT159" s="8">
        <v>10</v>
      </c>
      <c r="BU159" s="8">
        <v>10</v>
      </c>
      <c r="BV159" s="8">
        <v>10</v>
      </c>
      <c r="BW159" s="8">
        <v>10</v>
      </c>
      <c r="BX159" s="8">
        <v>10</v>
      </c>
      <c r="BY159" s="8">
        <v>10</v>
      </c>
      <c r="BZ159" s="8">
        <v>10</v>
      </c>
      <c r="CA159" s="86">
        <v>10</v>
      </c>
      <c r="CB159" s="86">
        <v>10</v>
      </c>
      <c r="CC159" s="2" t="e">
        <f t="shared" ca="1" si="22"/>
        <v>#NAME?</v>
      </c>
      <c r="CD159" s="55">
        <v>4</v>
      </c>
      <c r="CE159" s="2"/>
      <c r="CF159" s="2">
        <v>9</v>
      </c>
      <c r="CG159" s="2">
        <v>10</v>
      </c>
      <c r="CH159" s="2">
        <v>9</v>
      </c>
      <c r="CI159" s="2">
        <v>8</v>
      </c>
      <c r="CJ159" s="2">
        <v>8</v>
      </c>
      <c r="CK159" s="2">
        <v>8</v>
      </c>
      <c r="CL159" s="2">
        <v>8</v>
      </c>
      <c r="CM159" s="2">
        <v>7</v>
      </c>
      <c r="CN159" s="2">
        <v>3</v>
      </c>
      <c r="CO159" s="2">
        <v>3</v>
      </c>
      <c r="CP159" s="2" t="e">
        <f t="shared" ca="1" si="23"/>
        <v>#NAME?</v>
      </c>
      <c r="CQ159" s="2">
        <v>10</v>
      </c>
      <c r="CR159" s="2">
        <v>9</v>
      </c>
      <c r="CS159" s="2">
        <v>9</v>
      </c>
      <c r="CT159" s="2">
        <v>7</v>
      </c>
      <c r="CU159" s="2">
        <v>3</v>
      </c>
      <c r="CV159" s="54">
        <f t="shared" si="8"/>
        <v>8</v>
      </c>
      <c r="CW159" s="55" t="s">
        <v>31</v>
      </c>
      <c r="CX159" s="3"/>
    </row>
    <row r="160" spans="1:102" ht="16.5" x14ac:dyDescent="0.55000000000000004">
      <c r="A160" s="17">
        <v>4</v>
      </c>
      <c r="B160" s="17" t="s">
        <v>4</v>
      </c>
      <c r="C160" s="23" t="s">
        <v>360</v>
      </c>
      <c r="D160" s="24" t="s">
        <v>361</v>
      </c>
      <c r="E160" s="48">
        <v>10</v>
      </c>
      <c r="F160" s="2">
        <v>10</v>
      </c>
      <c r="G160" s="49">
        <v>10</v>
      </c>
      <c r="H160" s="49">
        <v>10</v>
      </c>
      <c r="I160" s="49">
        <v>10</v>
      </c>
      <c r="J160" s="49">
        <v>10</v>
      </c>
      <c r="K160" s="49">
        <v>10</v>
      </c>
      <c r="L160" s="49">
        <v>10</v>
      </c>
      <c r="M160" s="49">
        <v>10</v>
      </c>
      <c r="N160" s="49">
        <v>10</v>
      </c>
      <c r="O160" s="49">
        <v>10</v>
      </c>
      <c r="P160" s="49">
        <v>10</v>
      </c>
      <c r="Q160" s="2" t="e">
        <f t="shared" ca="1" si="19"/>
        <v>#NAME?</v>
      </c>
      <c r="R160" s="49">
        <v>10</v>
      </c>
      <c r="S160" s="49">
        <v>10</v>
      </c>
      <c r="T160" s="49">
        <v>10</v>
      </c>
      <c r="U160" s="49">
        <v>10</v>
      </c>
      <c r="V160" s="49">
        <v>10</v>
      </c>
      <c r="W160" s="54">
        <f t="shared" si="1"/>
        <v>10</v>
      </c>
      <c r="X160" s="48"/>
      <c r="Y160" s="2"/>
      <c r="Z160" s="69">
        <v>8</v>
      </c>
      <c r="AA160" s="8">
        <v>10</v>
      </c>
      <c r="AB160" s="8">
        <v>10</v>
      </c>
      <c r="AC160" s="8">
        <v>10</v>
      </c>
      <c r="AD160" s="8">
        <v>10</v>
      </c>
      <c r="AE160" s="8">
        <v>10</v>
      </c>
      <c r="AF160" s="8">
        <v>10</v>
      </c>
      <c r="AG160" s="8">
        <v>10</v>
      </c>
      <c r="AH160" s="8">
        <v>10</v>
      </c>
      <c r="AI160" s="8">
        <v>10</v>
      </c>
      <c r="AJ160" s="8">
        <v>10</v>
      </c>
      <c r="AK160" s="17"/>
      <c r="AL160" s="17"/>
      <c r="AM160" s="17"/>
      <c r="AN160" s="17"/>
      <c r="AO160" s="17"/>
      <c r="AP160" s="17"/>
      <c r="AQ160" s="2" t="e">
        <f t="shared" ca="1" si="20"/>
        <v>#NAME?</v>
      </c>
      <c r="AR160" s="8">
        <v>10</v>
      </c>
      <c r="AS160" s="8">
        <v>10</v>
      </c>
      <c r="AT160" s="8">
        <v>10</v>
      </c>
      <c r="AU160" s="8">
        <v>10</v>
      </c>
      <c r="AV160" s="8">
        <v>10</v>
      </c>
      <c r="AW160" s="54">
        <f t="shared" si="3"/>
        <v>10</v>
      </c>
      <c r="AX160" s="48"/>
      <c r="AY160" s="2"/>
      <c r="AZ160" s="2">
        <v>10</v>
      </c>
      <c r="BA160" s="2">
        <v>10</v>
      </c>
      <c r="BB160" s="2">
        <v>10</v>
      </c>
      <c r="BC160" s="2">
        <v>10</v>
      </c>
      <c r="BD160" s="2">
        <v>10</v>
      </c>
      <c r="BE160" s="2">
        <v>10</v>
      </c>
      <c r="BF160" s="2">
        <v>10</v>
      </c>
      <c r="BG160" s="2">
        <v>10</v>
      </c>
      <c r="BH160" s="2">
        <v>10</v>
      </c>
      <c r="BI160" s="2">
        <v>10</v>
      </c>
      <c r="BJ160" s="2" t="e">
        <f t="shared" ca="1" si="21"/>
        <v>#NAME?</v>
      </c>
      <c r="BK160" s="5">
        <v>10</v>
      </c>
      <c r="BL160" s="5">
        <v>10</v>
      </c>
      <c r="BM160" s="2">
        <v>10</v>
      </c>
      <c r="BN160" s="2">
        <v>10</v>
      </c>
      <c r="BO160" s="2">
        <v>10</v>
      </c>
      <c r="BP160" s="54">
        <f t="shared" si="5"/>
        <v>10</v>
      </c>
      <c r="BQ160" s="5"/>
      <c r="BR160" s="5"/>
      <c r="BS160" s="85">
        <v>10</v>
      </c>
      <c r="BT160" s="8">
        <v>10</v>
      </c>
      <c r="BU160" s="8">
        <v>10</v>
      </c>
      <c r="BV160" s="8">
        <v>10</v>
      </c>
      <c r="BW160" s="8">
        <v>10</v>
      </c>
      <c r="BX160" s="8">
        <v>10</v>
      </c>
      <c r="BY160" s="8">
        <v>10</v>
      </c>
      <c r="BZ160" s="8">
        <v>10</v>
      </c>
      <c r="CA160" s="86">
        <v>10</v>
      </c>
      <c r="CB160" s="86">
        <v>10</v>
      </c>
      <c r="CC160" s="2" t="e">
        <f t="shared" ca="1" si="22"/>
        <v>#NAME?</v>
      </c>
      <c r="CD160" s="55">
        <v>2</v>
      </c>
      <c r="CE160" s="2"/>
      <c r="CF160" s="2">
        <v>10</v>
      </c>
      <c r="CG160" s="2">
        <v>10</v>
      </c>
      <c r="CH160" s="2">
        <v>10</v>
      </c>
      <c r="CI160" s="2">
        <v>10</v>
      </c>
      <c r="CJ160" s="2">
        <v>10</v>
      </c>
      <c r="CK160" s="2">
        <v>9</v>
      </c>
      <c r="CL160" s="2">
        <v>10</v>
      </c>
      <c r="CM160" s="2">
        <v>10</v>
      </c>
      <c r="CN160" s="2">
        <v>10</v>
      </c>
      <c r="CO160" s="2">
        <v>10</v>
      </c>
      <c r="CP160" s="2" t="e">
        <f t="shared" ca="1" si="23"/>
        <v>#NAME?</v>
      </c>
      <c r="CQ160" s="2">
        <v>10</v>
      </c>
      <c r="CR160" s="2">
        <v>10</v>
      </c>
      <c r="CS160" s="2">
        <v>9</v>
      </c>
      <c r="CT160" s="2">
        <v>10</v>
      </c>
      <c r="CU160" s="2">
        <v>10</v>
      </c>
      <c r="CV160" s="54">
        <f t="shared" si="8"/>
        <v>10</v>
      </c>
      <c r="CW160" s="55">
        <v>13</v>
      </c>
      <c r="CX160" s="3"/>
    </row>
    <row r="161" spans="1:102" ht="16.5" x14ac:dyDescent="0.55000000000000004">
      <c r="A161" s="17">
        <v>4</v>
      </c>
      <c r="B161" s="17" t="s">
        <v>4</v>
      </c>
      <c r="C161" s="23" t="s">
        <v>362</v>
      </c>
      <c r="D161" s="24" t="s">
        <v>363</v>
      </c>
      <c r="E161" s="48">
        <v>10</v>
      </c>
      <c r="F161" s="2">
        <v>10</v>
      </c>
      <c r="G161" s="49">
        <v>10</v>
      </c>
      <c r="H161" s="49">
        <v>10</v>
      </c>
      <c r="I161" s="49">
        <v>10</v>
      </c>
      <c r="J161" s="49">
        <v>10</v>
      </c>
      <c r="K161" s="49">
        <v>10</v>
      </c>
      <c r="L161" s="49">
        <v>10</v>
      </c>
      <c r="M161" s="49">
        <v>10</v>
      </c>
      <c r="N161" s="49">
        <v>10</v>
      </c>
      <c r="O161" s="49">
        <v>10</v>
      </c>
      <c r="P161" s="49">
        <v>10</v>
      </c>
      <c r="Q161" s="2" t="e">
        <f t="shared" ca="1" si="19"/>
        <v>#NAME?</v>
      </c>
      <c r="R161" s="49">
        <v>10</v>
      </c>
      <c r="S161" s="49">
        <v>10</v>
      </c>
      <c r="T161" s="49">
        <v>10</v>
      </c>
      <c r="U161" s="49">
        <v>10</v>
      </c>
      <c r="V161" s="49">
        <v>10</v>
      </c>
      <c r="W161" s="54">
        <f t="shared" si="1"/>
        <v>10</v>
      </c>
      <c r="X161" s="48"/>
      <c r="Y161" s="2"/>
      <c r="Z161" s="69">
        <v>3</v>
      </c>
      <c r="AA161" s="8">
        <v>10</v>
      </c>
      <c r="AB161" s="8">
        <v>10</v>
      </c>
      <c r="AC161" s="8">
        <v>10</v>
      </c>
      <c r="AD161" s="8">
        <v>10</v>
      </c>
      <c r="AE161" s="8">
        <v>10</v>
      </c>
      <c r="AF161" s="8">
        <v>10</v>
      </c>
      <c r="AG161" s="8">
        <v>10</v>
      </c>
      <c r="AH161" s="8">
        <v>10</v>
      </c>
      <c r="AI161" s="8">
        <v>10</v>
      </c>
      <c r="AJ161" s="8">
        <v>10</v>
      </c>
      <c r="AK161" s="17"/>
      <c r="AL161" s="17"/>
      <c r="AM161" s="17"/>
      <c r="AN161" s="17"/>
      <c r="AO161" s="17"/>
      <c r="AP161" s="17"/>
      <c r="AQ161" s="2" t="e">
        <f t="shared" ca="1" si="20"/>
        <v>#NAME?</v>
      </c>
      <c r="AR161" s="8">
        <v>10</v>
      </c>
      <c r="AS161" s="8">
        <v>10</v>
      </c>
      <c r="AT161" s="8">
        <v>10</v>
      </c>
      <c r="AU161" s="8">
        <v>10</v>
      </c>
      <c r="AV161" s="8">
        <v>10</v>
      </c>
      <c r="AW161" s="54">
        <f t="shared" si="3"/>
        <v>10</v>
      </c>
      <c r="AX161" s="48"/>
      <c r="AY161" s="2"/>
      <c r="AZ161" s="2">
        <v>10</v>
      </c>
      <c r="BA161" s="2">
        <v>10</v>
      </c>
      <c r="BB161" s="2">
        <v>10</v>
      </c>
      <c r="BC161" s="2">
        <v>10</v>
      </c>
      <c r="BD161" s="2">
        <v>10</v>
      </c>
      <c r="BE161" s="2">
        <v>10</v>
      </c>
      <c r="BF161" s="2">
        <v>10</v>
      </c>
      <c r="BG161" s="2">
        <v>10</v>
      </c>
      <c r="BH161" s="2">
        <v>10</v>
      </c>
      <c r="BI161" s="2">
        <v>10</v>
      </c>
      <c r="BJ161" s="2" t="e">
        <f t="shared" ca="1" si="21"/>
        <v>#NAME?</v>
      </c>
      <c r="BK161" s="2">
        <v>10</v>
      </c>
      <c r="BL161" s="2">
        <v>10</v>
      </c>
      <c r="BM161" s="2">
        <v>10</v>
      </c>
      <c r="BN161" s="2">
        <v>10</v>
      </c>
      <c r="BO161" s="2">
        <v>10</v>
      </c>
      <c r="BP161" s="54">
        <f t="shared" si="5"/>
        <v>10</v>
      </c>
      <c r="BQ161" s="5"/>
      <c r="BR161" s="5"/>
      <c r="BS161" s="85">
        <v>10</v>
      </c>
      <c r="BT161" s="8">
        <v>10</v>
      </c>
      <c r="BU161" s="8">
        <v>10</v>
      </c>
      <c r="BV161" s="8">
        <v>10</v>
      </c>
      <c r="BW161" s="8">
        <v>10</v>
      </c>
      <c r="BX161" s="8">
        <v>10</v>
      </c>
      <c r="BY161" s="8">
        <v>10</v>
      </c>
      <c r="BZ161" s="8">
        <v>10</v>
      </c>
      <c r="CA161" s="86">
        <v>10</v>
      </c>
      <c r="CB161" s="86">
        <v>10</v>
      </c>
      <c r="CC161" s="2" t="e">
        <f t="shared" ca="1" si="22"/>
        <v>#NAME?</v>
      </c>
      <c r="CD161" s="55">
        <v>10</v>
      </c>
      <c r="CE161" s="2"/>
      <c r="CF161" s="2">
        <v>10</v>
      </c>
      <c r="CG161" s="2">
        <v>10</v>
      </c>
      <c r="CH161" s="2">
        <v>10</v>
      </c>
      <c r="CI161" s="2">
        <v>10</v>
      </c>
      <c r="CJ161" s="2">
        <v>10</v>
      </c>
      <c r="CK161" s="2">
        <v>10</v>
      </c>
      <c r="CL161" s="2">
        <v>10</v>
      </c>
      <c r="CM161" s="2">
        <v>10</v>
      </c>
      <c r="CN161" s="2">
        <v>10</v>
      </c>
      <c r="CO161" s="2">
        <v>10</v>
      </c>
      <c r="CP161" s="2" t="e">
        <f t="shared" ca="1" si="23"/>
        <v>#NAME?</v>
      </c>
      <c r="CQ161" s="2">
        <v>10</v>
      </c>
      <c r="CR161" s="2">
        <v>10</v>
      </c>
      <c r="CS161" s="2">
        <v>10</v>
      </c>
      <c r="CT161" s="2">
        <v>10</v>
      </c>
      <c r="CU161" s="2">
        <v>10</v>
      </c>
      <c r="CV161" s="54">
        <f t="shared" si="8"/>
        <v>10</v>
      </c>
      <c r="CW161" s="55">
        <v>2</v>
      </c>
      <c r="CX161" s="3"/>
    </row>
    <row r="162" spans="1:102" ht="16.5" x14ac:dyDescent="0.55000000000000004">
      <c r="A162" s="17">
        <v>4</v>
      </c>
      <c r="B162" s="17" t="s">
        <v>4</v>
      </c>
      <c r="C162" s="23" t="s">
        <v>364</v>
      </c>
      <c r="D162" s="24" t="s">
        <v>365</v>
      </c>
      <c r="E162" s="48">
        <v>8</v>
      </c>
      <c r="F162" s="2">
        <v>9</v>
      </c>
      <c r="G162" s="49">
        <v>10</v>
      </c>
      <c r="H162" s="49">
        <v>10</v>
      </c>
      <c r="I162" s="49">
        <v>10</v>
      </c>
      <c r="J162" s="49">
        <v>10</v>
      </c>
      <c r="K162" s="49">
        <v>10</v>
      </c>
      <c r="L162" s="49">
        <v>10</v>
      </c>
      <c r="M162" s="49">
        <v>10</v>
      </c>
      <c r="N162" s="49">
        <v>10</v>
      </c>
      <c r="O162" s="49">
        <v>10</v>
      </c>
      <c r="P162" s="49">
        <v>10</v>
      </c>
      <c r="Q162" s="2" t="e">
        <f t="shared" ca="1" si="19"/>
        <v>#NAME?</v>
      </c>
      <c r="R162" s="49">
        <v>10</v>
      </c>
      <c r="S162" s="49">
        <v>10</v>
      </c>
      <c r="T162" s="49">
        <v>10</v>
      </c>
      <c r="U162" s="49">
        <v>10</v>
      </c>
      <c r="V162" s="49">
        <v>10</v>
      </c>
      <c r="W162" s="54">
        <f t="shared" si="1"/>
        <v>10</v>
      </c>
      <c r="X162" s="48"/>
      <c r="Y162" s="2"/>
      <c r="Z162" s="69">
        <v>0</v>
      </c>
      <c r="AA162" s="8">
        <v>10</v>
      </c>
      <c r="AB162" s="8">
        <v>10</v>
      </c>
      <c r="AC162" s="8">
        <v>10</v>
      </c>
      <c r="AD162" s="8">
        <v>10</v>
      </c>
      <c r="AE162" s="8">
        <v>10</v>
      </c>
      <c r="AF162" s="8">
        <v>10</v>
      </c>
      <c r="AG162" s="8">
        <v>10</v>
      </c>
      <c r="AH162" s="8">
        <v>10</v>
      </c>
      <c r="AI162" s="8">
        <v>10</v>
      </c>
      <c r="AJ162" s="8">
        <v>10</v>
      </c>
      <c r="AK162" s="17"/>
      <c r="AL162" s="17"/>
      <c r="AM162" s="17"/>
      <c r="AN162" s="17"/>
      <c r="AO162" s="17"/>
      <c r="AP162" s="17"/>
      <c r="AQ162" s="2" t="e">
        <f t="shared" ca="1" si="20"/>
        <v>#NAME?</v>
      </c>
      <c r="AR162" s="8">
        <v>10</v>
      </c>
      <c r="AS162" s="8">
        <v>10</v>
      </c>
      <c r="AT162" s="8">
        <v>10</v>
      </c>
      <c r="AU162" s="8">
        <v>10</v>
      </c>
      <c r="AV162" s="8">
        <v>10</v>
      </c>
      <c r="AW162" s="54">
        <f t="shared" si="3"/>
        <v>10</v>
      </c>
      <c r="AX162" s="48"/>
      <c r="AY162" s="2"/>
      <c r="AZ162" s="2">
        <v>10</v>
      </c>
      <c r="BA162" s="2">
        <v>10</v>
      </c>
      <c r="BB162" s="2">
        <v>10</v>
      </c>
      <c r="BC162" s="2">
        <v>10</v>
      </c>
      <c r="BD162" s="2">
        <v>10</v>
      </c>
      <c r="BE162" s="2">
        <v>10</v>
      </c>
      <c r="BF162" s="2">
        <v>10</v>
      </c>
      <c r="BG162" s="2">
        <v>10</v>
      </c>
      <c r="BH162" s="2">
        <v>10</v>
      </c>
      <c r="BI162" s="2">
        <v>10</v>
      </c>
      <c r="BJ162" s="2" t="e">
        <f t="shared" ca="1" si="21"/>
        <v>#NAME?</v>
      </c>
      <c r="BK162" s="2">
        <v>10</v>
      </c>
      <c r="BL162" s="2">
        <v>10</v>
      </c>
      <c r="BM162" s="2">
        <v>10</v>
      </c>
      <c r="BN162" s="2">
        <v>10</v>
      </c>
      <c r="BO162" s="2">
        <v>10</v>
      </c>
      <c r="BP162" s="54">
        <f t="shared" si="5"/>
        <v>10</v>
      </c>
      <c r="BQ162" s="5"/>
      <c r="BR162" s="5"/>
      <c r="BS162" s="85">
        <v>10</v>
      </c>
      <c r="BT162" s="8">
        <v>10</v>
      </c>
      <c r="BU162" s="8">
        <v>10</v>
      </c>
      <c r="BV162" s="8">
        <v>10</v>
      </c>
      <c r="BW162" s="8">
        <v>10</v>
      </c>
      <c r="BX162" s="8">
        <v>10</v>
      </c>
      <c r="BY162" s="8">
        <v>10</v>
      </c>
      <c r="BZ162" s="8">
        <v>10</v>
      </c>
      <c r="CA162" s="86">
        <v>10</v>
      </c>
      <c r="CB162" s="86">
        <v>10</v>
      </c>
      <c r="CC162" s="2" t="e">
        <f t="shared" ca="1" si="22"/>
        <v>#NAME?</v>
      </c>
      <c r="CD162" s="55" t="s">
        <v>31</v>
      </c>
      <c r="CE162" s="2"/>
      <c r="CF162" s="2">
        <v>10</v>
      </c>
      <c r="CG162" s="2">
        <v>10</v>
      </c>
      <c r="CH162" s="2">
        <v>10</v>
      </c>
      <c r="CI162" s="2">
        <v>5</v>
      </c>
      <c r="CJ162" s="2">
        <v>6</v>
      </c>
      <c r="CK162" s="2">
        <v>7</v>
      </c>
      <c r="CL162" s="2">
        <v>8</v>
      </c>
      <c r="CM162" s="2">
        <v>3</v>
      </c>
      <c r="CN162" s="2">
        <v>3</v>
      </c>
      <c r="CO162" s="2">
        <v>3</v>
      </c>
      <c r="CP162" s="2" t="e">
        <f t="shared" ca="1" si="23"/>
        <v>#NAME?</v>
      </c>
      <c r="CQ162" s="2">
        <v>7</v>
      </c>
      <c r="CR162" s="2">
        <v>7</v>
      </c>
      <c r="CS162" s="2">
        <v>7</v>
      </c>
      <c r="CT162" s="2">
        <v>9</v>
      </c>
      <c r="CU162" s="2">
        <v>3</v>
      </c>
      <c r="CV162" s="54">
        <f t="shared" si="8"/>
        <v>7</v>
      </c>
      <c r="CW162" s="55">
        <v>1</v>
      </c>
      <c r="CX162" s="3"/>
    </row>
    <row r="163" spans="1:102" ht="16.5" x14ac:dyDescent="0.55000000000000004">
      <c r="A163" s="17">
        <v>4</v>
      </c>
      <c r="B163" s="17" t="s">
        <v>4</v>
      </c>
      <c r="C163" s="23" t="s">
        <v>366</v>
      </c>
      <c r="D163" s="24" t="s">
        <v>367</v>
      </c>
      <c r="E163" s="48">
        <v>9</v>
      </c>
      <c r="F163" s="2">
        <v>10</v>
      </c>
      <c r="G163" s="49">
        <v>10</v>
      </c>
      <c r="H163" s="49">
        <v>9</v>
      </c>
      <c r="I163" s="49">
        <v>9.5</v>
      </c>
      <c r="J163" s="49">
        <v>10</v>
      </c>
      <c r="K163" s="49">
        <v>10</v>
      </c>
      <c r="L163" s="49">
        <v>10</v>
      </c>
      <c r="M163" s="49">
        <v>9</v>
      </c>
      <c r="N163" s="49">
        <v>9.5</v>
      </c>
      <c r="O163" s="49">
        <v>10</v>
      </c>
      <c r="P163" s="49">
        <v>10</v>
      </c>
      <c r="Q163" s="2" t="e">
        <f t="shared" ca="1" si="19"/>
        <v>#NAME?</v>
      </c>
      <c r="R163" s="49">
        <v>10</v>
      </c>
      <c r="S163" s="49">
        <v>10</v>
      </c>
      <c r="T163" s="49">
        <v>9</v>
      </c>
      <c r="U163" s="49">
        <v>10</v>
      </c>
      <c r="V163" s="49">
        <v>10</v>
      </c>
      <c r="W163" s="54">
        <f t="shared" si="1"/>
        <v>10</v>
      </c>
      <c r="X163" s="48"/>
      <c r="Y163" s="2"/>
      <c r="Z163" s="69">
        <v>3</v>
      </c>
      <c r="AA163" s="8">
        <v>10</v>
      </c>
      <c r="AB163" s="8">
        <v>10</v>
      </c>
      <c r="AC163" s="8">
        <v>10</v>
      </c>
      <c r="AD163" s="8">
        <v>10</v>
      </c>
      <c r="AE163" s="8">
        <v>10</v>
      </c>
      <c r="AF163" s="8">
        <v>10</v>
      </c>
      <c r="AG163" s="8">
        <v>10</v>
      </c>
      <c r="AH163" s="8">
        <v>10</v>
      </c>
      <c r="AI163" s="8">
        <v>10</v>
      </c>
      <c r="AJ163" s="8">
        <v>10</v>
      </c>
      <c r="AK163" s="17"/>
      <c r="AL163" s="17"/>
      <c r="AM163" s="17"/>
      <c r="AN163" s="17"/>
      <c r="AO163" s="17"/>
      <c r="AP163" s="17"/>
      <c r="AQ163" s="2" t="e">
        <f t="shared" ca="1" si="20"/>
        <v>#NAME?</v>
      </c>
      <c r="AR163" s="8">
        <v>10</v>
      </c>
      <c r="AS163" s="8">
        <v>10</v>
      </c>
      <c r="AT163" s="8">
        <v>10</v>
      </c>
      <c r="AU163" s="8">
        <v>10</v>
      </c>
      <c r="AV163" s="8">
        <v>10</v>
      </c>
      <c r="AW163" s="54">
        <f t="shared" si="3"/>
        <v>10</v>
      </c>
      <c r="AX163" s="48"/>
      <c r="AY163" s="2"/>
      <c r="AZ163" s="2">
        <v>10</v>
      </c>
      <c r="BA163" s="2">
        <v>10</v>
      </c>
      <c r="BB163" s="2">
        <v>10</v>
      </c>
      <c r="BC163" s="2">
        <v>10</v>
      </c>
      <c r="BD163" s="2">
        <v>10</v>
      </c>
      <c r="BE163" s="2">
        <v>10</v>
      </c>
      <c r="BF163" s="2">
        <v>10</v>
      </c>
      <c r="BG163" s="2">
        <v>10</v>
      </c>
      <c r="BH163" s="2">
        <v>10</v>
      </c>
      <c r="BI163" s="2">
        <v>10</v>
      </c>
      <c r="BJ163" s="2" t="e">
        <f t="shared" ca="1" si="21"/>
        <v>#NAME?</v>
      </c>
      <c r="BK163" s="5">
        <v>10</v>
      </c>
      <c r="BL163" s="2">
        <v>10</v>
      </c>
      <c r="BM163" s="2">
        <v>10</v>
      </c>
      <c r="BN163" s="2">
        <v>10</v>
      </c>
      <c r="BO163" s="2">
        <v>10</v>
      </c>
      <c r="BP163" s="54">
        <f t="shared" si="5"/>
        <v>10</v>
      </c>
      <c r="BQ163" s="5"/>
      <c r="BR163" s="5"/>
      <c r="BS163" s="85">
        <v>10</v>
      </c>
      <c r="BT163" s="8">
        <v>10</v>
      </c>
      <c r="BU163" s="8">
        <v>10</v>
      </c>
      <c r="BV163" s="8">
        <v>10</v>
      </c>
      <c r="BW163" s="8">
        <v>10</v>
      </c>
      <c r="BX163" s="8">
        <v>10</v>
      </c>
      <c r="BY163" s="8">
        <v>10</v>
      </c>
      <c r="BZ163" s="8">
        <v>10</v>
      </c>
      <c r="CA163" s="86">
        <v>10</v>
      </c>
      <c r="CB163" s="86">
        <v>10</v>
      </c>
      <c r="CC163" s="2" t="e">
        <f t="shared" ca="1" si="22"/>
        <v>#NAME?</v>
      </c>
      <c r="CD163" s="55">
        <v>3</v>
      </c>
      <c r="CE163" s="2"/>
      <c r="CF163" s="2">
        <v>9</v>
      </c>
      <c r="CG163" s="2">
        <v>9</v>
      </c>
      <c r="CH163" s="2">
        <v>10</v>
      </c>
      <c r="CI163" s="2">
        <v>10</v>
      </c>
      <c r="CJ163" s="2">
        <v>9</v>
      </c>
      <c r="CK163" s="2">
        <v>7</v>
      </c>
      <c r="CL163" s="2">
        <v>9</v>
      </c>
      <c r="CM163" s="2">
        <v>7</v>
      </c>
      <c r="CN163" s="2">
        <v>7</v>
      </c>
      <c r="CO163" s="2">
        <v>8</v>
      </c>
      <c r="CP163" s="2" t="e">
        <f t="shared" ca="1" si="23"/>
        <v>#NAME?</v>
      </c>
      <c r="CQ163" s="2">
        <v>10</v>
      </c>
      <c r="CR163" s="2">
        <v>9</v>
      </c>
      <c r="CS163" s="2">
        <v>9</v>
      </c>
      <c r="CT163" s="2">
        <v>10</v>
      </c>
      <c r="CU163" s="2">
        <v>10</v>
      </c>
      <c r="CV163" s="54">
        <f t="shared" si="8"/>
        <v>10</v>
      </c>
      <c r="CW163" s="55">
        <v>5</v>
      </c>
      <c r="CX163" s="3"/>
    </row>
    <row r="164" spans="1:102" ht="16.5" x14ac:dyDescent="0.55000000000000004">
      <c r="A164" s="17">
        <v>4</v>
      </c>
      <c r="B164" s="17" t="s">
        <v>4</v>
      </c>
      <c r="C164" s="23" t="s">
        <v>368</v>
      </c>
      <c r="D164" s="24" t="s">
        <v>369</v>
      </c>
      <c r="E164" s="48">
        <v>8</v>
      </c>
      <c r="F164" s="2">
        <v>7</v>
      </c>
      <c r="G164" s="49">
        <v>10</v>
      </c>
      <c r="H164" s="49">
        <v>10</v>
      </c>
      <c r="I164" s="49">
        <v>10</v>
      </c>
      <c r="J164" s="49">
        <v>10</v>
      </c>
      <c r="K164" s="49">
        <v>10</v>
      </c>
      <c r="L164" s="49">
        <v>10</v>
      </c>
      <c r="M164" s="49">
        <v>10</v>
      </c>
      <c r="N164" s="49">
        <v>10</v>
      </c>
      <c r="O164" s="49">
        <v>10</v>
      </c>
      <c r="P164" s="49">
        <v>10</v>
      </c>
      <c r="Q164" s="2" t="e">
        <f t="shared" ca="1" si="19"/>
        <v>#NAME?</v>
      </c>
      <c r="R164" s="49">
        <v>10</v>
      </c>
      <c r="S164" s="49">
        <v>10</v>
      </c>
      <c r="T164" s="49">
        <v>10</v>
      </c>
      <c r="U164" s="49">
        <v>10</v>
      </c>
      <c r="V164" s="49">
        <v>10</v>
      </c>
      <c r="W164" s="54">
        <f t="shared" si="1"/>
        <v>10</v>
      </c>
      <c r="X164" s="48"/>
      <c r="Y164" s="2"/>
      <c r="Z164" s="69">
        <v>8</v>
      </c>
      <c r="AA164" s="8">
        <v>10</v>
      </c>
      <c r="AB164" s="8">
        <v>10</v>
      </c>
      <c r="AC164" s="8">
        <v>10</v>
      </c>
      <c r="AD164" s="8">
        <v>10</v>
      </c>
      <c r="AE164" s="8">
        <v>10</v>
      </c>
      <c r="AF164" s="8">
        <v>10</v>
      </c>
      <c r="AG164" s="8">
        <v>10</v>
      </c>
      <c r="AH164" s="8">
        <v>10</v>
      </c>
      <c r="AI164" s="8">
        <v>10</v>
      </c>
      <c r="AJ164" s="8">
        <v>10</v>
      </c>
      <c r="AK164" s="17"/>
      <c r="AL164" s="17"/>
      <c r="AM164" s="17"/>
      <c r="AN164" s="17"/>
      <c r="AO164" s="17"/>
      <c r="AP164" s="17"/>
      <c r="AQ164" s="2" t="e">
        <f t="shared" ca="1" si="20"/>
        <v>#NAME?</v>
      </c>
      <c r="AR164" s="8">
        <v>10</v>
      </c>
      <c r="AS164" s="8">
        <v>10</v>
      </c>
      <c r="AT164" s="8">
        <v>10</v>
      </c>
      <c r="AU164" s="8">
        <v>10</v>
      </c>
      <c r="AV164" s="8">
        <v>10</v>
      </c>
      <c r="AW164" s="54">
        <f t="shared" si="3"/>
        <v>10</v>
      </c>
      <c r="AX164" s="48"/>
      <c r="AY164" s="2"/>
      <c r="AZ164" s="2">
        <v>10</v>
      </c>
      <c r="BA164" s="2">
        <v>10</v>
      </c>
      <c r="BB164" s="2">
        <v>10</v>
      </c>
      <c r="BC164" s="2">
        <v>10</v>
      </c>
      <c r="BD164" s="2">
        <v>10</v>
      </c>
      <c r="BE164" s="2">
        <v>10</v>
      </c>
      <c r="BF164" s="2">
        <v>10</v>
      </c>
      <c r="BG164" s="2">
        <v>10</v>
      </c>
      <c r="BH164" s="2">
        <v>10</v>
      </c>
      <c r="BI164" s="2">
        <v>10</v>
      </c>
      <c r="BJ164" s="2" t="e">
        <f t="shared" ca="1" si="21"/>
        <v>#NAME?</v>
      </c>
      <c r="BK164" s="5">
        <v>10</v>
      </c>
      <c r="BL164" s="5">
        <v>10</v>
      </c>
      <c r="BM164" s="2">
        <v>10</v>
      </c>
      <c r="BN164" s="2">
        <v>10</v>
      </c>
      <c r="BO164" s="2">
        <v>10</v>
      </c>
      <c r="BP164" s="54">
        <f t="shared" si="5"/>
        <v>10</v>
      </c>
      <c r="BQ164" s="5"/>
      <c r="BR164" s="5"/>
      <c r="BS164" s="85">
        <v>10</v>
      </c>
      <c r="BT164" s="8">
        <v>10</v>
      </c>
      <c r="BU164" s="8">
        <v>10</v>
      </c>
      <c r="BV164" s="8">
        <v>10</v>
      </c>
      <c r="BW164" s="8">
        <v>10</v>
      </c>
      <c r="BX164" s="8">
        <v>10</v>
      </c>
      <c r="BY164" s="8">
        <v>10</v>
      </c>
      <c r="BZ164" s="8">
        <v>10</v>
      </c>
      <c r="CA164" s="86">
        <v>10</v>
      </c>
      <c r="CB164" s="86">
        <v>10</v>
      </c>
      <c r="CC164" s="2" t="e">
        <f t="shared" ca="1" si="22"/>
        <v>#NAME?</v>
      </c>
      <c r="CD164" s="55" t="s">
        <v>31</v>
      </c>
      <c r="CE164" s="2"/>
      <c r="CF164" s="2">
        <v>9</v>
      </c>
      <c r="CG164" s="2">
        <v>9</v>
      </c>
      <c r="CH164" s="2">
        <v>10</v>
      </c>
      <c r="CI164" s="2">
        <v>10</v>
      </c>
      <c r="CJ164" s="2">
        <v>10</v>
      </c>
      <c r="CK164" s="2">
        <v>9</v>
      </c>
      <c r="CL164" s="2">
        <v>9</v>
      </c>
      <c r="CM164" s="2">
        <v>10</v>
      </c>
      <c r="CN164" s="2">
        <v>10</v>
      </c>
      <c r="CO164" s="2">
        <v>10</v>
      </c>
      <c r="CP164" s="2" t="e">
        <f t="shared" ca="1" si="23"/>
        <v>#NAME?</v>
      </c>
      <c r="CQ164" s="2">
        <v>10</v>
      </c>
      <c r="CR164" s="2">
        <v>9</v>
      </c>
      <c r="CS164" s="2">
        <v>10</v>
      </c>
      <c r="CT164" s="2">
        <v>10</v>
      </c>
      <c r="CU164" s="2">
        <v>10</v>
      </c>
      <c r="CV164" s="54">
        <f t="shared" si="8"/>
        <v>10</v>
      </c>
      <c r="CW164" s="55">
        <v>11</v>
      </c>
      <c r="CX164" s="3"/>
    </row>
    <row r="165" spans="1:102" ht="16.5" x14ac:dyDescent="0.55000000000000004">
      <c r="A165" s="17">
        <v>4</v>
      </c>
      <c r="B165" s="17" t="s">
        <v>4</v>
      </c>
      <c r="C165" s="23" t="s">
        <v>370</v>
      </c>
      <c r="D165" s="24" t="s">
        <v>371</v>
      </c>
      <c r="E165" s="48">
        <v>10</v>
      </c>
      <c r="F165" s="48">
        <v>10</v>
      </c>
      <c r="G165" s="49">
        <v>10</v>
      </c>
      <c r="H165" s="49">
        <v>10</v>
      </c>
      <c r="I165" s="49">
        <v>9.5</v>
      </c>
      <c r="J165" s="49">
        <v>10</v>
      </c>
      <c r="K165" s="49">
        <v>10</v>
      </c>
      <c r="L165" s="49">
        <v>10</v>
      </c>
      <c r="M165" s="49">
        <v>10</v>
      </c>
      <c r="N165" s="49">
        <v>9.5</v>
      </c>
      <c r="O165" s="49">
        <v>10</v>
      </c>
      <c r="P165" s="49">
        <v>10</v>
      </c>
      <c r="Q165" s="2" t="e">
        <f t="shared" ca="1" si="19"/>
        <v>#NAME?</v>
      </c>
      <c r="R165" s="49">
        <v>10</v>
      </c>
      <c r="S165" s="49">
        <v>10</v>
      </c>
      <c r="T165" s="49">
        <v>10</v>
      </c>
      <c r="U165" s="49">
        <v>10</v>
      </c>
      <c r="V165" s="49">
        <v>10</v>
      </c>
      <c r="W165" s="54">
        <f t="shared" si="1"/>
        <v>10</v>
      </c>
      <c r="X165" s="48"/>
      <c r="Y165" s="2"/>
      <c r="Z165" s="73" t="s">
        <v>31</v>
      </c>
      <c r="AA165" s="8">
        <v>10</v>
      </c>
      <c r="AB165" s="8">
        <v>10</v>
      </c>
      <c r="AC165" s="8">
        <v>10</v>
      </c>
      <c r="AD165" s="8">
        <v>10</v>
      </c>
      <c r="AE165" s="8">
        <v>10</v>
      </c>
      <c r="AF165" s="8">
        <v>10</v>
      </c>
      <c r="AG165" s="8">
        <v>10</v>
      </c>
      <c r="AH165" s="8">
        <v>10</v>
      </c>
      <c r="AI165" s="8">
        <v>10</v>
      </c>
      <c r="AJ165" s="8">
        <v>10</v>
      </c>
      <c r="AK165" s="17"/>
      <c r="AL165" s="17"/>
      <c r="AM165" s="17"/>
      <c r="AN165" s="17"/>
      <c r="AO165" s="17"/>
      <c r="AP165" s="17"/>
      <c r="AQ165" s="2" t="e">
        <f t="shared" ca="1" si="20"/>
        <v>#NAME?</v>
      </c>
      <c r="AR165" s="8">
        <v>10</v>
      </c>
      <c r="AS165" s="8">
        <v>10</v>
      </c>
      <c r="AT165" s="8">
        <v>10</v>
      </c>
      <c r="AU165" s="8">
        <v>10</v>
      </c>
      <c r="AV165" s="8">
        <v>10</v>
      </c>
      <c r="AW165" s="54">
        <f t="shared" si="3"/>
        <v>10</v>
      </c>
      <c r="AX165" s="48"/>
      <c r="AY165" s="2"/>
      <c r="AZ165" s="2">
        <v>10</v>
      </c>
      <c r="BA165" s="2">
        <v>10</v>
      </c>
      <c r="BB165" s="2">
        <v>10</v>
      </c>
      <c r="BC165" s="2">
        <v>10</v>
      </c>
      <c r="BD165" s="2">
        <v>10</v>
      </c>
      <c r="BE165" s="2">
        <v>10</v>
      </c>
      <c r="BF165" s="2">
        <v>10</v>
      </c>
      <c r="BG165" s="2">
        <v>10</v>
      </c>
      <c r="BH165" s="2">
        <v>10</v>
      </c>
      <c r="BI165" s="2">
        <v>10</v>
      </c>
      <c r="BJ165" s="2" t="e">
        <f t="shared" ca="1" si="21"/>
        <v>#NAME?</v>
      </c>
      <c r="BK165" s="2">
        <v>10</v>
      </c>
      <c r="BL165" s="2">
        <v>10</v>
      </c>
      <c r="BM165" s="2">
        <v>10</v>
      </c>
      <c r="BN165" s="2">
        <v>10</v>
      </c>
      <c r="BO165" s="2">
        <v>10</v>
      </c>
      <c r="BP165" s="54">
        <f t="shared" si="5"/>
        <v>10</v>
      </c>
      <c r="BQ165" s="5"/>
      <c r="BR165" s="5"/>
      <c r="BS165" s="85">
        <v>10</v>
      </c>
      <c r="BT165" s="8">
        <v>10</v>
      </c>
      <c r="BU165" s="8">
        <v>10</v>
      </c>
      <c r="BV165" s="8">
        <v>10</v>
      </c>
      <c r="BW165" s="8">
        <v>10</v>
      </c>
      <c r="BX165" s="8">
        <v>10</v>
      </c>
      <c r="BY165" s="8">
        <v>10</v>
      </c>
      <c r="BZ165" s="8">
        <v>10</v>
      </c>
      <c r="CA165" s="86">
        <v>10</v>
      </c>
      <c r="CB165" s="86">
        <v>10</v>
      </c>
      <c r="CC165" s="2" t="e">
        <f t="shared" ca="1" si="22"/>
        <v>#NAME?</v>
      </c>
      <c r="CD165" s="55" t="str">
        <f ca="1">IFERROR(__xludf.DUMMYFUNCTION("ifna(VLOOKUP(C165,IMPORTRANGE(""https://docs.google.com/spreadsheets/d/15q6ac-1k9M2G33P7UjhsmTwq4jilKJaXMUARS-vX5Ng/edit?gid=490162212#gid=490162212"",""Responces1!B:F""),5,0),""AB"")"),"AB")</f>
        <v>AB</v>
      </c>
      <c r="CE165" s="2"/>
      <c r="CF165" s="2">
        <v>10</v>
      </c>
      <c r="CG165" s="2">
        <v>10</v>
      </c>
      <c r="CH165" s="2">
        <v>10</v>
      </c>
      <c r="CI165" s="2">
        <v>10</v>
      </c>
      <c r="CJ165" s="2">
        <v>10</v>
      </c>
      <c r="CK165" s="2">
        <v>7</v>
      </c>
      <c r="CL165" s="2">
        <v>7</v>
      </c>
      <c r="CM165" s="2">
        <v>10</v>
      </c>
      <c r="CN165" s="2">
        <v>7</v>
      </c>
      <c r="CO165" s="2">
        <v>9</v>
      </c>
      <c r="CP165" s="2" t="e">
        <f t="shared" ca="1" si="23"/>
        <v>#NAME?</v>
      </c>
      <c r="CQ165" s="2">
        <v>10</v>
      </c>
      <c r="CR165" s="2">
        <v>9</v>
      </c>
      <c r="CS165" s="2">
        <v>9</v>
      </c>
      <c r="CT165" s="2">
        <v>10</v>
      </c>
      <c r="CU165" s="2">
        <v>10</v>
      </c>
      <c r="CV165" s="54">
        <f t="shared" si="8"/>
        <v>10</v>
      </c>
      <c r="CW165" s="55">
        <v>17</v>
      </c>
      <c r="CX165" s="3"/>
    </row>
    <row r="166" spans="1:102" ht="16.5" x14ac:dyDescent="0.55000000000000004">
      <c r="A166" s="17">
        <v>1</v>
      </c>
      <c r="B166" s="17" t="s">
        <v>5</v>
      </c>
      <c r="C166" s="23" t="s">
        <v>372</v>
      </c>
      <c r="D166" s="24" t="s">
        <v>373</v>
      </c>
      <c r="E166" s="48"/>
      <c r="F166" s="2" t="s">
        <v>31</v>
      </c>
      <c r="G166" s="2">
        <v>7</v>
      </c>
      <c r="H166" s="2">
        <v>6</v>
      </c>
      <c r="I166" s="2">
        <v>6</v>
      </c>
      <c r="J166" s="2">
        <v>6</v>
      </c>
      <c r="K166" s="2">
        <v>5</v>
      </c>
      <c r="L166" s="2">
        <f t="shared" ref="L166:P166" si="24">G166</f>
        <v>7</v>
      </c>
      <c r="M166" s="2">
        <f t="shared" si="24"/>
        <v>6</v>
      </c>
      <c r="N166" s="2">
        <f t="shared" si="24"/>
        <v>6</v>
      </c>
      <c r="O166" s="2">
        <f t="shared" si="24"/>
        <v>6</v>
      </c>
      <c r="P166" s="2">
        <f t="shared" si="24"/>
        <v>5</v>
      </c>
      <c r="Q166" s="2" t="e">
        <f t="shared" ca="1" si="19"/>
        <v>#NAME?</v>
      </c>
      <c r="R166" s="2">
        <v>8</v>
      </c>
      <c r="S166" s="2">
        <v>8</v>
      </c>
      <c r="T166" s="2">
        <v>8</v>
      </c>
      <c r="U166" s="2">
        <v>9</v>
      </c>
      <c r="V166" s="2">
        <v>9</v>
      </c>
      <c r="W166" s="54">
        <f t="shared" si="1"/>
        <v>9</v>
      </c>
      <c r="X166" s="48"/>
      <c r="Y166" s="2"/>
      <c r="Z166" s="2"/>
      <c r="AA166" s="2">
        <v>10</v>
      </c>
      <c r="AB166" s="2">
        <v>10</v>
      </c>
      <c r="AC166" s="2">
        <v>10</v>
      </c>
      <c r="AD166" s="2">
        <v>10</v>
      </c>
      <c r="AE166" s="2">
        <v>10</v>
      </c>
      <c r="AF166" s="2">
        <v>10</v>
      </c>
      <c r="AG166" s="2">
        <v>10</v>
      </c>
      <c r="AH166" s="2">
        <v>10</v>
      </c>
      <c r="AI166" s="2">
        <v>10</v>
      </c>
      <c r="AJ166" s="2">
        <v>10</v>
      </c>
      <c r="AK166" s="3"/>
      <c r="AL166" s="3"/>
      <c r="AM166" s="3"/>
      <c r="AN166" s="3"/>
      <c r="AO166" s="3"/>
      <c r="AP166" s="3"/>
      <c r="AQ166" s="2" t="e">
        <f t="shared" ca="1" si="20"/>
        <v>#NAME?</v>
      </c>
      <c r="AR166" s="2">
        <v>10</v>
      </c>
      <c r="AS166" s="2">
        <v>10</v>
      </c>
      <c r="AT166" s="2">
        <v>10</v>
      </c>
      <c r="AU166" s="2">
        <v>10</v>
      </c>
      <c r="AV166" s="2">
        <v>10</v>
      </c>
      <c r="AW166" s="54">
        <f t="shared" si="3"/>
        <v>10</v>
      </c>
      <c r="AX166" s="48">
        <v>8</v>
      </c>
      <c r="AY166" s="2">
        <v>10</v>
      </c>
      <c r="AZ166" s="2">
        <v>10</v>
      </c>
      <c r="BA166" s="2">
        <v>10</v>
      </c>
      <c r="BB166" s="2">
        <v>10</v>
      </c>
      <c r="BC166" s="2">
        <v>10</v>
      </c>
      <c r="BD166" s="2">
        <v>10</v>
      </c>
      <c r="BE166" s="2">
        <v>10</v>
      </c>
      <c r="BF166" s="2">
        <v>10</v>
      </c>
      <c r="BG166" s="2">
        <v>10</v>
      </c>
      <c r="BH166" s="2">
        <v>10</v>
      </c>
      <c r="BI166" s="57">
        <v>10</v>
      </c>
      <c r="BJ166" s="2" t="e">
        <f t="shared" ca="1" si="21"/>
        <v>#NAME?</v>
      </c>
      <c r="BK166" s="5">
        <v>10</v>
      </c>
      <c r="BL166" s="5">
        <v>10</v>
      </c>
      <c r="BM166" s="5">
        <v>10</v>
      </c>
      <c r="BN166" s="5">
        <v>10</v>
      </c>
      <c r="BO166" s="5">
        <v>10</v>
      </c>
      <c r="BP166" s="54">
        <f t="shared" si="5"/>
        <v>10</v>
      </c>
      <c r="BQ166" s="49">
        <v>0</v>
      </c>
      <c r="BR166" s="50">
        <v>0</v>
      </c>
      <c r="BS166" s="49">
        <v>10</v>
      </c>
      <c r="BT166" s="49">
        <v>10</v>
      </c>
      <c r="BU166" s="49">
        <v>10</v>
      </c>
      <c r="BV166" s="49">
        <v>10</v>
      </c>
      <c r="BW166" s="49">
        <v>10</v>
      </c>
      <c r="BX166" s="49">
        <v>10</v>
      </c>
      <c r="BY166" s="49">
        <v>10</v>
      </c>
      <c r="BZ166" s="49">
        <v>10</v>
      </c>
      <c r="CA166" s="49">
        <v>10</v>
      </c>
      <c r="CB166" s="49">
        <v>10</v>
      </c>
      <c r="CC166" s="2" t="e">
        <f t="shared" ca="1" si="22"/>
        <v>#NAME?</v>
      </c>
      <c r="CD166" s="55"/>
      <c r="CE166" s="2"/>
      <c r="CF166" s="2">
        <v>6</v>
      </c>
      <c r="CG166" s="2">
        <v>6</v>
      </c>
      <c r="CH166" s="2">
        <v>6</v>
      </c>
      <c r="CI166" s="2">
        <v>6</v>
      </c>
      <c r="CJ166" s="2">
        <v>7</v>
      </c>
      <c r="CK166" s="2">
        <v>7</v>
      </c>
      <c r="CL166" s="2">
        <v>6</v>
      </c>
      <c r="CM166" s="2">
        <v>6</v>
      </c>
      <c r="CN166" s="2">
        <v>6</v>
      </c>
      <c r="CO166" s="2">
        <v>6</v>
      </c>
      <c r="CP166" s="2" t="e">
        <f t="shared" ca="1" si="23"/>
        <v>#NAME?</v>
      </c>
      <c r="CQ166" s="2">
        <v>6</v>
      </c>
      <c r="CR166" s="2">
        <v>6</v>
      </c>
      <c r="CS166" s="2">
        <v>7</v>
      </c>
      <c r="CT166" s="2">
        <v>7</v>
      </c>
      <c r="CU166" s="2">
        <v>7</v>
      </c>
      <c r="CV166" s="54">
        <f t="shared" si="8"/>
        <v>7</v>
      </c>
      <c r="CW166" s="55"/>
      <c r="CX166" s="3"/>
    </row>
    <row r="167" spans="1:102" ht="16.5" x14ac:dyDescent="0.55000000000000004">
      <c r="A167" s="17">
        <v>1</v>
      </c>
      <c r="B167" s="17" t="s">
        <v>5</v>
      </c>
      <c r="C167" s="23" t="s">
        <v>374</v>
      </c>
      <c r="D167" s="24" t="s">
        <v>375</v>
      </c>
      <c r="E167" s="48"/>
      <c r="F167" s="2" t="s">
        <v>31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f t="shared" ref="L167:P167" si="25">G167</f>
        <v>0</v>
      </c>
      <c r="M167" s="2">
        <f t="shared" si="25"/>
        <v>0</v>
      </c>
      <c r="N167" s="2">
        <f t="shared" si="25"/>
        <v>0</v>
      </c>
      <c r="O167" s="2">
        <f t="shared" si="25"/>
        <v>0</v>
      </c>
      <c r="P167" s="2">
        <f t="shared" si="25"/>
        <v>0</v>
      </c>
      <c r="Q167" s="2" t="e">
        <f t="shared" ca="1" si="19"/>
        <v>#NAME?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54">
        <f t="shared" si="1"/>
        <v>0</v>
      </c>
      <c r="X167" s="48"/>
      <c r="Y167" s="2"/>
      <c r="Z167" s="2"/>
      <c r="AA167" s="2">
        <v>0</v>
      </c>
      <c r="AB167" s="2">
        <v>0</v>
      </c>
      <c r="AC167" s="2">
        <v>0</v>
      </c>
      <c r="AD167" s="2">
        <v>10</v>
      </c>
      <c r="AE167" s="2">
        <v>10</v>
      </c>
      <c r="AF167" s="2">
        <v>10</v>
      </c>
      <c r="AG167" s="2">
        <v>10</v>
      </c>
      <c r="AH167" s="2">
        <v>10</v>
      </c>
      <c r="AI167" s="2">
        <v>10</v>
      </c>
      <c r="AJ167" s="2">
        <v>10</v>
      </c>
      <c r="AK167" s="3"/>
      <c r="AL167" s="3"/>
      <c r="AM167" s="3"/>
      <c r="AN167" s="3"/>
      <c r="AO167" s="3"/>
      <c r="AP167" s="3"/>
      <c r="AQ167" s="2" t="e">
        <f t="shared" ca="1" si="20"/>
        <v>#NAME?</v>
      </c>
      <c r="AR167" s="2">
        <v>0</v>
      </c>
      <c r="AS167" s="2">
        <v>5</v>
      </c>
      <c r="AT167" s="2">
        <v>10</v>
      </c>
      <c r="AU167" s="2">
        <v>10</v>
      </c>
      <c r="AV167" s="2">
        <v>10</v>
      </c>
      <c r="AW167" s="54">
        <f t="shared" si="3"/>
        <v>7</v>
      </c>
      <c r="AX167" s="48">
        <v>7</v>
      </c>
      <c r="AY167" s="2">
        <v>10</v>
      </c>
      <c r="AZ167" s="2">
        <v>10</v>
      </c>
      <c r="BA167" s="2">
        <v>10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57">
        <v>0</v>
      </c>
      <c r="BJ167" s="2" t="e">
        <f t="shared" ca="1" si="21"/>
        <v>#NAME?</v>
      </c>
      <c r="BK167" s="5">
        <v>10</v>
      </c>
      <c r="BL167" s="5">
        <v>0</v>
      </c>
      <c r="BM167" s="5">
        <v>0</v>
      </c>
      <c r="BN167" s="5">
        <v>0</v>
      </c>
      <c r="BO167" s="5">
        <v>0</v>
      </c>
      <c r="BP167" s="54">
        <f t="shared" si="5"/>
        <v>2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2" t="e">
        <f t="shared" ca="1" si="22"/>
        <v>#NAME?</v>
      </c>
      <c r="CD167" s="55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 t="e">
        <f t="shared" ca="1" si="23"/>
        <v>#NAME?</v>
      </c>
      <c r="CQ167" s="2"/>
      <c r="CR167" s="2"/>
      <c r="CS167" s="2"/>
      <c r="CT167" s="2"/>
      <c r="CU167" s="2"/>
      <c r="CV167" s="54">
        <f t="shared" si="8"/>
        <v>0</v>
      </c>
      <c r="CW167" s="55"/>
      <c r="CX167" s="3"/>
    </row>
    <row r="168" spans="1:102" ht="16.5" x14ac:dyDescent="0.55000000000000004">
      <c r="A168" s="17">
        <v>1</v>
      </c>
      <c r="B168" s="17" t="s">
        <v>5</v>
      </c>
      <c r="C168" s="23" t="s">
        <v>376</v>
      </c>
      <c r="D168" s="24" t="s">
        <v>377</v>
      </c>
      <c r="E168" s="48"/>
      <c r="F168" s="2">
        <v>12</v>
      </c>
      <c r="G168" s="2">
        <v>8</v>
      </c>
      <c r="H168" s="2">
        <v>8</v>
      </c>
      <c r="I168" s="2">
        <v>8</v>
      </c>
      <c r="J168" s="2">
        <v>8</v>
      </c>
      <c r="K168" s="2">
        <v>8</v>
      </c>
      <c r="L168" s="2">
        <f t="shared" ref="L168:P168" si="26">G168</f>
        <v>8</v>
      </c>
      <c r="M168" s="2">
        <f t="shared" si="26"/>
        <v>8</v>
      </c>
      <c r="N168" s="2">
        <f t="shared" si="26"/>
        <v>8</v>
      </c>
      <c r="O168" s="2">
        <f t="shared" si="26"/>
        <v>8</v>
      </c>
      <c r="P168" s="2">
        <f t="shared" si="26"/>
        <v>8</v>
      </c>
      <c r="Q168" s="2" t="e">
        <f t="shared" ca="1" si="19"/>
        <v>#NAME?</v>
      </c>
      <c r="R168" s="2">
        <v>9</v>
      </c>
      <c r="S168" s="2">
        <v>9</v>
      </c>
      <c r="T168" s="2">
        <v>9</v>
      </c>
      <c r="U168" s="2">
        <v>9</v>
      </c>
      <c r="V168" s="2">
        <v>9</v>
      </c>
      <c r="W168" s="54">
        <f t="shared" si="1"/>
        <v>9</v>
      </c>
      <c r="X168" s="48"/>
      <c r="Y168" s="2"/>
      <c r="Z168" s="2"/>
      <c r="AA168" s="2">
        <v>10</v>
      </c>
      <c r="AB168" s="2">
        <v>10</v>
      </c>
      <c r="AC168" s="2">
        <v>10</v>
      </c>
      <c r="AD168" s="2">
        <v>10</v>
      </c>
      <c r="AE168" s="2">
        <v>10</v>
      </c>
      <c r="AF168" s="2">
        <v>10</v>
      </c>
      <c r="AG168" s="2">
        <v>10</v>
      </c>
      <c r="AH168" s="2">
        <v>10</v>
      </c>
      <c r="AI168" s="2">
        <v>10</v>
      </c>
      <c r="AJ168" s="2">
        <v>10</v>
      </c>
      <c r="AK168" s="3"/>
      <c r="AL168" s="3"/>
      <c r="AM168" s="3"/>
      <c r="AN168" s="3"/>
      <c r="AO168" s="3"/>
      <c r="AP168" s="3"/>
      <c r="AQ168" s="2" t="e">
        <f t="shared" ca="1" si="20"/>
        <v>#NAME?</v>
      </c>
      <c r="AR168" s="2">
        <v>10</v>
      </c>
      <c r="AS168" s="2">
        <v>10</v>
      </c>
      <c r="AT168" s="2">
        <v>10</v>
      </c>
      <c r="AU168" s="2">
        <v>10</v>
      </c>
      <c r="AV168" s="2">
        <v>10</v>
      </c>
      <c r="AW168" s="54">
        <f t="shared" si="3"/>
        <v>10</v>
      </c>
      <c r="AX168" s="48">
        <v>8</v>
      </c>
      <c r="AY168" s="2">
        <v>10</v>
      </c>
      <c r="AZ168" s="2">
        <v>10</v>
      </c>
      <c r="BA168" s="2">
        <v>10</v>
      </c>
      <c r="BB168" s="2">
        <v>10</v>
      </c>
      <c r="BC168" s="2">
        <v>10</v>
      </c>
      <c r="BD168" s="2">
        <v>10</v>
      </c>
      <c r="BE168" s="2">
        <v>10</v>
      </c>
      <c r="BF168" s="2">
        <v>10</v>
      </c>
      <c r="BG168" s="2">
        <v>10</v>
      </c>
      <c r="BH168" s="2">
        <v>10</v>
      </c>
      <c r="BI168" s="57">
        <v>10</v>
      </c>
      <c r="BJ168" s="2" t="e">
        <f t="shared" ca="1" si="21"/>
        <v>#NAME?</v>
      </c>
      <c r="BK168" s="5">
        <v>10</v>
      </c>
      <c r="BL168" s="5">
        <v>10</v>
      </c>
      <c r="BM168" s="5">
        <v>10</v>
      </c>
      <c r="BN168" s="5">
        <v>10</v>
      </c>
      <c r="BO168" s="5">
        <v>10</v>
      </c>
      <c r="BP168" s="54">
        <f t="shared" si="5"/>
        <v>10</v>
      </c>
      <c r="BQ168" s="49">
        <v>0</v>
      </c>
      <c r="BR168" s="50">
        <v>0</v>
      </c>
      <c r="BS168" s="49">
        <v>10</v>
      </c>
      <c r="BT168" s="49">
        <v>10</v>
      </c>
      <c r="BU168" s="49">
        <v>10</v>
      </c>
      <c r="BV168" s="49">
        <v>10</v>
      </c>
      <c r="BW168" s="49">
        <v>10</v>
      </c>
      <c r="BX168" s="49">
        <v>10</v>
      </c>
      <c r="BY168" s="49">
        <v>10</v>
      </c>
      <c r="BZ168" s="49">
        <v>10</v>
      </c>
      <c r="CA168" s="49">
        <v>10</v>
      </c>
      <c r="CB168" s="49">
        <v>10</v>
      </c>
      <c r="CC168" s="2" t="e">
        <f t="shared" ca="1" si="22"/>
        <v>#NAME?</v>
      </c>
      <c r="CD168" s="55"/>
      <c r="CE168" s="2"/>
      <c r="CF168" s="2">
        <v>8</v>
      </c>
      <c r="CG168" s="2">
        <v>8</v>
      </c>
      <c r="CH168" s="2">
        <v>8</v>
      </c>
      <c r="CI168" s="2">
        <v>8</v>
      </c>
      <c r="CJ168" s="2">
        <v>8</v>
      </c>
      <c r="CK168" s="2">
        <v>8</v>
      </c>
      <c r="CL168" s="2">
        <v>8</v>
      </c>
      <c r="CM168" s="2">
        <v>8</v>
      </c>
      <c r="CN168" s="2">
        <v>8</v>
      </c>
      <c r="CO168" s="2">
        <v>8</v>
      </c>
      <c r="CP168" s="2" t="e">
        <f t="shared" ca="1" si="23"/>
        <v>#NAME?</v>
      </c>
      <c r="CQ168" s="2">
        <v>8</v>
      </c>
      <c r="CR168" s="2">
        <v>8</v>
      </c>
      <c r="CS168" s="2">
        <v>8</v>
      </c>
      <c r="CT168" s="2">
        <v>8</v>
      </c>
      <c r="CU168" s="2">
        <v>8</v>
      </c>
      <c r="CV168" s="54">
        <f t="shared" si="8"/>
        <v>8</v>
      </c>
      <c r="CW168" s="55"/>
      <c r="CX168" s="3"/>
    </row>
    <row r="169" spans="1:102" ht="16.5" x14ac:dyDescent="0.55000000000000004">
      <c r="A169" s="17">
        <v>1</v>
      </c>
      <c r="B169" s="17" t="s">
        <v>5</v>
      </c>
      <c r="C169" s="23" t="s">
        <v>378</v>
      </c>
      <c r="D169" s="24" t="s">
        <v>379</v>
      </c>
      <c r="E169" s="48"/>
      <c r="F169" s="48">
        <v>12</v>
      </c>
      <c r="G169" s="2">
        <v>8</v>
      </c>
      <c r="H169" s="2">
        <v>8</v>
      </c>
      <c r="I169" s="2">
        <v>6</v>
      </c>
      <c r="J169" s="2">
        <v>6</v>
      </c>
      <c r="K169" s="2">
        <v>6</v>
      </c>
      <c r="L169" s="2">
        <f t="shared" ref="L169:P169" si="27">G169</f>
        <v>8</v>
      </c>
      <c r="M169" s="2">
        <f t="shared" si="27"/>
        <v>8</v>
      </c>
      <c r="N169" s="2">
        <f t="shared" si="27"/>
        <v>6</v>
      </c>
      <c r="O169" s="2">
        <f t="shared" si="27"/>
        <v>6</v>
      </c>
      <c r="P169" s="2">
        <f t="shared" si="27"/>
        <v>6</v>
      </c>
      <c r="Q169" s="2" t="e">
        <f t="shared" ca="1" si="19"/>
        <v>#NAME?</v>
      </c>
      <c r="R169" s="2">
        <v>10</v>
      </c>
      <c r="S169" s="2">
        <v>10</v>
      </c>
      <c r="T169" s="2">
        <v>9</v>
      </c>
      <c r="U169" s="2">
        <v>10</v>
      </c>
      <c r="V169" s="2">
        <v>10</v>
      </c>
      <c r="W169" s="54">
        <f t="shared" si="1"/>
        <v>10</v>
      </c>
      <c r="X169" s="48"/>
      <c r="Y169" s="2"/>
      <c r="Z169" s="2"/>
      <c r="AA169" s="2">
        <v>10</v>
      </c>
      <c r="AB169" s="2">
        <v>10</v>
      </c>
      <c r="AC169" s="2">
        <v>10</v>
      </c>
      <c r="AD169" s="2">
        <v>10</v>
      </c>
      <c r="AE169" s="2">
        <v>0</v>
      </c>
      <c r="AF169" s="2">
        <v>0</v>
      </c>
      <c r="AG169" s="2">
        <v>10</v>
      </c>
      <c r="AH169" s="2">
        <v>10</v>
      </c>
      <c r="AI169" s="2">
        <v>10</v>
      </c>
      <c r="AJ169" s="2">
        <v>4</v>
      </c>
      <c r="AK169" s="3"/>
      <c r="AL169" s="3"/>
      <c r="AM169" s="3"/>
      <c r="AN169" s="3"/>
      <c r="AO169" s="3"/>
      <c r="AP169" s="3"/>
      <c r="AQ169" s="2" t="e">
        <f t="shared" ca="1" si="20"/>
        <v>#NAME?</v>
      </c>
      <c r="AR169" s="2">
        <v>10</v>
      </c>
      <c r="AS169" s="2">
        <v>10</v>
      </c>
      <c r="AT169" s="2">
        <v>0</v>
      </c>
      <c r="AU169" s="2">
        <v>10</v>
      </c>
      <c r="AV169" s="2">
        <v>10</v>
      </c>
      <c r="AW169" s="54">
        <f t="shared" si="3"/>
        <v>8</v>
      </c>
      <c r="AX169" s="48">
        <v>6</v>
      </c>
      <c r="AY169" s="2">
        <v>10</v>
      </c>
      <c r="AZ169" s="2">
        <v>10</v>
      </c>
      <c r="BA169" s="2">
        <v>10</v>
      </c>
      <c r="BB169" s="2">
        <v>10</v>
      </c>
      <c r="BC169" s="2">
        <v>10</v>
      </c>
      <c r="BD169" s="2">
        <v>10</v>
      </c>
      <c r="BE169" s="2">
        <v>10</v>
      </c>
      <c r="BF169" s="2">
        <v>10</v>
      </c>
      <c r="BG169" s="2">
        <v>10</v>
      </c>
      <c r="BH169" s="2">
        <v>10</v>
      </c>
      <c r="BI169" s="57">
        <v>10</v>
      </c>
      <c r="BJ169" s="2" t="e">
        <f t="shared" ca="1" si="21"/>
        <v>#NAME?</v>
      </c>
      <c r="BK169" s="5">
        <v>10</v>
      </c>
      <c r="BL169" s="5">
        <v>10</v>
      </c>
      <c r="BM169" s="5">
        <v>10</v>
      </c>
      <c r="BN169" s="5">
        <v>10</v>
      </c>
      <c r="BO169" s="5">
        <v>10</v>
      </c>
      <c r="BP169" s="54">
        <f t="shared" si="5"/>
        <v>10</v>
      </c>
      <c r="BQ169" s="49">
        <v>10</v>
      </c>
      <c r="BR169" s="49">
        <v>2</v>
      </c>
      <c r="BS169" s="49">
        <v>9</v>
      </c>
      <c r="BT169" s="49">
        <v>9</v>
      </c>
      <c r="BU169" s="49">
        <v>9</v>
      </c>
      <c r="BV169" s="49">
        <v>9</v>
      </c>
      <c r="BW169" s="49">
        <v>9</v>
      </c>
      <c r="BX169" s="49">
        <v>9</v>
      </c>
      <c r="BY169" s="49">
        <v>10</v>
      </c>
      <c r="BZ169" s="49">
        <v>10</v>
      </c>
      <c r="CA169" s="49">
        <v>10</v>
      </c>
      <c r="CB169" s="49">
        <v>10</v>
      </c>
      <c r="CC169" s="2" t="e">
        <f t="shared" ca="1" si="22"/>
        <v>#NAME?</v>
      </c>
      <c r="CD169" s="55"/>
      <c r="CE169" s="2"/>
      <c r="CF169" s="2">
        <v>8</v>
      </c>
      <c r="CG169" s="2">
        <v>8</v>
      </c>
      <c r="CH169" s="2">
        <v>8</v>
      </c>
      <c r="CI169" s="2">
        <v>8</v>
      </c>
      <c r="CJ169" s="2">
        <v>8</v>
      </c>
      <c r="CK169" s="2">
        <v>8</v>
      </c>
      <c r="CL169" s="2">
        <v>8</v>
      </c>
      <c r="CM169" s="2">
        <v>8</v>
      </c>
      <c r="CN169" s="2">
        <v>8</v>
      </c>
      <c r="CO169" s="2">
        <v>8</v>
      </c>
      <c r="CP169" s="2" t="e">
        <f t="shared" ca="1" si="23"/>
        <v>#NAME?</v>
      </c>
      <c r="CQ169" s="2">
        <v>8</v>
      </c>
      <c r="CR169" s="2">
        <v>8</v>
      </c>
      <c r="CS169" s="2">
        <v>8</v>
      </c>
      <c r="CT169" s="2">
        <v>8</v>
      </c>
      <c r="CU169" s="2">
        <v>8</v>
      </c>
      <c r="CV169" s="54">
        <f t="shared" si="8"/>
        <v>8</v>
      </c>
      <c r="CW169" s="55"/>
      <c r="CX169" s="3"/>
    </row>
    <row r="170" spans="1:102" ht="16.5" x14ac:dyDescent="0.55000000000000004">
      <c r="A170" s="17">
        <v>1</v>
      </c>
      <c r="B170" s="17" t="s">
        <v>5</v>
      </c>
      <c r="C170" s="23" t="s">
        <v>380</v>
      </c>
      <c r="D170" s="24" t="s">
        <v>381</v>
      </c>
      <c r="E170" s="48"/>
      <c r="F170" s="48">
        <v>10</v>
      </c>
      <c r="G170" s="2">
        <v>6</v>
      </c>
      <c r="H170" s="2">
        <v>6</v>
      </c>
      <c r="I170" s="2">
        <v>6</v>
      </c>
      <c r="J170" s="2">
        <v>6</v>
      </c>
      <c r="K170" s="2">
        <v>6</v>
      </c>
      <c r="L170" s="2">
        <f t="shared" ref="L170:P170" si="28">G170</f>
        <v>6</v>
      </c>
      <c r="M170" s="2">
        <f t="shared" si="28"/>
        <v>6</v>
      </c>
      <c r="N170" s="2">
        <f t="shared" si="28"/>
        <v>6</v>
      </c>
      <c r="O170" s="2">
        <f t="shared" si="28"/>
        <v>6</v>
      </c>
      <c r="P170" s="2">
        <f t="shared" si="28"/>
        <v>6</v>
      </c>
      <c r="Q170" s="2" t="e">
        <f t="shared" ca="1" si="19"/>
        <v>#NAME?</v>
      </c>
      <c r="R170" s="2">
        <v>7</v>
      </c>
      <c r="S170" s="2">
        <v>5</v>
      </c>
      <c r="T170" s="2">
        <v>5</v>
      </c>
      <c r="U170" s="2">
        <v>5</v>
      </c>
      <c r="V170" s="2">
        <v>5</v>
      </c>
      <c r="W170" s="54">
        <f t="shared" si="1"/>
        <v>6</v>
      </c>
      <c r="X170" s="48"/>
      <c r="Y170" s="2"/>
      <c r="Z170" s="2"/>
      <c r="AA170" s="2">
        <v>10</v>
      </c>
      <c r="AB170" s="2">
        <v>10</v>
      </c>
      <c r="AC170" s="2">
        <v>10</v>
      </c>
      <c r="AD170" s="2">
        <v>10</v>
      </c>
      <c r="AE170" s="2">
        <v>10</v>
      </c>
      <c r="AF170" s="2">
        <v>10</v>
      </c>
      <c r="AG170" s="2">
        <v>10</v>
      </c>
      <c r="AH170" s="2">
        <v>10</v>
      </c>
      <c r="AI170" s="2">
        <v>10</v>
      </c>
      <c r="AJ170" s="2">
        <v>10</v>
      </c>
      <c r="AK170" s="3"/>
      <c r="AL170" s="3"/>
      <c r="AM170" s="3"/>
      <c r="AN170" s="3"/>
      <c r="AO170" s="3"/>
      <c r="AP170" s="3"/>
      <c r="AQ170" s="2" t="e">
        <f t="shared" ca="1" si="20"/>
        <v>#NAME?</v>
      </c>
      <c r="AR170" s="2">
        <v>10</v>
      </c>
      <c r="AS170" s="2">
        <v>10</v>
      </c>
      <c r="AT170" s="2">
        <v>10</v>
      </c>
      <c r="AU170" s="2">
        <v>10</v>
      </c>
      <c r="AV170" s="2">
        <v>10</v>
      </c>
      <c r="AW170" s="54">
        <f t="shared" si="3"/>
        <v>10</v>
      </c>
      <c r="AX170" s="48">
        <v>7</v>
      </c>
      <c r="AY170" s="2">
        <v>10</v>
      </c>
      <c r="AZ170" s="2">
        <v>10</v>
      </c>
      <c r="BA170" s="2">
        <v>10</v>
      </c>
      <c r="BB170" s="2">
        <v>10</v>
      </c>
      <c r="BC170" s="2">
        <v>10</v>
      </c>
      <c r="BD170" s="2">
        <v>10</v>
      </c>
      <c r="BE170" s="2">
        <v>10</v>
      </c>
      <c r="BF170" s="2">
        <v>10</v>
      </c>
      <c r="BG170" s="2">
        <v>10</v>
      </c>
      <c r="BH170" s="2">
        <v>10</v>
      </c>
      <c r="BI170" s="57">
        <v>10</v>
      </c>
      <c r="BJ170" s="2" t="e">
        <f t="shared" ca="1" si="21"/>
        <v>#NAME?</v>
      </c>
      <c r="BK170" s="5">
        <v>10</v>
      </c>
      <c r="BL170" s="5">
        <v>10</v>
      </c>
      <c r="BM170" s="5">
        <v>10</v>
      </c>
      <c r="BN170" s="5">
        <v>10</v>
      </c>
      <c r="BO170" s="5">
        <v>10</v>
      </c>
      <c r="BP170" s="54">
        <f t="shared" si="5"/>
        <v>10</v>
      </c>
      <c r="BQ170" s="49">
        <v>9</v>
      </c>
      <c r="BR170" s="50">
        <v>0</v>
      </c>
      <c r="BS170" s="49">
        <v>10</v>
      </c>
      <c r="BT170" s="49">
        <v>10</v>
      </c>
      <c r="BU170" s="49">
        <v>10</v>
      </c>
      <c r="BV170" s="49">
        <v>10</v>
      </c>
      <c r="BW170" s="49">
        <v>10</v>
      </c>
      <c r="BX170" s="49">
        <v>10</v>
      </c>
      <c r="BY170" s="49">
        <v>10</v>
      </c>
      <c r="BZ170" s="49">
        <v>10</v>
      </c>
      <c r="CA170" s="49">
        <v>10</v>
      </c>
      <c r="CB170" s="49">
        <v>10</v>
      </c>
      <c r="CC170" s="2" t="e">
        <f t="shared" ca="1" si="22"/>
        <v>#NAME?</v>
      </c>
      <c r="CD170" s="55"/>
      <c r="CE170" s="2"/>
      <c r="CF170" s="2">
        <v>8</v>
      </c>
      <c r="CG170" s="2">
        <v>7</v>
      </c>
      <c r="CH170" s="2">
        <v>8</v>
      </c>
      <c r="CI170" s="2">
        <v>8</v>
      </c>
      <c r="CJ170" s="2">
        <v>8</v>
      </c>
      <c r="CK170" s="2">
        <v>8</v>
      </c>
      <c r="CL170" s="2">
        <v>7</v>
      </c>
      <c r="CM170" s="2">
        <v>7</v>
      </c>
      <c r="CN170" s="2">
        <v>7</v>
      </c>
      <c r="CO170" s="2">
        <v>7</v>
      </c>
      <c r="CP170" s="2" t="e">
        <f t="shared" ca="1" si="23"/>
        <v>#NAME?</v>
      </c>
      <c r="CQ170" s="2">
        <v>8</v>
      </c>
      <c r="CR170" s="2">
        <v>8</v>
      </c>
      <c r="CS170" s="2">
        <v>7</v>
      </c>
      <c r="CT170" s="2">
        <v>7</v>
      </c>
      <c r="CU170" s="2">
        <v>8</v>
      </c>
      <c r="CV170" s="54">
        <f t="shared" si="8"/>
        <v>8</v>
      </c>
      <c r="CW170" s="55"/>
      <c r="CX170" s="3"/>
    </row>
    <row r="171" spans="1:102" ht="16.5" x14ac:dyDescent="0.55000000000000004">
      <c r="A171" s="17">
        <v>1</v>
      </c>
      <c r="B171" s="17" t="s">
        <v>5</v>
      </c>
      <c r="C171" s="23" t="s">
        <v>382</v>
      </c>
      <c r="D171" s="24" t="s">
        <v>383</v>
      </c>
      <c r="E171" s="48"/>
      <c r="F171" s="2">
        <v>12</v>
      </c>
      <c r="G171" s="2">
        <v>4</v>
      </c>
      <c r="H171" s="2">
        <v>4</v>
      </c>
      <c r="I171" s="2">
        <v>5</v>
      </c>
      <c r="J171" s="2">
        <v>5</v>
      </c>
      <c r="K171" s="2">
        <v>5</v>
      </c>
      <c r="L171" s="2">
        <f t="shared" ref="L171:P171" si="29">G171</f>
        <v>4</v>
      </c>
      <c r="M171" s="2">
        <f t="shared" si="29"/>
        <v>4</v>
      </c>
      <c r="N171" s="2">
        <f t="shared" si="29"/>
        <v>5</v>
      </c>
      <c r="O171" s="2">
        <f t="shared" si="29"/>
        <v>5</v>
      </c>
      <c r="P171" s="2">
        <f t="shared" si="29"/>
        <v>5</v>
      </c>
      <c r="Q171" s="2" t="e">
        <f t="shared" ca="1" si="19"/>
        <v>#NAME?</v>
      </c>
      <c r="R171" s="2">
        <v>6</v>
      </c>
      <c r="S171" s="2">
        <v>7</v>
      </c>
      <c r="T171" s="2">
        <v>7</v>
      </c>
      <c r="U171" s="2">
        <v>7</v>
      </c>
      <c r="V171" s="2">
        <v>7</v>
      </c>
      <c r="W171" s="54">
        <f t="shared" si="1"/>
        <v>7</v>
      </c>
      <c r="X171" s="48"/>
      <c r="Y171" s="2"/>
      <c r="Z171" s="2"/>
      <c r="AA171" s="2">
        <v>0</v>
      </c>
      <c r="AB171" s="2">
        <v>0</v>
      </c>
      <c r="AC171" s="2">
        <v>4</v>
      </c>
      <c r="AD171" s="2">
        <v>10</v>
      </c>
      <c r="AE171" s="2">
        <v>10</v>
      </c>
      <c r="AF171" s="2">
        <v>10</v>
      </c>
      <c r="AG171" s="2">
        <v>10</v>
      </c>
      <c r="AH171" s="2">
        <v>10</v>
      </c>
      <c r="AI171" s="2">
        <v>10</v>
      </c>
      <c r="AJ171" s="2">
        <v>10</v>
      </c>
      <c r="AK171" s="3"/>
      <c r="AL171" s="3"/>
      <c r="AM171" s="3"/>
      <c r="AN171" s="3"/>
      <c r="AO171" s="3"/>
      <c r="AP171" s="3"/>
      <c r="AQ171" s="2" t="e">
        <f t="shared" ca="1" si="20"/>
        <v>#NAME?</v>
      </c>
      <c r="AR171" s="2">
        <v>10</v>
      </c>
      <c r="AS171" s="2">
        <v>0</v>
      </c>
      <c r="AT171" s="2">
        <v>5</v>
      </c>
      <c r="AU171" s="2">
        <v>10</v>
      </c>
      <c r="AV171" s="2">
        <v>10</v>
      </c>
      <c r="AW171" s="54">
        <f t="shared" si="3"/>
        <v>7</v>
      </c>
      <c r="AX171" s="48">
        <v>8</v>
      </c>
      <c r="AY171" s="2">
        <v>6</v>
      </c>
      <c r="AZ171" s="2">
        <v>6</v>
      </c>
      <c r="BA171" s="2">
        <v>6</v>
      </c>
      <c r="BB171" s="2">
        <v>6</v>
      </c>
      <c r="BC171" s="2">
        <v>6</v>
      </c>
      <c r="BD171" s="2">
        <v>6</v>
      </c>
      <c r="BE171" s="2">
        <v>6</v>
      </c>
      <c r="BF171" s="2">
        <v>6</v>
      </c>
      <c r="BG171" s="2">
        <v>6</v>
      </c>
      <c r="BH171" s="2">
        <v>6</v>
      </c>
      <c r="BI171" s="57">
        <v>6</v>
      </c>
      <c r="BJ171" s="2" t="e">
        <f t="shared" ca="1" si="21"/>
        <v>#NAME?</v>
      </c>
      <c r="BK171" s="5">
        <v>6</v>
      </c>
      <c r="BL171" s="5">
        <v>6</v>
      </c>
      <c r="BM171" s="5">
        <v>6</v>
      </c>
      <c r="BN171" s="5">
        <v>6</v>
      </c>
      <c r="BO171" s="5">
        <v>6</v>
      </c>
      <c r="BP171" s="54">
        <f t="shared" si="5"/>
        <v>6</v>
      </c>
      <c r="BQ171" s="49">
        <v>0</v>
      </c>
      <c r="BR171" s="50">
        <v>0</v>
      </c>
      <c r="BS171" s="50">
        <v>9</v>
      </c>
      <c r="BT171" s="50">
        <v>9</v>
      </c>
      <c r="BU171" s="50">
        <v>9</v>
      </c>
      <c r="BV171" s="50">
        <v>9</v>
      </c>
      <c r="BW171" s="50">
        <v>9</v>
      </c>
      <c r="BX171" s="50">
        <v>9</v>
      </c>
      <c r="BY171" s="50">
        <v>9</v>
      </c>
      <c r="BZ171" s="50">
        <v>9</v>
      </c>
      <c r="CA171" s="50">
        <v>9</v>
      </c>
      <c r="CB171" s="50">
        <v>9</v>
      </c>
      <c r="CC171" s="2" t="e">
        <f t="shared" ca="1" si="22"/>
        <v>#NAME?</v>
      </c>
      <c r="CD171" s="55"/>
      <c r="CE171" s="2"/>
      <c r="CF171" s="2">
        <v>6</v>
      </c>
      <c r="CG171" s="2">
        <v>6</v>
      </c>
      <c r="CH171" s="2">
        <v>6</v>
      </c>
      <c r="CI171" s="2">
        <v>6</v>
      </c>
      <c r="CJ171" s="2">
        <v>6</v>
      </c>
      <c r="CK171" s="2">
        <v>6</v>
      </c>
      <c r="CL171" s="2">
        <v>6</v>
      </c>
      <c r="CM171" s="2">
        <v>6</v>
      </c>
      <c r="CN171" s="2">
        <v>6</v>
      </c>
      <c r="CO171" s="2">
        <v>6</v>
      </c>
      <c r="CP171" s="2" t="e">
        <f t="shared" ca="1" si="23"/>
        <v>#NAME?</v>
      </c>
      <c r="CQ171" s="2">
        <v>6</v>
      </c>
      <c r="CR171" s="2">
        <v>6</v>
      </c>
      <c r="CS171" s="2">
        <v>6</v>
      </c>
      <c r="CT171" s="2">
        <v>6</v>
      </c>
      <c r="CU171" s="2">
        <v>6</v>
      </c>
      <c r="CV171" s="54">
        <f t="shared" si="8"/>
        <v>6</v>
      </c>
      <c r="CW171" s="55"/>
      <c r="CX171" s="3"/>
    </row>
    <row r="172" spans="1:102" ht="16.5" x14ac:dyDescent="0.55000000000000004">
      <c r="A172" s="17">
        <v>1</v>
      </c>
      <c r="B172" s="17" t="s">
        <v>5</v>
      </c>
      <c r="C172" s="23" t="s">
        <v>384</v>
      </c>
      <c r="D172" s="24" t="s">
        <v>385</v>
      </c>
      <c r="E172" s="48"/>
      <c r="F172" s="2" t="s">
        <v>31</v>
      </c>
      <c r="G172" s="2">
        <v>4</v>
      </c>
      <c r="H172" s="2">
        <v>4</v>
      </c>
      <c r="I172" s="2">
        <v>4</v>
      </c>
      <c r="J172" s="2">
        <v>4</v>
      </c>
      <c r="K172" s="2">
        <v>4</v>
      </c>
      <c r="L172" s="2">
        <f t="shared" ref="L172:P172" si="30">G172</f>
        <v>4</v>
      </c>
      <c r="M172" s="2">
        <f t="shared" si="30"/>
        <v>4</v>
      </c>
      <c r="N172" s="2">
        <f t="shared" si="30"/>
        <v>4</v>
      </c>
      <c r="O172" s="2">
        <f t="shared" si="30"/>
        <v>4</v>
      </c>
      <c r="P172" s="2">
        <f t="shared" si="30"/>
        <v>4</v>
      </c>
      <c r="Q172" s="2" t="e">
        <f t="shared" ca="1" si="19"/>
        <v>#NAME?</v>
      </c>
      <c r="R172" s="2">
        <v>7</v>
      </c>
      <c r="S172" s="2">
        <v>7</v>
      </c>
      <c r="T172" s="2">
        <v>7</v>
      </c>
      <c r="U172" s="2">
        <v>7</v>
      </c>
      <c r="V172" s="2">
        <v>7</v>
      </c>
      <c r="W172" s="54">
        <f t="shared" si="1"/>
        <v>7</v>
      </c>
      <c r="X172" s="48"/>
      <c r="Y172" s="2"/>
      <c r="Z172" s="2"/>
      <c r="AA172" s="2">
        <v>0</v>
      </c>
      <c r="AB172" s="2">
        <v>0</v>
      </c>
      <c r="AC172" s="2">
        <v>4</v>
      </c>
      <c r="AD172" s="2">
        <v>10</v>
      </c>
      <c r="AE172" s="2">
        <v>10</v>
      </c>
      <c r="AF172" s="2">
        <v>10</v>
      </c>
      <c r="AG172" s="2">
        <v>10</v>
      </c>
      <c r="AH172" s="2">
        <v>10</v>
      </c>
      <c r="AI172" s="2">
        <v>10</v>
      </c>
      <c r="AJ172" s="2">
        <v>10</v>
      </c>
      <c r="AK172" s="3"/>
      <c r="AL172" s="3"/>
      <c r="AM172" s="3"/>
      <c r="AN172" s="3"/>
      <c r="AO172" s="3"/>
      <c r="AP172" s="3"/>
      <c r="AQ172" s="2" t="e">
        <f t="shared" ca="1" si="20"/>
        <v>#NAME?</v>
      </c>
      <c r="AR172" s="2">
        <v>10</v>
      </c>
      <c r="AS172" s="2">
        <v>0</v>
      </c>
      <c r="AT172" s="2">
        <v>5</v>
      </c>
      <c r="AU172" s="2">
        <v>10</v>
      </c>
      <c r="AV172" s="2">
        <v>10</v>
      </c>
      <c r="AW172" s="54">
        <f t="shared" si="3"/>
        <v>7</v>
      </c>
      <c r="AX172" s="48">
        <v>7</v>
      </c>
      <c r="AY172" s="2">
        <v>7</v>
      </c>
      <c r="AZ172" s="2">
        <v>7</v>
      </c>
      <c r="BA172" s="2">
        <v>7</v>
      </c>
      <c r="BB172" s="2">
        <v>7</v>
      </c>
      <c r="BC172" s="2">
        <v>7</v>
      </c>
      <c r="BD172" s="2">
        <v>7</v>
      </c>
      <c r="BE172" s="2">
        <v>7</v>
      </c>
      <c r="BF172" s="2">
        <v>7</v>
      </c>
      <c r="BG172" s="2">
        <v>7</v>
      </c>
      <c r="BH172" s="2">
        <v>7</v>
      </c>
      <c r="BI172" s="57">
        <v>7</v>
      </c>
      <c r="BJ172" s="2" t="e">
        <f t="shared" ca="1" si="21"/>
        <v>#NAME?</v>
      </c>
      <c r="BK172" s="5">
        <v>7</v>
      </c>
      <c r="BL172" s="5">
        <v>7</v>
      </c>
      <c r="BM172" s="5">
        <v>7</v>
      </c>
      <c r="BN172" s="5">
        <v>7</v>
      </c>
      <c r="BO172" s="5">
        <v>7</v>
      </c>
      <c r="BP172" s="54">
        <f t="shared" si="5"/>
        <v>7</v>
      </c>
      <c r="BQ172" s="49">
        <v>19</v>
      </c>
      <c r="BR172" s="50">
        <v>0</v>
      </c>
      <c r="BS172" s="50">
        <v>9</v>
      </c>
      <c r="BT172" s="50">
        <v>9</v>
      </c>
      <c r="BU172" s="50">
        <v>9</v>
      </c>
      <c r="BV172" s="50">
        <v>9</v>
      </c>
      <c r="BW172" s="50">
        <v>9</v>
      </c>
      <c r="BX172" s="50">
        <v>9</v>
      </c>
      <c r="BY172" s="50">
        <v>9</v>
      </c>
      <c r="BZ172" s="50">
        <v>9</v>
      </c>
      <c r="CA172" s="50">
        <v>9</v>
      </c>
      <c r="CB172" s="50">
        <v>9</v>
      </c>
      <c r="CC172" s="2" t="e">
        <f t="shared" ca="1" si="22"/>
        <v>#NAME?</v>
      </c>
      <c r="CD172" s="55"/>
      <c r="CE172" s="2"/>
      <c r="CF172" s="2">
        <v>6</v>
      </c>
      <c r="CG172" s="2">
        <v>6</v>
      </c>
      <c r="CH172" s="2">
        <v>6</v>
      </c>
      <c r="CI172" s="2">
        <v>6</v>
      </c>
      <c r="CJ172" s="2">
        <v>6</v>
      </c>
      <c r="CK172" s="2">
        <v>6</v>
      </c>
      <c r="CL172" s="2">
        <v>6</v>
      </c>
      <c r="CM172" s="2">
        <v>6</v>
      </c>
      <c r="CN172" s="2">
        <v>6</v>
      </c>
      <c r="CO172" s="2">
        <v>6</v>
      </c>
      <c r="CP172" s="2" t="e">
        <f t="shared" ca="1" si="23"/>
        <v>#NAME?</v>
      </c>
      <c r="CQ172" s="2">
        <v>6</v>
      </c>
      <c r="CR172" s="2">
        <v>6</v>
      </c>
      <c r="CS172" s="2">
        <v>6</v>
      </c>
      <c r="CT172" s="2">
        <v>6</v>
      </c>
      <c r="CU172" s="2">
        <v>6</v>
      </c>
      <c r="CV172" s="54">
        <f t="shared" si="8"/>
        <v>6</v>
      </c>
      <c r="CW172" s="55"/>
      <c r="CX172" s="3"/>
    </row>
    <row r="173" spans="1:102" ht="16.5" x14ac:dyDescent="0.55000000000000004">
      <c r="A173" s="17">
        <v>1</v>
      </c>
      <c r="B173" s="17" t="s">
        <v>5</v>
      </c>
      <c r="C173" s="23" t="s">
        <v>386</v>
      </c>
      <c r="D173" s="24" t="s">
        <v>387</v>
      </c>
      <c r="E173" s="48"/>
      <c r="F173" s="48">
        <v>11</v>
      </c>
      <c r="G173" s="2">
        <v>7</v>
      </c>
      <c r="H173" s="2">
        <v>7</v>
      </c>
      <c r="I173" s="2">
        <v>7</v>
      </c>
      <c r="J173" s="2">
        <v>7</v>
      </c>
      <c r="K173" s="2">
        <v>7</v>
      </c>
      <c r="L173" s="2">
        <f t="shared" ref="L173:P173" si="31">G173</f>
        <v>7</v>
      </c>
      <c r="M173" s="2">
        <f t="shared" si="31"/>
        <v>7</v>
      </c>
      <c r="N173" s="2">
        <f t="shared" si="31"/>
        <v>7</v>
      </c>
      <c r="O173" s="2">
        <f t="shared" si="31"/>
        <v>7</v>
      </c>
      <c r="P173" s="2">
        <f t="shared" si="31"/>
        <v>7</v>
      </c>
      <c r="Q173" s="2" t="e">
        <f t="shared" ca="1" si="19"/>
        <v>#NAME?</v>
      </c>
      <c r="R173" s="2">
        <v>9</v>
      </c>
      <c r="S173" s="2">
        <v>9</v>
      </c>
      <c r="T173" s="2">
        <v>8</v>
      </c>
      <c r="U173" s="2">
        <v>8</v>
      </c>
      <c r="V173" s="2">
        <v>9</v>
      </c>
      <c r="W173" s="54">
        <f t="shared" si="1"/>
        <v>9</v>
      </c>
      <c r="X173" s="48"/>
      <c r="Y173" s="2"/>
      <c r="Z173" s="2"/>
      <c r="AA173" s="2">
        <v>10</v>
      </c>
      <c r="AB173" s="2">
        <v>10</v>
      </c>
      <c r="AC173" s="2">
        <v>10</v>
      </c>
      <c r="AD173" s="2">
        <v>10</v>
      </c>
      <c r="AE173" s="2">
        <v>10</v>
      </c>
      <c r="AF173" s="2">
        <v>10</v>
      </c>
      <c r="AG173" s="2">
        <v>10</v>
      </c>
      <c r="AH173" s="2">
        <v>10</v>
      </c>
      <c r="AI173" s="2">
        <v>10</v>
      </c>
      <c r="AJ173" s="2">
        <v>10</v>
      </c>
      <c r="AK173" s="3"/>
      <c r="AL173" s="3"/>
      <c r="AM173" s="3"/>
      <c r="AN173" s="3"/>
      <c r="AO173" s="3"/>
      <c r="AP173" s="3"/>
      <c r="AQ173" s="2" t="e">
        <f t="shared" ca="1" si="20"/>
        <v>#NAME?</v>
      </c>
      <c r="AR173" s="2">
        <v>10</v>
      </c>
      <c r="AS173" s="2">
        <v>10</v>
      </c>
      <c r="AT173" s="2">
        <v>10</v>
      </c>
      <c r="AU173" s="2">
        <v>10</v>
      </c>
      <c r="AV173" s="2">
        <v>10</v>
      </c>
      <c r="AW173" s="54">
        <f t="shared" si="3"/>
        <v>10</v>
      </c>
      <c r="AX173" s="48">
        <v>7</v>
      </c>
      <c r="AY173" s="2">
        <v>10</v>
      </c>
      <c r="AZ173" s="2">
        <v>10</v>
      </c>
      <c r="BA173" s="2">
        <v>10</v>
      </c>
      <c r="BB173" s="2">
        <v>10</v>
      </c>
      <c r="BC173" s="2">
        <v>10</v>
      </c>
      <c r="BD173" s="2">
        <v>10</v>
      </c>
      <c r="BE173" s="2">
        <v>10</v>
      </c>
      <c r="BF173" s="2">
        <v>10</v>
      </c>
      <c r="BG173" s="2">
        <v>10</v>
      </c>
      <c r="BH173" s="2">
        <v>10</v>
      </c>
      <c r="BI173" s="57">
        <v>10</v>
      </c>
      <c r="BJ173" s="2" t="e">
        <f t="shared" ca="1" si="21"/>
        <v>#NAME?</v>
      </c>
      <c r="BK173" s="5">
        <v>10</v>
      </c>
      <c r="BL173" s="5">
        <v>0</v>
      </c>
      <c r="BM173" s="5">
        <v>10</v>
      </c>
      <c r="BN173" s="5">
        <v>10</v>
      </c>
      <c r="BO173" s="5">
        <v>10</v>
      </c>
      <c r="BP173" s="54">
        <f t="shared" si="5"/>
        <v>8</v>
      </c>
      <c r="BQ173" s="49">
        <v>13</v>
      </c>
      <c r="BR173" s="50">
        <v>0</v>
      </c>
      <c r="BS173" s="49">
        <v>10</v>
      </c>
      <c r="BT173" s="49">
        <v>10</v>
      </c>
      <c r="BU173" s="49">
        <v>10</v>
      </c>
      <c r="BV173" s="49">
        <v>10</v>
      </c>
      <c r="BW173" s="49">
        <v>10</v>
      </c>
      <c r="BX173" s="49">
        <v>10</v>
      </c>
      <c r="BY173" s="49">
        <v>10</v>
      </c>
      <c r="BZ173" s="49">
        <v>10</v>
      </c>
      <c r="CA173" s="49">
        <v>10</v>
      </c>
      <c r="CB173" s="49">
        <v>10</v>
      </c>
      <c r="CC173" s="2" t="e">
        <f t="shared" ca="1" si="22"/>
        <v>#NAME?</v>
      </c>
      <c r="CD173" s="55"/>
      <c r="CE173" s="2"/>
      <c r="CF173" s="2">
        <v>6</v>
      </c>
      <c r="CG173" s="2">
        <v>6</v>
      </c>
      <c r="CH173" s="2">
        <v>7</v>
      </c>
      <c r="CI173" s="2">
        <v>7</v>
      </c>
      <c r="CJ173" s="2">
        <v>6</v>
      </c>
      <c r="CK173" s="2">
        <v>6</v>
      </c>
      <c r="CL173" s="2">
        <v>6</v>
      </c>
      <c r="CM173" s="2">
        <v>7</v>
      </c>
      <c r="CN173" s="2">
        <v>7</v>
      </c>
      <c r="CO173" s="2">
        <v>7</v>
      </c>
      <c r="CP173" s="2" t="e">
        <f t="shared" ca="1" si="23"/>
        <v>#NAME?</v>
      </c>
      <c r="CQ173" s="2">
        <v>7</v>
      </c>
      <c r="CR173" s="2">
        <v>7</v>
      </c>
      <c r="CS173" s="2">
        <v>6</v>
      </c>
      <c r="CT173" s="2">
        <v>6</v>
      </c>
      <c r="CU173" s="2">
        <v>6</v>
      </c>
      <c r="CV173" s="54">
        <f t="shared" si="8"/>
        <v>7</v>
      </c>
      <c r="CW173" s="55"/>
      <c r="CX173" s="3"/>
    </row>
    <row r="174" spans="1:102" ht="16.5" x14ac:dyDescent="0.55000000000000004">
      <c r="A174" s="17">
        <v>1</v>
      </c>
      <c r="B174" s="17" t="s">
        <v>5</v>
      </c>
      <c r="C174" s="23" t="s">
        <v>388</v>
      </c>
      <c r="D174" s="24" t="s">
        <v>389</v>
      </c>
      <c r="E174" s="48"/>
      <c r="F174" s="2">
        <v>11</v>
      </c>
      <c r="G174" s="2">
        <v>8</v>
      </c>
      <c r="H174" s="2">
        <v>8</v>
      </c>
      <c r="I174" s="2">
        <v>8</v>
      </c>
      <c r="J174" s="2">
        <v>7</v>
      </c>
      <c r="K174" s="2">
        <v>7</v>
      </c>
      <c r="L174" s="2">
        <f t="shared" ref="L174:P174" si="32">G174</f>
        <v>8</v>
      </c>
      <c r="M174" s="2">
        <f t="shared" si="32"/>
        <v>8</v>
      </c>
      <c r="N174" s="2">
        <f t="shared" si="32"/>
        <v>8</v>
      </c>
      <c r="O174" s="2">
        <f t="shared" si="32"/>
        <v>7</v>
      </c>
      <c r="P174" s="2">
        <f t="shared" si="32"/>
        <v>7</v>
      </c>
      <c r="Q174" s="2" t="e">
        <f t="shared" ca="1" si="19"/>
        <v>#NAME?</v>
      </c>
      <c r="R174" s="2">
        <v>9</v>
      </c>
      <c r="S174" s="2">
        <v>9</v>
      </c>
      <c r="T174" s="2">
        <v>9</v>
      </c>
      <c r="U174" s="2">
        <v>9</v>
      </c>
      <c r="V174" s="2">
        <v>9</v>
      </c>
      <c r="W174" s="54">
        <f t="shared" si="1"/>
        <v>9</v>
      </c>
      <c r="X174" s="48"/>
      <c r="Y174" s="2"/>
      <c r="Z174" s="2"/>
      <c r="AA174" s="2">
        <v>10</v>
      </c>
      <c r="AB174" s="2">
        <v>10</v>
      </c>
      <c r="AC174" s="2">
        <v>10</v>
      </c>
      <c r="AD174" s="2">
        <v>10</v>
      </c>
      <c r="AE174" s="2">
        <v>10</v>
      </c>
      <c r="AF174" s="2">
        <v>10</v>
      </c>
      <c r="AG174" s="2">
        <v>10</v>
      </c>
      <c r="AH174" s="2">
        <v>10</v>
      </c>
      <c r="AI174" s="2">
        <v>10</v>
      </c>
      <c r="AJ174" s="2">
        <v>10</v>
      </c>
      <c r="AK174" s="3"/>
      <c r="AL174" s="3"/>
      <c r="AM174" s="3"/>
      <c r="AN174" s="3"/>
      <c r="AO174" s="3"/>
      <c r="AP174" s="3"/>
      <c r="AQ174" s="2" t="e">
        <f t="shared" ca="1" si="20"/>
        <v>#NAME?</v>
      </c>
      <c r="AR174" s="2">
        <v>10</v>
      </c>
      <c r="AS174" s="2">
        <v>10</v>
      </c>
      <c r="AT174" s="2">
        <v>10</v>
      </c>
      <c r="AU174" s="2">
        <v>10</v>
      </c>
      <c r="AV174" s="2">
        <v>10</v>
      </c>
      <c r="AW174" s="54">
        <f t="shared" si="3"/>
        <v>10</v>
      </c>
      <c r="AX174" s="48">
        <v>7</v>
      </c>
      <c r="AY174" s="2">
        <v>10</v>
      </c>
      <c r="AZ174" s="2">
        <v>10</v>
      </c>
      <c r="BA174" s="2">
        <v>7</v>
      </c>
      <c r="BB174" s="2">
        <v>8</v>
      </c>
      <c r="BC174" s="2">
        <v>9</v>
      </c>
      <c r="BD174" s="2">
        <v>7</v>
      </c>
      <c r="BE174" s="2">
        <v>6</v>
      </c>
      <c r="BF174" s="2">
        <v>7</v>
      </c>
      <c r="BG174" s="2">
        <v>7</v>
      </c>
      <c r="BH174" s="2">
        <v>7</v>
      </c>
      <c r="BI174" s="57">
        <v>9</v>
      </c>
      <c r="BJ174" s="2" t="e">
        <f t="shared" ca="1" si="21"/>
        <v>#NAME?</v>
      </c>
      <c r="BK174" s="5">
        <v>6</v>
      </c>
      <c r="BL174" s="5">
        <v>7</v>
      </c>
      <c r="BM174" s="5">
        <v>6</v>
      </c>
      <c r="BN174" s="5">
        <v>6</v>
      </c>
      <c r="BO174" s="5">
        <v>6</v>
      </c>
      <c r="BP174" s="54">
        <f t="shared" si="5"/>
        <v>7</v>
      </c>
      <c r="BQ174" s="49">
        <v>0</v>
      </c>
      <c r="BR174" s="50">
        <v>0</v>
      </c>
      <c r="BS174" s="49">
        <v>10</v>
      </c>
      <c r="BT174" s="49">
        <v>10</v>
      </c>
      <c r="BU174" s="49">
        <v>10</v>
      </c>
      <c r="BV174" s="49">
        <v>10</v>
      </c>
      <c r="BW174" s="49">
        <v>10</v>
      </c>
      <c r="BX174" s="49">
        <v>10</v>
      </c>
      <c r="BY174" s="49">
        <v>10</v>
      </c>
      <c r="BZ174" s="49">
        <v>10</v>
      </c>
      <c r="CA174" s="49">
        <v>10</v>
      </c>
      <c r="CB174" s="49">
        <v>10</v>
      </c>
      <c r="CC174" s="2" t="e">
        <f t="shared" ca="1" si="22"/>
        <v>#NAME?</v>
      </c>
      <c r="CD174" s="55"/>
      <c r="CE174" s="2"/>
      <c r="CF174" s="2">
        <v>7</v>
      </c>
      <c r="CG174" s="2">
        <v>7</v>
      </c>
      <c r="CH174" s="2">
        <v>7</v>
      </c>
      <c r="CI174" s="2">
        <v>7</v>
      </c>
      <c r="CJ174" s="2">
        <v>7</v>
      </c>
      <c r="CK174" s="2">
        <v>7</v>
      </c>
      <c r="CL174" s="2">
        <v>7</v>
      </c>
      <c r="CM174" s="2">
        <v>7</v>
      </c>
      <c r="CN174" s="2">
        <v>7</v>
      </c>
      <c r="CO174" s="2">
        <v>7</v>
      </c>
      <c r="CP174" s="2" t="e">
        <f t="shared" ca="1" si="23"/>
        <v>#NAME?</v>
      </c>
      <c r="CQ174" s="2">
        <v>7</v>
      </c>
      <c r="CR174" s="2">
        <v>7</v>
      </c>
      <c r="CS174" s="2">
        <v>7</v>
      </c>
      <c r="CT174" s="2">
        <v>7</v>
      </c>
      <c r="CU174" s="2">
        <v>7</v>
      </c>
      <c r="CV174" s="54">
        <f t="shared" si="8"/>
        <v>7</v>
      </c>
      <c r="CW174" s="55"/>
      <c r="CX174" s="3"/>
    </row>
    <row r="175" spans="1:102" ht="16.5" x14ac:dyDescent="0.55000000000000004">
      <c r="A175" s="17">
        <v>1</v>
      </c>
      <c r="B175" s="17" t="s">
        <v>5</v>
      </c>
      <c r="C175" s="23" t="s">
        <v>390</v>
      </c>
      <c r="D175" s="24" t="s">
        <v>391</v>
      </c>
      <c r="E175" s="48"/>
      <c r="F175" s="2">
        <v>15</v>
      </c>
      <c r="G175" s="2">
        <v>5</v>
      </c>
      <c r="H175" s="2">
        <v>5</v>
      </c>
      <c r="I175" s="2">
        <v>5</v>
      </c>
      <c r="J175" s="2">
        <v>5</v>
      </c>
      <c r="K175" s="2">
        <v>5</v>
      </c>
      <c r="L175" s="2">
        <f t="shared" ref="L175:P175" si="33">G175</f>
        <v>5</v>
      </c>
      <c r="M175" s="2">
        <f t="shared" si="33"/>
        <v>5</v>
      </c>
      <c r="N175" s="2">
        <f t="shared" si="33"/>
        <v>5</v>
      </c>
      <c r="O175" s="2">
        <f t="shared" si="33"/>
        <v>5</v>
      </c>
      <c r="P175" s="2">
        <f t="shared" si="33"/>
        <v>5</v>
      </c>
      <c r="Q175" s="2" t="e">
        <f t="shared" ca="1" si="19"/>
        <v>#NAME?</v>
      </c>
      <c r="R175" s="2">
        <v>10</v>
      </c>
      <c r="S175" s="2">
        <v>10</v>
      </c>
      <c r="T175" s="2">
        <v>10</v>
      </c>
      <c r="U175" s="2">
        <v>10</v>
      </c>
      <c r="V175" s="2">
        <v>10</v>
      </c>
      <c r="W175" s="54">
        <f t="shared" si="1"/>
        <v>10</v>
      </c>
      <c r="X175" s="48"/>
      <c r="Y175" s="2"/>
      <c r="Z175" s="2"/>
      <c r="AA175" s="2">
        <v>0</v>
      </c>
      <c r="AB175" s="2">
        <v>0</v>
      </c>
      <c r="AC175" s="2">
        <v>4</v>
      </c>
      <c r="AD175" s="2">
        <v>10</v>
      </c>
      <c r="AE175" s="2">
        <v>10</v>
      </c>
      <c r="AF175" s="2">
        <v>10</v>
      </c>
      <c r="AG175" s="2">
        <v>10</v>
      </c>
      <c r="AH175" s="2">
        <v>10</v>
      </c>
      <c r="AI175" s="2">
        <v>10</v>
      </c>
      <c r="AJ175" s="2">
        <v>10</v>
      </c>
      <c r="AK175" s="3"/>
      <c r="AL175" s="3"/>
      <c r="AM175" s="3"/>
      <c r="AN175" s="3"/>
      <c r="AO175" s="3"/>
      <c r="AP175" s="3"/>
      <c r="AQ175" s="2" t="e">
        <f t="shared" ca="1" si="20"/>
        <v>#NAME?</v>
      </c>
      <c r="AR175" s="2">
        <v>0</v>
      </c>
      <c r="AS175" s="2">
        <v>5</v>
      </c>
      <c r="AT175" s="2">
        <v>10</v>
      </c>
      <c r="AU175" s="2">
        <v>10</v>
      </c>
      <c r="AV175" s="2">
        <v>10</v>
      </c>
      <c r="AW175" s="54">
        <f t="shared" si="3"/>
        <v>7</v>
      </c>
      <c r="AX175" s="48">
        <v>8</v>
      </c>
      <c r="AY175" s="2">
        <v>10</v>
      </c>
      <c r="AZ175" s="2">
        <v>10</v>
      </c>
      <c r="BA175" s="2">
        <v>10</v>
      </c>
      <c r="BB175" s="2">
        <v>10</v>
      </c>
      <c r="BC175" s="2">
        <v>10</v>
      </c>
      <c r="BD175" s="2">
        <v>10</v>
      </c>
      <c r="BE175" s="2">
        <v>10</v>
      </c>
      <c r="BF175" s="2">
        <v>10</v>
      </c>
      <c r="BG175" s="2">
        <v>10</v>
      </c>
      <c r="BH175" s="2">
        <v>10</v>
      </c>
      <c r="BI175" s="57">
        <v>10</v>
      </c>
      <c r="BJ175" s="2" t="e">
        <f t="shared" ca="1" si="21"/>
        <v>#NAME?</v>
      </c>
      <c r="BK175" s="5">
        <v>10</v>
      </c>
      <c r="BL175" s="5">
        <v>10</v>
      </c>
      <c r="BM175" s="5">
        <v>10</v>
      </c>
      <c r="BN175" s="5">
        <v>10</v>
      </c>
      <c r="BO175" s="5">
        <v>10</v>
      </c>
      <c r="BP175" s="54">
        <f t="shared" si="5"/>
        <v>10</v>
      </c>
      <c r="BQ175" s="49">
        <v>0</v>
      </c>
      <c r="BR175" s="50">
        <v>0</v>
      </c>
      <c r="BS175" s="49">
        <v>9</v>
      </c>
      <c r="BT175" s="49">
        <v>9</v>
      </c>
      <c r="BU175" s="49">
        <v>9</v>
      </c>
      <c r="BV175" s="49">
        <v>9</v>
      </c>
      <c r="BW175" s="49">
        <v>9</v>
      </c>
      <c r="BX175" s="49">
        <v>9</v>
      </c>
      <c r="BY175" s="49">
        <v>9</v>
      </c>
      <c r="BZ175" s="49">
        <v>9</v>
      </c>
      <c r="CA175" s="49">
        <v>9</v>
      </c>
      <c r="CB175" s="49">
        <v>9</v>
      </c>
      <c r="CC175" s="2" t="e">
        <f t="shared" ca="1" si="22"/>
        <v>#NAME?</v>
      </c>
      <c r="CD175" s="55"/>
      <c r="CE175" s="2"/>
      <c r="CF175" s="2">
        <v>7</v>
      </c>
      <c r="CG175" s="2">
        <v>7</v>
      </c>
      <c r="CH175" s="2">
        <v>7</v>
      </c>
      <c r="CI175" s="2">
        <v>7</v>
      </c>
      <c r="CJ175" s="2">
        <v>7</v>
      </c>
      <c r="CK175" s="2">
        <v>7</v>
      </c>
      <c r="CL175" s="2">
        <v>7</v>
      </c>
      <c r="CM175" s="2">
        <v>7</v>
      </c>
      <c r="CN175" s="2">
        <v>7</v>
      </c>
      <c r="CO175" s="2">
        <v>7</v>
      </c>
      <c r="CP175" s="2" t="e">
        <f t="shared" ca="1" si="23"/>
        <v>#NAME?</v>
      </c>
      <c r="CQ175" s="2">
        <v>7</v>
      </c>
      <c r="CR175" s="2">
        <v>7</v>
      </c>
      <c r="CS175" s="2">
        <v>7</v>
      </c>
      <c r="CT175" s="2">
        <v>7</v>
      </c>
      <c r="CU175" s="2">
        <v>7</v>
      </c>
      <c r="CV175" s="54">
        <f t="shared" si="8"/>
        <v>7</v>
      </c>
      <c r="CW175" s="55"/>
      <c r="CX175" s="3"/>
    </row>
    <row r="176" spans="1:102" ht="16.5" x14ac:dyDescent="0.55000000000000004">
      <c r="A176" s="17">
        <v>1</v>
      </c>
      <c r="B176" s="17" t="s">
        <v>5</v>
      </c>
      <c r="C176" s="23" t="s">
        <v>392</v>
      </c>
      <c r="D176" s="24" t="s">
        <v>393</v>
      </c>
      <c r="E176" s="48"/>
      <c r="F176" s="48">
        <v>19</v>
      </c>
      <c r="G176" s="2">
        <v>10</v>
      </c>
      <c r="H176" s="2">
        <v>10</v>
      </c>
      <c r="I176" s="2">
        <v>10</v>
      </c>
      <c r="J176" s="2">
        <v>10</v>
      </c>
      <c r="K176" s="2">
        <v>10</v>
      </c>
      <c r="L176" s="2">
        <f t="shared" ref="L176:P176" si="34">G176</f>
        <v>10</v>
      </c>
      <c r="M176" s="2">
        <f t="shared" si="34"/>
        <v>10</v>
      </c>
      <c r="N176" s="2">
        <f t="shared" si="34"/>
        <v>10</v>
      </c>
      <c r="O176" s="2">
        <f t="shared" si="34"/>
        <v>10</v>
      </c>
      <c r="P176" s="2">
        <f t="shared" si="34"/>
        <v>10</v>
      </c>
      <c r="Q176" s="2" t="e">
        <f t="shared" ca="1" si="19"/>
        <v>#NAME?</v>
      </c>
      <c r="R176" s="2">
        <v>10</v>
      </c>
      <c r="S176" s="2">
        <v>10</v>
      </c>
      <c r="T176" s="2">
        <v>10</v>
      </c>
      <c r="U176" s="2">
        <v>10</v>
      </c>
      <c r="V176" s="2">
        <v>10</v>
      </c>
      <c r="W176" s="54">
        <f t="shared" si="1"/>
        <v>10</v>
      </c>
      <c r="X176" s="48"/>
      <c r="Y176" s="2"/>
      <c r="Z176" s="2"/>
      <c r="AA176" s="2">
        <v>10</v>
      </c>
      <c r="AB176" s="2">
        <v>10</v>
      </c>
      <c r="AC176" s="2">
        <v>0</v>
      </c>
      <c r="AD176" s="2">
        <v>0</v>
      </c>
      <c r="AE176" s="2">
        <v>4</v>
      </c>
      <c r="AF176" s="2">
        <v>10</v>
      </c>
      <c r="AG176" s="2">
        <v>10</v>
      </c>
      <c r="AH176" s="2">
        <v>10</v>
      </c>
      <c r="AI176" s="2">
        <v>10</v>
      </c>
      <c r="AJ176" s="2">
        <v>10</v>
      </c>
      <c r="AK176" s="3"/>
      <c r="AL176" s="3"/>
      <c r="AM176" s="3"/>
      <c r="AN176" s="3"/>
      <c r="AO176" s="3"/>
      <c r="AP176" s="3"/>
      <c r="AQ176" s="2" t="e">
        <f t="shared" ca="1" si="20"/>
        <v>#NAME?</v>
      </c>
      <c r="AR176" s="2">
        <v>10</v>
      </c>
      <c r="AS176" s="2">
        <v>10</v>
      </c>
      <c r="AT176" s="2">
        <v>0</v>
      </c>
      <c r="AU176" s="2">
        <v>5</v>
      </c>
      <c r="AV176" s="2">
        <v>10</v>
      </c>
      <c r="AW176" s="54">
        <f t="shared" si="3"/>
        <v>7</v>
      </c>
      <c r="AX176" s="48">
        <v>5</v>
      </c>
      <c r="AY176" s="2">
        <v>10</v>
      </c>
      <c r="AZ176" s="2">
        <v>10</v>
      </c>
      <c r="BA176" s="2">
        <v>10</v>
      </c>
      <c r="BB176" s="2">
        <v>10</v>
      </c>
      <c r="BC176" s="2">
        <v>10</v>
      </c>
      <c r="BD176" s="2">
        <v>10</v>
      </c>
      <c r="BE176" s="2">
        <v>10</v>
      </c>
      <c r="BF176" s="2">
        <v>10</v>
      </c>
      <c r="BG176" s="2">
        <v>10</v>
      </c>
      <c r="BH176" s="2">
        <v>10</v>
      </c>
      <c r="BI176" s="57">
        <v>10</v>
      </c>
      <c r="BJ176" s="2" t="e">
        <f t="shared" ca="1" si="21"/>
        <v>#NAME?</v>
      </c>
      <c r="BK176" s="5">
        <v>10</v>
      </c>
      <c r="BL176" s="5">
        <v>10</v>
      </c>
      <c r="BM176" s="5">
        <v>10</v>
      </c>
      <c r="BN176" s="5">
        <v>10</v>
      </c>
      <c r="BO176" s="5">
        <v>10</v>
      </c>
      <c r="BP176" s="54">
        <f t="shared" si="5"/>
        <v>10</v>
      </c>
      <c r="BQ176" s="49">
        <v>0</v>
      </c>
      <c r="BR176" s="49">
        <v>7</v>
      </c>
      <c r="BS176" s="49">
        <v>10</v>
      </c>
      <c r="BT176" s="49">
        <v>10</v>
      </c>
      <c r="BU176" s="49">
        <v>10</v>
      </c>
      <c r="BV176" s="49">
        <v>10</v>
      </c>
      <c r="BW176" s="49">
        <v>10</v>
      </c>
      <c r="BX176" s="49">
        <v>10</v>
      </c>
      <c r="BY176" s="49">
        <v>10</v>
      </c>
      <c r="BZ176" s="49">
        <v>10</v>
      </c>
      <c r="CA176" s="49">
        <v>10</v>
      </c>
      <c r="CB176" s="49">
        <v>10</v>
      </c>
      <c r="CC176" s="2" t="e">
        <f t="shared" ca="1" si="22"/>
        <v>#NAME?</v>
      </c>
      <c r="CD176" s="55"/>
      <c r="CE176" s="2"/>
      <c r="CF176" s="2">
        <v>10</v>
      </c>
      <c r="CG176" s="2">
        <v>10</v>
      </c>
      <c r="CH176" s="2">
        <v>10</v>
      </c>
      <c r="CI176" s="2">
        <v>10</v>
      </c>
      <c r="CJ176" s="2">
        <v>10</v>
      </c>
      <c r="CK176" s="2">
        <v>10</v>
      </c>
      <c r="CL176" s="2">
        <v>10</v>
      </c>
      <c r="CM176" s="2">
        <v>10</v>
      </c>
      <c r="CN176" s="2">
        <v>10</v>
      </c>
      <c r="CO176" s="2">
        <v>10</v>
      </c>
      <c r="CP176" s="2" t="e">
        <f t="shared" ca="1" si="23"/>
        <v>#NAME?</v>
      </c>
      <c r="CQ176" s="2">
        <v>10</v>
      </c>
      <c r="CR176" s="2">
        <v>10</v>
      </c>
      <c r="CS176" s="2">
        <v>10</v>
      </c>
      <c r="CT176" s="2">
        <v>10</v>
      </c>
      <c r="CU176" s="2">
        <v>10</v>
      </c>
      <c r="CV176" s="54">
        <f t="shared" si="8"/>
        <v>10</v>
      </c>
      <c r="CW176" s="55"/>
      <c r="CX176" s="3"/>
    </row>
    <row r="177" spans="1:102" ht="16.5" x14ac:dyDescent="0.55000000000000004">
      <c r="A177" s="17">
        <v>1</v>
      </c>
      <c r="B177" s="17" t="s">
        <v>5</v>
      </c>
      <c r="C177" s="23" t="s">
        <v>394</v>
      </c>
      <c r="D177" s="24" t="s">
        <v>395</v>
      </c>
      <c r="E177" s="48"/>
      <c r="F177" s="2">
        <v>13</v>
      </c>
      <c r="G177" s="2">
        <v>5</v>
      </c>
      <c r="H177" s="2">
        <v>5</v>
      </c>
      <c r="I177" s="2">
        <v>5</v>
      </c>
      <c r="J177" s="2">
        <v>5</v>
      </c>
      <c r="K177" s="2">
        <v>5</v>
      </c>
      <c r="L177" s="2">
        <f t="shared" ref="L177:P177" si="35">G177</f>
        <v>5</v>
      </c>
      <c r="M177" s="2">
        <f t="shared" si="35"/>
        <v>5</v>
      </c>
      <c r="N177" s="2">
        <f t="shared" si="35"/>
        <v>5</v>
      </c>
      <c r="O177" s="2">
        <f t="shared" si="35"/>
        <v>5</v>
      </c>
      <c r="P177" s="2">
        <f t="shared" si="35"/>
        <v>5</v>
      </c>
      <c r="Q177" s="2" t="e">
        <f t="shared" ca="1" si="19"/>
        <v>#NAME?</v>
      </c>
      <c r="R177" s="2">
        <v>6</v>
      </c>
      <c r="S177" s="2">
        <v>6</v>
      </c>
      <c r="T177" s="2">
        <v>7</v>
      </c>
      <c r="U177" s="2">
        <v>7</v>
      </c>
      <c r="V177" s="2">
        <v>7</v>
      </c>
      <c r="W177" s="54">
        <f t="shared" si="1"/>
        <v>7</v>
      </c>
      <c r="X177" s="48"/>
      <c r="Y177" s="2"/>
      <c r="Z177" s="2"/>
      <c r="AA177" s="2">
        <v>0</v>
      </c>
      <c r="AB177" s="2">
        <v>0</v>
      </c>
      <c r="AC177" s="2">
        <v>4</v>
      </c>
      <c r="AD177" s="2">
        <v>10</v>
      </c>
      <c r="AE177" s="2">
        <v>10</v>
      </c>
      <c r="AF177" s="2">
        <v>10</v>
      </c>
      <c r="AG177" s="2">
        <v>10</v>
      </c>
      <c r="AH177" s="2">
        <v>10</v>
      </c>
      <c r="AI177" s="2">
        <v>10</v>
      </c>
      <c r="AJ177" s="2">
        <v>10</v>
      </c>
      <c r="AK177" s="3"/>
      <c r="AL177" s="3"/>
      <c r="AM177" s="3"/>
      <c r="AN177" s="3"/>
      <c r="AO177" s="3"/>
      <c r="AP177" s="3"/>
      <c r="AQ177" s="2" t="e">
        <f t="shared" ca="1" si="20"/>
        <v>#NAME?</v>
      </c>
      <c r="AR177" s="2">
        <v>10</v>
      </c>
      <c r="AS177" s="2">
        <v>10</v>
      </c>
      <c r="AT177" s="2">
        <v>0</v>
      </c>
      <c r="AU177" s="2">
        <v>5</v>
      </c>
      <c r="AV177" s="2">
        <v>10</v>
      </c>
      <c r="AW177" s="54">
        <f t="shared" si="3"/>
        <v>7</v>
      </c>
      <c r="AX177" s="48">
        <v>5</v>
      </c>
      <c r="AY177" s="2">
        <v>10</v>
      </c>
      <c r="AZ177" s="2">
        <v>10</v>
      </c>
      <c r="BA177" s="2">
        <v>10</v>
      </c>
      <c r="BB177" s="2">
        <v>10</v>
      </c>
      <c r="BC177" s="2">
        <v>10</v>
      </c>
      <c r="BD177" s="2">
        <v>10</v>
      </c>
      <c r="BE177" s="2">
        <v>10</v>
      </c>
      <c r="BF177" s="2">
        <v>10</v>
      </c>
      <c r="BG177" s="2">
        <v>10</v>
      </c>
      <c r="BH177" s="2">
        <v>10</v>
      </c>
      <c r="BI177" s="57">
        <v>10</v>
      </c>
      <c r="BJ177" s="2" t="e">
        <f t="shared" ca="1" si="21"/>
        <v>#NAME?</v>
      </c>
      <c r="BK177" s="5">
        <v>10</v>
      </c>
      <c r="BL177" s="5">
        <v>10</v>
      </c>
      <c r="BM177" s="5">
        <v>10</v>
      </c>
      <c r="BN177" s="5">
        <v>10</v>
      </c>
      <c r="BO177" s="5">
        <v>10</v>
      </c>
      <c r="BP177" s="54">
        <f t="shared" si="5"/>
        <v>10</v>
      </c>
      <c r="BQ177" s="49">
        <v>11</v>
      </c>
      <c r="BR177" s="50">
        <v>0</v>
      </c>
      <c r="BS177" s="49">
        <v>9</v>
      </c>
      <c r="BT177" s="49">
        <v>9</v>
      </c>
      <c r="BU177" s="49">
        <v>9</v>
      </c>
      <c r="BV177" s="49">
        <v>9</v>
      </c>
      <c r="BW177" s="49">
        <v>9</v>
      </c>
      <c r="BX177" s="49">
        <v>9</v>
      </c>
      <c r="BY177" s="49">
        <v>9</v>
      </c>
      <c r="BZ177" s="49">
        <v>9</v>
      </c>
      <c r="CA177" s="49">
        <v>9</v>
      </c>
      <c r="CB177" s="49">
        <v>9</v>
      </c>
      <c r="CC177" s="2" t="e">
        <f t="shared" ca="1" si="22"/>
        <v>#NAME?</v>
      </c>
      <c r="CD177" s="55"/>
      <c r="CE177" s="2"/>
      <c r="CF177" s="2">
        <v>7</v>
      </c>
      <c r="CG177" s="2">
        <v>7</v>
      </c>
      <c r="CH177" s="2">
        <v>7</v>
      </c>
      <c r="CI177" s="2">
        <v>7</v>
      </c>
      <c r="CJ177" s="2">
        <v>7</v>
      </c>
      <c r="CK177" s="2">
        <v>7</v>
      </c>
      <c r="CL177" s="2">
        <v>7</v>
      </c>
      <c r="CM177" s="2">
        <v>7</v>
      </c>
      <c r="CN177" s="2">
        <v>7</v>
      </c>
      <c r="CO177" s="2">
        <v>7</v>
      </c>
      <c r="CP177" s="2" t="e">
        <f t="shared" ca="1" si="23"/>
        <v>#NAME?</v>
      </c>
      <c r="CQ177" s="2">
        <v>7</v>
      </c>
      <c r="CR177" s="2">
        <v>7</v>
      </c>
      <c r="CS177" s="2">
        <v>7</v>
      </c>
      <c r="CT177" s="2">
        <v>7</v>
      </c>
      <c r="CU177" s="2">
        <v>7</v>
      </c>
      <c r="CV177" s="54">
        <f t="shared" si="8"/>
        <v>7</v>
      </c>
      <c r="CW177" s="55"/>
      <c r="CX177" s="3"/>
    </row>
    <row r="178" spans="1:102" ht="16.5" x14ac:dyDescent="0.55000000000000004">
      <c r="A178" s="17">
        <v>1</v>
      </c>
      <c r="B178" s="17" t="s">
        <v>5</v>
      </c>
      <c r="C178" s="23" t="s">
        <v>396</v>
      </c>
      <c r="D178" s="24" t="s">
        <v>397</v>
      </c>
      <c r="E178" s="48"/>
      <c r="F178" s="48">
        <v>5</v>
      </c>
      <c r="G178" s="2">
        <v>4</v>
      </c>
      <c r="H178" s="2">
        <v>4</v>
      </c>
      <c r="I178" s="2">
        <v>4</v>
      </c>
      <c r="J178" s="2">
        <v>4</v>
      </c>
      <c r="K178" s="2">
        <v>4</v>
      </c>
      <c r="L178" s="2">
        <f t="shared" ref="L178:P178" si="36">G178</f>
        <v>4</v>
      </c>
      <c r="M178" s="2">
        <f t="shared" si="36"/>
        <v>4</v>
      </c>
      <c r="N178" s="2">
        <f t="shared" si="36"/>
        <v>4</v>
      </c>
      <c r="O178" s="2">
        <f t="shared" si="36"/>
        <v>4</v>
      </c>
      <c r="P178" s="2">
        <f t="shared" si="36"/>
        <v>4</v>
      </c>
      <c r="Q178" s="2" t="e">
        <f t="shared" ca="1" si="19"/>
        <v>#NAME?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54">
        <f t="shared" si="1"/>
        <v>0</v>
      </c>
      <c r="X178" s="48"/>
      <c r="Y178" s="2"/>
      <c r="Z178" s="2"/>
      <c r="AA178" s="2">
        <v>10</v>
      </c>
      <c r="AB178" s="2">
        <v>10</v>
      </c>
      <c r="AC178" s="2">
        <v>0</v>
      </c>
      <c r="AD178" s="2">
        <v>0</v>
      </c>
      <c r="AE178" s="2">
        <v>4</v>
      </c>
      <c r="AF178" s="2">
        <v>10</v>
      </c>
      <c r="AG178" s="2">
        <v>10</v>
      </c>
      <c r="AH178" s="2">
        <v>10</v>
      </c>
      <c r="AI178" s="2">
        <v>10</v>
      </c>
      <c r="AJ178" s="2">
        <v>10</v>
      </c>
      <c r="AK178" s="3"/>
      <c r="AL178" s="3"/>
      <c r="AM178" s="3"/>
      <c r="AN178" s="3"/>
      <c r="AO178" s="3"/>
      <c r="AP178" s="3"/>
      <c r="AQ178" s="2" t="e">
        <f t="shared" ca="1" si="20"/>
        <v>#NAME?</v>
      </c>
      <c r="AR178" s="2">
        <v>0</v>
      </c>
      <c r="AS178" s="2">
        <v>5</v>
      </c>
      <c r="AT178" s="2">
        <v>10</v>
      </c>
      <c r="AU178" s="2">
        <v>10</v>
      </c>
      <c r="AV178" s="2">
        <v>10</v>
      </c>
      <c r="AW178" s="54">
        <f t="shared" si="3"/>
        <v>7</v>
      </c>
      <c r="AX178" s="48">
        <v>0</v>
      </c>
      <c r="AY178" s="2">
        <v>7</v>
      </c>
      <c r="AZ178" s="2">
        <v>7</v>
      </c>
      <c r="BA178" s="2">
        <v>7</v>
      </c>
      <c r="BB178" s="2">
        <v>7</v>
      </c>
      <c r="BC178" s="2">
        <v>7</v>
      </c>
      <c r="BD178" s="2">
        <v>7</v>
      </c>
      <c r="BE178" s="2">
        <v>7</v>
      </c>
      <c r="BF178" s="2">
        <v>7</v>
      </c>
      <c r="BG178" s="2">
        <v>7</v>
      </c>
      <c r="BH178" s="2">
        <v>7</v>
      </c>
      <c r="BI178" s="57">
        <v>7</v>
      </c>
      <c r="BJ178" s="2" t="e">
        <f t="shared" ca="1" si="21"/>
        <v>#NAME?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4">
        <f t="shared" si="5"/>
        <v>0</v>
      </c>
      <c r="BQ178" s="49">
        <v>0</v>
      </c>
      <c r="BR178" s="50">
        <v>0</v>
      </c>
      <c r="BS178" s="50">
        <v>0</v>
      </c>
      <c r="BT178" s="50">
        <v>0</v>
      </c>
      <c r="BU178" s="50">
        <v>0</v>
      </c>
      <c r="BV178" s="50">
        <v>0</v>
      </c>
      <c r="BW178" s="50">
        <v>0</v>
      </c>
      <c r="BX178" s="50">
        <v>0</v>
      </c>
      <c r="BY178" s="50">
        <v>0</v>
      </c>
      <c r="BZ178" s="50">
        <v>0</v>
      </c>
      <c r="CA178" s="50">
        <v>0</v>
      </c>
      <c r="CB178" s="50">
        <v>0</v>
      </c>
      <c r="CC178" s="2" t="e">
        <f t="shared" ca="1" si="22"/>
        <v>#NAME?</v>
      </c>
      <c r="CD178" s="55"/>
      <c r="CE178" s="2"/>
      <c r="CF178" s="2">
        <v>6</v>
      </c>
      <c r="CG178" s="2">
        <v>6</v>
      </c>
      <c r="CH178" s="2">
        <v>6</v>
      </c>
      <c r="CI178" s="2">
        <v>6</v>
      </c>
      <c r="CJ178" s="2">
        <v>6</v>
      </c>
      <c r="CK178" s="2">
        <v>6</v>
      </c>
      <c r="CL178" s="2">
        <v>6</v>
      </c>
      <c r="CM178" s="2">
        <v>6</v>
      </c>
      <c r="CN178" s="2">
        <v>6</v>
      </c>
      <c r="CO178" s="2">
        <v>6</v>
      </c>
      <c r="CP178" s="2" t="e">
        <f t="shared" ca="1" si="23"/>
        <v>#NAME?</v>
      </c>
      <c r="CQ178" s="2">
        <v>6</v>
      </c>
      <c r="CR178" s="2">
        <v>6</v>
      </c>
      <c r="CS178" s="2">
        <v>6</v>
      </c>
      <c r="CT178" s="2">
        <v>6</v>
      </c>
      <c r="CU178" s="2">
        <v>6</v>
      </c>
      <c r="CV178" s="54">
        <f t="shared" si="8"/>
        <v>6</v>
      </c>
      <c r="CW178" s="55"/>
      <c r="CX178" s="3"/>
    </row>
    <row r="179" spans="1:102" ht="16.5" x14ac:dyDescent="0.55000000000000004">
      <c r="A179" s="17">
        <v>1</v>
      </c>
      <c r="B179" s="17" t="s">
        <v>5</v>
      </c>
      <c r="C179" s="23" t="s">
        <v>398</v>
      </c>
      <c r="D179" s="24" t="s">
        <v>399</v>
      </c>
      <c r="E179" s="48"/>
      <c r="F179" s="2">
        <v>15</v>
      </c>
      <c r="G179" s="2">
        <v>10</v>
      </c>
      <c r="H179" s="2">
        <v>8</v>
      </c>
      <c r="I179" s="2">
        <v>8</v>
      </c>
      <c r="J179" s="2">
        <v>8</v>
      </c>
      <c r="K179" s="2">
        <v>8</v>
      </c>
      <c r="L179" s="2">
        <f t="shared" ref="L179:P179" si="37">G179</f>
        <v>10</v>
      </c>
      <c r="M179" s="2">
        <f t="shared" si="37"/>
        <v>8</v>
      </c>
      <c r="N179" s="2">
        <f t="shared" si="37"/>
        <v>8</v>
      </c>
      <c r="O179" s="2">
        <f t="shared" si="37"/>
        <v>8</v>
      </c>
      <c r="P179" s="2">
        <f t="shared" si="37"/>
        <v>8</v>
      </c>
      <c r="Q179" s="2" t="e">
        <f t="shared" ca="1" si="19"/>
        <v>#NAME?</v>
      </c>
      <c r="R179" s="2">
        <v>10</v>
      </c>
      <c r="S179" s="2">
        <v>10</v>
      </c>
      <c r="T179" s="2">
        <v>10</v>
      </c>
      <c r="U179" s="2">
        <v>10</v>
      </c>
      <c r="V179" s="2">
        <v>10</v>
      </c>
      <c r="W179" s="54">
        <f t="shared" si="1"/>
        <v>10</v>
      </c>
      <c r="X179" s="48"/>
      <c r="Y179" s="2"/>
      <c r="Z179" s="2"/>
      <c r="AA179" s="2">
        <v>10</v>
      </c>
      <c r="AB179" s="2">
        <v>10</v>
      </c>
      <c r="AC179" s="2">
        <v>10</v>
      </c>
      <c r="AD179" s="2">
        <v>10</v>
      </c>
      <c r="AE179" s="2">
        <v>10</v>
      </c>
      <c r="AF179" s="2">
        <v>10</v>
      </c>
      <c r="AG179" s="2">
        <v>10</v>
      </c>
      <c r="AH179" s="2">
        <v>10</v>
      </c>
      <c r="AI179" s="2">
        <v>10</v>
      </c>
      <c r="AJ179" s="2">
        <v>10</v>
      </c>
      <c r="AK179" s="3"/>
      <c r="AL179" s="3"/>
      <c r="AM179" s="3"/>
      <c r="AN179" s="3"/>
      <c r="AO179" s="3"/>
      <c r="AP179" s="3"/>
      <c r="AQ179" s="2" t="e">
        <f t="shared" ca="1" si="20"/>
        <v>#NAME?</v>
      </c>
      <c r="AR179" s="2">
        <v>10</v>
      </c>
      <c r="AS179" s="2">
        <v>10</v>
      </c>
      <c r="AT179" s="2">
        <v>10</v>
      </c>
      <c r="AU179" s="2">
        <v>10</v>
      </c>
      <c r="AV179" s="2">
        <v>10</v>
      </c>
      <c r="AW179" s="54">
        <f t="shared" si="3"/>
        <v>10</v>
      </c>
      <c r="AX179" s="48">
        <v>8</v>
      </c>
      <c r="AY179" s="2">
        <v>10</v>
      </c>
      <c r="AZ179" s="2">
        <v>10</v>
      </c>
      <c r="BA179" s="2">
        <v>10</v>
      </c>
      <c r="BB179" s="2">
        <v>10</v>
      </c>
      <c r="BC179" s="2">
        <v>10</v>
      </c>
      <c r="BD179" s="2">
        <v>10</v>
      </c>
      <c r="BE179" s="2">
        <v>10</v>
      </c>
      <c r="BF179" s="2">
        <v>10</v>
      </c>
      <c r="BG179" s="2">
        <v>10</v>
      </c>
      <c r="BH179" s="2">
        <v>10</v>
      </c>
      <c r="BI179" s="57">
        <v>10</v>
      </c>
      <c r="BJ179" s="2" t="e">
        <f t="shared" ca="1" si="21"/>
        <v>#NAME?</v>
      </c>
      <c r="BK179" s="5">
        <v>10</v>
      </c>
      <c r="BL179" s="5">
        <v>10</v>
      </c>
      <c r="BM179" s="5">
        <v>10</v>
      </c>
      <c r="BN179" s="5">
        <v>10</v>
      </c>
      <c r="BO179" s="5">
        <v>10</v>
      </c>
      <c r="BP179" s="54">
        <f t="shared" si="5"/>
        <v>10</v>
      </c>
      <c r="BQ179" s="49">
        <v>0</v>
      </c>
      <c r="BR179" s="50">
        <v>0</v>
      </c>
      <c r="BS179" s="49">
        <v>10</v>
      </c>
      <c r="BT179" s="49">
        <v>10</v>
      </c>
      <c r="BU179" s="49">
        <v>10</v>
      </c>
      <c r="BV179" s="49">
        <v>10</v>
      </c>
      <c r="BW179" s="49">
        <v>10</v>
      </c>
      <c r="BX179" s="49">
        <v>10</v>
      </c>
      <c r="BY179" s="49">
        <v>10</v>
      </c>
      <c r="BZ179" s="49">
        <v>10</v>
      </c>
      <c r="CA179" s="49">
        <v>10</v>
      </c>
      <c r="CB179" s="49">
        <v>10</v>
      </c>
      <c r="CC179" s="2" t="e">
        <f t="shared" ca="1" si="22"/>
        <v>#NAME?</v>
      </c>
      <c r="CD179" s="55"/>
      <c r="CE179" s="2"/>
      <c r="CF179" s="2">
        <v>7</v>
      </c>
      <c r="CG179" s="2">
        <v>7</v>
      </c>
      <c r="CH179" s="2">
        <v>7</v>
      </c>
      <c r="CI179" s="2">
        <v>7</v>
      </c>
      <c r="CJ179" s="2">
        <v>7</v>
      </c>
      <c r="CK179" s="2">
        <v>7</v>
      </c>
      <c r="CL179" s="2">
        <v>7</v>
      </c>
      <c r="CM179" s="2">
        <v>7</v>
      </c>
      <c r="CN179" s="2">
        <v>7</v>
      </c>
      <c r="CO179" s="2">
        <v>7</v>
      </c>
      <c r="CP179" s="2" t="e">
        <f t="shared" ca="1" si="23"/>
        <v>#NAME?</v>
      </c>
      <c r="CQ179" s="2">
        <v>7</v>
      </c>
      <c r="CR179" s="2">
        <v>7</v>
      </c>
      <c r="CS179" s="2">
        <v>7</v>
      </c>
      <c r="CT179" s="2">
        <v>7</v>
      </c>
      <c r="CU179" s="2">
        <v>7</v>
      </c>
      <c r="CV179" s="54">
        <f t="shared" si="8"/>
        <v>7</v>
      </c>
      <c r="CW179" s="55"/>
      <c r="CX179" s="3"/>
    </row>
    <row r="180" spans="1:102" ht="16.5" x14ac:dyDescent="0.55000000000000004">
      <c r="A180" s="17">
        <v>1</v>
      </c>
      <c r="B180" s="17" t="s">
        <v>5</v>
      </c>
      <c r="C180" s="23" t="s">
        <v>400</v>
      </c>
      <c r="D180" s="24" t="s">
        <v>401</v>
      </c>
      <c r="E180" s="48"/>
      <c r="F180" s="2">
        <v>13</v>
      </c>
      <c r="G180" s="2">
        <v>7</v>
      </c>
      <c r="H180" s="2">
        <v>7</v>
      </c>
      <c r="I180" s="2">
        <v>7</v>
      </c>
      <c r="J180" s="2">
        <v>7</v>
      </c>
      <c r="K180" s="2">
        <v>7</v>
      </c>
      <c r="L180" s="2">
        <f t="shared" ref="L180:P180" si="38">G180</f>
        <v>7</v>
      </c>
      <c r="M180" s="2">
        <f t="shared" si="38"/>
        <v>7</v>
      </c>
      <c r="N180" s="2">
        <f t="shared" si="38"/>
        <v>7</v>
      </c>
      <c r="O180" s="2">
        <f t="shared" si="38"/>
        <v>7</v>
      </c>
      <c r="P180" s="2">
        <f t="shared" si="38"/>
        <v>7</v>
      </c>
      <c r="Q180" s="2" t="e">
        <f t="shared" ca="1" si="19"/>
        <v>#NAME?</v>
      </c>
      <c r="R180" s="2">
        <v>8</v>
      </c>
      <c r="S180" s="2">
        <v>8</v>
      </c>
      <c r="T180" s="2">
        <v>8</v>
      </c>
      <c r="U180" s="2">
        <v>8</v>
      </c>
      <c r="V180" s="2">
        <v>8</v>
      </c>
      <c r="W180" s="54">
        <f t="shared" si="1"/>
        <v>8</v>
      </c>
      <c r="X180" s="48"/>
      <c r="Y180" s="2"/>
      <c r="Z180" s="2"/>
      <c r="AA180" s="2">
        <v>0</v>
      </c>
      <c r="AB180" s="2">
        <v>0</v>
      </c>
      <c r="AC180" s="2">
        <v>4</v>
      </c>
      <c r="AD180" s="2">
        <v>10</v>
      </c>
      <c r="AE180" s="2">
        <v>10</v>
      </c>
      <c r="AF180" s="2">
        <v>10</v>
      </c>
      <c r="AG180" s="2">
        <v>10</v>
      </c>
      <c r="AH180" s="2">
        <v>10</v>
      </c>
      <c r="AI180" s="2">
        <v>10</v>
      </c>
      <c r="AJ180" s="2">
        <v>10</v>
      </c>
      <c r="AK180" s="3"/>
      <c r="AL180" s="3"/>
      <c r="AM180" s="3"/>
      <c r="AN180" s="3"/>
      <c r="AO180" s="3"/>
      <c r="AP180" s="3"/>
      <c r="AQ180" s="2" t="e">
        <f t="shared" ca="1" si="20"/>
        <v>#NAME?</v>
      </c>
      <c r="AR180" s="2">
        <v>0</v>
      </c>
      <c r="AS180" s="2">
        <v>5</v>
      </c>
      <c r="AT180" s="2">
        <v>10</v>
      </c>
      <c r="AU180" s="2">
        <v>10</v>
      </c>
      <c r="AV180" s="2">
        <v>10</v>
      </c>
      <c r="AW180" s="54">
        <f t="shared" si="3"/>
        <v>7</v>
      </c>
      <c r="AX180" s="48">
        <v>9</v>
      </c>
      <c r="AY180" s="2">
        <v>10</v>
      </c>
      <c r="AZ180" s="2">
        <v>10</v>
      </c>
      <c r="BA180" s="2">
        <v>10</v>
      </c>
      <c r="BB180" s="2">
        <v>10</v>
      </c>
      <c r="BC180" s="2">
        <v>10</v>
      </c>
      <c r="BD180" s="2">
        <v>10</v>
      </c>
      <c r="BE180" s="2">
        <v>10</v>
      </c>
      <c r="BF180" s="2">
        <v>10</v>
      </c>
      <c r="BG180" s="2">
        <v>10</v>
      </c>
      <c r="BH180" s="2">
        <v>10</v>
      </c>
      <c r="BI180" s="57">
        <v>10</v>
      </c>
      <c r="BJ180" s="2" t="e">
        <f t="shared" ca="1" si="21"/>
        <v>#NAME?</v>
      </c>
      <c r="BK180" s="5">
        <v>10</v>
      </c>
      <c r="BL180" s="5">
        <v>10</v>
      </c>
      <c r="BM180" s="5">
        <v>10</v>
      </c>
      <c r="BN180" s="5">
        <v>10</v>
      </c>
      <c r="BO180" s="5">
        <v>10</v>
      </c>
      <c r="BP180" s="54">
        <f t="shared" si="5"/>
        <v>10</v>
      </c>
      <c r="BQ180" s="49">
        <v>0</v>
      </c>
      <c r="BR180" s="49">
        <v>2</v>
      </c>
      <c r="BS180" s="49">
        <v>9</v>
      </c>
      <c r="BT180" s="49">
        <v>9</v>
      </c>
      <c r="BU180" s="49">
        <v>9</v>
      </c>
      <c r="BV180" s="49">
        <v>9</v>
      </c>
      <c r="BW180" s="49">
        <v>9</v>
      </c>
      <c r="BX180" s="49">
        <v>9</v>
      </c>
      <c r="BY180" s="49">
        <v>9</v>
      </c>
      <c r="BZ180" s="49">
        <v>9</v>
      </c>
      <c r="CA180" s="49">
        <v>9</v>
      </c>
      <c r="CB180" s="49">
        <v>9</v>
      </c>
      <c r="CC180" s="2" t="e">
        <f t="shared" ca="1" si="22"/>
        <v>#NAME?</v>
      </c>
      <c r="CD180" s="55"/>
      <c r="CE180" s="2"/>
      <c r="CF180" s="2">
        <v>6</v>
      </c>
      <c r="CG180" s="2">
        <v>6</v>
      </c>
      <c r="CH180" s="2">
        <v>6</v>
      </c>
      <c r="CI180" s="2">
        <v>7</v>
      </c>
      <c r="CJ180" s="2">
        <v>7</v>
      </c>
      <c r="CK180" s="2">
        <v>7</v>
      </c>
      <c r="CL180" s="2">
        <v>7</v>
      </c>
      <c r="CM180" s="2">
        <v>7</v>
      </c>
      <c r="CN180" s="2">
        <v>7</v>
      </c>
      <c r="CO180" s="2">
        <v>6</v>
      </c>
      <c r="CP180" s="2" t="e">
        <f t="shared" ca="1" si="23"/>
        <v>#NAME?</v>
      </c>
      <c r="CQ180" s="2">
        <v>6</v>
      </c>
      <c r="CR180" s="2">
        <v>6</v>
      </c>
      <c r="CS180" s="2">
        <v>6</v>
      </c>
      <c r="CT180" s="2">
        <v>7</v>
      </c>
      <c r="CU180" s="2">
        <v>7</v>
      </c>
      <c r="CV180" s="54">
        <f t="shared" si="8"/>
        <v>7</v>
      </c>
      <c r="CW180" s="55"/>
      <c r="CX180" s="3"/>
    </row>
    <row r="181" spans="1:102" ht="16.5" x14ac:dyDescent="0.55000000000000004">
      <c r="A181" s="17">
        <v>1</v>
      </c>
      <c r="B181" s="17" t="s">
        <v>5</v>
      </c>
      <c r="C181" s="23" t="s">
        <v>402</v>
      </c>
      <c r="D181" s="24" t="s">
        <v>403</v>
      </c>
      <c r="E181" s="48"/>
      <c r="F181" s="48">
        <v>20</v>
      </c>
      <c r="G181" s="2">
        <v>9</v>
      </c>
      <c r="H181" s="2">
        <v>10</v>
      </c>
      <c r="I181" s="2">
        <v>10</v>
      </c>
      <c r="J181" s="2">
        <v>10</v>
      </c>
      <c r="K181" s="2">
        <v>10</v>
      </c>
      <c r="L181" s="2">
        <f t="shared" ref="L181:P181" si="39">G181</f>
        <v>9</v>
      </c>
      <c r="M181" s="2">
        <f t="shared" si="39"/>
        <v>10</v>
      </c>
      <c r="N181" s="2">
        <f t="shared" si="39"/>
        <v>10</v>
      </c>
      <c r="O181" s="2">
        <f t="shared" si="39"/>
        <v>10</v>
      </c>
      <c r="P181" s="2">
        <f t="shared" si="39"/>
        <v>10</v>
      </c>
      <c r="Q181" s="2" t="e">
        <f t="shared" ca="1" si="19"/>
        <v>#NAME?</v>
      </c>
      <c r="R181" s="2">
        <v>10</v>
      </c>
      <c r="S181" s="2">
        <v>10</v>
      </c>
      <c r="T181" s="2">
        <v>10</v>
      </c>
      <c r="U181" s="2">
        <v>10</v>
      </c>
      <c r="V181" s="2">
        <v>10</v>
      </c>
      <c r="W181" s="54">
        <f t="shared" si="1"/>
        <v>10</v>
      </c>
      <c r="X181" s="48"/>
      <c r="Y181" s="2"/>
      <c r="Z181" s="2"/>
      <c r="AA181" s="2">
        <v>10</v>
      </c>
      <c r="AB181" s="2">
        <v>10</v>
      </c>
      <c r="AC181" s="2">
        <v>10</v>
      </c>
      <c r="AD181" s="2">
        <v>10</v>
      </c>
      <c r="AE181" s="2">
        <v>0</v>
      </c>
      <c r="AF181" s="2">
        <v>0</v>
      </c>
      <c r="AG181" s="2">
        <v>4</v>
      </c>
      <c r="AH181" s="2">
        <v>10</v>
      </c>
      <c r="AI181" s="2">
        <v>10</v>
      </c>
      <c r="AJ181" s="2">
        <v>10</v>
      </c>
      <c r="AK181" s="3"/>
      <c r="AL181" s="3"/>
      <c r="AM181" s="3"/>
      <c r="AN181" s="3"/>
      <c r="AO181" s="3"/>
      <c r="AP181" s="3"/>
      <c r="AQ181" s="2" t="e">
        <f t="shared" ca="1" si="20"/>
        <v>#NAME?</v>
      </c>
      <c r="AR181" s="2">
        <v>10</v>
      </c>
      <c r="AS181" s="2">
        <v>10</v>
      </c>
      <c r="AT181" s="2">
        <v>10</v>
      </c>
      <c r="AU181" s="2">
        <v>10</v>
      </c>
      <c r="AV181" s="2">
        <v>10</v>
      </c>
      <c r="AW181" s="54">
        <f t="shared" si="3"/>
        <v>10</v>
      </c>
      <c r="AX181" s="48">
        <v>6</v>
      </c>
      <c r="AY181" s="2">
        <v>10</v>
      </c>
      <c r="AZ181" s="2">
        <v>10</v>
      </c>
      <c r="BA181" s="2">
        <v>10</v>
      </c>
      <c r="BB181" s="2">
        <v>10</v>
      </c>
      <c r="BC181" s="2">
        <v>10</v>
      </c>
      <c r="BD181" s="2">
        <v>10</v>
      </c>
      <c r="BE181" s="2">
        <v>10</v>
      </c>
      <c r="BF181" s="2">
        <v>10</v>
      </c>
      <c r="BG181" s="2">
        <v>10</v>
      </c>
      <c r="BH181" s="2">
        <v>10</v>
      </c>
      <c r="BI181" s="57">
        <v>10</v>
      </c>
      <c r="BJ181" s="2" t="e">
        <f t="shared" ca="1" si="21"/>
        <v>#NAME?</v>
      </c>
      <c r="BK181" s="5">
        <v>10</v>
      </c>
      <c r="BL181" s="5">
        <v>10</v>
      </c>
      <c r="BM181" s="5">
        <v>10</v>
      </c>
      <c r="BN181" s="5">
        <v>10</v>
      </c>
      <c r="BO181" s="5">
        <v>10</v>
      </c>
      <c r="BP181" s="54">
        <f t="shared" si="5"/>
        <v>10</v>
      </c>
      <c r="BQ181" s="49">
        <v>2</v>
      </c>
      <c r="BR181" s="49">
        <v>2</v>
      </c>
      <c r="BS181" s="49">
        <v>9</v>
      </c>
      <c r="BT181" s="49">
        <v>9</v>
      </c>
      <c r="BU181" s="49">
        <v>9</v>
      </c>
      <c r="BV181" s="49">
        <v>9</v>
      </c>
      <c r="BW181" s="49">
        <v>9</v>
      </c>
      <c r="BX181" s="49">
        <v>9</v>
      </c>
      <c r="BY181" s="49">
        <v>10</v>
      </c>
      <c r="BZ181" s="49">
        <v>10</v>
      </c>
      <c r="CA181" s="49">
        <v>10</v>
      </c>
      <c r="CB181" s="49">
        <v>10</v>
      </c>
      <c r="CC181" s="2" t="e">
        <f t="shared" ca="1" si="22"/>
        <v>#NAME?</v>
      </c>
      <c r="CD181" s="55"/>
      <c r="CE181" s="2"/>
      <c r="CF181" s="2">
        <v>7</v>
      </c>
      <c r="CG181" s="2">
        <v>7</v>
      </c>
      <c r="CH181" s="2">
        <v>8</v>
      </c>
      <c r="CI181" s="2">
        <v>8</v>
      </c>
      <c r="CJ181" s="2">
        <v>7</v>
      </c>
      <c r="CK181" s="2">
        <v>7</v>
      </c>
      <c r="CL181" s="2">
        <v>8</v>
      </c>
      <c r="CM181" s="2">
        <v>8</v>
      </c>
      <c r="CN181" s="2">
        <v>7</v>
      </c>
      <c r="CO181" s="2">
        <v>7</v>
      </c>
      <c r="CP181" s="2" t="e">
        <f t="shared" ca="1" si="23"/>
        <v>#NAME?</v>
      </c>
      <c r="CQ181" s="2">
        <v>8</v>
      </c>
      <c r="CR181" s="2">
        <v>7</v>
      </c>
      <c r="CS181" s="2">
        <v>7</v>
      </c>
      <c r="CT181" s="2">
        <v>7</v>
      </c>
      <c r="CU181" s="2">
        <v>7</v>
      </c>
      <c r="CV181" s="54">
        <f t="shared" si="8"/>
        <v>8</v>
      </c>
      <c r="CW181" s="55"/>
      <c r="CX181" s="3"/>
    </row>
    <row r="182" spans="1:102" ht="16.5" x14ac:dyDescent="0.55000000000000004">
      <c r="A182" s="17">
        <v>1</v>
      </c>
      <c r="B182" s="17" t="s">
        <v>5</v>
      </c>
      <c r="C182" s="23" t="s">
        <v>404</v>
      </c>
      <c r="D182" s="24" t="s">
        <v>405</v>
      </c>
      <c r="E182" s="48">
        <v>5</v>
      </c>
      <c r="F182" s="2">
        <v>18</v>
      </c>
      <c r="G182" s="2">
        <v>10</v>
      </c>
      <c r="H182" s="2">
        <v>10</v>
      </c>
      <c r="I182" s="2">
        <v>10</v>
      </c>
      <c r="J182" s="2">
        <v>10</v>
      </c>
      <c r="K182" s="2">
        <v>10</v>
      </c>
      <c r="L182" s="2">
        <f t="shared" ref="L182:P182" si="40">G182</f>
        <v>10</v>
      </c>
      <c r="M182" s="2">
        <f t="shared" si="40"/>
        <v>10</v>
      </c>
      <c r="N182" s="2">
        <f t="shared" si="40"/>
        <v>10</v>
      </c>
      <c r="O182" s="2">
        <f t="shared" si="40"/>
        <v>10</v>
      </c>
      <c r="P182" s="2">
        <f t="shared" si="40"/>
        <v>10</v>
      </c>
      <c r="Q182" s="2" t="e">
        <f t="shared" ca="1" si="19"/>
        <v>#NAME?</v>
      </c>
      <c r="R182" s="2">
        <v>10</v>
      </c>
      <c r="S182" s="2">
        <v>10</v>
      </c>
      <c r="T182" s="2">
        <v>10</v>
      </c>
      <c r="U182" s="2">
        <v>10</v>
      </c>
      <c r="V182" s="2">
        <v>10</v>
      </c>
      <c r="W182" s="54">
        <f t="shared" si="1"/>
        <v>10</v>
      </c>
      <c r="X182" s="48"/>
      <c r="Y182" s="2"/>
      <c r="Z182" s="2"/>
      <c r="AA182" s="2">
        <v>10</v>
      </c>
      <c r="AB182" s="2">
        <v>10</v>
      </c>
      <c r="AC182" s="2">
        <v>10</v>
      </c>
      <c r="AD182" s="2">
        <v>10</v>
      </c>
      <c r="AE182" s="2">
        <v>10</v>
      </c>
      <c r="AF182" s="2">
        <v>10</v>
      </c>
      <c r="AG182" s="2">
        <v>10</v>
      </c>
      <c r="AH182" s="2">
        <v>10</v>
      </c>
      <c r="AI182" s="2">
        <v>10</v>
      </c>
      <c r="AJ182" s="2">
        <v>10</v>
      </c>
      <c r="AK182" s="3"/>
      <c r="AL182" s="3"/>
      <c r="AM182" s="3"/>
      <c r="AN182" s="3"/>
      <c r="AO182" s="3"/>
      <c r="AP182" s="3"/>
      <c r="AQ182" s="2" t="e">
        <f t="shared" ca="1" si="20"/>
        <v>#NAME?</v>
      </c>
      <c r="AR182" s="2">
        <v>10</v>
      </c>
      <c r="AS182" s="2">
        <v>10</v>
      </c>
      <c r="AT182" s="2">
        <v>10</v>
      </c>
      <c r="AU182" s="2">
        <v>10</v>
      </c>
      <c r="AV182" s="2">
        <v>10</v>
      </c>
      <c r="AW182" s="54">
        <f t="shared" si="3"/>
        <v>10</v>
      </c>
      <c r="AX182" s="48">
        <v>5</v>
      </c>
      <c r="AY182" s="2">
        <v>10</v>
      </c>
      <c r="AZ182" s="2">
        <v>10</v>
      </c>
      <c r="BA182" s="2">
        <v>10</v>
      </c>
      <c r="BB182" s="2">
        <v>10</v>
      </c>
      <c r="BC182" s="2">
        <v>10</v>
      </c>
      <c r="BD182" s="2">
        <v>10</v>
      </c>
      <c r="BE182" s="2">
        <v>10</v>
      </c>
      <c r="BF182" s="2">
        <v>10</v>
      </c>
      <c r="BG182" s="2">
        <v>10</v>
      </c>
      <c r="BH182" s="2">
        <v>10</v>
      </c>
      <c r="BI182" s="57">
        <v>10</v>
      </c>
      <c r="BJ182" s="2" t="e">
        <f t="shared" ca="1" si="21"/>
        <v>#NAME?</v>
      </c>
      <c r="BK182" s="5">
        <v>10</v>
      </c>
      <c r="BL182" s="5">
        <v>10</v>
      </c>
      <c r="BM182" s="5">
        <v>10</v>
      </c>
      <c r="BN182" s="5">
        <v>10</v>
      </c>
      <c r="BO182" s="5">
        <v>10</v>
      </c>
      <c r="BP182" s="54">
        <f t="shared" si="5"/>
        <v>10</v>
      </c>
      <c r="BQ182" s="49">
        <v>0</v>
      </c>
      <c r="BR182" s="50">
        <v>0</v>
      </c>
      <c r="BS182" s="49">
        <v>10</v>
      </c>
      <c r="BT182" s="49">
        <v>10</v>
      </c>
      <c r="BU182" s="49">
        <v>10</v>
      </c>
      <c r="BV182" s="49">
        <v>10</v>
      </c>
      <c r="BW182" s="49">
        <v>10</v>
      </c>
      <c r="BX182" s="49">
        <v>10</v>
      </c>
      <c r="BY182" s="49">
        <v>10</v>
      </c>
      <c r="BZ182" s="49">
        <v>10</v>
      </c>
      <c r="CA182" s="49">
        <v>10</v>
      </c>
      <c r="CB182" s="49">
        <v>10</v>
      </c>
      <c r="CC182" s="2" t="e">
        <f t="shared" ca="1" si="22"/>
        <v>#NAME?</v>
      </c>
      <c r="CD182" s="55"/>
      <c r="CE182" s="2"/>
      <c r="CF182" s="2">
        <v>8</v>
      </c>
      <c r="CG182" s="2">
        <v>8</v>
      </c>
      <c r="CH182" s="2">
        <v>8</v>
      </c>
      <c r="CI182" s="2">
        <v>8</v>
      </c>
      <c r="CJ182" s="2">
        <v>8</v>
      </c>
      <c r="CK182" s="2">
        <v>8</v>
      </c>
      <c r="CL182" s="2">
        <v>8</v>
      </c>
      <c r="CM182" s="2">
        <v>8</v>
      </c>
      <c r="CN182" s="2">
        <v>8</v>
      </c>
      <c r="CO182" s="2">
        <v>8</v>
      </c>
      <c r="CP182" s="2" t="e">
        <f t="shared" ca="1" si="23"/>
        <v>#NAME?</v>
      </c>
      <c r="CQ182" s="2">
        <v>8</v>
      </c>
      <c r="CR182" s="2">
        <v>8</v>
      </c>
      <c r="CS182" s="2">
        <v>8</v>
      </c>
      <c r="CT182" s="2">
        <v>8</v>
      </c>
      <c r="CU182" s="2">
        <v>8</v>
      </c>
      <c r="CV182" s="54">
        <f t="shared" si="8"/>
        <v>8</v>
      </c>
      <c r="CW182" s="55"/>
      <c r="CX182" s="3"/>
    </row>
    <row r="183" spans="1:102" ht="16.5" x14ac:dyDescent="0.55000000000000004">
      <c r="A183" s="17">
        <v>1</v>
      </c>
      <c r="B183" s="17" t="s">
        <v>5</v>
      </c>
      <c r="C183" s="23" t="s">
        <v>406</v>
      </c>
      <c r="D183" s="24" t="s">
        <v>407</v>
      </c>
      <c r="E183" s="48"/>
      <c r="F183" s="2" t="s">
        <v>31</v>
      </c>
      <c r="G183" s="2">
        <v>7</v>
      </c>
      <c r="H183" s="2">
        <v>7</v>
      </c>
      <c r="I183" s="2">
        <v>6</v>
      </c>
      <c r="J183" s="2">
        <v>6</v>
      </c>
      <c r="K183" s="2">
        <v>6</v>
      </c>
      <c r="L183" s="2">
        <v>6</v>
      </c>
      <c r="M183" s="2">
        <v>6</v>
      </c>
      <c r="N183" s="2">
        <f t="shared" ref="N183:P183" si="41">I183</f>
        <v>6</v>
      </c>
      <c r="O183" s="2">
        <f t="shared" si="41"/>
        <v>6</v>
      </c>
      <c r="P183" s="2">
        <f t="shared" si="41"/>
        <v>6</v>
      </c>
      <c r="Q183" s="2" t="e">
        <f t="shared" ca="1" si="19"/>
        <v>#NAME?</v>
      </c>
      <c r="R183" s="2">
        <v>9</v>
      </c>
      <c r="S183" s="2">
        <v>7</v>
      </c>
      <c r="T183" s="2">
        <v>8</v>
      </c>
      <c r="U183" s="2">
        <v>8</v>
      </c>
      <c r="V183" s="2">
        <v>8</v>
      </c>
      <c r="W183" s="54">
        <f t="shared" si="1"/>
        <v>8</v>
      </c>
      <c r="X183" s="48"/>
      <c r="Y183" s="2"/>
      <c r="Z183" s="2"/>
      <c r="AA183" s="2">
        <v>10</v>
      </c>
      <c r="AB183" s="2">
        <v>10</v>
      </c>
      <c r="AC183" s="2">
        <v>10</v>
      </c>
      <c r="AD183" s="2">
        <v>10</v>
      </c>
      <c r="AE183" s="2">
        <v>10</v>
      </c>
      <c r="AF183" s="2">
        <v>10</v>
      </c>
      <c r="AG183" s="2">
        <v>10</v>
      </c>
      <c r="AH183" s="2">
        <v>10</v>
      </c>
      <c r="AI183" s="2">
        <v>10</v>
      </c>
      <c r="AJ183" s="2">
        <v>10</v>
      </c>
      <c r="AK183" s="3"/>
      <c r="AL183" s="3"/>
      <c r="AM183" s="3"/>
      <c r="AN183" s="3"/>
      <c r="AO183" s="3"/>
      <c r="AP183" s="3"/>
      <c r="AQ183" s="2" t="e">
        <f t="shared" ca="1" si="20"/>
        <v>#NAME?</v>
      </c>
      <c r="AR183" s="2">
        <v>10</v>
      </c>
      <c r="AS183" s="2">
        <v>10</v>
      </c>
      <c r="AT183" s="2">
        <v>10</v>
      </c>
      <c r="AU183" s="2">
        <v>10</v>
      </c>
      <c r="AV183" s="2">
        <v>10</v>
      </c>
      <c r="AW183" s="54">
        <f t="shared" si="3"/>
        <v>10</v>
      </c>
      <c r="AX183" s="48">
        <v>8</v>
      </c>
      <c r="AY183" s="2">
        <v>10</v>
      </c>
      <c r="AZ183" s="2">
        <v>10</v>
      </c>
      <c r="BA183" s="2">
        <v>10</v>
      </c>
      <c r="BB183" s="2">
        <v>10</v>
      </c>
      <c r="BC183" s="2">
        <v>10</v>
      </c>
      <c r="BD183" s="2">
        <v>10</v>
      </c>
      <c r="BE183" s="2">
        <v>10</v>
      </c>
      <c r="BF183" s="2">
        <v>10</v>
      </c>
      <c r="BG183" s="2">
        <v>10</v>
      </c>
      <c r="BH183" s="2">
        <v>10</v>
      </c>
      <c r="BI183" s="57">
        <v>10</v>
      </c>
      <c r="BJ183" s="2" t="e">
        <f t="shared" ca="1" si="21"/>
        <v>#NAME?</v>
      </c>
      <c r="BK183" s="5">
        <v>10</v>
      </c>
      <c r="BL183" s="5">
        <v>10</v>
      </c>
      <c r="BM183" s="5">
        <v>10</v>
      </c>
      <c r="BN183" s="5">
        <v>10</v>
      </c>
      <c r="BO183" s="5">
        <v>10</v>
      </c>
      <c r="BP183" s="54">
        <f t="shared" si="5"/>
        <v>10</v>
      </c>
      <c r="BQ183" s="49">
        <v>0</v>
      </c>
      <c r="BR183" s="50">
        <v>0</v>
      </c>
      <c r="BS183" s="49">
        <v>10</v>
      </c>
      <c r="BT183" s="49">
        <v>10</v>
      </c>
      <c r="BU183" s="49">
        <v>10</v>
      </c>
      <c r="BV183" s="49">
        <v>10</v>
      </c>
      <c r="BW183" s="49">
        <v>10</v>
      </c>
      <c r="BX183" s="49">
        <v>10</v>
      </c>
      <c r="BY183" s="49">
        <v>10</v>
      </c>
      <c r="BZ183" s="49">
        <v>10</v>
      </c>
      <c r="CA183" s="49">
        <v>10</v>
      </c>
      <c r="CB183" s="49">
        <v>10</v>
      </c>
      <c r="CC183" s="2" t="e">
        <f t="shared" ca="1" si="22"/>
        <v>#NAME?</v>
      </c>
      <c r="CD183" s="55"/>
      <c r="CE183" s="2"/>
      <c r="CF183" s="2">
        <v>7</v>
      </c>
      <c r="CG183" s="2">
        <v>7</v>
      </c>
      <c r="CH183" s="2">
        <v>7</v>
      </c>
      <c r="CI183" s="2">
        <v>7</v>
      </c>
      <c r="CJ183" s="2">
        <v>7</v>
      </c>
      <c r="CK183" s="2">
        <v>7</v>
      </c>
      <c r="CL183" s="2">
        <v>7</v>
      </c>
      <c r="CM183" s="2">
        <v>7</v>
      </c>
      <c r="CN183" s="2">
        <v>7</v>
      </c>
      <c r="CO183" s="2">
        <v>7</v>
      </c>
      <c r="CP183" s="2" t="e">
        <f t="shared" ca="1" si="23"/>
        <v>#NAME?</v>
      </c>
      <c r="CQ183" s="2">
        <v>7</v>
      </c>
      <c r="CR183" s="2">
        <v>7</v>
      </c>
      <c r="CS183" s="2">
        <v>7</v>
      </c>
      <c r="CT183" s="2">
        <v>7</v>
      </c>
      <c r="CU183" s="2">
        <v>7</v>
      </c>
      <c r="CV183" s="54">
        <f t="shared" si="8"/>
        <v>7</v>
      </c>
      <c r="CW183" s="55"/>
      <c r="CX183" s="3"/>
    </row>
    <row r="184" spans="1:102" ht="16.5" x14ac:dyDescent="0.55000000000000004">
      <c r="A184" s="17">
        <v>1</v>
      </c>
      <c r="B184" s="17" t="s">
        <v>5</v>
      </c>
      <c r="C184" s="23" t="s">
        <v>408</v>
      </c>
      <c r="D184" s="24" t="s">
        <v>409</v>
      </c>
      <c r="E184" s="48"/>
      <c r="F184" s="2">
        <v>7</v>
      </c>
      <c r="G184" s="2">
        <v>8</v>
      </c>
      <c r="H184" s="2">
        <v>8</v>
      </c>
      <c r="I184" s="2">
        <v>8</v>
      </c>
      <c r="J184" s="2">
        <v>7</v>
      </c>
      <c r="K184" s="2">
        <v>7</v>
      </c>
      <c r="L184" s="2">
        <f t="shared" ref="L184:P184" si="42">G184</f>
        <v>8</v>
      </c>
      <c r="M184" s="2">
        <f t="shared" si="42"/>
        <v>8</v>
      </c>
      <c r="N184" s="2">
        <f t="shared" si="42"/>
        <v>8</v>
      </c>
      <c r="O184" s="2">
        <f t="shared" si="42"/>
        <v>7</v>
      </c>
      <c r="P184" s="2">
        <f t="shared" si="42"/>
        <v>7</v>
      </c>
      <c r="Q184" s="2" t="e">
        <f t="shared" ca="1" si="19"/>
        <v>#NAME?</v>
      </c>
      <c r="R184" s="2">
        <v>10</v>
      </c>
      <c r="S184" s="2">
        <v>10</v>
      </c>
      <c r="T184" s="2">
        <v>10</v>
      </c>
      <c r="U184" s="2">
        <v>10</v>
      </c>
      <c r="V184" s="2">
        <v>10</v>
      </c>
      <c r="W184" s="54">
        <f t="shared" si="1"/>
        <v>10</v>
      </c>
      <c r="X184" s="48"/>
      <c r="Y184" s="2"/>
      <c r="Z184" s="2"/>
      <c r="AA184" s="2">
        <v>10</v>
      </c>
      <c r="AB184" s="2">
        <v>10</v>
      </c>
      <c r="AC184" s="2">
        <v>10</v>
      </c>
      <c r="AD184" s="2">
        <v>10</v>
      </c>
      <c r="AE184" s="2">
        <v>10</v>
      </c>
      <c r="AF184" s="2">
        <v>10</v>
      </c>
      <c r="AG184" s="2">
        <v>10</v>
      </c>
      <c r="AH184" s="2">
        <v>10</v>
      </c>
      <c r="AI184" s="2">
        <v>10</v>
      </c>
      <c r="AJ184" s="2">
        <v>10</v>
      </c>
      <c r="AK184" s="3"/>
      <c r="AL184" s="3"/>
      <c r="AM184" s="3"/>
      <c r="AN184" s="3"/>
      <c r="AO184" s="3"/>
      <c r="AP184" s="3"/>
      <c r="AQ184" s="2" t="e">
        <f t="shared" ca="1" si="20"/>
        <v>#NAME?</v>
      </c>
      <c r="AR184" s="2">
        <v>10</v>
      </c>
      <c r="AS184" s="2">
        <v>10</v>
      </c>
      <c r="AT184" s="2">
        <v>10</v>
      </c>
      <c r="AU184" s="2">
        <v>10</v>
      </c>
      <c r="AV184" s="2">
        <v>10</v>
      </c>
      <c r="AW184" s="54">
        <f t="shared" si="3"/>
        <v>10</v>
      </c>
      <c r="AX184" s="48">
        <v>7</v>
      </c>
      <c r="AY184" s="2">
        <v>10</v>
      </c>
      <c r="AZ184" s="2">
        <v>10</v>
      </c>
      <c r="BA184" s="2">
        <v>10</v>
      </c>
      <c r="BB184" s="2">
        <v>10</v>
      </c>
      <c r="BC184" s="2">
        <v>10</v>
      </c>
      <c r="BD184" s="2">
        <v>10</v>
      </c>
      <c r="BE184" s="2">
        <v>10</v>
      </c>
      <c r="BF184" s="2">
        <v>10</v>
      </c>
      <c r="BG184" s="2">
        <v>10</v>
      </c>
      <c r="BH184" s="2">
        <v>6</v>
      </c>
      <c r="BI184" s="57">
        <v>6</v>
      </c>
      <c r="BJ184" s="2" t="e">
        <f t="shared" ca="1" si="21"/>
        <v>#NAME?</v>
      </c>
      <c r="BK184" s="5">
        <v>10</v>
      </c>
      <c r="BL184" s="5">
        <v>10</v>
      </c>
      <c r="BM184" s="5">
        <v>10</v>
      </c>
      <c r="BN184" s="5">
        <v>10</v>
      </c>
      <c r="BO184" s="5">
        <v>10</v>
      </c>
      <c r="BP184" s="54">
        <f t="shared" si="5"/>
        <v>10</v>
      </c>
      <c r="BQ184" s="49">
        <v>0</v>
      </c>
      <c r="BR184" s="50">
        <v>0</v>
      </c>
      <c r="BS184" s="49">
        <v>10</v>
      </c>
      <c r="BT184" s="49">
        <v>10</v>
      </c>
      <c r="BU184" s="49">
        <v>10</v>
      </c>
      <c r="BV184" s="49">
        <v>10</v>
      </c>
      <c r="BW184" s="49">
        <v>10</v>
      </c>
      <c r="BX184" s="49">
        <v>10</v>
      </c>
      <c r="BY184" s="50">
        <v>10</v>
      </c>
      <c r="BZ184" s="50">
        <v>10</v>
      </c>
      <c r="CA184" s="50">
        <v>10</v>
      </c>
      <c r="CB184" s="50">
        <v>10</v>
      </c>
      <c r="CC184" s="2" t="e">
        <f t="shared" ca="1" si="22"/>
        <v>#NAME?</v>
      </c>
      <c r="CD184" s="55"/>
      <c r="CE184" s="2"/>
      <c r="CF184" s="2">
        <v>7</v>
      </c>
      <c r="CG184" s="2">
        <v>7</v>
      </c>
      <c r="CH184" s="2">
        <v>6</v>
      </c>
      <c r="CI184" s="2">
        <v>7</v>
      </c>
      <c r="CJ184" s="2">
        <v>7</v>
      </c>
      <c r="CK184" s="2">
        <v>7</v>
      </c>
      <c r="CL184" s="2">
        <v>7</v>
      </c>
      <c r="CM184" s="2">
        <v>7</v>
      </c>
      <c r="CN184" s="2">
        <v>7</v>
      </c>
      <c r="CO184" s="2">
        <v>7</v>
      </c>
      <c r="CP184" s="2" t="e">
        <f t="shared" ca="1" si="23"/>
        <v>#NAME?</v>
      </c>
      <c r="CQ184" s="2">
        <v>7</v>
      </c>
      <c r="CR184" s="2">
        <v>6</v>
      </c>
      <c r="CS184" s="2">
        <v>6</v>
      </c>
      <c r="CT184" s="2">
        <v>6</v>
      </c>
      <c r="CU184" s="2">
        <v>6</v>
      </c>
      <c r="CV184" s="54">
        <f t="shared" si="8"/>
        <v>7</v>
      </c>
      <c r="CW184" s="55"/>
      <c r="CX184" s="3"/>
    </row>
    <row r="185" spans="1:102" ht="16.5" x14ac:dyDescent="0.55000000000000004">
      <c r="A185" s="17">
        <v>1</v>
      </c>
      <c r="B185" s="17" t="s">
        <v>5</v>
      </c>
      <c r="C185" s="23" t="s">
        <v>410</v>
      </c>
      <c r="D185" s="24" t="s">
        <v>411</v>
      </c>
      <c r="E185" s="48"/>
      <c r="F185" s="48">
        <v>19</v>
      </c>
      <c r="G185" s="2">
        <v>8</v>
      </c>
      <c r="H185" s="2">
        <v>8</v>
      </c>
      <c r="I185" s="2">
        <v>8</v>
      </c>
      <c r="J185" s="2">
        <v>8</v>
      </c>
      <c r="K185" s="2">
        <v>8</v>
      </c>
      <c r="L185" s="2">
        <f t="shared" ref="L185:P185" si="43">G185</f>
        <v>8</v>
      </c>
      <c r="M185" s="2">
        <f t="shared" si="43"/>
        <v>8</v>
      </c>
      <c r="N185" s="2">
        <f t="shared" si="43"/>
        <v>8</v>
      </c>
      <c r="O185" s="2">
        <f t="shared" si="43"/>
        <v>8</v>
      </c>
      <c r="P185" s="2">
        <f t="shared" si="43"/>
        <v>8</v>
      </c>
      <c r="Q185" s="2" t="e">
        <f t="shared" ca="1" si="19"/>
        <v>#NAME?</v>
      </c>
      <c r="R185" s="2">
        <v>10</v>
      </c>
      <c r="S185" s="2">
        <v>10</v>
      </c>
      <c r="T185" s="2">
        <v>10</v>
      </c>
      <c r="U185" s="2">
        <v>10</v>
      </c>
      <c r="V185" s="2">
        <v>10</v>
      </c>
      <c r="W185" s="54">
        <f t="shared" si="1"/>
        <v>10</v>
      </c>
      <c r="X185" s="48"/>
      <c r="Y185" s="2"/>
      <c r="Z185" s="2"/>
      <c r="AA185" s="2">
        <v>10</v>
      </c>
      <c r="AB185" s="2">
        <v>10</v>
      </c>
      <c r="AC185" s="2">
        <v>10</v>
      </c>
      <c r="AD185" s="2">
        <v>10</v>
      </c>
      <c r="AE185" s="2">
        <v>10</v>
      </c>
      <c r="AF185" s="2">
        <v>10</v>
      </c>
      <c r="AG185" s="2">
        <v>10</v>
      </c>
      <c r="AH185" s="2">
        <v>10</v>
      </c>
      <c r="AI185" s="2">
        <v>10</v>
      </c>
      <c r="AJ185" s="2">
        <v>10</v>
      </c>
      <c r="AK185" s="3"/>
      <c r="AL185" s="3"/>
      <c r="AM185" s="3"/>
      <c r="AN185" s="3"/>
      <c r="AO185" s="3"/>
      <c r="AP185" s="3"/>
      <c r="AQ185" s="2" t="e">
        <f t="shared" ca="1" si="20"/>
        <v>#NAME?</v>
      </c>
      <c r="AR185" s="2">
        <v>10</v>
      </c>
      <c r="AS185" s="2">
        <v>10</v>
      </c>
      <c r="AT185" s="2">
        <v>10</v>
      </c>
      <c r="AU185" s="2">
        <v>10</v>
      </c>
      <c r="AV185" s="2">
        <v>10</v>
      </c>
      <c r="AW185" s="54">
        <f t="shared" si="3"/>
        <v>10</v>
      </c>
      <c r="AX185" s="48">
        <v>8</v>
      </c>
      <c r="AY185" s="2">
        <v>10</v>
      </c>
      <c r="AZ185" s="2">
        <v>10</v>
      </c>
      <c r="BA185" s="2">
        <v>10</v>
      </c>
      <c r="BB185" s="2">
        <v>10</v>
      </c>
      <c r="BC185" s="2">
        <v>10</v>
      </c>
      <c r="BD185" s="2">
        <v>10</v>
      </c>
      <c r="BE185" s="2">
        <v>10</v>
      </c>
      <c r="BF185" s="2">
        <v>10</v>
      </c>
      <c r="BG185" s="2">
        <v>10</v>
      </c>
      <c r="BH185" s="2">
        <v>10</v>
      </c>
      <c r="BI185" s="57">
        <v>10</v>
      </c>
      <c r="BJ185" s="2" t="e">
        <f t="shared" ca="1" si="21"/>
        <v>#NAME?</v>
      </c>
      <c r="BK185" s="5">
        <v>10</v>
      </c>
      <c r="BL185" s="5">
        <v>10</v>
      </c>
      <c r="BM185" s="5">
        <v>10</v>
      </c>
      <c r="BN185" s="5">
        <v>10</v>
      </c>
      <c r="BO185" s="5">
        <v>10</v>
      </c>
      <c r="BP185" s="54">
        <f t="shared" si="5"/>
        <v>10</v>
      </c>
      <c r="BQ185" s="49">
        <v>0</v>
      </c>
      <c r="BR185" s="50">
        <v>0</v>
      </c>
      <c r="BS185" s="49">
        <v>10</v>
      </c>
      <c r="BT185" s="49">
        <v>10</v>
      </c>
      <c r="BU185" s="49">
        <v>10</v>
      </c>
      <c r="BV185" s="49">
        <v>10</v>
      </c>
      <c r="BW185" s="49">
        <v>10</v>
      </c>
      <c r="BX185" s="49">
        <v>10</v>
      </c>
      <c r="BY185" s="49">
        <v>10</v>
      </c>
      <c r="BZ185" s="49">
        <v>10</v>
      </c>
      <c r="CA185" s="49">
        <v>10</v>
      </c>
      <c r="CB185" s="49">
        <v>10</v>
      </c>
      <c r="CC185" s="2" t="e">
        <f t="shared" ca="1" si="22"/>
        <v>#NAME?</v>
      </c>
      <c r="CD185" s="55"/>
      <c r="CE185" s="2"/>
      <c r="CF185" s="2">
        <v>10</v>
      </c>
      <c r="CG185" s="2">
        <v>10</v>
      </c>
      <c r="CH185" s="2">
        <v>9</v>
      </c>
      <c r="CI185" s="2">
        <v>9</v>
      </c>
      <c r="CJ185" s="2">
        <v>10</v>
      </c>
      <c r="CK185" s="2">
        <v>10</v>
      </c>
      <c r="CL185" s="2">
        <v>9</v>
      </c>
      <c r="CM185" s="2">
        <v>9</v>
      </c>
      <c r="CN185" s="2">
        <v>10</v>
      </c>
      <c r="CO185" s="2">
        <v>10</v>
      </c>
      <c r="CP185" s="2" t="e">
        <f t="shared" ca="1" si="23"/>
        <v>#NAME?</v>
      </c>
      <c r="CQ185" s="2">
        <v>9</v>
      </c>
      <c r="CR185" s="2">
        <v>9</v>
      </c>
      <c r="CS185" s="2">
        <v>9</v>
      </c>
      <c r="CT185" s="2">
        <v>10</v>
      </c>
      <c r="CU185" s="2">
        <v>10</v>
      </c>
      <c r="CV185" s="54">
        <f t="shared" si="8"/>
        <v>10</v>
      </c>
      <c r="CW185" s="55"/>
      <c r="CX185" s="3"/>
    </row>
    <row r="186" spans="1:102" ht="16.5" x14ac:dyDescent="0.55000000000000004">
      <c r="A186" s="17">
        <v>1</v>
      </c>
      <c r="B186" s="17" t="s">
        <v>5</v>
      </c>
      <c r="C186" s="23" t="s">
        <v>412</v>
      </c>
      <c r="D186" s="24" t="s">
        <v>413</v>
      </c>
      <c r="E186" s="48"/>
      <c r="F186" s="2">
        <v>6</v>
      </c>
      <c r="G186" s="2">
        <v>4</v>
      </c>
      <c r="H186" s="2">
        <v>4</v>
      </c>
      <c r="I186" s="2">
        <v>4</v>
      </c>
      <c r="J186" s="2">
        <v>4</v>
      </c>
      <c r="K186" s="2">
        <v>4</v>
      </c>
      <c r="L186" s="2">
        <f t="shared" ref="L186:P186" si="44">G186</f>
        <v>4</v>
      </c>
      <c r="M186" s="2">
        <f t="shared" si="44"/>
        <v>4</v>
      </c>
      <c r="N186" s="2">
        <f t="shared" si="44"/>
        <v>4</v>
      </c>
      <c r="O186" s="2">
        <f t="shared" si="44"/>
        <v>4</v>
      </c>
      <c r="P186" s="2">
        <f t="shared" si="44"/>
        <v>4</v>
      </c>
      <c r="Q186" s="2" t="e">
        <f t="shared" ca="1" si="19"/>
        <v>#NAME?</v>
      </c>
      <c r="R186" s="2">
        <v>6</v>
      </c>
      <c r="S186" s="2">
        <v>6</v>
      </c>
      <c r="T186" s="2">
        <v>7</v>
      </c>
      <c r="U186" s="2">
        <v>7</v>
      </c>
      <c r="V186" s="2">
        <v>7</v>
      </c>
      <c r="W186" s="54">
        <f t="shared" si="1"/>
        <v>7</v>
      </c>
      <c r="X186" s="48"/>
      <c r="Y186" s="2"/>
      <c r="Z186" s="2"/>
      <c r="AA186" s="2">
        <v>10</v>
      </c>
      <c r="AB186" s="2">
        <v>10</v>
      </c>
      <c r="AC186" s="2">
        <v>0</v>
      </c>
      <c r="AD186" s="2">
        <v>0</v>
      </c>
      <c r="AE186" s="2">
        <v>4</v>
      </c>
      <c r="AF186" s="2">
        <v>10</v>
      </c>
      <c r="AG186" s="2">
        <v>10</v>
      </c>
      <c r="AH186" s="2">
        <v>10</v>
      </c>
      <c r="AI186" s="2">
        <v>10</v>
      </c>
      <c r="AJ186" s="2">
        <v>10</v>
      </c>
      <c r="AK186" s="3"/>
      <c r="AL186" s="3"/>
      <c r="AM186" s="3"/>
      <c r="AN186" s="3"/>
      <c r="AO186" s="3"/>
      <c r="AP186" s="3"/>
      <c r="AQ186" s="2" t="e">
        <f t="shared" ca="1" si="20"/>
        <v>#NAME?</v>
      </c>
      <c r="AR186" s="2">
        <v>0</v>
      </c>
      <c r="AS186" s="2">
        <v>5</v>
      </c>
      <c r="AT186" s="2">
        <v>10</v>
      </c>
      <c r="AU186" s="2">
        <v>10</v>
      </c>
      <c r="AV186" s="2">
        <v>10</v>
      </c>
      <c r="AW186" s="54">
        <f t="shared" si="3"/>
        <v>7</v>
      </c>
      <c r="AX186" s="48">
        <v>5</v>
      </c>
      <c r="AY186" s="2">
        <v>6</v>
      </c>
      <c r="AZ186" s="2">
        <v>7</v>
      </c>
      <c r="BA186" s="2">
        <v>6</v>
      </c>
      <c r="BB186" s="2">
        <v>6</v>
      </c>
      <c r="BC186" s="2">
        <v>6</v>
      </c>
      <c r="BD186" s="2">
        <v>6</v>
      </c>
      <c r="BE186" s="2">
        <v>6</v>
      </c>
      <c r="BF186" s="2">
        <v>6</v>
      </c>
      <c r="BG186" s="2">
        <v>7</v>
      </c>
      <c r="BH186" s="2">
        <v>7</v>
      </c>
      <c r="BI186" s="57">
        <v>7</v>
      </c>
      <c r="BJ186" s="2" t="e">
        <f t="shared" ca="1" si="21"/>
        <v>#NAME?</v>
      </c>
      <c r="BK186" s="5">
        <v>7</v>
      </c>
      <c r="BL186" s="5">
        <v>7</v>
      </c>
      <c r="BM186" s="5">
        <v>7</v>
      </c>
      <c r="BN186" s="5">
        <v>7</v>
      </c>
      <c r="BO186" s="5">
        <v>7</v>
      </c>
      <c r="BP186" s="54">
        <f t="shared" si="5"/>
        <v>7</v>
      </c>
      <c r="BQ186" s="49">
        <v>9</v>
      </c>
      <c r="BR186" s="50">
        <v>0</v>
      </c>
      <c r="BS186" s="50">
        <v>10</v>
      </c>
      <c r="BT186" s="50">
        <v>10</v>
      </c>
      <c r="BU186" s="49">
        <v>10</v>
      </c>
      <c r="BV186" s="49">
        <v>10</v>
      </c>
      <c r="BW186" s="50">
        <v>10</v>
      </c>
      <c r="BX186" s="50">
        <v>10</v>
      </c>
      <c r="BY186" s="50">
        <v>10</v>
      </c>
      <c r="BZ186" s="50">
        <v>10</v>
      </c>
      <c r="CA186" s="50">
        <v>10</v>
      </c>
      <c r="CB186" s="50">
        <v>10</v>
      </c>
      <c r="CC186" s="2" t="e">
        <f t="shared" ca="1" si="22"/>
        <v>#NAME?</v>
      </c>
      <c r="CD186" s="55"/>
      <c r="CE186" s="2"/>
      <c r="CF186" s="2">
        <v>6</v>
      </c>
      <c r="CG186" s="2">
        <v>6</v>
      </c>
      <c r="CH186" s="2">
        <v>6</v>
      </c>
      <c r="CI186" s="2">
        <v>6</v>
      </c>
      <c r="CJ186" s="2">
        <v>6</v>
      </c>
      <c r="CK186" s="2">
        <v>6</v>
      </c>
      <c r="CL186" s="2">
        <v>6</v>
      </c>
      <c r="CM186" s="2">
        <v>6</v>
      </c>
      <c r="CN186" s="2">
        <v>6</v>
      </c>
      <c r="CO186" s="2">
        <v>6</v>
      </c>
      <c r="CP186" s="2" t="e">
        <f t="shared" ca="1" si="23"/>
        <v>#NAME?</v>
      </c>
      <c r="CQ186" s="2">
        <v>6</v>
      </c>
      <c r="CR186" s="2">
        <v>6</v>
      </c>
      <c r="CS186" s="2">
        <v>6</v>
      </c>
      <c r="CT186" s="2">
        <v>6</v>
      </c>
      <c r="CU186" s="2">
        <v>6</v>
      </c>
      <c r="CV186" s="54">
        <f t="shared" si="8"/>
        <v>6</v>
      </c>
      <c r="CW186" s="55"/>
      <c r="CX186" s="3"/>
    </row>
    <row r="187" spans="1:102" ht="16.5" x14ac:dyDescent="0.55000000000000004">
      <c r="A187" s="17">
        <v>1</v>
      </c>
      <c r="B187" s="17" t="s">
        <v>5</v>
      </c>
      <c r="C187" s="23" t="s">
        <v>414</v>
      </c>
      <c r="D187" s="24" t="s">
        <v>415</v>
      </c>
      <c r="E187" s="48"/>
      <c r="F187" s="2">
        <v>5</v>
      </c>
      <c r="G187" s="2">
        <v>7</v>
      </c>
      <c r="H187" s="2">
        <v>7</v>
      </c>
      <c r="I187" s="2">
        <v>7</v>
      </c>
      <c r="J187" s="2">
        <v>6</v>
      </c>
      <c r="K187" s="2">
        <v>6</v>
      </c>
      <c r="L187" s="2">
        <f t="shared" ref="L187:P187" si="45">G187</f>
        <v>7</v>
      </c>
      <c r="M187" s="2">
        <f t="shared" si="45"/>
        <v>7</v>
      </c>
      <c r="N187" s="2">
        <f t="shared" si="45"/>
        <v>7</v>
      </c>
      <c r="O187" s="2">
        <f t="shared" si="45"/>
        <v>6</v>
      </c>
      <c r="P187" s="2">
        <f t="shared" si="45"/>
        <v>6</v>
      </c>
      <c r="Q187" s="2" t="e">
        <f t="shared" ca="1" si="19"/>
        <v>#NAME?</v>
      </c>
      <c r="R187" s="2">
        <v>8</v>
      </c>
      <c r="S187" s="2">
        <v>7</v>
      </c>
      <c r="T187" s="2">
        <v>7</v>
      </c>
      <c r="U187" s="2">
        <v>8</v>
      </c>
      <c r="V187" s="2">
        <v>8</v>
      </c>
      <c r="W187" s="54">
        <f t="shared" si="1"/>
        <v>8</v>
      </c>
      <c r="X187" s="48"/>
      <c r="Y187" s="2"/>
      <c r="Z187" s="2"/>
      <c r="AA187" s="2">
        <v>10</v>
      </c>
      <c r="AB187" s="2">
        <v>10</v>
      </c>
      <c r="AC187" s="2">
        <v>10</v>
      </c>
      <c r="AD187" s="2">
        <v>10</v>
      </c>
      <c r="AE187" s="2">
        <v>10</v>
      </c>
      <c r="AF187" s="2">
        <v>10</v>
      </c>
      <c r="AG187" s="2">
        <v>10</v>
      </c>
      <c r="AH187" s="2">
        <v>10</v>
      </c>
      <c r="AI187" s="2">
        <v>10</v>
      </c>
      <c r="AJ187" s="2">
        <v>10</v>
      </c>
      <c r="AK187" s="3"/>
      <c r="AL187" s="3"/>
      <c r="AM187" s="3"/>
      <c r="AN187" s="3"/>
      <c r="AO187" s="3"/>
      <c r="AP187" s="3"/>
      <c r="AQ187" s="2" t="e">
        <f t="shared" ca="1" si="20"/>
        <v>#NAME?</v>
      </c>
      <c r="AR187" s="2">
        <v>10</v>
      </c>
      <c r="AS187" s="2">
        <v>10</v>
      </c>
      <c r="AT187" s="2">
        <v>10</v>
      </c>
      <c r="AU187" s="2">
        <v>10</v>
      </c>
      <c r="AV187" s="2">
        <v>10</v>
      </c>
      <c r="AW187" s="54">
        <f t="shared" si="3"/>
        <v>10</v>
      </c>
      <c r="AX187" s="48">
        <v>6</v>
      </c>
      <c r="AY187" s="2">
        <v>10</v>
      </c>
      <c r="AZ187" s="2">
        <v>10</v>
      </c>
      <c r="BA187" s="2">
        <v>10</v>
      </c>
      <c r="BB187" s="2">
        <v>10</v>
      </c>
      <c r="BC187" s="2">
        <v>10</v>
      </c>
      <c r="BD187" s="2">
        <v>10</v>
      </c>
      <c r="BE187" s="2">
        <v>10</v>
      </c>
      <c r="BF187" s="2">
        <v>10</v>
      </c>
      <c r="BG187" s="2">
        <v>10</v>
      </c>
      <c r="BH187" s="2">
        <v>10</v>
      </c>
      <c r="BI187" s="57">
        <v>10</v>
      </c>
      <c r="BJ187" s="2" t="e">
        <f t="shared" ca="1" si="21"/>
        <v>#NAME?</v>
      </c>
      <c r="BK187" s="5">
        <v>10</v>
      </c>
      <c r="BL187" s="5">
        <v>10</v>
      </c>
      <c r="BM187" s="5">
        <v>10</v>
      </c>
      <c r="BN187" s="5">
        <v>10</v>
      </c>
      <c r="BO187" s="5">
        <v>10</v>
      </c>
      <c r="BP187" s="54">
        <f t="shared" si="5"/>
        <v>10</v>
      </c>
      <c r="BQ187" s="49">
        <v>0</v>
      </c>
      <c r="BR187" s="49">
        <v>2</v>
      </c>
      <c r="BS187" s="49">
        <v>10</v>
      </c>
      <c r="BT187" s="49">
        <v>10</v>
      </c>
      <c r="BU187" s="49">
        <v>10</v>
      </c>
      <c r="BV187" s="49">
        <v>10</v>
      </c>
      <c r="BW187" s="49">
        <v>10</v>
      </c>
      <c r="BX187" s="49">
        <v>10</v>
      </c>
      <c r="BY187" s="49">
        <v>10</v>
      </c>
      <c r="BZ187" s="49">
        <v>10</v>
      </c>
      <c r="CA187" s="49">
        <v>10</v>
      </c>
      <c r="CB187" s="49">
        <v>10</v>
      </c>
      <c r="CC187" s="2" t="e">
        <f t="shared" ca="1" si="22"/>
        <v>#NAME?</v>
      </c>
      <c r="CD187" s="55"/>
      <c r="CE187" s="2"/>
      <c r="CF187" s="2">
        <v>8</v>
      </c>
      <c r="CG187" s="2">
        <v>8</v>
      </c>
      <c r="CH187" s="2">
        <v>8</v>
      </c>
      <c r="CI187" s="2">
        <v>8</v>
      </c>
      <c r="CJ187" s="2">
        <v>8</v>
      </c>
      <c r="CK187" s="2">
        <v>8</v>
      </c>
      <c r="CL187" s="2">
        <v>8</v>
      </c>
      <c r="CM187" s="2">
        <v>8</v>
      </c>
      <c r="CN187" s="2">
        <v>8</v>
      </c>
      <c r="CO187" s="2">
        <v>8</v>
      </c>
      <c r="CP187" s="2" t="e">
        <f t="shared" ca="1" si="23"/>
        <v>#NAME?</v>
      </c>
      <c r="CQ187" s="2">
        <v>8</v>
      </c>
      <c r="CR187" s="2">
        <v>8</v>
      </c>
      <c r="CS187" s="2">
        <v>8</v>
      </c>
      <c r="CT187" s="2">
        <v>8</v>
      </c>
      <c r="CU187" s="2">
        <v>8</v>
      </c>
      <c r="CV187" s="54">
        <f t="shared" si="8"/>
        <v>8</v>
      </c>
      <c r="CW187" s="55"/>
      <c r="CX187" s="3"/>
    </row>
    <row r="188" spans="1:102" ht="16.5" x14ac:dyDescent="0.55000000000000004">
      <c r="A188" s="17">
        <v>1</v>
      </c>
      <c r="B188" s="17" t="s">
        <v>5</v>
      </c>
      <c r="C188" s="23" t="s">
        <v>416</v>
      </c>
      <c r="D188" s="24" t="s">
        <v>417</v>
      </c>
      <c r="E188" s="48"/>
      <c r="F188" s="2">
        <v>13</v>
      </c>
      <c r="G188" s="2">
        <v>8</v>
      </c>
      <c r="H188" s="2">
        <v>7</v>
      </c>
      <c r="I188" s="2">
        <v>5</v>
      </c>
      <c r="J188" s="2">
        <v>5</v>
      </c>
      <c r="K188" s="2">
        <v>5</v>
      </c>
      <c r="L188" s="2">
        <f t="shared" ref="L188:P188" si="46">G188</f>
        <v>8</v>
      </c>
      <c r="M188" s="2">
        <f t="shared" si="46"/>
        <v>7</v>
      </c>
      <c r="N188" s="2">
        <f t="shared" si="46"/>
        <v>5</v>
      </c>
      <c r="O188" s="2">
        <f t="shared" si="46"/>
        <v>5</v>
      </c>
      <c r="P188" s="2">
        <f t="shared" si="46"/>
        <v>5</v>
      </c>
      <c r="Q188" s="2" t="e">
        <f t="shared" ca="1" si="19"/>
        <v>#NAME?</v>
      </c>
      <c r="R188" s="2">
        <v>9</v>
      </c>
      <c r="S188" s="2">
        <v>7</v>
      </c>
      <c r="T188" s="2">
        <v>7</v>
      </c>
      <c r="U188" s="2">
        <v>7</v>
      </c>
      <c r="V188" s="2">
        <v>7</v>
      </c>
      <c r="W188" s="54">
        <f t="shared" si="1"/>
        <v>8</v>
      </c>
      <c r="X188" s="48"/>
      <c r="Y188" s="2"/>
      <c r="Z188" s="2"/>
      <c r="AA188" s="2">
        <v>10</v>
      </c>
      <c r="AB188" s="2">
        <v>10</v>
      </c>
      <c r="AC188" s="2">
        <v>10</v>
      </c>
      <c r="AD188" s="2">
        <v>10</v>
      </c>
      <c r="AE188" s="2">
        <v>0</v>
      </c>
      <c r="AF188" s="2">
        <v>0</v>
      </c>
      <c r="AG188" s="2">
        <v>4</v>
      </c>
      <c r="AH188" s="2">
        <v>10</v>
      </c>
      <c r="AI188" s="2">
        <v>10</v>
      </c>
      <c r="AJ188" s="2">
        <v>10</v>
      </c>
      <c r="AK188" s="3"/>
      <c r="AL188" s="3"/>
      <c r="AM188" s="3"/>
      <c r="AN188" s="3"/>
      <c r="AO188" s="3"/>
      <c r="AP188" s="3"/>
      <c r="AQ188" s="2" t="e">
        <f t="shared" ca="1" si="20"/>
        <v>#NAME?</v>
      </c>
      <c r="AR188" s="2">
        <v>10</v>
      </c>
      <c r="AS188" s="2">
        <v>10</v>
      </c>
      <c r="AT188" s="2">
        <v>0</v>
      </c>
      <c r="AU188" s="2">
        <v>10</v>
      </c>
      <c r="AV188" s="2">
        <v>5</v>
      </c>
      <c r="AW188" s="54">
        <f t="shared" si="3"/>
        <v>7</v>
      </c>
      <c r="AX188" s="48">
        <v>9</v>
      </c>
      <c r="AY188" s="2">
        <v>10</v>
      </c>
      <c r="AZ188" s="2">
        <v>10</v>
      </c>
      <c r="BA188" s="2">
        <v>10</v>
      </c>
      <c r="BB188" s="2">
        <v>10</v>
      </c>
      <c r="BC188" s="2">
        <v>10</v>
      </c>
      <c r="BD188" s="2">
        <v>8</v>
      </c>
      <c r="BE188" s="2">
        <v>8</v>
      </c>
      <c r="BF188" s="2">
        <v>6</v>
      </c>
      <c r="BG188" s="2">
        <v>6</v>
      </c>
      <c r="BH188" s="2">
        <v>6</v>
      </c>
      <c r="BI188" s="57">
        <v>6</v>
      </c>
      <c r="BJ188" s="2" t="e">
        <f t="shared" ca="1" si="21"/>
        <v>#NAME?</v>
      </c>
      <c r="BK188" s="5">
        <v>10</v>
      </c>
      <c r="BL188" s="5">
        <v>10</v>
      </c>
      <c r="BM188" s="5">
        <v>10</v>
      </c>
      <c r="BN188" s="5">
        <v>10</v>
      </c>
      <c r="BO188" s="5">
        <v>10</v>
      </c>
      <c r="BP188" s="54">
        <f t="shared" si="5"/>
        <v>10</v>
      </c>
      <c r="BQ188" s="49">
        <v>14</v>
      </c>
      <c r="BR188" s="49">
        <v>2</v>
      </c>
      <c r="BS188" s="49">
        <v>10</v>
      </c>
      <c r="BT188" s="49">
        <v>10</v>
      </c>
      <c r="BU188" s="49">
        <v>10</v>
      </c>
      <c r="BV188" s="49">
        <v>10</v>
      </c>
      <c r="BW188" s="49">
        <v>10</v>
      </c>
      <c r="BX188" s="49">
        <v>10</v>
      </c>
      <c r="BY188" s="49">
        <v>10</v>
      </c>
      <c r="BZ188" s="49">
        <v>10</v>
      </c>
      <c r="CA188" s="49">
        <v>10</v>
      </c>
      <c r="CB188" s="49">
        <v>10</v>
      </c>
      <c r="CC188" s="2" t="e">
        <f t="shared" ca="1" si="22"/>
        <v>#NAME?</v>
      </c>
      <c r="CD188" s="55"/>
      <c r="CE188" s="2"/>
      <c r="CF188" s="2">
        <v>6</v>
      </c>
      <c r="CG188" s="2">
        <v>6</v>
      </c>
      <c r="CH188" s="2">
        <v>7</v>
      </c>
      <c r="CI188" s="2">
        <v>7</v>
      </c>
      <c r="CJ188" s="2">
        <v>7</v>
      </c>
      <c r="CK188" s="2">
        <v>7</v>
      </c>
      <c r="CL188" s="2">
        <v>6</v>
      </c>
      <c r="CM188" s="2">
        <v>6</v>
      </c>
      <c r="CN188" s="2">
        <v>6</v>
      </c>
      <c r="CO188" s="2">
        <v>6</v>
      </c>
      <c r="CP188" s="2" t="e">
        <f t="shared" ca="1" si="23"/>
        <v>#NAME?</v>
      </c>
      <c r="CQ188" s="2">
        <v>7</v>
      </c>
      <c r="CR188" s="2">
        <v>7</v>
      </c>
      <c r="CS188" s="2">
        <v>7</v>
      </c>
      <c r="CT188" s="2">
        <v>7</v>
      </c>
      <c r="CU188" s="2">
        <v>6</v>
      </c>
      <c r="CV188" s="54">
        <f t="shared" si="8"/>
        <v>7</v>
      </c>
      <c r="CW188" s="55"/>
      <c r="CX188" s="3"/>
    </row>
    <row r="189" spans="1:102" ht="16.5" x14ac:dyDescent="0.55000000000000004">
      <c r="A189" s="17">
        <v>1</v>
      </c>
      <c r="B189" s="17" t="s">
        <v>5</v>
      </c>
      <c r="C189" s="23" t="s">
        <v>418</v>
      </c>
      <c r="D189" s="24" t="s">
        <v>419</v>
      </c>
      <c r="E189" s="48"/>
      <c r="F189" s="48">
        <v>18</v>
      </c>
      <c r="G189" s="2">
        <v>9</v>
      </c>
      <c r="H189" s="2">
        <v>9</v>
      </c>
      <c r="I189" s="2">
        <v>9</v>
      </c>
      <c r="J189" s="2">
        <v>9</v>
      </c>
      <c r="K189" s="2">
        <v>9</v>
      </c>
      <c r="L189" s="2">
        <f t="shared" ref="L189:P189" si="47">G189</f>
        <v>9</v>
      </c>
      <c r="M189" s="2">
        <f t="shared" si="47"/>
        <v>9</v>
      </c>
      <c r="N189" s="2">
        <f t="shared" si="47"/>
        <v>9</v>
      </c>
      <c r="O189" s="2">
        <f t="shared" si="47"/>
        <v>9</v>
      </c>
      <c r="P189" s="2">
        <f t="shared" si="47"/>
        <v>9</v>
      </c>
      <c r="Q189" s="2" t="e">
        <f t="shared" ca="1" si="19"/>
        <v>#NAME?</v>
      </c>
      <c r="R189" s="2">
        <v>10</v>
      </c>
      <c r="S189" s="2">
        <v>10</v>
      </c>
      <c r="T189" s="2">
        <v>10</v>
      </c>
      <c r="U189" s="2">
        <v>10</v>
      </c>
      <c r="V189" s="2">
        <v>10</v>
      </c>
      <c r="W189" s="54">
        <f t="shared" si="1"/>
        <v>10</v>
      </c>
      <c r="X189" s="48"/>
      <c r="Y189" s="2"/>
      <c r="Z189" s="2"/>
      <c r="AA189" s="2">
        <v>10</v>
      </c>
      <c r="AB189" s="2">
        <v>10</v>
      </c>
      <c r="AC189" s="2">
        <v>10</v>
      </c>
      <c r="AD189" s="2">
        <v>10</v>
      </c>
      <c r="AE189" s="2">
        <v>10</v>
      </c>
      <c r="AF189" s="2">
        <v>10</v>
      </c>
      <c r="AG189" s="2">
        <v>10</v>
      </c>
      <c r="AH189" s="2">
        <v>10</v>
      </c>
      <c r="AI189" s="2">
        <v>10</v>
      </c>
      <c r="AJ189" s="2">
        <v>10</v>
      </c>
      <c r="AK189" s="3"/>
      <c r="AL189" s="3"/>
      <c r="AM189" s="3"/>
      <c r="AN189" s="3"/>
      <c r="AO189" s="3"/>
      <c r="AP189" s="3"/>
      <c r="AQ189" s="2" t="e">
        <f t="shared" ca="1" si="20"/>
        <v>#NAME?</v>
      </c>
      <c r="AR189" s="2">
        <v>10</v>
      </c>
      <c r="AS189" s="2">
        <v>10</v>
      </c>
      <c r="AT189" s="2">
        <v>10</v>
      </c>
      <c r="AU189" s="2">
        <v>10</v>
      </c>
      <c r="AV189" s="2">
        <v>10</v>
      </c>
      <c r="AW189" s="54">
        <f t="shared" si="3"/>
        <v>10</v>
      </c>
      <c r="AX189" s="48">
        <v>8</v>
      </c>
      <c r="AY189" s="2">
        <v>10</v>
      </c>
      <c r="AZ189" s="2">
        <v>10</v>
      </c>
      <c r="BA189" s="2">
        <v>10</v>
      </c>
      <c r="BB189" s="2">
        <v>10</v>
      </c>
      <c r="BC189" s="2">
        <v>10</v>
      </c>
      <c r="BD189" s="2">
        <v>10</v>
      </c>
      <c r="BE189" s="2">
        <v>10</v>
      </c>
      <c r="BF189" s="2">
        <v>10</v>
      </c>
      <c r="BG189" s="2">
        <v>10</v>
      </c>
      <c r="BH189" s="2">
        <v>10</v>
      </c>
      <c r="BI189" s="57">
        <v>10</v>
      </c>
      <c r="BJ189" s="2" t="e">
        <f t="shared" ca="1" si="21"/>
        <v>#NAME?</v>
      </c>
      <c r="BK189" s="5">
        <v>10</v>
      </c>
      <c r="BL189" s="5">
        <v>10</v>
      </c>
      <c r="BM189" s="5">
        <v>10</v>
      </c>
      <c r="BN189" s="5">
        <v>10</v>
      </c>
      <c r="BO189" s="5">
        <v>10</v>
      </c>
      <c r="BP189" s="54">
        <f t="shared" si="5"/>
        <v>10</v>
      </c>
      <c r="BQ189" s="49">
        <v>17</v>
      </c>
      <c r="BR189" s="49">
        <v>10</v>
      </c>
      <c r="BS189" s="49">
        <v>10</v>
      </c>
      <c r="BT189" s="49">
        <v>10</v>
      </c>
      <c r="BU189" s="49">
        <v>10</v>
      </c>
      <c r="BV189" s="49">
        <v>10</v>
      </c>
      <c r="BW189" s="49">
        <v>10</v>
      </c>
      <c r="BX189" s="49">
        <v>10</v>
      </c>
      <c r="BY189" s="49">
        <v>10</v>
      </c>
      <c r="BZ189" s="49">
        <v>10</v>
      </c>
      <c r="CA189" s="49">
        <v>10</v>
      </c>
      <c r="CB189" s="49">
        <v>10</v>
      </c>
      <c r="CC189" s="2" t="e">
        <f t="shared" ca="1" si="22"/>
        <v>#NAME?</v>
      </c>
      <c r="CD189" s="55"/>
      <c r="CE189" s="2"/>
      <c r="CF189" s="2">
        <v>10</v>
      </c>
      <c r="CG189" s="2">
        <v>10</v>
      </c>
      <c r="CH189" s="2">
        <v>10</v>
      </c>
      <c r="CI189" s="2">
        <v>10</v>
      </c>
      <c r="CJ189" s="2">
        <v>10</v>
      </c>
      <c r="CK189" s="2">
        <v>10</v>
      </c>
      <c r="CL189" s="2">
        <v>10</v>
      </c>
      <c r="CM189" s="2">
        <v>10</v>
      </c>
      <c r="CN189" s="2">
        <v>10</v>
      </c>
      <c r="CO189" s="2">
        <v>10</v>
      </c>
      <c r="CP189" s="2" t="e">
        <f t="shared" ca="1" si="23"/>
        <v>#NAME?</v>
      </c>
      <c r="CQ189" s="2">
        <v>10</v>
      </c>
      <c r="CR189" s="2">
        <v>10</v>
      </c>
      <c r="CS189" s="2">
        <v>10</v>
      </c>
      <c r="CT189" s="2">
        <v>10</v>
      </c>
      <c r="CU189" s="2">
        <v>10</v>
      </c>
      <c r="CV189" s="54">
        <f t="shared" si="8"/>
        <v>10</v>
      </c>
      <c r="CW189" s="55"/>
      <c r="CX189" s="3"/>
    </row>
    <row r="190" spans="1:102" ht="16.5" x14ac:dyDescent="0.55000000000000004">
      <c r="A190" s="17">
        <v>1</v>
      </c>
      <c r="B190" s="17" t="s">
        <v>5</v>
      </c>
      <c r="C190" s="23" t="s">
        <v>420</v>
      </c>
      <c r="D190" s="24" t="s">
        <v>421</v>
      </c>
      <c r="E190" s="48"/>
      <c r="F190" s="2">
        <v>20</v>
      </c>
      <c r="G190" s="2">
        <v>10</v>
      </c>
      <c r="H190" s="2">
        <v>10</v>
      </c>
      <c r="I190" s="2">
        <v>10</v>
      </c>
      <c r="J190" s="2">
        <v>10</v>
      </c>
      <c r="K190" s="2">
        <v>10</v>
      </c>
      <c r="L190" s="2">
        <f t="shared" ref="L190:P190" si="48">G190</f>
        <v>10</v>
      </c>
      <c r="M190" s="2">
        <f t="shared" si="48"/>
        <v>10</v>
      </c>
      <c r="N190" s="2">
        <f t="shared" si="48"/>
        <v>10</v>
      </c>
      <c r="O190" s="2">
        <f t="shared" si="48"/>
        <v>10</v>
      </c>
      <c r="P190" s="2">
        <f t="shared" si="48"/>
        <v>10</v>
      </c>
      <c r="Q190" s="2" t="e">
        <f t="shared" ca="1" si="19"/>
        <v>#NAME?</v>
      </c>
      <c r="R190" s="2">
        <v>10</v>
      </c>
      <c r="S190" s="2">
        <v>10</v>
      </c>
      <c r="T190" s="2">
        <v>10</v>
      </c>
      <c r="U190" s="2">
        <v>10</v>
      </c>
      <c r="V190" s="2">
        <v>10</v>
      </c>
      <c r="W190" s="54">
        <f t="shared" si="1"/>
        <v>10</v>
      </c>
      <c r="X190" s="48"/>
      <c r="Y190" s="2"/>
      <c r="Z190" s="2"/>
      <c r="AA190" s="2">
        <v>10</v>
      </c>
      <c r="AB190" s="2">
        <v>10</v>
      </c>
      <c r="AC190" s="2">
        <v>10</v>
      </c>
      <c r="AD190" s="2">
        <v>10</v>
      </c>
      <c r="AE190" s="2">
        <v>10</v>
      </c>
      <c r="AF190" s="2">
        <v>10</v>
      </c>
      <c r="AG190" s="2">
        <v>10</v>
      </c>
      <c r="AH190" s="2">
        <v>10</v>
      </c>
      <c r="AI190" s="2">
        <v>10</v>
      </c>
      <c r="AJ190" s="2">
        <v>10</v>
      </c>
      <c r="AK190" s="3"/>
      <c r="AL190" s="3"/>
      <c r="AM190" s="3"/>
      <c r="AN190" s="3"/>
      <c r="AO190" s="3"/>
      <c r="AP190" s="3"/>
      <c r="AQ190" s="2" t="e">
        <f t="shared" ca="1" si="20"/>
        <v>#NAME?</v>
      </c>
      <c r="AR190" s="2">
        <v>10</v>
      </c>
      <c r="AS190" s="2">
        <v>10</v>
      </c>
      <c r="AT190" s="2">
        <v>10</v>
      </c>
      <c r="AU190" s="2">
        <v>10</v>
      </c>
      <c r="AV190" s="2">
        <v>10</v>
      </c>
      <c r="AW190" s="54">
        <f t="shared" si="3"/>
        <v>10</v>
      </c>
      <c r="AX190" s="48">
        <v>7</v>
      </c>
      <c r="AY190" s="2">
        <v>10</v>
      </c>
      <c r="AZ190" s="2">
        <v>10</v>
      </c>
      <c r="BA190" s="2">
        <v>10</v>
      </c>
      <c r="BB190" s="2">
        <v>10</v>
      </c>
      <c r="BC190" s="2">
        <v>10</v>
      </c>
      <c r="BD190" s="2">
        <v>10</v>
      </c>
      <c r="BE190" s="2">
        <v>10</v>
      </c>
      <c r="BF190" s="2">
        <v>10</v>
      </c>
      <c r="BG190" s="2">
        <v>10</v>
      </c>
      <c r="BH190" s="2">
        <v>10</v>
      </c>
      <c r="BI190" s="57">
        <v>10</v>
      </c>
      <c r="BJ190" s="2" t="e">
        <f t="shared" ca="1" si="21"/>
        <v>#NAME?</v>
      </c>
      <c r="BK190" s="5">
        <v>10</v>
      </c>
      <c r="BL190" s="5">
        <v>10</v>
      </c>
      <c r="BM190" s="5">
        <v>10</v>
      </c>
      <c r="BN190" s="5">
        <v>10</v>
      </c>
      <c r="BO190" s="5">
        <v>10</v>
      </c>
      <c r="BP190" s="54">
        <f t="shared" si="5"/>
        <v>10</v>
      </c>
      <c r="BQ190" s="49">
        <v>0</v>
      </c>
      <c r="BR190" s="49">
        <v>8</v>
      </c>
      <c r="BS190" s="49">
        <v>10</v>
      </c>
      <c r="BT190" s="49">
        <v>10</v>
      </c>
      <c r="BU190" s="49">
        <v>10</v>
      </c>
      <c r="BV190" s="49">
        <v>10</v>
      </c>
      <c r="BW190" s="49">
        <v>10</v>
      </c>
      <c r="BX190" s="49">
        <v>10</v>
      </c>
      <c r="BY190" s="49">
        <v>10</v>
      </c>
      <c r="BZ190" s="49">
        <v>10</v>
      </c>
      <c r="CA190" s="49">
        <v>10</v>
      </c>
      <c r="CB190" s="49">
        <v>10</v>
      </c>
      <c r="CC190" s="2" t="e">
        <f t="shared" ca="1" si="22"/>
        <v>#NAME?</v>
      </c>
      <c r="CD190" s="55"/>
      <c r="CE190" s="2"/>
      <c r="CF190" s="4">
        <v>10</v>
      </c>
      <c r="CG190" s="4">
        <v>10</v>
      </c>
      <c r="CH190" s="4">
        <v>10</v>
      </c>
      <c r="CI190" s="4">
        <v>10</v>
      </c>
      <c r="CJ190" s="4">
        <v>10</v>
      </c>
      <c r="CK190" s="4">
        <v>10</v>
      </c>
      <c r="CL190" s="4">
        <v>10</v>
      </c>
      <c r="CM190" s="4">
        <v>10</v>
      </c>
      <c r="CN190" s="4">
        <v>10</v>
      </c>
      <c r="CO190" s="4">
        <v>10</v>
      </c>
      <c r="CP190" s="2" t="e">
        <f t="shared" ca="1" si="23"/>
        <v>#NAME?</v>
      </c>
      <c r="CQ190" s="4">
        <v>10</v>
      </c>
      <c r="CR190" s="4">
        <v>10</v>
      </c>
      <c r="CS190" s="4">
        <v>10</v>
      </c>
      <c r="CT190" s="4">
        <v>10</v>
      </c>
      <c r="CU190" s="4">
        <v>10</v>
      </c>
      <c r="CV190" s="54">
        <f t="shared" si="8"/>
        <v>10</v>
      </c>
      <c r="CW190" s="55"/>
      <c r="CX190" s="3"/>
    </row>
    <row r="191" spans="1:102" ht="16.5" x14ac:dyDescent="0.55000000000000004">
      <c r="A191" s="17">
        <v>1</v>
      </c>
      <c r="B191" s="17" t="s">
        <v>5</v>
      </c>
      <c r="C191" s="23" t="s">
        <v>422</v>
      </c>
      <c r="D191" s="24" t="s">
        <v>423</v>
      </c>
      <c r="E191" s="48"/>
      <c r="F191" s="2">
        <v>15</v>
      </c>
      <c r="G191" s="2">
        <v>8</v>
      </c>
      <c r="H191" s="2">
        <v>5</v>
      </c>
      <c r="I191" s="2">
        <v>5</v>
      </c>
      <c r="J191" s="2">
        <v>5</v>
      </c>
      <c r="K191" s="2">
        <v>5</v>
      </c>
      <c r="L191" s="2">
        <f t="shared" ref="L191:P191" si="49">G191</f>
        <v>8</v>
      </c>
      <c r="M191" s="2">
        <f t="shared" si="49"/>
        <v>5</v>
      </c>
      <c r="N191" s="2">
        <f t="shared" si="49"/>
        <v>5</v>
      </c>
      <c r="O191" s="2">
        <f t="shared" si="49"/>
        <v>5</v>
      </c>
      <c r="P191" s="2">
        <f t="shared" si="49"/>
        <v>5</v>
      </c>
      <c r="Q191" s="2" t="e">
        <f t="shared" ca="1" si="19"/>
        <v>#NAME?</v>
      </c>
      <c r="R191" s="2">
        <v>10</v>
      </c>
      <c r="S191" s="2">
        <v>10</v>
      </c>
      <c r="T191" s="2">
        <v>10</v>
      </c>
      <c r="U191" s="2">
        <v>10</v>
      </c>
      <c r="V191" s="2">
        <v>10</v>
      </c>
      <c r="W191" s="54">
        <f t="shared" si="1"/>
        <v>10</v>
      </c>
      <c r="X191" s="48"/>
      <c r="Y191" s="2"/>
      <c r="Z191" s="2"/>
      <c r="AA191" s="2">
        <v>10</v>
      </c>
      <c r="AB191" s="2">
        <v>10</v>
      </c>
      <c r="AC191" s="2">
        <v>10</v>
      </c>
      <c r="AD191" s="2">
        <v>10</v>
      </c>
      <c r="AE191" s="2">
        <v>0</v>
      </c>
      <c r="AF191" s="2">
        <v>0</v>
      </c>
      <c r="AG191" s="2">
        <v>4</v>
      </c>
      <c r="AH191" s="2">
        <v>10</v>
      </c>
      <c r="AI191" s="2">
        <v>10</v>
      </c>
      <c r="AJ191" s="2">
        <v>10</v>
      </c>
      <c r="AK191" s="3"/>
      <c r="AL191" s="3"/>
      <c r="AM191" s="3"/>
      <c r="AN191" s="3"/>
      <c r="AO191" s="3"/>
      <c r="AP191" s="3"/>
      <c r="AQ191" s="2" t="e">
        <f t="shared" ca="1" si="20"/>
        <v>#NAME?</v>
      </c>
      <c r="AR191" s="2">
        <v>10</v>
      </c>
      <c r="AS191" s="2">
        <v>10</v>
      </c>
      <c r="AT191" s="2">
        <v>0</v>
      </c>
      <c r="AU191" s="2">
        <v>10</v>
      </c>
      <c r="AV191" s="2">
        <v>5</v>
      </c>
      <c r="AW191" s="54">
        <f t="shared" si="3"/>
        <v>7</v>
      </c>
      <c r="AX191" s="48">
        <v>6</v>
      </c>
      <c r="AY191" s="2">
        <v>10</v>
      </c>
      <c r="AZ191" s="2">
        <v>10</v>
      </c>
      <c r="BA191" s="2">
        <v>7</v>
      </c>
      <c r="BB191" s="2">
        <v>8</v>
      </c>
      <c r="BC191" s="2">
        <v>9</v>
      </c>
      <c r="BD191" s="2">
        <v>8</v>
      </c>
      <c r="BE191" s="2">
        <v>8</v>
      </c>
      <c r="BF191" s="2">
        <v>8</v>
      </c>
      <c r="BG191" s="2">
        <v>9</v>
      </c>
      <c r="BH191" s="2">
        <v>9</v>
      </c>
      <c r="BI191" s="57">
        <v>8</v>
      </c>
      <c r="BJ191" s="2" t="e">
        <f t="shared" ca="1" si="21"/>
        <v>#NAME?</v>
      </c>
      <c r="BK191" s="5">
        <v>10</v>
      </c>
      <c r="BL191" s="5">
        <v>10</v>
      </c>
      <c r="BM191" s="5">
        <v>10</v>
      </c>
      <c r="BN191" s="5">
        <v>10</v>
      </c>
      <c r="BO191" s="5">
        <v>10</v>
      </c>
      <c r="BP191" s="54">
        <f t="shared" si="5"/>
        <v>10</v>
      </c>
      <c r="BQ191" s="49">
        <v>6</v>
      </c>
      <c r="BR191" s="49">
        <v>2</v>
      </c>
      <c r="BS191" s="50">
        <v>0</v>
      </c>
      <c r="BT191" s="50">
        <v>0</v>
      </c>
      <c r="BU191" s="50">
        <v>0</v>
      </c>
      <c r="BV191" s="50">
        <v>0</v>
      </c>
      <c r="BW191" s="50">
        <v>0</v>
      </c>
      <c r="BX191" s="50">
        <v>0</v>
      </c>
      <c r="BY191" s="50">
        <v>0</v>
      </c>
      <c r="BZ191" s="50">
        <v>0</v>
      </c>
      <c r="CA191" s="50">
        <v>0</v>
      </c>
      <c r="CB191" s="50">
        <v>0</v>
      </c>
      <c r="CC191" s="2" t="e">
        <f t="shared" ca="1" si="22"/>
        <v>#NAME?</v>
      </c>
      <c r="CD191" s="55"/>
      <c r="CE191" s="2"/>
      <c r="CF191" s="2">
        <v>7</v>
      </c>
      <c r="CG191" s="2">
        <v>7</v>
      </c>
      <c r="CH191" s="2">
        <v>6</v>
      </c>
      <c r="CI191" s="2">
        <v>6</v>
      </c>
      <c r="CJ191" s="2">
        <v>6</v>
      </c>
      <c r="CK191" s="2">
        <v>6</v>
      </c>
      <c r="CL191" s="2">
        <v>6</v>
      </c>
      <c r="CM191" s="2">
        <v>6</v>
      </c>
      <c r="CN191" s="2">
        <v>7</v>
      </c>
      <c r="CO191" s="2">
        <v>6</v>
      </c>
      <c r="CP191" s="2" t="e">
        <f t="shared" ca="1" si="23"/>
        <v>#NAME?</v>
      </c>
      <c r="CQ191" s="2">
        <v>6</v>
      </c>
      <c r="CR191" s="2">
        <v>7</v>
      </c>
      <c r="CS191" s="2">
        <v>7</v>
      </c>
      <c r="CT191" s="2">
        <v>6</v>
      </c>
      <c r="CU191" s="2">
        <v>7</v>
      </c>
      <c r="CV191" s="54">
        <f t="shared" si="8"/>
        <v>7</v>
      </c>
      <c r="CW191" s="55"/>
      <c r="CX191" s="3"/>
    </row>
    <row r="192" spans="1:102" ht="16.5" x14ac:dyDescent="0.55000000000000004">
      <c r="A192" s="17">
        <v>1</v>
      </c>
      <c r="B192" s="17" t="s">
        <v>5</v>
      </c>
      <c r="C192" s="23" t="s">
        <v>424</v>
      </c>
      <c r="D192" s="24" t="s">
        <v>425</v>
      </c>
      <c r="E192" s="48"/>
      <c r="F192" s="2">
        <v>19</v>
      </c>
      <c r="G192" s="2">
        <v>9</v>
      </c>
      <c r="H192" s="2">
        <v>9</v>
      </c>
      <c r="I192" s="2">
        <v>9</v>
      </c>
      <c r="J192" s="2">
        <v>9</v>
      </c>
      <c r="K192" s="2">
        <v>9</v>
      </c>
      <c r="L192" s="2">
        <f t="shared" ref="L192:P192" si="50">G192</f>
        <v>9</v>
      </c>
      <c r="M192" s="2">
        <f t="shared" si="50"/>
        <v>9</v>
      </c>
      <c r="N192" s="2">
        <f t="shared" si="50"/>
        <v>9</v>
      </c>
      <c r="O192" s="2">
        <f t="shared" si="50"/>
        <v>9</v>
      </c>
      <c r="P192" s="2">
        <f t="shared" si="50"/>
        <v>9</v>
      </c>
      <c r="Q192" s="2" t="e">
        <f t="shared" ca="1" si="19"/>
        <v>#NAME?</v>
      </c>
      <c r="R192" s="2">
        <v>10</v>
      </c>
      <c r="S192" s="2">
        <v>10</v>
      </c>
      <c r="T192" s="2">
        <v>10</v>
      </c>
      <c r="U192" s="2">
        <v>10</v>
      </c>
      <c r="V192" s="2">
        <v>10</v>
      </c>
      <c r="W192" s="54">
        <f t="shared" si="1"/>
        <v>10</v>
      </c>
      <c r="X192" s="48"/>
      <c r="Y192" s="2"/>
      <c r="Z192" s="2"/>
      <c r="AA192" s="2">
        <v>10</v>
      </c>
      <c r="AB192" s="2">
        <v>10</v>
      </c>
      <c r="AC192" s="2">
        <v>10</v>
      </c>
      <c r="AD192" s="2">
        <v>10</v>
      </c>
      <c r="AE192" s="2">
        <v>10</v>
      </c>
      <c r="AF192" s="2">
        <v>10</v>
      </c>
      <c r="AG192" s="2">
        <v>10</v>
      </c>
      <c r="AH192" s="2">
        <v>10</v>
      </c>
      <c r="AI192" s="2">
        <v>10</v>
      </c>
      <c r="AJ192" s="2">
        <v>10</v>
      </c>
      <c r="AK192" s="3"/>
      <c r="AL192" s="3"/>
      <c r="AM192" s="3"/>
      <c r="AN192" s="3"/>
      <c r="AO192" s="3"/>
      <c r="AP192" s="3"/>
      <c r="AQ192" s="2" t="e">
        <f t="shared" ca="1" si="20"/>
        <v>#NAME?</v>
      </c>
      <c r="AR192" s="2">
        <v>10</v>
      </c>
      <c r="AS192" s="2">
        <v>10</v>
      </c>
      <c r="AT192" s="2">
        <v>10</v>
      </c>
      <c r="AU192" s="2">
        <v>10</v>
      </c>
      <c r="AV192" s="2">
        <v>10</v>
      </c>
      <c r="AW192" s="54">
        <f t="shared" si="3"/>
        <v>10</v>
      </c>
      <c r="AX192" s="48">
        <v>8</v>
      </c>
      <c r="AY192" s="2">
        <v>10</v>
      </c>
      <c r="AZ192" s="2">
        <v>10</v>
      </c>
      <c r="BA192" s="2">
        <v>10</v>
      </c>
      <c r="BB192" s="2">
        <v>10</v>
      </c>
      <c r="BC192" s="2">
        <v>9</v>
      </c>
      <c r="BD192" s="2">
        <v>9</v>
      </c>
      <c r="BE192" s="2">
        <v>9</v>
      </c>
      <c r="BF192" s="2">
        <v>9</v>
      </c>
      <c r="BG192" s="2">
        <v>9</v>
      </c>
      <c r="BH192" s="2">
        <v>9</v>
      </c>
      <c r="BI192" s="57">
        <v>9</v>
      </c>
      <c r="BJ192" s="2" t="e">
        <f t="shared" ca="1" si="21"/>
        <v>#NAME?</v>
      </c>
      <c r="BK192" s="5">
        <v>10</v>
      </c>
      <c r="BL192" s="5">
        <v>10</v>
      </c>
      <c r="BM192" s="5">
        <v>10</v>
      </c>
      <c r="BN192" s="5">
        <v>10</v>
      </c>
      <c r="BO192" s="5">
        <v>10</v>
      </c>
      <c r="BP192" s="54">
        <f t="shared" si="5"/>
        <v>10</v>
      </c>
      <c r="BQ192" s="49">
        <v>9</v>
      </c>
      <c r="BR192" s="49">
        <v>2</v>
      </c>
      <c r="BS192" s="49">
        <v>10</v>
      </c>
      <c r="BT192" s="49">
        <v>10</v>
      </c>
      <c r="BU192" s="49">
        <v>10</v>
      </c>
      <c r="BV192" s="49">
        <v>10</v>
      </c>
      <c r="BW192" s="49">
        <v>10</v>
      </c>
      <c r="BX192" s="49">
        <v>10</v>
      </c>
      <c r="BY192" s="49">
        <v>10</v>
      </c>
      <c r="BZ192" s="49">
        <v>10</v>
      </c>
      <c r="CA192" s="49">
        <v>10</v>
      </c>
      <c r="CB192" s="49">
        <v>10</v>
      </c>
      <c r="CC192" s="2" t="e">
        <f t="shared" ca="1" si="22"/>
        <v>#NAME?</v>
      </c>
      <c r="CD192" s="55"/>
      <c r="CE192" s="2"/>
      <c r="CF192" s="2">
        <v>8</v>
      </c>
      <c r="CG192" s="2">
        <v>8</v>
      </c>
      <c r="CH192" s="2">
        <v>8</v>
      </c>
      <c r="CI192" s="2">
        <v>8</v>
      </c>
      <c r="CJ192" s="2">
        <v>8</v>
      </c>
      <c r="CK192" s="2">
        <v>8</v>
      </c>
      <c r="CL192" s="2">
        <v>8</v>
      </c>
      <c r="CM192" s="2">
        <v>8</v>
      </c>
      <c r="CN192" s="2">
        <v>8</v>
      </c>
      <c r="CO192" s="2">
        <v>8</v>
      </c>
      <c r="CP192" s="2" t="e">
        <f t="shared" ca="1" si="23"/>
        <v>#NAME?</v>
      </c>
      <c r="CQ192" s="2">
        <v>8</v>
      </c>
      <c r="CR192" s="2">
        <v>8</v>
      </c>
      <c r="CS192" s="2">
        <v>8</v>
      </c>
      <c r="CT192" s="2">
        <v>8</v>
      </c>
      <c r="CU192" s="2">
        <v>8</v>
      </c>
      <c r="CV192" s="54">
        <f t="shared" si="8"/>
        <v>8</v>
      </c>
      <c r="CW192" s="55"/>
      <c r="CX192" s="3"/>
    </row>
    <row r="193" spans="1:102" ht="16.5" x14ac:dyDescent="0.55000000000000004">
      <c r="A193" s="17">
        <v>2</v>
      </c>
      <c r="B193" s="17" t="s">
        <v>5</v>
      </c>
      <c r="C193" s="23" t="s">
        <v>426</v>
      </c>
      <c r="D193" s="24" t="s">
        <v>427</v>
      </c>
      <c r="E193" s="48"/>
      <c r="F193" s="2">
        <v>5</v>
      </c>
      <c r="G193" s="2">
        <v>9</v>
      </c>
      <c r="H193" s="2">
        <v>9</v>
      </c>
      <c r="I193" s="2">
        <v>8</v>
      </c>
      <c r="J193" s="2">
        <v>7</v>
      </c>
      <c r="K193" s="2">
        <v>7</v>
      </c>
      <c r="L193" s="2">
        <f t="shared" ref="L193:P193" si="51">G193</f>
        <v>9</v>
      </c>
      <c r="M193" s="2">
        <f t="shared" si="51"/>
        <v>9</v>
      </c>
      <c r="N193" s="2">
        <f t="shared" si="51"/>
        <v>8</v>
      </c>
      <c r="O193" s="2">
        <f t="shared" si="51"/>
        <v>7</v>
      </c>
      <c r="P193" s="2">
        <f t="shared" si="51"/>
        <v>7</v>
      </c>
      <c r="Q193" s="2" t="e">
        <f t="shared" ca="1" si="19"/>
        <v>#NAME?</v>
      </c>
      <c r="R193" s="2">
        <v>10</v>
      </c>
      <c r="S193" s="2">
        <v>10</v>
      </c>
      <c r="T193" s="2">
        <v>9</v>
      </c>
      <c r="U193" s="2">
        <v>9</v>
      </c>
      <c r="V193" s="2">
        <v>10</v>
      </c>
      <c r="W193" s="54">
        <f t="shared" si="1"/>
        <v>10</v>
      </c>
      <c r="X193" s="48"/>
      <c r="Y193" s="2"/>
      <c r="Z193" s="2"/>
      <c r="AA193" s="2">
        <v>10</v>
      </c>
      <c r="AB193" s="2">
        <v>10</v>
      </c>
      <c r="AC193" s="2">
        <v>7</v>
      </c>
      <c r="AD193" s="2">
        <v>7</v>
      </c>
      <c r="AE193" s="2">
        <v>10</v>
      </c>
      <c r="AF193" s="2">
        <v>10</v>
      </c>
      <c r="AG193" s="2">
        <v>10</v>
      </c>
      <c r="AH193" s="2">
        <v>10</v>
      </c>
      <c r="AI193" s="2">
        <v>10</v>
      </c>
      <c r="AJ193" s="2">
        <v>10</v>
      </c>
      <c r="AK193" s="3"/>
      <c r="AL193" s="3"/>
      <c r="AM193" s="3"/>
      <c r="AN193" s="3"/>
      <c r="AO193" s="3"/>
      <c r="AP193" s="3"/>
      <c r="AQ193" s="2" t="e">
        <f t="shared" ca="1" si="20"/>
        <v>#NAME?</v>
      </c>
      <c r="AR193" s="2">
        <v>10</v>
      </c>
      <c r="AS193" s="2">
        <v>10</v>
      </c>
      <c r="AT193" s="2">
        <v>10</v>
      </c>
      <c r="AU193" s="2">
        <v>10</v>
      </c>
      <c r="AV193" s="2">
        <v>10</v>
      </c>
      <c r="AW193" s="54">
        <f t="shared" si="3"/>
        <v>10</v>
      </c>
      <c r="AX193" s="48">
        <v>8</v>
      </c>
      <c r="AY193" s="2">
        <v>10</v>
      </c>
      <c r="AZ193" s="2">
        <v>10</v>
      </c>
      <c r="BA193" s="2">
        <v>0</v>
      </c>
      <c r="BB193" s="2">
        <v>5</v>
      </c>
      <c r="BC193" s="2">
        <v>5</v>
      </c>
      <c r="BD193" s="2">
        <v>2</v>
      </c>
      <c r="BE193" s="2">
        <v>2</v>
      </c>
      <c r="BF193" s="2">
        <v>5</v>
      </c>
      <c r="BG193" s="2">
        <v>5</v>
      </c>
      <c r="BH193" s="2">
        <v>5</v>
      </c>
      <c r="BI193" s="57">
        <v>5</v>
      </c>
      <c r="BJ193" s="2" t="e">
        <f t="shared" ca="1" si="21"/>
        <v>#NAME?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4">
        <f t="shared" si="5"/>
        <v>0</v>
      </c>
      <c r="BQ193" s="5"/>
      <c r="BR193" s="5"/>
      <c r="BS193" s="5">
        <v>7</v>
      </c>
      <c r="BT193" s="5">
        <v>8</v>
      </c>
      <c r="BU193" s="5">
        <v>8</v>
      </c>
      <c r="BV193" s="5">
        <v>7</v>
      </c>
      <c r="BW193" s="5">
        <v>8</v>
      </c>
      <c r="BX193" s="5">
        <v>8</v>
      </c>
      <c r="BY193" s="5">
        <v>7</v>
      </c>
      <c r="BZ193" s="5">
        <v>7</v>
      </c>
      <c r="CA193" s="5">
        <v>8</v>
      </c>
      <c r="CB193" s="5">
        <v>7</v>
      </c>
      <c r="CC193" s="2" t="e">
        <f t="shared" ca="1" si="22"/>
        <v>#NAME?</v>
      </c>
      <c r="CD193" s="55"/>
      <c r="CE193" s="2"/>
      <c r="CF193" s="2">
        <v>7</v>
      </c>
      <c r="CG193" s="2">
        <v>7</v>
      </c>
      <c r="CH193" s="2">
        <v>7</v>
      </c>
      <c r="CI193" s="2">
        <v>7</v>
      </c>
      <c r="CJ193" s="2">
        <v>7</v>
      </c>
      <c r="CK193" s="2">
        <v>7</v>
      </c>
      <c r="CL193" s="2">
        <v>7</v>
      </c>
      <c r="CM193" s="2">
        <v>7</v>
      </c>
      <c r="CN193" s="2">
        <v>7</v>
      </c>
      <c r="CO193" s="2">
        <v>7</v>
      </c>
      <c r="CP193" s="2" t="e">
        <f t="shared" ca="1" si="23"/>
        <v>#NAME?</v>
      </c>
      <c r="CQ193" s="2">
        <v>7</v>
      </c>
      <c r="CR193" s="2">
        <v>7</v>
      </c>
      <c r="CS193" s="2">
        <v>7</v>
      </c>
      <c r="CT193" s="2">
        <v>7</v>
      </c>
      <c r="CU193" s="2">
        <v>7</v>
      </c>
      <c r="CV193" s="54">
        <f t="shared" si="8"/>
        <v>7</v>
      </c>
      <c r="CW193" s="55"/>
      <c r="CX193" s="3"/>
    </row>
    <row r="194" spans="1:102" ht="16.5" x14ac:dyDescent="0.55000000000000004">
      <c r="A194" s="17">
        <v>2</v>
      </c>
      <c r="B194" s="17" t="s">
        <v>5</v>
      </c>
      <c r="C194" s="23" t="s">
        <v>428</v>
      </c>
      <c r="D194" s="24" t="s">
        <v>429</v>
      </c>
      <c r="E194" s="48"/>
      <c r="F194" s="2">
        <v>3</v>
      </c>
      <c r="G194" s="2">
        <v>7</v>
      </c>
      <c r="H194" s="2">
        <v>7</v>
      </c>
      <c r="I194" s="2">
        <v>7</v>
      </c>
      <c r="J194" s="2">
        <v>7</v>
      </c>
      <c r="K194" s="2">
        <v>7</v>
      </c>
      <c r="L194" s="2">
        <f t="shared" ref="L194:P194" si="52">G194</f>
        <v>7</v>
      </c>
      <c r="M194" s="2">
        <f t="shared" si="52"/>
        <v>7</v>
      </c>
      <c r="N194" s="2">
        <f t="shared" si="52"/>
        <v>7</v>
      </c>
      <c r="O194" s="2">
        <f t="shared" si="52"/>
        <v>7</v>
      </c>
      <c r="P194" s="2">
        <f t="shared" si="52"/>
        <v>7</v>
      </c>
      <c r="Q194" s="2" t="e">
        <f t="shared" ca="1" si="19"/>
        <v>#NAME?</v>
      </c>
      <c r="R194" s="2">
        <v>9</v>
      </c>
      <c r="S194" s="2">
        <v>9</v>
      </c>
      <c r="T194" s="2">
        <v>9</v>
      </c>
      <c r="U194" s="2">
        <v>9</v>
      </c>
      <c r="V194" s="2">
        <v>9</v>
      </c>
      <c r="W194" s="54">
        <f t="shared" si="1"/>
        <v>9</v>
      </c>
      <c r="X194" s="48"/>
      <c r="Y194" s="2"/>
      <c r="Z194" s="2"/>
      <c r="AA194" s="2">
        <v>10</v>
      </c>
      <c r="AB194" s="2">
        <v>10</v>
      </c>
      <c r="AC194" s="2">
        <v>10</v>
      </c>
      <c r="AD194" s="2">
        <v>10</v>
      </c>
      <c r="AE194" s="2">
        <v>10</v>
      </c>
      <c r="AF194" s="2">
        <v>10</v>
      </c>
      <c r="AG194" s="2">
        <v>10</v>
      </c>
      <c r="AH194" s="2">
        <v>10</v>
      </c>
      <c r="AI194" s="2">
        <v>10</v>
      </c>
      <c r="AJ194" s="2">
        <v>10</v>
      </c>
      <c r="AK194" s="3"/>
      <c r="AL194" s="3"/>
      <c r="AM194" s="3"/>
      <c r="AN194" s="3"/>
      <c r="AO194" s="3"/>
      <c r="AP194" s="3"/>
      <c r="AQ194" s="2" t="e">
        <f t="shared" ca="1" si="20"/>
        <v>#NAME?</v>
      </c>
      <c r="AR194" s="2">
        <v>10</v>
      </c>
      <c r="AS194" s="2">
        <v>10</v>
      </c>
      <c r="AT194" s="2">
        <v>10</v>
      </c>
      <c r="AU194" s="2">
        <v>10</v>
      </c>
      <c r="AV194" s="2">
        <v>10</v>
      </c>
      <c r="AW194" s="54">
        <f t="shared" si="3"/>
        <v>10</v>
      </c>
      <c r="AX194" s="48">
        <v>7</v>
      </c>
      <c r="AY194" s="2">
        <v>10</v>
      </c>
      <c r="AZ194" s="2">
        <v>10</v>
      </c>
      <c r="BA194" s="2">
        <v>10</v>
      </c>
      <c r="BB194" s="2">
        <v>10</v>
      </c>
      <c r="BC194" s="2">
        <v>10</v>
      </c>
      <c r="BD194" s="2">
        <v>10</v>
      </c>
      <c r="BE194" s="2">
        <v>10</v>
      </c>
      <c r="BF194" s="2">
        <v>10</v>
      </c>
      <c r="BG194" s="2">
        <v>10</v>
      </c>
      <c r="BH194" s="2">
        <v>10</v>
      </c>
      <c r="BI194" s="57">
        <v>10</v>
      </c>
      <c r="BJ194" s="2" t="e">
        <f t="shared" ca="1" si="21"/>
        <v>#NAME?</v>
      </c>
      <c r="BK194" s="5">
        <v>10</v>
      </c>
      <c r="BL194" s="5">
        <v>10</v>
      </c>
      <c r="BM194" s="5">
        <v>10</v>
      </c>
      <c r="BN194" s="5">
        <v>10</v>
      </c>
      <c r="BO194" s="5">
        <v>10</v>
      </c>
      <c r="BP194" s="54">
        <f t="shared" si="5"/>
        <v>10</v>
      </c>
      <c r="BQ194" s="5"/>
      <c r="BR194" s="5"/>
      <c r="BS194" s="5">
        <v>10</v>
      </c>
      <c r="BT194" s="5">
        <v>10</v>
      </c>
      <c r="BU194" s="5">
        <v>10</v>
      </c>
      <c r="BV194" s="5">
        <v>10</v>
      </c>
      <c r="BW194" s="5">
        <v>10</v>
      </c>
      <c r="BX194" s="5">
        <v>9</v>
      </c>
      <c r="BY194" s="5">
        <v>9</v>
      </c>
      <c r="BZ194" s="5">
        <v>9</v>
      </c>
      <c r="CA194" s="5">
        <v>10</v>
      </c>
      <c r="CB194" s="5">
        <v>10</v>
      </c>
      <c r="CC194" s="2" t="e">
        <f t="shared" ca="1" si="22"/>
        <v>#NAME?</v>
      </c>
      <c r="CD194" s="55"/>
      <c r="CE194" s="2"/>
      <c r="CF194" s="2">
        <v>7</v>
      </c>
      <c r="CG194" s="2">
        <v>7</v>
      </c>
      <c r="CH194" s="2">
        <v>7</v>
      </c>
      <c r="CI194" s="2">
        <v>7</v>
      </c>
      <c r="CJ194" s="2">
        <v>7</v>
      </c>
      <c r="CK194" s="2">
        <v>7</v>
      </c>
      <c r="CL194" s="2">
        <v>7</v>
      </c>
      <c r="CM194" s="2">
        <v>7</v>
      </c>
      <c r="CN194" s="2">
        <v>7</v>
      </c>
      <c r="CO194" s="2">
        <v>7</v>
      </c>
      <c r="CP194" s="2" t="e">
        <f t="shared" ca="1" si="23"/>
        <v>#NAME?</v>
      </c>
      <c r="CQ194" s="2">
        <v>7</v>
      </c>
      <c r="CR194" s="2">
        <v>7</v>
      </c>
      <c r="CS194" s="2">
        <v>7</v>
      </c>
      <c r="CT194" s="2">
        <v>7</v>
      </c>
      <c r="CU194" s="2">
        <v>7</v>
      </c>
      <c r="CV194" s="54">
        <f t="shared" si="8"/>
        <v>7</v>
      </c>
      <c r="CW194" s="55"/>
      <c r="CX194" s="3"/>
    </row>
    <row r="195" spans="1:102" ht="16.5" x14ac:dyDescent="0.55000000000000004">
      <c r="A195" s="17">
        <v>2</v>
      </c>
      <c r="B195" s="17" t="s">
        <v>5</v>
      </c>
      <c r="C195" s="23" t="s">
        <v>430</v>
      </c>
      <c r="D195" s="24" t="s">
        <v>431</v>
      </c>
      <c r="E195" s="48"/>
      <c r="F195" s="48">
        <v>3</v>
      </c>
      <c r="G195" s="2">
        <v>9</v>
      </c>
      <c r="H195" s="2">
        <v>9</v>
      </c>
      <c r="I195" s="2">
        <v>6</v>
      </c>
      <c r="J195" s="2">
        <v>6</v>
      </c>
      <c r="K195" s="2">
        <v>6</v>
      </c>
      <c r="L195" s="2">
        <f t="shared" ref="L195:P195" si="53">G195</f>
        <v>9</v>
      </c>
      <c r="M195" s="2">
        <f t="shared" si="53"/>
        <v>9</v>
      </c>
      <c r="N195" s="2">
        <f t="shared" si="53"/>
        <v>6</v>
      </c>
      <c r="O195" s="2">
        <f t="shared" si="53"/>
        <v>6</v>
      </c>
      <c r="P195" s="2">
        <f t="shared" si="53"/>
        <v>6</v>
      </c>
      <c r="Q195" s="2" t="e">
        <f t="shared" ca="1" si="19"/>
        <v>#NAME?</v>
      </c>
      <c r="R195" s="2">
        <v>9</v>
      </c>
      <c r="S195" s="2">
        <v>8</v>
      </c>
      <c r="T195" s="2">
        <v>8</v>
      </c>
      <c r="U195" s="2">
        <v>8</v>
      </c>
      <c r="V195" s="2">
        <v>9</v>
      </c>
      <c r="W195" s="54">
        <f t="shared" si="1"/>
        <v>9</v>
      </c>
      <c r="X195" s="48"/>
      <c r="Y195" s="2"/>
      <c r="Z195" s="2"/>
      <c r="AA195" s="2">
        <v>10</v>
      </c>
      <c r="AB195" s="2">
        <v>10</v>
      </c>
      <c r="AC195" s="2">
        <v>7</v>
      </c>
      <c r="AD195" s="2">
        <v>7</v>
      </c>
      <c r="AE195" s="2">
        <v>10</v>
      </c>
      <c r="AF195" s="2">
        <v>10</v>
      </c>
      <c r="AG195" s="2">
        <v>10</v>
      </c>
      <c r="AH195" s="2">
        <v>10</v>
      </c>
      <c r="AI195" s="2">
        <v>10</v>
      </c>
      <c r="AJ195" s="2">
        <v>10</v>
      </c>
      <c r="AK195" s="3"/>
      <c r="AL195" s="3"/>
      <c r="AM195" s="3"/>
      <c r="AN195" s="3"/>
      <c r="AO195" s="3"/>
      <c r="AP195" s="3"/>
      <c r="AQ195" s="2" t="e">
        <f t="shared" ca="1" si="20"/>
        <v>#NAME?</v>
      </c>
      <c r="AR195" s="2">
        <v>10</v>
      </c>
      <c r="AS195" s="2">
        <v>10</v>
      </c>
      <c r="AT195" s="2">
        <v>10</v>
      </c>
      <c r="AU195" s="2">
        <v>10</v>
      </c>
      <c r="AV195" s="2">
        <v>10</v>
      </c>
      <c r="AW195" s="54">
        <f t="shared" si="3"/>
        <v>10</v>
      </c>
      <c r="AX195" s="48">
        <v>8</v>
      </c>
      <c r="AY195" s="2">
        <v>10</v>
      </c>
      <c r="AZ195" s="2">
        <v>10</v>
      </c>
      <c r="BA195" s="2">
        <v>5</v>
      </c>
      <c r="BB195" s="2">
        <v>5</v>
      </c>
      <c r="BC195" s="2">
        <v>5</v>
      </c>
      <c r="BD195" s="2">
        <v>5</v>
      </c>
      <c r="BE195" s="2">
        <v>5</v>
      </c>
      <c r="BF195" s="2">
        <v>5</v>
      </c>
      <c r="BG195" s="2">
        <v>5</v>
      </c>
      <c r="BH195" s="2">
        <v>5</v>
      </c>
      <c r="BI195" s="57">
        <v>0</v>
      </c>
      <c r="BJ195" s="2" t="e">
        <f t="shared" ca="1" si="21"/>
        <v>#NAME?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4">
        <f t="shared" si="5"/>
        <v>0</v>
      </c>
      <c r="BQ195" s="5"/>
      <c r="BR195" s="5"/>
      <c r="BS195" s="5">
        <v>7</v>
      </c>
      <c r="BT195" s="5">
        <v>7</v>
      </c>
      <c r="BU195" s="5">
        <v>8</v>
      </c>
      <c r="BV195" s="5">
        <v>7</v>
      </c>
      <c r="BW195" s="5">
        <v>7</v>
      </c>
      <c r="BX195" s="5">
        <v>8</v>
      </c>
      <c r="BY195" s="5">
        <v>8</v>
      </c>
      <c r="BZ195" s="5">
        <v>8</v>
      </c>
      <c r="CA195" s="5">
        <v>8</v>
      </c>
      <c r="CB195" s="5">
        <v>8</v>
      </c>
      <c r="CC195" s="2" t="e">
        <f t="shared" ca="1" si="22"/>
        <v>#NAME?</v>
      </c>
      <c r="CD195" s="55"/>
      <c r="CE195" s="2"/>
      <c r="CF195" s="2">
        <v>6</v>
      </c>
      <c r="CG195" s="2">
        <v>7</v>
      </c>
      <c r="CH195" s="2">
        <v>7</v>
      </c>
      <c r="CI195" s="2">
        <v>7</v>
      </c>
      <c r="CJ195" s="2">
        <v>6</v>
      </c>
      <c r="CK195" s="2">
        <v>6</v>
      </c>
      <c r="CL195" s="2">
        <v>6</v>
      </c>
      <c r="CM195" s="2">
        <v>7</v>
      </c>
      <c r="CN195" s="2">
        <v>6</v>
      </c>
      <c r="CO195" s="2">
        <v>7</v>
      </c>
      <c r="CP195" s="2" t="e">
        <f t="shared" ca="1" si="23"/>
        <v>#NAME?</v>
      </c>
      <c r="CQ195" s="2">
        <v>6</v>
      </c>
      <c r="CR195" s="2">
        <v>6</v>
      </c>
      <c r="CS195" s="2">
        <v>6</v>
      </c>
      <c r="CT195" s="2">
        <v>6</v>
      </c>
      <c r="CU195" s="2">
        <v>6</v>
      </c>
      <c r="CV195" s="54">
        <f t="shared" si="8"/>
        <v>6</v>
      </c>
      <c r="CW195" s="55"/>
      <c r="CX195" s="3"/>
    </row>
    <row r="196" spans="1:102" ht="16.5" x14ac:dyDescent="0.55000000000000004">
      <c r="A196" s="17">
        <v>2</v>
      </c>
      <c r="B196" s="17" t="s">
        <v>5</v>
      </c>
      <c r="C196" s="23" t="s">
        <v>432</v>
      </c>
      <c r="D196" s="24" t="s">
        <v>433</v>
      </c>
      <c r="E196" s="48"/>
      <c r="F196" s="2">
        <v>4</v>
      </c>
      <c r="G196" s="2">
        <v>7</v>
      </c>
      <c r="H196" s="2">
        <v>6</v>
      </c>
      <c r="I196" s="2">
        <v>6</v>
      </c>
      <c r="J196" s="2">
        <v>6</v>
      </c>
      <c r="K196" s="2">
        <v>7</v>
      </c>
      <c r="L196" s="2">
        <f t="shared" ref="L196:P196" si="54">G196</f>
        <v>7</v>
      </c>
      <c r="M196" s="2">
        <f t="shared" si="54"/>
        <v>6</v>
      </c>
      <c r="N196" s="2">
        <f t="shared" si="54"/>
        <v>6</v>
      </c>
      <c r="O196" s="2">
        <f t="shared" si="54"/>
        <v>6</v>
      </c>
      <c r="P196" s="2">
        <f t="shared" si="54"/>
        <v>7</v>
      </c>
      <c r="Q196" s="2" t="e">
        <f t="shared" ca="1" si="19"/>
        <v>#NAME?</v>
      </c>
      <c r="R196" s="2">
        <v>9</v>
      </c>
      <c r="S196" s="2">
        <v>8</v>
      </c>
      <c r="T196" s="2">
        <v>8</v>
      </c>
      <c r="U196" s="2">
        <v>9</v>
      </c>
      <c r="V196" s="2">
        <v>9</v>
      </c>
      <c r="W196" s="54">
        <f t="shared" si="1"/>
        <v>9</v>
      </c>
      <c r="X196" s="48"/>
      <c r="Y196" s="2"/>
      <c r="Z196" s="2"/>
      <c r="AA196" s="2">
        <v>0</v>
      </c>
      <c r="AB196" s="2">
        <v>0</v>
      </c>
      <c r="AC196" s="2">
        <v>4</v>
      </c>
      <c r="AD196" s="2">
        <v>4</v>
      </c>
      <c r="AE196" s="2">
        <v>10</v>
      </c>
      <c r="AF196" s="2">
        <v>10</v>
      </c>
      <c r="AG196" s="2">
        <v>10</v>
      </c>
      <c r="AH196" s="2">
        <v>10</v>
      </c>
      <c r="AI196" s="2">
        <v>10</v>
      </c>
      <c r="AJ196" s="2">
        <v>10</v>
      </c>
      <c r="AK196" s="3"/>
      <c r="AL196" s="3"/>
      <c r="AM196" s="3"/>
      <c r="AN196" s="3"/>
      <c r="AO196" s="3"/>
      <c r="AP196" s="3"/>
      <c r="AQ196" s="2" t="e">
        <f t="shared" ca="1" si="20"/>
        <v>#NAME?</v>
      </c>
      <c r="AR196" s="2">
        <v>10</v>
      </c>
      <c r="AS196" s="2">
        <v>10</v>
      </c>
      <c r="AT196" s="2">
        <v>10</v>
      </c>
      <c r="AU196" s="2">
        <v>10</v>
      </c>
      <c r="AV196" s="2">
        <v>10</v>
      </c>
      <c r="AW196" s="54">
        <f t="shared" si="3"/>
        <v>10</v>
      </c>
      <c r="AX196" s="48">
        <v>7</v>
      </c>
      <c r="AY196" s="2">
        <v>10</v>
      </c>
      <c r="AZ196" s="2">
        <v>10</v>
      </c>
      <c r="BA196" s="2">
        <v>5</v>
      </c>
      <c r="BB196" s="2">
        <v>5</v>
      </c>
      <c r="BC196" s="2">
        <v>5</v>
      </c>
      <c r="BD196" s="2">
        <v>5</v>
      </c>
      <c r="BE196" s="2">
        <v>5</v>
      </c>
      <c r="BF196" s="2">
        <v>5</v>
      </c>
      <c r="BG196" s="2">
        <v>5</v>
      </c>
      <c r="BH196" s="2">
        <v>5</v>
      </c>
      <c r="BI196" s="57">
        <v>0</v>
      </c>
      <c r="BJ196" s="2" t="e">
        <f t="shared" ca="1" si="21"/>
        <v>#NAME?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4">
        <f t="shared" si="5"/>
        <v>0</v>
      </c>
      <c r="BQ196" s="5"/>
      <c r="BR196" s="5"/>
      <c r="BS196" s="5">
        <v>10</v>
      </c>
      <c r="BT196" s="5">
        <v>9</v>
      </c>
      <c r="BU196" s="5">
        <v>9</v>
      </c>
      <c r="BV196" s="5">
        <v>9</v>
      </c>
      <c r="BW196" s="5">
        <v>10</v>
      </c>
      <c r="BX196" s="5">
        <v>10</v>
      </c>
      <c r="BY196" s="5">
        <v>10</v>
      </c>
      <c r="BZ196" s="5">
        <v>9</v>
      </c>
      <c r="CA196" s="5">
        <v>9</v>
      </c>
      <c r="CB196" s="5">
        <v>9</v>
      </c>
      <c r="CC196" s="2" t="e">
        <f t="shared" ca="1" si="22"/>
        <v>#NAME?</v>
      </c>
      <c r="CD196" s="55"/>
      <c r="CE196" s="2"/>
      <c r="CF196" s="2">
        <v>7</v>
      </c>
      <c r="CG196" s="2">
        <v>7</v>
      </c>
      <c r="CH196" s="2">
        <v>7</v>
      </c>
      <c r="CI196" s="2">
        <v>7</v>
      </c>
      <c r="CJ196" s="2">
        <v>6</v>
      </c>
      <c r="CK196" s="2">
        <v>6</v>
      </c>
      <c r="CL196" s="2">
        <v>6</v>
      </c>
      <c r="CM196" s="2">
        <v>6</v>
      </c>
      <c r="CN196" s="2">
        <v>7</v>
      </c>
      <c r="CO196" s="2">
        <v>7</v>
      </c>
      <c r="CP196" s="2" t="e">
        <f t="shared" ca="1" si="23"/>
        <v>#NAME?</v>
      </c>
      <c r="CQ196" s="2">
        <v>6</v>
      </c>
      <c r="CR196" s="2">
        <v>6</v>
      </c>
      <c r="CS196" s="2">
        <v>6</v>
      </c>
      <c r="CT196" s="2">
        <v>6</v>
      </c>
      <c r="CU196" s="2">
        <v>7</v>
      </c>
      <c r="CV196" s="54">
        <f t="shared" si="8"/>
        <v>7</v>
      </c>
      <c r="CW196" s="55"/>
      <c r="CX196" s="3"/>
    </row>
    <row r="197" spans="1:102" ht="16.5" x14ac:dyDescent="0.55000000000000004">
      <c r="A197" s="17">
        <v>2</v>
      </c>
      <c r="B197" s="17" t="s">
        <v>5</v>
      </c>
      <c r="C197" s="23" t="s">
        <v>434</v>
      </c>
      <c r="D197" s="24" t="s">
        <v>6</v>
      </c>
      <c r="E197" s="48"/>
      <c r="F197" s="2">
        <v>19</v>
      </c>
      <c r="G197" s="2">
        <v>9</v>
      </c>
      <c r="H197" s="2">
        <v>9</v>
      </c>
      <c r="I197" s="2">
        <v>9</v>
      </c>
      <c r="J197" s="2">
        <v>9</v>
      </c>
      <c r="K197" s="2">
        <v>8</v>
      </c>
      <c r="L197" s="2">
        <f t="shared" ref="L197:P197" si="55">G197</f>
        <v>9</v>
      </c>
      <c r="M197" s="2">
        <f t="shared" si="55"/>
        <v>9</v>
      </c>
      <c r="N197" s="2">
        <f t="shared" si="55"/>
        <v>9</v>
      </c>
      <c r="O197" s="2">
        <f t="shared" si="55"/>
        <v>9</v>
      </c>
      <c r="P197" s="2">
        <f t="shared" si="55"/>
        <v>8</v>
      </c>
      <c r="Q197" s="2" t="e">
        <f t="shared" ca="1" si="19"/>
        <v>#NAME?</v>
      </c>
      <c r="R197" s="2">
        <v>10</v>
      </c>
      <c r="S197" s="2">
        <v>10</v>
      </c>
      <c r="T197" s="2">
        <v>10</v>
      </c>
      <c r="U197" s="2">
        <v>10</v>
      </c>
      <c r="V197" s="2">
        <v>10</v>
      </c>
      <c r="W197" s="54">
        <f t="shared" si="1"/>
        <v>10</v>
      </c>
      <c r="X197" s="48"/>
      <c r="Y197" s="2"/>
      <c r="Z197" s="2"/>
      <c r="AA197" s="2">
        <v>7</v>
      </c>
      <c r="AB197" s="2">
        <v>7</v>
      </c>
      <c r="AC197" s="2">
        <v>10</v>
      </c>
      <c r="AD197" s="2">
        <v>10</v>
      </c>
      <c r="AE197" s="2">
        <v>10</v>
      </c>
      <c r="AF197" s="2">
        <v>10</v>
      </c>
      <c r="AG197" s="2">
        <v>10</v>
      </c>
      <c r="AH197" s="2">
        <v>10</v>
      </c>
      <c r="AI197" s="2">
        <v>10</v>
      </c>
      <c r="AJ197" s="2">
        <v>10</v>
      </c>
      <c r="AK197" s="3"/>
      <c r="AL197" s="3"/>
      <c r="AM197" s="3"/>
      <c r="AN197" s="3"/>
      <c r="AO197" s="3"/>
      <c r="AP197" s="3"/>
      <c r="AQ197" s="2" t="e">
        <f t="shared" ca="1" si="20"/>
        <v>#NAME?</v>
      </c>
      <c r="AR197" s="2">
        <v>10</v>
      </c>
      <c r="AS197" s="2">
        <v>10</v>
      </c>
      <c r="AT197" s="2">
        <v>10</v>
      </c>
      <c r="AU197" s="2">
        <v>10</v>
      </c>
      <c r="AV197" s="2">
        <v>10</v>
      </c>
      <c r="AW197" s="54">
        <f t="shared" si="3"/>
        <v>10</v>
      </c>
      <c r="AX197" s="48">
        <v>6</v>
      </c>
      <c r="AY197" s="2">
        <v>10</v>
      </c>
      <c r="AZ197" s="2">
        <v>10</v>
      </c>
      <c r="BA197" s="2">
        <v>10</v>
      </c>
      <c r="BB197" s="2">
        <v>10</v>
      </c>
      <c r="BC197" s="2">
        <v>10</v>
      </c>
      <c r="BD197" s="2">
        <v>10</v>
      </c>
      <c r="BE197" s="2">
        <v>10</v>
      </c>
      <c r="BF197" s="2">
        <v>10</v>
      </c>
      <c r="BG197" s="2">
        <v>10</v>
      </c>
      <c r="BH197" s="2">
        <v>10</v>
      </c>
      <c r="BI197" s="57">
        <v>10</v>
      </c>
      <c r="BJ197" s="2" t="e">
        <f t="shared" ca="1" si="21"/>
        <v>#NAME?</v>
      </c>
      <c r="BK197" s="5">
        <v>10</v>
      </c>
      <c r="BL197" s="5">
        <v>10</v>
      </c>
      <c r="BM197" s="5">
        <v>10</v>
      </c>
      <c r="BN197" s="5">
        <v>9</v>
      </c>
      <c r="BO197" s="5">
        <v>8</v>
      </c>
      <c r="BP197" s="54">
        <f t="shared" si="5"/>
        <v>10</v>
      </c>
      <c r="BQ197" s="5"/>
      <c r="BR197" s="5"/>
      <c r="BS197" s="5">
        <v>10</v>
      </c>
      <c r="BT197" s="5">
        <v>10</v>
      </c>
      <c r="BU197" s="5">
        <v>10</v>
      </c>
      <c r="BV197" s="5">
        <v>10</v>
      </c>
      <c r="BW197" s="5">
        <v>10</v>
      </c>
      <c r="BX197" s="5">
        <v>10</v>
      </c>
      <c r="BY197" s="5">
        <v>10</v>
      </c>
      <c r="BZ197" s="5">
        <v>10</v>
      </c>
      <c r="CA197" s="5">
        <v>10</v>
      </c>
      <c r="CB197" s="5">
        <v>10</v>
      </c>
      <c r="CC197" s="2" t="e">
        <f t="shared" ca="1" si="22"/>
        <v>#NAME?</v>
      </c>
      <c r="CD197" s="55"/>
      <c r="CE197" s="2"/>
      <c r="CF197" s="2">
        <v>9</v>
      </c>
      <c r="CG197" s="2">
        <v>9</v>
      </c>
      <c r="CH197" s="2">
        <v>9</v>
      </c>
      <c r="CI197" s="2">
        <v>9</v>
      </c>
      <c r="CJ197" s="2">
        <v>8</v>
      </c>
      <c r="CK197" s="2">
        <v>8</v>
      </c>
      <c r="CL197" s="2">
        <v>8</v>
      </c>
      <c r="CM197" s="2">
        <v>8</v>
      </c>
      <c r="CN197" s="2">
        <v>8</v>
      </c>
      <c r="CO197" s="2">
        <v>9</v>
      </c>
      <c r="CP197" s="2" t="e">
        <f t="shared" ca="1" si="23"/>
        <v>#NAME?</v>
      </c>
      <c r="CQ197" s="2">
        <v>9</v>
      </c>
      <c r="CR197" s="2">
        <v>9</v>
      </c>
      <c r="CS197" s="2">
        <v>9</v>
      </c>
      <c r="CT197" s="2">
        <v>9</v>
      </c>
      <c r="CU197" s="2">
        <v>9</v>
      </c>
      <c r="CV197" s="54">
        <f t="shared" si="8"/>
        <v>9</v>
      </c>
      <c r="CW197" s="55"/>
      <c r="CX197" s="3"/>
    </row>
    <row r="198" spans="1:102" ht="16.5" x14ac:dyDescent="0.55000000000000004">
      <c r="A198" s="17">
        <v>2</v>
      </c>
      <c r="B198" s="17" t="s">
        <v>5</v>
      </c>
      <c r="C198" s="23" t="s">
        <v>435</v>
      </c>
      <c r="D198" s="24" t="s">
        <v>436</v>
      </c>
      <c r="E198" s="48"/>
      <c r="F198" s="2" t="s">
        <v>31</v>
      </c>
      <c r="G198" s="2">
        <v>4</v>
      </c>
      <c r="H198" s="2">
        <v>4</v>
      </c>
      <c r="I198" s="2">
        <v>4</v>
      </c>
      <c r="J198" s="2">
        <v>4</v>
      </c>
      <c r="K198" s="2">
        <v>4</v>
      </c>
      <c r="L198" s="2">
        <f t="shared" ref="L198:P198" si="56">G198</f>
        <v>4</v>
      </c>
      <c r="M198" s="2">
        <f t="shared" si="56"/>
        <v>4</v>
      </c>
      <c r="N198" s="2">
        <f t="shared" si="56"/>
        <v>4</v>
      </c>
      <c r="O198" s="2">
        <f t="shared" si="56"/>
        <v>4</v>
      </c>
      <c r="P198" s="2">
        <f t="shared" si="56"/>
        <v>4</v>
      </c>
      <c r="Q198" s="2" t="e">
        <f t="shared" ca="1" si="19"/>
        <v>#NAME?</v>
      </c>
      <c r="R198" s="2">
        <v>6</v>
      </c>
      <c r="S198" s="2">
        <v>6</v>
      </c>
      <c r="T198" s="2">
        <v>6</v>
      </c>
      <c r="U198" s="2">
        <v>7</v>
      </c>
      <c r="V198" s="2">
        <v>7</v>
      </c>
      <c r="W198" s="54">
        <f t="shared" si="1"/>
        <v>7</v>
      </c>
      <c r="X198" s="48"/>
      <c r="Y198" s="2"/>
      <c r="Z198" s="2"/>
      <c r="AA198" s="2">
        <v>0</v>
      </c>
      <c r="AB198" s="2">
        <v>0</v>
      </c>
      <c r="AC198" s="2">
        <v>4</v>
      </c>
      <c r="AD198" s="2">
        <v>4</v>
      </c>
      <c r="AE198" s="2">
        <v>10</v>
      </c>
      <c r="AF198" s="2">
        <v>10</v>
      </c>
      <c r="AG198" s="2">
        <v>10</v>
      </c>
      <c r="AH198" s="2">
        <v>10</v>
      </c>
      <c r="AI198" s="2">
        <v>10</v>
      </c>
      <c r="AJ198" s="2">
        <v>10</v>
      </c>
      <c r="AK198" s="3"/>
      <c r="AL198" s="3"/>
      <c r="AM198" s="3"/>
      <c r="AN198" s="3"/>
      <c r="AO198" s="3"/>
      <c r="AP198" s="3"/>
      <c r="AQ198" s="2" t="e">
        <f t="shared" ca="1" si="20"/>
        <v>#NAME?</v>
      </c>
      <c r="AR198" s="2">
        <v>0</v>
      </c>
      <c r="AS198" s="2">
        <v>10</v>
      </c>
      <c r="AT198" s="2">
        <v>5</v>
      </c>
      <c r="AU198" s="2">
        <v>10</v>
      </c>
      <c r="AV198" s="2">
        <v>10</v>
      </c>
      <c r="AW198" s="54">
        <f t="shared" si="3"/>
        <v>7</v>
      </c>
      <c r="AX198" s="48">
        <v>7</v>
      </c>
      <c r="AY198" s="2">
        <v>10</v>
      </c>
      <c r="AZ198" s="2">
        <v>10</v>
      </c>
      <c r="BA198" s="2">
        <v>5</v>
      </c>
      <c r="BB198" s="2">
        <v>5</v>
      </c>
      <c r="BC198" s="2">
        <v>5</v>
      </c>
      <c r="BD198" s="2">
        <v>5</v>
      </c>
      <c r="BE198" s="2">
        <v>5</v>
      </c>
      <c r="BF198" s="2">
        <v>5</v>
      </c>
      <c r="BG198" s="2">
        <v>5</v>
      </c>
      <c r="BH198" s="2">
        <v>5</v>
      </c>
      <c r="BI198" s="57">
        <v>5</v>
      </c>
      <c r="BJ198" s="2" t="e">
        <f t="shared" ca="1" si="21"/>
        <v>#NAME?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4">
        <f t="shared" si="5"/>
        <v>0</v>
      </c>
      <c r="BQ198" s="5"/>
      <c r="BR198" s="5"/>
      <c r="BS198" s="5" t="s">
        <v>31</v>
      </c>
      <c r="BT198" s="5" t="s">
        <v>31</v>
      </c>
      <c r="BU198" s="5" t="s">
        <v>31</v>
      </c>
      <c r="BV198" s="5" t="s">
        <v>31</v>
      </c>
      <c r="BW198" s="5" t="s">
        <v>31</v>
      </c>
      <c r="BX198" s="5" t="s">
        <v>31</v>
      </c>
      <c r="BY198" s="5" t="s">
        <v>31</v>
      </c>
      <c r="BZ198" s="5" t="s">
        <v>31</v>
      </c>
      <c r="CA198" s="5" t="s">
        <v>31</v>
      </c>
      <c r="CB198" s="5" t="s">
        <v>31</v>
      </c>
      <c r="CC198" s="2" t="e">
        <f t="shared" ca="1" si="22"/>
        <v>#NAME?</v>
      </c>
      <c r="CD198" s="55"/>
      <c r="CE198" s="2"/>
      <c r="CF198" s="2">
        <v>6</v>
      </c>
      <c r="CG198" s="2">
        <v>6</v>
      </c>
      <c r="CH198" s="2">
        <v>6</v>
      </c>
      <c r="CI198" s="2">
        <v>6</v>
      </c>
      <c r="CJ198" s="2">
        <v>6</v>
      </c>
      <c r="CK198" s="2">
        <v>6</v>
      </c>
      <c r="CL198" s="2">
        <v>6</v>
      </c>
      <c r="CM198" s="2">
        <v>6</v>
      </c>
      <c r="CN198" s="2">
        <v>6</v>
      </c>
      <c r="CO198" s="2">
        <v>6</v>
      </c>
      <c r="CP198" s="2" t="e">
        <f t="shared" ca="1" si="23"/>
        <v>#NAME?</v>
      </c>
      <c r="CQ198" s="2">
        <v>6</v>
      </c>
      <c r="CR198" s="2">
        <v>6</v>
      </c>
      <c r="CS198" s="2">
        <v>6</v>
      </c>
      <c r="CT198" s="2">
        <v>6</v>
      </c>
      <c r="CU198" s="2">
        <v>6</v>
      </c>
      <c r="CV198" s="54">
        <f t="shared" si="8"/>
        <v>6</v>
      </c>
      <c r="CW198" s="55"/>
      <c r="CX198" s="3"/>
    </row>
    <row r="199" spans="1:102" ht="16.5" x14ac:dyDescent="0.55000000000000004">
      <c r="A199" s="17">
        <v>2</v>
      </c>
      <c r="B199" s="17" t="s">
        <v>5</v>
      </c>
      <c r="C199" s="23" t="s">
        <v>437</v>
      </c>
      <c r="D199" s="24" t="s">
        <v>438</v>
      </c>
      <c r="E199" s="48"/>
      <c r="F199" s="2">
        <v>18</v>
      </c>
      <c r="G199" s="2">
        <v>9</v>
      </c>
      <c r="H199" s="2">
        <v>9</v>
      </c>
      <c r="I199" s="2">
        <v>10</v>
      </c>
      <c r="J199" s="2">
        <v>10</v>
      </c>
      <c r="K199" s="2">
        <v>9</v>
      </c>
      <c r="L199" s="2">
        <f t="shared" ref="L199:P199" si="57">G199</f>
        <v>9</v>
      </c>
      <c r="M199" s="2">
        <f t="shared" si="57"/>
        <v>9</v>
      </c>
      <c r="N199" s="2">
        <f t="shared" si="57"/>
        <v>10</v>
      </c>
      <c r="O199" s="2">
        <f t="shared" si="57"/>
        <v>10</v>
      </c>
      <c r="P199" s="2">
        <f t="shared" si="57"/>
        <v>9</v>
      </c>
      <c r="Q199" s="2" t="e">
        <f t="shared" ca="1" si="19"/>
        <v>#NAME?</v>
      </c>
      <c r="R199" s="2">
        <v>10</v>
      </c>
      <c r="S199" s="2">
        <v>10</v>
      </c>
      <c r="T199" s="2">
        <v>10</v>
      </c>
      <c r="U199" s="2">
        <v>10</v>
      </c>
      <c r="V199" s="2">
        <v>10</v>
      </c>
      <c r="W199" s="54">
        <f t="shared" si="1"/>
        <v>10</v>
      </c>
      <c r="X199" s="48"/>
      <c r="Y199" s="2"/>
      <c r="Z199" s="2"/>
      <c r="AA199" s="2">
        <v>10</v>
      </c>
      <c r="AB199" s="2">
        <v>10</v>
      </c>
      <c r="AC199" s="2">
        <v>10</v>
      </c>
      <c r="AD199" s="2">
        <v>10</v>
      </c>
      <c r="AE199" s="2">
        <v>10</v>
      </c>
      <c r="AF199" s="2">
        <v>10</v>
      </c>
      <c r="AG199" s="2">
        <v>10</v>
      </c>
      <c r="AH199" s="2">
        <v>10</v>
      </c>
      <c r="AI199" s="2">
        <v>10</v>
      </c>
      <c r="AJ199" s="2">
        <v>10</v>
      </c>
      <c r="AK199" s="3"/>
      <c r="AL199" s="3"/>
      <c r="AM199" s="3"/>
      <c r="AN199" s="3"/>
      <c r="AO199" s="3"/>
      <c r="AP199" s="3"/>
      <c r="AQ199" s="2" t="e">
        <f t="shared" ca="1" si="20"/>
        <v>#NAME?</v>
      </c>
      <c r="AR199" s="2">
        <v>10</v>
      </c>
      <c r="AS199" s="2">
        <v>10</v>
      </c>
      <c r="AT199" s="2">
        <v>10</v>
      </c>
      <c r="AU199" s="2">
        <v>10</v>
      </c>
      <c r="AV199" s="2">
        <v>10</v>
      </c>
      <c r="AW199" s="54">
        <f t="shared" si="3"/>
        <v>10</v>
      </c>
      <c r="AX199" s="48">
        <v>8</v>
      </c>
      <c r="AY199" s="2">
        <v>10</v>
      </c>
      <c r="AZ199" s="2">
        <v>10</v>
      </c>
      <c r="BA199" s="2">
        <v>10</v>
      </c>
      <c r="BB199" s="2">
        <v>10</v>
      </c>
      <c r="BC199" s="2">
        <v>10</v>
      </c>
      <c r="BD199" s="2">
        <v>10</v>
      </c>
      <c r="BE199" s="2">
        <v>10</v>
      </c>
      <c r="BF199" s="2">
        <v>10</v>
      </c>
      <c r="BG199" s="2">
        <v>10</v>
      </c>
      <c r="BH199" s="2">
        <v>10</v>
      </c>
      <c r="BI199" s="57">
        <v>10</v>
      </c>
      <c r="BJ199" s="2" t="e">
        <f t="shared" ca="1" si="21"/>
        <v>#NAME?</v>
      </c>
      <c r="BK199" s="5">
        <v>10</v>
      </c>
      <c r="BL199" s="5">
        <v>10</v>
      </c>
      <c r="BM199" s="5">
        <v>10</v>
      </c>
      <c r="BN199" s="5">
        <v>10</v>
      </c>
      <c r="BO199" s="5">
        <v>10</v>
      </c>
      <c r="BP199" s="54">
        <f t="shared" si="5"/>
        <v>10</v>
      </c>
      <c r="BQ199" s="5"/>
      <c r="BR199" s="5"/>
      <c r="BS199" s="5">
        <v>10</v>
      </c>
      <c r="BT199" s="5">
        <v>10</v>
      </c>
      <c r="BU199" s="5">
        <v>10</v>
      </c>
      <c r="BV199" s="5">
        <v>10</v>
      </c>
      <c r="BW199" s="5">
        <v>10</v>
      </c>
      <c r="BX199" s="5">
        <v>10</v>
      </c>
      <c r="BY199" s="5">
        <v>10</v>
      </c>
      <c r="BZ199" s="5">
        <v>10</v>
      </c>
      <c r="CA199" s="5">
        <v>10</v>
      </c>
      <c r="CB199" s="5">
        <v>10</v>
      </c>
      <c r="CC199" s="2" t="e">
        <f t="shared" ca="1" si="22"/>
        <v>#NAME?</v>
      </c>
      <c r="CD199" s="55"/>
      <c r="CE199" s="2"/>
      <c r="CF199" s="2">
        <v>8</v>
      </c>
      <c r="CG199" s="2">
        <v>8</v>
      </c>
      <c r="CH199" s="2">
        <v>8</v>
      </c>
      <c r="CI199" s="2">
        <v>8</v>
      </c>
      <c r="CJ199" s="2">
        <v>8</v>
      </c>
      <c r="CK199" s="2">
        <v>8</v>
      </c>
      <c r="CL199" s="2">
        <v>8</v>
      </c>
      <c r="CM199" s="2">
        <v>8</v>
      </c>
      <c r="CN199" s="2">
        <v>8</v>
      </c>
      <c r="CO199" s="2">
        <v>8</v>
      </c>
      <c r="CP199" s="2" t="e">
        <f t="shared" ca="1" si="23"/>
        <v>#NAME?</v>
      </c>
      <c r="CQ199" s="2">
        <v>8</v>
      </c>
      <c r="CR199" s="2">
        <v>8</v>
      </c>
      <c r="CS199" s="2">
        <v>8</v>
      </c>
      <c r="CT199" s="2">
        <v>8</v>
      </c>
      <c r="CU199" s="2">
        <v>8</v>
      </c>
      <c r="CV199" s="54">
        <f t="shared" si="8"/>
        <v>8</v>
      </c>
      <c r="CW199" s="55"/>
      <c r="CX199" s="3"/>
    </row>
    <row r="200" spans="1:102" ht="16.5" x14ac:dyDescent="0.55000000000000004">
      <c r="A200" s="17">
        <v>2</v>
      </c>
      <c r="B200" s="17" t="s">
        <v>5</v>
      </c>
      <c r="C200" s="23" t="s">
        <v>439</v>
      </c>
      <c r="D200" s="24" t="s">
        <v>440</v>
      </c>
      <c r="E200" s="48"/>
      <c r="F200" s="2">
        <v>19</v>
      </c>
      <c r="G200" s="2">
        <v>10</v>
      </c>
      <c r="H200" s="2">
        <v>9</v>
      </c>
      <c r="I200" s="2">
        <v>9</v>
      </c>
      <c r="J200" s="2">
        <v>9</v>
      </c>
      <c r="K200" s="2">
        <v>9</v>
      </c>
      <c r="L200" s="2">
        <f t="shared" ref="L200:P200" si="58">G200</f>
        <v>10</v>
      </c>
      <c r="M200" s="2">
        <f t="shared" si="58"/>
        <v>9</v>
      </c>
      <c r="N200" s="2">
        <f t="shared" si="58"/>
        <v>9</v>
      </c>
      <c r="O200" s="2">
        <f t="shared" si="58"/>
        <v>9</v>
      </c>
      <c r="P200" s="2">
        <f t="shared" si="58"/>
        <v>9</v>
      </c>
      <c r="Q200" s="2" t="e">
        <f t="shared" ca="1" si="19"/>
        <v>#NAME?</v>
      </c>
      <c r="R200" s="2">
        <v>10</v>
      </c>
      <c r="S200" s="2">
        <v>10</v>
      </c>
      <c r="T200" s="2">
        <v>10</v>
      </c>
      <c r="U200" s="2">
        <v>10</v>
      </c>
      <c r="V200" s="2">
        <v>10</v>
      </c>
      <c r="W200" s="54">
        <f t="shared" si="1"/>
        <v>10</v>
      </c>
      <c r="X200" s="48"/>
      <c r="Y200" s="2"/>
      <c r="Z200" s="2"/>
      <c r="AA200" s="2">
        <v>10</v>
      </c>
      <c r="AB200" s="2">
        <v>10</v>
      </c>
      <c r="AC200" s="2">
        <v>10</v>
      </c>
      <c r="AD200" s="2">
        <v>10</v>
      </c>
      <c r="AE200" s="2">
        <v>10</v>
      </c>
      <c r="AF200" s="2">
        <v>10</v>
      </c>
      <c r="AG200" s="2">
        <v>10</v>
      </c>
      <c r="AH200" s="2">
        <v>10</v>
      </c>
      <c r="AI200" s="2">
        <v>10</v>
      </c>
      <c r="AJ200" s="2">
        <v>10</v>
      </c>
      <c r="AK200" s="3"/>
      <c r="AL200" s="3"/>
      <c r="AM200" s="3"/>
      <c r="AN200" s="3"/>
      <c r="AO200" s="3"/>
      <c r="AP200" s="3"/>
      <c r="AQ200" s="2" t="e">
        <f t="shared" ca="1" si="20"/>
        <v>#NAME?</v>
      </c>
      <c r="AR200" s="2">
        <v>10</v>
      </c>
      <c r="AS200" s="2">
        <v>10</v>
      </c>
      <c r="AT200" s="2">
        <v>10</v>
      </c>
      <c r="AU200" s="2">
        <v>10</v>
      </c>
      <c r="AV200" s="2">
        <v>10</v>
      </c>
      <c r="AW200" s="54">
        <f t="shared" si="3"/>
        <v>10</v>
      </c>
      <c r="AX200" s="48">
        <v>8</v>
      </c>
      <c r="AY200" s="2">
        <v>10</v>
      </c>
      <c r="AZ200" s="2">
        <v>10</v>
      </c>
      <c r="BA200" s="2">
        <v>10</v>
      </c>
      <c r="BB200" s="2">
        <v>10</v>
      </c>
      <c r="BC200" s="2">
        <v>10</v>
      </c>
      <c r="BD200" s="2">
        <v>10</v>
      </c>
      <c r="BE200" s="2">
        <v>10</v>
      </c>
      <c r="BF200" s="2">
        <v>10</v>
      </c>
      <c r="BG200" s="2">
        <v>10</v>
      </c>
      <c r="BH200" s="2">
        <v>10</v>
      </c>
      <c r="BI200" s="57">
        <v>10</v>
      </c>
      <c r="BJ200" s="2" t="e">
        <f t="shared" ca="1" si="21"/>
        <v>#NAME?</v>
      </c>
      <c r="BK200" s="5">
        <v>10</v>
      </c>
      <c r="BL200" s="5">
        <v>10</v>
      </c>
      <c r="BM200" s="5">
        <v>10</v>
      </c>
      <c r="BN200" s="5">
        <v>10</v>
      </c>
      <c r="BO200" s="5">
        <v>10</v>
      </c>
      <c r="BP200" s="54">
        <f t="shared" si="5"/>
        <v>10</v>
      </c>
      <c r="BQ200" s="5"/>
      <c r="BR200" s="5"/>
      <c r="BS200" s="5">
        <v>10</v>
      </c>
      <c r="BT200" s="5">
        <v>10</v>
      </c>
      <c r="BU200" s="5">
        <v>10</v>
      </c>
      <c r="BV200" s="5">
        <v>10</v>
      </c>
      <c r="BW200" s="5">
        <v>10</v>
      </c>
      <c r="BX200" s="5">
        <v>10</v>
      </c>
      <c r="BY200" s="5">
        <v>10</v>
      </c>
      <c r="BZ200" s="5">
        <v>10</v>
      </c>
      <c r="CA200" s="5">
        <v>10</v>
      </c>
      <c r="CB200" s="5">
        <v>10</v>
      </c>
      <c r="CC200" s="2" t="e">
        <f t="shared" ca="1" si="22"/>
        <v>#NAME?</v>
      </c>
      <c r="CD200" s="55"/>
      <c r="CE200" s="2"/>
      <c r="CF200" s="2">
        <v>10</v>
      </c>
      <c r="CG200" s="2">
        <v>9</v>
      </c>
      <c r="CH200" s="2">
        <v>9</v>
      </c>
      <c r="CI200" s="2">
        <v>9</v>
      </c>
      <c r="CJ200" s="2">
        <v>9</v>
      </c>
      <c r="CK200" s="2">
        <v>9</v>
      </c>
      <c r="CL200" s="2">
        <v>10</v>
      </c>
      <c r="CM200" s="2">
        <v>10</v>
      </c>
      <c r="CN200" s="2">
        <v>10</v>
      </c>
      <c r="CO200" s="2">
        <v>10</v>
      </c>
      <c r="CP200" s="2" t="e">
        <f t="shared" ca="1" si="23"/>
        <v>#NAME?</v>
      </c>
      <c r="CQ200" s="2">
        <v>9</v>
      </c>
      <c r="CR200" s="2">
        <v>9</v>
      </c>
      <c r="CS200" s="2">
        <v>9</v>
      </c>
      <c r="CT200" s="2">
        <v>10</v>
      </c>
      <c r="CU200" s="2">
        <v>10</v>
      </c>
      <c r="CV200" s="54">
        <f t="shared" si="8"/>
        <v>10</v>
      </c>
      <c r="CW200" s="55"/>
      <c r="CX200" s="3"/>
    </row>
    <row r="201" spans="1:102" ht="16.5" x14ac:dyDescent="0.55000000000000004">
      <c r="A201" s="17">
        <v>2</v>
      </c>
      <c r="B201" s="17" t="s">
        <v>5</v>
      </c>
      <c r="C201" s="23" t="s">
        <v>441</v>
      </c>
      <c r="D201" s="24" t="s">
        <v>442</v>
      </c>
      <c r="E201" s="48"/>
      <c r="F201" s="2">
        <v>19</v>
      </c>
      <c r="G201" s="2">
        <v>9</v>
      </c>
      <c r="H201" s="2">
        <v>9</v>
      </c>
      <c r="I201" s="2">
        <v>9</v>
      </c>
      <c r="J201" s="2">
        <v>9</v>
      </c>
      <c r="K201" s="2">
        <v>9</v>
      </c>
      <c r="L201" s="2">
        <f t="shared" ref="L201:P201" si="59">G201</f>
        <v>9</v>
      </c>
      <c r="M201" s="2">
        <f t="shared" si="59"/>
        <v>9</v>
      </c>
      <c r="N201" s="2">
        <f t="shared" si="59"/>
        <v>9</v>
      </c>
      <c r="O201" s="2">
        <f t="shared" si="59"/>
        <v>9</v>
      </c>
      <c r="P201" s="2">
        <f t="shared" si="59"/>
        <v>9</v>
      </c>
      <c r="Q201" s="2" t="e">
        <f t="shared" ca="1" si="19"/>
        <v>#NAME?</v>
      </c>
      <c r="R201" s="2">
        <v>10</v>
      </c>
      <c r="S201" s="2">
        <v>10</v>
      </c>
      <c r="T201" s="2">
        <v>10</v>
      </c>
      <c r="U201" s="2">
        <v>10</v>
      </c>
      <c r="V201" s="2">
        <v>10</v>
      </c>
      <c r="W201" s="54">
        <f t="shared" si="1"/>
        <v>10</v>
      </c>
      <c r="X201" s="48"/>
      <c r="Y201" s="2"/>
      <c r="Z201" s="2"/>
      <c r="AA201" s="2">
        <v>10</v>
      </c>
      <c r="AB201" s="2">
        <v>10</v>
      </c>
      <c r="AC201" s="2">
        <v>10</v>
      </c>
      <c r="AD201" s="2">
        <v>10</v>
      </c>
      <c r="AE201" s="2">
        <v>10</v>
      </c>
      <c r="AF201" s="2">
        <v>10</v>
      </c>
      <c r="AG201" s="2">
        <v>10</v>
      </c>
      <c r="AH201" s="2">
        <v>10</v>
      </c>
      <c r="AI201" s="2">
        <v>10</v>
      </c>
      <c r="AJ201" s="2">
        <v>10</v>
      </c>
      <c r="AK201" s="3"/>
      <c r="AL201" s="3"/>
      <c r="AM201" s="3"/>
      <c r="AN201" s="3"/>
      <c r="AO201" s="3"/>
      <c r="AP201" s="3"/>
      <c r="AQ201" s="2" t="e">
        <f t="shared" ca="1" si="20"/>
        <v>#NAME?</v>
      </c>
      <c r="AR201" s="2">
        <v>10</v>
      </c>
      <c r="AS201" s="2">
        <v>10</v>
      </c>
      <c r="AT201" s="2">
        <v>10</v>
      </c>
      <c r="AU201" s="2">
        <v>10</v>
      </c>
      <c r="AV201" s="2">
        <v>10</v>
      </c>
      <c r="AW201" s="54">
        <f t="shared" si="3"/>
        <v>10</v>
      </c>
      <c r="AX201" s="48">
        <v>7</v>
      </c>
      <c r="AY201" s="2">
        <v>10</v>
      </c>
      <c r="AZ201" s="2">
        <v>10</v>
      </c>
      <c r="BA201" s="2">
        <v>10</v>
      </c>
      <c r="BB201" s="2">
        <v>10</v>
      </c>
      <c r="BC201" s="2">
        <v>10</v>
      </c>
      <c r="BD201" s="2">
        <v>10</v>
      </c>
      <c r="BE201" s="2">
        <v>10</v>
      </c>
      <c r="BF201" s="2">
        <v>10</v>
      </c>
      <c r="BG201" s="2">
        <v>10</v>
      </c>
      <c r="BH201" s="2">
        <v>10</v>
      </c>
      <c r="BI201" s="57">
        <v>10</v>
      </c>
      <c r="BJ201" s="2" t="e">
        <f t="shared" ca="1" si="21"/>
        <v>#NAME?</v>
      </c>
      <c r="BK201" s="5">
        <v>10</v>
      </c>
      <c r="BL201" s="5">
        <v>10</v>
      </c>
      <c r="BM201" s="5">
        <v>10</v>
      </c>
      <c r="BN201" s="5">
        <v>10</v>
      </c>
      <c r="BO201" s="5">
        <v>10</v>
      </c>
      <c r="BP201" s="54">
        <f t="shared" si="5"/>
        <v>10</v>
      </c>
      <c r="BQ201" s="5"/>
      <c r="BR201" s="5"/>
      <c r="BS201" s="5">
        <v>10</v>
      </c>
      <c r="BT201" s="5">
        <v>10</v>
      </c>
      <c r="BU201" s="5">
        <v>10</v>
      </c>
      <c r="BV201" s="5">
        <v>10</v>
      </c>
      <c r="BW201" s="5">
        <v>10</v>
      </c>
      <c r="BX201" s="5">
        <v>10</v>
      </c>
      <c r="BY201" s="5">
        <v>10</v>
      </c>
      <c r="BZ201" s="5">
        <v>10</v>
      </c>
      <c r="CA201" s="5">
        <v>10</v>
      </c>
      <c r="CB201" s="5">
        <v>10</v>
      </c>
      <c r="CC201" s="2" t="e">
        <f t="shared" ca="1" si="22"/>
        <v>#NAME?</v>
      </c>
      <c r="CD201" s="55"/>
      <c r="CE201" s="2"/>
      <c r="CF201" s="2">
        <v>10</v>
      </c>
      <c r="CG201" s="2">
        <v>9</v>
      </c>
      <c r="CH201" s="2">
        <v>9</v>
      </c>
      <c r="CI201" s="2">
        <v>9</v>
      </c>
      <c r="CJ201" s="2">
        <v>9</v>
      </c>
      <c r="CK201" s="2">
        <v>9</v>
      </c>
      <c r="CL201" s="2">
        <v>10</v>
      </c>
      <c r="CM201" s="2">
        <v>10</v>
      </c>
      <c r="CN201" s="2">
        <v>10</v>
      </c>
      <c r="CO201" s="2">
        <v>10</v>
      </c>
      <c r="CP201" s="2" t="e">
        <f t="shared" ca="1" si="23"/>
        <v>#NAME?</v>
      </c>
      <c r="CQ201" s="2">
        <v>9</v>
      </c>
      <c r="CR201" s="2">
        <v>9</v>
      </c>
      <c r="CS201" s="2">
        <v>9</v>
      </c>
      <c r="CT201" s="2">
        <v>10</v>
      </c>
      <c r="CU201" s="2">
        <v>10</v>
      </c>
      <c r="CV201" s="54">
        <f t="shared" si="8"/>
        <v>10</v>
      </c>
      <c r="CW201" s="55"/>
      <c r="CX201" s="3"/>
    </row>
    <row r="202" spans="1:102" ht="16.5" x14ac:dyDescent="0.55000000000000004">
      <c r="A202" s="17">
        <v>2</v>
      </c>
      <c r="B202" s="17" t="s">
        <v>5</v>
      </c>
      <c r="C202" s="23" t="s">
        <v>443</v>
      </c>
      <c r="D202" s="24" t="s">
        <v>444</v>
      </c>
      <c r="E202" s="48"/>
      <c r="F202" s="2">
        <v>16</v>
      </c>
      <c r="G202" s="2">
        <v>8</v>
      </c>
      <c r="H202" s="2">
        <v>9</v>
      </c>
      <c r="I202" s="2">
        <v>8</v>
      </c>
      <c r="J202" s="2">
        <v>9</v>
      </c>
      <c r="K202" s="2">
        <v>9</v>
      </c>
      <c r="L202" s="2">
        <f t="shared" ref="L202:P202" si="60">G202</f>
        <v>8</v>
      </c>
      <c r="M202" s="2">
        <f t="shared" si="60"/>
        <v>9</v>
      </c>
      <c r="N202" s="2">
        <f t="shared" si="60"/>
        <v>8</v>
      </c>
      <c r="O202" s="2">
        <f t="shared" si="60"/>
        <v>9</v>
      </c>
      <c r="P202" s="2">
        <f t="shared" si="60"/>
        <v>9</v>
      </c>
      <c r="Q202" s="2" t="e">
        <f t="shared" ca="1" si="19"/>
        <v>#NAME?</v>
      </c>
      <c r="R202" s="2">
        <v>10</v>
      </c>
      <c r="S202" s="2">
        <v>10</v>
      </c>
      <c r="T202" s="2">
        <v>10</v>
      </c>
      <c r="U202" s="2">
        <v>10</v>
      </c>
      <c r="V202" s="2">
        <v>10</v>
      </c>
      <c r="W202" s="54">
        <f t="shared" si="1"/>
        <v>10</v>
      </c>
      <c r="X202" s="48"/>
      <c r="Y202" s="2"/>
      <c r="Z202" s="2"/>
      <c r="AA202" s="2">
        <v>5</v>
      </c>
      <c r="AB202" s="2">
        <v>5</v>
      </c>
      <c r="AC202" s="2">
        <v>5</v>
      </c>
      <c r="AD202" s="2">
        <v>5</v>
      </c>
      <c r="AE202" s="2">
        <v>10</v>
      </c>
      <c r="AF202" s="2">
        <v>10</v>
      </c>
      <c r="AG202" s="2">
        <v>10</v>
      </c>
      <c r="AH202" s="2">
        <v>10</v>
      </c>
      <c r="AI202" s="2">
        <v>10</v>
      </c>
      <c r="AJ202" s="2">
        <v>10</v>
      </c>
      <c r="AK202" s="3"/>
      <c r="AL202" s="3"/>
      <c r="AM202" s="3"/>
      <c r="AN202" s="3"/>
      <c r="AO202" s="3"/>
      <c r="AP202" s="3"/>
      <c r="AQ202" s="2" t="e">
        <f t="shared" ca="1" si="20"/>
        <v>#NAME?</v>
      </c>
      <c r="AR202" s="2">
        <v>10</v>
      </c>
      <c r="AS202" s="2">
        <v>10</v>
      </c>
      <c r="AT202" s="2">
        <v>10</v>
      </c>
      <c r="AU202" s="2">
        <v>10</v>
      </c>
      <c r="AV202" s="2">
        <v>10</v>
      </c>
      <c r="AW202" s="54">
        <f t="shared" si="3"/>
        <v>10</v>
      </c>
      <c r="AX202" s="48">
        <v>6</v>
      </c>
      <c r="AY202" s="2">
        <v>10</v>
      </c>
      <c r="AZ202" s="2">
        <v>10</v>
      </c>
      <c r="BA202" s="2">
        <v>10</v>
      </c>
      <c r="BB202" s="2">
        <v>10</v>
      </c>
      <c r="BC202" s="2">
        <v>10</v>
      </c>
      <c r="BD202" s="2">
        <v>10</v>
      </c>
      <c r="BE202" s="2">
        <v>10</v>
      </c>
      <c r="BF202" s="2">
        <v>10</v>
      </c>
      <c r="BG202" s="2">
        <v>10</v>
      </c>
      <c r="BH202" s="2">
        <v>10</v>
      </c>
      <c r="BI202" s="57">
        <v>10</v>
      </c>
      <c r="BJ202" s="2" t="e">
        <f t="shared" ca="1" si="21"/>
        <v>#NAME?</v>
      </c>
      <c r="BK202" s="5">
        <v>10</v>
      </c>
      <c r="BL202" s="5">
        <v>10</v>
      </c>
      <c r="BM202" s="5">
        <v>10</v>
      </c>
      <c r="BN202" s="5">
        <v>10</v>
      </c>
      <c r="BO202" s="5">
        <v>10</v>
      </c>
      <c r="BP202" s="54">
        <f t="shared" si="5"/>
        <v>10</v>
      </c>
      <c r="BQ202" s="5"/>
      <c r="BR202" s="5"/>
      <c r="BS202" s="5">
        <v>10</v>
      </c>
      <c r="BT202" s="5">
        <v>10</v>
      </c>
      <c r="BU202" s="5">
        <v>10</v>
      </c>
      <c r="BV202" s="5">
        <v>10</v>
      </c>
      <c r="BW202" s="5">
        <v>10</v>
      </c>
      <c r="BX202" s="5">
        <v>10</v>
      </c>
      <c r="BY202" s="5">
        <v>10</v>
      </c>
      <c r="BZ202" s="5">
        <v>10</v>
      </c>
      <c r="CA202" s="5">
        <v>10</v>
      </c>
      <c r="CB202" s="5">
        <v>10</v>
      </c>
      <c r="CC202" s="2" t="e">
        <f t="shared" ca="1" si="22"/>
        <v>#NAME?</v>
      </c>
      <c r="CD202" s="55"/>
      <c r="CE202" s="2"/>
      <c r="CF202" s="2">
        <v>8</v>
      </c>
      <c r="CG202" s="2">
        <v>8</v>
      </c>
      <c r="CH202" s="2">
        <v>8</v>
      </c>
      <c r="CI202" s="2">
        <v>8</v>
      </c>
      <c r="CJ202" s="2">
        <v>8</v>
      </c>
      <c r="CK202" s="2">
        <v>8</v>
      </c>
      <c r="CL202" s="2">
        <v>8</v>
      </c>
      <c r="CM202" s="2">
        <v>8</v>
      </c>
      <c r="CN202" s="2">
        <v>8</v>
      </c>
      <c r="CO202" s="2">
        <v>8</v>
      </c>
      <c r="CP202" s="2" t="e">
        <f t="shared" ca="1" si="23"/>
        <v>#NAME?</v>
      </c>
      <c r="CQ202" s="2">
        <v>8</v>
      </c>
      <c r="CR202" s="2">
        <v>8</v>
      </c>
      <c r="CS202" s="2">
        <v>8</v>
      </c>
      <c r="CT202" s="2">
        <v>8</v>
      </c>
      <c r="CU202" s="2">
        <v>8</v>
      </c>
      <c r="CV202" s="54">
        <f t="shared" si="8"/>
        <v>8</v>
      </c>
      <c r="CW202" s="55"/>
      <c r="CX202" s="3"/>
    </row>
    <row r="203" spans="1:102" ht="16.5" x14ac:dyDescent="0.55000000000000004">
      <c r="A203" s="17">
        <v>2</v>
      </c>
      <c r="B203" s="17" t="s">
        <v>5</v>
      </c>
      <c r="C203" s="23" t="s">
        <v>445</v>
      </c>
      <c r="D203" s="24" t="s">
        <v>446</v>
      </c>
      <c r="E203" s="48"/>
      <c r="F203" s="2">
        <v>18</v>
      </c>
      <c r="G203" s="2">
        <v>9</v>
      </c>
      <c r="H203" s="2">
        <v>9</v>
      </c>
      <c r="I203" s="2">
        <v>9</v>
      </c>
      <c r="J203" s="2">
        <v>9</v>
      </c>
      <c r="K203" s="2">
        <v>9</v>
      </c>
      <c r="L203" s="2">
        <f t="shared" ref="L203:P203" si="61">G203</f>
        <v>9</v>
      </c>
      <c r="M203" s="2">
        <f t="shared" si="61"/>
        <v>9</v>
      </c>
      <c r="N203" s="2">
        <f t="shared" si="61"/>
        <v>9</v>
      </c>
      <c r="O203" s="2">
        <f t="shared" si="61"/>
        <v>9</v>
      </c>
      <c r="P203" s="2">
        <f t="shared" si="61"/>
        <v>9</v>
      </c>
      <c r="Q203" s="2" t="e">
        <f t="shared" ca="1" si="19"/>
        <v>#NAME?</v>
      </c>
      <c r="R203" s="2">
        <v>10</v>
      </c>
      <c r="S203" s="2">
        <v>10</v>
      </c>
      <c r="T203" s="2">
        <v>10</v>
      </c>
      <c r="U203" s="2">
        <v>10</v>
      </c>
      <c r="V203" s="2">
        <v>10</v>
      </c>
      <c r="W203" s="54">
        <f t="shared" si="1"/>
        <v>10</v>
      </c>
      <c r="X203" s="48"/>
      <c r="Y203" s="2"/>
      <c r="Z203" s="2"/>
      <c r="AA203" s="2">
        <v>10</v>
      </c>
      <c r="AB203" s="2">
        <v>10</v>
      </c>
      <c r="AC203" s="2">
        <v>10</v>
      </c>
      <c r="AD203" s="2">
        <v>10</v>
      </c>
      <c r="AE203" s="2">
        <v>10</v>
      </c>
      <c r="AF203" s="2">
        <v>10</v>
      </c>
      <c r="AG203" s="2">
        <v>10</v>
      </c>
      <c r="AH203" s="2">
        <v>10</v>
      </c>
      <c r="AI203" s="2">
        <v>10</v>
      </c>
      <c r="AJ203" s="2">
        <v>10</v>
      </c>
      <c r="AK203" s="3"/>
      <c r="AL203" s="3"/>
      <c r="AM203" s="3"/>
      <c r="AN203" s="3"/>
      <c r="AO203" s="3"/>
      <c r="AP203" s="3"/>
      <c r="AQ203" s="2" t="e">
        <f t="shared" ca="1" si="20"/>
        <v>#NAME?</v>
      </c>
      <c r="AR203" s="2">
        <v>10</v>
      </c>
      <c r="AS203" s="2">
        <v>10</v>
      </c>
      <c r="AT203" s="2">
        <v>10</v>
      </c>
      <c r="AU203" s="2">
        <v>10</v>
      </c>
      <c r="AV203" s="2">
        <v>10</v>
      </c>
      <c r="AW203" s="54">
        <f t="shared" si="3"/>
        <v>10</v>
      </c>
      <c r="AX203" s="48">
        <v>8</v>
      </c>
      <c r="AY203" s="2">
        <v>10</v>
      </c>
      <c r="AZ203" s="2">
        <v>10</v>
      </c>
      <c r="BA203" s="2">
        <v>10</v>
      </c>
      <c r="BB203" s="2">
        <v>10</v>
      </c>
      <c r="BC203" s="2">
        <v>10</v>
      </c>
      <c r="BD203" s="2">
        <v>10</v>
      </c>
      <c r="BE203" s="2">
        <v>10</v>
      </c>
      <c r="BF203" s="2">
        <v>10</v>
      </c>
      <c r="BG203" s="2">
        <v>10</v>
      </c>
      <c r="BH203" s="2">
        <v>10</v>
      </c>
      <c r="BI203" s="57">
        <v>10</v>
      </c>
      <c r="BJ203" s="2" t="e">
        <f t="shared" ca="1" si="21"/>
        <v>#NAME?</v>
      </c>
      <c r="BK203" s="5">
        <v>10</v>
      </c>
      <c r="BL203" s="5">
        <v>10</v>
      </c>
      <c r="BM203" s="5">
        <v>10</v>
      </c>
      <c r="BN203" s="5">
        <v>10</v>
      </c>
      <c r="BO203" s="5">
        <v>10</v>
      </c>
      <c r="BP203" s="54">
        <f t="shared" si="5"/>
        <v>10</v>
      </c>
      <c r="BQ203" s="5"/>
      <c r="BR203" s="5"/>
      <c r="BS203" s="5">
        <v>10</v>
      </c>
      <c r="BT203" s="5">
        <v>10</v>
      </c>
      <c r="BU203" s="5">
        <v>10</v>
      </c>
      <c r="BV203" s="5">
        <v>10</v>
      </c>
      <c r="BW203" s="5">
        <v>10</v>
      </c>
      <c r="BX203" s="5">
        <v>10</v>
      </c>
      <c r="BY203" s="5">
        <v>10</v>
      </c>
      <c r="BZ203" s="5">
        <v>10</v>
      </c>
      <c r="CA203" s="5">
        <v>10</v>
      </c>
      <c r="CB203" s="5">
        <v>10</v>
      </c>
      <c r="CC203" s="2" t="e">
        <f t="shared" ca="1" si="22"/>
        <v>#NAME?</v>
      </c>
      <c r="CD203" s="55"/>
      <c r="CE203" s="2"/>
      <c r="CF203" s="2">
        <v>8</v>
      </c>
      <c r="CG203" s="2">
        <v>8</v>
      </c>
      <c r="CH203" s="2">
        <v>8</v>
      </c>
      <c r="CI203" s="2">
        <v>8</v>
      </c>
      <c r="CJ203" s="2">
        <v>8</v>
      </c>
      <c r="CK203" s="2">
        <v>8</v>
      </c>
      <c r="CL203" s="2">
        <v>8</v>
      </c>
      <c r="CM203" s="2">
        <v>8</v>
      </c>
      <c r="CN203" s="2">
        <v>8</v>
      </c>
      <c r="CO203" s="2">
        <v>8</v>
      </c>
      <c r="CP203" s="2" t="e">
        <f t="shared" ca="1" si="23"/>
        <v>#NAME?</v>
      </c>
      <c r="CQ203" s="2">
        <v>7</v>
      </c>
      <c r="CR203" s="2">
        <v>7</v>
      </c>
      <c r="CS203" s="2">
        <v>8</v>
      </c>
      <c r="CT203" s="2">
        <v>8</v>
      </c>
      <c r="CU203" s="2">
        <v>8</v>
      </c>
      <c r="CV203" s="54">
        <f t="shared" si="8"/>
        <v>8</v>
      </c>
      <c r="CW203" s="55"/>
      <c r="CX203" s="3"/>
    </row>
    <row r="204" spans="1:102" ht="16.5" x14ac:dyDescent="0.55000000000000004">
      <c r="A204" s="17">
        <v>2</v>
      </c>
      <c r="B204" s="17" t="s">
        <v>5</v>
      </c>
      <c r="C204" s="23" t="s">
        <v>447</v>
      </c>
      <c r="D204" s="24" t="s">
        <v>448</v>
      </c>
      <c r="E204" s="48"/>
      <c r="F204" s="2">
        <v>19</v>
      </c>
      <c r="G204" s="2">
        <v>9</v>
      </c>
      <c r="H204" s="2">
        <v>9</v>
      </c>
      <c r="I204" s="2">
        <v>9</v>
      </c>
      <c r="J204" s="2">
        <v>9</v>
      </c>
      <c r="K204" s="2">
        <v>9</v>
      </c>
      <c r="L204" s="2">
        <f t="shared" ref="L204:P204" si="62">G204</f>
        <v>9</v>
      </c>
      <c r="M204" s="2">
        <f t="shared" si="62"/>
        <v>9</v>
      </c>
      <c r="N204" s="2">
        <f t="shared" si="62"/>
        <v>9</v>
      </c>
      <c r="O204" s="2">
        <f t="shared" si="62"/>
        <v>9</v>
      </c>
      <c r="P204" s="2">
        <f t="shared" si="62"/>
        <v>9</v>
      </c>
      <c r="Q204" s="2" t="e">
        <f t="shared" ca="1" si="19"/>
        <v>#NAME?</v>
      </c>
      <c r="R204" s="2">
        <v>10</v>
      </c>
      <c r="S204" s="2">
        <v>10</v>
      </c>
      <c r="T204" s="2">
        <v>10</v>
      </c>
      <c r="U204" s="2">
        <v>10</v>
      </c>
      <c r="V204" s="2">
        <v>10</v>
      </c>
      <c r="W204" s="54">
        <f t="shared" si="1"/>
        <v>10</v>
      </c>
      <c r="X204" s="48"/>
      <c r="Y204" s="2"/>
      <c r="Z204" s="2"/>
      <c r="AA204" s="2">
        <v>10</v>
      </c>
      <c r="AB204" s="2">
        <v>10</v>
      </c>
      <c r="AC204" s="2">
        <v>10</v>
      </c>
      <c r="AD204" s="2">
        <v>10</v>
      </c>
      <c r="AE204" s="2">
        <v>10</v>
      </c>
      <c r="AF204" s="2">
        <v>10</v>
      </c>
      <c r="AG204" s="2">
        <v>10</v>
      </c>
      <c r="AH204" s="2">
        <v>10</v>
      </c>
      <c r="AI204" s="2">
        <v>10</v>
      </c>
      <c r="AJ204" s="2">
        <v>10</v>
      </c>
      <c r="AK204" s="3"/>
      <c r="AL204" s="3"/>
      <c r="AM204" s="3"/>
      <c r="AN204" s="3"/>
      <c r="AO204" s="3"/>
      <c r="AP204" s="3"/>
      <c r="AQ204" s="2" t="e">
        <f t="shared" ca="1" si="20"/>
        <v>#NAME?</v>
      </c>
      <c r="AR204" s="2">
        <v>10</v>
      </c>
      <c r="AS204" s="2">
        <v>10</v>
      </c>
      <c r="AT204" s="2">
        <v>10</v>
      </c>
      <c r="AU204" s="2">
        <v>10</v>
      </c>
      <c r="AV204" s="2">
        <v>10</v>
      </c>
      <c r="AW204" s="54">
        <f t="shared" si="3"/>
        <v>10</v>
      </c>
      <c r="AX204" s="48">
        <v>7</v>
      </c>
      <c r="AY204" s="2">
        <v>10</v>
      </c>
      <c r="AZ204" s="2">
        <v>10</v>
      </c>
      <c r="BA204" s="2">
        <v>10</v>
      </c>
      <c r="BB204" s="2">
        <v>10</v>
      </c>
      <c r="BC204" s="2">
        <v>10</v>
      </c>
      <c r="BD204" s="2">
        <v>10</v>
      </c>
      <c r="BE204" s="2">
        <v>10</v>
      </c>
      <c r="BF204" s="2">
        <v>10</v>
      </c>
      <c r="BG204" s="2">
        <v>10</v>
      </c>
      <c r="BH204" s="2">
        <v>10</v>
      </c>
      <c r="BI204" s="57">
        <v>10</v>
      </c>
      <c r="BJ204" s="2" t="e">
        <f t="shared" ca="1" si="21"/>
        <v>#NAME?</v>
      </c>
      <c r="BK204" s="5">
        <v>10</v>
      </c>
      <c r="BL204" s="5">
        <v>10</v>
      </c>
      <c r="BM204" s="5">
        <v>10</v>
      </c>
      <c r="BN204" s="5">
        <v>10</v>
      </c>
      <c r="BO204" s="5">
        <v>10</v>
      </c>
      <c r="BP204" s="54">
        <f t="shared" si="5"/>
        <v>10</v>
      </c>
      <c r="BQ204" s="5"/>
      <c r="BR204" s="5"/>
      <c r="BS204" s="5">
        <v>10</v>
      </c>
      <c r="BT204" s="5">
        <v>10</v>
      </c>
      <c r="BU204" s="5">
        <v>10</v>
      </c>
      <c r="BV204" s="5">
        <v>10</v>
      </c>
      <c r="BW204" s="5">
        <v>10</v>
      </c>
      <c r="BX204" s="5">
        <v>10</v>
      </c>
      <c r="BY204" s="5">
        <v>10</v>
      </c>
      <c r="BZ204" s="5">
        <v>10</v>
      </c>
      <c r="CA204" s="5">
        <v>10</v>
      </c>
      <c r="CB204" s="5">
        <v>10</v>
      </c>
      <c r="CC204" s="2" t="e">
        <f t="shared" ca="1" si="22"/>
        <v>#NAME?</v>
      </c>
      <c r="CD204" s="55"/>
      <c r="CE204" s="2"/>
      <c r="CF204" s="2">
        <v>8</v>
      </c>
      <c r="CG204" s="2">
        <v>8</v>
      </c>
      <c r="CH204" s="2">
        <v>8</v>
      </c>
      <c r="CI204" s="2">
        <v>9</v>
      </c>
      <c r="CJ204" s="2">
        <v>9</v>
      </c>
      <c r="CK204" s="2">
        <v>9</v>
      </c>
      <c r="CL204" s="2">
        <v>9</v>
      </c>
      <c r="CM204" s="2">
        <v>9</v>
      </c>
      <c r="CN204" s="2">
        <v>9</v>
      </c>
      <c r="CO204" s="2">
        <v>8</v>
      </c>
      <c r="CP204" s="2" t="e">
        <f t="shared" ca="1" si="23"/>
        <v>#NAME?</v>
      </c>
      <c r="CQ204" s="2">
        <v>8</v>
      </c>
      <c r="CR204" s="2">
        <v>9</v>
      </c>
      <c r="CS204" s="2">
        <v>9</v>
      </c>
      <c r="CT204" s="2">
        <v>8</v>
      </c>
      <c r="CU204" s="2">
        <v>9</v>
      </c>
      <c r="CV204" s="54">
        <f t="shared" si="8"/>
        <v>9</v>
      </c>
      <c r="CW204" s="55"/>
      <c r="CX204" s="3"/>
    </row>
    <row r="205" spans="1:102" ht="16.5" x14ac:dyDescent="0.55000000000000004">
      <c r="A205" s="17">
        <v>2</v>
      </c>
      <c r="B205" s="17" t="s">
        <v>5</v>
      </c>
      <c r="C205" s="23" t="s">
        <v>449</v>
      </c>
      <c r="D205" s="24" t="s">
        <v>450</v>
      </c>
      <c r="E205" s="48"/>
      <c r="F205" s="2">
        <v>9</v>
      </c>
      <c r="G205" s="2">
        <v>9</v>
      </c>
      <c r="H205" s="2">
        <v>9</v>
      </c>
      <c r="I205" s="2">
        <v>9</v>
      </c>
      <c r="J205" s="2">
        <v>9</v>
      </c>
      <c r="K205" s="2">
        <v>9</v>
      </c>
      <c r="L205" s="2">
        <f t="shared" ref="L205:P205" si="63">G205</f>
        <v>9</v>
      </c>
      <c r="M205" s="2">
        <f t="shared" si="63"/>
        <v>9</v>
      </c>
      <c r="N205" s="2">
        <f t="shared" si="63"/>
        <v>9</v>
      </c>
      <c r="O205" s="2">
        <f t="shared" si="63"/>
        <v>9</v>
      </c>
      <c r="P205" s="2">
        <f t="shared" si="63"/>
        <v>9</v>
      </c>
      <c r="Q205" s="2" t="e">
        <f t="shared" ca="1" si="19"/>
        <v>#NAME?</v>
      </c>
      <c r="R205" s="2">
        <v>10</v>
      </c>
      <c r="S205" s="2">
        <v>10</v>
      </c>
      <c r="T205" s="2">
        <v>10</v>
      </c>
      <c r="U205" s="2">
        <v>10</v>
      </c>
      <c r="V205" s="2">
        <v>10</v>
      </c>
      <c r="W205" s="54">
        <f t="shared" si="1"/>
        <v>10</v>
      </c>
      <c r="X205" s="48"/>
      <c r="Y205" s="2"/>
      <c r="Z205" s="2"/>
      <c r="AA205" s="2">
        <v>10</v>
      </c>
      <c r="AB205" s="2">
        <v>10</v>
      </c>
      <c r="AC205" s="2">
        <v>10</v>
      </c>
      <c r="AD205" s="2">
        <v>10</v>
      </c>
      <c r="AE205" s="2">
        <v>10</v>
      </c>
      <c r="AF205" s="2">
        <v>10</v>
      </c>
      <c r="AG205" s="2">
        <v>10</v>
      </c>
      <c r="AH205" s="2">
        <v>10</v>
      </c>
      <c r="AI205" s="2">
        <v>10</v>
      </c>
      <c r="AJ205" s="2">
        <v>10</v>
      </c>
      <c r="AK205" s="3"/>
      <c r="AL205" s="3"/>
      <c r="AM205" s="3"/>
      <c r="AN205" s="3"/>
      <c r="AO205" s="3"/>
      <c r="AP205" s="3"/>
      <c r="AQ205" s="2" t="e">
        <f t="shared" ca="1" si="20"/>
        <v>#NAME?</v>
      </c>
      <c r="AR205" s="2">
        <v>10</v>
      </c>
      <c r="AS205" s="2">
        <v>10</v>
      </c>
      <c r="AT205" s="2">
        <v>10</v>
      </c>
      <c r="AU205" s="2">
        <v>10</v>
      </c>
      <c r="AV205" s="2">
        <v>10</v>
      </c>
      <c r="AW205" s="54">
        <f t="shared" si="3"/>
        <v>10</v>
      </c>
      <c r="AX205" s="48">
        <v>8</v>
      </c>
      <c r="AY205" s="2">
        <v>10</v>
      </c>
      <c r="AZ205" s="2">
        <v>10</v>
      </c>
      <c r="BA205" s="2">
        <v>10</v>
      </c>
      <c r="BB205" s="2">
        <v>10</v>
      </c>
      <c r="BC205" s="2">
        <v>10</v>
      </c>
      <c r="BD205" s="2">
        <v>10</v>
      </c>
      <c r="BE205" s="2">
        <v>10</v>
      </c>
      <c r="BF205" s="2">
        <v>10</v>
      </c>
      <c r="BG205" s="2">
        <v>10</v>
      </c>
      <c r="BH205" s="2">
        <v>10</v>
      </c>
      <c r="BI205" s="57">
        <v>10</v>
      </c>
      <c r="BJ205" s="2" t="e">
        <f t="shared" ca="1" si="21"/>
        <v>#NAME?</v>
      </c>
      <c r="BK205" s="5">
        <v>10</v>
      </c>
      <c r="BL205" s="5">
        <v>10</v>
      </c>
      <c r="BM205" s="5">
        <v>10</v>
      </c>
      <c r="BN205" s="5">
        <v>10</v>
      </c>
      <c r="BO205" s="5">
        <v>10</v>
      </c>
      <c r="BP205" s="54">
        <f t="shared" si="5"/>
        <v>10</v>
      </c>
      <c r="BQ205" s="5"/>
      <c r="BR205" s="5"/>
      <c r="BS205" s="5">
        <v>10</v>
      </c>
      <c r="BT205" s="5">
        <v>10</v>
      </c>
      <c r="BU205" s="5">
        <v>10</v>
      </c>
      <c r="BV205" s="5">
        <v>10</v>
      </c>
      <c r="BW205" s="5">
        <v>10</v>
      </c>
      <c r="BX205" s="5">
        <v>10</v>
      </c>
      <c r="BY205" s="5">
        <v>10</v>
      </c>
      <c r="BZ205" s="5">
        <v>10</v>
      </c>
      <c r="CA205" s="5">
        <v>10</v>
      </c>
      <c r="CB205" s="5">
        <v>10</v>
      </c>
      <c r="CC205" s="2" t="e">
        <f t="shared" ca="1" si="22"/>
        <v>#NAME?</v>
      </c>
      <c r="CD205" s="55"/>
      <c r="CE205" s="2"/>
      <c r="CF205" s="2">
        <v>8</v>
      </c>
      <c r="CG205" s="2">
        <v>8</v>
      </c>
      <c r="CH205" s="2">
        <v>8</v>
      </c>
      <c r="CI205" s="2">
        <v>8</v>
      </c>
      <c r="CJ205" s="2">
        <v>8</v>
      </c>
      <c r="CK205" s="2">
        <v>8</v>
      </c>
      <c r="CL205" s="2">
        <v>8</v>
      </c>
      <c r="CM205" s="2">
        <v>8</v>
      </c>
      <c r="CN205" s="2">
        <v>8</v>
      </c>
      <c r="CO205" s="2">
        <v>8</v>
      </c>
      <c r="CP205" s="2" t="e">
        <f t="shared" ca="1" si="23"/>
        <v>#NAME?</v>
      </c>
      <c r="CQ205" s="2">
        <v>8</v>
      </c>
      <c r="CR205" s="2">
        <v>8</v>
      </c>
      <c r="CS205" s="2">
        <v>8</v>
      </c>
      <c r="CT205" s="2">
        <v>8</v>
      </c>
      <c r="CU205" s="2">
        <v>8</v>
      </c>
      <c r="CV205" s="54">
        <f t="shared" si="8"/>
        <v>8</v>
      </c>
      <c r="CW205" s="55"/>
      <c r="CX205" s="3"/>
    </row>
    <row r="206" spans="1:102" ht="16.5" x14ac:dyDescent="0.55000000000000004">
      <c r="A206" s="17">
        <v>2</v>
      </c>
      <c r="B206" s="17" t="s">
        <v>5</v>
      </c>
      <c r="C206" s="23" t="s">
        <v>451</v>
      </c>
      <c r="D206" s="24" t="s">
        <v>452</v>
      </c>
      <c r="E206" s="48"/>
      <c r="F206" s="2">
        <v>20</v>
      </c>
      <c r="G206" s="2">
        <v>10</v>
      </c>
      <c r="H206" s="2">
        <v>10</v>
      </c>
      <c r="I206" s="2">
        <v>10</v>
      </c>
      <c r="J206" s="2">
        <v>10</v>
      </c>
      <c r="K206" s="2">
        <v>10</v>
      </c>
      <c r="L206" s="2">
        <f t="shared" ref="L206:P206" si="64">G206</f>
        <v>10</v>
      </c>
      <c r="M206" s="2">
        <f t="shared" si="64"/>
        <v>10</v>
      </c>
      <c r="N206" s="2">
        <f t="shared" si="64"/>
        <v>10</v>
      </c>
      <c r="O206" s="2">
        <f t="shared" si="64"/>
        <v>10</v>
      </c>
      <c r="P206" s="2">
        <f t="shared" si="64"/>
        <v>10</v>
      </c>
      <c r="Q206" s="2" t="e">
        <f t="shared" ca="1" si="19"/>
        <v>#NAME?</v>
      </c>
      <c r="R206" s="2">
        <v>10</v>
      </c>
      <c r="S206" s="2">
        <v>10</v>
      </c>
      <c r="T206" s="2">
        <v>10</v>
      </c>
      <c r="U206" s="2">
        <v>10</v>
      </c>
      <c r="V206" s="2">
        <v>10</v>
      </c>
      <c r="W206" s="54">
        <f t="shared" si="1"/>
        <v>10</v>
      </c>
      <c r="X206" s="48"/>
      <c r="Y206" s="2"/>
      <c r="Z206" s="2"/>
      <c r="AA206" s="2">
        <v>10</v>
      </c>
      <c r="AB206" s="2">
        <v>10</v>
      </c>
      <c r="AC206" s="2">
        <v>10</v>
      </c>
      <c r="AD206" s="2">
        <v>10</v>
      </c>
      <c r="AE206" s="2">
        <v>10</v>
      </c>
      <c r="AF206" s="2">
        <v>10</v>
      </c>
      <c r="AG206" s="2">
        <v>10</v>
      </c>
      <c r="AH206" s="2">
        <v>10</v>
      </c>
      <c r="AI206" s="2">
        <v>10</v>
      </c>
      <c r="AJ206" s="2">
        <v>10</v>
      </c>
      <c r="AK206" s="3"/>
      <c r="AL206" s="3"/>
      <c r="AM206" s="3"/>
      <c r="AN206" s="3"/>
      <c r="AO206" s="3"/>
      <c r="AP206" s="3"/>
      <c r="AQ206" s="2" t="e">
        <f t="shared" ca="1" si="20"/>
        <v>#NAME?</v>
      </c>
      <c r="AR206" s="2">
        <v>10</v>
      </c>
      <c r="AS206" s="2">
        <v>10</v>
      </c>
      <c r="AT206" s="2">
        <v>10</v>
      </c>
      <c r="AU206" s="2">
        <v>10</v>
      </c>
      <c r="AV206" s="2">
        <v>10</v>
      </c>
      <c r="AW206" s="54">
        <f t="shared" si="3"/>
        <v>10</v>
      </c>
      <c r="AX206" s="48">
        <v>7</v>
      </c>
      <c r="AY206" s="2">
        <v>10</v>
      </c>
      <c r="AZ206" s="2">
        <v>10</v>
      </c>
      <c r="BA206" s="2">
        <v>10</v>
      </c>
      <c r="BB206" s="2">
        <v>10</v>
      </c>
      <c r="BC206" s="2">
        <v>10</v>
      </c>
      <c r="BD206" s="2">
        <v>10</v>
      </c>
      <c r="BE206" s="2">
        <v>10</v>
      </c>
      <c r="BF206" s="2">
        <v>10</v>
      </c>
      <c r="BG206" s="2">
        <v>10</v>
      </c>
      <c r="BH206" s="2">
        <v>10</v>
      </c>
      <c r="BI206" s="57">
        <v>10</v>
      </c>
      <c r="BJ206" s="2" t="e">
        <f t="shared" ca="1" si="21"/>
        <v>#NAME?</v>
      </c>
      <c r="BK206" s="5">
        <v>10</v>
      </c>
      <c r="BL206" s="5">
        <v>10</v>
      </c>
      <c r="BM206" s="5">
        <v>10</v>
      </c>
      <c r="BN206" s="5">
        <v>10</v>
      </c>
      <c r="BO206" s="5">
        <v>10</v>
      </c>
      <c r="BP206" s="54">
        <f t="shared" si="5"/>
        <v>10</v>
      </c>
      <c r="BQ206" s="5"/>
      <c r="BR206" s="5"/>
      <c r="BS206" s="5">
        <v>10</v>
      </c>
      <c r="BT206" s="5">
        <v>10</v>
      </c>
      <c r="BU206" s="5">
        <v>10</v>
      </c>
      <c r="BV206" s="5">
        <v>10</v>
      </c>
      <c r="BW206" s="5">
        <v>10</v>
      </c>
      <c r="BX206" s="5">
        <v>10</v>
      </c>
      <c r="BY206" s="5">
        <v>10</v>
      </c>
      <c r="BZ206" s="5">
        <v>10</v>
      </c>
      <c r="CA206" s="5">
        <v>10</v>
      </c>
      <c r="CB206" s="5">
        <v>10</v>
      </c>
      <c r="CC206" s="2" t="e">
        <f t="shared" ca="1" si="22"/>
        <v>#NAME?</v>
      </c>
      <c r="CD206" s="55"/>
      <c r="CE206" s="2"/>
      <c r="CF206" s="2">
        <v>10</v>
      </c>
      <c r="CG206" s="2">
        <v>10</v>
      </c>
      <c r="CH206" s="2">
        <v>9</v>
      </c>
      <c r="CI206" s="2">
        <v>9</v>
      </c>
      <c r="CJ206" s="2">
        <v>9</v>
      </c>
      <c r="CK206" s="2">
        <v>9</v>
      </c>
      <c r="CL206" s="2">
        <v>9</v>
      </c>
      <c r="CM206" s="2">
        <v>9</v>
      </c>
      <c r="CN206" s="2">
        <v>9</v>
      </c>
      <c r="CO206" s="2">
        <v>9</v>
      </c>
      <c r="CP206" s="2" t="e">
        <f t="shared" ca="1" si="23"/>
        <v>#NAME?</v>
      </c>
      <c r="CQ206" s="2">
        <v>10</v>
      </c>
      <c r="CR206" s="2">
        <v>10</v>
      </c>
      <c r="CS206" s="2">
        <v>9</v>
      </c>
      <c r="CT206" s="2">
        <v>9</v>
      </c>
      <c r="CU206" s="2">
        <v>10</v>
      </c>
      <c r="CV206" s="54">
        <f t="shared" si="8"/>
        <v>10</v>
      </c>
      <c r="CW206" s="55"/>
      <c r="CX206" s="3"/>
    </row>
    <row r="207" spans="1:102" ht="16.5" x14ac:dyDescent="0.55000000000000004">
      <c r="A207" s="17">
        <v>2</v>
      </c>
      <c r="B207" s="17" t="s">
        <v>5</v>
      </c>
      <c r="C207" s="23" t="s">
        <v>453</v>
      </c>
      <c r="D207" s="24" t="s">
        <v>454</v>
      </c>
      <c r="E207" s="48"/>
      <c r="F207" s="2">
        <v>17</v>
      </c>
      <c r="G207" s="2">
        <v>9</v>
      </c>
      <c r="H207" s="2">
        <v>9</v>
      </c>
      <c r="I207" s="2">
        <v>9</v>
      </c>
      <c r="J207" s="2">
        <v>9</v>
      </c>
      <c r="K207" s="2">
        <v>9</v>
      </c>
      <c r="L207" s="2">
        <f t="shared" ref="L207:P207" si="65">G207</f>
        <v>9</v>
      </c>
      <c r="M207" s="2">
        <f t="shared" si="65"/>
        <v>9</v>
      </c>
      <c r="N207" s="2">
        <f t="shared" si="65"/>
        <v>9</v>
      </c>
      <c r="O207" s="2">
        <f t="shared" si="65"/>
        <v>9</v>
      </c>
      <c r="P207" s="2">
        <f t="shared" si="65"/>
        <v>9</v>
      </c>
      <c r="Q207" s="2" t="e">
        <f t="shared" ca="1" si="19"/>
        <v>#NAME?</v>
      </c>
      <c r="R207" s="2">
        <v>10</v>
      </c>
      <c r="S207" s="2">
        <v>10</v>
      </c>
      <c r="T207" s="2">
        <v>10</v>
      </c>
      <c r="U207" s="2">
        <v>10</v>
      </c>
      <c r="V207" s="2">
        <v>10</v>
      </c>
      <c r="W207" s="54">
        <f t="shared" si="1"/>
        <v>10</v>
      </c>
      <c r="X207" s="48"/>
      <c r="Y207" s="2"/>
      <c r="Z207" s="2"/>
      <c r="AA207" s="2">
        <v>10</v>
      </c>
      <c r="AB207" s="2">
        <v>10</v>
      </c>
      <c r="AC207" s="2">
        <v>10</v>
      </c>
      <c r="AD207" s="2">
        <v>10</v>
      </c>
      <c r="AE207" s="2">
        <v>10</v>
      </c>
      <c r="AF207" s="2">
        <v>10</v>
      </c>
      <c r="AG207" s="2">
        <v>10</v>
      </c>
      <c r="AH207" s="2">
        <v>10</v>
      </c>
      <c r="AI207" s="2">
        <v>10</v>
      </c>
      <c r="AJ207" s="2">
        <v>10</v>
      </c>
      <c r="AK207" s="3"/>
      <c r="AL207" s="3"/>
      <c r="AM207" s="3"/>
      <c r="AN207" s="3"/>
      <c r="AO207" s="3"/>
      <c r="AP207" s="3"/>
      <c r="AQ207" s="2" t="e">
        <f t="shared" ca="1" si="20"/>
        <v>#NAME?</v>
      </c>
      <c r="AR207" s="2">
        <v>10</v>
      </c>
      <c r="AS207" s="2">
        <v>10</v>
      </c>
      <c r="AT207" s="2">
        <v>10</v>
      </c>
      <c r="AU207" s="2">
        <v>10</v>
      </c>
      <c r="AV207" s="2">
        <v>10</v>
      </c>
      <c r="AW207" s="54">
        <f t="shared" si="3"/>
        <v>10</v>
      </c>
      <c r="AX207" s="48">
        <v>8</v>
      </c>
      <c r="AY207" s="2">
        <v>10</v>
      </c>
      <c r="AZ207" s="2">
        <v>10</v>
      </c>
      <c r="BA207" s="2">
        <v>10</v>
      </c>
      <c r="BB207" s="2">
        <v>10</v>
      </c>
      <c r="BC207" s="2">
        <v>10</v>
      </c>
      <c r="BD207" s="2">
        <v>10</v>
      </c>
      <c r="BE207" s="2">
        <v>10</v>
      </c>
      <c r="BF207" s="2">
        <v>10</v>
      </c>
      <c r="BG207" s="2">
        <v>10</v>
      </c>
      <c r="BH207" s="2">
        <v>10</v>
      </c>
      <c r="BI207" s="57">
        <v>10</v>
      </c>
      <c r="BJ207" s="2" t="e">
        <f t="shared" ca="1" si="21"/>
        <v>#NAME?</v>
      </c>
      <c r="BK207" s="5">
        <v>10</v>
      </c>
      <c r="BL207" s="5">
        <v>10</v>
      </c>
      <c r="BM207" s="5">
        <v>10</v>
      </c>
      <c r="BN207" s="5">
        <v>10</v>
      </c>
      <c r="BO207" s="5">
        <v>10</v>
      </c>
      <c r="BP207" s="54">
        <f t="shared" si="5"/>
        <v>10</v>
      </c>
      <c r="BQ207" s="5"/>
      <c r="BR207" s="5"/>
      <c r="BS207" s="5">
        <v>10</v>
      </c>
      <c r="BT207" s="5">
        <v>10</v>
      </c>
      <c r="BU207" s="5">
        <v>10</v>
      </c>
      <c r="BV207" s="5">
        <v>10</v>
      </c>
      <c r="BW207" s="5">
        <v>10</v>
      </c>
      <c r="BX207" s="5">
        <v>10</v>
      </c>
      <c r="BY207" s="5">
        <v>10</v>
      </c>
      <c r="BZ207" s="5">
        <v>10</v>
      </c>
      <c r="CA207" s="5">
        <v>10</v>
      </c>
      <c r="CB207" s="5">
        <v>10</v>
      </c>
      <c r="CC207" s="2" t="e">
        <f t="shared" ca="1" si="22"/>
        <v>#NAME?</v>
      </c>
      <c r="CD207" s="55"/>
      <c r="CE207" s="2"/>
      <c r="CF207" s="2">
        <v>10</v>
      </c>
      <c r="CG207" s="2">
        <v>10</v>
      </c>
      <c r="CH207" s="2">
        <v>10</v>
      </c>
      <c r="CI207" s="2">
        <v>10</v>
      </c>
      <c r="CJ207" s="2">
        <v>9</v>
      </c>
      <c r="CK207" s="2">
        <v>9</v>
      </c>
      <c r="CL207" s="2">
        <v>10</v>
      </c>
      <c r="CM207" s="2">
        <v>10</v>
      </c>
      <c r="CN207" s="2">
        <v>10</v>
      </c>
      <c r="CO207" s="2">
        <v>10</v>
      </c>
      <c r="CP207" s="2" t="e">
        <f t="shared" ca="1" si="23"/>
        <v>#NAME?</v>
      </c>
      <c r="CQ207" s="2">
        <v>10</v>
      </c>
      <c r="CR207" s="2">
        <v>10</v>
      </c>
      <c r="CS207" s="2">
        <v>9</v>
      </c>
      <c r="CT207" s="2">
        <v>10</v>
      </c>
      <c r="CU207" s="2">
        <v>10</v>
      </c>
      <c r="CV207" s="54">
        <f t="shared" si="8"/>
        <v>10</v>
      </c>
      <c r="CW207" s="55"/>
      <c r="CX207" s="3"/>
    </row>
    <row r="208" spans="1:102" ht="16.5" x14ac:dyDescent="0.55000000000000004">
      <c r="A208" s="17">
        <v>2</v>
      </c>
      <c r="B208" s="17" t="s">
        <v>5</v>
      </c>
      <c r="C208" s="23" t="s">
        <v>455</v>
      </c>
      <c r="D208" s="24" t="s">
        <v>456</v>
      </c>
      <c r="E208" s="48"/>
      <c r="F208" s="48">
        <v>20</v>
      </c>
      <c r="G208" s="2">
        <v>10</v>
      </c>
      <c r="H208" s="2">
        <v>10</v>
      </c>
      <c r="I208" s="2">
        <v>10</v>
      </c>
      <c r="J208" s="2">
        <v>10</v>
      </c>
      <c r="K208" s="2">
        <v>10</v>
      </c>
      <c r="L208" s="2">
        <f t="shared" ref="L208:P208" si="66">G208</f>
        <v>10</v>
      </c>
      <c r="M208" s="2">
        <f t="shared" si="66"/>
        <v>10</v>
      </c>
      <c r="N208" s="2">
        <f t="shared" si="66"/>
        <v>10</v>
      </c>
      <c r="O208" s="2">
        <f t="shared" si="66"/>
        <v>10</v>
      </c>
      <c r="P208" s="2">
        <f t="shared" si="66"/>
        <v>10</v>
      </c>
      <c r="Q208" s="2" t="e">
        <f t="shared" ca="1" si="19"/>
        <v>#NAME?</v>
      </c>
      <c r="R208" s="2">
        <v>10</v>
      </c>
      <c r="S208" s="2">
        <v>10</v>
      </c>
      <c r="T208" s="2">
        <v>10</v>
      </c>
      <c r="U208" s="2">
        <v>10</v>
      </c>
      <c r="V208" s="2">
        <v>10</v>
      </c>
      <c r="W208" s="54">
        <f t="shared" si="1"/>
        <v>10</v>
      </c>
      <c r="X208" s="48"/>
      <c r="Y208" s="2"/>
      <c r="Z208" s="2"/>
      <c r="AA208" s="2">
        <v>7</v>
      </c>
      <c r="AB208" s="2">
        <v>7</v>
      </c>
      <c r="AC208" s="2">
        <v>10</v>
      </c>
      <c r="AD208" s="2">
        <v>10</v>
      </c>
      <c r="AE208" s="2">
        <v>10</v>
      </c>
      <c r="AF208" s="2">
        <v>10</v>
      </c>
      <c r="AG208" s="2">
        <v>10</v>
      </c>
      <c r="AH208" s="2">
        <v>10</v>
      </c>
      <c r="AI208" s="2">
        <v>10</v>
      </c>
      <c r="AJ208" s="2">
        <v>10</v>
      </c>
      <c r="AK208" s="3"/>
      <c r="AL208" s="3"/>
      <c r="AM208" s="3"/>
      <c r="AN208" s="3"/>
      <c r="AO208" s="3"/>
      <c r="AP208" s="3"/>
      <c r="AQ208" s="2" t="e">
        <f t="shared" ca="1" si="20"/>
        <v>#NAME?</v>
      </c>
      <c r="AR208" s="2">
        <v>10</v>
      </c>
      <c r="AS208" s="2">
        <v>10</v>
      </c>
      <c r="AT208" s="2">
        <v>10</v>
      </c>
      <c r="AU208" s="2">
        <v>10</v>
      </c>
      <c r="AV208" s="2">
        <v>10</v>
      </c>
      <c r="AW208" s="54">
        <f t="shared" si="3"/>
        <v>10</v>
      </c>
      <c r="AX208" s="48">
        <v>7</v>
      </c>
      <c r="AY208" s="2">
        <v>10</v>
      </c>
      <c r="AZ208" s="2">
        <v>10</v>
      </c>
      <c r="BA208" s="2">
        <v>10</v>
      </c>
      <c r="BB208" s="2">
        <v>10</v>
      </c>
      <c r="BC208" s="2">
        <v>10</v>
      </c>
      <c r="BD208" s="2">
        <v>10</v>
      </c>
      <c r="BE208" s="2">
        <v>10</v>
      </c>
      <c r="BF208" s="2">
        <v>10</v>
      </c>
      <c r="BG208" s="2">
        <v>10</v>
      </c>
      <c r="BH208" s="2">
        <v>10</v>
      </c>
      <c r="BI208" s="57">
        <v>10</v>
      </c>
      <c r="BJ208" s="2" t="e">
        <f t="shared" ca="1" si="21"/>
        <v>#NAME?</v>
      </c>
      <c r="BK208" s="5">
        <v>10</v>
      </c>
      <c r="BL208" s="5">
        <v>10</v>
      </c>
      <c r="BM208" s="5">
        <v>10</v>
      </c>
      <c r="BN208" s="5">
        <v>10</v>
      </c>
      <c r="BO208" s="5">
        <v>10</v>
      </c>
      <c r="BP208" s="54">
        <f t="shared" si="5"/>
        <v>10</v>
      </c>
      <c r="BQ208" s="5"/>
      <c r="BR208" s="5"/>
      <c r="BS208" s="5">
        <v>10</v>
      </c>
      <c r="BT208" s="5">
        <v>10</v>
      </c>
      <c r="BU208" s="5">
        <v>10</v>
      </c>
      <c r="BV208" s="5">
        <v>10</v>
      </c>
      <c r="BW208" s="5">
        <v>10</v>
      </c>
      <c r="BX208" s="5">
        <v>10</v>
      </c>
      <c r="BY208" s="5">
        <v>10</v>
      </c>
      <c r="BZ208" s="5">
        <v>10</v>
      </c>
      <c r="CA208" s="5">
        <v>10</v>
      </c>
      <c r="CB208" s="5">
        <v>10</v>
      </c>
      <c r="CC208" s="2" t="e">
        <f t="shared" ca="1" si="22"/>
        <v>#NAME?</v>
      </c>
      <c r="CD208" s="55"/>
      <c r="CE208" s="2"/>
      <c r="CF208" s="2">
        <v>8</v>
      </c>
      <c r="CG208" s="2">
        <v>8</v>
      </c>
      <c r="CH208" s="2">
        <v>8</v>
      </c>
      <c r="CI208" s="2">
        <v>8</v>
      </c>
      <c r="CJ208" s="2">
        <v>8</v>
      </c>
      <c r="CK208" s="2">
        <v>8</v>
      </c>
      <c r="CL208" s="2">
        <v>8</v>
      </c>
      <c r="CM208" s="2">
        <v>8</v>
      </c>
      <c r="CN208" s="2">
        <v>8</v>
      </c>
      <c r="CO208" s="2">
        <v>8</v>
      </c>
      <c r="CP208" s="2" t="e">
        <f t="shared" ca="1" si="23"/>
        <v>#NAME?</v>
      </c>
      <c r="CQ208" s="2">
        <v>8</v>
      </c>
      <c r="CR208" s="2">
        <v>8</v>
      </c>
      <c r="CS208" s="2">
        <v>8</v>
      </c>
      <c r="CT208" s="2">
        <v>8</v>
      </c>
      <c r="CU208" s="2">
        <v>8</v>
      </c>
      <c r="CV208" s="54">
        <f t="shared" si="8"/>
        <v>8</v>
      </c>
      <c r="CW208" s="55"/>
      <c r="CX208" s="3"/>
    </row>
    <row r="209" spans="1:102" ht="16.5" x14ac:dyDescent="0.55000000000000004">
      <c r="A209" s="17">
        <v>2</v>
      </c>
      <c r="B209" s="17" t="s">
        <v>5</v>
      </c>
      <c r="C209" s="23" t="s">
        <v>457</v>
      </c>
      <c r="D209" s="24" t="s">
        <v>458</v>
      </c>
      <c r="E209" s="48"/>
      <c r="F209" s="2">
        <v>19</v>
      </c>
      <c r="G209" s="2">
        <v>10</v>
      </c>
      <c r="H209" s="2">
        <v>10</v>
      </c>
      <c r="I209" s="2">
        <v>10</v>
      </c>
      <c r="J209" s="2">
        <v>9</v>
      </c>
      <c r="K209" s="2">
        <v>9</v>
      </c>
      <c r="L209" s="2">
        <f t="shared" ref="L209:P209" si="67">G209</f>
        <v>10</v>
      </c>
      <c r="M209" s="2">
        <f t="shared" si="67"/>
        <v>10</v>
      </c>
      <c r="N209" s="2">
        <f t="shared" si="67"/>
        <v>10</v>
      </c>
      <c r="O209" s="2">
        <f t="shared" si="67"/>
        <v>9</v>
      </c>
      <c r="P209" s="2">
        <f t="shared" si="67"/>
        <v>9</v>
      </c>
      <c r="Q209" s="2" t="e">
        <f t="shared" ca="1" si="19"/>
        <v>#NAME?</v>
      </c>
      <c r="R209" s="2">
        <v>10</v>
      </c>
      <c r="S209" s="2">
        <v>10</v>
      </c>
      <c r="T209" s="2">
        <v>10</v>
      </c>
      <c r="U209" s="2">
        <v>10</v>
      </c>
      <c r="V209" s="2">
        <v>10</v>
      </c>
      <c r="W209" s="54">
        <f t="shared" si="1"/>
        <v>10</v>
      </c>
      <c r="X209" s="48"/>
      <c r="Y209" s="2"/>
      <c r="Z209" s="2"/>
      <c r="AA209" s="2">
        <v>10</v>
      </c>
      <c r="AB209" s="2">
        <v>10</v>
      </c>
      <c r="AC209" s="2">
        <v>10</v>
      </c>
      <c r="AD209" s="2">
        <v>10</v>
      </c>
      <c r="AE209" s="2">
        <v>10</v>
      </c>
      <c r="AF209" s="2">
        <v>10</v>
      </c>
      <c r="AG209" s="2">
        <v>10</v>
      </c>
      <c r="AH209" s="2">
        <v>10</v>
      </c>
      <c r="AI209" s="2">
        <v>10</v>
      </c>
      <c r="AJ209" s="2">
        <v>10</v>
      </c>
      <c r="AK209" s="3"/>
      <c r="AL209" s="3"/>
      <c r="AM209" s="3"/>
      <c r="AN209" s="3"/>
      <c r="AO209" s="3"/>
      <c r="AP209" s="3"/>
      <c r="AQ209" s="2" t="e">
        <f t="shared" ca="1" si="20"/>
        <v>#NAME?</v>
      </c>
      <c r="AR209" s="2">
        <v>10</v>
      </c>
      <c r="AS209" s="2">
        <v>10</v>
      </c>
      <c r="AT209" s="2">
        <v>10</v>
      </c>
      <c r="AU209" s="2">
        <v>10</v>
      </c>
      <c r="AV209" s="2">
        <v>10</v>
      </c>
      <c r="AW209" s="54">
        <f t="shared" si="3"/>
        <v>10</v>
      </c>
      <c r="AX209" s="48">
        <v>5</v>
      </c>
      <c r="AY209" s="2">
        <v>10</v>
      </c>
      <c r="AZ209" s="8">
        <v>10</v>
      </c>
      <c r="BA209" s="8">
        <v>10</v>
      </c>
      <c r="BB209" s="88">
        <v>10</v>
      </c>
      <c r="BC209" s="88">
        <v>10</v>
      </c>
      <c r="BD209" s="88">
        <v>10</v>
      </c>
      <c r="BE209" s="88">
        <v>10</v>
      </c>
      <c r="BF209" s="8">
        <v>10</v>
      </c>
      <c r="BG209" s="88">
        <v>10</v>
      </c>
      <c r="BH209" s="88">
        <v>10</v>
      </c>
      <c r="BI209" s="89">
        <v>10</v>
      </c>
      <c r="BJ209" s="2" t="e">
        <f t="shared" ca="1" si="21"/>
        <v>#NAME?</v>
      </c>
      <c r="BK209" s="5">
        <v>10</v>
      </c>
      <c r="BL209" s="5">
        <v>10</v>
      </c>
      <c r="BM209" s="5">
        <v>10</v>
      </c>
      <c r="BN209" s="5">
        <v>10</v>
      </c>
      <c r="BO209" s="5">
        <v>10</v>
      </c>
      <c r="BP209" s="54">
        <f t="shared" si="5"/>
        <v>10</v>
      </c>
      <c r="BQ209" s="5"/>
      <c r="BR209" s="5"/>
      <c r="BS209" s="5">
        <v>10</v>
      </c>
      <c r="BT209" s="5">
        <v>10</v>
      </c>
      <c r="BU209" s="5">
        <v>10</v>
      </c>
      <c r="BV209" s="5">
        <v>10</v>
      </c>
      <c r="BW209" s="5">
        <v>10</v>
      </c>
      <c r="BX209" s="5">
        <v>10</v>
      </c>
      <c r="BY209" s="5">
        <v>10</v>
      </c>
      <c r="BZ209" s="5">
        <v>10</v>
      </c>
      <c r="CA209" s="5">
        <v>10</v>
      </c>
      <c r="CB209" s="5">
        <v>10</v>
      </c>
      <c r="CC209" s="2" t="e">
        <f t="shared" ca="1" si="22"/>
        <v>#NAME?</v>
      </c>
      <c r="CD209" s="55"/>
      <c r="CE209" s="2"/>
      <c r="CF209" s="2">
        <v>8</v>
      </c>
      <c r="CG209" s="2">
        <v>8</v>
      </c>
      <c r="CH209" s="2">
        <v>8</v>
      </c>
      <c r="CI209" s="2">
        <v>8</v>
      </c>
      <c r="CJ209" s="2">
        <v>7</v>
      </c>
      <c r="CK209" s="2">
        <v>7</v>
      </c>
      <c r="CL209" s="2">
        <v>7</v>
      </c>
      <c r="CM209" s="2">
        <v>8</v>
      </c>
      <c r="CN209" s="2">
        <v>8</v>
      </c>
      <c r="CO209" s="2">
        <v>7</v>
      </c>
      <c r="CP209" s="2" t="e">
        <f t="shared" ca="1" si="23"/>
        <v>#NAME?</v>
      </c>
      <c r="CQ209" s="2">
        <v>7</v>
      </c>
      <c r="CR209" s="2">
        <v>7</v>
      </c>
      <c r="CS209" s="2">
        <v>8</v>
      </c>
      <c r="CT209" s="2">
        <v>8</v>
      </c>
      <c r="CU209" s="2">
        <v>7</v>
      </c>
      <c r="CV209" s="54">
        <f t="shared" si="8"/>
        <v>8</v>
      </c>
      <c r="CW209" s="55"/>
      <c r="CX209" s="3"/>
    </row>
    <row r="210" spans="1:102" ht="16.5" x14ac:dyDescent="0.55000000000000004">
      <c r="A210" s="17">
        <v>2</v>
      </c>
      <c r="B210" s="17" t="s">
        <v>5</v>
      </c>
      <c r="C210" s="23" t="s">
        <v>459</v>
      </c>
      <c r="D210" s="24" t="s">
        <v>460</v>
      </c>
      <c r="E210" s="48"/>
      <c r="F210" s="2">
        <v>19</v>
      </c>
      <c r="G210" s="2">
        <v>9</v>
      </c>
      <c r="H210" s="2">
        <v>9</v>
      </c>
      <c r="I210" s="2">
        <v>8</v>
      </c>
      <c r="J210" s="2">
        <v>8</v>
      </c>
      <c r="K210" s="2">
        <v>8</v>
      </c>
      <c r="L210" s="2">
        <f t="shared" ref="L210:P210" si="68">G210</f>
        <v>9</v>
      </c>
      <c r="M210" s="2">
        <f t="shared" si="68"/>
        <v>9</v>
      </c>
      <c r="N210" s="2">
        <f t="shared" si="68"/>
        <v>8</v>
      </c>
      <c r="O210" s="2">
        <f t="shared" si="68"/>
        <v>8</v>
      </c>
      <c r="P210" s="2">
        <f t="shared" si="68"/>
        <v>8</v>
      </c>
      <c r="Q210" s="2" t="e">
        <f t="shared" ca="1" si="19"/>
        <v>#NAME?</v>
      </c>
      <c r="R210" s="2">
        <v>10</v>
      </c>
      <c r="S210" s="2">
        <v>10</v>
      </c>
      <c r="T210" s="2">
        <v>10</v>
      </c>
      <c r="U210" s="2">
        <v>10</v>
      </c>
      <c r="V210" s="2">
        <v>10</v>
      </c>
      <c r="W210" s="54">
        <f t="shared" si="1"/>
        <v>10</v>
      </c>
      <c r="X210" s="48"/>
      <c r="Y210" s="2"/>
      <c r="Z210" s="2"/>
      <c r="AA210" s="2">
        <v>10</v>
      </c>
      <c r="AB210" s="2">
        <v>10</v>
      </c>
      <c r="AC210" s="2">
        <v>0</v>
      </c>
      <c r="AD210" s="2">
        <v>0</v>
      </c>
      <c r="AE210" s="2">
        <v>4</v>
      </c>
      <c r="AF210" s="2">
        <v>4</v>
      </c>
      <c r="AG210" s="2">
        <v>10</v>
      </c>
      <c r="AH210" s="2">
        <v>10</v>
      </c>
      <c r="AI210" s="2">
        <v>10</v>
      </c>
      <c r="AJ210" s="2">
        <v>10</v>
      </c>
      <c r="AK210" s="3"/>
      <c r="AL210" s="3"/>
      <c r="AM210" s="3"/>
      <c r="AN210" s="3"/>
      <c r="AO210" s="3"/>
      <c r="AP210" s="3"/>
      <c r="AQ210" s="2" t="e">
        <f t="shared" ca="1" si="20"/>
        <v>#NAME?</v>
      </c>
      <c r="AR210" s="2">
        <v>10</v>
      </c>
      <c r="AS210" s="2">
        <v>10</v>
      </c>
      <c r="AT210" s="2">
        <v>7</v>
      </c>
      <c r="AU210" s="2">
        <v>5</v>
      </c>
      <c r="AV210" s="2">
        <v>5</v>
      </c>
      <c r="AW210" s="54">
        <f t="shared" si="3"/>
        <v>8</v>
      </c>
      <c r="AX210" s="48">
        <v>6</v>
      </c>
      <c r="AY210" s="2">
        <v>10</v>
      </c>
      <c r="AZ210" s="2">
        <v>10</v>
      </c>
      <c r="BA210" s="2">
        <v>10</v>
      </c>
      <c r="BB210" s="2">
        <v>10</v>
      </c>
      <c r="BC210" s="2">
        <v>10</v>
      </c>
      <c r="BD210" s="2">
        <v>10</v>
      </c>
      <c r="BE210" s="2">
        <v>10</v>
      </c>
      <c r="BF210" s="2">
        <v>10</v>
      </c>
      <c r="BG210" s="2">
        <v>0</v>
      </c>
      <c r="BH210" s="2">
        <v>10</v>
      </c>
      <c r="BI210" s="57">
        <v>0</v>
      </c>
      <c r="BJ210" s="2" t="e">
        <f t="shared" ca="1" si="21"/>
        <v>#NAME?</v>
      </c>
      <c r="BK210" s="5">
        <v>10</v>
      </c>
      <c r="BL210" s="5">
        <v>10</v>
      </c>
      <c r="BM210" s="5">
        <v>10</v>
      </c>
      <c r="BN210" s="5">
        <v>10</v>
      </c>
      <c r="BO210" s="5">
        <v>10</v>
      </c>
      <c r="BP210" s="54">
        <f t="shared" si="5"/>
        <v>10</v>
      </c>
      <c r="BQ210" s="5"/>
      <c r="BR210" s="5"/>
      <c r="BS210" s="5">
        <v>10</v>
      </c>
      <c r="BT210" s="5">
        <v>10</v>
      </c>
      <c r="BU210" s="5">
        <v>10</v>
      </c>
      <c r="BV210" s="5">
        <v>10</v>
      </c>
      <c r="BW210" s="5">
        <v>10</v>
      </c>
      <c r="BX210" s="5">
        <v>10</v>
      </c>
      <c r="BY210" s="5">
        <v>10</v>
      </c>
      <c r="BZ210" s="5">
        <v>10</v>
      </c>
      <c r="CA210" s="5">
        <v>10</v>
      </c>
      <c r="CB210" s="5">
        <v>10</v>
      </c>
      <c r="CC210" s="2" t="e">
        <f t="shared" ca="1" si="22"/>
        <v>#NAME?</v>
      </c>
      <c r="CD210" s="55"/>
      <c r="CE210" s="2"/>
      <c r="CF210" s="2">
        <v>7</v>
      </c>
      <c r="CG210" s="2">
        <v>7</v>
      </c>
      <c r="CH210" s="2">
        <v>7</v>
      </c>
      <c r="CI210" s="2">
        <v>7</v>
      </c>
      <c r="CJ210" s="2">
        <v>7</v>
      </c>
      <c r="CK210" s="2">
        <v>7</v>
      </c>
      <c r="CL210" s="2">
        <v>7</v>
      </c>
      <c r="CM210" s="2">
        <v>7</v>
      </c>
      <c r="CN210" s="2">
        <v>7</v>
      </c>
      <c r="CO210" s="2">
        <v>7</v>
      </c>
      <c r="CP210" s="2" t="e">
        <f t="shared" ca="1" si="23"/>
        <v>#NAME?</v>
      </c>
      <c r="CQ210" s="2">
        <v>7</v>
      </c>
      <c r="CR210" s="2">
        <v>7</v>
      </c>
      <c r="CS210" s="2">
        <v>8</v>
      </c>
      <c r="CT210" s="2">
        <v>8</v>
      </c>
      <c r="CU210" s="2">
        <v>7</v>
      </c>
      <c r="CV210" s="54">
        <f t="shared" si="8"/>
        <v>8</v>
      </c>
      <c r="CW210" s="55"/>
      <c r="CX210" s="3"/>
    </row>
    <row r="211" spans="1:102" ht="16.5" x14ac:dyDescent="0.55000000000000004">
      <c r="A211" s="17">
        <v>2</v>
      </c>
      <c r="B211" s="17" t="s">
        <v>5</v>
      </c>
      <c r="C211" s="23" t="s">
        <v>461</v>
      </c>
      <c r="D211" s="24" t="s">
        <v>462</v>
      </c>
      <c r="E211" s="48"/>
      <c r="F211" s="2">
        <v>20</v>
      </c>
      <c r="G211" s="2">
        <v>10</v>
      </c>
      <c r="H211" s="2">
        <v>10</v>
      </c>
      <c r="I211" s="2">
        <v>10</v>
      </c>
      <c r="J211" s="2">
        <v>10</v>
      </c>
      <c r="K211" s="2">
        <v>10</v>
      </c>
      <c r="L211" s="2">
        <f t="shared" ref="L211:P211" si="69">G211</f>
        <v>10</v>
      </c>
      <c r="M211" s="2">
        <f t="shared" si="69"/>
        <v>10</v>
      </c>
      <c r="N211" s="2">
        <f t="shared" si="69"/>
        <v>10</v>
      </c>
      <c r="O211" s="2">
        <f t="shared" si="69"/>
        <v>10</v>
      </c>
      <c r="P211" s="2">
        <f t="shared" si="69"/>
        <v>10</v>
      </c>
      <c r="Q211" s="2" t="e">
        <f t="shared" ca="1" si="19"/>
        <v>#NAME?</v>
      </c>
      <c r="R211" s="2">
        <v>10</v>
      </c>
      <c r="S211" s="2">
        <v>10</v>
      </c>
      <c r="T211" s="2">
        <v>10</v>
      </c>
      <c r="U211" s="2">
        <v>10</v>
      </c>
      <c r="V211" s="2">
        <v>10</v>
      </c>
      <c r="W211" s="54">
        <f t="shared" si="1"/>
        <v>10</v>
      </c>
      <c r="X211" s="48"/>
      <c r="Y211" s="2"/>
      <c r="Z211" s="2"/>
      <c r="AA211" s="2">
        <v>10</v>
      </c>
      <c r="AB211" s="2">
        <v>10</v>
      </c>
      <c r="AC211" s="2">
        <v>10</v>
      </c>
      <c r="AD211" s="2">
        <v>10</v>
      </c>
      <c r="AE211" s="2">
        <v>10</v>
      </c>
      <c r="AF211" s="2">
        <v>10</v>
      </c>
      <c r="AG211" s="2">
        <v>10</v>
      </c>
      <c r="AH211" s="2">
        <v>10</v>
      </c>
      <c r="AI211" s="2">
        <v>10</v>
      </c>
      <c r="AJ211" s="2">
        <v>10</v>
      </c>
      <c r="AK211" s="3"/>
      <c r="AL211" s="3"/>
      <c r="AM211" s="3"/>
      <c r="AN211" s="3"/>
      <c r="AO211" s="3"/>
      <c r="AP211" s="3"/>
      <c r="AQ211" s="2" t="e">
        <f t="shared" ca="1" si="20"/>
        <v>#NAME?</v>
      </c>
      <c r="AR211" s="2">
        <v>10</v>
      </c>
      <c r="AS211" s="2">
        <v>10</v>
      </c>
      <c r="AT211" s="2">
        <v>10</v>
      </c>
      <c r="AU211" s="2">
        <v>10</v>
      </c>
      <c r="AV211" s="2">
        <v>10</v>
      </c>
      <c r="AW211" s="54">
        <f t="shared" si="3"/>
        <v>10</v>
      </c>
      <c r="AX211" s="48">
        <v>7</v>
      </c>
      <c r="AY211" s="2">
        <v>10</v>
      </c>
      <c r="AZ211" s="2">
        <v>10</v>
      </c>
      <c r="BA211" s="2">
        <v>10</v>
      </c>
      <c r="BB211" s="2">
        <v>10</v>
      </c>
      <c r="BC211" s="2">
        <v>10</v>
      </c>
      <c r="BD211" s="2">
        <v>10</v>
      </c>
      <c r="BE211" s="2">
        <v>10</v>
      </c>
      <c r="BF211" s="2">
        <v>10</v>
      </c>
      <c r="BG211" s="2">
        <v>10</v>
      </c>
      <c r="BH211" s="2">
        <v>10</v>
      </c>
      <c r="BI211" s="57">
        <v>0</v>
      </c>
      <c r="BJ211" s="2" t="e">
        <f t="shared" ca="1" si="21"/>
        <v>#NAME?</v>
      </c>
      <c r="BK211" s="5">
        <v>10</v>
      </c>
      <c r="BL211" s="5">
        <v>10</v>
      </c>
      <c r="BM211" s="5">
        <v>10</v>
      </c>
      <c r="BN211" s="5">
        <v>10</v>
      </c>
      <c r="BO211" s="5">
        <v>10</v>
      </c>
      <c r="BP211" s="54">
        <f t="shared" si="5"/>
        <v>10</v>
      </c>
      <c r="BQ211" s="5"/>
      <c r="BR211" s="5"/>
      <c r="BS211" s="5">
        <v>10</v>
      </c>
      <c r="BT211" s="5">
        <v>10</v>
      </c>
      <c r="BU211" s="5">
        <v>10</v>
      </c>
      <c r="BV211" s="5">
        <v>10</v>
      </c>
      <c r="BW211" s="5">
        <v>10</v>
      </c>
      <c r="BX211" s="5">
        <v>10</v>
      </c>
      <c r="BY211" s="5">
        <v>10</v>
      </c>
      <c r="BZ211" s="5">
        <v>10</v>
      </c>
      <c r="CA211" s="5">
        <v>10</v>
      </c>
      <c r="CB211" s="5">
        <v>10</v>
      </c>
      <c r="CC211" s="2" t="e">
        <f t="shared" ca="1" si="22"/>
        <v>#NAME?</v>
      </c>
      <c r="CD211" s="55"/>
      <c r="CE211" s="2"/>
      <c r="CF211" s="2">
        <v>10</v>
      </c>
      <c r="CG211" s="2">
        <v>10</v>
      </c>
      <c r="CH211" s="2">
        <v>10</v>
      </c>
      <c r="CI211" s="2">
        <v>10</v>
      </c>
      <c r="CJ211" s="2">
        <v>10</v>
      </c>
      <c r="CK211" s="2">
        <v>10</v>
      </c>
      <c r="CL211" s="2">
        <v>10</v>
      </c>
      <c r="CM211" s="2">
        <v>10</v>
      </c>
      <c r="CN211" s="2">
        <v>10</v>
      </c>
      <c r="CO211" s="2">
        <v>10</v>
      </c>
      <c r="CP211" s="2" t="e">
        <f t="shared" ca="1" si="23"/>
        <v>#NAME?</v>
      </c>
      <c r="CQ211" s="2">
        <v>10</v>
      </c>
      <c r="CR211" s="2">
        <v>10</v>
      </c>
      <c r="CS211" s="2">
        <v>10</v>
      </c>
      <c r="CT211" s="2">
        <v>10</v>
      </c>
      <c r="CU211" s="2">
        <v>10</v>
      </c>
      <c r="CV211" s="54">
        <f t="shared" si="8"/>
        <v>10</v>
      </c>
      <c r="CW211" s="55"/>
      <c r="CX211" s="3"/>
    </row>
    <row r="212" spans="1:102" ht="16.5" x14ac:dyDescent="0.55000000000000004">
      <c r="A212" s="17">
        <v>2</v>
      </c>
      <c r="B212" s="17" t="s">
        <v>5</v>
      </c>
      <c r="C212" s="23" t="s">
        <v>463</v>
      </c>
      <c r="D212" s="24" t="s">
        <v>464</v>
      </c>
      <c r="E212" s="48"/>
      <c r="F212" s="2">
        <v>11</v>
      </c>
      <c r="G212" s="2">
        <v>8</v>
      </c>
      <c r="H212" s="2">
        <v>8</v>
      </c>
      <c r="I212" s="2">
        <v>8</v>
      </c>
      <c r="J212" s="2">
        <v>8</v>
      </c>
      <c r="K212" s="2">
        <v>8</v>
      </c>
      <c r="L212" s="2">
        <f t="shared" ref="L212:P212" si="70">G212</f>
        <v>8</v>
      </c>
      <c r="M212" s="2">
        <f t="shared" si="70"/>
        <v>8</v>
      </c>
      <c r="N212" s="2">
        <f t="shared" si="70"/>
        <v>8</v>
      </c>
      <c r="O212" s="2">
        <f t="shared" si="70"/>
        <v>8</v>
      </c>
      <c r="P212" s="2">
        <f t="shared" si="70"/>
        <v>8</v>
      </c>
      <c r="Q212" s="2" t="e">
        <f t="shared" ca="1" si="19"/>
        <v>#NAME?</v>
      </c>
      <c r="R212" s="2">
        <v>9</v>
      </c>
      <c r="S212" s="2">
        <v>9</v>
      </c>
      <c r="T212" s="2">
        <v>9</v>
      </c>
      <c r="U212" s="2">
        <v>9</v>
      </c>
      <c r="V212" s="2">
        <v>9</v>
      </c>
      <c r="W212" s="54">
        <f t="shared" si="1"/>
        <v>9</v>
      </c>
      <c r="X212" s="48"/>
      <c r="Y212" s="2"/>
      <c r="Z212" s="2"/>
      <c r="AA212" s="2">
        <v>5</v>
      </c>
      <c r="AB212" s="2">
        <v>5</v>
      </c>
      <c r="AC212" s="2">
        <v>5</v>
      </c>
      <c r="AD212" s="2">
        <v>5</v>
      </c>
      <c r="AE212" s="2">
        <v>10</v>
      </c>
      <c r="AF212" s="2">
        <v>10</v>
      </c>
      <c r="AG212" s="2">
        <v>10</v>
      </c>
      <c r="AH212" s="2">
        <v>10</v>
      </c>
      <c r="AI212" s="2">
        <v>10</v>
      </c>
      <c r="AJ212" s="2">
        <v>10</v>
      </c>
      <c r="AK212" s="3"/>
      <c r="AL212" s="3"/>
      <c r="AM212" s="3"/>
      <c r="AN212" s="3"/>
      <c r="AO212" s="3"/>
      <c r="AP212" s="3"/>
      <c r="AQ212" s="2" t="e">
        <f t="shared" ca="1" si="20"/>
        <v>#NAME?</v>
      </c>
      <c r="AR212" s="2">
        <v>10</v>
      </c>
      <c r="AS212" s="2">
        <v>10</v>
      </c>
      <c r="AT212" s="2">
        <v>10</v>
      </c>
      <c r="AU212" s="2">
        <v>10</v>
      </c>
      <c r="AV212" s="2">
        <v>10</v>
      </c>
      <c r="AW212" s="54">
        <f t="shared" si="3"/>
        <v>10</v>
      </c>
      <c r="AX212" s="48">
        <v>8</v>
      </c>
      <c r="AY212" s="2">
        <v>10</v>
      </c>
      <c r="AZ212" s="2">
        <v>10</v>
      </c>
      <c r="BA212" s="2">
        <v>10</v>
      </c>
      <c r="BB212" s="2">
        <v>10</v>
      </c>
      <c r="BC212" s="2">
        <v>10</v>
      </c>
      <c r="BD212" s="2">
        <v>10</v>
      </c>
      <c r="BE212" s="2">
        <v>10</v>
      </c>
      <c r="BF212" s="2">
        <v>10</v>
      </c>
      <c r="BG212" s="2">
        <v>10</v>
      </c>
      <c r="BH212" s="2">
        <v>10</v>
      </c>
      <c r="BI212" s="57">
        <v>0</v>
      </c>
      <c r="BJ212" s="2" t="e">
        <f t="shared" ca="1" si="21"/>
        <v>#NAME?</v>
      </c>
      <c r="BK212" s="5">
        <v>10</v>
      </c>
      <c r="BL212" s="5">
        <v>10</v>
      </c>
      <c r="BM212" s="5">
        <v>10</v>
      </c>
      <c r="BN212" s="5">
        <v>10</v>
      </c>
      <c r="BO212" s="5">
        <v>10</v>
      </c>
      <c r="BP212" s="54">
        <f t="shared" si="5"/>
        <v>10</v>
      </c>
      <c r="BQ212" s="5"/>
      <c r="BR212" s="5"/>
      <c r="BS212" s="5">
        <v>10</v>
      </c>
      <c r="BT212" s="5">
        <v>10</v>
      </c>
      <c r="BU212" s="5">
        <v>10</v>
      </c>
      <c r="BV212" s="5">
        <v>10</v>
      </c>
      <c r="BW212" s="5">
        <v>10</v>
      </c>
      <c r="BX212" s="5">
        <v>10</v>
      </c>
      <c r="BY212" s="5">
        <v>10</v>
      </c>
      <c r="BZ212" s="5">
        <v>10</v>
      </c>
      <c r="CA212" s="5">
        <v>10</v>
      </c>
      <c r="CB212" s="5">
        <v>10</v>
      </c>
      <c r="CC212" s="2" t="e">
        <f t="shared" ca="1" si="22"/>
        <v>#NAME?</v>
      </c>
      <c r="CD212" s="55"/>
      <c r="CE212" s="2"/>
      <c r="CF212" s="2">
        <v>7</v>
      </c>
      <c r="CG212" s="2">
        <v>7</v>
      </c>
      <c r="CH212" s="2">
        <v>8</v>
      </c>
      <c r="CI212" s="2">
        <v>8</v>
      </c>
      <c r="CJ212" s="2">
        <v>7</v>
      </c>
      <c r="CK212" s="2">
        <v>7</v>
      </c>
      <c r="CL212" s="2">
        <v>7</v>
      </c>
      <c r="CM212" s="2">
        <v>8</v>
      </c>
      <c r="CN212" s="2">
        <v>8</v>
      </c>
      <c r="CO212" s="2">
        <v>7</v>
      </c>
      <c r="CP212" s="2" t="e">
        <f t="shared" ca="1" si="23"/>
        <v>#NAME?</v>
      </c>
      <c r="CQ212" s="2">
        <v>7</v>
      </c>
      <c r="CR212" s="2">
        <v>7</v>
      </c>
      <c r="CS212" s="2">
        <v>8</v>
      </c>
      <c r="CT212" s="2">
        <v>8</v>
      </c>
      <c r="CU212" s="2">
        <v>8</v>
      </c>
      <c r="CV212" s="54">
        <f t="shared" si="8"/>
        <v>8</v>
      </c>
      <c r="CW212" s="55"/>
      <c r="CX212" s="3"/>
    </row>
    <row r="213" spans="1:102" ht="16.5" x14ac:dyDescent="0.55000000000000004">
      <c r="A213" s="17">
        <v>2</v>
      </c>
      <c r="B213" s="17" t="s">
        <v>5</v>
      </c>
      <c r="C213" s="23" t="s">
        <v>465</v>
      </c>
      <c r="D213" s="24" t="s">
        <v>466</v>
      </c>
      <c r="E213" s="48"/>
      <c r="F213" s="2">
        <v>16</v>
      </c>
      <c r="G213" s="2">
        <v>8</v>
      </c>
      <c r="H213" s="2">
        <v>8</v>
      </c>
      <c r="I213" s="2">
        <v>8</v>
      </c>
      <c r="J213" s="2">
        <v>8</v>
      </c>
      <c r="K213" s="2">
        <v>8</v>
      </c>
      <c r="L213" s="2">
        <f t="shared" ref="L213:P213" si="71">G213</f>
        <v>8</v>
      </c>
      <c r="M213" s="2">
        <f t="shared" si="71"/>
        <v>8</v>
      </c>
      <c r="N213" s="2">
        <f t="shared" si="71"/>
        <v>8</v>
      </c>
      <c r="O213" s="2">
        <f t="shared" si="71"/>
        <v>8</v>
      </c>
      <c r="P213" s="2">
        <f t="shared" si="71"/>
        <v>8</v>
      </c>
      <c r="Q213" s="2" t="e">
        <f t="shared" ca="1" si="19"/>
        <v>#NAME?</v>
      </c>
      <c r="R213" s="2">
        <v>10</v>
      </c>
      <c r="S213" s="2">
        <v>10</v>
      </c>
      <c r="T213" s="2">
        <v>10</v>
      </c>
      <c r="U213" s="2">
        <v>10</v>
      </c>
      <c r="V213" s="2">
        <v>10</v>
      </c>
      <c r="W213" s="54">
        <f t="shared" si="1"/>
        <v>10</v>
      </c>
      <c r="X213" s="48"/>
      <c r="Y213" s="2"/>
      <c r="Z213" s="2"/>
      <c r="AA213" s="2">
        <v>7</v>
      </c>
      <c r="AB213" s="2">
        <v>7</v>
      </c>
      <c r="AC213" s="2">
        <v>10</v>
      </c>
      <c r="AD213" s="2">
        <v>10</v>
      </c>
      <c r="AE213" s="2">
        <v>10</v>
      </c>
      <c r="AF213" s="2">
        <v>10</v>
      </c>
      <c r="AG213" s="2">
        <v>10</v>
      </c>
      <c r="AH213" s="2">
        <v>10</v>
      </c>
      <c r="AI213" s="2">
        <v>10</v>
      </c>
      <c r="AJ213" s="2">
        <v>10</v>
      </c>
      <c r="AK213" s="3"/>
      <c r="AL213" s="3"/>
      <c r="AM213" s="3"/>
      <c r="AN213" s="3"/>
      <c r="AO213" s="3"/>
      <c r="AP213" s="3"/>
      <c r="AQ213" s="2" t="e">
        <f t="shared" ca="1" si="20"/>
        <v>#NAME?</v>
      </c>
      <c r="AR213" s="2">
        <v>10</v>
      </c>
      <c r="AS213" s="2">
        <v>10</v>
      </c>
      <c r="AT213" s="2">
        <v>10</v>
      </c>
      <c r="AU213" s="2">
        <v>10</v>
      </c>
      <c r="AV213" s="2">
        <v>10</v>
      </c>
      <c r="AW213" s="54">
        <f t="shared" si="3"/>
        <v>10</v>
      </c>
      <c r="AX213" s="48">
        <v>7</v>
      </c>
      <c r="AY213" s="2">
        <v>10</v>
      </c>
      <c r="AZ213" s="2">
        <v>10</v>
      </c>
      <c r="BA213" s="2">
        <v>10</v>
      </c>
      <c r="BB213" s="2">
        <v>10</v>
      </c>
      <c r="BC213" s="2">
        <v>10</v>
      </c>
      <c r="BD213" s="2">
        <v>10</v>
      </c>
      <c r="BE213" s="2">
        <v>10</v>
      </c>
      <c r="BF213" s="2">
        <v>10</v>
      </c>
      <c r="BG213" s="2">
        <v>10</v>
      </c>
      <c r="BH213" s="2">
        <v>10</v>
      </c>
      <c r="BI213" s="57">
        <v>0</v>
      </c>
      <c r="BJ213" s="2" t="e">
        <f t="shared" ca="1" si="21"/>
        <v>#NAME?</v>
      </c>
      <c r="BK213" s="5">
        <v>10</v>
      </c>
      <c r="BL213" s="5">
        <v>10</v>
      </c>
      <c r="BM213" s="5">
        <v>10</v>
      </c>
      <c r="BN213" s="5">
        <v>10</v>
      </c>
      <c r="BO213" s="5">
        <v>10</v>
      </c>
      <c r="BP213" s="54">
        <f t="shared" si="5"/>
        <v>10</v>
      </c>
      <c r="BQ213" s="5"/>
      <c r="BR213" s="5"/>
      <c r="BS213" s="5">
        <v>10</v>
      </c>
      <c r="BT213" s="5">
        <v>10</v>
      </c>
      <c r="BU213" s="5">
        <v>10</v>
      </c>
      <c r="BV213" s="5">
        <v>10</v>
      </c>
      <c r="BW213" s="5">
        <v>10</v>
      </c>
      <c r="BX213" s="5">
        <v>10</v>
      </c>
      <c r="BY213" s="5">
        <v>10</v>
      </c>
      <c r="BZ213" s="5">
        <v>10</v>
      </c>
      <c r="CA213" s="5">
        <v>10</v>
      </c>
      <c r="CB213" s="5">
        <v>10</v>
      </c>
      <c r="CC213" s="2" t="e">
        <f t="shared" ca="1" si="22"/>
        <v>#NAME?</v>
      </c>
      <c r="CD213" s="55"/>
      <c r="CE213" s="2"/>
      <c r="CF213" s="2">
        <v>7</v>
      </c>
      <c r="CG213" s="2">
        <v>7</v>
      </c>
      <c r="CH213" s="2">
        <v>8</v>
      </c>
      <c r="CI213" s="2">
        <v>8</v>
      </c>
      <c r="CJ213" s="2">
        <v>7</v>
      </c>
      <c r="CK213" s="2">
        <v>7</v>
      </c>
      <c r="CL213" s="2">
        <v>7</v>
      </c>
      <c r="CM213" s="2">
        <v>8</v>
      </c>
      <c r="CN213" s="2">
        <v>8</v>
      </c>
      <c r="CO213" s="2">
        <v>7</v>
      </c>
      <c r="CP213" s="2" t="e">
        <f t="shared" ca="1" si="23"/>
        <v>#NAME?</v>
      </c>
      <c r="CQ213" s="2">
        <v>7</v>
      </c>
      <c r="CR213" s="2">
        <v>8</v>
      </c>
      <c r="CS213" s="2">
        <v>8</v>
      </c>
      <c r="CT213" s="2">
        <v>8</v>
      </c>
      <c r="CU213" s="2">
        <v>8</v>
      </c>
      <c r="CV213" s="54">
        <f t="shared" si="8"/>
        <v>8</v>
      </c>
      <c r="CW213" s="55"/>
      <c r="CX213" s="3"/>
    </row>
    <row r="214" spans="1:102" ht="16.5" x14ac:dyDescent="0.55000000000000004">
      <c r="A214" s="17">
        <v>2</v>
      </c>
      <c r="B214" s="17" t="s">
        <v>5</v>
      </c>
      <c r="C214" s="23" t="s">
        <v>467</v>
      </c>
      <c r="D214" s="24" t="s">
        <v>468</v>
      </c>
      <c r="E214" s="48"/>
      <c r="F214" s="48">
        <v>20</v>
      </c>
      <c r="G214" s="2">
        <v>9</v>
      </c>
      <c r="H214" s="2">
        <v>9</v>
      </c>
      <c r="I214" s="2">
        <v>10</v>
      </c>
      <c r="J214" s="2">
        <v>10</v>
      </c>
      <c r="K214" s="2">
        <v>10</v>
      </c>
      <c r="L214" s="2">
        <f t="shared" ref="L214:P214" si="72">G214</f>
        <v>9</v>
      </c>
      <c r="M214" s="2">
        <f t="shared" si="72"/>
        <v>9</v>
      </c>
      <c r="N214" s="2">
        <f t="shared" si="72"/>
        <v>10</v>
      </c>
      <c r="O214" s="2">
        <f t="shared" si="72"/>
        <v>10</v>
      </c>
      <c r="P214" s="2">
        <f t="shared" si="72"/>
        <v>10</v>
      </c>
      <c r="Q214" s="2" t="e">
        <f t="shared" ca="1" si="19"/>
        <v>#NAME?</v>
      </c>
      <c r="R214" s="2">
        <v>10</v>
      </c>
      <c r="S214" s="2">
        <v>10</v>
      </c>
      <c r="T214" s="2">
        <v>10</v>
      </c>
      <c r="U214" s="2">
        <v>10</v>
      </c>
      <c r="V214" s="2">
        <v>10</v>
      </c>
      <c r="W214" s="54">
        <f t="shared" si="1"/>
        <v>10</v>
      </c>
      <c r="X214" s="48"/>
      <c r="Y214" s="2"/>
      <c r="Z214" s="2"/>
      <c r="AA214" s="2">
        <v>10</v>
      </c>
      <c r="AB214" s="2">
        <v>10</v>
      </c>
      <c r="AC214" s="2">
        <v>10</v>
      </c>
      <c r="AD214" s="2">
        <v>10</v>
      </c>
      <c r="AE214" s="2">
        <v>10</v>
      </c>
      <c r="AF214" s="2">
        <v>10</v>
      </c>
      <c r="AG214" s="2">
        <v>10</v>
      </c>
      <c r="AH214" s="2">
        <v>10</v>
      </c>
      <c r="AI214" s="2">
        <v>10</v>
      </c>
      <c r="AJ214" s="2">
        <v>10</v>
      </c>
      <c r="AK214" s="3"/>
      <c r="AL214" s="3"/>
      <c r="AM214" s="3"/>
      <c r="AN214" s="3"/>
      <c r="AO214" s="3"/>
      <c r="AP214" s="3"/>
      <c r="AQ214" s="2" t="e">
        <f t="shared" ca="1" si="20"/>
        <v>#NAME?</v>
      </c>
      <c r="AR214" s="2">
        <v>10</v>
      </c>
      <c r="AS214" s="2">
        <v>10</v>
      </c>
      <c r="AT214" s="2">
        <v>10</v>
      </c>
      <c r="AU214" s="2">
        <v>10</v>
      </c>
      <c r="AV214" s="2">
        <v>10</v>
      </c>
      <c r="AW214" s="54">
        <f t="shared" si="3"/>
        <v>10</v>
      </c>
      <c r="AX214" s="48">
        <v>8</v>
      </c>
      <c r="AY214" s="2">
        <v>10</v>
      </c>
      <c r="AZ214" s="2">
        <v>10</v>
      </c>
      <c r="BA214" s="2">
        <v>10</v>
      </c>
      <c r="BB214" s="2">
        <v>10</v>
      </c>
      <c r="BC214" s="2">
        <v>10</v>
      </c>
      <c r="BD214" s="2">
        <v>10</v>
      </c>
      <c r="BE214" s="2">
        <v>10</v>
      </c>
      <c r="BF214" s="2">
        <v>10</v>
      </c>
      <c r="BG214" s="2">
        <v>10</v>
      </c>
      <c r="BH214" s="2">
        <v>10</v>
      </c>
      <c r="BI214" s="57">
        <v>10</v>
      </c>
      <c r="BJ214" s="2" t="e">
        <f t="shared" ca="1" si="21"/>
        <v>#NAME?</v>
      </c>
      <c r="BK214" s="5">
        <v>10</v>
      </c>
      <c r="BL214" s="5">
        <v>10</v>
      </c>
      <c r="BM214" s="5">
        <v>10</v>
      </c>
      <c r="BN214" s="5">
        <v>10</v>
      </c>
      <c r="BO214" s="5">
        <v>10</v>
      </c>
      <c r="BP214" s="54">
        <f t="shared" si="5"/>
        <v>10</v>
      </c>
      <c r="BQ214" s="5"/>
      <c r="BR214" s="5"/>
      <c r="BS214" s="5">
        <v>10</v>
      </c>
      <c r="BT214" s="5">
        <v>10</v>
      </c>
      <c r="BU214" s="5">
        <v>10</v>
      </c>
      <c r="BV214" s="5">
        <v>10</v>
      </c>
      <c r="BW214" s="5">
        <v>10</v>
      </c>
      <c r="BX214" s="5">
        <v>10</v>
      </c>
      <c r="BY214" s="5">
        <v>10</v>
      </c>
      <c r="BZ214" s="5">
        <v>10</v>
      </c>
      <c r="CA214" s="5">
        <v>10</v>
      </c>
      <c r="CB214" s="5">
        <v>10</v>
      </c>
      <c r="CC214" s="2" t="e">
        <f t="shared" ca="1" si="22"/>
        <v>#NAME?</v>
      </c>
      <c r="CD214" s="55"/>
      <c r="CE214" s="2"/>
      <c r="CF214" s="2">
        <v>8</v>
      </c>
      <c r="CG214" s="2">
        <v>8</v>
      </c>
      <c r="CH214" s="2">
        <v>8</v>
      </c>
      <c r="CI214" s="2">
        <v>8</v>
      </c>
      <c r="CJ214" s="2">
        <v>8</v>
      </c>
      <c r="CK214" s="2">
        <v>8</v>
      </c>
      <c r="CL214" s="2">
        <v>8</v>
      </c>
      <c r="CM214" s="2">
        <v>8</v>
      </c>
      <c r="CN214" s="2">
        <v>8</v>
      </c>
      <c r="CO214" s="2">
        <v>8</v>
      </c>
      <c r="CP214" s="2" t="e">
        <f t="shared" ca="1" si="23"/>
        <v>#NAME?</v>
      </c>
      <c r="CQ214" s="2">
        <v>7</v>
      </c>
      <c r="CR214" s="2">
        <v>8</v>
      </c>
      <c r="CS214" s="2">
        <v>8</v>
      </c>
      <c r="CT214" s="2">
        <v>8</v>
      </c>
      <c r="CU214" s="2">
        <v>8</v>
      </c>
      <c r="CV214" s="54">
        <f t="shared" si="8"/>
        <v>8</v>
      </c>
      <c r="CW214" s="55"/>
      <c r="CX214" s="3"/>
    </row>
    <row r="215" spans="1:102" ht="16.5" x14ac:dyDescent="0.55000000000000004">
      <c r="A215" s="17">
        <v>2</v>
      </c>
      <c r="B215" s="17" t="s">
        <v>5</v>
      </c>
      <c r="C215" s="23" t="s">
        <v>469</v>
      </c>
      <c r="D215" s="24" t="s">
        <v>470</v>
      </c>
      <c r="E215" s="48"/>
      <c r="F215" s="2">
        <v>14</v>
      </c>
      <c r="G215" s="2">
        <v>8</v>
      </c>
      <c r="H215" s="2">
        <v>8</v>
      </c>
      <c r="I215" s="2">
        <v>8</v>
      </c>
      <c r="J215" s="2">
        <v>8</v>
      </c>
      <c r="K215" s="2">
        <v>8</v>
      </c>
      <c r="L215" s="2">
        <f t="shared" ref="L215:P215" si="73">G215</f>
        <v>8</v>
      </c>
      <c r="M215" s="2">
        <f t="shared" si="73"/>
        <v>8</v>
      </c>
      <c r="N215" s="2">
        <f t="shared" si="73"/>
        <v>8</v>
      </c>
      <c r="O215" s="2">
        <f t="shared" si="73"/>
        <v>8</v>
      </c>
      <c r="P215" s="2">
        <f t="shared" si="73"/>
        <v>8</v>
      </c>
      <c r="Q215" s="2" t="e">
        <f t="shared" ca="1" si="19"/>
        <v>#NAME?</v>
      </c>
      <c r="R215" s="2">
        <v>9</v>
      </c>
      <c r="S215" s="2">
        <v>9</v>
      </c>
      <c r="T215" s="2">
        <v>9</v>
      </c>
      <c r="U215" s="2">
        <v>9</v>
      </c>
      <c r="V215" s="2">
        <v>9</v>
      </c>
      <c r="W215" s="54">
        <f t="shared" si="1"/>
        <v>9</v>
      </c>
      <c r="X215" s="48"/>
      <c r="Y215" s="2"/>
      <c r="Z215" s="2"/>
      <c r="AA215" s="2">
        <v>7</v>
      </c>
      <c r="AB215" s="2">
        <v>7</v>
      </c>
      <c r="AC215" s="2">
        <v>10</v>
      </c>
      <c r="AD215" s="2">
        <v>10</v>
      </c>
      <c r="AE215" s="2">
        <v>10</v>
      </c>
      <c r="AF215" s="2">
        <v>10</v>
      </c>
      <c r="AG215" s="2">
        <v>10</v>
      </c>
      <c r="AH215" s="2">
        <v>10</v>
      </c>
      <c r="AI215" s="2">
        <v>10</v>
      </c>
      <c r="AJ215" s="2">
        <v>10</v>
      </c>
      <c r="AK215" s="3"/>
      <c r="AL215" s="3"/>
      <c r="AM215" s="3"/>
      <c r="AN215" s="3"/>
      <c r="AO215" s="3"/>
      <c r="AP215" s="3"/>
      <c r="AQ215" s="2" t="e">
        <f t="shared" ca="1" si="20"/>
        <v>#NAME?</v>
      </c>
      <c r="AR215" s="2">
        <v>10</v>
      </c>
      <c r="AS215" s="2">
        <v>10</v>
      </c>
      <c r="AT215" s="2">
        <v>10</v>
      </c>
      <c r="AU215" s="2">
        <v>10</v>
      </c>
      <c r="AV215" s="2">
        <v>10</v>
      </c>
      <c r="AW215" s="54">
        <f t="shared" si="3"/>
        <v>10</v>
      </c>
      <c r="AX215" s="48">
        <v>7</v>
      </c>
      <c r="AY215" s="2">
        <v>10</v>
      </c>
      <c r="AZ215" s="2">
        <v>10</v>
      </c>
      <c r="BA215" s="2">
        <v>10</v>
      </c>
      <c r="BB215" s="2">
        <v>10</v>
      </c>
      <c r="BC215" s="2">
        <v>10</v>
      </c>
      <c r="BD215" s="2">
        <v>10</v>
      </c>
      <c r="BE215" s="2">
        <v>10</v>
      </c>
      <c r="BF215" s="2">
        <v>10</v>
      </c>
      <c r="BG215" s="2">
        <v>10</v>
      </c>
      <c r="BH215" s="2">
        <v>10</v>
      </c>
      <c r="BI215" s="57">
        <v>10</v>
      </c>
      <c r="BJ215" s="2" t="e">
        <f t="shared" ca="1" si="21"/>
        <v>#NAME?</v>
      </c>
      <c r="BK215" s="5">
        <v>10</v>
      </c>
      <c r="BL215" s="5">
        <v>10</v>
      </c>
      <c r="BM215" s="5">
        <v>10</v>
      </c>
      <c r="BN215" s="5">
        <v>10</v>
      </c>
      <c r="BO215" s="5">
        <v>10</v>
      </c>
      <c r="BP215" s="54">
        <f t="shared" si="5"/>
        <v>10</v>
      </c>
      <c r="BQ215" s="5"/>
      <c r="BR215" s="5"/>
      <c r="BS215" s="5">
        <v>10</v>
      </c>
      <c r="BT215" s="5">
        <v>10</v>
      </c>
      <c r="BU215" s="5">
        <v>10</v>
      </c>
      <c r="BV215" s="5">
        <v>10</v>
      </c>
      <c r="BW215" s="5">
        <v>10</v>
      </c>
      <c r="BX215" s="5">
        <v>10</v>
      </c>
      <c r="BY215" s="5">
        <v>10</v>
      </c>
      <c r="BZ215" s="5">
        <v>10</v>
      </c>
      <c r="CA215" s="5">
        <v>10</v>
      </c>
      <c r="CB215" s="5">
        <v>10</v>
      </c>
      <c r="CC215" s="2" t="e">
        <f t="shared" ca="1" si="22"/>
        <v>#NAME?</v>
      </c>
      <c r="CD215" s="55"/>
      <c r="CE215" s="2"/>
      <c r="CF215" s="2">
        <v>7</v>
      </c>
      <c r="CG215" s="2">
        <v>7</v>
      </c>
      <c r="CH215" s="2">
        <v>8</v>
      </c>
      <c r="CI215" s="2">
        <v>8</v>
      </c>
      <c r="CJ215" s="2">
        <v>7</v>
      </c>
      <c r="CK215" s="2">
        <v>7</v>
      </c>
      <c r="CL215" s="2">
        <v>7</v>
      </c>
      <c r="CM215" s="2">
        <v>8</v>
      </c>
      <c r="CN215" s="2">
        <v>8</v>
      </c>
      <c r="CO215" s="2">
        <v>7</v>
      </c>
      <c r="CP215" s="2" t="e">
        <f t="shared" ca="1" si="23"/>
        <v>#NAME?</v>
      </c>
      <c r="CQ215" s="2">
        <v>7</v>
      </c>
      <c r="CR215" s="2">
        <v>8</v>
      </c>
      <c r="CS215" s="2">
        <v>8</v>
      </c>
      <c r="CT215" s="2">
        <v>8</v>
      </c>
      <c r="CU215" s="2">
        <v>8</v>
      </c>
      <c r="CV215" s="54">
        <f t="shared" si="8"/>
        <v>8</v>
      </c>
      <c r="CW215" s="55"/>
      <c r="CX215" s="3"/>
    </row>
    <row r="216" spans="1:102" ht="16.5" x14ac:dyDescent="0.55000000000000004">
      <c r="A216" s="17">
        <v>2</v>
      </c>
      <c r="B216" s="17" t="s">
        <v>5</v>
      </c>
      <c r="C216" s="23" t="s">
        <v>471</v>
      </c>
      <c r="D216" s="24" t="s">
        <v>472</v>
      </c>
      <c r="E216" s="48"/>
      <c r="F216" s="2">
        <v>20</v>
      </c>
      <c r="G216" s="2">
        <v>10</v>
      </c>
      <c r="H216" s="2">
        <v>10</v>
      </c>
      <c r="I216" s="2">
        <v>10</v>
      </c>
      <c r="J216" s="2">
        <v>10</v>
      </c>
      <c r="K216" s="2">
        <v>10</v>
      </c>
      <c r="L216" s="2">
        <f t="shared" ref="L216:P216" si="74">G216</f>
        <v>10</v>
      </c>
      <c r="M216" s="2">
        <f t="shared" si="74"/>
        <v>10</v>
      </c>
      <c r="N216" s="2">
        <f t="shared" si="74"/>
        <v>10</v>
      </c>
      <c r="O216" s="2">
        <f t="shared" si="74"/>
        <v>10</v>
      </c>
      <c r="P216" s="2">
        <f t="shared" si="74"/>
        <v>10</v>
      </c>
      <c r="Q216" s="2" t="e">
        <f t="shared" ca="1" si="19"/>
        <v>#NAME?</v>
      </c>
      <c r="R216" s="2">
        <v>10</v>
      </c>
      <c r="S216" s="2">
        <v>10</v>
      </c>
      <c r="T216" s="2">
        <v>10</v>
      </c>
      <c r="U216" s="2">
        <v>10</v>
      </c>
      <c r="V216" s="2">
        <v>10</v>
      </c>
      <c r="W216" s="54">
        <f t="shared" si="1"/>
        <v>10</v>
      </c>
      <c r="X216" s="48"/>
      <c r="Y216" s="2"/>
      <c r="Z216" s="2"/>
      <c r="AA216" s="2">
        <v>10</v>
      </c>
      <c r="AB216" s="2">
        <v>10</v>
      </c>
      <c r="AC216" s="2">
        <v>10</v>
      </c>
      <c r="AD216" s="2">
        <v>10</v>
      </c>
      <c r="AE216" s="2">
        <v>10</v>
      </c>
      <c r="AF216" s="2">
        <v>10</v>
      </c>
      <c r="AG216" s="2">
        <v>10</v>
      </c>
      <c r="AH216" s="2">
        <v>10</v>
      </c>
      <c r="AI216" s="2">
        <v>10</v>
      </c>
      <c r="AJ216" s="2">
        <v>10</v>
      </c>
      <c r="AK216" s="3"/>
      <c r="AL216" s="3"/>
      <c r="AM216" s="3"/>
      <c r="AN216" s="3"/>
      <c r="AO216" s="3"/>
      <c r="AP216" s="3"/>
      <c r="AQ216" s="2" t="e">
        <f t="shared" ca="1" si="20"/>
        <v>#NAME?</v>
      </c>
      <c r="AR216" s="2">
        <v>10</v>
      </c>
      <c r="AS216" s="2">
        <v>10</v>
      </c>
      <c r="AT216" s="2">
        <v>10</v>
      </c>
      <c r="AU216" s="2">
        <v>10</v>
      </c>
      <c r="AV216" s="2">
        <v>10</v>
      </c>
      <c r="AW216" s="54">
        <f t="shared" si="3"/>
        <v>10</v>
      </c>
      <c r="AX216" s="48">
        <v>8</v>
      </c>
      <c r="AY216" s="2">
        <v>10</v>
      </c>
      <c r="AZ216" s="2">
        <v>10</v>
      </c>
      <c r="BA216" s="2">
        <v>10</v>
      </c>
      <c r="BB216" s="2">
        <v>10</v>
      </c>
      <c r="BC216" s="2">
        <v>10</v>
      </c>
      <c r="BD216" s="2">
        <v>10</v>
      </c>
      <c r="BE216" s="2">
        <v>10</v>
      </c>
      <c r="BF216" s="2">
        <v>10</v>
      </c>
      <c r="BG216" s="2">
        <v>10</v>
      </c>
      <c r="BH216" s="2">
        <v>10</v>
      </c>
      <c r="BI216" s="2">
        <v>10</v>
      </c>
      <c r="BJ216" s="2" t="e">
        <f t="shared" ca="1" si="21"/>
        <v>#NAME?</v>
      </c>
      <c r="BK216" s="5">
        <v>10</v>
      </c>
      <c r="BL216" s="5">
        <v>10</v>
      </c>
      <c r="BM216" s="5">
        <v>10</v>
      </c>
      <c r="BN216" s="5">
        <v>10</v>
      </c>
      <c r="BO216" s="5">
        <v>10</v>
      </c>
      <c r="BP216" s="54">
        <f t="shared" si="5"/>
        <v>10</v>
      </c>
      <c r="BQ216" s="5"/>
      <c r="BR216" s="5"/>
      <c r="BS216" s="5">
        <v>10</v>
      </c>
      <c r="BT216" s="5">
        <v>10</v>
      </c>
      <c r="BU216" s="5">
        <v>10</v>
      </c>
      <c r="BV216" s="5">
        <v>10</v>
      </c>
      <c r="BW216" s="5">
        <v>10</v>
      </c>
      <c r="BX216" s="5">
        <v>10</v>
      </c>
      <c r="BY216" s="5">
        <v>10</v>
      </c>
      <c r="BZ216" s="5">
        <v>10</v>
      </c>
      <c r="CA216" s="5">
        <v>10</v>
      </c>
      <c r="CB216" s="5">
        <v>10</v>
      </c>
      <c r="CC216" s="2" t="e">
        <f t="shared" ca="1" si="22"/>
        <v>#NAME?</v>
      </c>
      <c r="CD216" s="55"/>
      <c r="CE216" s="2"/>
      <c r="CF216" s="2">
        <v>9</v>
      </c>
      <c r="CG216" s="2">
        <v>9</v>
      </c>
      <c r="CH216" s="2">
        <v>9</v>
      </c>
      <c r="CI216" s="2">
        <v>9</v>
      </c>
      <c r="CJ216" s="2">
        <v>9</v>
      </c>
      <c r="CK216" s="2">
        <v>9</v>
      </c>
      <c r="CL216" s="2">
        <v>9</v>
      </c>
      <c r="CM216" s="2">
        <v>9</v>
      </c>
      <c r="CN216" s="2">
        <v>9</v>
      </c>
      <c r="CO216" s="2">
        <v>9</v>
      </c>
      <c r="CP216" s="2" t="e">
        <f t="shared" ca="1" si="23"/>
        <v>#NAME?</v>
      </c>
      <c r="CQ216" s="2">
        <v>9</v>
      </c>
      <c r="CR216" s="2">
        <v>9</v>
      </c>
      <c r="CS216" s="2">
        <v>9</v>
      </c>
      <c r="CT216" s="2">
        <v>9</v>
      </c>
      <c r="CU216" s="2">
        <v>9</v>
      </c>
      <c r="CV216" s="54">
        <f t="shared" si="8"/>
        <v>9</v>
      </c>
      <c r="CW216" s="55"/>
      <c r="CX216" s="3"/>
    </row>
    <row r="217" spans="1:102" ht="16.5" x14ac:dyDescent="0.55000000000000004">
      <c r="A217" s="17">
        <v>2</v>
      </c>
      <c r="B217" s="17" t="s">
        <v>5</v>
      </c>
      <c r="C217" s="23" t="s">
        <v>473</v>
      </c>
      <c r="D217" s="24" t="s">
        <v>474</v>
      </c>
      <c r="E217" s="48"/>
      <c r="F217" s="48">
        <v>9</v>
      </c>
      <c r="G217" s="2">
        <v>9</v>
      </c>
      <c r="H217" s="2">
        <v>8</v>
      </c>
      <c r="I217" s="2">
        <v>7</v>
      </c>
      <c r="J217" s="2">
        <v>7</v>
      </c>
      <c r="K217" s="2">
        <v>7</v>
      </c>
      <c r="L217" s="2">
        <f t="shared" ref="L217:P217" si="75">G217</f>
        <v>9</v>
      </c>
      <c r="M217" s="2">
        <f t="shared" si="75"/>
        <v>8</v>
      </c>
      <c r="N217" s="2">
        <f t="shared" si="75"/>
        <v>7</v>
      </c>
      <c r="O217" s="2">
        <f t="shared" si="75"/>
        <v>7</v>
      </c>
      <c r="P217" s="2">
        <f t="shared" si="75"/>
        <v>7</v>
      </c>
      <c r="Q217" s="2" t="e">
        <f t="shared" ca="1" si="19"/>
        <v>#NAME?</v>
      </c>
      <c r="R217" s="2">
        <v>10</v>
      </c>
      <c r="S217" s="2">
        <v>8</v>
      </c>
      <c r="T217" s="2">
        <v>8</v>
      </c>
      <c r="U217" s="2">
        <v>8</v>
      </c>
      <c r="V217" s="2">
        <v>9</v>
      </c>
      <c r="W217" s="54">
        <f t="shared" si="1"/>
        <v>9</v>
      </c>
      <c r="X217" s="48"/>
      <c r="Y217" s="2"/>
      <c r="Z217" s="2"/>
      <c r="AA217" s="2">
        <v>10</v>
      </c>
      <c r="AB217" s="2">
        <v>10</v>
      </c>
      <c r="AC217" s="2">
        <v>10</v>
      </c>
      <c r="AD217" s="2">
        <v>10</v>
      </c>
      <c r="AE217" s="2">
        <v>10</v>
      </c>
      <c r="AF217" s="2">
        <v>10</v>
      </c>
      <c r="AG217" s="2">
        <v>10</v>
      </c>
      <c r="AH217" s="2">
        <v>10</v>
      </c>
      <c r="AI217" s="2">
        <v>10</v>
      </c>
      <c r="AJ217" s="2">
        <v>10</v>
      </c>
      <c r="AK217" s="3"/>
      <c r="AL217" s="3"/>
      <c r="AM217" s="3"/>
      <c r="AN217" s="3"/>
      <c r="AO217" s="3"/>
      <c r="AP217" s="3"/>
      <c r="AQ217" s="2" t="e">
        <f t="shared" ca="1" si="20"/>
        <v>#NAME?</v>
      </c>
      <c r="AR217" s="2">
        <v>10</v>
      </c>
      <c r="AS217" s="2">
        <v>10</v>
      </c>
      <c r="AT217" s="2">
        <v>10</v>
      </c>
      <c r="AU217" s="2">
        <v>10</v>
      </c>
      <c r="AV217" s="2">
        <v>10</v>
      </c>
      <c r="AW217" s="54">
        <f t="shared" si="3"/>
        <v>10</v>
      </c>
      <c r="AX217" s="48">
        <v>8</v>
      </c>
      <c r="AY217" s="2">
        <v>10</v>
      </c>
      <c r="AZ217" s="2">
        <v>10</v>
      </c>
      <c r="BA217" s="2">
        <v>5</v>
      </c>
      <c r="BB217" s="2">
        <v>5</v>
      </c>
      <c r="BC217" s="2">
        <v>5</v>
      </c>
      <c r="BD217" s="2">
        <v>5</v>
      </c>
      <c r="BE217" s="2">
        <v>5</v>
      </c>
      <c r="BF217" s="2">
        <v>5</v>
      </c>
      <c r="BG217" s="2">
        <v>5</v>
      </c>
      <c r="BH217" s="2">
        <v>5</v>
      </c>
      <c r="BI217" s="57">
        <v>5</v>
      </c>
      <c r="BJ217" s="2" t="e">
        <f t="shared" ca="1" si="21"/>
        <v>#NAME?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4">
        <f t="shared" si="5"/>
        <v>0</v>
      </c>
      <c r="BQ217" s="5"/>
      <c r="BR217" s="5"/>
      <c r="BS217" s="5">
        <v>10</v>
      </c>
      <c r="BT217" s="5">
        <v>10</v>
      </c>
      <c r="BU217" s="5">
        <v>10</v>
      </c>
      <c r="BV217" s="5">
        <v>10</v>
      </c>
      <c r="BW217" s="5">
        <v>10</v>
      </c>
      <c r="BX217" s="5">
        <v>10</v>
      </c>
      <c r="BY217" s="5">
        <v>10</v>
      </c>
      <c r="BZ217" s="5">
        <v>10</v>
      </c>
      <c r="CA217" s="5">
        <v>10</v>
      </c>
      <c r="CB217" s="5">
        <v>10</v>
      </c>
      <c r="CC217" s="2" t="e">
        <f t="shared" ca="1" si="22"/>
        <v>#NAME?</v>
      </c>
      <c r="CD217" s="55"/>
      <c r="CE217" s="2"/>
      <c r="CF217" s="2">
        <v>7</v>
      </c>
      <c r="CG217" s="2">
        <v>7</v>
      </c>
      <c r="CH217" s="2">
        <v>8</v>
      </c>
      <c r="CI217" s="2">
        <v>8</v>
      </c>
      <c r="CJ217" s="2">
        <v>7</v>
      </c>
      <c r="CK217" s="2">
        <v>7</v>
      </c>
      <c r="CL217" s="2">
        <v>7</v>
      </c>
      <c r="CM217" s="2">
        <v>8</v>
      </c>
      <c r="CN217" s="2">
        <v>8</v>
      </c>
      <c r="CO217" s="2">
        <v>7</v>
      </c>
      <c r="CP217" s="2" t="e">
        <f t="shared" ca="1" si="23"/>
        <v>#NAME?</v>
      </c>
      <c r="CQ217" s="2">
        <v>7</v>
      </c>
      <c r="CR217" s="2">
        <v>8</v>
      </c>
      <c r="CS217" s="2">
        <v>8</v>
      </c>
      <c r="CT217" s="2">
        <v>8</v>
      </c>
      <c r="CU217" s="2">
        <v>8</v>
      </c>
      <c r="CV217" s="54">
        <f t="shared" si="8"/>
        <v>8</v>
      </c>
      <c r="CW217" s="55"/>
      <c r="CX217" s="3"/>
    </row>
    <row r="218" spans="1:102" ht="16.5" x14ac:dyDescent="0.55000000000000004">
      <c r="A218" s="17">
        <v>3</v>
      </c>
      <c r="B218" s="17" t="s">
        <v>5</v>
      </c>
      <c r="C218" s="23" t="s">
        <v>475</v>
      </c>
      <c r="D218" s="24" t="s">
        <v>476</v>
      </c>
      <c r="E218" s="48"/>
      <c r="F218" s="2">
        <v>11</v>
      </c>
      <c r="G218" s="2">
        <v>8</v>
      </c>
      <c r="H218" s="2">
        <v>8</v>
      </c>
      <c r="I218" s="2">
        <v>8</v>
      </c>
      <c r="J218" s="2">
        <v>8</v>
      </c>
      <c r="K218" s="2">
        <v>8</v>
      </c>
      <c r="L218" s="2">
        <f t="shared" ref="L218:P218" si="76">G218</f>
        <v>8</v>
      </c>
      <c r="M218" s="2">
        <f t="shared" si="76"/>
        <v>8</v>
      </c>
      <c r="N218" s="2">
        <f t="shared" si="76"/>
        <v>8</v>
      </c>
      <c r="O218" s="2">
        <f t="shared" si="76"/>
        <v>8</v>
      </c>
      <c r="P218" s="2">
        <f t="shared" si="76"/>
        <v>8</v>
      </c>
      <c r="Q218" s="2" t="e">
        <f t="shared" ca="1" si="19"/>
        <v>#NAME?</v>
      </c>
      <c r="R218" s="2">
        <v>9</v>
      </c>
      <c r="S218" s="2">
        <v>9</v>
      </c>
      <c r="T218" s="2">
        <v>9</v>
      </c>
      <c r="U218" s="2">
        <v>9</v>
      </c>
      <c r="V218" s="2">
        <v>9</v>
      </c>
      <c r="W218" s="54">
        <f t="shared" si="1"/>
        <v>9</v>
      </c>
      <c r="X218" s="48"/>
      <c r="Y218" s="2"/>
      <c r="Z218" s="2"/>
      <c r="AA218" s="2">
        <v>10</v>
      </c>
      <c r="AB218" s="2">
        <v>10</v>
      </c>
      <c r="AC218" s="2">
        <v>10</v>
      </c>
      <c r="AD218" s="2">
        <v>10</v>
      </c>
      <c r="AE218" s="2">
        <v>10</v>
      </c>
      <c r="AF218" s="2">
        <v>10</v>
      </c>
      <c r="AG218" s="2">
        <v>10</v>
      </c>
      <c r="AH218" s="2">
        <v>10</v>
      </c>
      <c r="AI218" s="2">
        <v>10</v>
      </c>
      <c r="AJ218" s="2">
        <v>10</v>
      </c>
      <c r="AK218" s="3"/>
      <c r="AL218" s="3"/>
      <c r="AM218" s="3"/>
      <c r="AN218" s="3"/>
      <c r="AO218" s="3"/>
      <c r="AP218" s="3"/>
      <c r="AQ218" s="2" t="e">
        <f t="shared" ca="1" si="20"/>
        <v>#NAME?</v>
      </c>
      <c r="AR218" s="2">
        <v>10</v>
      </c>
      <c r="AS218" s="2">
        <v>10</v>
      </c>
      <c r="AT218" s="2">
        <v>10</v>
      </c>
      <c r="AU218" s="2">
        <v>10</v>
      </c>
      <c r="AV218" s="2">
        <v>10</v>
      </c>
      <c r="AW218" s="54">
        <f t="shared" si="3"/>
        <v>10</v>
      </c>
      <c r="AX218" s="48">
        <v>7</v>
      </c>
      <c r="AY218" s="2">
        <v>10</v>
      </c>
      <c r="AZ218" s="2">
        <v>10</v>
      </c>
      <c r="BA218" s="2">
        <v>10</v>
      </c>
      <c r="BB218" s="2">
        <v>10</v>
      </c>
      <c r="BC218" s="2">
        <v>10</v>
      </c>
      <c r="BD218" s="2">
        <v>10</v>
      </c>
      <c r="BE218" s="2">
        <v>10</v>
      </c>
      <c r="BF218" s="2">
        <v>10</v>
      </c>
      <c r="BG218" s="2">
        <v>10</v>
      </c>
      <c r="BH218" s="2">
        <v>10</v>
      </c>
      <c r="BI218" s="2">
        <v>10</v>
      </c>
      <c r="BJ218" s="2" t="e">
        <f t="shared" ca="1" si="21"/>
        <v>#NAME?</v>
      </c>
      <c r="BK218" s="5">
        <v>10</v>
      </c>
      <c r="BL218" s="5">
        <v>10</v>
      </c>
      <c r="BM218" s="5">
        <v>10</v>
      </c>
      <c r="BN218" s="5">
        <v>10</v>
      </c>
      <c r="BO218" s="5">
        <v>10</v>
      </c>
      <c r="BP218" s="54">
        <f t="shared" si="5"/>
        <v>10</v>
      </c>
      <c r="BQ218" s="5"/>
      <c r="BR218" s="5"/>
      <c r="BS218" s="5">
        <v>10</v>
      </c>
      <c r="BT218" s="5">
        <v>10</v>
      </c>
      <c r="BU218" s="5">
        <v>10</v>
      </c>
      <c r="BV218" s="5">
        <v>10</v>
      </c>
      <c r="BW218" s="5">
        <v>10</v>
      </c>
      <c r="BX218" s="5">
        <v>10</v>
      </c>
      <c r="BY218" s="5">
        <v>10</v>
      </c>
      <c r="BZ218" s="5">
        <v>10</v>
      </c>
      <c r="CA218" s="5">
        <v>10</v>
      </c>
      <c r="CB218" s="5">
        <v>10</v>
      </c>
      <c r="CC218" s="2" t="e">
        <f t="shared" ca="1" si="22"/>
        <v>#NAME?</v>
      </c>
      <c r="CD218" s="55"/>
      <c r="CE218" s="2"/>
      <c r="CF218" s="2">
        <v>8</v>
      </c>
      <c r="CG218" s="2">
        <v>8</v>
      </c>
      <c r="CH218" s="2">
        <v>8</v>
      </c>
      <c r="CI218" s="2">
        <v>8</v>
      </c>
      <c r="CJ218" s="2">
        <v>8</v>
      </c>
      <c r="CK218" s="2">
        <v>8</v>
      </c>
      <c r="CL218" s="2">
        <v>8</v>
      </c>
      <c r="CM218" s="2">
        <v>8</v>
      </c>
      <c r="CN218" s="2">
        <v>8</v>
      </c>
      <c r="CO218" s="2">
        <v>8</v>
      </c>
      <c r="CP218" s="2" t="e">
        <f t="shared" ca="1" si="23"/>
        <v>#NAME?</v>
      </c>
      <c r="CQ218" s="2">
        <v>8</v>
      </c>
      <c r="CR218" s="2">
        <v>8</v>
      </c>
      <c r="CS218" s="2">
        <v>8</v>
      </c>
      <c r="CT218" s="2">
        <v>8</v>
      </c>
      <c r="CU218" s="2">
        <v>8</v>
      </c>
      <c r="CV218" s="54">
        <f t="shared" si="8"/>
        <v>8</v>
      </c>
      <c r="CW218" s="55"/>
      <c r="CX218" s="3"/>
    </row>
    <row r="219" spans="1:102" ht="16.5" x14ac:dyDescent="0.55000000000000004">
      <c r="A219" s="17">
        <v>3</v>
      </c>
      <c r="B219" s="17" t="s">
        <v>5</v>
      </c>
      <c r="C219" s="23" t="s">
        <v>477</v>
      </c>
      <c r="D219" s="24" t="s">
        <v>478</v>
      </c>
      <c r="E219" s="48"/>
      <c r="F219" s="2">
        <v>18</v>
      </c>
      <c r="G219" s="2">
        <v>10</v>
      </c>
      <c r="H219" s="2">
        <v>10</v>
      </c>
      <c r="I219" s="2">
        <v>10</v>
      </c>
      <c r="J219" s="2">
        <v>10</v>
      </c>
      <c r="K219" s="2">
        <v>10</v>
      </c>
      <c r="L219" s="2">
        <f t="shared" ref="L219:P219" si="77">G219</f>
        <v>10</v>
      </c>
      <c r="M219" s="2">
        <f t="shared" si="77"/>
        <v>10</v>
      </c>
      <c r="N219" s="2">
        <f t="shared" si="77"/>
        <v>10</v>
      </c>
      <c r="O219" s="2">
        <f t="shared" si="77"/>
        <v>10</v>
      </c>
      <c r="P219" s="2">
        <f t="shared" si="77"/>
        <v>10</v>
      </c>
      <c r="Q219" s="2" t="e">
        <f t="shared" ca="1" si="19"/>
        <v>#NAME?</v>
      </c>
      <c r="R219" s="2">
        <v>10</v>
      </c>
      <c r="S219" s="2">
        <v>10</v>
      </c>
      <c r="T219" s="2">
        <v>10</v>
      </c>
      <c r="U219" s="2">
        <v>10</v>
      </c>
      <c r="V219" s="2">
        <v>10</v>
      </c>
      <c r="W219" s="54">
        <f t="shared" si="1"/>
        <v>10</v>
      </c>
      <c r="X219" s="48"/>
      <c r="Y219" s="2"/>
      <c r="Z219" s="2"/>
      <c r="AA219" s="2">
        <v>10</v>
      </c>
      <c r="AB219" s="2">
        <v>10</v>
      </c>
      <c r="AC219" s="2">
        <v>10</v>
      </c>
      <c r="AD219" s="2">
        <v>10</v>
      </c>
      <c r="AE219" s="2">
        <v>10</v>
      </c>
      <c r="AF219" s="2">
        <v>10</v>
      </c>
      <c r="AG219" s="2">
        <v>10</v>
      </c>
      <c r="AH219" s="2">
        <v>10</v>
      </c>
      <c r="AI219" s="2">
        <v>10</v>
      </c>
      <c r="AJ219" s="2">
        <v>10</v>
      </c>
      <c r="AK219" s="3"/>
      <c r="AL219" s="3"/>
      <c r="AM219" s="3"/>
      <c r="AN219" s="3"/>
      <c r="AO219" s="3"/>
      <c r="AP219" s="3"/>
      <c r="AQ219" s="2" t="e">
        <f t="shared" ca="1" si="20"/>
        <v>#NAME?</v>
      </c>
      <c r="AR219" s="2">
        <v>10</v>
      </c>
      <c r="AS219" s="2">
        <v>10</v>
      </c>
      <c r="AT219" s="2">
        <v>10</v>
      </c>
      <c r="AU219" s="2">
        <v>10</v>
      </c>
      <c r="AV219" s="2">
        <v>10</v>
      </c>
      <c r="AW219" s="54">
        <f t="shared" si="3"/>
        <v>10</v>
      </c>
      <c r="AX219" s="48">
        <v>8</v>
      </c>
      <c r="AY219" s="2">
        <v>10</v>
      </c>
      <c r="AZ219" s="2">
        <v>10</v>
      </c>
      <c r="BA219" s="2">
        <v>10</v>
      </c>
      <c r="BB219" s="2">
        <v>10</v>
      </c>
      <c r="BC219" s="2">
        <v>10</v>
      </c>
      <c r="BD219" s="2">
        <v>10</v>
      </c>
      <c r="BE219" s="2">
        <v>10</v>
      </c>
      <c r="BF219" s="2">
        <v>10</v>
      </c>
      <c r="BG219" s="2">
        <v>10</v>
      </c>
      <c r="BH219" s="2">
        <v>10</v>
      </c>
      <c r="BI219" s="2">
        <v>10</v>
      </c>
      <c r="BJ219" s="2" t="e">
        <f t="shared" ca="1" si="21"/>
        <v>#NAME?</v>
      </c>
      <c r="BK219" s="5">
        <v>10</v>
      </c>
      <c r="BL219" s="5">
        <v>10</v>
      </c>
      <c r="BM219" s="5">
        <v>10</v>
      </c>
      <c r="BN219" s="5">
        <v>10</v>
      </c>
      <c r="BO219" s="5">
        <v>10</v>
      </c>
      <c r="BP219" s="54">
        <f t="shared" si="5"/>
        <v>10</v>
      </c>
      <c r="BQ219" s="5"/>
      <c r="BR219" s="5"/>
      <c r="BS219" s="5">
        <v>10</v>
      </c>
      <c r="BT219" s="5">
        <v>10</v>
      </c>
      <c r="BU219" s="5">
        <v>10</v>
      </c>
      <c r="BV219" s="5">
        <v>10</v>
      </c>
      <c r="BW219" s="5">
        <v>10</v>
      </c>
      <c r="BX219" s="5">
        <v>10</v>
      </c>
      <c r="BY219" s="5">
        <v>10</v>
      </c>
      <c r="BZ219" s="5">
        <v>10</v>
      </c>
      <c r="CA219" s="5">
        <v>10</v>
      </c>
      <c r="CB219" s="5">
        <v>10</v>
      </c>
      <c r="CC219" s="2" t="e">
        <f t="shared" ca="1" si="22"/>
        <v>#NAME?</v>
      </c>
      <c r="CD219" s="55"/>
      <c r="CE219" s="2"/>
      <c r="CF219" s="2">
        <v>9</v>
      </c>
      <c r="CG219" s="2">
        <v>9</v>
      </c>
      <c r="CH219" s="2">
        <v>9</v>
      </c>
      <c r="CI219" s="2">
        <v>9</v>
      </c>
      <c r="CJ219" s="2">
        <v>8</v>
      </c>
      <c r="CK219" s="2">
        <v>8</v>
      </c>
      <c r="CL219" s="2">
        <v>8</v>
      </c>
      <c r="CM219" s="2">
        <v>8</v>
      </c>
      <c r="CN219" s="2">
        <v>9</v>
      </c>
      <c r="CO219" s="2">
        <v>9</v>
      </c>
      <c r="CP219" s="2" t="e">
        <f t="shared" ca="1" si="23"/>
        <v>#NAME?</v>
      </c>
      <c r="CQ219" s="2">
        <v>9</v>
      </c>
      <c r="CR219" s="2">
        <v>9</v>
      </c>
      <c r="CS219" s="2">
        <v>8</v>
      </c>
      <c r="CT219" s="2">
        <v>8</v>
      </c>
      <c r="CU219" s="2">
        <v>8</v>
      </c>
      <c r="CV219" s="54">
        <f t="shared" si="8"/>
        <v>9</v>
      </c>
      <c r="CW219" s="55"/>
      <c r="CX219" s="3"/>
    </row>
    <row r="220" spans="1:102" ht="16.5" x14ac:dyDescent="0.55000000000000004">
      <c r="A220" s="17">
        <v>3</v>
      </c>
      <c r="B220" s="17" t="s">
        <v>5</v>
      </c>
      <c r="C220" s="23" t="s">
        <v>479</v>
      </c>
      <c r="D220" s="24" t="s">
        <v>480</v>
      </c>
      <c r="E220" s="48"/>
      <c r="F220" s="2">
        <v>14</v>
      </c>
      <c r="G220" s="2">
        <v>7</v>
      </c>
      <c r="H220" s="2">
        <v>7</v>
      </c>
      <c r="I220" s="2">
        <v>7</v>
      </c>
      <c r="J220" s="2">
        <v>7</v>
      </c>
      <c r="K220" s="2">
        <v>7</v>
      </c>
      <c r="L220" s="2">
        <f t="shared" ref="L220:P220" si="78">G220</f>
        <v>7</v>
      </c>
      <c r="M220" s="2">
        <f t="shared" si="78"/>
        <v>7</v>
      </c>
      <c r="N220" s="2">
        <f t="shared" si="78"/>
        <v>7</v>
      </c>
      <c r="O220" s="2">
        <f t="shared" si="78"/>
        <v>7</v>
      </c>
      <c r="P220" s="2">
        <f t="shared" si="78"/>
        <v>7</v>
      </c>
      <c r="Q220" s="2" t="e">
        <f t="shared" ca="1" si="19"/>
        <v>#NAME?</v>
      </c>
      <c r="R220" s="2">
        <v>9</v>
      </c>
      <c r="S220" s="2">
        <v>9</v>
      </c>
      <c r="T220" s="2">
        <v>9</v>
      </c>
      <c r="U220" s="2">
        <v>9</v>
      </c>
      <c r="V220" s="2">
        <v>9</v>
      </c>
      <c r="W220" s="54">
        <f t="shared" si="1"/>
        <v>9</v>
      </c>
      <c r="X220" s="48"/>
      <c r="Y220" s="2"/>
      <c r="Z220" s="2"/>
      <c r="AA220" s="2">
        <v>10</v>
      </c>
      <c r="AB220" s="2">
        <v>10</v>
      </c>
      <c r="AC220" s="2">
        <v>10</v>
      </c>
      <c r="AD220" s="2">
        <v>10</v>
      </c>
      <c r="AE220" s="2">
        <v>10</v>
      </c>
      <c r="AF220" s="2">
        <v>10</v>
      </c>
      <c r="AG220" s="2">
        <v>10</v>
      </c>
      <c r="AH220" s="2">
        <v>10</v>
      </c>
      <c r="AI220" s="2">
        <v>10</v>
      </c>
      <c r="AJ220" s="2">
        <v>10</v>
      </c>
      <c r="AK220" s="3"/>
      <c r="AL220" s="3"/>
      <c r="AM220" s="3"/>
      <c r="AN220" s="3"/>
      <c r="AO220" s="3"/>
      <c r="AP220" s="3"/>
      <c r="AQ220" s="2" t="e">
        <f t="shared" ca="1" si="20"/>
        <v>#NAME?</v>
      </c>
      <c r="AR220" s="2">
        <v>10</v>
      </c>
      <c r="AS220" s="2">
        <v>10</v>
      </c>
      <c r="AT220" s="2">
        <v>10</v>
      </c>
      <c r="AU220" s="2">
        <v>10</v>
      </c>
      <c r="AV220" s="2">
        <v>10</v>
      </c>
      <c r="AW220" s="54">
        <f t="shared" si="3"/>
        <v>10</v>
      </c>
      <c r="AX220" s="48">
        <v>8</v>
      </c>
      <c r="AY220" s="2">
        <v>10</v>
      </c>
      <c r="AZ220" s="2">
        <v>10</v>
      </c>
      <c r="BA220" s="2">
        <v>10</v>
      </c>
      <c r="BB220" s="2">
        <v>10</v>
      </c>
      <c r="BC220" s="2">
        <v>10</v>
      </c>
      <c r="BD220" s="2">
        <v>10</v>
      </c>
      <c r="BE220" s="2">
        <v>10</v>
      </c>
      <c r="BF220" s="2">
        <v>10</v>
      </c>
      <c r="BG220" s="2">
        <v>10</v>
      </c>
      <c r="BH220" s="2">
        <v>10</v>
      </c>
      <c r="BI220" s="57">
        <v>10</v>
      </c>
      <c r="BJ220" s="2" t="e">
        <f t="shared" ca="1" si="21"/>
        <v>#NAME?</v>
      </c>
      <c r="BK220" s="5">
        <v>10</v>
      </c>
      <c r="BL220" s="5">
        <v>10</v>
      </c>
      <c r="BM220" s="5">
        <v>10</v>
      </c>
      <c r="BN220" s="5">
        <v>10</v>
      </c>
      <c r="BO220" s="5">
        <v>10</v>
      </c>
      <c r="BP220" s="54">
        <f t="shared" si="5"/>
        <v>10</v>
      </c>
      <c r="BQ220" s="5"/>
      <c r="BR220" s="5"/>
      <c r="BS220" s="5">
        <v>10</v>
      </c>
      <c r="BT220" s="5">
        <v>10</v>
      </c>
      <c r="BU220" s="5">
        <v>10</v>
      </c>
      <c r="BV220" s="5">
        <v>10</v>
      </c>
      <c r="BW220" s="5">
        <v>10</v>
      </c>
      <c r="BX220" s="5">
        <v>10</v>
      </c>
      <c r="BY220" s="5">
        <v>10</v>
      </c>
      <c r="BZ220" s="5">
        <v>10</v>
      </c>
      <c r="CA220" s="5">
        <v>10</v>
      </c>
      <c r="CB220" s="5">
        <v>10</v>
      </c>
      <c r="CC220" s="2" t="e">
        <f t="shared" ca="1" si="22"/>
        <v>#NAME?</v>
      </c>
      <c r="CD220" s="55"/>
      <c r="CE220" s="2"/>
      <c r="CF220" s="2">
        <v>7</v>
      </c>
      <c r="CG220" s="2">
        <v>7</v>
      </c>
      <c r="CH220" s="2">
        <v>7</v>
      </c>
      <c r="CI220" s="2">
        <v>7</v>
      </c>
      <c r="CJ220" s="2">
        <v>7</v>
      </c>
      <c r="CK220" s="2">
        <v>7</v>
      </c>
      <c r="CL220" s="2">
        <v>7</v>
      </c>
      <c r="CM220" s="2">
        <v>7</v>
      </c>
      <c r="CN220" s="2">
        <v>7</v>
      </c>
      <c r="CO220" s="2">
        <v>7</v>
      </c>
      <c r="CP220" s="2" t="e">
        <f t="shared" ca="1" si="23"/>
        <v>#NAME?</v>
      </c>
      <c r="CQ220" s="2">
        <v>7</v>
      </c>
      <c r="CR220" s="2">
        <v>7</v>
      </c>
      <c r="CS220" s="2">
        <v>7</v>
      </c>
      <c r="CT220" s="2">
        <v>7</v>
      </c>
      <c r="CU220" s="2">
        <v>7</v>
      </c>
      <c r="CV220" s="54">
        <f t="shared" si="8"/>
        <v>7</v>
      </c>
      <c r="CW220" s="55"/>
      <c r="CX220" s="3"/>
    </row>
    <row r="221" spans="1:102" ht="16.5" x14ac:dyDescent="0.55000000000000004">
      <c r="A221" s="17">
        <v>3</v>
      </c>
      <c r="B221" s="17" t="s">
        <v>5</v>
      </c>
      <c r="C221" s="23" t="s">
        <v>481</v>
      </c>
      <c r="D221" s="24" t="s">
        <v>482</v>
      </c>
      <c r="E221" s="48"/>
      <c r="F221" s="2" t="s">
        <v>31</v>
      </c>
      <c r="G221" s="2">
        <v>4</v>
      </c>
      <c r="H221" s="2">
        <v>4</v>
      </c>
      <c r="I221" s="2">
        <v>4</v>
      </c>
      <c r="J221" s="2">
        <v>4</v>
      </c>
      <c r="K221" s="2">
        <v>4</v>
      </c>
      <c r="L221" s="2">
        <v>4</v>
      </c>
      <c r="M221" s="2">
        <v>4</v>
      </c>
      <c r="N221" s="2">
        <v>4</v>
      </c>
      <c r="O221" s="2">
        <v>4</v>
      </c>
      <c r="P221" s="2">
        <v>4</v>
      </c>
      <c r="Q221" s="2" t="e">
        <f t="shared" ca="1" si="19"/>
        <v>#NAME?</v>
      </c>
      <c r="R221" s="2">
        <v>5</v>
      </c>
      <c r="S221" s="2">
        <v>5</v>
      </c>
      <c r="T221" s="2">
        <v>5</v>
      </c>
      <c r="U221" s="2">
        <v>5</v>
      </c>
      <c r="V221" s="2">
        <v>5</v>
      </c>
      <c r="W221" s="54">
        <f t="shared" si="1"/>
        <v>5</v>
      </c>
      <c r="X221" s="48"/>
      <c r="Y221" s="2"/>
      <c r="Z221" s="2"/>
      <c r="AA221" s="2">
        <v>0</v>
      </c>
      <c r="AB221" s="2">
        <v>0</v>
      </c>
      <c r="AC221" s="2">
        <v>4</v>
      </c>
      <c r="AD221" s="2">
        <v>4</v>
      </c>
      <c r="AE221" s="2">
        <v>10</v>
      </c>
      <c r="AF221" s="2">
        <v>10</v>
      </c>
      <c r="AG221" s="2">
        <v>10</v>
      </c>
      <c r="AH221" s="2">
        <v>10</v>
      </c>
      <c r="AI221" s="2">
        <v>10</v>
      </c>
      <c r="AJ221" s="2">
        <v>10</v>
      </c>
      <c r="AK221" s="3"/>
      <c r="AL221" s="3"/>
      <c r="AM221" s="3"/>
      <c r="AN221" s="3"/>
      <c r="AO221" s="3"/>
      <c r="AP221" s="3"/>
      <c r="AQ221" s="2" t="e">
        <f t="shared" ca="1" si="20"/>
        <v>#NAME?</v>
      </c>
      <c r="AR221" s="2">
        <v>0</v>
      </c>
      <c r="AS221" s="2">
        <v>4</v>
      </c>
      <c r="AT221" s="2">
        <v>10</v>
      </c>
      <c r="AU221" s="2">
        <v>10</v>
      </c>
      <c r="AV221" s="2">
        <v>10</v>
      </c>
      <c r="AW221" s="54">
        <f t="shared" si="3"/>
        <v>7</v>
      </c>
      <c r="AX221" s="48">
        <v>7</v>
      </c>
      <c r="AY221" s="2">
        <v>0</v>
      </c>
      <c r="AZ221" s="2">
        <v>7</v>
      </c>
      <c r="BA221" s="2">
        <v>7</v>
      </c>
      <c r="BB221" s="2">
        <v>7</v>
      </c>
      <c r="BC221" s="2">
        <v>7</v>
      </c>
      <c r="BD221" s="2">
        <v>7</v>
      </c>
      <c r="BE221" s="2">
        <v>7</v>
      </c>
      <c r="BF221" s="2">
        <v>6</v>
      </c>
      <c r="BG221" s="2">
        <v>6</v>
      </c>
      <c r="BH221" s="2">
        <v>6</v>
      </c>
      <c r="BI221" s="2">
        <v>6</v>
      </c>
      <c r="BJ221" s="2" t="e">
        <f t="shared" ca="1" si="21"/>
        <v>#NAME?</v>
      </c>
      <c r="BK221" s="2">
        <v>7</v>
      </c>
      <c r="BL221" s="2">
        <v>7</v>
      </c>
      <c r="BM221" s="2">
        <v>7</v>
      </c>
      <c r="BN221" s="2">
        <v>7</v>
      </c>
      <c r="BO221" s="2">
        <v>7</v>
      </c>
      <c r="BP221" s="54">
        <f t="shared" si="5"/>
        <v>7</v>
      </c>
      <c r="BQ221" s="5"/>
      <c r="BR221" s="5"/>
      <c r="BS221" s="5">
        <v>5</v>
      </c>
      <c r="BT221" s="5">
        <v>5</v>
      </c>
      <c r="BU221" s="5">
        <v>5</v>
      </c>
      <c r="BV221" s="5">
        <v>4</v>
      </c>
      <c r="BW221" s="5">
        <v>5</v>
      </c>
      <c r="BX221" s="5">
        <v>3</v>
      </c>
      <c r="BY221" s="5">
        <v>4</v>
      </c>
      <c r="BZ221" s="5">
        <v>5</v>
      </c>
      <c r="CA221" s="5">
        <v>4</v>
      </c>
      <c r="CB221" s="5">
        <v>4</v>
      </c>
      <c r="CC221" s="2" t="e">
        <f t="shared" ca="1" si="22"/>
        <v>#NAME?</v>
      </c>
      <c r="CD221" s="55"/>
      <c r="CE221" s="2"/>
      <c r="CF221" s="2">
        <v>7</v>
      </c>
      <c r="CG221" s="2">
        <v>7</v>
      </c>
      <c r="CH221" s="2">
        <v>7</v>
      </c>
      <c r="CI221" s="2">
        <v>7</v>
      </c>
      <c r="CJ221" s="2">
        <v>7</v>
      </c>
      <c r="CK221" s="2">
        <v>7</v>
      </c>
      <c r="CL221" s="2">
        <v>7</v>
      </c>
      <c r="CM221" s="2">
        <v>7</v>
      </c>
      <c r="CN221" s="2">
        <v>7</v>
      </c>
      <c r="CO221" s="2">
        <v>7</v>
      </c>
      <c r="CP221" s="2" t="e">
        <f t="shared" ca="1" si="23"/>
        <v>#NAME?</v>
      </c>
      <c r="CQ221" s="2">
        <v>7</v>
      </c>
      <c r="CR221" s="2">
        <v>7</v>
      </c>
      <c r="CS221" s="2">
        <v>7</v>
      </c>
      <c r="CT221" s="2">
        <v>7</v>
      </c>
      <c r="CU221" s="2">
        <v>7</v>
      </c>
      <c r="CV221" s="54">
        <f t="shared" si="8"/>
        <v>7</v>
      </c>
      <c r="CW221" s="55"/>
      <c r="CX221" s="3"/>
    </row>
    <row r="222" spans="1:102" ht="16.5" x14ac:dyDescent="0.55000000000000004">
      <c r="A222" s="17">
        <v>3</v>
      </c>
      <c r="B222" s="17" t="s">
        <v>5</v>
      </c>
      <c r="C222" s="23" t="s">
        <v>483</v>
      </c>
      <c r="D222" s="24" t="s">
        <v>484</v>
      </c>
      <c r="E222" s="48"/>
      <c r="F222" s="2">
        <v>8</v>
      </c>
      <c r="G222" s="2">
        <v>8</v>
      </c>
      <c r="H222" s="2">
        <v>8</v>
      </c>
      <c r="I222" s="2">
        <v>8</v>
      </c>
      <c r="J222" s="2">
        <v>8</v>
      </c>
      <c r="K222" s="2">
        <v>8</v>
      </c>
      <c r="L222" s="2">
        <f t="shared" ref="L222:P222" si="79">G222</f>
        <v>8</v>
      </c>
      <c r="M222" s="2">
        <f t="shared" si="79"/>
        <v>8</v>
      </c>
      <c r="N222" s="2">
        <f t="shared" si="79"/>
        <v>8</v>
      </c>
      <c r="O222" s="2">
        <f t="shared" si="79"/>
        <v>8</v>
      </c>
      <c r="P222" s="2">
        <f t="shared" si="79"/>
        <v>8</v>
      </c>
      <c r="Q222" s="2" t="e">
        <f t="shared" ca="1" si="19"/>
        <v>#NAME?</v>
      </c>
      <c r="R222" s="2">
        <v>9</v>
      </c>
      <c r="S222" s="2">
        <v>9</v>
      </c>
      <c r="T222" s="2">
        <v>9</v>
      </c>
      <c r="U222" s="2">
        <v>9</v>
      </c>
      <c r="V222" s="2">
        <v>9</v>
      </c>
      <c r="W222" s="54">
        <f t="shared" si="1"/>
        <v>9</v>
      </c>
      <c r="X222" s="48"/>
      <c r="Y222" s="2"/>
      <c r="Z222" s="2"/>
      <c r="AA222" s="2">
        <v>10</v>
      </c>
      <c r="AB222" s="2">
        <v>10</v>
      </c>
      <c r="AC222" s="2">
        <v>0</v>
      </c>
      <c r="AD222" s="2">
        <v>0</v>
      </c>
      <c r="AE222" s="2">
        <v>10</v>
      </c>
      <c r="AF222" s="2">
        <v>10</v>
      </c>
      <c r="AG222" s="2">
        <v>10</v>
      </c>
      <c r="AH222" s="2">
        <v>10</v>
      </c>
      <c r="AI222" s="2">
        <v>10</v>
      </c>
      <c r="AJ222" s="2">
        <v>10</v>
      </c>
      <c r="AK222" s="3"/>
      <c r="AL222" s="3"/>
      <c r="AM222" s="3"/>
      <c r="AN222" s="3"/>
      <c r="AO222" s="3"/>
      <c r="AP222" s="3"/>
      <c r="AQ222" s="2" t="e">
        <f t="shared" ca="1" si="20"/>
        <v>#NAME?</v>
      </c>
      <c r="AR222" s="2">
        <v>10</v>
      </c>
      <c r="AS222" s="2">
        <v>10</v>
      </c>
      <c r="AT222" s="2">
        <v>10</v>
      </c>
      <c r="AU222" s="2">
        <v>10</v>
      </c>
      <c r="AV222" s="2">
        <v>10</v>
      </c>
      <c r="AW222" s="54">
        <f t="shared" si="3"/>
        <v>10</v>
      </c>
      <c r="AX222" s="48">
        <v>8</v>
      </c>
      <c r="AY222" s="2">
        <v>10</v>
      </c>
      <c r="AZ222" s="2">
        <v>10</v>
      </c>
      <c r="BA222" s="2">
        <v>10</v>
      </c>
      <c r="BB222" s="2">
        <v>10</v>
      </c>
      <c r="BC222" s="2">
        <v>10</v>
      </c>
      <c r="BD222" s="2">
        <v>10</v>
      </c>
      <c r="BE222" s="2">
        <v>10</v>
      </c>
      <c r="BF222" s="2">
        <v>10</v>
      </c>
      <c r="BG222" s="2">
        <v>10</v>
      </c>
      <c r="BH222" s="2">
        <v>10</v>
      </c>
      <c r="BI222" s="2">
        <v>10</v>
      </c>
      <c r="BJ222" s="2" t="e">
        <f t="shared" ca="1" si="21"/>
        <v>#NAME?</v>
      </c>
      <c r="BK222" s="5">
        <v>10</v>
      </c>
      <c r="BL222" s="5">
        <v>10</v>
      </c>
      <c r="BM222" s="5">
        <v>10</v>
      </c>
      <c r="BN222" s="5">
        <v>10</v>
      </c>
      <c r="BO222" s="5">
        <v>10</v>
      </c>
      <c r="BP222" s="54">
        <f t="shared" si="5"/>
        <v>10</v>
      </c>
      <c r="BQ222" s="5"/>
      <c r="BR222" s="5"/>
      <c r="BS222" s="5">
        <v>10</v>
      </c>
      <c r="BT222" s="5">
        <v>10</v>
      </c>
      <c r="BU222" s="5">
        <v>10</v>
      </c>
      <c r="BV222" s="5">
        <v>10</v>
      </c>
      <c r="BW222" s="5">
        <v>10</v>
      </c>
      <c r="BX222" s="5">
        <v>10</v>
      </c>
      <c r="BY222" s="5">
        <v>10</v>
      </c>
      <c r="BZ222" s="5">
        <v>10</v>
      </c>
      <c r="CA222" s="5">
        <v>10</v>
      </c>
      <c r="CB222" s="5">
        <v>10</v>
      </c>
      <c r="CC222" s="2" t="e">
        <f t="shared" ca="1" si="22"/>
        <v>#NAME?</v>
      </c>
      <c r="CD222" s="55"/>
      <c r="CE222" s="2"/>
      <c r="CF222" s="2">
        <v>7</v>
      </c>
      <c r="CG222" s="2">
        <v>7</v>
      </c>
      <c r="CH222" s="2">
        <v>7</v>
      </c>
      <c r="CI222" s="2">
        <v>7</v>
      </c>
      <c r="CJ222" s="2">
        <v>7</v>
      </c>
      <c r="CK222" s="2">
        <v>7</v>
      </c>
      <c r="CL222" s="2">
        <v>7</v>
      </c>
      <c r="CM222" s="2">
        <v>7</v>
      </c>
      <c r="CN222" s="2">
        <v>7</v>
      </c>
      <c r="CO222" s="2">
        <v>7</v>
      </c>
      <c r="CP222" s="2" t="e">
        <f t="shared" ca="1" si="23"/>
        <v>#NAME?</v>
      </c>
      <c r="CQ222" s="2">
        <v>7</v>
      </c>
      <c r="CR222" s="2">
        <v>7</v>
      </c>
      <c r="CS222" s="2">
        <v>7</v>
      </c>
      <c r="CT222" s="2">
        <v>7</v>
      </c>
      <c r="CU222" s="2">
        <v>7</v>
      </c>
      <c r="CV222" s="54">
        <f t="shared" si="8"/>
        <v>7</v>
      </c>
      <c r="CW222" s="55"/>
      <c r="CX222" s="3"/>
    </row>
    <row r="223" spans="1:102" ht="16.5" x14ac:dyDescent="0.55000000000000004">
      <c r="A223" s="17">
        <v>3</v>
      </c>
      <c r="B223" s="17" t="s">
        <v>5</v>
      </c>
      <c r="C223" s="23" t="s">
        <v>485</v>
      </c>
      <c r="D223" s="24" t="s">
        <v>486</v>
      </c>
      <c r="E223" s="48"/>
      <c r="F223" s="48">
        <v>10</v>
      </c>
      <c r="G223" s="2">
        <v>8</v>
      </c>
      <c r="H223" s="2">
        <v>8</v>
      </c>
      <c r="I223" s="2">
        <v>8</v>
      </c>
      <c r="J223" s="2">
        <v>8</v>
      </c>
      <c r="K223" s="2">
        <v>8</v>
      </c>
      <c r="L223" s="2">
        <f t="shared" ref="L223:P223" si="80">G223</f>
        <v>8</v>
      </c>
      <c r="M223" s="2">
        <f t="shared" si="80"/>
        <v>8</v>
      </c>
      <c r="N223" s="2">
        <f t="shared" si="80"/>
        <v>8</v>
      </c>
      <c r="O223" s="2">
        <f t="shared" si="80"/>
        <v>8</v>
      </c>
      <c r="P223" s="2">
        <f t="shared" si="80"/>
        <v>8</v>
      </c>
      <c r="Q223" s="2" t="e">
        <f t="shared" ca="1" si="19"/>
        <v>#NAME?</v>
      </c>
      <c r="R223" s="2">
        <v>9</v>
      </c>
      <c r="S223" s="2">
        <v>9</v>
      </c>
      <c r="T223" s="2">
        <v>9</v>
      </c>
      <c r="U223" s="2">
        <v>9</v>
      </c>
      <c r="V223" s="2">
        <v>9</v>
      </c>
      <c r="W223" s="54">
        <f t="shared" si="1"/>
        <v>9</v>
      </c>
      <c r="X223" s="48"/>
      <c r="Y223" s="2"/>
      <c r="Z223" s="2"/>
      <c r="AA223" s="2">
        <v>10</v>
      </c>
      <c r="AB223" s="2">
        <v>10</v>
      </c>
      <c r="AC223" s="2">
        <v>5</v>
      </c>
      <c r="AD223" s="2">
        <v>5</v>
      </c>
      <c r="AE223" s="2">
        <v>10</v>
      </c>
      <c r="AF223" s="2">
        <v>10</v>
      </c>
      <c r="AG223" s="2">
        <v>10</v>
      </c>
      <c r="AH223" s="2">
        <v>10</v>
      </c>
      <c r="AI223" s="2">
        <v>10</v>
      </c>
      <c r="AJ223" s="2">
        <v>10</v>
      </c>
      <c r="AK223" s="3"/>
      <c r="AL223" s="3"/>
      <c r="AM223" s="3"/>
      <c r="AN223" s="3"/>
      <c r="AO223" s="3"/>
      <c r="AP223" s="3"/>
      <c r="AQ223" s="2" t="e">
        <f t="shared" ca="1" si="20"/>
        <v>#NAME?</v>
      </c>
      <c r="AR223" s="2">
        <v>10</v>
      </c>
      <c r="AS223" s="2">
        <v>10</v>
      </c>
      <c r="AT223" s="2">
        <v>10</v>
      </c>
      <c r="AU223" s="2">
        <v>10</v>
      </c>
      <c r="AV223" s="2">
        <v>10</v>
      </c>
      <c r="AW223" s="54">
        <f t="shared" si="3"/>
        <v>10</v>
      </c>
      <c r="AX223" s="48">
        <v>7</v>
      </c>
      <c r="AY223" s="2">
        <v>10</v>
      </c>
      <c r="AZ223" s="2">
        <v>10</v>
      </c>
      <c r="BA223" s="2">
        <v>10</v>
      </c>
      <c r="BB223" s="2">
        <v>10</v>
      </c>
      <c r="BC223" s="2">
        <v>10</v>
      </c>
      <c r="BD223" s="2">
        <v>10</v>
      </c>
      <c r="BE223" s="2">
        <v>10</v>
      </c>
      <c r="BF223" s="2">
        <v>10</v>
      </c>
      <c r="BG223" s="2">
        <v>10</v>
      </c>
      <c r="BH223" s="2">
        <v>10</v>
      </c>
      <c r="BI223" s="2">
        <v>10</v>
      </c>
      <c r="BJ223" s="2" t="e">
        <f t="shared" ca="1" si="21"/>
        <v>#NAME?</v>
      </c>
      <c r="BK223" s="5">
        <v>10</v>
      </c>
      <c r="BL223" s="5">
        <v>10</v>
      </c>
      <c r="BM223" s="5">
        <v>10</v>
      </c>
      <c r="BN223" s="5">
        <v>10</v>
      </c>
      <c r="BO223" s="5">
        <v>10</v>
      </c>
      <c r="BP223" s="54">
        <f t="shared" si="5"/>
        <v>10</v>
      </c>
      <c r="BQ223" s="5"/>
      <c r="BR223" s="5"/>
      <c r="BS223" s="5">
        <v>10</v>
      </c>
      <c r="BT223" s="5">
        <v>10</v>
      </c>
      <c r="BU223" s="5">
        <v>10</v>
      </c>
      <c r="BV223" s="5">
        <v>10</v>
      </c>
      <c r="BW223" s="5">
        <v>10</v>
      </c>
      <c r="BX223" s="5">
        <v>10</v>
      </c>
      <c r="BY223" s="5">
        <v>10</v>
      </c>
      <c r="BZ223" s="5">
        <v>10</v>
      </c>
      <c r="CA223" s="5">
        <v>10</v>
      </c>
      <c r="CB223" s="5">
        <v>10</v>
      </c>
      <c r="CC223" s="2" t="e">
        <f t="shared" ca="1" si="22"/>
        <v>#NAME?</v>
      </c>
      <c r="CD223" s="55"/>
      <c r="CE223" s="2"/>
      <c r="CF223" s="2">
        <v>7</v>
      </c>
      <c r="CG223" s="2">
        <v>7</v>
      </c>
      <c r="CH223" s="2">
        <v>7</v>
      </c>
      <c r="CI223" s="2">
        <v>7</v>
      </c>
      <c r="CJ223" s="2">
        <v>7</v>
      </c>
      <c r="CK223" s="2">
        <v>7</v>
      </c>
      <c r="CL223" s="2">
        <v>7</v>
      </c>
      <c r="CM223" s="2">
        <v>7</v>
      </c>
      <c r="CN223" s="2">
        <v>7</v>
      </c>
      <c r="CO223" s="2">
        <v>7</v>
      </c>
      <c r="CP223" s="2" t="e">
        <f t="shared" ca="1" si="23"/>
        <v>#NAME?</v>
      </c>
      <c r="CQ223" s="2">
        <v>7</v>
      </c>
      <c r="CR223" s="2">
        <v>7</v>
      </c>
      <c r="CS223" s="2">
        <v>7</v>
      </c>
      <c r="CT223" s="2">
        <v>7</v>
      </c>
      <c r="CU223" s="2">
        <v>7</v>
      </c>
      <c r="CV223" s="54">
        <f t="shared" si="8"/>
        <v>7</v>
      </c>
      <c r="CW223" s="55"/>
      <c r="CX223" s="3"/>
    </row>
    <row r="224" spans="1:102" ht="16.5" x14ac:dyDescent="0.55000000000000004">
      <c r="A224" s="17">
        <v>3</v>
      </c>
      <c r="B224" s="17" t="s">
        <v>5</v>
      </c>
      <c r="C224" s="23" t="s">
        <v>487</v>
      </c>
      <c r="D224" s="24" t="s">
        <v>488</v>
      </c>
      <c r="E224" s="48"/>
      <c r="F224" s="2">
        <v>18</v>
      </c>
      <c r="G224" s="2">
        <v>10</v>
      </c>
      <c r="H224" s="2">
        <v>10</v>
      </c>
      <c r="I224" s="2">
        <v>10</v>
      </c>
      <c r="J224" s="2">
        <v>7</v>
      </c>
      <c r="K224" s="2">
        <v>7</v>
      </c>
      <c r="L224" s="2">
        <f t="shared" ref="L224:P224" si="81">G224</f>
        <v>10</v>
      </c>
      <c r="M224" s="2">
        <f t="shared" si="81"/>
        <v>10</v>
      </c>
      <c r="N224" s="2">
        <f t="shared" si="81"/>
        <v>10</v>
      </c>
      <c r="O224" s="2">
        <f t="shared" si="81"/>
        <v>7</v>
      </c>
      <c r="P224" s="2">
        <f t="shared" si="81"/>
        <v>7</v>
      </c>
      <c r="Q224" s="2" t="e">
        <f t="shared" ca="1" si="19"/>
        <v>#NAME?</v>
      </c>
      <c r="R224" s="2">
        <v>10</v>
      </c>
      <c r="S224" s="2">
        <v>10</v>
      </c>
      <c r="T224" s="2">
        <v>10</v>
      </c>
      <c r="U224" s="2">
        <v>10</v>
      </c>
      <c r="V224" s="2">
        <v>10</v>
      </c>
      <c r="W224" s="54">
        <f t="shared" si="1"/>
        <v>10</v>
      </c>
      <c r="X224" s="48"/>
      <c r="Y224" s="2"/>
      <c r="Z224" s="2"/>
      <c r="AA224" s="2">
        <v>10</v>
      </c>
      <c r="AB224" s="2">
        <v>10</v>
      </c>
      <c r="AC224" s="2">
        <v>0</v>
      </c>
      <c r="AD224" s="2">
        <v>0</v>
      </c>
      <c r="AE224" s="2">
        <v>10</v>
      </c>
      <c r="AF224" s="2">
        <v>10</v>
      </c>
      <c r="AG224" s="2">
        <v>10</v>
      </c>
      <c r="AH224" s="2">
        <v>10</v>
      </c>
      <c r="AI224" s="2">
        <v>10</v>
      </c>
      <c r="AJ224" s="2">
        <v>10</v>
      </c>
      <c r="AK224" s="3"/>
      <c r="AL224" s="3"/>
      <c r="AM224" s="3"/>
      <c r="AN224" s="3"/>
      <c r="AO224" s="3"/>
      <c r="AP224" s="3"/>
      <c r="AQ224" s="2" t="e">
        <f t="shared" ca="1" si="20"/>
        <v>#NAME?</v>
      </c>
      <c r="AR224" s="2">
        <v>10</v>
      </c>
      <c r="AS224" s="2">
        <v>10</v>
      </c>
      <c r="AT224" s="2">
        <v>10</v>
      </c>
      <c r="AU224" s="2">
        <v>10</v>
      </c>
      <c r="AV224" s="2">
        <v>10</v>
      </c>
      <c r="AW224" s="54">
        <f t="shared" si="3"/>
        <v>10</v>
      </c>
      <c r="AX224" s="48">
        <v>5</v>
      </c>
      <c r="AY224" s="2">
        <v>8</v>
      </c>
      <c r="AZ224" s="2">
        <v>10</v>
      </c>
      <c r="BA224" s="2">
        <v>10</v>
      </c>
      <c r="BB224" s="2">
        <v>10</v>
      </c>
      <c r="BC224" s="2">
        <v>10</v>
      </c>
      <c r="BD224" s="2">
        <v>10</v>
      </c>
      <c r="BE224" s="2">
        <v>10</v>
      </c>
      <c r="BF224" s="2">
        <v>10</v>
      </c>
      <c r="BG224" s="2">
        <v>10</v>
      </c>
      <c r="BH224" s="2">
        <v>10</v>
      </c>
      <c r="BI224" s="2">
        <v>10</v>
      </c>
      <c r="BJ224" s="2" t="e">
        <f t="shared" ca="1" si="21"/>
        <v>#NAME?</v>
      </c>
      <c r="BK224" s="2">
        <v>10</v>
      </c>
      <c r="BL224" s="2">
        <v>10</v>
      </c>
      <c r="BM224" s="2">
        <v>10</v>
      </c>
      <c r="BN224" s="2">
        <v>10</v>
      </c>
      <c r="BO224" s="2">
        <v>10</v>
      </c>
      <c r="BP224" s="54">
        <f t="shared" si="5"/>
        <v>10</v>
      </c>
      <c r="BQ224" s="5"/>
      <c r="BR224" s="5"/>
      <c r="BS224" s="5">
        <v>10</v>
      </c>
      <c r="BT224" s="5">
        <v>10</v>
      </c>
      <c r="BU224" s="5">
        <v>10</v>
      </c>
      <c r="BV224" s="5">
        <v>10</v>
      </c>
      <c r="BW224" s="5">
        <v>10</v>
      </c>
      <c r="BX224" s="5">
        <v>10</v>
      </c>
      <c r="BY224" s="5">
        <v>10</v>
      </c>
      <c r="BZ224" s="5">
        <v>10</v>
      </c>
      <c r="CA224" s="5">
        <v>10</v>
      </c>
      <c r="CB224" s="5">
        <v>10</v>
      </c>
      <c r="CC224" s="2" t="e">
        <f t="shared" ca="1" si="22"/>
        <v>#NAME?</v>
      </c>
      <c r="CD224" s="55"/>
      <c r="CE224" s="2"/>
      <c r="CF224" s="2">
        <v>10</v>
      </c>
      <c r="CG224" s="2">
        <v>10</v>
      </c>
      <c r="CH224" s="2">
        <v>10</v>
      </c>
      <c r="CI224" s="2">
        <v>9</v>
      </c>
      <c r="CJ224" s="2">
        <v>9</v>
      </c>
      <c r="CK224" s="2">
        <v>9</v>
      </c>
      <c r="CL224" s="2">
        <v>9</v>
      </c>
      <c r="CM224" s="2">
        <v>8</v>
      </c>
      <c r="CN224" s="2">
        <v>8</v>
      </c>
      <c r="CO224" s="2">
        <v>8</v>
      </c>
      <c r="CP224" s="2" t="e">
        <f t="shared" ca="1" si="23"/>
        <v>#NAME?</v>
      </c>
      <c r="CQ224" s="2">
        <v>10</v>
      </c>
      <c r="CR224" s="2">
        <v>10</v>
      </c>
      <c r="CS224" s="2">
        <v>10</v>
      </c>
      <c r="CT224" s="2">
        <v>8</v>
      </c>
      <c r="CU224" s="2">
        <v>8</v>
      </c>
      <c r="CV224" s="54">
        <f t="shared" si="8"/>
        <v>10</v>
      </c>
      <c r="CW224" s="55"/>
      <c r="CX224" s="3"/>
    </row>
    <row r="225" spans="1:102" ht="16.5" x14ac:dyDescent="0.55000000000000004">
      <c r="A225" s="17">
        <v>3</v>
      </c>
      <c r="B225" s="17" t="s">
        <v>5</v>
      </c>
      <c r="C225" s="23" t="s">
        <v>489</v>
      </c>
      <c r="D225" s="24" t="s">
        <v>490</v>
      </c>
      <c r="E225" s="48"/>
      <c r="F225" s="48">
        <v>9</v>
      </c>
      <c r="G225" s="2">
        <v>6</v>
      </c>
      <c r="H225" s="2">
        <v>6</v>
      </c>
      <c r="I225" s="2">
        <v>6</v>
      </c>
      <c r="J225" s="2">
        <v>6</v>
      </c>
      <c r="K225" s="2">
        <v>6</v>
      </c>
      <c r="L225" s="2">
        <f t="shared" ref="L225:P225" si="82">G225</f>
        <v>6</v>
      </c>
      <c r="M225" s="2">
        <f t="shared" si="82"/>
        <v>6</v>
      </c>
      <c r="N225" s="2">
        <f t="shared" si="82"/>
        <v>6</v>
      </c>
      <c r="O225" s="2">
        <f t="shared" si="82"/>
        <v>6</v>
      </c>
      <c r="P225" s="2">
        <f t="shared" si="82"/>
        <v>6</v>
      </c>
      <c r="Q225" s="2" t="e">
        <f t="shared" ca="1" si="19"/>
        <v>#NAME?</v>
      </c>
      <c r="R225" s="2">
        <v>6</v>
      </c>
      <c r="S225" s="2">
        <v>6</v>
      </c>
      <c r="T225" s="2">
        <v>6</v>
      </c>
      <c r="U225" s="2">
        <v>6</v>
      </c>
      <c r="V225" s="2">
        <v>6</v>
      </c>
      <c r="W225" s="54">
        <f t="shared" si="1"/>
        <v>6</v>
      </c>
      <c r="X225" s="48"/>
      <c r="Y225" s="2"/>
      <c r="Z225" s="2"/>
      <c r="AA225" s="2">
        <v>0</v>
      </c>
      <c r="AB225" s="2">
        <v>0</v>
      </c>
      <c r="AC225" s="2">
        <v>4</v>
      </c>
      <c r="AD225" s="2">
        <v>4</v>
      </c>
      <c r="AE225" s="2">
        <v>10</v>
      </c>
      <c r="AF225" s="2">
        <v>10</v>
      </c>
      <c r="AG225" s="2">
        <v>10</v>
      </c>
      <c r="AH225" s="2">
        <v>10</v>
      </c>
      <c r="AI225" s="2">
        <v>10</v>
      </c>
      <c r="AJ225" s="2">
        <v>10</v>
      </c>
      <c r="AK225" s="3"/>
      <c r="AL225" s="3"/>
      <c r="AM225" s="3"/>
      <c r="AN225" s="3"/>
      <c r="AO225" s="3"/>
      <c r="AP225" s="3"/>
      <c r="AQ225" s="2" t="e">
        <f t="shared" ca="1" si="20"/>
        <v>#NAME?</v>
      </c>
      <c r="AR225" s="2">
        <v>0</v>
      </c>
      <c r="AS225" s="2">
        <v>4</v>
      </c>
      <c r="AT225" s="2">
        <v>10</v>
      </c>
      <c r="AU225" s="2">
        <v>10</v>
      </c>
      <c r="AV225" s="2">
        <v>10</v>
      </c>
      <c r="AW225" s="54">
        <f t="shared" si="3"/>
        <v>7</v>
      </c>
      <c r="AX225" s="48">
        <v>6</v>
      </c>
      <c r="AY225" s="2">
        <v>8</v>
      </c>
      <c r="AZ225" s="2">
        <v>10</v>
      </c>
      <c r="BA225" s="2">
        <v>10</v>
      </c>
      <c r="BB225" s="2">
        <v>10</v>
      </c>
      <c r="BC225" s="2">
        <v>10</v>
      </c>
      <c r="BD225" s="2">
        <v>10</v>
      </c>
      <c r="BE225" s="2">
        <v>10</v>
      </c>
      <c r="BF225" s="2">
        <v>10</v>
      </c>
      <c r="BG225" s="2">
        <v>10</v>
      </c>
      <c r="BH225" s="2">
        <v>10</v>
      </c>
      <c r="BI225" s="2">
        <v>10</v>
      </c>
      <c r="BJ225" s="2" t="e">
        <f t="shared" ca="1" si="21"/>
        <v>#NAME?</v>
      </c>
      <c r="BK225" s="2">
        <v>10</v>
      </c>
      <c r="BL225" s="2">
        <v>10</v>
      </c>
      <c r="BM225" s="2">
        <v>10</v>
      </c>
      <c r="BN225" s="2">
        <v>10</v>
      </c>
      <c r="BO225" s="2">
        <v>10</v>
      </c>
      <c r="BP225" s="54">
        <f t="shared" si="5"/>
        <v>10</v>
      </c>
      <c r="BQ225" s="5"/>
      <c r="BR225" s="5"/>
      <c r="BS225" s="5">
        <v>10</v>
      </c>
      <c r="BT225" s="5">
        <v>10</v>
      </c>
      <c r="BU225" s="5">
        <v>10</v>
      </c>
      <c r="BV225" s="5">
        <v>10</v>
      </c>
      <c r="BW225" s="5">
        <v>10</v>
      </c>
      <c r="BX225" s="5">
        <v>10</v>
      </c>
      <c r="BY225" s="5">
        <v>10</v>
      </c>
      <c r="BZ225" s="5">
        <v>10</v>
      </c>
      <c r="CA225" s="5">
        <v>10</v>
      </c>
      <c r="CB225" s="5">
        <v>10</v>
      </c>
      <c r="CC225" s="2" t="e">
        <f t="shared" ca="1" si="22"/>
        <v>#NAME?</v>
      </c>
      <c r="CD225" s="55"/>
      <c r="CE225" s="2"/>
      <c r="CF225" s="2">
        <v>6</v>
      </c>
      <c r="CG225" s="2">
        <v>6</v>
      </c>
      <c r="CH225" s="2">
        <v>7</v>
      </c>
      <c r="CI225" s="2">
        <v>7</v>
      </c>
      <c r="CJ225" s="2">
        <v>6</v>
      </c>
      <c r="CK225" s="2">
        <v>6</v>
      </c>
      <c r="CL225" s="2">
        <v>6</v>
      </c>
      <c r="CM225" s="2">
        <v>6</v>
      </c>
      <c r="CN225" s="2">
        <v>6</v>
      </c>
      <c r="CO225" s="2">
        <v>6</v>
      </c>
      <c r="CP225" s="2" t="e">
        <f t="shared" ca="1" si="23"/>
        <v>#NAME?</v>
      </c>
      <c r="CQ225" s="2">
        <v>6</v>
      </c>
      <c r="CR225" s="2">
        <v>6</v>
      </c>
      <c r="CS225" s="2">
        <v>6</v>
      </c>
      <c r="CT225" s="2">
        <v>6</v>
      </c>
      <c r="CU225" s="2">
        <v>6</v>
      </c>
      <c r="CV225" s="54">
        <f t="shared" si="8"/>
        <v>6</v>
      </c>
      <c r="CW225" s="55"/>
      <c r="CX225" s="3"/>
    </row>
    <row r="226" spans="1:102" ht="16.5" x14ac:dyDescent="0.55000000000000004">
      <c r="A226" s="17">
        <v>3</v>
      </c>
      <c r="B226" s="17" t="s">
        <v>5</v>
      </c>
      <c r="C226" s="23" t="s">
        <v>491</v>
      </c>
      <c r="D226" s="24" t="s">
        <v>492</v>
      </c>
      <c r="E226" s="48"/>
      <c r="F226" s="2" t="s">
        <v>31</v>
      </c>
      <c r="G226" s="2">
        <v>4</v>
      </c>
      <c r="H226" s="2">
        <v>4</v>
      </c>
      <c r="I226" s="2">
        <v>4</v>
      </c>
      <c r="J226" s="2">
        <v>4</v>
      </c>
      <c r="K226" s="2">
        <v>4</v>
      </c>
      <c r="L226" s="2">
        <v>4</v>
      </c>
      <c r="M226" s="2">
        <v>4</v>
      </c>
      <c r="N226" s="2">
        <v>4</v>
      </c>
      <c r="O226" s="2">
        <v>4</v>
      </c>
      <c r="P226" s="2">
        <v>4</v>
      </c>
      <c r="Q226" s="2" t="e">
        <f t="shared" ca="1" si="19"/>
        <v>#NAME?</v>
      </c>
      <c r="R226" s="2">
        <v>5</v>
      </c>
      <c r="S226" s="2">
        <v>5</v>
      </c>
      <c r="T226" s="2">
        <v>5</v>
      </c>
      <c r="U226" s="2">
        <v>5</v>
      </c>
      <c r="V226" s="2">
        <v>5</v>
      </c>
      <c r="W226" s="54">
        <f t="shared" si="1"/>
        <v>5</v>
      </c>
      <c r="X226" s="48"/>
      <c r="Y226" s="2"/>
      <c r="Z226" s="2"/>
      <c r="AA226" s="2">
        <v>0</v>
      </c>
      <c r="AB226" s="2">
        <v>0</v>
      </c>
      <c r="AC226" s="2">
        <v>4</v>
      </c>
      <c r="AD226" s="2">
        <v>4</v>
      </c>
      <c r="AE226" s="2">
        <v>10</v>
      </c>
      <c r="AF226" s="2">
        <v>10</v>
      </c>
      <c r="AG226" s="2">
        <v>10</v>
      </c>
      <c r="AH226" s="2">
        <v>10</v>
      </c>
      <c r="AI226" s="2">
        <v>10</v>
      </c>
      <c r="AJ226" s="2">
        <v>10</v>
      </c>
      <c r="AK226" s="3"/>
      <c r="AL226" s="3"/>
      <c r="AM226" s="3"/>
      <c r="AN226" s="3"/>
      <c r="AO226" s="3"/>
      <c r="AP226" s="3"/>
      <c r="AQ226" s="2" t="e">
        <f t="shared" ca="1" si="20"/>
        <v>#NAME?</v>
      </c>
      <c r="AR226" s="2">
        <v>0</v>
      </c>
      <c r="AS226" s="2">
        <v>4</v>
      </c>
      <c r="AT226" s="2">
        <v>10</v>
      </c>
      <c r="AU226" s="2">
        <v>10</v>
      </c>
      <c r="AV226" s="2">
        <v>10</v>
      </c>
      <c r="AW226" s="54">
        <f t="shared" si="3"/>
        <v>7</v>
      </c>
      <c r="AX226" s="48">
        <v>7</v>
      </c>
      <c r="AY226" s="2">
        <v>8</v>
      </c>
      <c r="AZ226" s="2">
        <v>7</v>
      </c>
      <c r="BA226" s="2">
        <v>7</v>
      </c>
      <c r="BB226" s="2">
        <v>7</v>
      </c>
      <c r="BC226" s="2">
        <v>7</v>
      </c>
      <c r="BD226" s="2">
        <v>7</v>
      </c>
      <c r="BE226" s="2">
        <v>7</v>
      </c>
      <c r="BF226" s="2">
        <v>6</v>
      </c>
      <c r="BG226" s="2">
        <v>6</v>
      </c>
      <c r="BH226" s="2">
        <v>6</v>
      </c>
      <c r="BI226" s="2">
        <v>6</v>
      </c>
      <c r="BJ226" s="2" t="e">
        <f t="shared" ca="1" si="21"/>
        <v>#NAME?</v>
      </c>
      <c r="BK226" s="5">
        <v>7</v>
      </c>
      <c r="BL226" s="5">
        <v>7</v>
      </c>
      <c r="BM226" s="5">
        <v>7</v>
      </c>
      <c r="BN226" s="5">
        <v>7</v>
      </c>
      <c r="BO226" s="5">
        <v>7</v>
      </c>
      <c r="BP226" s="54">
        <f t="shared" si="5"/>
        <v>7</v>
      </c>
      <c r="BQ226" s="5"/>
      <c r="BR226" s="5"/>
      <c r="BS226" s="5">
        <v>4</v>
      </c>
      <c r="BT226" s="5">
        <v>3</v>
      </c>
      <c r="BU226" s="5">
        <v>5</v>
      </c>
      <c r="BV226" s="5">
        <v>4</v>
      </c>
      <c r="BW226" s="5">
        <v>5</v>
      </c>
      <c r="BX226" s="5">
        <v>5</v>
      </c>
      <c r="BY226" s="5">
        <v>5</v>
      </c>
      <c r="BZ226" s="5">
        <v>5</v>
      </c>
      <c r="CA226" s="5">
        <v>5</v>
      </c>
      <c r="CB226" s="5">
        <v>5</v>
      </c>
      <c r="CC226" s="2" t="e">
        <f t="shared" ca="1" si="22"/>
        <v>#NAME?</v>
      </c>
      <c r="CD226" s="55"/>
      <c r="CE226" s="2"/>
      <c r="CF226" s="2">
        <v>6</v>
      </c>
      <c r="CG226" s="2">
        <v>6</v>
      </c>
      <c r="CH226" s="2">
        <v>6</v>
      </c>
      <c r="CI226" s="2">
        <v>6</v>
      </c>
      <c r="CJ226" s="2">
        <v>6</v>
      </c>
      <c r="CK226" s="2">
        <v>6</v>
      </c>
      <c r="CL226" s="2">
        <v>6</v>
      </c>
      <c r="CM226" s="2">
        <v>6</v>
      </c>
      <c r="CN226" s="2">
        <v>6</v>
      </c>
      <c r="CO226" s="2">
        <v>6</v>
      </c>
      <c r="CP226" s="2" t="e">
        <f t="shared" ca="1" si="23"/>
        <v>#NAME?</v>
      </c>
      <c r="CQ226" s="2">
        <v>6</v>
      </c>
      <c r="CR226" s="2">
        <v>6</v>
      </c>
      <c r="CS226" s="2">
        <v>6</v>
      </c>
      <c r="CT226" s="2">
        <v>6</v>
      </c>
      <c r="CU226" s="2">
        <v>6</v>
      </c>
      <c r="CV226" s="54">
        <f t="shared" si="8"/>
        <v>6</v>
      </c>
      <c r="CW226" s="55"/>
      <c r="CX226" s="3"/>
    </row>
    <row r="227" spans="1:102" ht="16.5" x14ac:dyDescent="0.55000000000000004">
      <c r="A227" s="17">
        <v>3</v>
      </c>
      <c r="B227" s="17" t="s">
        <v>5</v>
      </c>
      <c r="C227" s="23" t="s">
        <v>493</v>
      </c>
      <c r="D227" s="24" t="s">
        <v>494</v>
      </c>
      <c r="E227" s="48"/>
      <c r="F227" s="2">
        <v>11</v>
      </c>
      <c r="G227" s="2">
        <v>5</v>
      </c>
      <c r="H227" s="2">
        <v>5</v>
      </c>
      <c r="I227" s="2">
        <v>5</v>
      </c>
      <c r="J227" s="2">
        <v>5</v>
      </c>
      <c r="K227" s="2">
        <v>5</v>
      </c>
      <c r="L227" s="2">
        <v>5</v>
      </c>
      <c r="M227" s="2">
        <v>5</v>
      </c>
      <c r="N227" s="2">
        <v>5</v>
      </c>
      <c r="O227" s="2">
        <v>5</v>
      </c>
      <c r="P227" s="2">
        <v>5</v>
      </c>
      <c r="Q227" s="2" t="e">
        <f t="shared" ca="1" si="19"/>
        <v>#NAME?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  <c r="W227" s="54">
        <f t="shared" si="1"/>
        <v>5</v>
      </c>
      <c r="X227" s="48"/>
      <c r="Y227" s="2"/>
      <c r="Z227" s="2"/>
      <c r="AA227" s="2">
        <v>0</v>
      </c>
      <c r="AB227" s="2">
        <v>0</v>
      </c>
      <c r="AC227" s="2">
        <v>4</v>
      </c>
      <c r="AD227" s="2">
        <v>4</v>
      </c>
      <c r="AE227" s="2">
        <v>10</v>
      </c>
      <c r="AF227" s="2">
        <v>10</v>
      </c>
      <c r="AG227" s="2">
        <v>10</v>
      </c>
      <c r="AH227" s="2">
        <v>10</v>
      </c>
      <c r="AI227" s="2">
        <v>10</v>
      </c>
      <c r="AJ227" s="2">
        <v>10</v>
      </c>
      <c r="AK227" s="3"/>
      <c r="AL227" s="3"/>
      <c r="AM227" s="3"/>
      <c r="AN227" s="3"/>
      <c r="AO227" s="3"/>
      <c r="AP227" s="3"/>
      <c r="AQ227" s="2" t="e">
        <f t="shared" ca="1" si="20"/>
        <v>#NAME?</v>
      </c>
      <c r="AR227" s="2">
        <v>0</v>
      </c>
      <c r="AS227" s="2">
        <v>4</v>
      </c>
      <c r="AT227" s="2">
        <v>10</v>
      </c>
      <c r="AU227" s="2">
        <v>10</v>
      </c>
      <c r="AV227" s="2">
        <v>10</v>
      </c>
      <c r="AW227" s="54">
        <f t="shared" si="3"/>
        <v>7</v>
      </c>
      <c r="AX227" s="48">
        <v>7</v>
      </c>
      <c r="AY227" s="2">
        <v>7</v>
      </c>
      <c r="AZ227" s="2">
        <v>7</v>
      </c>
      <c r="BA227" s="2">
        <v>7</v>
      </c>
      <c r="BB227" s="2">
        <v>7</v>
      </c>
      <c r="BC227" s="2">
        <v>7</v>
      </c>
      <c r="BD227" s="2">
        <v>7</v>
      </c>
      <c r="BE227" s="2">
        <v>7</v>
      </c>
      <c r="BF227" s="2">
        <v>6</v>
      </c>
      <c r="BG227" s="2">
        <v>6</v>
      </c>
      <c r="BH227" s="2">
        <v>6</v>
      </c>
      <c r="BI227" s="2">
        <v>6</v>
      </c>
      <c r="BJ227" s="2" t="e">
        <f t="shared" ca="1" si="21"/>
        <v>#NAME?</v>
      </c>
      <c r="BK227" s="2">
        <v>7</v>
      </c>
      <c r="BL227" s="2">
        <v>7</v>
      </c>
      <c r="BM227" s="2">
        <v>7</v>
      </c>
      <c r="BN227" s="2">
        <v>7</v>
      </c>
      <c r="BO227" s="2">
        <v>7</v>
      </c>
      <c r="BP227" s="54">
        <f t="shared" si="5"/>
        <v>7</v>
      </c>
      <c r="BQ227" s="5"/>
      <c r="BR227" s="5"/>
      <c r="BS227" s="5">
        <v>4</v>
      </c>
      <c r="BT227" s="5">
        <v>4</v>
      </c>
      <c r="BU227" s="5">
        <v>5</v>
      </c>
      <c r="BV227" s="5">
        <v>3</v>
      </c>
      <c r="BW227" s="5">
        <v>5</v>
      </c>
      <c r="BX227" s="5">
        <v>5</v>
      </c>
      <c r="BY227" s="5">
        <v>5</v>
      </c>
      <c r="BZ227" s="5">
        <v>5</v>
      </c>
      <c r="CA227" s="5">
        <v>4</v>
      </c>
      <c r="CB227" s="5">
        <v>5</v>
      </c>
      <c r="CC227" s="2" t="e">
        <f t="shared" ca="1" si="22"/>
        <v>#NAME?</v>
      </c>
      <c r="CD227" s="55"/>
      <c r="CE227" s="2"/>
      <c r="CF227" s="2">
        <v>6</v>
      </c>
      <c r="CG227" s="2">
        <v>6</v>
      </c>
      <c r="CH227" s="2">
        <v>6</v>
      </c>
      <c r="CI227" s="2">
        <v>6</v>
      </c>
      <c r="CJ227" s="2">
        <v>6</v>
      </c>
      <c r="CK227" s="2">
        <v>6</v>
      </c>
      <c r="CL227" s="2">
        <v>6</v>
      </c>
      <c r="CM227" s="2">
        <v>6</v>
      </c>
      <c r="CN227" s="2">
        <v>6</v>
      </c>
      <c r="CO227" s="2">
        <v>6</v>
      </c>
      <c r="CP227" s="2" t="e">
        <f t="shared" ca="1" si="23"/>
        <v>#NAME?</v>
      </c>
      <c r="CQ227" s="2">
        <v>6</v>
      </c>
      <c r="CR227" s="2">
        <v>6</v>
      </c>
      <c r="CS227" s="2">
        <v>6</v>
      </c>
      <c r="CT227" s="2">
        <v>6</v>
      </c>
      <c r="CU227" s="2">
        <v>6</v>
      </c>
      <c r="CV227" s="54">
        <f t="shared" si="8"/>
        <v>6</v>
      </c>
      <c r="CW227" s="55"/>
      <c r="CX227" s="3"/>
    </row>
    <row r="228" spans="1:102" ht="16.5" x14ac:dyDescent="0.55000000000000004">
      <c r="A228" s="17">
        <v>3</v>
      </c>
      <c r="B228" s="17" t="s">
        <v>5</v>
      </c>
      <c r="C228" s="23" t="s">
        <v>495</v>
      </c>
      <c r="D228" s="24" t="s">
        <v>496</v>
      </c>
      <c r="E228" s="48"/>
      <c r="F228" s="2">
        <v>12</v>
      </c>
      <c r="G228" s="2">
        <v>8</v>
      </c>
      <c r="H228" s="2">
        <v>8</v>
      </c>
      <c r="I228" s="2">
        <v>8</v>
      </c>
      <c r="J228" s="2">
        <v>8</v>
      </c>
      <c r="K228" s="2">
        <v>8</v>
      </c>
      <c r="L228" s="2">
        <f t="shared" ref="L228:P228" si="83">G228</f>
        <v>8</v>
      </c>
      <c r="M228" s="2">
        <f t="shared" si="83"/>
        <v>8</v>
      </c>
      <c r="N228" s="2">
        <f t="shared" si="83"/>
        <v>8</v>
      </c>
      <c r="O228" s="2">
        <f t="shared" si="83"/>
        <v>8</v>
      </c>
      <c r="P228" s="2">
        <f t="shared" si="83"/>
        <v>8</v>
      </c>
      <c r="Q228" s="2" t="e">
        <f t="shared" ca="1" si="19"/>
        <v>#NAME?</v>
      </c>
      <c r="R228" s="2">
        <v>9</v>
      </c>
      <c r="S228" s="2">
        <v>9</v>
      </c>
      <c r="T228" s="2">
        <v>9</v>
      </c>
      <c r="U228" s="2">
        <v>9</v>
      </c>
      <c r="V228" s="2">
        <v>9</v>
      </c>
      <c r="W228" s="54">
        <f t="shared" si="1"/>
        <v>9</v>
      </c>
      <c r="X228" s="48"/>
      <c r="Y228" s="2"/>
      <c r="Z228" s="2"/>
      <c r="AA228" s="2">
        <v>10</v>
      </c>
      <c r="AB228" s="2">
        <v>10</v>
      </c>
      <c r="AC228" s="2">
        <v>10</v>
      </c>
      <c r="AD228" s="2">
        <v>10</v>
      </c>
      <c r="AE228" s="2">
        <v>10</v>
      </c>
      <c r="AF228" s="2">
        <v>10</v>
      </c>
      <c r="AG228" s="2">
        <v>10</v>
      </c>
      <c r="AH228" s="2">
        <v>10</v>
      </c>
      <c r="AI228" s="2">
        <v>10</v>
      </c>
      <c r="AJ228" s="2">
        <v>10</v>
      </c>
      <c r="AK228" s="3"/>
      <c r="AL228" s="3"/>
      <c r="AM228" s="3"/>
      <c r="AN228" s="3"/>
      <c r="AO228" s="3"/>
      <c r="AP228" s="3"/>
      <c r="AQ228" s="2" t="e">
        <f t="shared" ca="1" si="20"/>
        <v>#NAME?</v>
      </c>
      <c r="AR228" s="2">
        <v>10</v>
      </c>
      <c r="AS228" s="2">
        <v>10</v>
      </c>
      <c r="AT228" s="2">
        <v>10</v>
      </c>
      <c r="AU228" s="2">
        <v>10</v>
      </c>
      <c r="AV228" s="2">
        <v>10</v>
      </c>
      <c r="AW228" s="54">
        <f t="shared" si="3"/>
        <v>10</v>
      </c>
      <c r="AX228" s="48">
        <v>7</v>
      </c>
      <c r="AY228" s="2">
        <v>6</v>
      </c>
      <c r="AZ228" s="2">
        <v>10</v>
      </c>
      <c r="BA228" s="2">
        <v>10</v>
      </c>
      <c r="BB228" s="2">
        <v>10</v>
      </c>
      <c r="BC228" s="2">
        <v>10</v>
      </c>
      <c r="BD228" s="2">
        <v>10</v>
      </c>
      <c r="BE228" s="2">
        <v>10</v>
      </c>
      <c r="BF228" s="2">
        <v>10</v>
      </c>
      <c r="BG228" s="2">
        <v>10</v>
      </c>
      <c r="BH228" s="2">
        <v>10</v>
      </c>
      <c r="BI228" s="2">
        <v>10</v>
      </c>
      <c r="BJ228" s="2" t="e">
        <f t="shared" ca="1" si="21"/>
        <v>#NAME?</v>
      </c>
      <c r="BK228" s="5">
        <v>10</v>
      </c>
      <c r="BL228" s="5">
        <v>10</v>
      </c>
      <c r="BM228" s="5">
        <v>10</v>
      </c>
      <c r="BN228" s="5">
        <v>10</v>
      </c>
      <c r="BO228" s="5">
        <v>10</v>
      </c>
      <c r="BP228" s="54">
        <f t="shared" si="5"/>
        <v>10</v>
      </c>
      <c r="BQ228" s="5"/>
      <c r="BR228" s="5"/>
      <c r="BS228" s="5">
        <v>10</v>
      </c>
      <c r="BT228" s="5">
        <v>10</v>
      </c>
      <c r="BU228" s="5">
        <v>10</v>
      </c>
      <c r="BV228" s="5">
        <v>10</v>
      </c>
      <c r="BW228" s="5">
        <v>10</v>
      </c>
      <c r="BX228" s="5">
        <v>10</v>
      </c>
      <c r="BY228" s="5">
        <v>10</v>
      </c>
      <c r="BZ228" s="5">
        <v>10</v>
      </c>
      <c r="CA228" s="5">
        <v>10</v>
      </c>
      <c r="CB228" s="5">
        <v>10</v>
      </c>
      <c r="CC228" s="2" t="e">
        <f t="shared" ca="1" si="22"/>
        <v>#NAME?</v>
      </c>
      <c r="CD228" s="55"/>
      <c r="CE228" s="2"/>
      <c r="CF228" s="2">
        <v>7</v>
      </c>
      <c r="CG228" s="2">
        <v>7</v>
      </c>
      <c r="CH228" s="2">
        <v>7</v>
      </c>
      <c r="CI228" s="2">
        <v>8</v>
      </c>
      <c r="CJ228" s="2">
        <v>8</v>
      </c>
      <c r="CK228" s="2">
        <v>7</v>
      </c>
      <c r="CL228" s="2">
        <v>7</v>
      </c>
      <c r="CM228" s="2">
        <v>8</v>
      </c>
      <c r="CN228" s="2">
        <v>7</v>
      </c>
      <c r="CO228" s="2">
        <v>8</v>
      </c>
      <c r="CP228" s="2" t="e">
        <f t="shared" ca="1" si="23"/>
        <v>#NAME?</v>
      </c>
      <c r="CQ228" s="2">
        <v>7</v>
      </c>
      <c r="CR228" s="2">
        <v>8</v>
      </c>
      <c r="CS228" s="2">
        <v>8</v>
      </c>
      <c r="CT228" s="2">
        <v>7</v>
      </c>
      <c r="CU228" s="2">
        <v>8</v>
      </c>
      <c r="CV228" s="54">
        <f t="shared" si="8"/>
        <v>8</v>
      </c>
      <c r="CW228" s="55"/>
      <c r="CX228" s="3"/>
    </row>
    <row r="229" spans="1:102" ht="16.5" x14ac:dyDescent="0.55000000000000004">
      <c r="A229" s="17">
        <v>3</v>
      </c>
      <c r="B229" s="17" t="s">
        <v>5</v>
      </c>
      <c r="C229" s="23" t="s">
        <v>497</v>
      </c>
      <c r="D229" s="24" t="s">
        <v>498</v>
      </c>
      <c r="E229" s="48"/>
      <c r="F229" s="2">
        <v>16</v>
      </c>
      <c r="G229" s="2">
        <v>10</v>
      </c>
      <c r="H229" s="2">
        <v>10</v>
      </c>
      <c r="I229" s="2">
        <v>10</v>
      </c>
      <c r="J229" s="2">
        <v>7</v>
      </c>
      <c r="K229" s="2">
        <v>7</v>
      </c>
      <c r="L229" s="2">
        <f t="shared" ref="L229:P229" si="84">G229</f>
        <v>10</v>
      </c>
      <c r="M229" s="2">
        <f t="shared" si="84"/>
        <v>10</v>
      </c>
      <c r="N229" s="2">
        <f t="shared" si="84"/>
        <v>10</v>
      </c>
      <c r="O229" s="2">
        <f t="shared" si="84"/>
        <v>7</v>
      </c>
      <c r="P229" s="2">
        <f t="shared" si="84"/>
        <v>7</v>
      </c>
      <c r="Q229" s="2" t="e">
        <f t="shared" ca="1" si="19"/>
        <v>#NAME?</v>
      </c>
      <c r="R229" s="2">
        <v>10</v>
      </c>
      <c r="S229" s="2">
        <v>10</v>
      </c>
      <c r="T229" s="2">
        <v>10</v>
      </c>
      <c r="U229" s="2">
        <v>10</v>
      </c>
      <c r="V229" s="2">
        <v>10</v>
      </c>
      <c r="W229" s="54">
        <f t="shared" si="1"/>
        <v>10</v>
      </c>
      <c r="X229" s="48"/>
      <c r="Y229" s="2"/>
      <c r="Z229" s="2"/>
      <c r="AA229" s="2">
        <v>10</v>
      </c>
      <c r="AB229" s="2">
        <v>10</v>
      </c>
      <c r="AC229" s="2">
        <v>0</v>
      </c>
      <c r="AD229" s="2">
        <v>0</v>
      </c>
      <c r="AE229" s="2">
        <v>10</v>
      </c>
      <c r="AF229" s="2">
        <v>10</v>
      </c>
      <c r="AG229" s="2">
        <v>10</v>
      </c>
      <c r="AH229" s="2">
        <v>10</v>
      </c>
      <c r="AI229" s="2">
        <v>10</v>
      </c>
      <c r="AJ229" s="2">
        <v>10</v>
      </c>
      <c r="AK229" s="3"/>
      <c r="AL229" s="3"/>
      <c r="AM229" s="3"/>
      <c r="AN229" s="3"/>
      <c r="AO229" s="3"/>
      <c r="AP229" s="3"/>
      <c r="AQ229" s="2" t="e">
        <f t="shared" ca="1" si="20"/>
        <v>#NAME?</v>
      </c>
      <c r="AR229" s="2">
        <v>0</v>
      </c>
      <c r="AS229" s="2">
        <v>4</v>
      </c>
      <c r="AT229" s="2">
        <v>10</v>
      </c>
      <c r="AU229" s="2">
        <v>10</v>
      </c>
      <c r="AV229" s="2">
        <v>10</v>
      </c>
      <c r="AW229" s="54">
        <f t="shared" si="3"/>
        <v>7</v>
      </c>
      <c r="AX229" s="48">
        <v>7</v>
      </c>
      <c r="AY229" s="2">
        <v>6</v>
      </c>
      <c r="AZ229" s="2">
        <v>10</v>
      </c>
      <c r="BA229" s="2">
        <v>10</v>
      </c>
      <c r="BB229" s="2">
        <v>10</v>
      </c>
      <c r="BC229" s="2">
        <v>10</v>
      </c>
      <c r="BD229" s="2">
        <v>10</v>
      </c>
      <c r="BE229" s="2">
        <v>10</v>
      </c>
      <c r="BF229" s="2">
        <v>10</v>
      </c>
      <c r="BG229" s="2">
        <v>10</v>
      </c>
      <c r="BH229" s="2">
        <v>10</v>
      </c>
      <c r="BI229" s="2">
        <v>10</v>
      </c>
      <c r="BJ229" s="2" t="e">
        <f t="shared" ca="1" si="21"/>
        <v>#NAME?</v>
      </c>
      <c r="BK229" s="5">
        <v>10</v>
      </c>
      <c r="BL229" s="5">
        <v>10</v>
      </c>
      <c r="BM229" s="5">
        <v>10</v>
      </c>
      <c r="BN229" s="5">
        <v>10</v>
      </c>
      <c r="BO229" s="5">
        <v>10</v>
      </c>
      <c r="BP229" s="54">
        <f t="shared" si="5"/>
        <v>10</v>
      </c>
      <c r="BQ229" s="5"/>
      <c r="BR229" s="5"/>
      <c r="BS229" s="5">
        <v>10</v>
      </c>
      <c r="BT229" s="5">
        <v>10</v>
      </c>
      <c r="BU229" s="5"/>
      <c r="BV229" s="5"/>
      <c r="BW229" s="5"/>
      <c r="BX229" s="5"/>
      <c r="BY229" s="5"/>
      <c r="BZ229" s="5"/>
      <c r="CA229" s="5"/>
      <c r="CB229" s="5"/>
      <c r="CC229" s="2" t="e">
        <f t="shared" ca="1" si="22"/>
        <v>#NAME?</v>
      </c>
      <c r="CD229" s="55"/>
      <c r="CE229" s="2"/>
      <c r="CF229" s="2">
        <v>7</v>
      </c>
      <c r="CG229" s="2">
        <v>7</v>
      </c>
      <c r="CH229" s="2">
        <v>7</v>
      </c>
      <c r="CI229" s="2">
        <v>8</v>
      </c>
      <c r="CJ229" s="2">
        <v>8</v>
      </c>
      <c r="CK229" s="2">
        <v>7</v>
      </c>
      <c r="CL229" s="2">
        <v>7</v>
      </c>
      <c r="CM229" s="2">
        <v>8</v>
      </c>
      <c r="CN229" s="2">
        <v>7</v>
      </c>
      <c r="CO229" s="2">
        <v>8</v>
      </c>
      <c r="CP229" s="2" t="e">
        <f t="shared" ca="1" si="23"/>
        <v>#NAME?</v>
      </c>
      <c r="CQ229" s="2">
        <v>7</v>
      </c>
      <c r="CR229" s="2">
        <v>7</v>
      </c>
      <c r="CS229" s="2">
        <v>7</v>
      </c>
      <c r="CT229" s="2">
        <v>7</v>
      </c>
      <c r="CU229" s="2">
        <v>7</v>
      </c>
      <c r="CV229" s="54">
        <f t="shared" si="8"/>
        <v>7</v>
      </c>
      <c r="CW229" s="55"/>
      <c r="CX229" s="3"/>
    </row>
    <row r="230" spans="1:102" ht="16.5" x14ac:dyDescent="0.55000000000000004">
      <c r="A230" s="17">
        <v>3</v>
      </c>
      <c r="B230" s="17" t="s">
        <v>5</v>
      </c>
      <c r="C230" s="23" t="s">
        <v>499</v>
      </c>
      <c r="D230" s="24" t="s">
        <v>500</v>
      </c>
      <c r="E230" s="48"/>
      <c r="F230" s="2" t="s">
        <v>31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f t="shared" ref="L230:P230" si="85">G230</f>
        <v>0</v>
      </c>
      <c r="M230" s="2">
        <f t="shared" si="85"/>
        <v>0</v>
      </c>
      <c r="N230" s="2">
        <f t="shared" si="85"/>
        <v>0</v>
      </c>
      <c r="O230" s="2">
        <f t="shared" si="85"/>
        <v>0</v>
      </c>
      <c r="P230" s="2">
        <f t="shared" si="85"/>
        <v>0</v>
      </c>
      <c r="Q230" s="2" t="e">
        <f t="shared" ca="1" si="19"/>
        <v>#NAME?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54">
        <f t="shared" si="1"/>
        <v>0</v>
      </c>
      <c r="X230" s="48"/>
      <c r="Y230" s="2"/>
      <c r="Z230" s="2"/>
      <c r="AA230" s="2">
        <v>0</v>
      </c>
      <c r="AB230" s="2">
        <v>0</v>
      </c>
      <c r="AC230" s="2">
        <v>4</v>
      </c>
      <c r="AD230" s="2">
        <v>4</v>
      </c>
      <c r="AE230" s="2">
        <v>10</v>
      </c>
      <c r="AF230" s="2">
        <v>10</v>
      </c>
      <c r="AG230" s="2">
        <v>10</v>
      </c>
      <c r="AH230" s="2">
        <v>10</v>
      </c>
      <c r="AI230" s="2">
        <v>10</v>
      </c>
      <c r="AJ230" s="2">
        <v>10</v>
      </c>
      <c r="AK230" s="3"/>
      <c r="AL230" s="3"/>
      <c r="AM230" s="3"/>
      <c r="AN230" s="3"/>
      <c r="AO230" s="3"/>
      <c r="AP230" s="3"/>
      <c r="AQ230" s="2" t="e">
        <f t="shared" ca="1" si="20"/>
        <v>#NAME?</v>
      </c>
      <c r="AR230" s="2">
        <v>0</v>
      </c>
      <c r="AS230" s="2">
        <v>4</v>
      </c>
      <c r="AT230" s="2">
        <v>10</v>
      </c>
      <c r="AU230" s="2">
        <v>10</v>
      </c>
      <c r="AV230" s="2">
        <v>10</v>
      </c>
      <c r="AW230" s="54">
        <f t="shared" si="3"/>
        <v>7</v>
      </c>
      <c r="AX230" s="48">
        <v>8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57"/>
      <c r="BJ230" s="2" t="e">
        <f t="shared" ca="1" si="21"/>
        <v>#NAME?</v>
      </c>
      <c r="BK230" s="5"/>
      <c r="BL230" s="5"/>
      <c r="BM230" s="5"/>
      <c r="BN230" s="5"/>
      <c r="BO230" s="5"/>
      <c r="BP230" s="54">
        <f t="shared" si="5"/>
        <v>0</v>
      </c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2" t="e">
        <f t="shared" ca="1" si="22"/>
        <v>#NAME?</v>
      </c>
      <c r="CD230" s="55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 t="e">
        <f t="shared" ca="1" si="23"/>
        <v>#NAME?</v>
      </c>
      <c r="CQ230" s="2"/>
      <c r="CR230" s="2"/>
      <c r="CS230" s="2"/>
      <c r="CT230" s="2"/>
      <c r="CU230" s="2"/>
      <c r="CV230" s="54">
        <f t="shared" si="8"/>
        <v>0</v>
      </c>
      <c r="CW230" s="55"/>
      <c r="CX230" s="3"/>
    </row>
    <row r="231" spans="1:102" ht="16.5" x14ac:dyDescent="0.55000000000000004">
      <c r="A231" s="17">
        <v>3</v>
      </c>
      <c r="B231" s="17" t="s">
        <v>5</v>
      </c>
      <c r="C231" s="23" t="s">
        <v>501</v>
      </c>
      <c r="D231" s="24" t="s">
        <v>502</v>
      </c>
      <c r="E231" s="48"/>
      <c r="F231" s="2">
        <v>18</v>
      </c>
      <c r="G231" s="2">
        <v>10</v>
      </c>
      <c r="H231" s="2">
        <v>10</v>
      </c>
      <c r="I231" s="2">
        <v>10</v>
      </c>
      <c r="J231" s="2">
        <v>10</v>
      </c>
      <c r="K231" s="2">
        <v>10</v>
      </c>
      <c r="L231" s="2">
        <f t="shared" ref="L231:P231" si="86">G231</f>
        <v>10</v>
      </c>
      <c r="M231" s="2">
        <f t="shared" si="86"/>
        <v>10</v>
      </c>
      <c r="N231" s="2">
        <f t="shared" si="86"/>
        <v>10</v>
      </c>
      <c r="O231" s="2">
        <f t="shared" si="86"/>
        <v>10</v>
      </c>
      <c r="P231" s="2">
        <f t="shared" si="86"/>
        <v>10</v>
      </c>
      <c r="Q231" s="2" t="e">
        <f t="shared" ca="1" si="19"/>
        <v>#NAME?</v>
      </c>
      <c r="R231" s="2">
        <v>10</v>
      </c>
      <c r="S231" s="2">
        <v>10</v>
      </c>
      <c r="T231" s="2">
        <v>10</v>
      </c>
      <c r="U231" s="2">
        <v>10</v>
      </c>
      <c r="V231" s="2">
        <v>10</v>
      </c>
      <c r="W231" s="54">
        <f t="shared" si="1"/>
        <v>10</v>
      </c>
      <c r="X231" s="48"/>
      <c r="Y231" s="2"/>
      <c r="Z231" s="2"/>
      <c r="AA231" s="2">
        <v>10</v>
      </c>
      <c r="AB231" s="2">
        <v>10</v>
      </c>
      <c r="AC231" s="2">
        <v>10</v>
      </c>
      <c r="AD231" s="2">
        <v>10</v>
      </c>
      <c r="AE231" s="2">
        <v>10</v>
      </c>
      <c r="AF231" s="2">
        <v>10</v>
      </c>
      <c r="AG231" s="2">
        <v>10</v>
      </c>
      <c r="AH231" s="2">
        <v>10</v>
      </c>
      <c r="AI231" s="2">
        <v>10</v>
      </c>
      <c r="AJ231" s="2">
        <v>10</v>
      </c>
      <c r="AK231" s="3"/>
      <c r="AL231" s="3"/>
      <c r="AM231" s="3"/>
      <c r="AN231" s="3"/>
      <c r="AO231" s="3"/>
      <c r="AP231" s="3"/>
      <c r="AQ231" s="2" t="e">
        <f t="shared" ca="1" si="20"/>
        <v>#NAME?</v>
      </c>
      <c r="AR231" s="2">
        <v>10</v>
      </c>
      <c r="AS231" s="2">
        <v>10</v>
      </c>
      <c r="AT231" s="2">
        <v>10</v>
      </c>
      <c r="AU231" s="2">
        <v>10</v>
      </c>
      <c r="AV231" s="2">
        <v>10</v>
      </c>
      <c r="AW231" s="54">
        <f t="shared" si="3"/>
        <v>10</v>
      </c>
      <c r="AX231" s="48">
        <v>7</v>
      </c>
      <c r="AY231" s="2">
        <v>4</v>
      </c>
      <c r="AZ231" s="2">
        <v>10</v>
      </c>
      <c r="BA231" s="2">
        <v>10</v>
      </c>
      <c r="BB231" s="2">
        <v>10</v>
      </c>
      <c r="BC231" s="2">
        <v>10</v>
      </c>
      <c r="BD231" s="2">
        <v>10</v>
      </c>
      <c r="BE231" s="2">
        <v>10</v>
      </c>
      <c r="BF231" s="2">
        <v>10</v>
      </c>
      <c r="BG231" s="2">
        <v>10</v>
      </c>
      <c r="BH231" s="2">
        <v>10</v>
      </c>
      <c r="BI231" s="2">
        <v>10</v>
      </c>
      <c r="BJ231" s="2" t="e">
        <f t="shared" ca="1" si="21"/>
        <v>#NAME?</v>
      </c>
      <c r="BK231" s="5">
        <v>10</v>
      </c>
      <c r="BL231" s="5">
        <v>10</v>
      </c>
      <c r="BM231" s="5">
        <v>10</v>
      </c>
      <c r="BN231" s="5">
        <v>10</v>
      </c>
      <c r="BO231" s="5">
        <v>10</v>
      </c>
      <c r="BP231" s="54">
        <f t="shared" si="5"/>
        <v>10</v>
      </c>
      <c r="BQ231" s="5"/>
      <c r="BR231" s="5"/>
      <c r="BS231" s="5">
        <v>10</v>
      </c>
      <c r="BT231" s="5">
        <v>10</v>
      </c>
      <c r="BU231" s="5">
        <v>10</v>
      </c>
      <c r="BV231" s="5">
        <v>10</v>
      </c>
      <c r="BW231" s="5">
        <v>10</v>
      </c>
      <c r="BX231" s="5">
        <v>10</v>
      </c>
      <c r="BY231" s="5">
        <v>10</v>
      </c>
      <c r="BZ231" s="5">
        <v>10</v>
      </c>
      <c r="CA231" s="5">
        <v>10</v>
      </c>
      <c r="CB231" s="5">
        <v>10</v>
      </c>
      <c r="CC231" s="2" t="e">
        <f t="shared" ca="1" si="22"/>
        <v>#NAME?</v>
      </c>
      <c r="CD231" s="55"/>
      <c r="CE231" s="2"/>
      <c r="CF231" s="2">
        <v>10</v>
      </c>
      <c r="CG231" s="2">
        <v>10</v>
      </c>
      <c r="CH231" s="2">
        <v>10</v>
      </c>
      <c r="CI231" s="2">
        <v>10</v>
      </c>
      <c r="CJ231" s="2">
        <v>10</v>
      </c>
      <c r="CK231" s="2">
        <v>10</v>
      </c>
      <c r="CL231" s="2">
        <v>10</v>
      </c>
      <c r="CM231" s="2">
        <v>10</v>
      </c>
      <c r="CN231" s="2">
        <v>10</v>
      </c>
      <c r="CO231" s="2">
        <v>10</v>
      </c>
      <c r="CP231" s="2" t="e">
        <f t="shared" ca="1" si="23"/>
        <v>#NAME?</v>
      </c>
      <c r="CQ231" s="2">
        <v>10</v>
      </c>
      <c r="CR231" s="2">
        <v>10</v>
      </c>
      <c r="CS231" s="2">
        <v>10</v>
      </c>
      <c r="CT231" s="2">
        <v>10</v>
      </c>
      <c r="CU231" s="2">
        <v>10</v>
      </c>
      <c r="CV231" s="54">
        <f t="shared" si="8"/>
        <v>10</v>
      </c>
      <c r="CW231" s="55"/>
      <c r="CX231" s="3"/>
    </row>
    <row r="232" spans="1:102" ht="16.5" x14ac:dyDescent="0.55000000000000004">
      <c r="A232" s="17">
        <v>3</v>
      </c>
      <c r="B232" s="17" t="s">
        <v>5</v>
      </c>
      <c r="C232" s="23" t="s">
        <v>503</v>
      </c>
      <c r="D232" s="24" t="s">
        <v>504</v>
      </c>
      <c r="E232" s="48"/>
      <c r="F232" s="2">
        <v>15</v>
      </c>
      <c r="G232" s="2">
        <v>8</v>
      </c>
      <c r="H232" s="2">
        <v>8</v>
      </c>
      <c r="I232" s="2">
        <v>8</v>
      </c>
      <c r="J232" s="2">
        <v>8</v>
      </c>
      <c r="K232" s="2">
        <v>8</v>
      </c>
      <c r="L232" s="2">
        <f t="shared" ref="L232:P232" si="87">G232</f>
        <v>8</v>
      </c>
      <c r="M232" s="2">
        <f t="shared" si="87"/>
        <v>8</v>
      </c>
      <c r="N232" s="2">
        <f t="shared" si="87"/>
        <v>8</v>
      </c>
      <c r="O232" s="2">
        <f t="shared" si="87"/>
        <v>8</v>
      </c>
      <c r="P232" s="2">
        <f t="shared" si="87"/>
        <v>8</v>
      </c>
      <c r="Q232" s="2" t="e">
        <f t="shared" ca="1" si="19"/>
        <v>#NAME?</v>
      </c>
      <c r="R232" s="2">
        <v>10</v>
      </c>
      <c r="S232" s="2">
        <v>10</v>
      </c>
      <c r="T232" s="2">
        <v>10</v>
      </c>
      <c r="U232" s="2">
        <v>10</v>
      </c>
      <c r="V232" s="2">
        <v>10</v>
      </c>
      <c r="W232" s="54">
        <f t="shared" si="1"/>
        <v>10</v>
      </c>
      <c r="X232" s="48"/>
      <c r="Y232" s="2"/>
      <c r="Z232" s="2"/>
      <c r="AA232" s="2">
        <v>10</v>
      </c>
      <c r="AB232" s="2">
        <v>10</v>
      </c>
      <c r="AC232" s="2">
        <v>10</v>
      </c>
      <c r="AD232" s="2">
        <v>10</v>
      </c>
      <c r="AE232" s="2">
        <v>10</v>
      </c>
      <c r="AF232" s="2">
        <v>10</v>
      </c>
      <c r="AG232" s="2">
        <v>10</v>
      </c>
      <c r="AH232" s="2">
        <v>10</v>
      </c>
      <c r="AI232" s="2">
        <v>10</v>
      </c>
      <c r="AJ232" s="2">
        <v>10</v>
      </c>
      <c r="AK232" s="3"/>
      <c r="AL232" s="3"/>
      <c r="AM232" s="3"/>
      <c r="AN232" s="3"/>
      <c r="AO232" s="3"/>
      <c r="AP232" s="3"/>
      <c r="AQ232" s="2" t="e">
        <f t="shared" ca="1" si="20"/>
        <v>#NAME?</v>
      </c>
      <c r="AR232" s="2">
        <v>10</v>
      </c>
      <c r="AS232" s="2">
        <v>10</v>
      </c>
      <c r="AT232" s="2">
        <v>10</v>
      </c>
      <c r="AU232" s="2">
        <v>10</v>
      </c>
      <c r="AV232" s="2">
        <v>10</v>
      </c>
      <c r="AW232" s="54">
        <f t="shared" si="3"/>
        <v>10</v>
      </c>
      <c r="AX232" s="48">
        <v>8</v>
      </c>
      <c r="AY232" s="2">
        <v>6</v>
      </c>
      <c r="AZ232" s="2">
        <v>10</v>
      </c>
      <c r="BA232" s="2">
        <v>10</v>
      </c>
      <c r="BB232" s="2">
        <v>10</v>
      </c>
      <c r="BC232" s="2">
        <v>10</v>
      </c>
      <c r="BD232" s="2">
        <v>10</v>
      </c>
      <c r="BE232" s="2">
        <v>10</v>
      </c>
      <c r="BF232" s="2">
        <v>10</v>
      </c>
      <c r="BG232" s="2">
        <v>10</v>
      </c>
      <c r="BH232" s="2">
        <v>10</v>
      </c>
      <c r="BI232" s="2">
        <v>10</v>
      </c>
      <c r="BJ232" s="2" t="e">
        <f t="shared" ca="1" si="21"/>
        <v>#NAME?</v>
      </c>
      <c r="BK232" s="5">
        <v>10</v>
      </c>
      <c r="BL232" s="5">
        <v>10</v>
      </c>
      <c r="BM232" s="5">
        <v>10</v>
      </c>
      <c r="BN232" s="5">
        <v>10</v>
      </c>
      <c r="BO232" s="5">
        <v>10</v>
      </c>
      <c r="BP232" s="54">
        <f t="shared" si="5"/>
        <v>10</v>
      </c>
      <c r="BQ232" s="5"/>
      <c r="BR232" s="5"/>
      <c r="BS232" s="5">
        <v>10</v>
      </c>
      <c r="BT232" s="5">
        <v>10</v>
      </c>
      <c r="BU232" s="5">
        <v>10</v>
      </c>
      <c r="BV232" s="5">
        <v>10</v>
      </c>
      <c r="BW232" s="5">
        <v>10</v>
      </c>
      <c r="BX232" s="5">
        <v>10</v>
      </c>
      <c r="BY232" s="5">
        <v>10</v>
      </c>
      <c r="BZ232" s="5">
        <v>10</v>
      </c>
      <c r="CA232" s="5">
        <v>10</v>
      </c>
      <c r="CB232" s="5">
        <v>10</v>
      </c>
      <c r="CC232" s="2" t="e">
        <f t="shared" ca="1" si="22"/>
        <v>#NAME?</v>
      </c>
      <c r="CD232" s="55"/>
      <c r="CE232" s="2"/>
      <c r="CF232" s="2">
        <v>8</v>
      </c>
      <c r="CG232" s="2">
        <v>8</v>
      </c>
      <c r="CH232" s="2">
        <v>8</v>
      </c>
      <c r="CI232" s="2">
        <v>8</v>
      </c>
      <c r="CJ232" s="2">
        <v>8</v>
      </c>
      <c r="CK232" s="2">
        <v>8</v>
      </c>
      <c r="CL232" s="2">
        <v>8</v>
      </c>
      <c r="CM232" s="2">
        <v>8</v>
      </c>
      <c r="CN232" s="2">
        <v>8</v>
      </c>
      <c r="CO232" s="2">
        <v>8</v>
      </c>
      <c r="CP232" s="2" t="e">
        <f t="shared" ca="1" si="23"/>
        <v>#NAME?</v>
      </c>
      <c r="CQ232" s="2">
        <v>8</v>
      </c>
      <c r="CR232" s="2">
        <v>8</v>
      </c>
      <c r="CS232" s="2">
        <v>8</v>
      </c>
      <c r="CT232" s="2">
        <v>8</v>
      </c>
      <c r="CU232" s="2">
        <v>8</v>
      </c>
      <c r="CV232" s="54">
        <f t="shared" si="8"/>
        <v>8</v>
      </c>
      <c r="CW232" s="55"/>
      <c r="CX232" s="3"/>
    </row>
    <row r="233" spans="1:102" ht="16.5" x14ac:dyDescent="0.55000000000000004">
      <c r="A233" s="17">
        <v>3</v>
      </c>
      <c r="B233" s="17" t="s">
        <v>5</v>
      </c>
      <c r="C233" s="23" t="s">
        <v>505</v>
      </c>
      <c r="D233" s="24" t="s">
        <v>506</v>
      </c>
      <c r="E233" s="48"/>
      <c r="F233" s="2">
        <v>14</v>
      </c>
      <c r="G233" s="2">
        <v>10</v>
      </c>
      <c r="H233" s="2">
        <v>10</v>
      </c>
      <c r="I233" s="2">
        <v>10</v>
      </c>
      <c r="J233" s="2">
        <v>10</v>
      </c>
      <c r="K233" s="2">
        <v>10</v>
      </c>
      <c r="L233" s="2">
        <f t="shared" ref="L233:P233" si="88">G233</f>
        <v>10</v>
      </c>
      <c r="M233" s="2">
        <f t="shared" si="88"/>
        <v>10</v>
      </c>
      <c r="N233" s="2">
        <f t="shared" si="88"/>
        <v>10</v>
      </c>
      <c r="O233" s="2">
        <f t="shared" si="88"/>
        <v>10</v>
      </c>
      <c r="P233" s="2">
        <f t="shared" si="88"/>
        <v>10</v>
      </c>
      <c r="Q233" s="2" t="e">
        <f t="shared" ca="1" si="19"/>
        <v>#NAME?</v>
      </c>
      <c r="R233" s="2">
        <v>10</v>
      </c>
      <c r="S233" s="2">
        <v>10</v>
      </c>
      <c r="T233" s="2">
        <v>10</v>
      </c>
      <c r="U233" s="2">
        <v>10</v>
      </c>
      <c r="V233" s="2">
        <v>10</v>
      </c>
      <c r="W233" s="54">
        <f t="shared" si="1"/>
        <v>10</v>
      </c>
      <c r="X233" s="48"/>
      <c r="Y233" s="2"/>
      <c r="Z233" s="2"/>
      <c r="AA233" s="2">
        <v>10</v>
      </c>
      <c r="AB233" s="2">
        <v>10</v>
      </c>
      <c r="AC233" s="2">
        <v>10</v>
      </c>
      <c r="AD233" s="2">
        <v>10</v>
      </c>
      <c r="AE233" s="2">
        <v>10</v>
      </c>
      <c r="AF233" s="2">
        <v>10</v>
      </c>
      <c r="AG233" s="2">
        <v>10</v>
      </c>
      <c r="AH233" s="2">
        <v>10</v>
      </c>
      <c r="AI233" s="2">
        <v>10</v>
      </c>
      <c r="AJ233" s="2">
        <v>10</v>
      </c>
      <c r="AK233" s="3"/>
      <c r="AL233" s="3"/>
      <c r="AM233" s="3"/>
      <c r="AN233" s="3"/>
      <c r="AO233" s="3"/>
      <c r="AP233" s="3"/>
      <c r="AQ233" s="2" t="e">
        <f t="shared" ca="1" si="20"/>
        <v>#NAME?</v>
      </c>
      <c r="AR233" s="2">
        <v>10</v>
      </c>
      <c r="AS233" s="2">
        <v>10</v>
      </c>
      <c r="AT233" s="2">
        <v>10</v>
      </c>
      <c r="AU233" s="2">
        <v>10</v>
      </c>
      <c r="AV233" s="2">
        <v>10</v>
      </c>
      <c r="AW233" s="54">
        <f t="shared" si="3"/>
        <v>10</v>
      </c>
      <c r="AX233" s="48">
        <v>7</v>
      </c>
      <c r="AY233" s="2">
        <v>7</v>
      </c>
      <c r="AZ233" s="2">
        <v>10</v>
      </c>
      <c r="BA233" s="2">
        <v>10</v>
      </c>
      <c r="BB233" s="2">
        <v>10</v>
      </c>
      <c r="BC233" s="2">
        <v>10</v>
      </c>
      <c r="BD233" s="2">
        <v>10</v>
      </c>
      <c r="BE233" s="2">
        <v>10</v>
      </c>
      <c r="BF233" s="2">
        <v>10</v>
      </c>
      <c r="BG233" s="2">
        <v>10</v>
      </c>
      <c r="BH233" s="2">
        <v>10</v>
      </c>
      <c r="BI233" s="2">
        <v>10</v>
      </c>
      <c r="BJ233" s="2" t="e">
        <f t="shared" ca="1" si="21"/>
        <v>#NAME?</v>
      </c>
      <c r="BK233" s="5">
        <v>10</v>
      </c>
      <c r="BL233" s="5">
        <v>10</v>
      </c>
      <c r="BM233" s="5">
        <v>10</v>
      </c>
      <c r="BN233" s="5">
        <v>10</v>
      </c>
      <c r="BO233" s="5">
        <v>10</v>
      </c>
      <c r="BP233" s="54">
        <f t="shared" si="5"/>
        <v>10</v>
      </c>
      <c r="BQ233" s="5"/>
      <c r="BR233" s="5"/>
      <c r="BS233" s="5">
        <v>10</v>
      </c>
      <c r="BT233" s="5">
        <v>10</v>
      </c>
      <c r="BU233" s="5">
        <v>10</v>
      </c>
      <c r="BV233" s="5">
        <v>10</v>
      </c>
      <c r="BW233" s="5">
        <v>10</v>
      </c>
      <c r="BX233" s="5">
        <v>10</v>
      </c>
      <c r="BY233" s="5">
        <v>10</v>
      </c>
      <c r="BZ233" s="5">
        <v>10</v>
      </c>
      <c r="CA233" s="5">
        <v>10</v>
      </c>
      <c r="CB233" s="5">
        <v>10</v>
      </c>
      <c r="CC233" s="2" t="e">
        <f t="shared" ca="1" si="22"/>
        <v>#NAME?</v>
      </c>
      <c r="CD233" s="55"/>
      <c r="CE233" s="2"/>
      <c r="CF233" s="2">
        <v>10</v>
      </c>
      <c r="CG233" s="2">
        <v>10</v>
      </c>
      <c r="CH233" s="2">
        <v>10</v>
      </c>
      <c r="CI233" s="2">
        <v>9</v>
      </c>
      <c r="CJ233" s="2">
        <v>9</v>
      </c>
      <c r="CK233" s="2">
        <v>9</v>
      </c>
      <c r="CL233" s="2">
        <v>9</v>
      </c>
      <c r="CM233" s="2">
        <v>9</v>
      </c>
      <c r="CN233" s="2">
        <v>9</v>
      </c>
      <c r="CO233" s="2">
        <v>9</v>
      </c>
      <c r="CP233" s="2" t="e">
        <f t="shared" ca="1" si="23"/>
        <v>#NAME?</v>
      </c>
      <c r="CQ233" s="2">
        <v>8</v>
      </c>
      <c r="CR233" s="2">
        <v>10</v>
      </c>
      <c r="CS233" s="2">
        <v>10</v>
      </c>
      <c r="CT233" s="2">
        <v>10</v>
      </c>
      <c r="CU233" s="2">
        <v>10</v>
      </c>
      <c r="CV233" s="54">
        <f t="shared" si="8"/>
        <v>10</v>
      </c>
      <c r="CW233" s="55"/>
      <c r="CX233" s="3"/>
    </row>
    <row r="234" spans="1:102" ht="16.5" x14ac:dyDescent="0.55000000000000004">
      <c r="A234" s="17">
        <v>3</v>
      </c>
      <c r="B234" s="17" t="s">
        <v>5</v>
      </c>
      <c r="C234" s="23" t="s">
        <v>507</v>
      </c>
      <c r="D234" s="24" t="s">
        <v>508</v>
      </c>
      <c r="E234" s="48"/>
      <c r="F234" s="2">
        <v>8</v>
      </c>
      <c r="G234" s="2">
        <v>8</v>
      </c>
      <c r="H234" s="2">
        <v>8</v>
      </c>
      <c r="I234" s="2">
        <v>8</v>
      </c>
      <c r="J234" s="2">
        <v>8</v>
      </c>
      <c r="K234" s="2">
        <v>8</v>
      </c>
      <c r="L234" s="2">
        <v>8</v>
      </c>
      <c r="M234" s="2">
        <f t="shared" ref="M234:P234" si="89">H234</f>
        <v>8</v>
      </c>
      <c r="N234" s="2">
        <f t="shared" si="89"/>
        <v>8</v>
      </c>
      <c r="O234" s="2">
        <f t="shared" si="89"/>
        <v>8</v>
      </c>
      <c r="P234" s="2">
        <f t="shared" si="89"/>
        <v>8</v>
      </c>
      <c r="Q234" s="2" t="e">
        <f t="shared" ca="1" si="19"/>
        <v>#NAME?</v>
      </c>
      <c r="R234" s="2">
        <v>9</v>
      </c>
      <c r="S234" s="2">
        <v>9</v>
      </c>
      <c r="T234" s="2">
        <v>9</v>
      </c>
      <c r="U234" s="2">
        <v>9</v>
      </c>
      <c r="V234" s="2">
        <v>9</v>
      </c>
      <c r="W234" s="54">
        <f t="shared" si="1"/>
        <v>9</v>
      </c>
      <c r="X234" s="48"/>
      <c r="Y234" s="2"/>
      <c r="Z234" s="2"/>
      <c r="AA234" s="2">
        <v>10</v>
      </c>
      <c r="AB234" s="2">
        <v>10</v>
      </c>
      <c r="AC234" s="2">
        <v>0</v>
      </c>
      <c r="AD234" s="2">
        <v>0</v>
      </c>
      <c r="AE234" s="2">
        <v>10</v>
      </c>
      <c r="AF234" s="2">
        <v>10</v>
      </c>
      <c r="AG234" s="2">
        <v>10</v>
      </c>
      <c r="AH234" s="2">
        <v>10</v>
      </c>
      <c r="AI234" s="2">
        <v>10</v>
      </c>
      <c r="AJ234" s="2">
        <v>10</v>
      </c>
      <c r="AK234" s="3"/>
      <c r="AL234" s="3"/>
      <c r="AM234" s="3"/>
      <c r="AN234" s="3"/>
      <c r="AO234" s="3"/>
      <c r="AP234" s="3"/>
      <c r="AQ234" s="2" t="e">
        <f t="shared" ca="1" si="20"/>
        <v>#NAME?</v>
      </c>
      <c r="AR234" s="2">
        <v>10</v>
      </c>
      <c r="AS234" s="2">
        <v>10</v>
      </c>
      <c r="AT234" s="2">
        <v>10</v>
      </c>
      <c r="AU234" s="2">
        <v>10</v>
      </c>
      <c r="AV234" s="2">
        <v>10</v>
      </c>
      <c r="AW234" s="54">
        <f t="shared" si="3"/>
        <v>10</v>
      </c>
      <c r="AX234" s="48">
        <v>8</v>
      </c>
      <c r="AY234" s="2">
        <v>6</v>
      </c>
      <c r="AZ234" s="2">
        <v>10</v>
      </c>
      <c r="BA234" s="2">
        <v>10</v>
      </c>
      <c r="BB234" s="2">
        <v>10</v>
      </c>
      <c r="BC234" s="2">
        <v>10</v>
      </c>
      <c r="BD234" s="2">
        <v>10</v>
      </c>
      <c r="BE234" s="2">
        <v>10</v>
      </c>
      <c r="BF234" s="2">
        <v>10</v>
      </c>
      <c r="BG234" s="2">
        <v>10</v>
      </c>
      <c r="BH234" s="2">
        <v>10</v>
      </c>
      <c r="BI234" s="2">
        <v>10</v>
      </c>
      <c r="BJ234" s="2" t="e">
        <f t="shared" ca="1" si="21"/>
        <v>#NAME?</v>
      </c>
      <c r="BK234" s="5">
        <v>10</v>
      </c>
      <c r="BL234" s="5">
        <v>10</v>
      </c>
      <c r="BM234" s="5">
        <v>10</v>
      </c>
      <c r="BN234" s="5">
        <v>10</v>
      </c>
      <c r="BO234" s="5">
        <v>10</v>
      </c>
      <c r="BP234" s="54">
        <f t="shared" si="5"/>
        <v>10</v>
      </c>
      <c r="BQ234" s="5"/>
      <c r="BR234" s="5"/>
      <c r="BS234" s="5">
        <v>10</v>
      </c>
      <c r="BT234" s="5">
        <v>10</v>
      </c>
      <c r="BU234" s="5">
        <v>10</v>
      </c>
      <c r="BV234" s="5">
        <v>10</v>
      </c>
      <c r="BW234" s="5">
        <v>10</v>
      </c>
      <c r="BX234" s="5">
        <v>10</v>
      </c>
      <c r="BY234" s="5">
        <v>10</v>
      </c>
      <c r="BZ234" s="5">
        <v>10</v>
      </c>
      <c r="CA234" s="5">
        <v>10</v>
      </c>
      <c r="CB234" s="5">
        <v>10</v>
      </c>
      <c r="CC234" s="2" t="e">
        <f t="shared" ca="1" si="22"/>
        <v>#NAME?</v>
      </c>
      <c r="CD234" s="55"/>
      <c r="CE234" s="2"/>
      <c r="CF234" s="2">
        <v>8</v>
      </c>
      <c r="CG234" s="2">
        <v>8</v>
      </c>
      <c r="CH234" s="2">
        <v>8</v>
      </c>
      <c r="CI234" s="2">
        <v>8</v>
      </c>
      <c r="CJ234" s="2">
        <v>8</v>
      </c>
      <c r="CK234" s="2">
        <v>8</v>
      </c>
      <c r="CL234" s="2">
        <v>8</v>
      </c>
      <c r="CM234" s="2">
        <v>8</v>
      </c>
      <c r="CN234" s="2">
        <v>8</v>
      </c>
      <c r="CO234" s="2">
        <v>8</v>
      </c>
      <c r="CP234" s="2" t="e">
        <f t="shared" ca="1" si="23"/>
        <v>#NAME?</v>
      </c>
      <c r="CQ234" s="2">
        <v>8</v>
      </c>
      <c r="CR234" s="2">
        <v>8</v>
      </c>
      <c r="CS234" s="2">
        <v>8</v>
      </c>
      <c r="CT234" s="2">
        <v>8</v>
      </c>
      <c r="CU234" s="2">
        <v>8</v>
      </c>
      <c r="CV234" s="54">
        <f t="shared" si="8"/>
        <v>8</v>
      </c>
      <c r="CW234" s="55"/>
      <c r="CX234" s="3"/>
    </row>
    <row r="235" spans="1:102" ht="16.5" x14ac:dyDescent="0.55000000000000004">
      <c r="A235" s="17">
        <v>3</v>
      </c>
      <c r="B235" s="17" t="s">
        <v>5</v>
      </c>
      <c r="C235" s="23" t="s">
        <v>509</v>
      </c>
      <c r="D235" s="24" t="s">
        <v>510</v>
      </c>
      <c r="E235" s="48"/>
      <c r="F235" s="2">
        <v>19</v>
      </c>
      <c r="G235" s="2">
        <v>8</v>
      </c>
      <c r="H235" s="2">
        <v>8</v>
      </c>
      <c r="I235" s="2">
        <v>8</v>
      </c>
      <c r="J235" s="2">
        <v>8</v>
      </c>
      <c r="K235" s="2">
        <v>8</v>
      </c>
      <c r="L235" s="2">
        <f t="shared" ref="L235:P235" si="90">G235</f>
        <v>8</v>
      </c>
      <c r="M235" s="2">
        <f t="shared" si="90"/>
        <v>8</v>
      </c>
      <c r="N235" s="2">
        <f t="shared" si="90"/>
        <v>8</v>
      </c>
      <c r="O235" s="2">
        <f t="shared" si="90"/>
        <v>8</v>
      </c>
      <c r="P235" s="2">
        <f t="shared" si="90"/>
        <v>8</v>
      </c>
      <c r="Q235" s="2" t="e">
        <f t="shared" ca="1" si="19"/>
        <v>#NAME?</v>
      </c>
      <c r="R235" s="2">
        <v>10</v>
      </c>
      <c r="S235" s="2">
        <v>10</v>
      </c>
      <c r="T235" s="2">
        <v>10</v>
      </c>
      <c r="U235" s="2">
        <v>10</v>
      </c>
      <c r="V235" s="2">
        <v>10</v>
      </c>
      <c r="W235" s="54">
        <f t="shared" si="1"/>
        <v>10</v>
      </c>
      <c r="X235" s="48"/>
      <c r="Y235" s="2"/>
      <c r="Z235" s="2"/>
      <c r="AA235" s="2">
        <v>10</v>
      </c>
      <c r="AB235" s="2">
        <v>10</v>
      </c>
      <c r="AC235" s="2">
        <v>10</v>
      </c>
      <c r="AD235" s="2">
        <v>10</v>
      </c>
      <c r="AE235" s="2">
        <v>10</v>
      </c>
      <c r="AF235" s="2">
        <v>10</v>
      </c>
      <c r="AG235" s="2">
        <v>10</v>
      </c>
      <c r="AH235" s="2">
        <v>10</v>
      </c>
      <c r="AI235" s="2">
        <v>10</v>
      </c>
      <c r="AJ235" s="2">
        <v>10</v>
      </c>
      <c r="AK235" s="3"/>
      <c r="AL235" s="3"/>
      <c r="AM235" s="3"/>
      <c r="AN235" s="3"/>
      <c r="AO235" s="3"/>
      <c r="AP235" s="3"/>
      <c r="AQ235" s="2" t="e">
        <f t="shared" ca="1" si="20"/>
        <v>#NAME?</v>
      </c>
      <c r="AR235" s="2">
        <v>10</v>
      </c>
      <c r="AS235" s="2">
        <v>10</v>
      </c>
      <c r="AT235" s="2">
        <v>10</v>
      </c>
      <c r="AU235" s="2">
        <v>10</v>
      </c>
      <c r="AV235" s="2">
        <v>10</v>
      </c>
      <c r="AW235" s="54">
        <f t="shared" si="3"/>
        <v>10</v>
      </c>
      <c r="AX235" s="48">
        <v>7</v>
      </c>
      <c r="AY235" s="2">
        <v>6</v>
      </c>
      <c r="AZ235" s="2">
        <v>10</v>
      </c>
      <c r="BA235" s="2">
        <v>10</v>
      </c>
      <c r="BB235" s="2">
        <v>10</v>
      </c>
      <c r="BC235" s="2">
        <v>10</v>
      </c>
      <c r="BD235" s="2">
        <v>10</v>
      </c>
      <c r="BE235" s="2">
        <v>10</v>
      </c>
      <c r="BF235" s="2">
        <v>10</v>
      </c>
      <c r="BG235" s="2">
        <v>10</v>
      </c>
      <c r="BH235" s="2">
        <v>10</v>
      </c>
      <c r="BI235" s="2">
        <v>10</v>
      </c>
      <c r="BJ235" s="2" t="e">
        <f t="shared" ca="1" si="21"/>
        <v>#NAME?</v>
      </c>
      <c r="BK235" s="5">
        <v>10</v>
      </c>
      <c r="BL235" s="5">
        <v>10</v>
      </c>
      <c r="BM235" s="5">
        <v>10</v>
      </c>
      <c r="BN235" s="5">
        <v>10</v>
      </c>
      <c r="BO235" s="5">
        <v>10</v>
      </c>
      <c r="BP235" s="54">
        <f t="shared" si="5"/>
        <v>10</v>
      </c>
      <c r="BQ235" s="5"/>
      <c r="BR235" s="5"/>
      <c r="BS235" s="5">
        <v>10</v>
      </c>
      <c r="BT235" s="5">
        <v>10</v>
      </c>
      <c r="BU235" s="5">
        <v>10</v>
      </c>
      <c r="BV235" s="5">
        <v>10</v>
      </c>
      <c r="BW235" s="5">
        <v>10</v>
      </c>
      <c r="BX235" s="5">
        <v>10</v>
      </c>
      <c r="BY235" s="5">
        <v>10</v>
      </c>
      <c r="BZ235" s="5">
        <v>10</v>
      </c>
      <c r="CA235" s="5">
        <v>10</v>
      </c>
      <c r="CB235" s="5">
        <v>10</v>
      </c>
      <c r="CC235" s="2" t="e">
        <f t="shared" ca="1" si="22"/>
        <v>#NAME?</v>
      </c>
      <c r="CD235" s="55"/>
      <c r="CE235" s="2"/>
      <c r="CF235" s="2">
        <v>8</v>
      </c>
      <c r="CG235" s="2">
        <v>8</v>
      </c>
      <c r="CH235" s="2">
        <v>8</v>
      </c>
      <c r="CI235" s="2">
        <v>8</v>
      </c>
      <c r="CJ235" s="2">
        <v>8</v>
      </c>
      <c r="CK235" s="2">
        <v>8</v>
      </c>
      <c r="CL235" s="2">
        <v>8</v>
      </c>
      <c r="CM235" s="2">
        <v>8</v>
      </c>
      <c r="CN235" s="2">
        <v>8</v>
      </c>
      <c r="CO235" s="2">
        <v>8</v>
      </c>
      <c r="CP235" s="2" t="e">
        <f t="shared" ca="1" si="23"/>
        <v>#NAME?</v>
      </c>
      <c r="CQ235" s="2">
        <v>8</v>
      </c>
      <c r="CR235" s="2">
        <v>8</v>
      </c>
      <c r="CS235" s="2">
        <v>8</v>
      </c>
      <c r="CT235" s="2">
        <v>8</v>
      </c>
      <c r="CU235" s="2">
        <v>8</v>
      </c>
      <c r="CV235" s="54">
        <f t="shared" si="8"/>
        <v>8</v>
      </c>
      <c r="CW235" s="55"/>
      <c r="CX235" s="3"/>
    </row>
    <row r="236" spans="1:102" ht="16.5" x14ac:dyDescent="0.55000000000000004">
      <c r="A236" s="17">
        <v>3</v>
      </c>
      <c r="B236" s="17" t="s">
        <v>5</v>
      </c>
      <c r="C236" s="23" t="s">
        <v>511</v>
      </c>
      <c r="D236" s="24" t="s">
        <v>512</v>
      </c>
      <c r="E236" s="48"/>
      <c r="F236" s="2">
        <v>5</v>
      </c>
      <c r="G236" s="2">
        <v>8</v>
      </c>
      <c r="H236" s="2">
        <v>8</v>
      </c>
      <c r="I236" s="2">
        <v>8</v>
      </c>
      <c r="J236" s="2">
        <v>8</v>
      </c>
      <c r="K236" s="2">
        <v>8</v>
      </c>
      <c r="L236" s="2">
        <f>G236</f>
        <v>8</v>
      </c>
      <c r="M236" s="2">
        <v>10</v>
      </c>
      <c r="N236" s="2">
        <f t="shared" ref="N236:P236" si="91">I236</f>
        <v>8</v>
      </c>
      <c r="O236" s="2">
        <f t="shared" si="91"/>
        <v>8</v>
      </c>
      <c r="P236" s="2">
        <f t="shared" si="91"/>
        <v>8</v>
      </c>
      <c r="Q236" s="2" t="e">
        <f t="shared" ca="1" si="19"/>
        <v>#NAME?</v>
      </c>
      <c r="R236" s="2">
        <v>6</v>
      </c>
      <c r="S236" s="2">
        <v>6</v>
      </c>
      <c r="T236" s="2">
        <v>6</v>
      </c>
      <c r="U236" s="2">
        <v>9</v>
      </c>
      <c r="V236" s="2">
        <v>9</v>
      </c>
      <c r="W236" s="54">
        <f t="shared" si="1"/>
        <v>8</v>
      </c>
      <c r="X236" s="48"/>
      <c r="Y236" s="2"/>
      <c r="Z236" s="2"/>
      <c r="AA236" s="2">
        <v>10</v>
      </c>
      <c r="AB236" s="2">
        <v>10</v>
      </c>
      <c r="AC236" s="2">
        <v>5</v>
      </c>
      <c r="AD236" s="2">
        <v>5</v>
      </c>
      <c r="AE236" s="2">
        <v>10</v>
      </c>
      <c r="AF236" s="2">
        <v>10</v>
      </c>
      <c r="AG236" s="2">
        <v>10</v>
      </c>
      <c r="AH236" s="2">
        <v>10</v>
      </c>
      <c r="AI236" s="2">
        <v>10</v>
      </c>
      <c r="AJ236" s="2">
        <v>10</v>
      </c>
      <c r="AK236" s="3"/>
      <c r="AL236" s="3"/>
      <c r="AM236" s="3"/>
      <c r="AN236" s="3"/>
      <c r="AO236" s="3"/>
      <c r="AP236" s="3"/>
      <c r="AQ236" s="2" t="e">
        <f t="shared" ca="1" si="20"/>
        <v>#NAME?</v>
      </c>
      <c r="AR236" s="2">
        <v>10</v>
      </c>
      <c r="AS236" s="2">
        <v>10</v>
      </c>
      <c r="AT236" s="2">
        <v>10</v>
      </c>
      <c r="AU236" s="2">
        <v>10</v>
      </c>
      <c r="AV236" s="2">
        <v>10</v>
      </c>
      <c r="AW236" s="54">
        <f t="shared" si="3"/>
        <v>10</v>
      </c>
      <c r="AX236" s="48">
        <v>8</v>
      </c>
      <c r="AY236" s="2">
        <v>7</v>
      </c>
      <c r="AZ236" s="2">
        <v>10</v>
      </c>
      <c r="BA236" s="2">
        <v>10</v>
      </c>
      <c r="BB236" s="2">
        <v>10</v>
      </c>
      <c r="BC236" s="2">
        <v>10</v>
      </c>
      <c r="BD236" s="2">
        <v>10</v>
      </c>
      <c r="BE236" s="2">
        <v>10</v>
      </c>
      <c r="BF236" s="2">
        <v>10</v>
      </c>
      <c r="BG236" s="2">
        <v>10</v>
      </c>
      <c r="BH236" s="2">
        <v>10</v>
      </c>
      <c r="BI236" s="2">
        <v>10</v>
      </c>
      <c r="BJ236" s="2" t="e">
        <f t="shared" ca="1" si="21"/>
        <v>#NAME?</v>
      </c>
      <c r="BK236" s="2">
        <v>10</v>
      </c>
      <c r="BL236" s="2">
        <v>10</v>
      </c>
      <c r="BM236" s="2">
        <v>10</v>
      </c>
      <c r="BN236" s="2">
        <v>10</v>
      </c>
      <c r="BO236" s="2">
        <v>10</v>
      </c>
      <c r="BP236" s="54">
        <f t="shared" si="5"/>
        <v>10</v>
      </c>
      <c r="BQ236" s="5"/>
      <c r="BR236" s="5"/>
      <c r="BS236" s="5">
        <v>10</v>
      </c>
      <c r="BT236" s="5">
        <v>10</v>
      </c>
      <c r="BU236" s="5">
        <v>10</v>
      </c>
      <c r="BV236" s="5">
        <v>10</v>
      </c>
      <c r="BW236" s="5">
        <v>10</v>
      </c>
      <c r="BX236" s="5">
        <v>10</v>
      </c>
      <c r="BY236" s="5">
        <v>10</v>
      </c>
      <c r="BZ236" s="5">
        <v>10</v>
      </c>
      <c r="CA236" s="5">
        <v>10</v>
      </c>
      <c r="CB236" s="5">
        <v>10</v>
      </c>
      <c r="CC236" s="2" t="e">
        <f t="shared" ca="1" si="22"/>
        <v>#NAME?</v>
      </c>
      <c r="CD236" s="55"/>
      <c r="CE236" s="2"/>
      <c r="CF236" s="2">
        <v>7</v>
      </c>
      <c r="CG236" s="2">
        <v>7</v>
      </c>
      <c r="CH236" s="2">
        <v>7</v>
      </c>
      <c r="CI236" s="2">
        <v>7</v>
      </c>
      <c r="CJ236" s="2">
        <v>7</v>
      </c>
      <c r="CK236" s="2">
        <v>7</v>
      </c>
      <c r="CL236" s="2">
        <v>7</v>
      </c>
      <c r="CM236" s="2">
        <v>7</v>
      </c>
      <c r="CN236" s="2">
        <v>7</v>
      </c>
      <c r="CO236" s="2">
        <v>7</v>
      </c>
      <c r="CP236" s="2" t="e">
        <f t="shared" ca="1" si="23"/>
        <v>#NAME?</v>
      </c>
      <c r="CQ236" s="2">
        <v>7</v>
      </c>
      <c r="CR236" s="2">
        <v>7</v>
      </c>
      <c r="CS236" s="2">
        <v>7</v>
      </c>
      <c r="CT236" s="2">
        <v>7</v>
      </c>
      <c r="CU236" s="2">
        <v>7</v>
      </c>
      <c r="CV236" s="54">
        <f t="shared" si="8"/>
        <v>7</v>
      </c>
      <c r="CW236" s="55"/>
      <c r="CX236" s="3"/>
    </row>
    <row r="237" spans="1:102" ht="16.5" x14ac:dyDescent="0.55000000000000004">
      <c r="A237" s="17">
        <v>3</v>
      </c>
      <c r="B237" s="17" t="s">
        <v>5</v>
      </c>
      <c r="C237" s="23" t="s">
        <v>513</v>
      </c>
      <c r="D237" s="24" t="s">
        <v>514</v>
      </c>
      <c r="E237" s="48"/>
      <c r="F237" s="48">
        <v>11</v>
      </c>
      <c r="G237" s="2">
        <v>10</v>
      </c>
      <c r="H237" s="2">
        <v>10</v>
      </c>
      <c r="I237" s="2">
        <v>10</v>
      </c>
      <c r="J237" s="2">
        <v>10</v>
      </c>
      <c r="K237" s="2">
        <v>10</v>
      </c>
      <c r="L237" s="2">
        <v>10</v>
      </c>
      <c r="M237" s="2">
        <v>10</v>
      </c>
      <c r="N237" s="2">
        <v>10</v>
      </c>
      <c r="O237" s="2">
        <v>10</v>
      </c>
      <c r="P237" s="2">
        <v>10</v>
      </c>
      <c r="Q237" s="2" t="e">
        <f t="shared" ca="1" si="19"/>
        <v>#NAME?</v>
      </c>
      <c r="R237" s="2">
        <v>10</v>
      </c>
      <c r="S237" s="2">
        <v>10</v>
      </c>
      <c r="T237" s="2">
        <v>10</v>
      </c>
      <c r="U237" s="2">
        <v>10</v>
      </c>
      <c r="V237" s="2">
        <v>10</v>
      </c>
      <c r="W237" s="54">
        <f t="shared" si="1"/>
        <v>10</v>
      </c>
      <c r="X237" s="48"/>
      <c r="Y237" s="2"/>
      <c r="Z237" s="2"/>
      <c r="AA237" s="2">
        <v>0</v>
      </c>
      <c r="AB237" s="2">
        <v>0</v>
      </c>
      <c r="AC237" s="2">
        <v>4</v>
      </c>
      <c r="AD237" s="2">
        <v>4</v>
      </c>
      <c r="AE237" s="2">
        <v>10</v>
      </c>
      <c r="AF237" s="2">
        <v>10</v>
      </c>
      <c r="AG237" s="2">
        <v>10</v>
      </c>
      <c r="AH237" s="2">
        <v>10</v>
      </c>
      <c r="AI237" s="2">
        <v>10</v>
      </c>
      <c r="AJ237" s="2">
        <v>10</v>
      </c>
      <c r="AK237" s="3"/>
      <c r="AL237" s="3"/>
      <c r="AM237" s="3"/>
      <c r="AN237" s="3"/>
      <c r="AO237" s="3"/>
      <c r="AP237" s="3"/>
      <c r="AQ237" s="2" t="e">
        <f t="shared" ca="1" si="20"/>
        <v>#NAME?</v>
      </c>
      <c r="AR237" s="2">
        <v>0</v>
      </c>
      <c r="AS237" s="2">
        <v>4</v>
      </c>
      <c r="AT237" s="2">
        <v>10</v>
      </c>
      <c r="AU237" s="2">
        <v>10</v>
      </c>
      <c r="AV237" s="2">
        <v>10</v>
      </c>
      <c r="AW237" s="54">
        <f t="shared" si="3"/>
        <v>7</v>
      </c>
      <c r="AX237" s="48">
        <v>7</v>
      </c>
      <c r="AY237" s="2">
        <v>7</v>
      </c>
      <c r="AZ237" s="2">
        <v>10</v>
      </c>
      <c r="BA237" s="2">
        <v>10</v>
      </c>
      <c r="BB237" s="2">
        <v>10</v>
      </c>
      <c r="BC237" s="2">
        <v>10</v>
      </c>
      <c r="BD237" s="2">
        <v>10</v>
      </c>
      <c r="BE237" s="2">
        <v>10</v>
      </c>
      <c r="BF237" s="2">
        <v>10</v>
      </c>
      <c r="BG237" s="2">
        <v>10</v>
      </c>
      <c r="BH237" s="2">
        <v>10</v>
      </c>
      <c r="BI237" s="2">
        <v>10</v>
      </c>
      <c r="BJ237" s="2" t="e">
        <f t="shared" ca="1" si="21"/>
        <v>#NAME?</v>
      </c>
      <c r="BK237" s="5">
        <v>6</v>
      </c>
      <c r="BL237" s="5">
        <v>7</v>
      </c>
      <c r="BM237" s="5">
        <v>8</v>
      </c>
      <c r="BN237" s="5">
        <v>8</v>
      </c>
      <c r="BO237" s="5">
        <v>8</v>
      </c>
      <c r="BP237" s="54">
        <f t="shared" si="5"/>
        <v>8</v>
      </c>
      <c r="BQ237" s="5"/>
      <c r="BR237" s="5"/>
      <c r="BS237" s="5">
        <v>8</v>
      </c>
      <c r="BT237" s="5">
        <v>5</v>
      </c>
      <c r="BU237" s="5">
        <v>7</v>
      </c>
      <c r="BV237" s="5">
        <v>9</v>
      </c>
      <c r="BW237" s="5">
        <v>8</v>
      </c>
      <c r="BX237" s="5">
        <v>5</v>
      </c>
      <c r="BY237" s="5">
        <v>7</v>
      </c>
      <c r="BZ237" s="5">
        <v>10</v>
      </c>
      <c r="CA237" s="5">
        <v>10</v>
      </c>
      <c r="CB237" s="5">
        <v>10</v>
      </c>
      <c r="CC237" s="2" t="e">
        <f t="shared" ca="1" si="22"/>
        <v>#NAME?</v>
      </c>
      <c r="CD237" s="55"/>
      <c r="CE237" s="2"/>
      <c r="CF237" s="2">
        <v>6</v>
      </c>
      <c r="CG237" s="2">
        <v>6</v>
      </c>
      <c r="CH237" s="2">
        <v>6</v>
      </c>
      <c r="CI237" s="2">
        <v>6</v>
      </c>
      <c r="CJ237" s="2">
        <v>6</v>
      </c>
      <c r="CK237" s="2">
        <v>6</v>
      </c>
      <c r="CL237" s="2">
        <v>6</v>
      </c>
      <c r="CM237" s="2">
        <v>6</v>
      </c>
      <c r="CN237" s="2">
        <v>6</v>
      </c>
      <c r="CO237" s="2">
        <v>6</v>
      </c>
      <c r="CP237" s="2" t="e">
        <f t="shared" ca="1" si="23"/>
        <v>#NAME?</v>
      </c>
      <c r="CQ237" s="2">
        <v>6</v>
      </c>
      <c r="CR237" s="2">
        <v>6</v>
      </c>
      <c r="CS237" s="2">
        <v>6</v>
      </c>
      <c r="CT237" s="2">
        <v>6</v>
      </c>
      <c r="CU237" s="2">
        <v>6</v>
      </c>
      <c r="CV237" s="54">
        <f t="shared" si="8"/>
        <v>6</v>
      </c>
      <c r="CW237" s="55"/>
      <c r="CX237" s="3"/>
    </row>
    <row r="238" spans="1:102" ht="16.5" x14ac:dyDescent="0.55000000000000004">
      <c r="A238" s="17">
        <v>3</v>
      </c>
      <c r="B238" s="17" t="s">
        <v>5</v>
      </c>
      <c r="C238" s="23" t="s">
        <v>515</v>
      </c>
      <c r="D238" s="24" t="s">
        <v>516</v>
      </c>
      <c r="E238" s="48"/>
      <c r="F238" s="2" t="s">
        <v>31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f t="shared" ref="L238:P238" si="92">G238</f>
        <v>0</v>
      </c>
      <c r="M238" s="2">
        <f t="shared" si="92"/>
        <v>0</v>
      </c>
      <c r="N238" s="2">
        <f t="shared" si="92"/>
        <v>0</v>
      </c>
      <c r="O238" s="2">
        <f t="shared" si="92"/>
        <v>0</v>
      </c>
      <c r="P238" s="2">
        <f t="shared" si="92"/>
        <v>0</v>
      </c>
      <c r="Q238" s="2" t="e">
        <f t="shared" ca="1" si="19"/>
        <v>#NAME?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54">
        <f t="shared" si="1"/>
        <v>0</v>
      </c>
      <c r="X238" s="48"/>
      <c r="Y238" s="2"/>
      <c r="Z238" s="2"/>
      <c r="AA238" s="2">
        <v>0</v>
      </c>
      <c r="AB238" s="2">
        <v>0</v>
      </c>
      <c r="AC238" s="2">
        <v>4</v>
      </c>
      <c r="AD238" s="2">
        <v>4</v>
      </c>
      <c r="AE238" s="2">
        <v>10</v>
      </c>
      <c r="AF238" s="2">
        <v>10</v>
      </c>
      <c r="AG238" s="2">
        <v>10</v>
      </c>
      <c r="AH238" s="2">
        <v>10</v>
      </c>
      <c r="AI238" s="2">
        <v>10</v>
      </c>
      <c r="AJ238" s="2">
        <v>10</v>
      </c>
      <c r="AK238" s="3"/>
      <c r="AL238" s="3"/>
      <c r="AM238" s="3"/>
      <c r="AN238" s="3"/>
      <c r="AO238" s="3"/>
      <c r="AP238" s="3"/>
      <c r="AQ238" s="2" t="e">
        <f t="shared" ca="1" si="20"/>
        <v>#NAME?</v>
      </c>
      <c r="AR238" s="2">
        <v>0</v>
      </c>
      <c r="AS238" s="2">
        <v>4</v>
      </c>
      <c r="AT238" s="2">
        <v>10</v>
      </c>
      <c r="AU238" s="2">
        <v>10</v>
      </c>
      <c r="AV238" s="2">
        <v>10</v>
      </c>
      <c r="AW238" s="54">
        <f t="shared" si="3"/>
        <v>7</v>
      </c>
      <c r="AX238" s="48">
        <v>6</v>
      </c>
      <c r="AY238" s="2">
        <v>5</v>
      </c>
      <c r="AZ238" s="2">
        <v>6</v>
      </c>
      <c r="BA238" s="2">
        <v>10</v>
      </c>
      <c r="BB238" s="2">
        <v>10</v>
      </c>
      <c r="BC238" s="2">
        <v>10</v>
      </c>
      <c r="BD238" s="2">
        <v>10</v>
      </c>
      <c r="BE238" s="2">
        <v>10</v>
      </c>
      <c r="BF238" s="2">
        <v>10</v>
      </c>
      <c r="BG238" s="2">
        <v>10</v>
      </c>
      <c r="BH238" s="2">
        <v>10</v>
      </c>
      <c r="BI238" s="2">
        <v>10</v>
      </c>
      <c r="BJ238" s="2" t="e">
        <f t="shared" ca="1" si="21"/>
        <v>#NAME?</v>
      </c>
      <c r="BK238" s="5">
        <v>8</v>
      </c>
      <c r="BL238" s="5">
        <v>8</v>
      </c>
      <c r="BM238" s="5">
        <v>8</v>
      </c>
      <c r="BN238" s="5">
        <v>8</v>
      </c>
      <c r="BO238" s="5">
        <v>8</v>
      </c>
      <c r="BP238" s="54">
        <f t="shared" si="5"/>
        <v>8</v>
      </c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2" t="e">
        <f t="shared" ca="1" si="22"/>
        <v>#NAME?</v>
      </c>
      <c r="CD238" s="55"/>
      <c r="CE238" s="2"/>
      <c r="CF238" s="2">
        <v>6</v>
      </c>
      <c r="CG238" s="2">
        <v>6</v>
      </c>
      <c r="CH238" s="2">
        <v>6</v>
      </c>
      <c r="CI238" s="2">
        <v>6</v>
      </c>
      <c r="CJ238" s="2">
        <v>6</v>
      </c>
      <c r="CK238" s="2">
        <v>6</v>
      </c>
      <c r="CL238" s="2">
        <v>6</v>
      </c>
      <c r="CM238" s="2">
        <v>6</v>
      </c>
      <c r="CN238" s="2">
        <v>6</v>
      </c>
      <c r="CO238" s="2">
        <v>6</v>
      </c>
      <c r="CP238" s="2" t="e">
        <f t="shared" ca="1" si="23"/>
        <v>#NAME?</v>
      </c>
      <c r="CQ238" s="2">
        <v>6</v>
      </c>
      <c r="CR238" s="2">
        <v>6</v>
      </c>
      <c r="CS238" s="2">
        <v>6</v>
      </c>
      <c r="CT238" s="2">
        <v>6</v>
      </c>
      <c r="CU238" s="2">
        <v>6</v>
      </c>
      <c r="CV238" s="54">
        <f t="shared" si="8"/>
        <v>6</v>
      </c>
      <c r="CW238" s="55"/>
      <c r="CX238" s="3"/>
    </row>
    <row r="239" spans="1:102" ht="16.5" x14ac:dyDescent="0.55000000000000004">
      <c r="A239" s="17">
        <v>3</v>
      </c>
      <c r="B239" s="17" t="s">
        <v>5</v>
      </c>
      <c r="C239" s="23" t="s">
        <v>517</v>
      </c>
      <c r="D239" s="24" t="s">
        <v>518</v>
      </c>
      <c r="E239" s="48"/>
      <c r="F239" s="48">
        <v>11</v>
      </c>
      <c r="G239" s="2">
        <v>10</v>
      </c>
      <c r="H239" s="2">
        <v>10</v>
      </c>
      <c r="I239" s="2">
        <v>10</v>
      </c>
      <c r="J239" s="2">
        <v>10</v>
      </c>
      <c r="K239" s="2">
        <v>10</v>
      </c>
      <c r="L239" s="2">
        <f t="shared" ref="L239:P239" si="93">G239</f>
        <v>10</v>
      </c>
      <c r="M239" s="2">
        <f t="shared" si="93"/>
        <v>10</v>
      </c>
      <c r="N239" s="2">
        <f t="shared" si="93"/>
        <v>10</v>
      </c>
      <c r="O239" s="2">
        <f t="shared" si="93"/>
        <v>10</v>
      </c>
      <c r="P239" s="2">
        <f t="shared" si="93"/>
        <v>10</v>
      </c>
      <c r="Q239" s="2" t="e">
        <f t="shared" ca="1" si="19"/>
        <v>#NAME?</v>
      </c>
      <c r="R239" s="2">
        <v>10</v>
      </c>
      <c r="S239" s="2">
        <v>10</v>
      </c>
      <c r="T239" s="2">
        <v>10</v>
      </c>
      <c r="U239" s="2">
        <v>10</v>
      </c>
      <c r="V239" s="2">
        <v>10</v>
      </c>
      <c r="W239" s="54">
        <f t="shared" si="1"/>
        <v>10</v>
      </c>
      <c r="X239" s="48"/>
      <c r="Y239" s="2"/>
      <c r="Z239" s="2"/>
      <c r="AA239" s="2">
        <v>10</v>
      </c>
      <c r="AB239" s="2">
        <v>10</v>
      </c>
      <c r="AC239" s="2">
        <v>10</v>
      </c>
      <c r="AD239" s="2">
        <v>10</v>
      </c>
      <c r="AE239" s="2">
        <v>10</v>
      </c>
      <c r="AF239" s="2">
        <v>10</v>
      </c>
      <c r="AG239" s="2">
        <v>10</v>
      </c>
      <c r="AH239" s="2">
        <v>10</v>
      </c>
      <c r="AI239" s="2">
        <v>10</v>
      </c>
      <c r="AJ239" s="2">
        <v>10</v>
      </c>
      <c r="AK239" s="3"/>
      <c r="AL239" s="3"/>
      <c r="AM239" s="3"/>
      <c r="AN239" s="3"/>
      <c r="AO239" s="3"/>
      <c r="AP239" s="3"/>
      <c r="AQ239" s="2" t="e">
        <f t="shared" ca="1" si="20"/>
        <v>#NAME?</v>
      </c>
      <c r="AR239" s="2">
        <v>10</v>
      </c>
      <c r="AS239" s="2">
        <v>10</v>
      </c>
      <c r="AT239" s="2">
        <v>10</v>
      </c>
      <c r="AU239" s="2">
        <v>10</v>
      </c>
      <c r="AV239" s="2">
        <v>10</v>
      </c>
      <c r="AW239" s="54">
        <f t="shared" si="3"/>
        <v>10</v>
      </c>
      <c r="AX239" s="48">
        <v>7</v>
      </c>
      <c r="AY239" s="2">
        <v>7</v>
      </c>
      <c r="AZ239" s="2">
        <v>10</v>
      </c>
      <c r="BA239" s="2">
        <v>10</v>
      </c>
      <c r="BB239" s="2">
        <v>10</v>
      </c>
      <c r="BC239" s="2">
        <v>10</v>
      </c>
      <c r="BD239" s="2">
        <v>10</v>
      </c>
      <c r="BE239" s="2">
        <v>10</v>
      </c>
      <c r="BF239" s="2">
        <v>10</v>
      </c>
      <c r="BG239" s="2">
        <v>10</v>
      </c>
      <c r="BH239" s="2">
        <v>10</v>
      </c>
      <c r="BI239" s="2">
        <v>10</v>
      </c>
      <c r="BJ239" s="2" t="e">
        <f t="shared" ca="1" si="21"/>
        <v>#NAME?</v>
      </c>
      <c r="BK239" s="5">
        <v>10</v>
      </c>
      <c r="BL239" s="5">
        <v>10</v>
      </c>
      <c r="BM239" s="2">
        <v>10</v>
      </c>
      <c r="BN239" s="2">
        <v>10</v>
      </c>
      <c r="BO239" s="2">
        <v>10</v>
      </c>
      <c r="BP239" s="54">
        <f t="shared" si="5"/>
        <v>10</v>
      </c>
      <c r="BQ239" s="5"/>
      <c r="BR239" s="5"/>
      <c r="BS239" s="5">
        <v>10</v>
      </c>
      <c r="BT239" s="5">
        <v>10</v>
      </c>
      <c r="BU239" s="5">
        <v>10</v>
      </c>
      <c r="BV239" s="5">
        <v>10</v>
      </c>
      <c r="BW239" s="5">
        <v>10</v>
      </c>
      <c r="BX239" s="5">
        <v>10</v>
      </c>
      <c r="BY239" s="5">
        <v>10</v>
      </c>
      <c r="BZ239" s="5">
        <v>10</v>
      </c>
      <c r="CA239" s="5">
        <v>10</v>
      </c>
      <c r="CB239" s="5">
        <v>10</v>
      </c>
      <c r="CC239" s="2" t="e">
        <f t="shared" ca="1" si="22"/>
        <v>#NAME?</v>
      </c>
      <c r="CD239" s="55"/>
      <c r="CE239" s="2"/>
      <c r="CF239" s="2">
        <v>8</v>
      </c>
      <c r="CG239" s="2">
        <v>8</v>
      </c>
      <c r="CH239" s="2">
        <v>9</v>
      </c>
      <c r="CI239" s="2">
        <v>9</v>
      </c>
      <c r="CJ239" s="2">
        <v>8</v>
      </c>
      <c r="CK239" s="2">
        <v>8</v>
      </c>
      <c r="CL239" s="2">
        <v>8</v>
      </c>
      <c r="CM239" s="2">
        <v>8</v>
      </c>
      <c r="CN239" s="2">
        <v>8</v>
      </c>
      <c r="CO239" s="2">
        <v>8</v>
      </c>
      <c r="CP239" s="2" t="e">
        <f t="shared" ca="1" si="23"/>
        <v>#NAME?</v>
      </c>
      <c r="CQ239" s="2">
        <v>8</v>
      </c>
      <c r="CR239" s="2">
        <v>8</v>
      </c>
      <c r="CS239" s="2">
        <v>8</v>
      </c>
      <c r="CT239" s="2">
        <v>8</v>
      </c>
      <c r="CU239" s="2">
        <v>8</v>
      </c>
      <c r="CV239" s="54">
        <f t="shared" si="8"/>
        <v>8</v>
      </c>
      <c r="CW239" s="55"/>
      <c r="CX239" s="3"/>
    </row>
    <row r="240" spans="1:102" ht="16.5" x14ac:dyDescent="0.55000000000000004">
      <c r="A240" s="17">
        <v>4</v>
      </c>
      <c r="B240" s="17" t="s">
        <v>5</v>
      </c>
      <c r="C240" s="23" t="s">
        <v>519</v>
      </c>
      <c r="D240" s="24" t="s">
        <v>520</v>
      </c>
      <c r="E240" s="48"/>
      <c r="F240" s="2">
        <v>14</v>
      </c>
      <c r="G240" s="2">
        <v>9</v>
      </c>
      <c r="H240" s="2">
        <v>9</v>
      </c>
      <c r="I240" s="2">
        <v>8</v>
      </c>
      <c r="J240" s="2">
        <v>7</v>
      </c>
      <c r="K240" s="2">
        <v>7</v>
      </c>
      <c r="L240" s="2">
        <f t="shared" ref="L240:P240" si="94">G240</f>
        <v>9</v>
      </c>
      <c r="M240" s="2">
        <f t="shared" si="94"/>
        <v>9</v>
      </c>
      <c r="N240" s="2">
        <f t="shared" si="94"/>
        <v>8</v>
      </c>
      <c r="O240" s="2">
        <f t="shared" si="94"/>
        <v>7</v>
      </c>
      <c r="P240" s="2">
        <f t="shared" si="94"/>
        <v>7</v>
      </c>
      <c r="Q240" s="2" t="e">
        <f t="shared" ca="1" si="19"/>
        <v>#NAME?</v>
      </c>
      <c r="R240" s="2">
        <v>10</v>
      </c>
      <c r="S240" s="2">
        <v>10</v>
      </c>
      <c r="T240" s="2">
        <v>10</v>
      </c>
      <c r="U240" s="2">
        <v>10</v>
      </c>
      <c r="V240" s="2">
        <v>10</v>
      </c>
      <c r="W240" s="54">
        <f t="shared" si="1"/>
        <v>10</v>
      </c>
      <c r="X240" s="48"/>
      <c r="Y240" s="2"/>
      <c r="Z240" s="2"/>
      <c r="AA240" s="2">
        <v>10</v>
      </c>
      <c r="AB240" s="2">
        <v>10</v>
      </c>
      <c r="AC240" s="2">
        <v>10</v>
      </c>
      <c r="AD240" s="2">
        <v>10</v>
      </c>
      <c r="AE240" s="2">
        <v>10</v>
      </c>
      <c r="AF240" s="2">
        <v>10</v>
      </c>
      <c r="AG240" s="2">
        <v>10</v>
      </c>
      <c r="AH240" s="2">
        <v>10</v>
      </c>
      <c r="AI240" s="2">
        <v>10</v>
      </c>
      <c r="AJ240" s="2">
        <v>10</v>
      </c>
      <c r="AK240" s="3"/>
      <c r="AL240" s="3"/>
      <c r="AM240" s="3"/>
      <c r="AN240" s="3"/>
      <c r="AO240" s="3"/>
      <c r="AP240" s="3"/>
      <c r="AQ240" s="2" t="e">
        <f t="shared" ca="1" si="20"/>
        <v>#NAME?</v>
      </c>
      <c r="AR240" s="2">
        <v>10</v>
      </c>
      <c r="AS240" s="2">
        <v>10</v>
      </c>
      <c r="AT240" s="2">
        <v>10</v>
      </c>
      <c r="AU240" s="2">
        <v>10</v>
      </c>
      <c r="AV240" s="2">
        <v>10</v>
      </c>
      <c r="AW240" s="54">
        <f t="shared" si="3"/>
        <v>10</v>
      </c>
      <c r="AX240" s="48">
        <v>6</v>
      </c>
      <c r="AY240" s="2">
        <v>7</v>
      </c>
      <c r="AZ240" s="2">
        <v>10</v>
      </c>
      <c r="BA240" s="2">
        <v>10</v>
      </c>
      <c r="BB240" s="2">
        <v>10</v>
      </c>
      <c r="BC240" s="2">
        <v>10</v>
      </c>
      <c r="BD240" s="2">
        <v>8</v>
      </c>
      <c r="BE240" s="2">
        <v>9</v>
      </c>
      <c r="BF240" s="2">
        <v>8</v>
      </c>
      <c r="BG240" s="2">
        <v>8</v>
      </c>
      <c r="BH240" s="2">
        <v>8</v>
      </c>
      <c r="BI240" s="57">
        <v>8</v>
      </c>
      <c r="BJ240" s="2" t="e">
        <f t="shared" ca="1" si="21"/>
        <v>#NAME?</v>
      </c>
      <c r="BK240" s="5">
        <v>10</v>
      </c>
      <c r="BL240" s="5">
        <v>10</v>
      </c>
      <c r="BM240" s="5">
        <v>10</v>
      </c>
      <c r="BN240" s="5">
        <v>10</v>
      </c>
      <c r="BO240" s="5">
        <v>10</v>
      </c>
      <c r="BP240" s="54">
        <f t="shared" si="5"/>
        <v>10</v>
      </c>
      <c r="BQ240" s="90">
        <v>0</v>
      </c>
      <c r="BR240" s="7">
        <v>0</v>
      </c>
      <c r="BS240" s="90">
        <v>10</v>
      </c>
      <c r="BT240" s="90">
        <v>10</v>
      </c>
      <c r="BU240" s="90">
        <v>10</v>
      </c>
      <c r="BV240" s="90">
        <v>10</v>
      </c>
      <c r="BW240" s="90">
        <v>10</v>
      </c>
      <c r="BX240" s="90">
        <v>10</v>
      </c>
      <c r="BY240" s="90">
        <v>10</v>
      </c>
      <c r="BZ240" s="90">
        <v>10</v>
      </c>
      <c r="CA240" s="90">
        <v>10</v>
      </c>
      <c r="CB240" s="90">
        <v>10</v>
      </c>
      <c r="CC240" s="2" t="e">
        <f t="shared" ca="1" si="22"/>
        <v>#NAME?</v>
      </c>
      <c r="CD240" s="55"/>
      <c r="CE240" s="2"/>
      <c r="CF240" s="2">
        <v>10</v>
      </c>
      <c r="CG240" s="2">
        <v>10</v>
      </c>
      <c r="CH240" s="2">
        <v>9</v>
      </c>
      <c r="CI240" s="2">
        <v>9</v>
      </c>
      <c r="CJ240" s="2">
        <v>10</v>
      </c>
      <c r="CK240" s="2">
        <v>10</v>
      </c>
      <c r="CL240" s="2">
        <v>9</v>
      </c>
      <c r="CM240" s="2">
        <v>9</v>
      </c>
      <c r="CN240" s="2">
        <v>10</v>
      </c>
      <c r="CO240" s="2">
        <v>10</v>
      </c>
      <c r="CP240" s="2" t="e">
        <f t="shared" ca="1" si="23"/>
        <v>#NAME?</v>
      </c>
      <c r="CQ240" s="2">
        <v>9</v>
      </c>
      <c r="CR240" s="2">
        <v>8</v>
      </c>
      <c r="CS240" s="2">
        <v>8</v>
      </c>
      <c r="CT240" s="2">
        <v>9</v>
      </c>
      <c r="CU240" s="2">
        <v>9</v>
      </c>
      <c r="CV240" s="54">
        <f t="shared" si="8"/>
        <v>9</v>
      </c>
      <c r="CW240" s="55"/>
      <c r="CX240" s="3"/>
    </row>
    <row r="241" spans="1:102" ht="16.5" x14ac:dyDescent="0.55000000000000004">
      <c r="A241" s="17">
        <v>4</v>
      </c>
      <c r="B241" s="17" t="s">
        <v>5</v>
      </c>
      <c r="C241" s="23" t="s">
        <v>521</v>
      </c>
      <c r="D241" s="24" t="s">
        <v>522</v>
      </c>
      <c r="E241" s="48"/>
      <c r="F241" s="2">
        <v>6</v>
      </c>
      <c r="G241" s="2">
        <v>4</v>
      </c>
      <c r="H241" s="2">
        <v>4</v>
      </c>
      <c r="I241" s="2">
        <v>4</v>
      </c>
      <c r="J241" s="2">
        <v>4</v>
      </c>
      <c r="K241" s="2">
        <v>4</v>
      </c>
      <c r="L241" s="2">
        <f t="shared" ref="L241:P241" si="95">G241</f>
        <v>4</v>
      </c>
      <c r="M241" s="2">
        <f t="shared" si="95"/>
        <v>4</v>
      </c>
      <c r="N241" s="2">
        <f t="shared" si="95"/>
        <v>4</v>
      </c>
      <c r="O241" s="2">
        <f t="shared" si="95"/>
        <v>4</v>
      </c>
      <c r="P241" s="2">
        <f t="shared" si="95"/>
        <v>4</v>
      </c>
      <c r="Q241" s="2" t="e">
        <f t="shared" ca="1" si="19"/>
        <v>#NAME?</v>
      </c>
      <c r="R241" s="2">
        <v>8</v>
      </c>
      <c r="S241" s="2">
        <v>5</v>
      </c>
      <c r="T241" s="2">
        <v>5</v>
      </c>
      <c r="U241" s="2">
        <v>5</v>
      </c>
      <c r="V241" s="2">
        <v>5</v>
      </c>
      <c r="W241" s="54">
        <f t="shared" si="1"/>
        <v>6</v>
      </c>
      <c r="X241" s="48"/>
      <c r="Y241" s="2"/>
      <c r="Z241" s="2"/>
      <c r="AA241" s="2">
        <v>0</v>
      </c>
      <c r="AB241" s="2">
        <v>0</v>
      </c>
      <c r="AC241" s="2">
        <v>0</v>
      </c>
      <c r="AD241" s="2">
        <v>10</v>
      </c>
      <c r="AE241" s="2">
        <v>10</v>
      </c>
      <c r="AF241" s="2">
        <v>10</v>
      </c>
      <c r="AG241" s="2">
        <v>10</v>
      </c>
      <c r="AH241" s="2">
        <v>10</v>
      </c>
      <c r="AI241" s="2">
        <v>10</v>
      </c>
      <c r="AJ241" s="2">
        <v>10</v>
      </c>
      <c r="AK241" s="3"/>
      <c r="AL241" s="3"/>
      <c r="AM241" s="3"/>
      <c r="AN241" s="3"/>
      <c r="AO241" s="3"/>
      <c r="AP241" s="3"/>
      <c r="AQ241" s="2" t="e">
        <f t="shared" ca="1" si="20"/>
        <v>#NAME?</v>
      </c>
      <c r="AR241" s="2">
        <v>5</v>
      </c>
      <c r="AS241" s="2">
        <v>10</v>
      </c>
      <c r="AT241" s="2">
        <v>10</v>
      </c>
      <c r="AU241" s="2">
        <v>10</v>
      </c>
      <c r="AV241" s="2">
        <v>10</v>
      </c>
      <c r="AW241" s="54">
        <f t="shared" si="3"/>
        <v>9</v>
      </c>
      <c r="AX241" s="48"/>
      <c r="AY241" s="2">
        <v>10</v>
      </c>
      <c r="AZ241" s="2">
        <v>10</v>
      </c>
      <c r="BA241" s="2">
        <v>5</v>
      </c>
      <c r="BB241" s="2">
        <v>5</v>
      </c>
      <c r="BC241" s="2">
        <v>5</v>
      </c>
      <c r="BD241" s="2">
        <v>5</v>
      </c>
      <c r="BE241" s="2">
        <v>5</v>
      </c>
      <c r="BF241" s="2">
        <v>5</v>
      </c>
      <c r="BG241" s="2">
        <v>5</v>
      </c>
      <c r="BH241" s="2">
        <v>5</v>
      </c>
      <c r="BI241" s="57">
        <v>5</v>
      </c>
      <c r="BJ241" s="2" t="e">
        <f t="shared" ca="1" si="21"/>
        <v>#NAME?</v>
      </c>
      <c r="BK241" s="5"/>
      <c r="BL241" s="5"/>
      <c r="BM241" s="5"/>
      <c r="BN241" s="5"/>
      <c r="BO241" s="5"/>
      <c r="BP241" s="54">
        <f t="shared" si="5"/>
        <v>0</v>
      </c>
      <c r="BQ241" s="90">
        <v>7</v>
      </c>
      <c r="BR241" s="7">
        <v>0</v>
      </c>
      <c r="BS241" s="90">
        <v>9</v>
      </c>
      <c r="BT241" s="90">
        <v>9</v>
      </c>
      <c r="BU241" s="90">
        <v>9</v>
      </c>
      <c r="BV241" s="90">
        <v>9</v>
      </c>
      <c r="BW241" s="90">
        <v>9</v>
      </c>
      <c r="BX241" s="90">
        <v>9</v>
      </c>
      <c r="BY241" s="90">
        <v>9</v>
      </c>
      <c r="BZ241" s="90">
        <v>9</v>
      </c>
      <c r="CA241" s="90">
        <v>9</v>
      </c>
      <c r="CB241" s="90">
        <v>9</v>
      </c>
      <c r="CC241" s="2" t="e">
        <f t="shared" ca="1" si="22"/>
        <v>#NAME?</v>
      </c>
      <c r="CD241" s="55"/>
      <c r="CE241" s="2"/>
      <c r="CF241" s="2">
        <v>6</v>
      </c>
      <c r="CG241" s="2">
        <v>6</v>
      </c>
      <c r="CH241" s="2">
        <v>6</v>
      </c>
      <c r="CI241" s="2">
        <v>6</v>
      </c>
      <c r="CJ241" s="2">
        <v>6</v>
      </c>
      <c r="CK241" s="2">
        <v>6</v>
      </c>
      <c r="CL241" s="2">
        <v>6</v>
      </c>
      <c r="CM241" s="2">
        <v>6</v>
      </c>
      <c r="CN241" s="2">
        <v>6</v>
      </c>
      <c r="CO241" s="2">
        <v>6</v>
      </c>
      <c r="CP241" s="2" t="e">
        <f t="shared" ca="1" si="23"/>
        <v>#NAME?</v>
      </c>
      <c r="CQ241" s="2">
        <v>6</v>
      </c>
      <c r="CR241" s="2">
        <v>6</v>
      </c>
      <c r="CS241" s="2">
        <v>6</v>
      </c>
      <c r="CT241" s="2">
        <v>6</v>
      </c>
      <c r="CU241" s="2">
        <v>6</v>
      </c>
      <c r="CV241" s="54">
        <f t="shared" si="8"/>
        <v>6</v>
      </c>
      <c r="CW241" s="55"/>
      <c r="CX241" s="3"/>
    </row>
    <row r="242" spans="1:102" ht="16.5" x14ac:dyDescent="0.55000000000000004">
      <c r="A242" s="17">
        <v>4</v>
      </c>
      <c r="B242" s="17" t="s">
        <v>5</v>
      </c>
      <c r="C242" s="23" t="s">
        <v>523</v>
      </c>
      <c r="D242" s="24" t="s">
        <v>524</v>
      </c>
      <c r="E242" s="48"/>
      <c r="F242" s="2">
        <v>14</v>
      </c>
      <c r="G242" s="2">
        <v>10</v>
      </c>
      <c r="H242" s="2">
        <v>10</v>
      </c>
      <c r="I242" s="2">
        <v>10</v>
      </c>
      <c r="J242" s="2">
        <v>10</v>
      </c>
      <c r="K242" s="2">
        <v>10</v>
      </c>
      <c r="L242" s="2">
        <f t="shared" ref="L242:P242" si="96">G242</f>
        <v>10</v>
      </c>
      <c r="M242" s="2">
        <f t="shared" si="96"/>
        <v>10</v>
      </c>
      <c r="N242" s="2">
        <f t="shared" si="96"/>
        <v>10</v>
      </c>
      <c r="O242" s="2">
        <f t="shared" si="96"/>
        <v>10</v>
      </c>
      <c r="P242" s="2">
        <f t="shared" si="96"/>
        <v>10</v>
      </c>
      <c r="Q242" s="2" t="e">
        <f t="shared" ca="1" si="19"/>
        <v>#NAME?</v>
      </c>
      <c r="R242" s="2">
        <v>10</v>
      </c>
      <c r="S242" s="2">
        <v>10</v>
      </c>
      <c r="T242" s="2">
        <v>10</v>
      </c>
      <c r="U242" s="2">
        <v>10</v>
      </c>
      <c r="V242" s="2">
        <v>10</v>
      </c>
      <c r="W242" s="54">
        <f t="shared" si="1"/>
        <v>10</v>
      </c>
      <c r="X242" s="48"/>
      <c r="Y242" s="2"/>
      <c r="Z242" s="2"/>
      <c r="AA242" s="2">
        <v>10</v>
      </c>
      <c r="AB242" s="2">
        <v>10</v>
      </c>
      <c r="AC242" s="2">
        <v>10</v>
      </c>
      <c r="AD242" s="2">
        <v>10</v>
      </c>
      <c r="AE242" s="2">
        <v>10</v>
      </c>
      <c r="AF242" s="2">
        <v>10</v>
      </c>
      <c r="AG242" s="2">
        <v>10</v>
      </c>
      <c r="AH242" s="2">
        <v>10</v>
      </c>
      <c r="AI242" s="2">
        <v>10</v>
      </c>
      <c r="AJ242" s="2">
        <v>10</v>
      </c>
      <c r="AK242" s="3"/>
      <c r="AL242" s="3"/>
      <c r="AM242" s="3"/>
      <c r="AN242" s="3"/>
      <c r="AO242" s="3"/>
      <c r="AP242" s="3"/>
      <c r="AQ242" s="2" t="e">
        <f t="shared" ca="1" si="20"/>
        <v>#NAME?</v>
      </c>
      <c r="AR242" s="2">
        <v>10</v>
      </c>
      <c r="AS242" s="2">
        <v>10</v>
      </c>
      <c r="AT242" s="2">
        <v>10</v>
      </c>
      <c r="AU242" s="2">
        <v>10</v>
      </c>
      <c r="AV242" s="2">
        <v>10</v>
      </c>
      <c r="AW242" s="54">
        <f t="shared" si="3"/>
        <v>10</v>
      </c>
      <c r="AX242" s="48">
        <v>8</v>
      </c>
      <c r="AY242" s="2">
        <v>7</v>
      </c>
      <c r="AZ242" s="2">
        <v>10</v>
      </c>
      <c r="BA242" s="2">
        <v>10</v>
      </c>
      <c r="BB242" s="2">
        <v>10</v>
      </c>
      <c r="BC242" s="2">
        <v>10</v>
      </c>
      <c r="BD242" s="2">
        <v>10</v>
      </c>
      <c r="BE242" s="2">
        <v>5</v>
      </c>
      <c r="BF242" s="2">
        <v>6</v>
      </c>
      <c r="BG242" s="2">
        <v>78</v>
      </c>
      <c r="BH242" s="2">
        <v>7</v>
      </c>
      <c r="BI242" s="57">
        <v>7</v>
      </c>
      <c r="BJ242" s="2" t="e">
        <f t="shared" ca="1" si="21"/>
        <v>#NAME?</v>
      </c>
      <c r="BK242" s="5">
        <v>10</v>
      </c>
      <c r="BL242" s="5">
        <v>10</v>
      </c>
      <c r="BM242" s="5">
        <v>10</v>
      </c>
      <c r="BN242" s="5">
        <v>10</v>
      </c>
      <c r="BO242" s="5">
        <v>10</v>
      </c>
      <c r="BP242" s="54">
        <f t="shared" si="5"/>
        <v>10</v>
      </c>
      <c r="BQ242" s="90">
        <v>3</v>
      </c>
      <c r="BR242" s="90">
        <v>9</v>
      </c>
      <c r="BS242" s="90">
        <v>10</v>
      </c>
      <c r="BT242" s="90">
        <v>10</v>
      </c>
      <c r="BU242" s="90">
        <v>10</v>
      </c>
      <c r="BV242" s="90">
        <v>10</v>
      </c>
      <c r="BW242" s="90">
        <v>10</v>
      </c>
      <c r="BX242" s="90">
        <v>10</v>
      </c>
      <c r="BY242" s="90">
        <v>10</v>
      </c>
      <c r="BZ242" s="90">
        <v>10</v>
      </c>
      <c r="CA242" s="90">
        <v>10</v>
      </c>
      <c r="CB242" s="90">
        <v>10</v>
      </c>
      <c r="CC242" s="2" t="e">
        <f t="shared" ca="1" si="22"/>
        <v>#NAME?</v>
      </c>
      <c r="CD242" s="55"/>
      <c r="CE242" s="2"/>
      <c r="CF242" s="2">
        <v>8</v>
      </c>
      <c r="CG242" s="2">
        <v>8</v>
      </c>
      <c r="CH242" s="2">
        <v>8</v>
      </c>
      <c r="CI242" s="2">
        <v>8</v>
      </c>
      <c r="CJ242" s="2">
        <v>8</v>
      </c>
      <c r="CK242" s="2">
        <v>8</v>
      </c>
      <c r="CL242" s="2">
        <v>8</v>
      </c>
      <c r="CM242" s="2">
        <v>8</v>
      </c>
      <c r="CN242" s="2">
        <v>8</v>
      </c>
      <c r="CO242" s="2">
        <v>8</v>
      </c>
      <c r="CP242" s="2" t="e">
        <f t="shared" ca="1" si="23"/>
        <v>#NAME?</v>
      </c>
      <c r="CQ242" s="2">
        <v>8</v>
      </c>
      <c r="CR242" s="2">
        <v>8</v>
      </c>
      <c r="CS242" s="2">
        <v>8</v>
      </c>
      <c r="CT242" s="2">
        <v>8</v>
      </c>
      <c r="CU242" s="2">
        <v>8</v>
      </c>
      <c r="CV242" s="54">
        <f t="shared" si="8"/>
        <v>8</v>
      </c>
      <c r="CW242" s="55"/>
      <c r="CX242" s="3"/>
    </row>
    <row r="243" spans="1:102" ht="16.5" x14ac:dyDescent="0.55000000000000004">
      <c r="A243" s="17">
        <v>4</v>
      </c>
      <c r="B243" s="17" t="s">
        <v>5</v>
      </c>
      <c r="C243" s="23" t="s">
        <v>525</v>
      </c>
      <c r="D243" s="24" t="s">
        <v>526</v>
      </c>
      <c r="E243" s="48"/>
      <c r="F243" s="2">
        <v>10</v>
      </c>
      <c r="G243" s="2">
        <v>6</v>
      </c>
      <c r="H243" s="2">
        <v>5</v>
      </c>
      <c r="I243" s="2">
        <v>5</v>
      </c>
      <c r="J243" s="2">
        <v>5</v>
      </c>
      <c r="K243" s="2">
        <v>5</v>
      </c>
      <c r="L243" s="2">
        <f t="shared" ref="L243:P243" si="97">G243</f>
        <v>6</v>
      </c>
      <c r="M243" s="2">
        <f t="shared" si="97"/>
        <v>5</v>
      </c>
      <c r="N243" s="2">
        <f t="shared" si="97"/>
        <v>5</v>
      </c>
      <c r="O243" s="2">
        <f t="shared" si="97"/>
        <v>5</v>
      </c>
      <c r="P243" s="2">
        <f t="shared" si="97"/>
        <v>5</v>
      </c>
      <c r="Q243" s="2" t="e">
        <f t="shared" ca="1" si="19"/>
        <v>#NAME?</v>
      </c>
      <c r="R243" s="2">
        <v>8</v>
      </c>
      <c r="S243" s="2">
        <v>0</v>
      </c>
      <c r="T243" s="2">
        <v>0</v>
      </c>
      <c r="U243" s="2">
        <v>0</v>
      </c>
      <c r="V243" s="2">
        <v>0</v>
      </c>
      <c r="W243" s="54">
        <f t="shared" si="1"/>
        <v>2</v>
      </c>
      <c r="X243" s="48"/>
      <c r="Y243" s="2"/>
      <c r="Z243" s="2"/>
      <c r="AA243" s="2">
        <v>0</v>
      </c>
      <c r="AB243" s="2">
        <v>0</v>
      </c>
      <c r="AC243" s="2">
        <v>0</v>
      </c>
      <c r="AD243" s="2">
        <v>10</v>
      </c>
      <c r="AE243" s="2">
        <v>10</v>
      </c>
      <c r="AF243" s="2">
        <v>10</v>
      </c>
      <c r="AG243" s="2">
        <v>10</v>
      </c>
      <c r="AH243" s="2">
        <v>10</v>
      </c>
      <c r="AI243" s="2">
        <v>10</v>
      </c>
      <c r="AJ243" s="2">
        <v>10</v>
      </c>
      <c r="AK243" s="3"/>
      <c r="AL243" s="3"/>
      <c r="AM243" s="3"/>
      <c r="AN243" s="3"/>
      <c r="AO243" s="3"/>
      <c r="AP243" s="3"/>
      <c r="AQ243" s="2" t="e">
        <f t="shared" ca="1" si="20"/>
        <v>#NAME?</v>
      </c>
      <c r="AR243" s="2">
        <v>5</v>
      </c>
      <c r="AS243" s="2">
        <v>10</v>
      </c>
      <c r="AT243" s="2">
        <v>10</v>
      </c>
      <c r="AU243" s="2">
        <v>10</v>
      </c>
      <c r="AV243" s="2">
        <v>10</v>
      </c>
      <c r="AW243" s="54">
        <f t="shared" si="3"/>
        <v>9</v>
      </c>
      <c r="AX243" s="48">
        <v>6</v>
      </c>
      <c r="AY243" s="2">
        <v>6</v>
      </c>
      <c r="AZ243" s="2">
        <v>6</v>
      </c>
      <c r="BA243" s="2">
        <v>7</v>
      </c>
      <c r="BB243" s="2">
        <v>8</v>
      </c>
      <c r="BC243" s="2">
        <v>8</v>
      </c>
      <c r="BD243" s="2">
        <v>8</v>
      </c>
      <c r="BE243" s="2">
        <v>8</v>
      </c>
      <c r="BF243" s="2">
        <v>8</v>
      </c>
      <c r="BG243" s="2">
        <v>8</v>
      </c>
      <c r="BH243" s="2">
        <v>8</v>
      </c>
      <c r="BI243" s="57">
        <v>8</v>
      </c>
      <c r="BJ243" s="2" t="e">
        <f t="shared" ca="1" si="21"/>
        <v>#NAME?</v>
      </c>
      <c r="BK243" s="5">
        <v>8</v>
      </c>
      <c r="BL243" s="5">
        <v>8</v>
      </c>
      <c r="BM243" s="5">
        <v>8</v>
      </c>
      <c r="BN243" s="5">
        <v>8</v>
      </c>
      <c r="BO243" s="5">
        <v>8</v>
      </c>
      <c r="BP243" s="54">
        <f t="shared" si="5"/>
        <v>8</v>
      </c>
      <c r="BQ243" s="90">
        <v>8</v>
      </c>
      <c r="BR243" s="7">
        <v>0</v>
      </c>
      <c r="BS243" s="90">
        <v>9</v>
      </c>
      <c r="BT243" s="90">
        <v>9</v>
      </c>
      <c r="BU243" s="90">
        <v>9</v>
      </c>
      <c r="BV243" s="90">
        <v>9</v>
      </c>
      <c r="BW243" s="90">
        <v>9</v>
      </c>
      <c r="BX243" s="90">
        <v>9</v>
      </c>
      <c r="BY243" s="90">
        <v>9</v>
      </c>
      <c r="BZ243" s="90">
        <v>9</v>
      </c>
      <c r="CA243" s="90">
        <v>9</v>
      </c>
      <c r="CB243" s="90">
        <v>9</v>
      </c>
      <c r="CC243" s="2" t="e">
        <f t="shared" ca="1" si="22"/>
        <v>#NAME?</v>
      </c>
      <c r="CD243" s="55"/>
      <c r="CE243" s="2"/>
      <c r="CF243" s="2">
        <v>8</v>
      </c>
      <c r="CG243" s="2">
        <v>8</v>
      </c>
      <c r="CH243" s="2">
        <v>8</v>
      </c>
      <c r="CI243" s="2">
        <v>8</v>
      </c>
      <c r="CJ243" s="2">
        <v>8</v>
      </c>
      <c r="CK243" s="2">
        <v>8</v>
      </c>
      <c r="CL243" s="2">
        <v>8</v>
      </c>
      <c r="CM243" s="2">
        <v>8</v>
      </c>
      <c r="CN243" s="2">
        <v>8</v>
      </c>
      <c r="CO243" s="2">
        <v>8</v>
      </c>
      <c r="CP243" s="2" t="e">
        <f t="shared" ca="1" si="23"/>
        <v>#NAME?</v>
      </c>
      <c r="CQ243" s="2">
        <v>8</v>
      </c>
      <c r="CR243" s="2">
        <v>8</v>
      </c>
      <c r="CS243" s="2">
        <v>8</v>
      </c>
      <c r="CT243" s="2">
        <v>8</v>
      </c>
      <c r="CU243" s="2">
        <v>8</v>
      </c>
      <c r="CV243" s="54">
        <f t="shared" si="8"/>
        <v>8</v>
      </c>
      <c r="CW243" s="55"/>
      <c r="CX243" s="3"/>
    </row>
    <row r="244" spans="1:102" ht="16.5" x14ac:dyDescent="0.55000000000000004">
      <c r="A244" s="17">
        <v>4</v>
      </c>
      <c r="B244" s="17" t="s">
        <v>5</v>
      </c>
      <c r="C244" s="23" t="s">
        <v>527</v>
      </c>
      <c r="D244" s="24" t="s">
        <v>528</v>
      </c>
      <c r="E244" s="48"/>
      <c r="F244" s="2">
        <v>16</v>
      </c>
      <c r="G244" s="2">
        <v>6</v>
      </c>
      <c r="H244" s="2">
        <v>6</v>
      </c>
      <c r="I244" s="2">
        <v>6</v>
      </c>
      <c r="J244" s="2">
        <v>6</v>
      </c>
      <c r="K244" s="2">
        <v>6</v>
      </c>
      <c r="L244" s="2">
        <f t="shared" ref="L244:P244" si="98">G244</f>
        <v>6</v>
      </c>
      <c r="M244" s="2">
        <f t="shared" si="98"/>
        <v>6</v>
      </c>
      <c r="N244" s="2">
        <f t="shared" si="98"/>
        <v>6</v>
      </c>
      <c r="O244" s="2">
        <f t="shared" si="98"/>
        <v>6</v>
      </c>
      <c r="P244" s="2">
        <f t="shared" si="98"/>
        <v>6</v>
      </c>
      <c r="Q244" s="2" t="e">
        <f t="shared" ca="1" si="19"/>
        <v>#NAME?</v>
      </c>
      <c r="R244" s="2">
        <v>10</v>
      </c>
      <c r="S244" s="2">
        <v>10</v>
      </c>
      <c r="T244" s="2">
        <v>10</v>
      </c>
      <c r="U244" s="2">
        <v>10</v>
      </c>
      <c r="V244" s="2">
        <v>10</v>
      </c>
      <c r="W244" s="54">
        <f t="shared" si="1"/>
        <v>10</v>
      </c>
      <c r="X244" s="48"/>
      <c r="Y244" s="2"/>
      <c r="Z244" s="2"/>
      <c r="AA244" s="2">
        <v>10</v>
      </c>
      <c r="AB244" s="2">
        <v>10</v>
      </c>
      <c r="AC244" s="2">
        <v>0</v>
      </c>
      <c r="AD244" s="2">
        <v>0</v>
      </c>
      <c r="AE244" s="2">
        <v>0</v>
      </c>
      <c r="AF244" s="2">
        <v>10</v>
      </c>
      <c r="AG244" s="2">
        <v>10</v>
      </c>
      <c r="AH244" s="2">
        <v>10</v>
      </c>
      <c r="AI244" s="2">
        <v>10</v>
      </c>
      <c r="AJ244" s="2">
        <v>10</v>
      </c>
      <c r="AK244" s="3"/>
      <c r="AL244" s="3"/>
      <c r="AM244" s="3"/>
      <c r="AN244" s="3"/>
      <c r="AO244" s="3"/>
      <c r="AP244" s="3"/>
      <c r="AQ244" s="2" t="e">
        <f t="shared" ca="1" si="20"/>
        <v>#NAME?</v>
      </c>
      <c r="AR244" s="2">
        <v>10</v>
      </c>
      <c r="AS244" s="2">
        <v>10</v>
      </c>
      <c r="AT244" s="2">
        <v>10</v>
      </c>
      <c r="AU244" s="2">
        <v>10</v>
      </c>
      <c r="AV244" s="2">
        <v>10</v>
      </c>
      <c r="AW244" s="54">
        <f t="shared" si="3"/>
        <v>10</v>
      </c>
      <c r="AX244" s="48">
        <v>5</v>
      </c>
      <c r="AY244" s="2">
        <v>5</v>
      </c>
      <c r="AZ244" s="2">
        <v>8</v>
      </c>
      <c r="BA244" s="2">
        <v>8</v>
      </c>
      <c r="BB244" s="2">
        <v>8</v>
      </c>
      <c r="BC244" s="2">
        <v>8</v>
      </c>
      <c r="BD244" s="2">
        <v>8</v>
      </c>
      <c r="BE244" s="2">
        <v>8</v>
      </c>
      <c r="BF244" s="2">
        <v>8</v>
      </c>
      <c r="BG244" s="2">
        <v>8</v>
      </c>
      <c r="BH244" s="2">
        <v>8</v>
      </c>
      <c r="BI244" s="57">
        <v>8</v>
      </c>
      <c r="BJ244" s="2" t="e">
        <f t="shared" ca="1" si="21"/>
        <v>#NAME?</v>
      </c>
      <c r="BK244" s="5">
        <v>10</v>
      </c>
      <c r="BL244" s="5">
        <v>10</v>
      </c>
      <c r="BM244" s="5">
        <v>10</v>
      </c>
      <c r="BN244" s="5">
        <v>10</v>
      </c>
      <c r="BO244" s="5">
        <v>10</v>
      </c>
      <c r="BP244" s="54">
        <f t="shared" si="5"/>
        <v>10</v>
      </c>
      <c r="BQ244" s="90">
        <v>14</v>
      </c>
      <c r="BR244" s="7">
        <v>0</v>
      </c>
      <c r="BS244" s="90">
        <v>10</v>
      </c>
      <c r="BT244" s="90">
        <v>10</v>
      </c>
      <c r="BU244" s="90">
        <v>10</v>
      </c>
      <c r="BV244" s="90">
        <v>10</v>
      </c>
      <c r="BW244" s="90">
        <v>10</v>
      </c>
      <c r="BX244" s="90">
        <v>10</v>
      </c>
      <c r="BY244" s="90">
        <v>10</v>
      </c>
      <c r="BZ244" s="90">
        <v>10</v>
      </c>
      <c r="CA244" s="90">
        <v>10</v>
      </c>
      <c r="CB244" s="90">
        <v>10</v>
      </c>
      <c r="CC244" s="2" t="e">
        <f t="shared" ca="1" si="22"/>
        <v>#NAME?</v>
      </c>
      <c r="CD244" s="55"/>
      <c r="CE244" s="2"/>
      <c r="CF244" s="2">
        <v>8</v>
      </c>
      <c r="CG244" s="2">
        <v>8</v>
      </c>
      <c r="CH244" s="2">
        <v>8</v>
      </c>
      <c r="CI244" s="2">
        <v>8</v>
      </c>
      <c r="CJ244" s="2">
        <v>8</v>
      </c>
      <c r="CK244" s="2">
        <v>8</v>
      </c>
      <c r="CL244" s="2">
        <v>8</v>
      </c>
      <c r="CM244" s="2">
        <v>8</v>
      </c>
      <c r="CN244" s="2">
        <v>8</v>
      </c>
      <c r="CO244" s="2">
        <v>8</v>
      </c>
      <c r="CP244" s="2" t="e">
        <f t="shared" ca="1" si="23"/>
        <v>#NAME?</v>
      </c>
      <c r="CQ244" s="2">
        <v>8</v>
      </c>
      <c r="CR244" s="2">
        <v>8</v>
      </c>
      <c r="CS244" s="2">
        <v>8</v>
      </c>
      <c r="CT244" s="2">
        <v>8</v>
      </c>
      <c r="CU244" s="2">
        <v>8</v>
      </c>
      <c r="CV244" s="54">
        <f t="shared" si="8"/>
        <v>8</v>
      </c>
      <c r="CW244" s="55"/>
      <c r="CX244" s="3"/>
    </row>
    <row r="245" spans="1:102" ht="16.5" x14ac:dyDescent="0.55000000000000004">
      <c r="A245" s="17">
        <v>4</v>
      </c>
      <c r="B245" s="17" t="s">
        <v>5</v>
      </c>
      <c r="C245" s="23" t="s">
        <v>529</v>
      </c>
      <c r="D245" s="24" t="s">
        <v>530</v>
      </c>
      <c r="E245" s="48"/>
      <c r="F245" s="2">
        <v>7</v>
      </c>
      <c r="G245" s="2">
        <v>7</v>
      </c>
      <c r="H245" s="2">
        <v>7</v>
      </c>
      <c r="I245" s="2">
        <v>7</v>
      </c>
      <c r="J245" s="2">
        <v>7</v>
      </c>
      <c r="K245" s="2">
        <v>7</v>
      </c>
      <c r="L245" s="2">
        <f t="shared" ref="L245:P245" si="99">G245</f>
        <v>7</v>
      </c>
      <c r="M245" s="2">
        <f t="shared" si="99"/>
        <v>7</v>
      </c>
      <c r="N245" s="2">
        <f t="shared" si="99"/>
        <v>7</v>
      </c>
      <c r="O245" s="2">
        <f t="shared" si="99"/>
        <v>7</v>
      </c>
      <c r="P245" s="2">
        <f t="shared" si="99"/>
        <v>7</v>
      </c>
      <c r="Q245" s="2" t="e">
        <f t="shared" ca="1" si="19"/>
        <v>#NAME?</v>
      </c>
      <c r="R245" s="2">
        <v>8</v>
      </c>
      <c r="S245" s="2">
        <v>8</v>
      </c>
      <c r="T245" s="2">
        <v>8</v>
      </c>
      <c r="U245" s="2">
        <v>9</v>
      </c>
      <c r="V245" s="2">
        <v>9</v>
      </c>
      <c r="W245" s="54">
        <f t="shared" si="1"/>
        <v>9</v>
      </c>
      <c r="X245" s="48"/>
      <c r="Y245" s="2"/>
      <c r="Z245" s="2"/>
      <c r="AA245" s="2">
        <v>0</v>
      </c>
      <c r="AB245" s="2">
        <v>0</v>
      </c>
      <c r="AC245" s="2">
        <v>0</v>
      </c>
      <c r="AD245" s="2">
        <v>10</v>
      </c>
      <c r="AE245" s="2">
        <v>10</v>
      </c>
      <c r="AF245" s="2">
        <v>10</v>
      </c>
      <c r="AG245" s="2">
        <v>10</v>
      </c>
      <c r="AH245" s="2">
        <v>10</v>
      </c>
      <c r="AI245" s="2">
        <v>10</v>
      </c>
      <c r="AJ245" s="2">
        <v>10</v>
      </c>
      <c r="AK245" s="3"/>
      <c r="AL245" s="3"/>
      <c r="AM245" s="3"/>
      <c r="AN245" s="3"/>
      <c r="AO245" s="3"/>
      <c r="AP245" s="3"/>
      <c r="AQ245" s="2" t="e">
        <f t="shared" ca="1" si="20"/>
        <v>#NAME?</v>
      </c>
      <c r="AR245" s="2">
        <v>5</v>
      </c>
      <c r="AS245" s="2">
        <v>10</v>
      </c>
      <c r="AT245" s="2">
        <v>10</v>
      </c>
      <c r="AU245" s="2">
        <v>10</v>
      </c>
      <c r="AV245" s="2">
        <v>10</v>
      </c>
      <c r="AW245" s="54">
        <f t="shared" si="3"/>
        <v>9</v>
      </c>
      <c r="AX245" s="48">
        <v>8</v>
      </c>
      <c r="AY245" s="2">
        <v>8</v>
      </c>
      <c r="AZ245" s="2">
        <v>8</v>
      </c>
      <c r="BA245" s="2">
        <v>8</v>
      </c>
      <c r="BB245" s="2">
        <v>8</v>
      </c>
      <c r="BC245" s="2">
        <v>8</v>
      </c>
      <c r="BD245" s="2">
        <v>8</v>
      </c>
      <c r="BE245" s="2">
        <v>8</v>
      </c>
      <c r="BF245" s="2">
        <v>8</v>
      </c>
      <c r="BG245" s="2">
        <v>8</v>
      </c>
      <c r="BH245" s="2">
        <v>8</v>
      </c>
      <c r="BI245" s="57">
        <v>8</v>
      </c>
      <c r="BJ245" s="2" t="e">
        <f t="shared" ca="1" si="21"/>
        <v>#NAME?</v>
      </c>
      <c r="BK245" s="5">
        <v>8</v>
      </c>
      <c r="BL245" s="5">
        <v>8</v>
      </c>
      <c r="BM245" s="5">
        <v>8</v>
      </c>
      <c r="BN245" s="5">
        <v>8</v>
      </c>
      <c r="BO245" s="5">
        <v>8</v>
      </c>
      <c r="BP245" s="54">
        <f t="shared" si="5"/>
        <v>8</v>
      </c>
      <c r="BQ245" s="90">
        <v>10</v>
      </c>
      <c r="BR245" s="7">
        <v>0</v>
      </c>
      <c r="BS245" s="90">
        <v>9</v>
      </c>
      <c r="BT245" s="90">
        <v>9</v>
      </c>
      <c r="BU245" s="90">
        <v>9</v>
      </c>
      <c r="BV245" s="90">
        <v>9</v>
      </c>
      <c r="BW245" s="90">
        <v>9</v>
      </c>
      <c r="BX245" s="90">
        <v>9</v>
      </c>
      <c r="BY245" s="90">
        <v>9</v>
      </c>
      <c r="BZ245" s="90">
        <v>9</v>
      </c>
      <c r="CA245" s="90">
        <v>9</v>
      </c>
      <c r="CB245" s="90">
        <v>9</v>
      </c>
      <c r="CC245" s="2" t="e">
        <f t="shared" ca="1" si="22"/>
        <v>#NAME?</v>
      </c>
      <c r="CD245" s="55"/>
      <c r="CE245" s="2"/>
      <c r="CF245" s="2">
        <v>6</v>
      </c>
      <c r="CG245" s="2">
        <v>6</v>
      </c>
      <c r="CH245" s="2">
        <v>6</v>
      </c>
      <c r="CI245" s="2">
        <v>6</v>
      </c>
      <c r="CJ245" s="2">
        <v>6</v>
      </c>
      <c r="CK245" s="2">
        <v>6</v>
      </c>
      <c r="CL245" s="2">
        <v>6</v>
      </c>
      <c r="CM245" s="2">
        <v>6</v>
      </c>
      <c r="CN245" s="2">
        <v>6</v>
      </c>
      <c r="CO245" s="2">
        <v>6</v>
      </c>
      <c r="CP245" s="2" t="e">
        <f t="shared" ca="1" si="23"/>
        <v>#NAME?</v>
      </c>
      <c r="CQ245" s="2">
        <v>6</v>
      </c>
      <c r="CR245" s="2">
        <v>6</v>
      </c>
      <c r="CS245" s="2">
        <v>6</v>
      </c>
      <c r="CT245" s="2">
        <v>6</v>
      </c>
      <c r="CU245" s="2">
        <v>6</v>
      </c>
      <c r="CV245" s="54">
        <f t="shared" si="8"/>
        <v>6</v>
      </c>
      <c r="CW245" s="55"/>
      <c r="CX245" s="3"/>
    </row>
    <row r="246" spans="1:102" ht="16.5" x14ac:dyDescent="0.55000000000000004">
      <c r="A246" s="17">
        <v>4</v>
      </c>
      <c r="B246" s="17" t="s">
        <v>5</v>
      </c>
      <c r="C246" s="23" t="s">
        <v>531</v>
      </c>
      <c r="D246" s="24" t="s">
        <v>532</v>
      </c>
      <c r="E246" s="48"/>
      <c r="F246" s="2">
        <v>8</v>
      </c>
      <c r="G246" s="2">
        <v>9</v>
      </c>
      <c r="H246" s="2">
        <v>9</v>
      </c>
      <c r="I246" s="2">
        <v>9</v>
      </c>
      <c r="J246" s="2">
        <v>8</v>
      </c>
      <c r="K246" s="2">
        <v>8</v>
      </c>
      <c r="L246" s="2">
        <f t="shared" ref="L246:P246" si="100">G246</f>
        <v>9</v>
      </c>
      <c r="M246" s="2">
        <f t="shared" si="100"/>
        <v>9</v>
      </c>
      <c r="N246" s="2">
        <f t="shared" si="100"/>
        <v>9</v>
      </c>
      <c r="O246" s="2">
        <f t="shared" si="100"/>
        <v>8</v>
      </c>
      <c r="P246" s="2">
        <f t="shared" si="100"/>
        <v>8</v>
      </c>
      <c r="Q246" s="2" t="e">
        <f t="shared" ca="1" si="19"/>
        <v>#NAME?</v>
      </c>
      <c r="R246" s="2">
        <v>10</v>
      </c>
      <c r="S246" s="2">
        <v>10</v>
      </c>
      <c r="T246" s="2">
        <v>9</v>
      </c>
      <c r="U246" s="2">
        <v>10</v>
      </c>
      <c r="V246" s="2">
        <v>10</v>
      </c>
      <c r="W246" s="54">
        <f t="shared" si="1"/>
        <v>10</v>
      </c>
      <c r="X246" s="48"/>
      <c r="Y246" s="2"/>
      <c r="Z246" s="2"/>
      <c r="AA246" s="2">
        <v>10</v>
      </c>
      <c r="AB246" s="2">
        <v>10</v>
      </c>
      <c r="AC246" s="2">
        <v>10</v>
      </c>
      <c r="AD246" s="2">
        <v>10</v>
      </c>
      <c r="AE246" s="2">
        <v>10</v>
      </c>
      <c r="AF246" s="2">
        <v>10</v>
      </c>
      <c r="AG246" s="2">
        <v>10</v>
      </c>
      <c r="AH246" s="2">
        <v>10</v>
      </c>
      <c r="AI246" s="2">
        <v>10</v>
      </c>
      <c r="AJ246" s="2">
        <v>10</v>
      </c>
      <c r="AK246" s="3"/>
      <c r="AL246" s="3"/>
      <c r="AM246" s="3"/>
      <c r="AN246" s="3"/>
      <c r="AO246" s="3"/>
      <c r="AP246" s="3"/>
      <c r="AQ246" s="2" t="e">
        <f t="shared" ca="1" si="20"/>
        <v>#NAME?</v>
      </c>
      <c r="AR246" s="2">
        <v>10</v>
      </c>
      <c r="AS246" s="2">
        <v>10</v>
      </c>
      <c r="AT246" s="2">
        <v>10</v>
      </c>
      <c r="AU246" s="2">
        <v>10</v>
      </c>
      <c r="AV246" s="2">
        <v>10</v>
      </c>
      <c r="AW246" s="54">
        <f t="shared" si="3"/>
        <v>10</v>
      </c>
      <c r="AX246" s="48">
        <v>8</v>
      </c>
      <c r="AY246" s="2">
        <v>7</v>
      </c>
      <c r="AZ246" s="2">
        <v>10</v>
      </c>
      <c r="BA246" s="2">
        <v>10</v>
      </c>
      <c r="BB246" s="2">
        <v>10</v>
      </c>
      <c r="BC246" s="2">
        <v>10</v>
      </c>
      <c r="BD246" s="2">
        <v>10</v>
      </c>
      <c r="BE246" s="2">
        <v>10</v>
      </c>
      <c r="BF246" s="2">
        <v>10</v>
      </c>
      <c r="BG246" s="2">
        <v>10</v>
      </c>
      <c r="BH246" s="2">
        <v>0</v>
      </c>
      <c r="BI246" s="57">
        <v>0</v>
      </c>
      <c r="BJ246" s="2" t="e">
        <f t="shared" ca="1" si="21"/>
        <v>#NAME?</v>
      </c>
      <c r="BK246" s="5">
        <v>10</v>
      </c>
      <c r="BL246" s="5">
        <v>10</v>
      </c>
      <c r="BM246" s="5">
        <v>10</v>
      </c>
      <c r="BN246" s="5">
        <v>10</v>
      </c>
      <c r="BO246" s="5">
        <v>10</v>
      </c>
      <c r="BP246" s="54">
        <f t="shared" si="5"/>
        <v>10</v>
      </c>
      <c r="BQ246" s="90">
        <v>10</v>
      </c>
      <c r="BR246" s="90">
        <v>4</v>
      </c>
      <c r="BS246" s="90">
        <v>10</v>
      </c>
      <c r="BT246" s="90">
        <v>10</v>
      </c>
      <c r="BU246" s="90">
        <v>10</v>
      </c>
      <c r="BV246" s="90">
        <v>10</v>
      </c>
      <c r="BW246" s="90">
        <v>10</v>
      </c>
      <c r="BX246" s="90">
        <v>10</v>
      </c>
      <c r="BY246" s="90">
        <v>10</v>
      </c>
      <c r="BZ246" s="90">
        <v>10</v>
      </c>
      <c r="CA246" s="90">
        <v>10</v>
      </c>
      <c r="CB246" s="90">
        <v>10</v>
      </c>
      <c r="CC246" s="2" t="e">
        <f t="shared" ca="1" si="22"/>
        <v>#NAME?</v>
      </c>
      <c r="CD246" s="55"/>
      <c r="CE246" s="2"/>
      <c r="CF246" s="2">
        <v>8</v>
      </c>
      <c r="CG246" s="2">
        <v>8</v>
      </c>
      <c r="CH246" s="2">
        <v>7</v>
      </c>
      <c r="CI246" s="2">
        <v>7</v>
      </c>
      <c r="CJ246" s="2">
        <v>8</v>
      </c>
      <c r="CK246" s="2">
        <v>8</v>
      </c>
      <c r="CL246" s="2">
        <v>8</v>
      </c>
      <c r="CM246" s="2">
        <v>8</v>
      </c>
      <c r="CN246" s="2">
        <v>7</v>
      </c>
      <c r="CO246" s="2">
        <v>8</v>
      </c>
      <c r="CP246" s="2" t="e">
        <f t="shared" ca="1" si="23"/>
        <v>#NAME?</v>
      </c>
      <c r="CQ246" s="2">
        <v>8</v>
      </c>
      <c r="CR246" s="2">
        <v>8</v>
      </c>
      <c r="CS246" s="2">
        <v>8</v>
      </c>
      <c r="CT246" s="2">
        <v>8</v>
      </c>
      <c r="CU246" s="2">
        <v>8</v>
      </c>
      <c r="CV246" s="54">
        <f t="shared" si="8"/>
        <v>8</v>
      </c>
      <c r="CW246" s="55"/>
      <c r="CX246" s="3"/>
    </row>
    <row r="247" spans="1:102" ht="16.5" x14ac:dyDescent="0.55000000000000004">
      <c r="A247" s="17">
        <v>4</v>
      </c>
      <c r="B247" s="17" t="s">
        <v>5</v>
      </c>
      <c r="C247" s="23" t="s">
        <v>533</v>
      </c>
      <c r="D247" s="24" t="s">
        <v>534</v>
      </c>
      <c r="E247" s="48"/>
      <c r="F247" s="2">
        <v>19</v>
      </c>
      <c r="G247" s="2">
        <v>10</v>
      </c>
      <c r="H247" s="2">
        <v>10</v>
      </c>
      <c r="I247" s="2">
        <v>10</v>
      </c>
      <c r="J247" s="2">
        <v>10</v>
      </c>
      <c r="K247" s="2">
        <v>10</v>
      </c>
      <c r="L247" s="2">
        <f t="shared" ref="L247:P247" si="101">G247</f>
        <v>10</v>
      </c>
      <c r="M247" s="2">
        <f t="shared" si="101"/>
        <v>10</v>
      </c>
      <c r="N247" s="2">
        <f t="shared" si="101"/>
        <v>10</v>
      </c>
      <c r="O247" s="2">
        <f t="shared" si="101"/>
        <v>10</v>
      </c>
      <c r="P247" s="2">
        <f t="shared" si="101"/>
        <v>10</v>
      </c>
      <c r="Q247" s="2" t="e">
        <f t="shared" ca="1" si="19"/>
        <v>#NAME?</v>
      </c>
      <c r="R247" s="2">
        <v>10</v>
      </c>
      <c r="S247" s="2">
        <v>10</v>
      </c>
      <c r="T247" s="2">
        <v>10</v>
      </c>
      <c r="U247" s="2">
        <v>10</v>
      </c>
      <c r="V247" s="2">
        <v>10</v>
      </c>
      <c r="W247" s="54">
        <f t="shared" si="1"/>
        <v>10</v>
      </c>
      <c r="X247" s="48"/>
      <c r="Y247" s="2"/>
      <c r="Z247" s="2"/>
      <c r="AA247" s="2">
        <v>10</v>
      </c>
      <c r="AB247" s="2">
        <v>10</v>
      </c>
      <c r="AC247" s="2">
        <v>10</v>
      </c>
      <c r="AD247" s="2">
        <v>10</v>
      </c>
      <c r="AE247" s="2">
        <v>10</v>
      </c>
      <c r="AF247" s="2">
        <v>10</v>
      </c>
      <c r="AG247" s="2">
        <v>10</v>
      </c>
      <c r="AH247" s="2">
        <v>10</v>
      </c>
      <c r="AI247" s="2">
        <v>10</v>
      </c>
      <c r="AJ247" s="2">
        <v>10</v>
      </c>
      <c r="AK247" s="3"/>
      <c r="AL247" s="3"/>
      <c r="AM247" s="3"/>
      <c r="AN247" s="3"/>
      <c r="AO247" s="3"/>
      <c r="AP247" s="3"/>
      <c r="AQ247" s="2" t="e">
        <f t="shared" ca="1" si="20"/>
        <v>#NAME?</v>
      </c>
      <c r="AR247" s="2">
        <v>10</v>
      </c>
      <c r="AS247" s="2">
        <v>10</v>
      </c>
      <c r="AT247" s="2">
        <v>10</v>
      </c>
      <c r="AU247" s="2">
        <v>10</v>
      </c>
      <c r="AV247" s="2">
        <v>10</v>
      </c>
      <c r="AW247" s="54">
        <f t="shared" si="3"/>
        <v>10</v>
      </c>
      <c r="AX247" s="48">
        <v>8</v>
      </c>
      <c r="AY247" s="2">
        <v>8</v>
      </c>
      <c r="AZ247" s="2">
        <v>10</v>
      </c>
      <c r="BA247" s="2">
        <v>10</v>
      </c>
      <c r="BB247" s="2">
        <v>10</v>
      </c>
      <c r="BC247" s="2">
        <v>10</v>
      </c>
      <c r="BD247" s="2">
        <v>10</v>
      </c>
      <c r="BE247" s="2">
        <v>10</v>
      </c>
      <c r="BF247" s="2">
        <v>10</v>
      </c>
      <c r="BG247" s="2">
        <v>10</v>
      </c>
      <c r="BH247" s="2">
        <v>10</v>
      </c>
      <c r="BI247" s="57">
        <v>10</v>
      </c>
      <c r="BJ247" s="2" t="e">
        <f t="shared" ca="1" si="21"/>
        <v>#NAME?</v>
      </c>
      <c r="BK247" s="5">
        <v>10</v>
      </c>
      <c r="BL247" s="5">
        <v>10</v>
      </c>
      <c r="BM247" s="5">
        <v>10</v>
      </c>
      <c r="BN247" s="5">
        <v>10</v>
      </c>
      <c r="BO247" s="5">
        <v>10</v>
      </c>
      <c r="BP247" s="54">
        <f t="shared" si="5"/>
        <v>10</v>
      </c>
      <c r="BQ247" s="90">
        <v>9</v>
      </c>
      <c r="BR247" s="7">
        <v>0</v>
      </c>
      <c r="BS247" s="90">
        <v>10</v>
      </c>
      <c r="BT247" s="90">
        <v>10</v>
      </c>
      <c r="BU247" s="90">
        <v>10</v>
      </c>
      <c r="BV247" s="90">
        <v>10</v>
      </c>
      <c r="BW247" s="90">
        <v>10</v>
      </c>
      <c r="BX247" s="90">
        <v>10</v>
      </c>
      <c r="BY247" s="90">
        <v>10</v>
      </c>
      <c r="BZ247" s="90">
        <v>10</v>
      </c>
      <c r="CA247" s="90">
        <v>10</v>
      </c>
      <c r="CB247" s="90">
        <v>10</v>
      </c>
      <c r="CC247" s="2" t="e">
        <f t="shared" ca="1" si="22"/>
        <v>#NAME?</v>
      </c>
      <c r="CD247" s="55"/>
      <c r="CE247" s="2"/>
      <c r="CF247" s="2">
        <v>9</v>
      </c>
      <c r="CG247" s="2">
        <v>9</v>
      </c>
      <c r="CH247" s="2">
        <v>9</v>
      </c>
      <c r="CI247" s="2">
        <v>9</v>
      </c>
      <c r="CJ247" s="2">
        <v>9</v>
      </c>
      <c r="CK247" s="2">
        <v>9</v>
      </c>
      <c r="CL247" s="2">
        <v>9</v>
      </c>
      <c r="CM247" s="2">
        <v>9</v>
      </c>
      <c r="CN247" s="2">
        <v>9</v>
      </c>
      <c r="CO247" s="2">
        <v>9</v>
      </c>
      <c r="CP247" s="2" t="e">
        <f t="shared" ca="1" si="23"/>
        <v>#NAME?</v>
      </c>
      <c r="CQ247" s="2">
        <v>9</v>
      </c>
      <c r="CR247" s="2">
        <v>9</v>
      </c>
      <c r="CS247" s="2">
        <v>9</v>
      </c>
      <c r="CT247" s="2">
        <v>9</v>
      </c>
      <c r="CU247" s="2">
        <v>9</v>
      </c>
      <c r="CV247" s="54">
        <f t="shared" si="8"/>
        <v>9</v>
      </c>
      <c r="CW247" s="55"/>
      <c r="CX247" s="3"/>
    </row>
    <row r="248" spans="1:102" ht="16.5" x14ac:dyDescent="0.55000000000000004">
      <c r="A248" s="17">
        <v>4</v>
      </c>
      <c r="B248" s="17" t="s">
        <v>5</v>
      </c>
      <c r="C248" s="23" t="s">
        <v>535</v>
      </c>
      <c r="D248" s="24" t="s">
        <v>536</v>
      </c>
      <c r="E248" s="48"/>
      <c r="F248" s="2">
        <v>12</v>
      </c>
      <c r="G248" s="2">
        <v>7</v>
      </c>
      <c r="H248" s="2">
        <v>7</v>
      </c>
      <c r="I248" s="2">
        <v>7</v>
      </c>
      <c r="J248" s="2">
        <v>7</v>
      </c>
      <c r="K248" s="2">
        <v>7</v>
      </c>
      <c r="L248" s="2">
        <f t="shared" ref="L248:P248" si="102">G248</f>
        <v>7</v>
      </c>
      <c r="M248" s="2">
        <f t="shared" si="102"/>
        <v>7</v>
      </c>
      <c r="N248" s="2">
        <f t="shared" si="102"/>
        <v>7</v>
      </c>
      <c r="O248" s="2">
        <f t="shared" si="102"/>
        <v>7</v>
      </c>
      <c r="P248" s="2">
        <f t="shared" si="102"/>
        <v>7</v>
      </c>
      <c r="Q248" s="2" t="e">
        <f t="shared" ca="1" si="19"/>
        <v>#NAME?</v>
      </c>
      <c r="R248" s="2">
        <v>9</v>
      </c>
      <c r="S248" s="2">
        <v>9</v>
      </c>
      <c r="T248" s="2">
        <v>9</v>
      </c>
      <c r="U248" s="2">
        <v>9</v>
      </c>
      <c r="V248" s="2">
        <v>9</v>
      </c>
      <c r="W248" s="54">
        <f t="shared" si="1"/>
        <v>9</v>
      </c>
      <c r="X248" s="48"/>
      <c r="Y248" s="2"/>
      <c r="Z248" s="2"/>
      <c r="AA248" s="2">
        <v>10</v>
      </c>
      <c r="AB248" s="2">
        <v>7</v>
      </c>
      <c r="AC248" s="2">
        <v>7</v>
      </c>
      <c r="AD248" s="2">
        <v>10</v>
      </c>
      <c r="AE248" s="2">
        <v>10</v>
      </c>
      <c r="AF248" s="2">
        <v>10</v>
      </c>
      <c r="AG248" s="2">
        <v>10</v>
      </c>
      <c r="AH248" s="2">
        <v>10</v>
      </c>
      <c r="AI248" s="2">
        <v>10</v>
      </c>
      <c r="AJ248" s="2">
        <v>10</v>
      </c>
      <c r="AK248" s="3"/>
      <c r="AL248" s="3"/>
      <c r="AM248" s="3"/>
      <c r="AN248" s="3"/>
      <c r="AO248" s="3"/>
      <c r="AP248" s="3"/>
      <c r="AQ248" s="2" t="e">
        <f t="shared" ca="1" si="20"/>
        <v>#NAME?</v>
      </c>
      <c r="AR248" s="2">
        <v>10</v>
      </c>
      <c r="AS248" s="2">
        <v>10</v>
      </c>
      <c r="AT248" s="2">
        <v>10</v>
      </c>
      <c r="AU248" s="2">
        <v>10</v>
      </c>
      <c r="AV248" s="2">
        <v>10</v>
      </c>
      <c r="AW248" s="54">
        <f t="shared" si="3"/>
        <v>10</v>
      </c>
      <c r="AX248" s="48">
        <v>8</v>
      </c>
      <c r="AY248" s="2">
        <v>7</v>
      </c>
      <c r="AZ248" s="2">
        <v>10</v>
      </c>
      <c r="BA248" s="2">
        <v>10</v>
      </c>
      <c r="BB248" s="2">
        <v>10</v>
      </c>
      <c r="BC248" s="2">
        <v>10</v>
      </c>
      <c r="BD248" s="2">
        <v>10</v>
      </c>
      <c r="BE248" s="2">
        <v>10</v>
      </c>
      <c r="BF248" s="2">
        <v>10</v>
      </c>
      <c r="BG248" s="2">
        <v>10</v>
      </c>
      <c r="BH248" s="2">
        <v>10</v>
      </c>
      <c r="BI248" s="57">
        <v>10</v>
      </c>
      <c r="BJ248" s="2" t="e">
        <f t="shared" ca="1" si="21"/>
        <v>#NAME?</v>
      </c>
      <c r="BK248" s="5">
        <v>10</v>
      </c>
      <c r="BL248" s="5">
        <v>10</v>
      </c>
      <c r="BM248" s="5">
        <v>10</v>
      </c>
      <c r="BN248" s="5">
        <v>10</v>
      </c>
      <c r="BO248" s="5">
        <v>10</v>
      </c>
      <c r="BP248" s="54">
        <f t="shared" si="5"/>
        <v>10</v>
      </c>
      <c r="BQ248" s="90">
        <v>14</v>
      </c>
      <c r="BR248" s="7">
        <v>0</v>
      </c>
      <c r="BS248" s="90">
        <v>10</v>
      </c>
      <c r="BT248" s="90">
        <v>10</v>
      </c>
      <c r="BU248" s="90">
        <v>9</v>
      </c>
      <c r="BV248" s="90">
        <v>9</v>
      </c>
      <c r="BW248" s="90">
        <v>9</v>
      </c>
      <c r="BX248" s="90">
        <v>9</v>
      </c>
      <c r="BY248" s="90">
        <v>9</v>
      </c>
      <c r="BZ248" s="90">
        <v>9</v>
      </c>
      <c r="CA248" s="90">
        <v>9</v>
      </c>
      <c r="CB248" s="90">
        <v>9</v>
      </c>
      <c r="CC248" s="2" t="e">
        <f t="shared" ca="1" si="22"/>
        <v>#NAME?</v>
      </c>
      <c r="CD248" s="55"/>
      <c r="CE248" s="2"/>
      <c r="CF248" s="2">
        <v>9</v>
      </c>
      <c r="CG248" s="2">
        <v>9</v>
      </c>
      <c r="CH248" s="2">
        <v>8</v>
      </c>
      <c r="CI248" s="2">
        <v>8</v>
      </c>
      <c r="CJ248" s="2">
        <v>8</v>
      </c>
      <c r="CK248" s="2">
        <v>8</v>
      </c>
      <c r="CL248" s="2">
        <v>8</v>
      </c>
      <c r="CM248" s="2">
        <v>8</v>
      </c>
      <c r="CN248" s="2">
        <v>8</v>
      </c>
      <c r="CO248" s="2">
        <v>8</v>
      </c>
      <c r="CP248" s="2" t="e">
        <f t="shared" ca="1" si="23"/>
        <v>#NAME?</v>
      </c>
      <c r="CQ248" s="2">
        <v>9</v>
      </c>
      <c r="CR248" s="2">
        <v>9</v>
      </c>
      <c r="CS248" s="2">
        <v>8</v>
      </c>
      <c r="CT248" s="2">
        <v>8</v>
      </c>
      <c r="CU248" s="2">
        <v>8</v>
      </c>
      <c r="CV248" s="54">
        <f t="shared" si="8"/>
        <v>9</v>
      </c>
      <c r="CW248" s="55"/>
      <c r="CX248" s="3"/>
    </row>
    <row r="249" spans="1:102" ht="16.5" x14ac:dyDescent="0.55000000000000004">
      <c r="A249" s="17">
        <v>4</v>
      </c>
      <c r="B249" s="17" t="s">
        <v>5</v>
      </c>
      <c r="C249" s="23" t="s">
        <v>537</v>
      </c>
      <c r="D249" s="24" t="s">
        <v>538</v>
      </c>
      <c r="E249" s="48"/>
      <c r="F249" s="2">
        <v>8</v>
      </c>
      <c r="G249" s="2">
        <v>7</v>
      </c>
      <c r="H249" s="2">
        <v>8</v>
      </c>
      <c r="I249" s="2">
        <v>9</v>
      </c>
      <c r="J249" s="2">
        <v>7</v>
      </c>
      <c r="K249" s="2">
        <v>7</v>
      </c>
      <c r="L249" s="2">
        <f t="shared" ref="L249:P249" si="103">G249</f>
        <v>7</v>
      </c>
      <c r="M249" s="2">
        <f t="shared" si="103"/>
        <v>8</v>
      </c>
      <c r="N249" s="2">
        <f t="shared" si="103"/>
        <v>9</v>
      </c>
      <c r="O249" s="2">
        <f t="shared" si="103"/>
        <v>7</v>
      </c>
      <c r="P249" s="2">
        <f t="shared" si="103"/>
        <v>7</v>
      </c>
      <c r="Q249" s="2" t="e">
        <f t="shared" ca="1" si="19"/>
        <v>#NAME?</v>
      </c>
      <c r="R249" s="2">
        <v>9</v>
      </c>
      <c r="S249" s="2">
        <v>9</v>
      </c>
      <c r="T249" s="2">
        <v>9</v>
      </c>
      <c r="U249" s="2">
        <v>9</v>
      </c>
      <c r="V249" s="2">
        <v>9</v>
      </c>
      <c r="W249" s="54">
        <f t="shared" si="1"/>
        <v>9</v>
      </c>
      <c r="X249" s="48"/>
      <c r="Y249" s="2"/>
      <c r="Z249" s="2"/>
      <c r="AA249" s="2">
        <v>10</v>
      </c>
      <c r="AB249" s="2">
        <v>10</v>
      </c>
      <c r="AC249" s="2">
        <v>10</v>
      </c>
      <c r="AD249" s="2">
        <v>10</v>
      </c>
      <c r="AE249" s="2">
        <v>10</v>
      </c>
      <c r="AF249" s="2">
        <v>10</v>
      </c>
      <c r="AG249" s="2">
        <v>10</v>
      </c>
      <c r="AH249" s="2">
        <v>10</v>
      </c>
      <c r="AI249" s="2">
        <v>10</v>
      </c>
      <c r="AJ249" s="2">
        <v>10</v>
      </c>
      <c r="AK249" s="3"/>
      <c r="AL249" s="3"/>
      <c r="AM249" s="3"/>
      <c r="AN249" s="3"/>
      <c r="AO249" s="3"/>
      <c r="AP249" s="3"/>
      <c r="AQ249" s="2" t="e">
        <f t="shared" ca="1" si="20"/>
        <v>#NAME?</v>
      </c>
      <c r="AR249" s="2">
        <v>10</v>
      </c>
      <c r="AS249" s="2">
        <v>10</v>
      </c>
      <c r="AT249" s="2">
        <v>10</v>
      </c>
      <c r="AU249" s="2">
        <v>10</v>
      </c>
      <c r="AV249" s="2">
        <v>10</v>
      </c>
      <c r="AW249" s="54">
        <f t="shared" si="3"/>
        <v>10</v>
      </c>
      <c r="AX249" s="48">
        <v>8</v>
      </c>
      <c r="AY249" s="2">
        <v>6</v>
      </c>
      <c r="AZ249" s="2">
        <v>0</v>
      </c>
      <c r="BA249" s="2">
        <v>10</v>
      </c>
      <c r="BB249" s="2">
        <v>10</v>
      </c>
      <c r="BC249" s="2">
        <v>10</v>
      </c>
      <c r="BD249" s="2">
        <v>10</v>
      </c>
      <c r="BE249" s="2">
        <v>6</v>
      </c>
      <c r="BF249" s="2">
        <v>5</v>
      </c>
      <c r="BG249" s="2">
        <v>6</v>
      </c>
      <c r="BH249" s="2">
        <v>7</v>
      </c>
      <c r="BI249" s="57">
        <v>6</v>
      </c>
      <c r="BJ249" s="2" t="e">
        <f t="shared" ca="1" si="21"/>
        <v>#NAME?</v>
      </c>
      <c r="BK249" s="5">
        <v>10</v>
      </c>
      <c r="BL249" s="5">
        <v>10</v>
      </c>
      <c r="BM249" s="5">
        <v>10</v>
      </c>
      <c r="BN249" s="5">
        <v>10</v>
      </c>
      <c r="BO249" s="5">
        <v>10</v>
      </c>
      <c r="BP249" s="54">
        <f t="shared" si="5"/>
        <v>10</v>
      </c>
      <c r="BQ249" s="90">
        <v>10</v>
      </c>
      <c r="BR249" s="7">
        <v>0</v>
      </c>
      <c r="BS249" s="90">
        <v>9</v>
      </c>
      <c r="BT249" s="90">
        <v>9</v>
      </c>
      <c r="BU249" s="90">
        <v>9</v>
      </c>
      <c r="BV249" s="90">
        <v>9</v>
      </c>
      <c r="BW249" s="90">
        <v>9</v>
      </c>
      <c r="BX249" s="90">
        <v>9</v>
      </c>
      <c r="BY249" s="90">
        <v>9</v>
      </c>
      <c r="BZ249" s="90">
        <v>9</v>
      </c>
      <c r="CA249" s="90">
        <v>9</v>
      </c>
      <c r="CB249" s="90">
        <v>9</v>
      </c>
      <c r="CC249" s="2" t="e">
        <f t="shared" ca="1" si="22"/>
        <v>#NAME?</v>
      </c>
      <c r="CD249" s="55"/>
      <c r="CE249" s="2"/>
      <c r="CF249" s="2">
        <v>7</v>
      </c>
      <c r="CG249" s="2">
        <v>7</v>
      </c>
      <c r="CH249" s="2">
        <v>7</v>
      </c>
      <c r="CI249" s="2">
        <v>7</v>
      </c>
      <c r="CJ249" s="2">
        <v>7</v>
      </c>
      <c r="CK249" s="2">
        <v>7</v>
      </c>
      <c r="CL249" s="2">
        <v>7</v>
      </c>
      <c r="CM249" s="2">
        <v>7</v>
      </c>
      <c r="CN249" s="2">
        <v>7</v>
      </c>
      <c r="CO249" s="2">
        <v>7</v>
      </c>
      <c r="CP249" s="2" t="e">
        <f t="shared" ca="1" si="23"/>
        <v>#NAME?</v>
      </c>
      <c r="CQ249" s="2">
        <v>7</v>
      </c>
      <c r="CR249" s="2">
        <v>7</v>
      </c>
      <c r="CS249" s="2">
        <v>7</v>
      </c>
      <c r="CT249" s="2">
        <v>7</v>
      </c>
      <c r="CU249" s="2">
        <v>7</v>
      </c>
      <c r="CV249" s="54">
        <f t="shared" si="8"/>
        <v>7</v>
      </c>
      <c r="CW249" s="55"/>
      <c r="CX249" s="3"/>
    </row>
    <row r="250" spans="1:102" ht="16.5" x14ac:dyDescent="0.55000000000000004">
      <c r="A250" s="17">
        <v>4</v>
      </c>
      <c r="B250" s="17" t="s">
        <v>5</v>
      </c>
      <c r="C250" s="23" t="s">
        <v>539</v>
      </c>
      <c r="D250" s="24" t="s">
        <v>540</v>
      </c>
      <c r="E250" s="48"/>
      <c r="F250" s="48">
        <v>15</v>
      </c>
      <c r="G250" s="2">
        <v>9</v>
      </c>
      <c r="H250" s="2">
        <v>9</v>
      </c>
      <c r="I250" s="2">
        <v>9</v>
      </c>
      <c r="J250" s="2">
        <v>9</v>
      </c>
      <c r="K250" s="2">
        <v>9</v>
      </c>
      <c r="L250" s="2">
        <f t="shared" ref="L250:P250" si="104">G250</f>
        <v>9</v>
      </c>
      <c r="M250" s="2">
        <f t="shared" si="104"/>
        <v>9</v>
      </c>
      <c r="N250" s="2">
        <f t="shared" si="104"/>
        <v>9</v>
      </c>
      <c r="O250" s="2">
        <f t="shared" si="104"/>
        <v>9</v>
      </c>
      <c r="P250" s="2">
        <f t="shared" si="104"/>
        <v>9</v>
      </c>
      <c r="Q250" s="2" t="e">
        <f t="shared" ca="1" si="19"/>
        <v>#NAME?</v>
      </c>
      <c r="R250" s="2">
        <v>10</v>
      </c>
      <c r="S250" s="2">
        <v>10</v>
      </c>
      <c r="T250" s="2">
        <v>10</v>
      </c>
      <c r="U250" s="2">
        <v>10</v>
      </c>
      <c r="V250" s="2">
        <v>10</v>
      </c>
      <c r="W250" s="54">
        <f t="shared" si="1"/>
        <v>10</v>
      </c>
      <c r="X250" s="48"/>
      <c r="Y250" s="2"/>
      <c r="Z250" s="2"/>
      <c r="AA250" s="2">
        <v>10</v>
      </c>
      <c r="AB250" s="2">
        <v>10</v>
      </c>
      <c r="AC250" s="2">
        <v>10</v>
      </c>
      <c r="AD250" s="2">
        <v>10</v>
      </c>
      <c r="AE250" s="2">
        <v>10</v>
      </c>
      <c r="AF250" s="2">
        <v>10</v>
      </c>
      <c r="AG250" s="2">
        <v>10</v>
      </c>
      <c r="AH250" s="2">
        <v>10</v>
      </c>
      <c r="AI250" s="2">
        <v>10</v>
      </c>
      <c r="AJ250" s="2">
        <v>10</v>
      </c>
      <c r="AK250" s="3"/>
      <c r="AL250" s="3"/>
      <c r="AM250" s="3"/>
      <c r="AN250" s="3"/>
      <c r="AO250" s="3"/>
      <c r="AP250" s="3"/>
      <c r="AQ250" s="2" t="e">
        <f t="shared" ca="1" si="20"/>
        <v>#NAME?</v>
      </c>
      <c r="AR250" s="2">
        <v>10</v>
      </c>
      <c r="AS250" s="2">
        <v>10</v>
      </c>
      <c r="AT250" s="2">
        <v>10</v>
      </c>
      <c r="AU250" s="2">
        <v>10</v>
      </c>
      <c r="AV250" s="2">
        <v>10</v>
      </c>
      <c r="AW250" s="54">
        <f t="shared" si="3"/>
        <v>10</v>
      </c>
      <c r="AX250" s="48">
        <v>7</v>
      </c>
      <c r="AY250" s="2">
        <v>7</v>
      </c>
      <c r="AZ250" s="2">
        <v>10</v>
      </c>
      <c r="BA250" s="2">
        <v>10</v>
      </c>
      <c r="BB250" s="2">
        <v>10</v>
      </c>
      <c r="BC250" s="2">
        <v>10</v>
      </c>
      <c r="BD250" s="2">
        <v>10</v>
      </c>
      <c r="BE250" s="2">
        <v>8</v>
      </c>
      <c r="BF250" s="2">
        <v>8</v>
      </c>
      <c r="BG250" s="2">
        <v>8</v>
      </c>
      <c r="BH250" s="2">
        <v>8</v>
      </c>
      <c r="BI250" s="57">
        <v>8</v>
      </c>
      <c r="BJ250" s="2" t="e">
        <f t="shared" ca="1" si="21"/>
        <v>#NAME?</v>
      </c>
      <c r="BK250" s="5">
        <v>10</v>
      </c>
      <c r="BL250" s="5">
        <v>10</v>
      </c>
      <c r="BM250" s="5">
        <v>10</v>
      </c>
      <c r="BN250" s="5">
        <v>10</v>
      </c>
      <c r="BO250" s="5">
        <v>10</v>
      </c>
      <c r="BP250" s="54">
        <f t="shared" si="5"/>
        <v>10</v>
      </c>
      <c r="BQ250" s="90">
        <v>6</v>
      </c>
      <c r="BR250" s="7">
        <v>0</v>
      </c>
      <c r="BS250" s="7">
        <v>9</v>
      </c>
      <c r="BT250" s="7">
        <v>9</v>
      </c>
      <c r="BU250" s="7">
        <v>9</v>
      </c>
      <c r="BV250" s="7">
        <v>9</v>
      </c>
      <c r="BW250" s="7">
        <v>9</v>
      </c>
      <c r="BX250" s="7">
        <v>9</v>
      </c>
      <c r="BY250" s="7">
        <v>9</v>
      </c>
      <c r="BZ250" s="7">
        <v>9</v>
      </c>
      <c r="CA250" s="7">
        <v>9</v>
      </c>
      <c r="CB250" s="7">
        <v>9</v>
      </c>
      <c r="CC250" s="2" t="e">
        <f t="shared" ca="1" si="22"/>
        <v>#NAME?</v>
      </c>
      <c r="CD250" s="55"/>
      <c r="CE250" s="2"/>
      <c r="CF250" s="2">
        <v>8</v>
      </c>
      <c r="CG250" s="2">
        <v>8</v>
      </c>
      <c r="CH250" s="2">
        <v>8</v>
      </c>
      <c r="CI250" s="2">
        <v>7</v>
      </c>
      <c r="CJ250" s="2">
        <v>8</v>
      </c>
      <c r="CK250" s="2">
        <v>8</v>
      </c>
      <c r="CL250" s="2">
        <v>7</v>
      </c>
      <c r="CM250" s="2">
        <v>7</v>
      </c>
      <c r="CN250" s="2">
        <v>7</v>
      </c>
      <c r="CO250" s="2">
        <v>7</v>
      </c>
      <c r="CP250" s="2" t="e">
        <f t="shared" ca="1" si="23"/>
        <v>#NAME?</v>
      </c>
      <c r="CQ250" s="2">
        <v>7</v>
      </c>
      <c r="CR250" s="2">
        <v>7</v>
      </c>
      <c r="CS250" s="2">
        <v>7</v>
      </c>
      <c r="CT250" s="2">
        <v>7</v>
      </c>
      <c r="CU250" s="2">
        <v>7</v>
      </c>
      <c r="CV250" s="54">
        <f t="shared" si="8"/>
        <v>7</v>
      </c>
      <c r="CW250" s="55"/>
      <c r="CX250" s="3"/>
    </row>
    <row r="251" spans="1:102" ht="16.5" x14ac:dyDescent="0.55000000000000004">
      <c r="A251" s="17">
        <v>4</v>
      </c>
      <c r="B251" s="17" t="s">
        <v>5</v>
      </c>
      <c r="C251" s="23" t="s">
        <v>541</v>
      </c>
      <c r="D251" s="24" t="s">
        <v>542</v>
      </c>
      <c r="E251" s="48"/>
      <c r="F251" s="2">
        <v>8</v>
      </c>
      <c r="G251" s="2">
        <v>9</v>
      </c>
      <c r="H251" s="2">
        <v>9</v>
      </c>
      <c r="I251" s="2">
        <v>9</v>
      </c>
      <c r="J251" s="2">
        <v>8</v>
      </c>
      <c r="K251" s="2">
        <v>8</v>
      </c>
      <c r="L251" s="2">
        <f t="shared" ref="L251:P251" si="105">G251</f>
        <v>9</v>
      </c>
      <c r="M251" s="2">
        <f t="shared" si="105"/>
        <v>9</v>
      </c>
      <c r="N251" s="2">
        <f t="shared" si="105"/>
        <v>9</v>
      </c>
      <c r="O251" s="2">
        <f t="shared" si="105"/>
        <v>8</v>
      </c>
      <c r="P251" s="2">
        <f t="shared" si="105"/>
        <v>8</v>
      </c>
      <c r="Q251" s="2" t="e">
        <f t="shared" ca="1" si="19"/>
        <v>#NAME?</v>
      </c>
      <c r="R251" s="2">
        <v>9</v>
      </c>
      <c r="S251" s="2">
        <v>8</v>
      </c>
      <c r="T251" s="2">
        <v>9</v>
      </c>
      <c r="U251" s="2">
        <v>9</v>
      </c>
      <c r="V251" s="2">
        <v>9</v>
      </c>
      <c r="W251" s="54">
        <f t="shared" si="1"/>
        <v>9</v>
      </c>
      <c r="X251" s="48"/>
      <c r="Y251" s="2"/>
      <c r="Z251" s="2"/>
      <c r="AA251" s="2">
        <v>10</v>
      </c>
      <c r="AB251" s="2">
        <v>10</v>
      </c>
      <c r="AC251" s="2">
        <v>10</v>
      </c>
      <c r="AD251" s="2">
        <v>10</v>
      </c>
      <c r="AE251" s="2">
        <v>10</v>
      </c>
      <c r="AF251" s="2">
        <v>10</v>
      </c>
      <c r="AG251" s="2">
        <v>10</v>
      </c>
      <c r="AH251" s="2">
        <v>10</v>
      </c>
      <c r="AI251" s="2">
        <v>10</v>
      </c>
      <c r="AJ251" s="2">
        <v>10</v>
      </c>
      <c r="AK251" s="3"/>
      <c r="AL251" s="3"/>
      <c r="AM251" s="3"/>
      <c r="AN251" s="3"/>
      <c r="AO251" s="3"/>
      <c r="AP251" s="3"/>
      <c r="AQ251" s="2" t="e">
        <f t="shared" ca="1" si="20"/>
        <v>#NAME?</v>
      </c>
      <c r="AR251" s="2">
        <v>10</v>
      </c>
      <c r="AS251" s="2">
        <v>10</v>
      </c>
      <c r="AT251" s="2">
        <v>10</v>
      </c>
      <c r="AU251" s="2">
        <v>10</v>
      </c>
      <c r="AV251" s="2">
        <v>10</v>
      </c>
      <c r="AW251" s="54">
        <f t="shared" si="3"/>
        <v>10</v>
      </c>
      <c r="AX251" s="48">
        <v>6</v>
      </c>
      <c r="AY251" s="2">
        <v>6</v>
      </c>
      <c r="AZ251" s="2">
        <v>10</v>
      </c>
      <c r="BA251" s="2">
        <v>10</v>
      </c>
      <c r="BB251" s="2">
        <v>10</v>
      </c>
      <c r="BC251" s="2">
        <v>10</v>
      </c>
      <c r="BD251" s="2">
        <v>10</v>
      </c>
      <c r="BE251" s="2">
        <v>10</v>
      </c>
      <c r="BF251" s="2">
        <v>10</v>
      </c>
      <c r="BG251" s="2">
        <v>10</v>
      </c>
      <c r="BH251" s="2">
        <v>10</v>
      </c>
      <c r="BI251" s="57">
        <v>8</v>
      </c>
      <c r="BJ251" s="2" t="e">
        <f t="shared" ca="1" si="21"/>
        <v>#NAME?</v>
      </c>
      <c r="BK251" s="5">
        <v>10</v>
      </c>
      <c r="BL251" s="5">
        <v>10</v>
      </c>
      <c r="BM251" s="5">
        <v>10</v>
      </c>
      <c r="BN251" s="5">
        <v>10</v>
      </c>
      <c r="BO251" s="5">
        <v>10</v>
      </c>
      <c r="BP251" s="54">
        <f t="shared" si="5"/>
        <v>10</v>
      </c>
      <c r="BQ251" s="90">
        <v>10</v>
      </c>
      <c r="BR251" s="7">
        <v>0</v>
      </c>
      <c r="BS251" s="90">
        <v>10</v>
      </c>
      <c r="BT251" s="90">
        <v>10</v>
      </c>
      <c r="BU251" s="90">
        <v>10</v>
      </c>
      <c r="BV251" s="90">
        <v>10</v>
      </c>
      <c r="BW251" s="90">
        <v>10</v>
      </c>
      <c r="BX251" s="90">
        <v>10</v>
      </c>
      <c r="BY251" s="90">
        <v>10</v>
      </c>
      <c r="BZ251" s="90">
        <v>10</v>
      </c>
      <c r="CA251" s="90">
        <v>10</v>
      </c>
      <c r="CB251" s="90">
        <v>10</v>
      </c>
      <c r="CC251" s="2" t="e">
        <f t="shared" ca="1" si="22"/>
        <v>#NAME?</v>
      </c>
      <c r="CD251" s="55"/>
      <c r="CE251" s="2"/>
      <c r="CF251" s="2">
        <v>7</v>
      </c>
      <c r="CG251" s="2">
        <v>7</v>
      </c>
      <c r="CH251" s="2">
        <v>8</v>
      </c>
      <c r="CI251" s="2">
        <v>7</v>
      </c>
      <c r="CJ251" s="2">
        <v>7</v>
      </c>
      <c r="CK251" s="2">
        <v>8</v>
      </c>
      <c r="CL251" s="2">
        <v>8</v>
      </c>
      <c r="CM251" s="2">
        <v>7</v>
      </c>
      <c r="CN251" s="2">
        <v>7</v>
      </c>
      <c r="CO251" s="2">
        <v>7</v>
      </c>
      <c r="CP251" s="2" t="e">
        <f t="shared" ca="1" si="23"/>
        <v>#NAME?</v>
      </c>
      <c r="CQ251" s="2">
        <v>7</v>
      </c>
      <c r="CR251" s="2">
        <v>7</v>
      </c>
      <c r="CS251" s="2">
        <v>7</v>
      </c>
      <c r="CT251" s="2">
        <v>7</v>
      </c>
      <c r="CU251" s="2">
        <v>7</v>
      </c>
      <c r="CV251" s="54">
        <f t="shared" si="8"/>
        <v>7</v>
      </c>
      <c r="CW251" s="55"/>
      <c r="CX251" s="3"/>
    </row>
    <row r="252" spans="1:102" ht="16.5" x14ac:dyDescent="0.55000000000000004">
      <c r="A252" s="17">
        <v>4</v>
      </c>
      <c r="B252" s="17" t="s">
        <v>5</v>
      </c>
      <c r="C252" s="23" t="s">
        <v>543</v>
      </c>
      <c r="D252" s="24" t="s">
        <v>544</v>
      </c>
      <c r="E252" s="48"/>
      <c r="F252" s="2">
        <v>9</v>
      </c>
      <c r="G252" s="2">
        <v>5</v>
      </c>
      <c r="H252" s="2">
        <v>5</v>
      </c>
      <c r="I252" s="2">
        <v>5</v>
      </c>
      <c r="J252" s="2">
        <v>5</v>
      </c>
      <c r="K252" s="2">
        <v>5</v>
      </c>
      <c r="L252" s="2">
        <v>5</v>
      </c>
      <c r="M252" s="2">
        <v>5</v>
      </c>
      <c r="N252" s="2">
        <v>5</v>
      </c>
      <c r="O252" s="2">
        <v>5</v>
      </c>
      <c r="P252" s="2">
        <v>5</v>
      </c>
      <c r="Q252" s="2" t="e">
        <f t="shared" ca="1" si="19"/>
        <v>#NAME?</v>
      </c>
      <c r="R252" s="2">
        <v>8</v>
      </c>
      <c r="S252" s="2">
        <v>6</v>
      </c>
      <c r="T252" s="2">
        <v>7</v>
      </c>
      <c r="U252" s="2">
        <v>7</v>
      </c>
      <c r="V252" s="2">
        <v>7</v>
      </c>
      <c r="W252" s="54">
        <f t="shared" si="1"/>
        <v>7</v>
      </c>
      <c r="X252" s="48"/>
      <c r="Y252" s="2"/>
      <c r="Z252" s="2"/>
      <c r="AA252" s="2">
        <v>0</v>
      </c>
      <c r="AB252" s="2">
        <v>0</v>
      </c>
      <c r="AC252" s="2">
        <v>0</v>
      </c>
      <c r="AD252" s="2">
        <v>10</v>
      </c>
      <c r="AE252" s="2">
        <v>10</v>
      </c>
      <c r="AF252" s="2">
        <v>10</v>
      </c>
      <c r="AG252" s="2">
        <v>10</v>
      </c>
      <c r="AH252" s="2">
        <v>10</v>
      </c>
      <c r="AI252" s="2">
        <v>10</v>
      </c>
      <c r="AJ252" s="2">
        <v>10</v>
      </c>
      <c r="AK252" s="3"/>
      <c r="AL252" s="3"/>
      <c r="AM252" s="3"/>
      <c r="AN252" s="3"/>
      <c r="AO252" s="3"/>
      <c r="AP252" s="3"/>
      <c r="AQ252" s="2" t="e">
        <f t="shared" ca="1" si="20"/>
        <v>#NAME?</v>
      </c>
      <c r="AR252" s="2">
        <v>5</v>
      </c>
      <c r="AS252" s="2">
        <v>10</v>
      </c>
      <c r="AT252" s="2">
        <v>10</v>
      </c>
      <c r="AU252" s="2">
        <v>10</v>
      </c>
      <c r="AV252" s="2">
        <v>10</v>
      </c>
      <c r="AW252" s="54">
        <f t="shared" si="3"/>
        <v>9</v>
      </c>
      <c r="AX252" s="48">
        <v>8</v>
      </c>
      <c r="AY252" s="2">
        <v>5</v>
      </c>
      <c r="AZ252" s="2">
        <v>10</v>
      </c>
      <c r="BA252" s="2">
        <v>10</v>
      </c>
      <c r="BB252" s="2">
        <v>10</v>
      </c>
      <c r="BC252" s="2">
        <v>10</v>
      </c>
      <c r="BD252" s="2">
        <v>10</v>
      </c>
      <c r="BE252" s="2">
        <v>10</v>
      </c>
      <c r="BF252" s="2">
        <v>10</v>
      </c>
      <c r="BG252" s="2">
        <v>8</v>
      </c>
      <c r="BH252" s="2">
        <v>8</v>
      </c>
      <c r="BI252" s="57">
        <v>8</v>
      </c>
      <c r="BJ252" s="2" t="e">
        <f t="shared" ca="1" si="21"/>
        <v>#NAME?</v>
      </c>
      <c r="BK252" s="5">
        <v>10</v>
      </c>
      <c r="BL252" s="5">
        <v>10</v>
      </c>
      <c r="BM252" s="5">
        <v>10</v>
      </c>
      <c r="BN252" s="5">
        <v>10</v>
      </c>
      <c r="BO252" s="5">
        <v>10</v>
      </c>
      <c r="BP252" s="54">
        <f t="shared" si="5"/>
        <v>10</v>
      </c>
      <c r="BQ252" s="90">
        <v>11</v>
      </c>
      <c r="BR252" s="90">
        <v>6</v>
      </c>
      <c r="BS252" s="7">
        <v>9</v>
      </c>
      <c r="BT252" s="7">
        <v>9</v>
      </c>
      <c r="BU252" s="7">
        <v>9</v>
      </c>
      <c r="BV252" s="7">
        <v>9</v>
      </c>
      <c r="BW252" s="7">
        <v>9</v>
      </c>
      <c r="BX252" s="7">
        <v>9</v>
      </c>
      <c r="BY252" s="7">
        <v>9</v>
      </c>
      <c r="BZ252" s="7">
        <v>9</v>
      </c>
      <c r="CA252" s="7">
        <v>9</v>
      </c>
      <c r="CB252" s="7">
        <v>9</v>
      </c>
      <c r="CC252" s="2" t="e">
        <f t="shared" ca="1" si="22"/>
        <v>#NAME?</v>
      </c>
      <c r="CD252" s="55"/>
      <c r="CE252" s="2"/>
      <c r="CF252" s="2">
        <v>8</v>
      </c>
      <c r="CG252" s="2">
        <v>8</v>
      </c>
      <c r="CH252" s="2">
        <v>8</v>
      </c>
      <c r="CI252" s="2">
        <v>7</v>
      </c>
      <c r="CJ252" s="2">
        <v>7</v>
      </c>
      <c r="CK252" s="2">
        <v>8</v>
      </c>
      <c r="CL252" s="2">
        <v>8</v>
      </c>
      <c r="CM252" s="2">
        <v>7</v>
      </c>
      <c r="CN252" s="2">
        <v>7</v>
      </c>
      <c r="CO252" s="2">
        <v>7</v>
      </c>
      <c r="CP252" s="2" t="e">
        <f t="shared" ca="1" si="23"/>
        <v>#NAME?</v>
      </c>
      <c r="CQ252" s="2">
        <v>7</v>
      </c>
      <c r="CR252" s="2">
        <v>7</v>
      </c>
      <c r="CS252" s="2">
        <v>7</v>
      </c>
      <c r="CT252" s="2">
        <v>7</v>
      </c>
      <c r="CU252" s="2">
        <v>8</v>
      </c>
      <c r="CV252" s="54">
        <f t="shared" si="8"/>
        <v>8</v>
      </c>
      <c r="CW252" s="55"/>
      <c r="CX252" s="3"/>
    </row>
    <row r="253" spans="1:102" ht="16.5" x14ac:dyDescent="0.55000000000000004">
      <c r="A253" s="17">
        <v>4</v>
      </c>
      <c r="B253" s="17" t="s">
        <v>5</v>
      </c>
      <c r="C253" s="23" t="s">
        <v>545</v>
      </c>
      <c r="D253" s="24" t="s">
        <v>546</v>
      </c>
      <c r="E253" s="48"/>
      <c r="F253" s="2">
        <v>10</v>
      </c>
      <c r="G253" s="2">
        <v>9</v>
      </c>
      <c r="H253" s="2">
        <v>8</v>
      </c>
      <c r="I253" s="2">
        <v>8</v>
      </c>
      <c r="J253" s="2">
        <v>7</v>
      </c>
      <c r="K253" s="2">
        <v>7</v>
      </c>
      <c r="L253" s="2">
        <f t="shared" ref="L253:P253" si="106">G253</f>
        <v>9</v>
      </c>
      <c r="M253" s="2">
        <f t="shared" si="106"/>
        <v>8</v>
      </c>
      <c r="N253" s="2">
        <f t="shared" si="106"/>
        <v>8</v>
      </c>
      <c r="O253" s="2">
        <f t="shared" si="106"/>
        <v>7</v>
      </c>
      <c r="P253" s="2">
        <f t="shared" si="106"/>
        <v>7</v>
      </c>
      <c r="Q253" s="2" t="e">
        <f t="shared" ca="1" si="19"/>
        <v>#NAME?</v>
      </c>
      <c r="R253" s="2">
        <v>9</v>
      </c>
      <c r="S253" s="2">
        <v>8</v>
      </c>
      <c r="T253" s="2">
        <v>8</v>
      </c>
      <c r="U253" s="2">
        <v>9</v>
      </c>
      <c r="V253" s="2">
        <v>9</v>
      </c>
      <c r="W253" s="54">
        <f t="shared" si="1"/>
        <v>9</v>
      </c>
      <c r="X253" s="48"/>
      <c r="Y253" s="2"/>
      <c r="Z253" s="2"/>
      <c r="AA253" s="2">
        <v>7</v>
      </c>
      <c r="AB253" s="2">
        <v>7</v>
      </c>
      <c r="AC253" s="2">
        <v>10</v>
      </c>
      <c r="AD253" s="2">
        <v>10</v>
      </c>
      <c r="AE253" s="2">
        <v>10</v>
      </c>
      <c r="AF253" s="2">
        <v>10</v>
      </c>
      <c r="AG253" s="2">
        <v>10</v>
      </c>
      <c r="AH253" s="2">
        <v>10</v>
      </c>
      <c r="AI253" s="2">
        <v>10</v>
      </c>
      <c r="AJ253" s="2">
        <v>10</v>
      </c>
      <c r="AK253" s="3"/>
      <c r="AL253" s="3"/>
      <c r="AM253" s="3"/>
      <c r="AN253" s="3"/>
      <c r="AO253" s="3"/>
      <c r="AP253" s="3"/>
      <c r="AQ253" s="2" t="e">
        <f t="shared" ca="1" si="20"/>
        <v>#NAME?</v>
      </c>
      <c r="AR253" s="2">
        <v>10</v>
      </c>
      <c r="AS253" s="2">
        <v>10</v>
      </c>
      <c r="AT253" s="2">
        <v>10</v>
      </c>
      <c r="AU253" s="2">
        <v>10</v>
      </c>
      <c r="AV253" s="2">
        <v>10</v>
      </c>
      <c r="AW253" s="54">
        <f t="shared" si="3"/>
        <v>10</v>
      </c>
      <c r="AX253" s="48">
        <v>7</v>
      </c>
      <c r="AY253" s="2">
        <v>4</v>
      </c>
      <c r="AZ253" s="2">
        <v>10</v>
      </c>
      <c r="BA253" s="2">
        <v>10</v>
      </c>
      <c r="BB253" s="2">
        <v>10</v>
      </c>
      <c r="BC253" s="2">
        <v>10</v>
      </c>
      <c r="BD253" s="2">
        <v>10</v>
      </c>
      <c r="BE253" s="2">
        <v>10</v>
      </c>
      <c r="BF253" s="2">
        <v>10</v>
      </c>
      <c r="BG253" s="2">
        <v>10</v>
      </c>
      <c r="BH253" s="2">
        <v>10</v>
      </c>
      <c r="BI253" s="57">
        <v>10</v>
      </c>
      <c r="BJ253" s="2" t="e">
        <f t="shared" ca="1" si="21"/>
        <v>#NAME?</v>
      </c>
      <c r="BK253" s="5">
        <v>10</v>
      </c>
      <c r="BL253" s="5">
        <v>10</v>
      </c>
      <c r="BM253" s="5">
        <v>10</v>
      </c>
      <c r="BN253" s="5">
        <v>10</v>
      </c>
      <c r="BO253" s="5">
        <v>10</v>
      </c>
      <c r="BP253" s="54">
        <f t="shared" si="5"/>
        <v>10</v>
      </c>
      <c r="BQ253" s="90">
        <v>10</v>
      </c>
      <c r="BR253" s="90">
        <v>7</v>
      </c>
      <c r="BS253" s="90">
        <v>10</v>
      </c>
      <c r="BT253" s="90">
        <v>10</v>
      </c>
      <c r="BU253" s="90">
        <v>10</v>
      </c>
      <c r="BV253" s="90">
        <v>10</v>
      </c>
      <c r="BW253" s="90">
        <v>10</v>
      </c>
      <c r="BX253" s="90">
        <v>10</v>
      </c>
      <c r="BY253" s="90">
        <v>10</v>
      </c>
      <c r="BZ253" s="90">
        <v>10</v>
      </c>
      <c r="CA253" s="90">
        <v>10</v>
      </c>
      <c r="CB253" s="90">
        <v>10</v>
      </c>
      <c r="CC253" s="2" t="e">
        <f t="shared" ca="1" si="22"/>
        <v>#NAME?</v>
      </c>
      <c r="CD253" s="55"/>
      <c r="CE253" s="2"/>
      <c r="CF253" s="2">
        <v>7</v>
      </c>
      <c r="CG253" s="2">
        <v>8</v>
      </c>
      <c r="CH253" s="2">
        <v>8</v>
      </c>
      <c r="CI253" s="2">
        <v>8</v>
      </c>
      <c r="CJ253" s="2">
        <v>7</v>
      </c>
      <c r="CK253" s="2">
        <v>7</v>
      </c>
      <c r="CL253" s="2">
        <v>7</v>
      </c>
      <c r="CM253" s="2">
        <v>7</v>
      </c>
      <c r="CN253" s="2">
        <v>7</v>
      </c>
      <c r="CO253" s="2">
        <v>7</v>
      </c>
      <c r="CP253" s="2" t="e">
        <f t="shared" ca="1" si="23"/>
        <v>#NAME?</v>
      </c>
      <c r="CQ253" s="2">
        <v>7</v>
      </c>
      <c r="CR253" s="2">
        <v>7</v>
      </c>
      <c r="CS253" s="2">
        <v>7</v>
      </c>
      <c r="CT253" s="2">
        <v>7</v>
      </c>
      <c r="CU253" s="2">
        <v>7</v>
      </c>
      <c r="CV253" s="54">
        <f t="shared" si="8"/>
        <v>7</v>
      </c>
      <c r="CW253" s="55"/>
      <c r="CX253" s="3"/>
    </row>
    <row r="254" spans="1:102" ht="16.5" x14ac:dyDescent="0.55000000000000004">
      <c r="A254" s="17">
        <v>4</v>
      </c>
      <c r="B254" s="17" t="s">
        <v>5</v>
      </c>
      <c r="C254" s="23" t="s">
        <v>547</v>
      </c>
      <c r="D254" s="24" t="s">
        <v>548</v>
      </c>
      <c r="E254" s="48"/>
      <c r="F254" s="2" t="s">
        <v>31</v>
      </c>
      <c r="G254" s="2">
        <v>4</v>
      </c>
      <c r="H254" s="2">
        <v>4</v>
      </c>
      <c r="I254" s="2">
        <v>4</v>
      </c>
      <c r="J254" s="2">
        <v>4</v>
      </c>
      <c r="K254" s="2">
        <v>4</v>
      </c>
      <c r="L254" s="2">
        <f t="shared" ref="L254:P254" si="107">G254</f>
        <v>4</v>
      </c>
      <c r="M254" s="2">
        <f t="shared" si="107"/>
        <v>4</v>
      </c>
      <c r="N254" s="2">
        <f t="shared" si="107"/>
        <v>4</v>
      </c>
      <c r="O254" s="2">
        <f t="shared" si="107"/>
        <v>4</v>
      </c>
      <c r="P254" s="2">
        <f t="shared" si="107"/>
        <v>4</v>
      </c>
      <c r="Q254" s="2" t="e">
        <f t="shared" ca="1" si="19"/>
        <v>#NAME?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54">
        <f t="shared" si="1"/>
        <v>0</v>
      </c>
      <c r="X254" s="48"/>
      <c r="Y254" s="2"/>
      <c r="Z254" s="2"/>
      <c r="AA254" s="2">
        <v>0</v>
      </c>
      <c r="AB254" s="2">
        <v>0</v>
      </c>
      <c r="AC254" s="2">
        <v>0</v>
      </c>
      <c r="AD254" s="2">
        <v>10</v>
      </c>
      <c r="AE254" s="2">
        <v>10</v>
      </c>
      <c r="AF254" s="2">
        <v>10</v>
      </c>
      <c r="AG254" s="2">
        <v>10</v>
      </c>
      <c r="AH254" s="2">
        <v>10</v>
      </c>
      <c r="AI254" s="2">
        <v>10</v>
      </c>
      <c r="AJ254" s="2">
        <v>10</v>
      </c>
      <c r="AK254" s="3"/>
      <c r="AL254" s="3"/>
      <c r="AM254" s="3"/>
      <c r="AN254" s="3"/>
      <c r="AO254" s="3"/>
      <c r="AP254" s="3"/>
      <c r="AQ254" s="2" t="e">
        <f t="shared" ca="1" si="20"/>
        <v>#NAME?</v>
      </c>
      <c r="AR254" s="2">
        <v>5</v>
      </c>
      <c r="AS254" s="2">
        <v>10</v>
      </c>
      <c r="AT254" s="2">
        <v>10</v>
      </c>
      <c r="AU254" s="2">
        <v>10</v>
      </c>
      <c r="AV254" s="2">
        <v>10</v>
      </c>
      <c r="AW254" s="54">
        <f t="shared" si="3"/>
        <v>9</v>
      </c>
      <c r="AX254" s="48">
        <v>6</v>
      </c>
      <c r="AY254" s="2">
        <v>6</v>
      </c>
      <c r="AZ254" s="2">
        <v>8</v>
      </c>
      <c r="BA254" s="2">
        <v>8</v>
      </c>
      <c r="BB254" s="2">
        <v>8</v>
      </c>
      <c r="BC254" s="2">
        <v>8</v>
      </c>
      <c r="BD254" s="2">
        <v>8</v>
      </c>
      <c r="BE254" s="2">
        <v>8</v>
      </c>
      <c r="BF254" s="2">
        <v>8</v>
      </c>
      <c r="BG254" s="2">
        <v>8</v>
      </c>
      <c r="BH254" s="2">
        <v>8</v>
      </c>
      <c r="BI254" s="57">
        <v>8</v>
      </c>
      <c r="BJ254" s="2" t="e">
        <f t="shared" ca="1" si="21"/>
        <v>#NAME?</v>
      </c>
      <c r="BK254" s="5">
        <v>8</v>
      </c>
      <c r="BL254" s="5">
        <v>8</v>
      </c>
      <c r="BM254" s="5">
        <v>8</v>
      </c>
      <c r="BN254" s="5">
        <v>8</v>
      </c>
      <c r="BO254" s="5">
        <v>8</v>
      </c>
      <c r="BP254" s="54">
        <f t="shared" si="5"/>
        <v>8</v>
      </c>
      <c r="BQ254" s="90">
        <v>0</v>
      </c>
      <c r="BR254" s="7">
        <v>0</v>
      </c>
      <c r="BS254" s="7">
        <v>9</v>
      </c>
      <c r="BT254" s="7">
        <v>9</v>
      </c>
      <c r="BU254" s="7">
        <v>9</v>
      </c>
      <c r="BV254" s="7">
        <v>9</v>
      </c>
      <c r="BW254" s="7">
        <v>9</v>
      </c>
      <c r="BX254" s="7">
        <v>9</v>
      </c>
      <c r="BY254" s="7">
        <v>9</v>
      </c>
      <c r="BZ254" s="7">
        <v>9</v>
      </c>
      <c r="CA254" s="7">
        <v>9</v>
      </c>
      <c r="CB254" s="7">
        <v>9</v>
      </c>
      <c r="CC254" s="2" t="e">
        <f t="shared" ca="1" si="22"/>
        <v>#NAME?</v>
      </c>
      <c r="CD254" s="55"/>
      <c r="CE254" s="2"/>
      <c r="CF254" s="2">
        <v>6</v>
      </c>
      <c r="CG254" s="2">
        <v>6</v>
      </c>
      <c r="CH254" s="2">
        <v>6</v>
      </c>
      <c r="CI254" s="2">
        <v>6</v>
      </c>
      <c r="CJ254" s="2">
        <v>6</v>
      </c>
      <c r="CK254" s="2">
        <v>6</v>
      </c>
      <c r="CL254" s="2">
        <v>6</v>
      </c>
      <c r="CM254" s="2">
        <v>6</v>
      </c>
      <c r="CN254" s="2">
        <v>6</v>
      </c>
      <c r="CO254" s="2">
        <v>6</v>
      </c>
      <c r="CP254" s="2" t="e">
        <f t="shared" ca="1" si="23"/>
        <v>#NAME?</v>
      </c>
      <c r="CQ254" s="2">
        <v>6</v>
      </c>
      <c r="CR254" s="2">
        <v>6</v>
      </c>
      <c r="CS254" s="2">
        <v>6</v>
      </c>
      <c r="CT254" s="2">
        <v>6</v>
      </c>
      <c r="CU254" s="2">
        <v>6</v>
      </c>
      <c r="CV254" s="54">
        <f t="shared" si="8"/>
        <v>6</v>
      </c>
      <c r="CW254" s="55"/>
      <c r="CX254" s="3"/>
    </row>
    <row r="255" spans="1:102" ht="16.5" x14ac:dyDescent="0.55000000000000004">
      <c r="A255" s="17">
        <v>4</v>
      </c>
      <c r="B255" s="17" t="s">
        <v>5</v>
      </c>
      <c r="C255" s="23" t="s">
        <v>549</v>
      </c>
      <c r="D255" s="24" t="s">
        <v>550</v>
      </c>
      <c r="E255" s="48"/>
      <c r="F255" s="2" t="s">
        <v>31</v>
      </c>
      <c r="G255" s="2">
        <v>5</v>
      </c>
      <c r="H255" s="2">
        <v>5</v>
      </c>
      <c r="I255" s="2">
        <v>5</v>
      </c>
      <c r="J255" s="2">
        <v>5</v>
      </c>
      <c r="K255" s="2">
        <v>5</v>
      </c>
      <c r="L255" s="2">
        <f t="shared" ref="L255:P255" si="108">G255</f>
        <v>5</v>
      </c>
      <c r="M255" s="2">
        <f t="shared" si="108"/>
        <v>5</v>
      </c>
      <c r="N255" s="2">
        <f t="shared" si="108"/>
        <v>5</v>
      </c>
      <c r="O255" s="2">
        <f t="shared" si="108"/>
        <v>5</v>
      </c>
      <c r="P255" s="2">
        <f t="shared" si="108"/>
        <v>5</v>
      </c>
      <c r="Q255" s="2" t="e">
        <f t="shared" ca="1" si="19"/>
        <v>#NAME?</v>
      </c>
      <c r="R255" s="2">
        <v>7</v>
      </c>
      <c r="S255" s="2">
        <v>7</v>
      </c>
      <c r="T255" s="2">
        <v>7</v>
      </c>
      <c r="U255" s="2">
        <v>7</v>
      </c>
      <c r="V255" s="2">
        <v>7</v>
      </c>
      <c r="W255" s="54">
        <f t="shared" si="1"/>
        <v>7</v>
      </c>
      <c r="X255" s="48"/>
      <c r="Y255" s="2"/>
      <c r="Z255" s="2"/>
      <c r="AA255" s="2">
        <v>0</v>
      </c>
      <c r="AB255" s="2">
        <v>0</v>
      </c>
      <c r="AC255" s="2">
        <v>0</v>
      </c>
      <c r="AD255" s="2">
        <v>10</v>
      </c>
      <c r="AE255" s="2">
        <v>10</v>
      </c>
      <c r="AF255" s="2">
        <v>10</v>
      </c>
      <c r="AG255" s="2">
        <v>10</v>
      </c>
      <c r="AH255" s="2">
        <v>10</v>
      </c>
      <c r="AI255" s="2">
        <v>10</v>
      </c>
      <c r="AJ255" s="2">
        <v>10</v>
      </c>
      <c r="AK255" s="3"/>
      <c r="AL255" s="3"/>
      <c r="AM255" s="3"/>
      <c r="AN255" s="3"/>
      <c r="AO255" s="3"/>
      <c r="AP255" s="3"/>
      <c r="AQ255" s="2" t="e">
        <f t="shared" ca="1" si="20"/>
        <v>#NAME?</v>
      </c>
      <c r="AR255" s="2">
        <v>5</v>
      </c>
      <c r="AS255" s="2">
        <v>10</v>
      </c>
      <c r="AT255" s="2">
        <v>10</v>
      </c>
      <c r="AU255" s="2">
        <v>10</v>
      </c>
      <c r="AV255" s="2">
        <v>10</v>
      </c>
      <c r="AW255" s="54">
        <f t="shared" si="3"/>
        <v>9</v>
      </c>
      <c r="AX255" s="48">
        <v>7</v>
      </c>
      <c r="AY255" s="2">
        <v>7</v>
      </c>
      <c r="AZ255" s="2">
        <v>8</v>
      </c>
      <c r="BA255" s="2">
        <v>8</v>
      </c>
      <c r="BB255" s="2">
        <v>8</v>
      </c>
      <c r="BC255" s="2">
        <v>8</v>
      </c>
      <c r="BD255" s="2">
        <v>8</v>
      </c>
      <c r="BE255" s="2">
        <v>8</v>
      </c>
      <c r="BF255" s="2">
        <v>8</v>
      </c>
      <c r="BG255" s="2">
        <v>8</v>
      </c>
      <c r="BH255" s="2">
        <v>8</v>
      </c>
      <c r="BI255" s="57">
        <v>8</v>
      </c>
      <c r="BJ255" s="2" t="e">
        <f t="shared" ca="1" si="21"/>
        <v>#NAME?</v>
      </c>
      <c r="BK255" s="5">
        <v>8</v>
      </c>
      <c r="BL255" s="5">
        <v>8</v>
      </c>
      <c r="BM255" s="5">
        <v>8</v>
      </c>
      <c r="BN255" s="5">
        <v>8</v>
      </c>
      <c r="BO255" s="5">
        <v>8</v>
      </c>
      <c r="BP255" s="54">
        <f t="shared" si="5"/>
        <v>8</v>
      </c>
      <c r="BQ255" s="90">
        <v>0</v>
      </c>
      <c r="BR255" s="7">
        <v>0</v>
      </c>
      <c r="BS255" s="7">
        <v>9</v>
      </c>
      <c r="BT255" s="7">
        <v>9</v>
      </c>
      <c r="BU255" s="7">
        <v>9</v>
      </c>
      <c r="BV255" s="7">
        <v>9</v>
      </c>
      <c r="BW255" s="7">
        <v>9</v>
      </c>
      <c r="BX255" s="7">
        <v>9</v>
      </c>
      <c r="BY255" s="7">
        <v>9</v>
      </c>
      <c r="BZ255" s="7">
        <v>9</v>
      </c>
      <c r="CA255" s="7">
        <v>9</v>
      </c>
      <c r="CB255" s="7">
        <v>9</v>
      </c>
      <c r="CC255" s="2" t="e">
        <f t="shared" ca="1" si="22"/>
        <v>#NAME?</v>
      </c>
      <c r="CD255" s="55"/>
      <c r="CE255" s="2"/>
      <c r="CF255" s="2">
        <v>6</v>
      </c>
      <c r="CG255" s="2">
        <v>6</v>
      </c>
      <c r="CH255" s="2">
        <v>6</v>
      </c>
      <c r="CI255" s="2">
        <v>6</v>
      </c>
      <c r="CJ255" s="2">
        <v>6</v>
      </c>
      <c r="CK255" s="2">
        <v>6</v>
      </c>
      <c r="CL255" s="2">
        <v>6</v>
      </c>
      <c r="CM255" s="2">
        <v>6</v>
      </c>
      <c r="CN255" s="2">
        <v>6</v>
      </c>
      <c r="CO255" s="2">
        <v>6</v>
      </c>
      <c r="CP255" s="2" t="e">
        <f t="shared" ca="1" si="23"/>
        <v>#NAME?</v>
      </c>
      <c r="CQ255" s="2">
        <v>6</v>
      </c>
      <c r="CR255" s="2">
        <v>6</v>
      </c>
      <c r="CS255" s="2">
        <v>6</v>
      </c>
      <c r="CT255" s="2">
        <v>6</v>
      </c>
      <c r="CU255" s="2">
        <v>6</v>
      </c>
      <c r="CV255" s="54">
        <f t="shared" si="8"/>
        <v>6</v>
      </c>
      <c r="CW255" s="55"/>
      <c r="CX255" s="3"/>
    </row>
    <row r="256" spans="1:102" ht="16.5" x14ac:dyDescent="0.55000000000000004">
      <c r="A256" s="17">
        <v>4</v>
      </c>
      <c r="B256" s="17" t="s">
        <v>5</v>
      </c>
      <c r="C256" s="23" t="s">
        <v>551</v>
      </c>
      <c r="D256" s="24" t="s">
        <v>552</v>
      </c>
      <c r="E256" s="48"/>
      <c r="F256" s="2">
        <v>8</v>
      </c>
      <c r="G256" s="2">
        <v>8</v>
      </c>
      <c r="H256" s="2">
        <v>7</v>
      </c>
      <c r="I256" s="2">
        <v>7</v>
      </c>
      <c r="J256" s="2">
        <v>7</v>
      </c>
      <c r="K256" s="2">
        <v>7</v>
      </c>
      <c r="L256" s="2">
        <f t="shared" ref="L256:P256" si="109">G256</f>
        <v>8</v>
      </c>
      <c r="M256" s="2">
        <f t="shared" si="109"/>
        <v>7</v>
      </c>
      <c r="N256" s="2">
        <f t="shared" si="109"/>
        <v>7</v>
      </c>
      <c r="O256" s="2">
        <f t="shared" si="109"/>
        <v>7</v>
      </c>
      <c r="P256" s="2">
        <f t="shared" si="109"/>
        <v>7</v>
      </c>
      <c r="Q256" s="2" t="e">
        <f t="shared" ca="1" si="19"/>
        <v>#NAME?</v>
      </c>
      <c r="R256" s="2">
        <v>8</v>
      </c>
      <c r="S256" s="2">
        <v>10</v>
      </c>
      <c r="T256" s="2">
        <v>8</v>
      </c>
      <c r="U256" s="2">
        <v>7</v>
      </c>
      <c r="V256" s="2">
        <v>7</v>
      </c>
      <c r="W256" s="54">
        <f t="shared" si="1"/>
        <v>8</v>
      </c>
      <c r="X256" s="48"/>
      <c r="Y256" s="2"/>
      <c r="Z256" s="2"/>
      <c r="AA256" s="2">
        <v>5</v>
      </c>
      <c r="AB256" s="2">
        <v>5</v>
      </c>
      <c r="AC256" s="2">
        <v>7</v>
      </c>
      <c r="AD256" s="2">
        <v>7</v>
      </c>
      <c r="AE256" s="2">
        <v>10</v>
      </c>
      <c r="AF256" s="2">
        <v>10</v>
      </c>
      <c r="AG256" s="2">
        <v>10</v>
      </c>
      <c r="AH256" s="2">
        <v>10</v>
      </c>
      <c r="AI256" s="2">
        <v>10</v>
      </c>
      <c r="AJ256" s="2">
        <v>10</v>
      </c>
      <c r="AK256" s="3"/>
      <c r="AL256" s="3"/>
      <c r="AM256" s="3"/>
      <c r="AN256" s="3"/>
      <c r="AO256" s="3"/>
      <c r="AP256" s="3"/>
      <c r="AQ256" s="2" t="e">
        <f t="shared" ca="1" si="20"/>
        <v>#NAME?</v>
      </c>
      <c r="AR256" s="2">
        <v>5</v>
      </c>
      <c r="AS256" s="2">
        <v>10</v>
      </c>
      <c r="AT256" s="2">
        <v>10</v>
      </c>
      <c r="AU256" s="2">
        <v>10</v>
      </c>
      <c r="AV256" s="2">
        <v>10</v>
      </c>
      <c r="AW256" s="54">
        <f t="shared" si="3"/>
        <v>9</v>
      </c>
      <c r="AX256" s="48">
        <v>8</v>
      </c>
      <c r="AY256" s="2">
        <v>8</v>
      </c>
      <c r="AZ256" s="2">
        <v>8</v>
      </c>
      <c r="BA256" s="2">
        <v>8</v>
      </c>
      <c r="BB256" s="2">
        <v>8</v>
      </c>
      <c r="BC256" s="2">
        <v>8</v>
      </c>
      <c r="BD256" s="2">
        <v>8</v>
      </c>
      <c r="BE256" s="2">
        <v>8</v>
      </c>
      <c r="BF256" s="2">
        <v>8</v>
      </c>
      <c r="BG256" s="2">
        <v>8</v>
      </c>
      <c r="BH256" s="2">
        <v>8</v>
      </c>
      <c r="BI256" s="57">
        <v>8</v>
      </c>
      <c r="BJ256" s="2" t="e">
        <f t="shared" ca="1" si="21"/>
        <v>#NAME?</v>
      </c>
      <c r="BK256" s="5">
        <v>8</v>
      </c>
      <c r="BL256" s="5">
        <v>8</v>
      </c>
      <c r="BM256" s="5">
        <v>8</v>
      </c>
      <c r="BN256" s="5">
        <v>8</v>
      </c>
      <c r="BO256" s="5">
        <v>8</v>
      </c>
      <c r="BP256" s="54">
        <f t="shared" si="5"/>
        <v>8</v>
      </c>
      <c r="BQ256" s="90">
        <v>5</v>
      </c>
      <c r="BR256" s="7">
        <v>0</v>
      </c>
      <c r="BS256" s="90">
        <v>10</v>
      </c>
      <c r="BT256" s="90">
        <v>10</v>
      </c>
      <c r="BU256" s="90">
        <v>10</v>
      </c>
      <c r="BV256" s="90">
        <v>10</v>
      </c>
      <c r="BW256" s="90">
        <v>10</v>
      </c>
      <c r="BX256" s="90">
        <v>10</v>
      </c>
      <c r="BY256" s="90">
        <v>10</v>
      </c>
      <c r="BZ256" s="90">
        <v>10</v>
      </c>
      <c r="CA256" s="90">
        <v>10</v>
      </c>
      <c r="CB256" s="90">
        <v>10</v>
      </c>
      <c r="CC256" s="2" t="e">
        <f t="shared" ca="1" si="22"/>
        <v>#NAME?</v>
      </c>
      <c r="CD256" s="55"/>
      <c r="CE256" s="2"/>
      <c r="CF256" s="2">
        <v>7</v>
      </c>
      <c r="CG256" s="2">
        <v>7</v>
      </c>
      <c r="CH256" s="2">
        <v>7</v>
      </c>
      <c r="CI256" s="2">
        <v>7</v>
      </c>
      <c r="CJ256" s="2">
        <v>7</v>
      </c>
      <c r="CK256" s="2">
        <v>7</v>
      </c>
      <c r="CL256" s="2">
        <v>7</v>
      </c>
      <c r="CM256" s="2">
        <v>7</v>
      </c>
      <c r="CN256" s="2">
        <v>7</v>
      </c>
      <c r="CO256" s="2">
        <v>7</v>
      </c>
      <c r="CP256" s="2" t="e">
        <f t="shared" ca="1" si="23"/>
        <v>#NAME?</v>
      </c>
      <c r="CQ256" s="2">
        <v>7</v>
      </c>
      <c r="CR256" s="2">
        <v>7</v>
      </c>
      <c r="CS256" s="2">
        <v>7</v>
      </c>
      <c r="CT256" s="2">
        <v>7</v>
      </c>
      <c r="CU256" s="2">
        <v>7</v>
      </c>
      <c r="CV256" s="54">
        <f t="shared" si="8"/>
        <v>7</v>
      </c>
      <c r="CW256" s="55"/>
      <c r="CX256" s="3"/>
    </row>
    <row r="257" spans="1:102" ht="16.5" x14ac:dyDescent="0.55000000000000004">
      <c r="A257" s="17">
        <v>4</v>
      </c>
      <c r="B257" s="17" t="s">
        <v>5</v>
      </c>
      <c r="C257" s="23" t="s">
        <v>553</v>
      </c>
      <c r="D257" s="24" t="s">
        <v>554</v>
      </c>
      <c r="E257" s="48"/>
      <c r="F257" s="2">
        <v>16</v>
      </c>
      <c r="G257" s="2">
        <v>10</v>
      </c>
      <c r="H257" s="2">
        <v>10</v>
      </c>
      <c r="I257" s="2">
        <v>10</v>
      </c>
      <c r="J257" s="2">
        <v>9</v>
      </c>
      <c r="K257" s="2">
        <v>9</v>
      </c>
      <c r="L257" s="2">
        <f t="shared" ref="L257:P257" si="110">G257</f>
        <v>10</v>
      </c>
      <c r="M257" s="2">
        <f t="shared" si="110"/>
        <v>10</v>
      </c>
      <c r="N257" s="2">
        <f t="shared" si="110"/>
        <v>10</v>
      </c>
      <c r="O257" s="2">
        <f t="shared" si="110"/>
        <v>9</v>
      </c>
      <c r="P257" s="2">
        <f t="shared" si="110"/>
        <v>9</v>
      </c>
      <c r="Q257" s="2" t="e">
        <f t="shared" ca="1" si="19"/>
        <v>#NAME?</v>
      </c>
      <c r="R257" s="2">
        <v>10</v>
      </c>
      <c r="S257" s="2">
        <v>10</v>
      </c>
      <c r="T257" s="2">
        <v>10</v>
      </c>
      <c r="U257" s="2">
        <v>10</v>
      </c>
      <c r="V257" s="2">
        <v>10</v>
      </c>
      <c r="W257" s="54">
        <f t="shared" si="1"/>
        <v>10</v>
      </c>
      <c r="X257" s="48"/>
      <c r="Y257" s="2"/>
      <c r="Z257" s="2"/>
      <c r="AA257" s="2">
        <v>5</v>
      </c>
      <c r="AB257" s="2">
        <v>5</v>
      </c>
      <c r="AC257" s="2">
        <v>7</v>
      </c>
      <c r="AD257" s="2">
        <v>7</v>
      </c>
      <c r="AE257" s="2">
        <v>10</v>
      </c>
      <c r="AF257" s="2">
        <v>10</v>
      </c>
      <c r="AG257" s="2">
        <v>10</v>
      </c>
      <c r="AH257" s="2">
        <v>10</v>
      </c>
      <c r="AI257" s="2">
        <v>10</v>
      </c>
      <c r="AJ257" s="2">
        <v>10</v>
      </c>
      <c r="AK257" s="3"/>
      <c r="AL257" s="3"/>
      <c r="AM257" s="3"/>
      <c r="AN257" s="3"/>
      <c r="AO257" s="3"/>
      <c r="AP257" s="3"/>
      <c r="AQ257" s="2" t="e">
        <f t="shared" ca="1" si="20"/>
        <v>#NAME?</v>
      </c>
      <c r="AR257" s="2">
        <v>10</v>
      </c>
      <c r="AS257" s="2">
        <v>10</v>
      </c>
      <c r="AT257" s="2">
        <v>10</v>
      </c>
      <c r="AU257" s="2">
        <v>10</v>
      </c>
      <c r="AV257" s="2">
        <v>10</v>
      </c>
      <c r="AW257" s="54">
        <f t="shared" si="3"/>
        <v>10</v>
      </c>
      <c r="AX257" s="48">
        <v>7</v>
      </c>
      <c r="AY257" s="2">
        <v>7</v>
      </c>
      <c r="AZ257" s="2">
        <v>10</v>
      </c>
      <c r="BA257" s="2">
        <v>10</v>
      </c>
      <c r="BB257" s="2">
        <v>10</v>
      </c>
      <c r="BC257" s="2">
        <v>10</v>
      </c>
      <c r="BD257" s="2">
        <v>10</v>
      </c>
      <c r="BE257" s="2">
        <v>10</v>
      </c>
      <c r="BF257" s="2">
        <v>10</v>
      </c>
      <c r="BG257" s="2">
        <v>10</v>
      </c>
      <c r="BH257" s="2">
        <v>10</v>
      </c>
      <c r="BI257" s="57">
        <v>10</v>
      </c>
      <c r="BJ257" s="2" t="e">
        <f t="shared" ca="1" si="21"/>
        <v>#NAME?</v>
      </c>
      <c r="BK257" s="5">
        <v>10</v>
      </c>
      <c r="BL257" s="5">
        <v>10</v>
      </c>
      <c r="BM257" s="5">
        <v>10</v>
      </c>
      <c r="BN257" s="5">
        <v>10</v>
      </c>
      <c r="BO257" s="5">
        <v>10</v>
      </c>
      <c r="BP257" s="54">
        <f t="shared" si="5"/>
        <v>10</v>
      </c>
      <c r="BQ257" s="90">
        <v>0</v>
      </c>
      <c r="BR257" s="90">
        <v>6</v>
      </c>
      <c r="BS257" s="90">
        <v>10</v>
      </c>
      <c r="BT257" s="90">
        <v>10</v>
      </c>
      <c r="BU257" s="90">
        <v>10</v>
      </c>
      <c r="BV257" s="90">
        <v>10</v>
      </c>
      <c r="BW257" s="90">
        <v>10</v>
      </c>
      <c r="BX257" s="90">
        <v>10</v>
      </c>
      <c r="BY257" s="90">
        <v>10</v>
      </c>
      <c r="BZ257" s="90">
        <v>10</v>
      </c>
      <c r="CA257" s="90">
        <v>10</v>
      </c>
      <c r="CB257" s="90">
        <v>10</v>
      </c>
      <c r="CC257" s="2" t="e">
        <f t="shared" ca="1" si="22"/>
        <v>#NAME?</v>
      </c>
      <c r="CD257" s="55"/>
      <c r="CE257" s="2"/>
      <c r="CF257" s="2">
        <v>10</v>
      </c>
      <c r="CG257" s="2">
        <v>10</v>
      </c>
      <c r="CH257" s="2">
        <v>10</v>
      </c>
      <c r="CI257" s="2">
        <v>10</v>
      </c>
      <c r="CJ257" s="2">
        <v>10</v>
      </c>
      <c r="CK257" s="2">
        <v>10</v>
      </c>
      <c r="CL257" s="2">
        <v>10</v>
      </c>
      <c r="CM257" s="2">
        <v>10</v>
      </c>
      <c r="CN257" s="2">
        <v>10</v>
      </c>
      <c r="CO257" s="2">
        <v>10</v>
      </c>
      <c r="CP257" s="2" t="e">
        <f t="shared" ca="1" si="23"/>
        <v>#NAME?</v>
      </c>
      <c r="CQ257" s="2">
        <v>10</v>
      </c>
      <c r="CR257" s="2">
        <v>10</v>
      </c>
      <c r="CS257" s="2">
        <v>10</v>
      </c>
      <c r="CT257" s="2">
        <v>10</v>
      </c>
      <c r="CU257" s="2">
        <v>10</v>
      </c>
      <c r="CV257" s="54">
        <f t="shared" si="8"/>
        <v>10</v>
      </c>
      <c r="CW257" s="55"/>
      <c r="CX257" s="3"/>
    </row>
    <row r="258" spans="1:102" ht="16.5" x14ac:dyDescent="0.55000000000000004">
      <c r="A258" s="17">
        <v>4</v>
      </c>
      <c r="B258" s="17" t="s">
        <v>5</v>
      </c>
      <c r="C258" s="23" t="s">
        <v>555</v>
      </c>
      <c r="D258" s="24" t="s">
        <v>556</v>
      </c>
      <c r="E258" s="48"/>
      <c r="F258" s="2" t="s">
        <v>31</v>
      </c>
      <c r="G258" s="2">
        <v>7</v>
      </c>
      <c r="H258" s="2">
        <v>7</v>
      </c>
      <c r="I258" s="2">
        <v>7</v>
      </c>
      <c r="J258" s="2">
        <v>7</v>
      </c>
      <c r="K258" s="2">
        <v>7</v>
      </c>
      <c r="L258" s="2">
        <f t="shared" ref="L258:P258" si="111">G258</f>
        <v>7</v>
      </c>
      <c r="M258" s="2">
        <f t="shared" si="111"/>
        <v>7</v>
      </c>
      <c r="N258" s="2">
        <f t="shared" si="111"/>
        <v>7</v>
      </c>
      <c r="O258" s="2">
        <f t="shared" si="111"/>
        <v>7</v>
      </c>
      <c r="P258" s="2">
        <f t="shared" si="111"/>
        <v>7</v>
      </c>
      <c r="Q258" s="2" t="e">
        <f t="shared" ca="1" si="19"/>
        <v>#NAME?</v>
      </c>
      <c r="R258" s="2">
        <v>7</v>
      </c>
      <c r="S258" s="2">
        <v>8</v>
      </c>
      <c r="T258" s="2">
        <v>8</v>
      </c>
      <c r="U258" s="2">
        <v>7</v>
      </c>
      <c r="V258" s="2">
        <v>7</v>
      </c>
      <c r="W258" s="54">
        <f t="shared" si="1"/>
        <v>8</v>
      </c>
      <c r="X258" s="48"/>
      <c r="Y258" s="2"/>
      <c r="Z258" s="2"/>
      <c r="AA258" s="2">
        <v>5</v>
      </c>
      <c r="AB258" s="2">
        <v>5</v>
      </c>
      <c r="AC258" s="2">
        <v>7</v>
      </c>
      <c r="AD258" s="2">
        <v>7</v>
      </c>
      <c r="AE258" s="2">
        <v>10</v>
      </c>
      <c r="AF258" s="2">
        <v>10</v>
      </c>
      <c r="AG258" s="2">
        <v>10</v>
      </c>
      <c r="AH258" s="2">
        <v>10</v>
      </c>
      <c r="AI258" s="2">
        <v>10</v>
      </c>
      <c r="AJ258" s="2">
        <v>10</v>
      </c>
      <c r="AK258" s="3"/>
      <c r="AL258" s="3"/>
      <c r="AM258" s="3"/>
      <c r="AN258" s="3"/>
      <c r="AO258" s="3"/>
      <c r="AP258" s="3"/>
      <c r="AQ258" s="2" t="e">
        <f t="shared" ca="1" si="20"/>
        <v>#NAME?</v>
      </c>
      <c r="AR258" s="2">
        <v>5</v>
      </c>
      <c r="AS258" s="2">
        <v>10</v>
      </c>
      <c r="AT258" s="2">
        <v>10</v>
      </c>
      <c r="AU258" s="2">
        <v>10</v>
      </c>
      <c r="AV258" s="2">
        <v>10</v>
      </c>
      <c r="AW258" s="54">
        <f t="shared" si="3"/>
        <v>9</v>
      </c>
      <c r="AX258" s="48">
        <v>8</v>
      </c>
      <c r="AY258" s="2">
        <v>8</v>
      </c>
      <c r="AZ258" s="2">
        <v>8</v>
      </c>
      <c r="BA258" s="2">
        <v>8</v>
      </c>
      <c r="BB258" s="2">
        <v>8</v>
      </c>
      <c r="BC258" s="2">
        <v>8</v>
      </c>
      <c r="BD258" s="2">
        <v>8</v>
      </c>
      <c r="BE258" s="2">
        <v>8</v>
      </c>
      <c r="BF258" s="2">
        <v>8</v>
      </c>
      <c r="BG258" s="2">
        <v>8</v>
      </c>
      <c r="BH258" s="2">
        <v>8</v>
      </c>
      <c r="BI258" s="57">
        <v>8</v>
      </c>
      <c r="BJ258" s="2" t="e">
        <f t="shared" ca="1" si="21"/>
        <v>#NAME?</v>
      </c>
      <c r="BK258" s="5">
        <v>8</v>
      </c>
      <c r="BL258" s="5">
        <v>8</v>
      </c>
      <c r="BM258" s="5">
        <v>8</v>
      </c>
      <c r="BN258" s="5">
        <v>8</v>
      </c>
      <c r="BO258" s="5">
        <v>8</v>
      </c>
      <c r="BP258" s="54">
        <f t="shared" si="5"/>
        <v>8</v>
      </c>
      <c r="BQ258" s="90">
        <v>10</v>
      </c>
      <c r="BR258" s="90">
        <v>4</v>
      </c>
      <c r="BS258" s="90">
        <v>9</v>
      </c>
      <c r="BT258" s="90">
        <v>9</v>
      </c>
      <c r="BU258" s="90">
        <v>9</v>
      </c>
      <c r="BV258" s="90">
        <v>9</v>
      </c>
      <c r="BW258" s="90">
        <v>9</v>
      </c>
      <c r="BX258" s="90">
        <v>9</v>
      </c>
      <c r="BY258" s="90">
        <v>9</v>
      </c>
      <c r="BZ258" s="90">
        <v>9</v>
      </c>
      <c r="CA258" s="90">
        <v>9</v>
      </c>
      <c r="CB258" s="90">
        <v>9</v>
      </c>
      <c r="CC258" s="2" t="e">
        <f t="shared" ca="1" si="22"/>
        <v>#NAME?</v>
      </c>
      <c r="CD258" s="55"/>
      <c r="CE258" s="2"/>
      <c r="CF258" s="2">
        <v>6</v>
      </c>
      <c r="CG258" s="2">
        <v>6</v>
      </c>
      <c r="CH258" s="2">
        <v>6</v>
      </c>
      <c r="CI258" s="2">
        <v>6</v>
      </c>
      <c r="CJ258" s="2">
        <v>6</v>
      </c>
      <c r="CK258" s="2">
        <v>6</v>
      </c>
      <c r="CL258" s="2">
        <v>6</v>
      </c>
      <c r="CM258" s="2">
        <v>6</v>
      </c>
      <c r="CN258" s="2">
        <v>6</v>
      </c>
      <c r="CO258" s="2">
        <v>6</v>
      </c>
      <c r="CP258" s="2" t="e">
        <f t="shared" ca="1" si="23"/>
        <v>#NAME?</v>
      </c>
      <c r="CQ258" s="2">
        <v>6</v>
      </c>
      <c r="CR258" s="2">
        <v>6</v>
      </c>
      <c r="CS258" s="2">
        <v>6</v>
      </c>
      <c r="CT258" s="2">
        <v>6</v>
      </c>
      <c r="CU258" s="2">
        <v>6</v>
      </c>
      <c r="CV258" s="54">
        <f t="shared" si="8"/>
        <v>6</v>
      </c>
      <c r="CW258" s="55"/>
      <c r="CX258" s="3"/>
    </row>
    <row r="259" spans="1:102" ht="16.5" x14ac:dyDescent="0.55000000000000004">
      <c r="A259" s="17">
        <v>4</v>
      </c>
      <c r="B259" s="17" t="s">
        <v>5</v>
      </c>
      <c r="C259" s="23" t="s">
        <v>557</v>
      </c>
      <c r="D259" s="24" t="s">
        <v>558</v>
      </c>
      <c r="E259" s="48"/>
      <c r="F259" s="2">
        <v>15</v>
      </c>
      <c r="G259" s="2">
        <v>8</v>
      </c>
      <c r="H259" s="2">
        <v>9</v>
      </c>
      <c r="I259" s="2">
        <v>8</v>
      </c>
      <c r="J259" s="2">
        <v>8</v>
      </c>
      <c r="K259" s="2">
        <v>8</v>
      </c>
      <c r="L259" s="2">
        <f t="shared" ref="L259:P259" si="112">G259</f>
        <v>8</v>
      </c>
      <c r="M259" s="2">
        <f t="shared" si="112"/>
        <v>9</v>
      </c>
      <c r="N259" s="2">
        <f t="shared" si="112"/>
        <v>8</v>
      </c>
      <c r="O259" s="2">
        <f t="shared" si="112"/>
        <v>8</v>
      </c>
      <c r="P259" s="2">
        <f t="shared" si="112"/>
        <v>8</v>
      </c>
      <c r="Q259" s="2" t="e">
        <f t="shared" ca="1" si="19"/>
        <v>#NAME?</v>
      </c>
      <c r="R259" s="2">
        <v>10</v>
      </c>
      <c r="S259" s="2">
        <v>10</v>
      </c>
      <c r="T259" s="2">
        <v>10</v>
      </c>
      <c r="U259" s="2">
        <v>10</v>
      </c>
      <c r="V259" s="2">
        <v>10</v>
      </c>
      <c r="W259" s="54">
        <f t="shared" ref="W259:W513" si="113">IFERROR( ROUNDUP(AVERAGE(R259:V259),0),0)</f>
        <v>10</v>
      </c>
      <c r="X259" s="48"/>
      <c r="Y259" s="2"/>
      <c r="Z259" s="2"/>
      <c r="AA259" s="2">
        <v>10</v>
      </c>
      <c r="AB259" s="2">
        <v>10</v>
      </c>
      <c r="AC259" s="2">
        <v>7</v>
      </c>
      <c r="AD259" s="2">
        <v>7</v>
      </c>
      <c r="AE259" s="2">
        <v>10</v>
      </c>
      <c r="AF259" s="2">
        <v>10</v>
      </c>
      <c r="AG259" s="2">
        <v>10</v>
      </c>
      <c r="AH259" s="2">
        <v>10</v>
      </c>
      <c r="AI259" s="2">
        <v>10</v>
      </c>
      <c r="AJ259" s="2">
        <v>10</v>
      </c>
      <c r="AK259" s="3"/>
      <c r="AL259" s="3"/>
      <c r="AM259" s="3"/>
      <c r="AN259" s="3"/>
      <c r="AO259" s="3"/>
      <c r="AP259" s="3"/>
      <c r="AQ259" s="2" t="e">
        <f t="shared" ca="1" si="20"/>
        <v>#NAME?</v>
      </c>
      <c r="AR259" s="2">
        <v>10</v>
      </c>
      <c r="AS259" s="2">
        <v>10</v>
      </c>
      <c r="AT259" s="2">
        <v>10</v>
      </c>
      <c r="AU259" s="2">
        <v>10</v>
      </c>
      <c r="AV259" s="2">
        <v>10</v>
      </c>
      <c r="AW259" s="54">
        <f t="shared" ref="AW259:AW513" si="114">IFERROR( ROUNDUP(AVERAGE(AR259:AV259),0),0)</f>
        <v>10</v>
      </c>
      <c r="AX259" s="48">
        <v>7</v>
      </c>
      <c r="AY259" s="2">
        <v>7</v>
      </c>
      <c r="AZ259" s="2">
        <v>10</v>
      </c>
      <c r="BA259" s="2">
        <v>10</v>
      </c>
      <c r="BB259" s="2">
        <v>10</v>
      </c>
      <c r="BC259" s="2">
        <v>10</v>
      </c>
      <c r="BD259" s="2">
        <v>10</v>
      </c>
      <c r="BE259" s="2">
        <v>10</v>
      </c>
      <c r="BF259" s="2">
        <v>10</v>
      </c>
      <c r="BG259" s="2">
        <v>10</v>
      </c>
      <c r="BH259" s="2">
        <v>10</v>
      </c>
      <c r="BI259" s="57">
        <v>10</v>
      </c>
      <c r="BJ259" s="2" t="e">
        <f t="shared" ca="1" si="21"/>
        <v>#NAME?</v>
      </c>
      <c r="BK259" s="5">
        <v>10</v>
      </c>
      <c r="BL259" s="5">
        <v>10</v>
      </c>
      <c r="BM259" s="5">
        <v>10</v>
      </c>
      <c r="BN259" s="5">
        <v>10</v>
      </c>
      <c r="BO259" s="5">
        <v>10</v>
      </c>
      <c r="BP259" s="54">
        <f t="shared" ref="BP259:BP513" si="115">IFERROR( ROUNDUP(AVERAGE(BK259:BO259),0),0)</f>
        <v>10</v>
      </c>
      <c r="BQ259" s="90">
        <v>15</v>
      </c>
      <c r="BR259" s="7">
        <v>0</v>
      </c>
      <c r="BS259" s="90">
        <v>9</v>
      </c>
      <c r="BT259" s="90">
        <v>9</v>
      </c>
      <c r="BU259" s="90">
        <v>9</v>
      </c>
      <c r="BV259" s="90">
        <v>9</v>
      </c>
      <c r="BW259" s="90">
        <v>9</v>
      </c>
      <c r="BX259" s="90">
        <v>9</v>
      </c>
      <c r="BY259" s="90">
        <v>9</v>
      </c>
      <c r="BZ259" s="90">
        <v>9</v>
      </c>
      <c r="CA259" s="90">
        <v>9</v>
      </c>
      <c r="CB259" s="90">
        <v>9</v>
      </c>
      <c r="CC259" s="2" t="e">
        <f t="shared" ca="1" si="22"/>
        <v>#NAME?</v>
      </c>
      <c r="CD259" s="55"/>
      <c r="CE259" s="2"/>
      <c r="CF259" s="2">
        <v>9</v>
      </c>
      <c r="CG259" s="2">
        <v>9</v>
      </c>
      <c r="CH259" s="2">
        <v>9</v>
      </c>
      <c r="CI259" s="2">
        <v>9</v>
      </c>
      <c r="CJ259" s="2">
        <v>10</v>
      </c>
      <c r="CK259" s="2">
        <v>10</v>
      </c>
      <c r="CL259" s="2">
        <v>10</v>
      </c>
      <c r="CM259" s="2">
        <v>9</v>
      </c>
      <c r="CN259" s="2">
        <v>9</v>
      </c>
      <c r="CO259" s="2">
        <v>9</v>
      </c>
      <c r="CP259" s="2" t="e">
        <f t="shared" ca="1" si="23"/>
        <v>#NAME?</v>
      </c>
      <c r="CQ259" s="2">
        <v>9</v>
      </c>
      <c r="CR259" s="2">
        <v>9</v>
      </c>
      <c r="CS259" s="2">
        <v>9</v>
      </c>
      <c r="CT259" s="2">
        <v>9</v>
      </c>
      <c r="CU259" s="2">
        <v>9</v>
      </c>
      <c r="CV259" s="54">
        <f t="shared" ref="CV259:CV513" si="116">IFERROR( ROUNDUP(AVERAGE(CQ259:CU259),0),0)</f>
        <v>9</v>
      </c>
      <c r="CW259" s="55"/>
      <c r="CX259" s="3"/>
    </row>
    <row r="260" spans="1:102" ht="16.5" x14ac:dyDescent="0.55000000000000004">
      <c r="A260" s="17">
        <v>4</v>
      </c>
      <c r="B260" s="17" t="s">
        <v>5</v>
      </c>
      <c r="C260" s="23" t="s">
        <v>559</v>
      </c>
      <c r="D260" s="24" t="s">
        <v>560</v>
      </c>
      <c r="E260" s="48"/>
      <c r="F260" s="2">
        <v>20</v>
      </c>
      <c r="G260" s="2">
        <v>10</v>
      </c>
      <c r="H260" s="2">
        <v>10</v>
      </c>
      <c r="I260" s="2">
        <v>10</v>
      </c>
      <c r="J260" s="2">
        <v>10</v>
      </c>
      <c r="K260" s="2">
        <v>10</v>
      </c>
      <c r="L260" s="2">
        <f t="shared" ref="L260:P260" si="117">G260</f>
        <v>10</v>
      </c>
      <c r="M260" s="2">
        <f t="shared" si="117"/>
        <v>10</v>
      </c>
      <c r="N260" s="2">
        <f t="shared" si="117"/>
        <v>10</v>
      </c>
      <c r="O260" s="2">
        <f t="shared" si="117"/>
        <v>10</v>
      </c>
      <c r="P260" s="2">
        <f t="shared" si="117"/>
        <v>10</v>
      </c>
      <c r="Q260" s="2" t="e">
        <f t="shared" ca="1" si="19"/>
        <v>#NAME?</v>
      </c>
      <c r="R260" s="2">
        <v>10</v>
      </c>
      <c r="S260" s="2">
        <v>10</v>
      </c>
      <c r="T260" s="2">
        <v>10</v>
      </c>
      <c r="U260" s="2">
        <v>10</v>
      </c>
      <c r="V260" s="2">
        <v>10</v>
      </c>
      <c r="W260" s="54">
        <f t="shared" si="113"/>
        <v>10</v>
      </c>
      <c r="X260" s="48"/>
      <c r="Y260" s="2"/>
      <c r="Z260" s="2"/>
      <c r="AA260" s="2">
        <v>5</v>
      </c>
      <c r="AB260" s="2">
        <v>5</v>
      </c>
      <c r="AC260" s="2">
        <v>7</v>
      </c>
      <c r="AD260" s="2">
        <v>7</v>
      </c>
      <c r="AE260" s="2">
        <v>10</v>
      </c>
      <c r="AF260" s="2">
        <v>10</v>
      </c>
      <c r="AG260" s="2">
        <v>10</v>
      </c>
      <c r="AH260" s="2">
        <v>10</v>
      </c>
      <c r="AI260" s="2">
        <v>10</v>
      </c>
      <c r="AJ260" s="2">
        <v>10</v>
      </c>
      <c r="AK260" s="3"/>
      <c r="AL260" s="3"/>
      <c r="AM260" s="3"/>
      <c r="AN260" s="3"/>
      <c r="AO260" s="3"/>
      <c r="AP260" s="3"/>
      <c r="AQ260" s="2" t="e">
        <f t="shared" ca="1" si="20"/>
        <v>#NAME?</v>
      </c>
      <c r="AR260" s="2">
        <v>10</v>
      </c>
      <c r="AS260" s="2">
        <v>10</v>
      </c>
      <c r="AT260" s="2">
        <v>10</v>
      </c>
      <c r="AU260" s="2">
        <v>10</v>
      </c>
      <c r="AV260" s="2">
        <v>10</v>
      </c>
      <c r="AW260" s="54">
        <f t="shared" si="114"/>
        <v>10</v>
      </c>
      <c r="AX260" s="48">
        <v>8</v>
      </c>
      <c r="AY260" s="2">
        <v>6</v>
      </c>
      <c r="AZ260" s="2">
        <v>10</v>
      </c>
      <c r="BA260" s="2">
        <v>10</v>
      </c>
      <c r="BB260" s="2">
        <v>10</v>
      </c>
      <c r="BC260" s="2">
        <v>10</v>
      </c>
      <c r="BD260" s="2">
        <v>10</v>
      </c>
      <c r="BE260" s="2">
        <v>10</v>
      </c>
      <c r="BF260" s="2">
        <v>10</v>
      </c>
      <c r="BG260" s="2">
        <v>10</v>
      </c>
      <c r="BH260" s="2">
        <v>10</v>
      </c>
      <c r="BI260" s="57">
        <v>10</v>
      </c>
      <c r="BJ260" s="2" t="e">
        <f t="shared" ca="1" si="21"/>
        <v>#NAME?</v>
      </c>
      <c r="BK260" s="5">
        <v>10</v>
      </c>
      <c r="BL260" s="5">
        <v>10</v>
      </c>
      <c r="BM260" s="5">
        <v>10</v>
      </c>
      <c r="BN260" s="5">
        <v>10</v>
      </c>
      <c r="BO260" s="5">
        <v>10</v>
      </c>
      <c r="BP260" s="54">
        <f t="shared" si="115"/>
        <v>10</v>
      </c>
      <c r="BQ260" s="90">
        <v>0</v>
      </c>
      <c r="BR260" s="7">
        <v>0</v>
      </c>
      <c r="BS260" s="90">
        <v>10</v>
      </c>
      <c r="BT260" s="90">
        <v>10</v>
      </c>
      <c r="BU260" s="90">
        <v>10</v>
      </c>
      <c r="BV260" s="90">
        <v>10</v>
      </c>
      <c r="BW260" s="90">
        <v>10</v>
      </c>
      <c r="BX260" s="90">
        <v>10</v>
      </c>
      <c r="BY260" s="90">
        <v>10</v>
      </c>
      <c r="BZ260" s="90">
        <v>10</v>
      </c>
      <c r="CA260" s="90">
        <v>10</v>
      </c>
      <c r="CB260" s="90">
        <v>10</v>
      </c>
      <c r="CC260" s="2" t="e">
        <f t="shared" ca="1" si="22"/>
        <v>#NAME?</v>
      </c>
      <c r="CD260" s="55"/>
      <c r="CE260" s="2"/>
      <c r="CF260" s="2">
        <v>9</v>
      </c>
      <c r="CG260" s="2">
        <v>9</v>
      </c>
      <c r="CH260" s="2">
        <v>9</v>
      </c>
      <c r="CI260" s="2">
        <v>8</v>
      </c>
      <c r="CJ260" s="2">
        <v>8</v>
      </c>
      <c r="CK260" s="2">
        <v>8</v>
      </c>
      <c r="CL260" s="2">
        <v>9</v>
      </c>
      <c r="CM260" s="2">
        <v>9</v>
      </c>
      <c r="CN260" s="2">
        <v>9</v>
      </c>
      <c r="CO260" s="2">
        <v>9</v>
      </c>
      <c r="CP260" s="2" t="e">
        <f t="shared" ca="1" si="23"/>
        <v>#NAME?</v>
      </c>
      <c r="CQ260" s="2">
        <v>7</v>
      </c>
      <c r="CR260" s="2">
        <v>8</v>
      </c>
      <c r="CS260" s="2">
        <v>8</v>
      </c>
      <c r="CT260" s="2">
        <v>8</v>
      </c>
      <c r="CU260" s="2">
        <v>8</v>
      </c>
      <c r="CV260" s="54">
        <f t="shared" si="116"/>
        <v>8</v>
      </c>
      <c r="CW260" s="55"/>
      <c r="CX260" s="3"/>
    </row>
    <row r="261" spans="1:102" ht="16.5" x14ac:dyDescent="0.55000000000000004">
      <c r="A261" s="17">
        <v>4</v>
      </c>
      <c r="B261" s="17" t="s">
        <v>5</v>
      </c>
      <c r="C261" s="23" t="s">
        <v>561</v>
      </c>
      <c r="D261" s="24" t="s">
        <v>562</v>
      </c>
      <c r="E261" s="48"/>
      <c r="F261" s="2">
        <v>6</v>
      </c>
      <c r="G261" s="2">
        <v>9</v>
      </c>
      <c r="H261" s="2">
        <v>9</v>
      </c>
      <c r="I261" s="2">
        <v>8</v>
      </c>
      <c r="J261" s="2">
        <v>8</v>
      </c>
      <c r="K261" s="2">
        <v>8</v>
      </c>
      <c r="L261" s="2">
        <f t="shared" ref="L261:P261" si="118">G261</f>
        <v>9</v>
      </c>
      <c r="M261" s="2">
        <f t="shared" si="118"/>
        <v>9</v>
      </c>
      <c r="N261" s="2">
        <f t="shared" si="118"/>
        <v>8</v>
      </c>
      <c r="O261" s="2">
        <f t="shared" si="118"/>
        <v>8</v>
      </c>
      <c r="P261" s="2">
        <f t="shared" si="118"/>
        <v>8</v>
      </c>
      <c r="Q261" s="2" t="e">
        <f t="shared" ca="1" si="19"/>
        <v>#NAME?</v>
      </c>
      <c r="R261" s="2">
        <v>9</v>
      </c>
      <c r="S261" s="2">
        <v>8</v>
      </c>
      <c r="T261" s="2">
        <v>8</v>
      </c>
      <c r="U261" s="2">
        <v>9</v>
      </c>
      <c r="V261" s="2">
        <v>9</v>
      </c>
      <c r="W261" s="54">
        <f t="shared" si="113"/>
        <v>9</v>
      </c>
      <c r="X261" s="48"/>
      <c r="Y261" s="2"/>
      <c r="Z261" s="2"/>
      <c r="AA261" s="2">
        <v>5</v>
      </c>
      <c r="AB261" s="2">
        <v>5</v>
      </c>
      <c r="AC261" s="2">
        <v>7</v>
      </c>
      <c r="AD261" s="2">
        <v>7</v>
      </c>
      <c r="AE261" s="2">
        <v>10</v>
      </c>
      <c r="AF261" s="2">
        <v>10</v>
      </c>
      <c r="AG261" s="2">
        <v>10</v>
      </c>
      <c r="AH261" s="2">
        <v>10</v>
      </c>
      <c r="AI261" s="2">
        <v>10</v>
      </c>
      <c r="AJ261" s="2">
        <v>10</v>
      </c>
      <c r="AK261" s="3"/>
      <c r="AL261" s="3"/>
      <c r="AM261" s="3"/>
      <c r="AN261" s="3"/>
      <c r="AO261" s="3"/>
      <c r="AP261" s="3"/>
      <c r="AQ261" s="2" t="e">
        <f t="shared" ca="1" si="20"/>
        <v>#NAME?</v>
      </c>
      <c r="AR261" s="2">
        <v>5</v>
      </c>
      <c r="AS261" s="2">
        <v>10</v>
      </c>
      <c r="AT261" s="2">
        <v>10</v>
      </c>
      <c r="AU261" s="2">
        <v>10</v>
      </c>
      <c r="AV261" s="2">
        <v>10</v>
      </c>
      <c r="AW261" s="54">
        <f t="shared" si="114"/>
        <v>9</v>
      </c>
      <c r="AX261" s="48">
        <v>7</v>
      </c>
      <c r="AY261" s="2">
        <v>8</v>
      </c>
      <c r="AZ261" s="2">
        <v>10</v>
      </c>
      <c r="BA261" s="2">
        <v>8</v>
      </c>
      <c r="BB261" s="2">
        <v>8</v>
      </c>
      <c r="BC261" s="2">
        <v>8</v>
      </c>
      <c r="BD261" s="2">
        <v>8</v>
      </c>
      <c r="BE261" s="2">
        <v>8</v>
      </c>
      <c r="BF261" s="2">
        <v>8</v>
      </c>
      <c r="BG261" s="2">
        <v>8</v>
      </c>
      <c r="BH261" s="2">
        <v>8</v>
      </c>
      <c r="BI261" s="57">
        <v>8</v>
      </c>
      <c r="BJ261" s="2" t="e">
        <f t="shared" ca="1" si="21"/>
        <v>#NAME?</v>
      </c>
      <c r="BK261" s="5">
        <v>10</v>
      </c>
      <c r="BL261" s="5">
        <v>8</v>
      </c>
      <c r="BM261" s="5">
        <v>8</v>
      </c>
      <c r="BN261" s="5">
        <v>8</v>
      </c>
      <c r="BO261" s="5">
        <v>8</v>
      </c>
      <c r="BP261" s="54">
        <f t="shared" si="115"/>
        <v>9</v>
      </c>
      <c r="BQ261" s="90">
        <v>16</v>
      </c>
      <c r="BR261" s="7">
        <v>0</v>
      </c>
      <c r="BS261" s="90">
        <v>10</v>
      </c>
      <c r="BT261" s="90">
        <v>10</v>
      </c>
      <c r="BU261" s="90">
        <v>10</v>
      </c>
      <c r="BV261" s="90">
        <v>10</v>
      </c>
      <c r="BW261" s="90">
        <v>10</v>
      </c>
      <c r="BX261" s="7">
        <v>9</v>
      </c>
      <c r="BY261" s="7">
        <v>9</v>
      </c>
      <c r="BZ261" s="7">
        <v>9</v>
      </c>
      <c r="CA261" s="7">
        <v>9</v>
      </c>
      <c r="CB261" s="7">
        <v>9</v>
      </c>
      <c r="CC261" s="2" t="e">
        <f t="shared" ca="1" si="22"/>
        <v>#NAME?</v>
      </c>
      <c r="CD261" s="55"/>
      <c r="CE261" s="2"/>
      <c r="CF261" s="2">
        <v>8</v>
      </c>
      <c r="CG261" s="2">
        <v>8</v>
      </c>
      <c r="CH261" s="2">
        <v>8</v>
      </c>
      <c r="CI261" s="2">
        <v>8</v>
      </c>
      <c r="CJ261" s="2">
        <v>8</v>
      </c>
      <c r="CK261" s="2">
        <v>8</v>
      </c>
      <c r="CL261" s="2">
        <v>8</v>
      </c>
      <c r="CM261" s="2">
        <v>8</v>
      </c>
      <c r="CN261" s="2">
        <v>8</v>
      </c>
      <c r="CO261" s="2">
        <v>8</v>
      </c>
      <c r="CP261" s="2" t="e">
        <f t="shared" ca="1" si="23"/>
        <v>#NAME?</v>
      </c>
      <c r="CQ261" s="2">
        <v>8</v>
      </c>
      <c r="CR261" s="2">
        <v>8</v>
      </c>
      <c r="CS261" s="2">
        <v>8</v>
      </c>
      <c r="CT261" s="2">
        <v>8</v>
      </c>
      <c r="CU261" s="2">
        <v>8</v>
      </c>
      <c r="CV261" s="54">
        <f t="shared" si="116"/>
        <v>8</v>
      </c>
      <c r="CW261" s="55"/>
      <c r="CX261" s="3"/>
    </row>
    <row r="262" spans="1:102" ht="16.5" x14ac:dyDescent="0.55000000000000004">
      <c r="A262" s="17">
        <v>4</v>
      </c>
      <c r="B262" s="17" t="s">
        <v>5</v>
      </c>
      <c r="C262" s="23" t="s">
        <v>563</v>
      </c>
      <c r="D262" s="24" t="s">
        <v>564</v>
      </c>
      <c r="E262" s="48"/>
      <c r="F262" s="2">
        <v>8</v>
      </c>
      <c r="G262" s="2">
        <v>9</v>
      </c>
      <c r="H262" s="2">
        <v>9</v>
      </c>
      <c r="I262" s="2">
        <v>9</v>
      </c>
      <c r="J262" s="2">
        <v>8</v>
      </c>
      <c r="K262" s="2">
        <v>8</v>
      </c>
      <c r="L262" s="2">
        <f t="shared" ref="L262:P262" si="119">G262</f>
        <v>9</v>
      </c>
      <c r="M262" s="2">
        <f t="shared" si="119"/>
        <v>9</v>
      </c>
      <c r="N262" s="2">
        <f t="shared" si="119"/>
        <v>9</v>
      </c>
      <c r="O262" s="2">
        <f t="shared" si="119"/>
        <v>8</v>
      </c>
      <c r="P262" s="2">
        <f t="shared" si="119"/>
        <v>8</v>
      </c>
      <c r="Q262" s="2" t="e">
        <f t="shared" ca="1" si="19"/>
        <v>#NAME?</v>
      </c>
      <c r="R262" s="2">
        <v>10</v>
      </c>
      <c r="S262" s="2">
        <v>10</v>
      </c>
      <c r="T262" s="2">
        <v>10</v>
      </c>
      <c r="U262" s="2">
        <v>10</v>
      </c>
      <c r="V262" s="2">
        <v>10</v>
      </c>
      <c r="W262" s="54">
        <f t="shared" si="113"/>
        <v>10</v>
      </c>
      <c r="X262" s="48"/>
      <c r="Y262" s="2"/>
      <c r="Z262" s="2"/>
      <c r="AA262" s="2">
        <v>10</v>
      </c>
      <c r="AB262" s="2">
        <v>10</v>
      </c>
      <c r="AC262" s="2">
        <v>7</v>
      </c>
      <c r="AD262" s="2">
        <v>7</v>
      </c>
      <c r="AE262" s="2">
        <v>10</v>
      </c>
      <c r="AF262" s="2">
        <v>10</v>
      </c>
      <c r="AG262" s="2">
        <v>10</v>
      </c>
      <c r="AH262" s="2">
        <v>10</v>
      </c>
      <c r="AI262" s="2">
        <v>10</v>
      </c>
      <c r="AJ262" s="2">
        <v>10</v>
      </c>
      <c r="AK262" s="3"/>
      <c r="AL262" s="3"/>
      <c r="AM262" s="3"/>
      <c r="AN262" s="3"/>
      <c r="AO262" s="3"/>
      <c r="AP262" s="3"/>
      <c r="AQ262" s="2" t="e">
        <f t="shared" ca="1" si="20"/>
        <v>#NAME?</v>
      </c>
      <c r="AR262" s="2">
        <v>10</v>
      </c>
      <c r="AS262" s="2">
        <v>10</v>
      </c>
      <c r="AT262" s="2">
        <v>10</v>
      </c>
      <c r="AU262" s="2">
        <v>10</v>
      </c>
      <c r="AV262" s="2">
        <v>10</v>
      </c>
      <c r="AW262" s="54">
        <f t="shared" si="114"/>
        <v>10</v>
      </c>
      <c r="AX262" s="48">
        <v>8</v>
      </c>
      <c r="AY262" s="2">
        <v>6</v>
      </c>
      <c r="AZ262" s="2">
        <v>10</v>
      </c>
      <c r="BA262" s="2">
        <v>10</v>
      </c>
      <c r="BB262" s="2">
        <v>10</v>
      </c>
      <c r="BC262" s="2">
        <v>10</v>
      </c>
      <c r="BD262" s="2">
        <v>10</v>
      </c>
      <c r="BE262" s="2">
        <v>10</v>
      </c>
      <c r="BF262" s="2">
        <v>10</v>
      </c>
      <c r="BG262" s="2">
        <v>10</v>
      </c>
      <c r="BH262" s="2">
        <v>10</v>
      </c>
      <c r="BI262" s="57">
        <v>10</v>
      </c>
      <c r="BJ262" s="2" t="e">
        <f t="shared" ca="1" si="21"/>
        <v>#NAME?</v>
      </c>
      <c r="BK262" s="5">
        <v>10</v>
      </c>
      <c r="BL262" s="5">
        <v>10</v>
      </c>
      <c r="BM262" s="5">
        <v>10</v>
      </c>
      <c r="BN262" s="5">
        <v>10</v>
      </c>
      <c r="BO262" s="5">
        <v>10</v>
      </c>
      <c r="BP262" s="54">
        <f t="shared" si="115"/>
        <v>10</v>
      </c>
      <c r="BQ262" s="90">
        <v>12</v>
      </c>
      <c r="BR262" s="90">
        <v>4</v>
      </c>
      <c r="BS262" s="90">
        <v>10</v>
      </c>
      <c r="BT262" s="90">
        <v>10</v>
      </c>
      <c r="BU262" s="90">
        <v>10</v>
      </c>
      <c r="BV262" s="90">
        <v>10</v>
      </c>
      <c r="BW262" s="90">
        <v>10</v>
      </c>
      <c r="BX262" s="90">
        <v>10</v>
      </c>
      <c r="BY262" s="90">
        <v>10</v>
      </c>
      <c r="BZ262" s="90">
        <v>10</v>
      </c>
      <c r="CA262" s="90">
        <v>10</v>
      </c>
      <c r="CB262" s="90">
        <v>10</v>
      </c>
      <c r="CC262" s="2" t="e">
        <f t="shared" ca="1" si="22"/>
        <v>#NAME?</v>
      </c>
      <c r="CD262" s="55"/>
      <c r="CE262" s="2"/>
      <c r="CF262" s="2">
        <v>8</v>
      </c>
      <c r="CG262" s="2">
        <v>8</v>
      </c>
      <c r="CH262" s="2">
        <v>8</v>
      </c>
      <c r="CI262" s="2">
        <v>8</v>
      </c>
      <c r="CJ262" s="2">
        <v>8</v>
      </c>
      <c r="CK262" s="2">
        <v>8</v>
      </c>
      <c r="CL262" s="2">
        <v>8</v>
      </c>
      <c r="CM262" s="2">
        <v>8</v>
      </c>
      <c r="CN262" s="2">
        <v>8</v>
      </c>
      <c r="CO262" s="2">
        <v>8</v>
      </c>
      <c r="CP262" s="2" t="e">
        <f t="shared" ca="1" si="23"/>
        <v>#NAME?</v>
      </c>
      <c r="CQ262" s="2">
        <v>8</v>
      </c>
      <c r="CR262" s="2">
        <v>8</v>
      </c>
      <c r="CS262" s="2">
        <v>8</v>
      </c>
      <c r="CT262" s="2">
        <v>8</v>
      </c>
      <c r="CU262" s="2">
        <v>8</v>
      </c>
      <c r="CV262" s="54">
        <f t="shared" si="116"/>
        <v>8</v>
      </c>
      <c r="CW262" s="55"/>
      <c r="CX262" s="3"/>
    </row>
    <row r="263" spans="1:102" ht="16.5" x14ac:dyDescent="0.55000000000000004">
      <c r="A263" s="17">
        <v>4</v>
      </c>
      <c r="B263" s="17" t="s">
        <v>5</v>
      </c>
      <c r="C263" s="23" t="s">
        <v>565</v>
      </c>
      <c r="D263" s="24" t="s">
        <v>566</v>
      </c>
      <c r="E263" s="48"/>
      <c r="F263" s="2">
        <v>6</v>
      </c>
      <c r="G263" s="2">
        <v>8</v>
      </c>
      <c r="H263" s="2">
        <v>8</v>
      </c>
      <c r="I263" s="2">
        <v>8</v>
      </c>
      <c r="J263" s="2">
        <v>8</v>
      </c>
      <c r="K263" s="2">
        <v>7</v>
      </c>
      <c r="L263" s="2">
        <f t="shared" ref="L263:P263" si="120">G263</f>
        <v>8</v>
      </c>
      <c r="M263" s="2">
        <f t="shared" si="120"/>
        <v>8</v>
      </c>
      <c r="N263" s="2">
        <f t="shared" si="120"/>
        <v>8</v>
      </c>
      <c r="O263" s="2">
        <f t="shared" si="120"/>
        <v>8</v>
      </c>
      <c r="P263" s="2">
        <f t="shared" si="120"/>
        <v>7</v>
      </c>
      <c r="Q263" s="2" t="e">
        <f t="shared" ca="1" si="19"/>
        <v>#NAME?</v>
      </c>
      <c r="R263" s="2">
        <v>9</v>
      </c>
      <c r="S263" s="2">
        <v>10</v>
      </c>
      <c r="T263" s="2">
        <v>10</v>
      </c>
      <c r="U263" s="2">
        <v>10</v>
      </c>
      <c r="V263" s="2">
        <v>10</v>
      </c>
      <c r="W263" s="54">
        <f t="shared" si="113"/>
        <v>10</v>
      </c>
      <c r="X263" s="48"/>
      <c r="Y263" s="2"/>
      <c r="Z263" s="2"/>
      <c r="AA263" s="2">
        <v>10</v>
      </c>
      <c r="AB263" s="2">
        <v>10</v>
      </c>
      <c r="AC263" s="2">
        <v>7</v>
      </c>
      <c r="AD263" s="2">
        <v>7</v>
      </c>
      <c r="AE263" s="2">
        <v>10</v>
      </c>
      <c r="AF263" s="2">
        <v>10</v>
      </c>
      <c r="AG263" s="2">
        <v>10</v>
      </c>
      <c r="AH263" s="2">
        <v>10</v>
      </c>
      <c r="AI263" s="2">
        <v>10</v>
      </c>
      <c r="AJ263" s="2">
        <v>10</v>
      </c>
      <c r="AK263" s="3"/>
      <c r="AL263" s="3"/>
      <c r="AM263" s="3"/>
      <c r="AN263" s="3"/>
      <c r="AO263" s="3"/>
      <c r="AP263" s="3"/>
      <c r="AQ263" s="2" t="e">
        <f t="shared" ca="1" si="20"/>
        <v>#NAME?</v>
      </c>
      <c r="AR263" s="2">
        <v>10</v>
      </c>
      <c r="AS263" s="2">
        <v>10</v>
      </c>
      <c r="AT263" s="2">
        <v>10</v>
      </c>
      <c r="AU263" s="2">
        <v>10</v>
      </c>
      <c r="AV263" s="2">
        <v>10</v>
      </c>
      <c r="AW263" s="54">
        <f t="shared" si="114"/>
        <v>10</v>
      </c>
      <c r="AX263" s="48">
        <v>6</v>
      </c>
      <c r="AY263" s="2">
        <v>7</v>
      </c>
      <c r="AZ263" s="2">
        <v>10</v>
      </c>
      <c r="BA263" s="2">
        <v>10</v>
      </c>
      <c r="BB263" s="2">
        <v>10</v>
      </c>
      <c r="BC263" s="2">
        <v>10</v>
      </c>
      <c r="BD263" s="2">
        <v>10</v>
      </c>
      <c r="BE263" s="2">
        <v>10</v>
      </c>
      <c r="BF263" s="2">
        <v>10</v>
      </c>
      <c r="BG263" s="2">
        <v>10</v>
      </c>
      <c r="BH263" s="2">
        <v>10</v>
      </c>
      <c r="BI263" s="57">
        <v>10</v>
      </c>
      <c r="BJ263" s="2" t="e">
        <f t="shared" ca="1" si="21"/>
        <v>#NAME?</v>
      </c>
      <c r="BK263" s="5">
        <v>10</v>
      </c>
      <c r="BL263" s="5">
        <v>10</v>
      </c>
      <c r="BM263" s="5">
        <v>10</v>
      </c>
      <c r="BN263" s="5">
        <v>10</v>
      </c>
      <c r="BO263" s="5">
        <v>10</v>
      </c>
      <c r="BP263" s="54">
        <f t="shared" si="115"/>
        <v>10</v>
      </c>
      <c r="BQ263" s="90">
        <v>2</v>
      </c>
      <c r="BR263" s="7">
        <v>0</v>
      </c>
      <c r="BS263" s="90">
        <v>10</v>
      </c>
      <c r="BT263" s="90">
        <v>10</v>
      </c>
      <c r="BU263" s="90">
        <v>10</v>
      </c>
      <c r="BV263" s="90">
        <v>10</v>
      </c>
      <c r="BW263" s="90">
        <v>10</v>
      </c>
      <c r="BX263" s="90">
        <v>10</v>
      </c>
      <c r="BY263" s="90">
        <v>10</v>
      </c>
      <c r="BZ263" s="90">
        <v>10</v>
      </c>
      <c r="CA263" s="90">
        <v>10</v>
      </c>
      <c r="CB263" s="90">
        <v>10</v>
      </c>
      <c r="CC263" s="2" t="e">
        <f t="shared" ca="1" si="22"/>
        <v>#NAME?</v>
      </c>
      <c r="CD263" s="55"/>
      <c r="CE263" s="2"/>
      <c r="CF263" s="2">
        <v>8</v>
      </c>
      <c r="CG263" s="2">
        <v>8</v>
      </c>
      <c r="CH263" s="2">
        <v>8</v>
      </c>
      <c r="CI263" s="2">
        <v>7</v>
      </c>
      <c r="CJ263" s="2">
        <v>7</v>
      </c>
      <c r="CK263" s="2">
        <v>7</v>
      </c>
      <c r="CL263" s="2">
        <v>7</v>
      </c>
      <c r="CM263" s="2">
        <v>7</v>
      </c>
      <c r="CN263" s="2">
        <v>7</v>
      </c>
      <c r="CO263" s="2">
        <v>7</v>
      </c>
      <c r="CP263" s="2" t="e">
        <f t="shared" ca="1" si="23"/>
        <v>#NAME?</v>
      </c>
      <c r="CQ263" s="2">
        <v>7</v>
      </c>
      <c r="CR263" s="2">
        <v>7</v>
      </c>
      <c r="CS263" s="2">
        <v>7</v>
      </c>
      <c r="CT263" s="2">
        <v>7</v>
      </c>
      <c r="CU263" s="2">
        <v>7</v>
      </c>
      <c r="CV263" s="54">
        <f t="shared" si="116"/>
        <v>7</v>
      </c>
      <c r="CW263" s="55"/>
      <c r="CX263" s="3"/>
    </row>
    <row r="264" spans="1:102" ht="16.5" x14ac:dyDescent="0.55000000000000004">
      <c r="A264" s="17">
        <v>4</v>
      </c>
      <c r="B264" s="17" t="s">
        <v>5</v>
      </c>
      <c r="C264" s="23" t="s">
        <v>567</v>
      </c>
      <c r="D264" s="24" t="s">
        <v>568</v>
      </c>
      <c r="E264" s="48"/>
      <c r="F264" s="2">
        <v>8</v>
      </c>
      <c r="G264" s="2">
        <v>8</v>
      </c>
      <c r="H264" s="2">
        <v>8</v>
      </c>
      <c r="I264" s="2">
        <v>7</v>
      </c>
      <c r="J264" s="2">
        <v>7</v>
      </c>
      <c r="K264" s="2">
        <v>7</v>
      </c>
      <c r="L264" s="2">
        <f t="shared" ref="L264:P264" si="121">G264</f>
        <v>8</v>
      </c>
      <c r="M264" s="2">
        <f t="shared" si="121"/>
        <v>8</v>
      </c>
      <c r="N264" s="2">
        <f t="shared" si="121"/>
        <v>7</v>
      </c>
      <c r="O264" s="2">
        <f t="shared" si="121"/>
        <v>7</v>
      </c>
      <c r="P264" s="2">
        <f t="shared" si="121"/>
        <v>7</v>
      </c>
      <c r="Q264" s="2" t="e">
        <f t="shared" ca="1" si="19"/>
        <v>#NAME?</v>
      </c>
      <c r="R264" s="2">
        <v>9</v>
      </c>
      <c r="S264" s="2">
        <v>10</v>
      </c>
      <c r="T264" s="2">
        <v>10</v>
      </c>
      <c r="U264" s="2">
        <v>10</v>
      </c>
      <c r="V264" s="2">
        <v>10</v>
      </c>
      <c r="W264" s="54">
        <f t="shared" si="113"/>
        <v>10</v>
      </c>
      <c r="X264" s="48"/>
      <c r="Y264" s="2"/>
      <c r="Z264" s="2"/>
      <c r="AA264" s="2">
        <v>10</v>
      </c>
      <c r="AB264" s="2">
        <v>10</v>
      </c>
      <c r="AC264" s="2">
        <v>10</v>
      </c>
      <c r="AD264" s="2">
        <v>10</v>
      </c>
      <c r="AE264" s="2">
        <v>10</v>
      </c>
      <c r="AF264" s="2">
        <v>10</v>
      </c>
      <c r="AG264" s="2">
        <v>10</v>
      </c>
      <c r="AH264" s="2">
        <v>10</v>
      </c>
      <c r="AI264" s="2">
        <v>10</v>
      </c>
      <c r="AJ264" s="2">
        <v>10</v>
      </c>
      <c r="AK264" s="3"/>
      <c r="AL264" s="3"/>
      <c r="AM264" s="3"/>
      <c r="AN264" s="3"/>
      <c r="AO264" s="3"/>
      <c r="AP264" s="3"/>
      <c r="AQ264" s="2" t="e">
        <f t="shared" ca="1" si="20"/>
        <v>#NAME?</v>
      </c>
      <c r="AR264" s="2">
        <v>10</v>
      </c>
      <c r="AS264" s="2">
        <v>10</v>
      </c>
      <c r="AT264" s="2">
        <v>10</v>
      </c>
      <c r="AU264" s="2">
        <v>10</v>
      </c>
      <c r="AV264" s="2">
        <v>10</v>
      </c>
      <c r="AW264" s="54">
        <f t="shared" si="114"/>
        <v>10</v>
      </c>
      <c r="AX264" s="48">
        <v>6</v>
      </c>
      <c r="AY264" s="2">
        <v>7</v>
      </c>
      <c r="AZ264" s="2">
        <v>10</v>
      </c>
      <c r="BA264" s="2">
        <v>10</v>
      </c>
      <c r="BB264" s="2">
        <v>10</v>
      </c>
      <c r="BC264" s="2">
        <v>10</v>
      </c>
      <c r="BD264" s="2">
        <v>10</v>
      </c>
      <c r="BE264" s="2">
        <v>10</v>
      </c>
      <c r="BF264" s="2">
        <v>10</v>
      </c>
      <c r="BG264" s="2">
        <v>10</v>
      </c>
      <c r="BH264" s="2">
        <v>10</v>
      </c>
      <c r="BI264" s="57">
        <v>10</v>
      </c>
      <c r="BJ264" s="2" t="e">
        <f t="shared" ca="1" si="21"/>
        <v>#NAME?</v>
      </c>
      <c r="BK264" s="5">
        <v>10</v>
      </c>
      <c r="BL264" s="5">
        <v>10</v>
      </c>
      <c r="BM264" s="5">
        <v>10</v>
      </c>
      <c r="BN264" s="5">
        <v>10</v>
      </c>
      <c r="BO264" s="5">
        <v>10</v>
      </c>
      <c r="BP264" s="54">
        <f t="shared" si="115"/>
        <v>10</v>
      </c>
      <c r="BQ264" s="90">
        <v>0</v>
      </c>
      <c r="BR264" s="90">
        <v>4</v>
      </c>
      <c r="BS264" s="90">
        <v>10</v>
      </c>
      <c r="BT264" s="90">
        <v>10</v>
      </c>
      <c r="BU264" s="90">
        <v>9</v>
      </c>
      <c r="BV264" s="90">
        <v>9</v>
      </c>
      <c r="BW264" s="90">
        <v>9</v>
      </c>
      <c r="BX264" s="90">
        <v>10</v>
      </c>
      <c r="BY264" s="90">
        <v>10</v>
      </c>
      <c r="BZ264" s="90">
        <v>10</v>
      </c>
      <c r="CA264" s="90">
        <v>10</v>
      </c>
      <c r="CB264" s="90">
        <v>10</v>
      </c>
      <c r="CC264" s="2" t="e">
        <f t="shared" ca="1" si="22"/>
        <v>#NAME?</v>
      </c>
      <c r="CD264" s="55"/>
      <c r="CE264" s="2"/>
      <c r="CF264" s="2">
        <v>8</v>
      </c>
      <c r="CG264" s="2">
        <v>8</v>
      </c>
      <c r="CH264" s="2">
        <v>8</v>
      </c>
      <c r="CI264" s="2">
        <v>7</v>
      </c>
      <c r="CJ264" s="2">
        <v>7</v>
      </c>
      <c r="CK264" s="2">
        <v>7</v>
      </c>
      <c r="CL264" s="2">
        <v>7</v>
      </c>
      <c r="CM264" s="2">
        <v>7</v>
      </c>
      <c r="CN264" s="2">
        <v>7</v>
      </c>
      <c r="CO264" s="2">
        <v>7</v>
      </c>
      <c r="CP264" s="2" t="e">
        <f t="shared" ca="1" si="23"/>
        <v>#NAME?</v>
      </c>
      <c r="CQ264" s="2">
        <v>8</v>
      </c>
      <c r="CR264" s="2">
        <v>8</v>
      </c>
      <c r="CS264" s="2">
        <v>8</v>
      </c>
      <c r="CT264" s="2">
        <v>8</v>
      </c>
      <c r="CU264" s="2">
        <v>8</v>
      </c>
      <c r="CV264" s="54">
        <f t="shared" si="116"/>
        <v>8</v>
      </c>
      <c r="CW264" s="55"/>
      <c r="CX264" s="3"/>
    </row>
    <row r="265" spans="1:102" ht="16.5" x14ac:dyDescent="0.55000000000000004">
      <c r="A265" s="17">
        <v>1</v>
      </c>
      <c r="B265" s="17" t="s">
        <v>569</v>
      </c>
      <c r="C265" s="23" t="s">
        <v>570</v>
      </c>
      <c r="D265" s="24" t="s">
        <v>571</v>
      </c>
      <c r="E265" s="48">
        <v>13</v>
      </c>
      <c r="F265" s="2"/>
      <c r="G265" s="2">
        <v>7</v>
      </c>
      <c r="H265" s="2">
        <v>7</v>
      </c>
      <c r="I265" s="2">
        <v>8</v>
      </c>
      <c r="J265" s="2">
        <v>9</v>
      </c>
      <c r="K265" s="2">
        <v>10</v>
      </c>
      <c r="L265" s="2">
        <v>8</v>
      </c>
      <c r="M265" s="2">
        <v>8</v>
      </c>
      <c r="N265" s="2">
        <v>9</v>
      </c>
      <c r="O265" s="2">
        <v>10</v>
      </c>
      <c r="P265" s="2">
        <v>10</v>
      </c>
      <c r="Q265" s="2" t="e">
        <f t="shared" ca="1" si="19"/>
        <v>#NAME?</v>
      </c>
      <c r="R265" s="2">
        <v>7</v>
      </c>
      <c r="S265" s="2">
        <v>7</v>
      </c>
      <c r="T265" s="2">
        <v>8</v>
      </c>
      <c r="U265" s="2">
        <v>9</v>
      </c>
      <c r="V265" s="2">
        <v>10</v>
      </c>
      <c r="W265" s="54">
        <f t="shared" si="113"/>
        <v>9</v>
      </c>
      <c r="X265" s="48">
        <v>0</v>
      </c>
      <c r="Y265" s="2">
        <v>10</v>
      </c>
      <c r="Z265" s="2"/>
      <c r="AA265" s="2">
        <v>10</v>
      </c>
      <c r="AB265" s="2">
        <v>10</v>
      </c>
      <c r="AC265" s="2">
        <v>10</v>
      </c>
      <c r="AD265" s="2">
        <v>10</v>
      </c>
      <c r="AE265" s="2">
        <v>10</v>
      </c>
      <c r="AF265" s="2">
        <v>10</v>
      </c>
      <c r="AG265" s="2">
        <v>10</v>
      </c>
      <c r="AH265" s="2">
        <v>10</v>
      </c>
      <c r="AI265" s="2">
        <v>10</v>
      </c>
      <c r="AJ265" s="2">
        <v>10</v>
      </c>
      <c r="AK265" s="3"/>
      <c r="AL265" s="3"/>
      <c r="AM265" s="3"/>
      <c r="AN265" s="3"/>
      <c r="AO265" s="3"/>
      <c r="AP265" s="3"/>
      <c r="AQ265" s="2" t="e">
        <f t="shared" ca="1" si="20"/>
        <v>#NAME?</v>
      </c>
      <c r="AR265" s="2">
        <v>10</v>
      </c>
      <c r="AS265" s="2">
        <v>10</v>
      </c>
      <c r="AT265" s="2">
        <v>10</v>
      </c>
      <c r="AU265" s="2">
        <v>10</v>
      </c>
      <c r="AV265" s="2">
        <v>10</v>
      </c>
      <c r="AW265" s="54">
        <f t="shared" si="114"/>
        <v>10</v>
      </c>
      <c r="AX265" s="48"/>
      <c r="AY265" s="2"/>
      <c r="AZ265" s="2">
        <v>10</v>
      </c>
      <c r="BA265" s="2">
        <v>10</v>
      </c>
      <c r="BB265" s="2">
        <v>10</v>
      </c>
      <c r="BC265" s="2">
        <v>10</v>
      </c>
      <c r="BD265" s="2">
        <v>9</v>
      </c>
      <c r="BE265" s="2">
        <v>8</v>
      </c>
      <c r="BF265" s="2">
        <v>9</v>
      </c>
      <c r="BG265" s="2">
        <v>8</v>
      </c>
      <c r="BH265" s="2">
        <v>8</v>
      </c>
      <c r="BI265" s="57">
        <v>8</v>
      </c>
      <c r="BJ265" s="2" t="e">
        <f t="shared" ca="1" si="21"/>
        <v>#NAME?</v>
      </c>
      <c r="BK265" s="5">
        <v>9</v>
      </c>
      <c r="BL265" s="5">
        <v>10</v>
      </c>
      <c r="BM265" s="5">
        <v>9</v>
      </c>
      <c r="BN265" s="5">
        <v>7</v>
      </c>
      <c r="BO265" s="5">
        <v>7</v>
      </c>
      <c r="BP265" s="54">
        <f t="shared" si="115"/>
        <v>9</v>
      </c>
      <c r="BQ265" s="5"/>
      <c r="BR265" s="5"/>
      <c r="BS265" s="47">
        <v>8</v>
      </c>
      <c r="BT265" s="47">
        <v>8</v>
      </c>
      <c r="BU265" s="47">
        <v>8</v>
      </c>
      <c r="BV265" s="47">
        <v>8</v>
      </c>
      <c r="BW265" s="47">
        <v>8</v>
      </c>
      <c r="BX265" s="47">
        <v>8</v>
      </c>
      <c r="BY265" s="47">
        <v>8</v>
      </c>
      <c r="BZ265" s="47">
        <v>8</v>
      </c>
      <c r="CA265" s="47">
        <v>8</v>
      </c>
      <c r="CB265" s="47">
        <v>8</v>
      </c>
      <c r="CC265" s="2" t="e">
        <f t="shared" ca="1" si="22"/>
        <v>#NAME?</v>
      </c>
      <c r="CD265" s="55"/>
      <c r="CE265" s="2"/>
      <c r="CF265" s="2">
        <v>7</v>
      </c>
      <c r="CG265" s="2">
        <v>8</v>
      </c>
      <c r="CH265" s="2">
        <v>8</v>
      </c>
      <c r="CI265" s="2">
        <v>9</v>
      </c>
      <c r="CJ265" s="2">
        <v>10</v>
      </c>
      <c r="CK265" s="2">
        <v>10</v>
      </c>
      <c r="CL265" s="2">
        <v>10</v>
      </c>
      <c r="CM265" s="2">
        <v>9</v>
      </c>
      <c r="CN265" s="2">
        <v>10</v>
      </c>
      <c r="CO265" s="2">
        <v>10</v>
      </c>
      <c r="CP265" s="2" t="e">
        <f t="shared" ca="1" si="23"/>
        <v>#NAME?</v>
      </c>
      <c r="CQ265" s="2">
        <v>7</v>
      </c>
      <c r="CR265" s="2">
        <v>8</v>
      </c>
      <c r="CS265" s="2">
        <v>9</v>
      </c>
      <c r="CT265" s="2">
        <v>10</v>
      </c>
      <c r="CU265" s="2">
        <v>10</v>
      </c>
      <c r="CV265" s="54">
        <f t="shared" si="116"/>
        <v>9</v>
      </c>
      <c r="CW265" s="55" t="s">
        <v>31</v>
      </c>
      <c r="CX265" s="3"/>
    </row>
    <row r="266" spans="1:102" ht="16.5" x14ac:dyDescent="0.55000000000000004">
      <c r="A266" s="17">
        <v>1</v>
      </c>
      <c r="B266" s="17" t="s">
        <v>569</v>
      </c>
      <c r="C266" s="23" t="s">
        <v>572</v>
      </c>
      <c r="D266" s="24" t="s">
        <v>573</v>
      </c>
      <c r="E266" s="48">
        <v>20</v>
      </c>
      <c r="F266" s="2"/>
      <c r="G266" s="2">
        <v>10</v>
      </c>
      <c r="H266" s="2">
        <v>10</v>
      </c>
      <c r="I266" s="2">
        <v>10</v>
      </c>
      <c r="J266" s="2">
        <v>10</v>
      </c>
      <c r="K266" s="2">
        <v>10</v>
      </c>
      <c r="L266" s="2">
        <v>10</v>
      </c>
      <c r="M266" s="2">
        <v>10</v>
      </c>
      <c r="N266" s="2">
        <v>10</v>
      </c>
      <c r="O266" s="2">
        <v>10</v>
      </c>
      <c r="P266" s="2">
        <v>10</v>
      </c>
      <c r="Q266" s="2" t="e">
        <f t="shared" ca="1" si="19"/>
        <v>#NAME?</v>
      </c>
      <c r="R266" s="2">
        <v>10</v>
      </c>
      <c r="S266" s="2">
        <v>10</v>
      </c>
      <c r="T266" s="2">
        <v>10</v>
      </c>
      <c r="U266" s="2">
        <v>10</v>
      </c>
      <c r="V266" s="2">
        <v>10</v>
      </c>
      <c r="W266" s="54">
        <f t="shared" si="113"/>
        <v>10</v>
      </c>
      <c r="X266" s="48">
        <v>10</v>
      </c>
      <c r="Y266" s="2">
        <v>10</v>
      </c>
      <c r="Z266" s="2"/>
      <c r="AA266" s="2">
        <v>10</v>
      </c>
      <c r="AB266" s="2">
        <v>10</v>
      </c>
      <c r="AC266" s="2">
        <v>10</v>
      </c>
      <c r="AD266" s="2">
        <v>10</v>
      </c>
      <c r="AE266" s="2">
        <v>10</v>
      </c>
      <c r="AF266" s="2">
        <v>10</v>
      </c>
      <c r="AG266" s="2">
        <v>10</v>
      </c>
      <c r="AH266" s="2">
        <v>10</v>
      </c>
      <c r="AI266" s="2">
        <v>10</v>
      </c>
      <c r="AJ266" s="2">
        <v>10</v>
      </c>
      <c r="AK266" s="3"/>
      <c r="AL266" s="3"/>
      <c r="AM266" s="3"/>
      <c r="AN266" s="3"/>
      <c r="AO266" s="3"/>
      <c r="AP266" s="3"/>
      <c r="AQ266" s="2" t="e">
        <f t="shared" ca="1" si="20"/>
        <v>#NAME?</v>
      </c>
      <c r="AR266" s="2">
        <v>10</v>
      </c>
      <c r="AS266" s="2">
        <v>10</v>
      </c>
      <c r="AT266" s="2">
        <v>10</v>
      </c>
      <c r="AU266" s="2">
        <v>10</v>
      </c>
      <c r="AV266" s="2">
        <v>10</v>
      </c>
      <c r="AW266" s="54">
        <f t="shared" si="114"/>
        <v>10</v>
      </c>
      <c r="AX266" s="48"/>
      <c r="AY266" s="2"/>
      <c r="AZ266" s="2">
        <v>10</v>
      </c>
      <c r="BA266" s="2">
        <v>10</v>
      </c>
      <c r="BB266" s="2">
        <v>10</v>
      </c>
      <c r="BC266" s="2">
        <v>10</v>
      </c>
      <c r="BD266" s="2">
        <v>10</v>
      </c>
      <c r="BE266" s="2">
        <v>10</v>
      </c>
      <c r="BF266" s="2">
        <v>10</v>
      </c>
      <c r="BG266" s="2">
        <v>10</v>
      </c>
      <c r="BH266" s="2">
        <v>10</v>
      </c>
      <c r="BI266" s="2">
        <v>10</v>
      </c>
      <c r="BJ266" s="2" t="e">
        <f t="shared" ca="1" si="21"/>
        <v>#NAME?</v>
      </c>
      <c r="BK266" s="5">
        <v>10</v>
      </c>
      <c r="BL266" s="5">
        <v>10</v>
      </c>
      <c r="BM266" s="2">
        <v>10</v>
      </c>
      <c r="BN266" s="2">
        <v>10</v>
      </c>
      <c r="BO266" s="2">
        <v>10</v>
      </c>
      <c r="BP266" s="54">
        <f t="shared" si="115"/>
        <v>10</v>
      </c>
      <c r="BQ266" s="5"/>
      <c r="BR266" s="5"/>
      <c r="BS266" s="47">
        <v>10</v>
      </c>
      <c r="BT266" s="47">
        <v>10</v>
      </c>
      <c r="BU266" s="47">
        <v>10</v>
      </c>
      <c r="BV266" s="47">
        <v>10</v>
      </c>
      <c r="BW266" s="47">
        <v>10</v>
      </c>
      <c r="BX266" s="47">
        <v>10</v>
      </c>
      <c r="BY266" s="47">
        <v>10</v>
      </c>
      <c r="BZ266" s="47">
        <v>10</v>
      </c>
      <c r="CA266" s="47">
        <v>10</v>
      </c>
      <c r="CB266" s="47">
        <v>10</v>
      </c>
      <c r="CC266" s="2" t="e">
        <f t="shared" ca="1" si="22"/>
        <v>#NAME?</v>
      </c>
      <c r="CD266" s="55"/>
      <c r="CE266" s="2"/>
      <c r="CF266" s="2">
        <v>10</v>
      </c>
      <c r="CG266" s="2">
        <v>10</v>
      </c>
      <c r="CH266" s="2">
        <v>10</v>
      </c>
      <c r="CI266" s="2">
        <v>10</v>
      </c>
      <c r="CJ266" s="2">
        <v>10</v>
      </c>
      <c r="CK266" s="2">
        <v>10</v>
      </c>
      <c r="CL266" s="2">
        <v>10</v>
      </c>
      <c r="CM266" s="2">
        <v>10</v>
      </c>
      <c r="CN266" s="2">
        <v>10</v>
      </c>
      <c r="CO266" s="2">
        <v>10</v>
      </c>
      <c r="CP266" s="2" t="e">
        <f t="shared" ca="1" si="23"/>
        <v>#NAME?</v>
      </c>
      <c r="CQ266" s="2">
        <v>10</v>
      </c>
      <c r="CR266" s="2">
        <v>10</v>
      </c>
      <c r="CS266" s="2">
        <v>10</v>
      </c>
      <c r="CT266" s="2">
        <v>10</v>
      </c>
      <c r="CU266" s="2">
        <v>10</v>
      </c>
      <c r="CV266" s="54">
        <f t="shared" si="116"/>
        <v>10</v>
      </c>
      <c r="CW266" s="55">
        <v>20</v>
      </c>
      <c r="CX266" s="3"/>
    </row>
    <row r="267" spans="1:102" ht="16.5" x14ac:dyDescent="0.55000000000000004">
      <c r="A267" s="17">
        <v>1</v>
      </c>
      <c r="B267" s="17" t="s">
        <v>569</v>
      </c>
      <c r="C267" s="23" t="s">
        <v>574</v>
      </c>
      <c r="D267" s="24" t="s">
        <v>575</v>
      </c>
      <c r="E267" s="48">
        <v>14</v>
      </c>
      <c r="F267" s="2"/>
      <c r="G267" s="2">
        <v>10</v>
      </c>
      <c r="H267" s="2">
        <v>10</v>
      </c>
      <c r="I267" s="2">
        <v>10</v>
      </c>
      <c r="J267" s="2">
        <v>10</v>
      </c>
      <c r="K267" s="2">
        <v>10</v>
      </c>
      <c r="L267" s="2">
        <v>10</v>
      </c>
      <c r="M267" s="2">
        <v>10</v>
      </c>
      <c r="N267" s="2">
        <v>10</v>
      </c>
      <c r="O267" s="2">
        <v>10</v>
      </c>
      <c r="P267" s="2">
        <v>10</v>
      </c>
      <c r="Q267" s="2" t="e">
        <f t="shared" ca="1" si="19"/>
        <v>#NAME?</v>
      </c>
      <c r="R267" s="2">
        <v>10</v>
      </c>
      <c r="S267" s="2">
        <v>10</v>
      </c>
      <c r="T267" s="2">
        <v>10</v>
      </c>
      <c r="U267" s="2">
        <v>10</v>
      </c>
      <c r="V267" s="2">
        <v>10</v>
      </c>
      <c r="W267" s="54">
        <f t="shared" si="113"/>
        <v>10</v>
      </c>
      <c r="X267" s="48">
        <v>10</v>
      </c>
      <c r="Y267" s="2">
        <v>10</v>
      </c>
      <c r="Z267" s="2"/>
      <c r="AA267" s="2">
        <v>10</v>
      </c>
      <c r="AB267" s="2">
        <v>10</v>
      </c>
      <c r="AC267" s="2">
        <v>10</v>
      </c>
      <c r="AD267" s="2">
        <v>10</v>
      </c>
      <c r="AE267" s="2">
        <v>10</v>
      </c>
      <c r="AF267" s="2">
        <v>10</v>
      </c>
      <c r="AG267" s="2">
        <v>10</v>
      </c>
      <c r="AH267" s="2">
        <v>10</v>
      </c>
      <c r="AI267" s="2">
        <v>10</v>
      </c>
      <c r="AJ267" s="2">
        <v>10</v>
      </c>
      <c r="AK267" s="3"/>
      <c r="AL267" s="3"/>
      <c r="AM267" s="3"/>
      <c r="AN267" s="3"/>
      <c r="AO267" s="3"/>
      <c r="AP267" s="3"/>
      <c r="AQ267" s="2" t="e">
        <f t="shared" ca="1" si="20"/>
        <v>#NAME?</v>
      </c>
      <c r="AR267" s="2">
        <v>10</v>
      </c>
      <c r="AS267" s="2">
        <v>10</v>
      </c>
      <c r="AT267" s="2">
        <v>10</v>
      </c>
      <c r="AU267" s="2">
        <v>10</v>
      </c>
      <c r="AV267" s="2">
        <v>10</v>
      </c>
      <c r="AW267" s="54">
        <f t="shared" si="114"/>
        <v>10</v>
      </c>
      <c r="AX267" s="48"/>
      <c r="AY267" s="2"/>
      <c r="AZ267" s="2">
        <v>10</v>
      </c>
      <c r="BA267" s="2">
        <v>10</v>
      </c>
      <c r="BB267" s="2">
        <v>10</v>
      </c>
      <c r="BC267" s="2">
        <v>10</v>
      </c>
      <c r="BD267" s="2">
        <v>10</v>
      </c>
      <c r="BE267" s="2">
        <v>10</v>
      </c>
      <c r="BF267" s="2">
        <v>10</v>
      </c>
      <c r="BG267" s="2">
        <v>10</v>
      </c>
      <c r="BH267" s="2">
        <v>10</v>
      </c>
      <c r="BI267" s="2">
        <v>10</v>
      </c>
      <c r="BJ267" s="2" t="e">
        <f t="shared" ca="1" si="21"/>
        <v>#NAME?</v>
      </c>
      <c r="BK267" s="5">
        <v>10</v>
      </c>
      <c r="BL267" s="5">
        <v>10</v>
      </c>
      <c r="BM267" s="2">
        <v>10</v>
      </c>
      <c r="BN267" s="2">
        <v>10</v>
      </c>
      <c r="BO267" s="2">
        <v>10</v>
      </c>
      <c r="BP267" s="54">
        <f t="shared" si="115"/>
        <v>10</v>
      </c>
      <c r="BQ267" s="5"/>
      <c r="BR267" s="5"/>
      <c r="BS267" s="47">
        <v>10</v>
      </c>
      <c r="BT267" s="47">
        <v>10</v>
      </c>
      <c r="BU267" s="47">
        <v>10</v>
      </c>
      <c r="BV267" s="47">
        <v>10</v>
      </c>
      <c r="BW267" s="47">
        <v>10</v>
      </c>
      <c r="BX267" s="47">
        <v>10</v>
      </c>
      <c r="BY267" s="47">
        <v>10</v>
      </c>
      <c r="BZ267" s="47">
        <v>10</v>
      </c>
      <c r="CA267" s="47">
        <v>10</v>
      </c>
      <c r="CB267" s="47">
        <v>10</v>
      </c>
      <c r="CC267" s="2" t="e">
        <f t="shared" ca="1" si="22"/>
        <v>#NAME?</v>
      </c>
      <c r="CD267" s="55"/>
      <c r="CE267" s="2"/>
      <c r="CF267" s="2">
        <v>10</v>
      </c>
      <c r="CG267" s="2">
        <v>10</v>
      </c>
      <c r="CH267" s="2">
        <v>10</v>
      </c>
      <c r="CI267" s="2">
        <v>10</v>
      </c>
      <c r="CJ267" s="2">
        <v>10</v>
      </c>
      <c r="CK267" s="2">
        <v>10</v>
      </c>
      <c r="CL267" s="2">
        <v>10</v>
      </c>
      <c r="CM267" s="2">
        <v>10</v>
      </c>
      <c r="CN267" s="2">
        <v>10</v>
      </c>
      <c r="CO267" s="2">
        <v>10</v>
      </c>
      <c r="CP267" s="2" t="e">
        <f t="shared" ca="1" si="23"/>
        <v>#NAME?</v>
      </c>
      <c r="CQ267" s="2">
        <v>10</v>
      </c>
      <c r="CR267" s="2">
        <v>10</v>
      </c>
      <c r="CS267" s="2">
        <v>10</v>
      </c>
      <c r="CT267" s="2">
        <v>10</v>
      </c>
      <c r="CU267" s="2">
        <v>10</v>
      </c>
      <c r="CV267" s="54">
        <f t="shared" si="116"/>
        <v>10</v>
      </c>
      <c r="CW267" s="55">
        <v>20</v>
      </c>
      <c r="CX267" s="3"/>
    </row>
    <row r="268" spans="1:102" ht="16.5" x14ac:dyDescent="0.55000000000000004">
      <c r="A268" s="17">
        <v>1</v>
      </c>
      <c r="B268" s="17" t="s">
        <v>569</v>
      </c>
      <c r="C268" s="23" t="s">
        <v>576</v>
      </c>
      <c r="D268" s="24" t="s">
        <v>577</v>
      </c>
      <c r="E268" s="48">
        <v>0</v>
      </c>
      <c r="F268" s="2"/>
      <c r="G268" s="2">
        <v>10</v>
      </c>
      <c r="H268" s="2">
        <v>10</v>
      </c>
      <c r="I268" s="2">
        <v>10</v>
      </c>
      <c r="J268" s="2">
        <v>10</v>
      </c>
      <c r="K268" s="2">
        <v>10</v>
      </c>
      <c r="L268" s="2">
        <v>10</v>
      </c>
      <c r="M268" s="2">
        <v>10</v>
      </c>
      <c r="N268" s="2">
        <v>10</v>
      </c>
      <c r="O268" s="2">
        <v>10</v>
      </c>
      <c r="P268" s="2">
        <v>10</v>
      </c>
      <c r="Q268" s="2" t="e">
        <f t="shared" ca="1" si="19"/>
        <v>#NAME?</v>
      </c>
      <c r="R268" s="2">
        <v>10</v>
      </c>
      <c r="S268" s="2">
        <v>9</v>
      </c>
      <c r="T268" s="2">
        <v>10</v>
      </c>
      <c r="U268" s="2">
        <v>10</v>
      </c>
      <c r="V268" s="2">
        <v>10</v>
      </c>
      <c r="W268" s="54">
        <f t="shared" si="113"/>
        <v>10</v>
      </c>
      <c r="X268" s="48">
        <v>0</v>
      </c>
      <c r="Y268" s="2">
        <v>7</v>
      </c>
      <c r="Z268" s="2"/>
      <c r="AA268" s="2">
        <v>10</v>
      </c>
      <c r="AB268" s="2">
        <v>10</v>
      </c>
      <c r="AC268" s="2">
        <v>10</v>
      </c>
      <c r="AD268" s="2">
        <v>10</v>
      </c>
      <c r="AE268" s="2">
        <v>10</v>
      </c>
      <c r="AF268" s="2">
        <v>10</v>
      </c>
      <c r="AG268" s="2">
        <v>10</v>
      </c>
      <c r="AH268" s="2">
        <v>10</v>
      </c>
      <c r="AI268" s="2">
        <v>10</v>
      </c>
      <c r="AJ268" s="2">
        <v>10</v>
      </c>
      <c r="AK268" s="3"/>
      <c r="AL268" s="3"/>
      <c r="AM268" s="3"/>
      <c r="AN268" s="3"/>
      <c r="AO268" s="3"/>
      <c r="AP268" s="3"/>
      <c r="AQ268" s="2" t="e">
        <f t="shared" ca="1" si="20"/>
        <v>#NAME?</v>
      </c>
      <c r="AR268" s="2">
        <v>10</v>
      </c>
      <c r="AS268" s="2">
        <v>10</v>
      </c>
      <c r="AT268" s="2">
        <v>10</v>
      </c>
      <c r="AU268" s="2">
        <v>10</v>
      </c>
      <c r="AV268" s="2">
        <v>10</v>
      </c>
      <c r="AW268" s="54">
        <f t="shared" si="114"/>
        <v>10</v>
      </c>
      <c r="AX268" s="48"/>
      <c r="AY268" s="2"/>
      <c r="AZ268" s="2">
        <v>10</v>
      </c>
      <c r="BA268" s="2">
        <v>10</v>
      </c>
      <c r="BB268" s="2">
        <v>10</v>
      </c>
      <c r="BC268" s="2">
        <v>10</v>
      </c>
      <c r="BD268" s="2">
        <v>10</v>
      </c>
      <c r="BE268" s="2">
        <v>10</v>
      </c>
      <c r="BF268" s="2">
        <v>10</v>
      </c>
      <c r="BG268" s="2">
        <v>10</v>
      </c>
      <c r="BH268" s="2">
        <v>10</v>
      </c>
      <c r="BI268" s="2">
        <v>10</v>
      </c>
      <c r="BJ268" s="2" t="e">
        <f t="shared" ca="1" si="21"/>
        <v>#NAME?</v>
      </c>
      <c r="BK268" s="5">
        <v>10</v>
      </c>
      <c r="BL268" s="5">
        <v>10</v>
      </c>
      <c r="BM268" s="2">
        <v>10</v>
      </c>
      <c r="BN268" s="2">
        <v>10</v>
      </c>
      <c r="BO268" s="2">
        <v>10</v>
      </c>
      <c r="BP268" s="54">
        <f t="shared" si="115"/>
        <v>10</v>
      </c>
      <c r="BQ268" s="5"/>
      <c r="BR268" s="5"/>
      <c r="BS268" s="47">
        <v>7</v>
      </c>
      <c r="BT268" s="47">
        <v>7</v>
      </c>
      <c r="BU268" s="47">
        <v>7</v>
      </c>
      <c r="BV268" s="47">
        <v>7</v>
      </c>
      <c r="BW268" s="47">
        <v>7</v>
      </c>
      <c r="BX268" s="47">
        <v>7</v>
      </c>
      <c r="BY268" s="47">
        <v>7</v>
      </c>
      <c r="BZ268" s="47">
        <v>7</v>
      </c>
      <c r="CA268" s="47">
        <v>7</v>
      </c>
      <c r="CB268" s="47">
        <v>7</v>
      </c>
      <c r="CC268" s="2" t="e">
        <f t="shared" ca="1" si="22"/>
        <v>#NAME?</v>
      </c>
      <c r="CD268" s="55"/>
      <c r="CE268" s="2"/>
      <c r="CF268" s="2">
        <v>10</v>
      </c>
      <c r="CG268" s="2">
        <v>10</v>
      </c>
      <c r="CH268" s="2">
        <v>10</v>
      </c>
      <c r="CI268" s="2">
        <v>10</v>
      </c>
      <c r="CJ268" s="2">
        <v>10</v>
      </c>
      <c r="CK268" s="2">
        <v>10</v>
      </c>
      <c r="CL268" s="2">
        <v>10</v>
      </c>
      <c r="CM268" s="2">
        <v>10</v>
      </c>
      <c r="CN268" s="2">
        <v>10</v>
      </c>
      <c r="CO268" s="2">
        <v>10</v>
      </c>
      <c r="CP268" s="2" t="e">
        <f t="shared" ca="1" si="23"/>
        <v>#NAME?</v>
      </c>
      <c r="CQ268" s="2">
        <v>8</v>
      </c>
      <c r="CR268" s="2">
        <v>9</v>
      </c>
      <c r="CS268" s="2">
        <v>10</v>
      </c>
      <c r="CT268" s="2">
        <v>10</v>
      </c>
      <c r="CU268" s="2">
        <v>10</v>
      </c>
      <c r="CV268" s="54">
        <f t="shared" si="116"/>
        <v>10</v>
      </c>
      <c r="CW268" s="55">
        <v>17</v>
      </c>
      <c r="CX268" s="3"/>
    </row>
    <row r="269" spans="1:102" ht="16.5" x14ac:dyDescent="0.55000000000000004">
      <c r="A269" s="17">
        <v>1</v>
      </c>
      <c r="B269" s="17" t="s">
        <v>569</v>
      </c>
      <c r="C269" s="23" t="s">
        <v>578</v>
      </c>
      <c r="D269" s="24" t="s">
        <v>579</v>
      </c>
      <c r="E269" s="48">
        <v>3</v>
      </c>
      <c r="F269" s="2"/>
      <c r="G269" s="2">
        <v>10</v>
      </c>
      <c r="H269" s="2">
        <v>10</v>
      </c>
      <c r="I269" s="2">
        <v>10</v>
      </c>
      <c r="J269" s="2">
        <v>9</v>
      </c>
      <c r="K269" s="2">
        <v>10</v>
      </c>
      <c r="L269" s="2">
        <v>10</v>
      </c>
      <c r="M269" s="2">
        <v>10</v>
      </c>
      <c r="N269" s="2">
        <v>10</v>
      </c>
      <c r="O269" s="2">
        <v>9</v>
      </c>
      <c r="P269" s="2">
        <v>10</v>
      </c>
      <c r="Q269" s="2" t="e">
        <f t="shared" ca="1" si="19"/>
        <v>#NAME?</v>
      </c>
      <c r="R269" s="2">
        <v>10</v>
      </c>
      <c r="S269" s="2">
        <v>10</v>
      </c>
      <c r="T269" s="2">
        <v>10</v>
      </c>
      <c r="U269" s="2">
        <v>10</v>
      </c>
      <c r="V269" s="2">
        <v>10</v>
      </c>
      <c r="W269" s="54">
        <f t="shared" si="113"/>
        <v>10</v>
      </c>
      <c r="X269" s="48">
        <v>8</v>
      </c>
      <c r="Y269" s="2">
        <v>5</v>
      </c>
      <c r="Z269" s="2"/>
      <c r="AA269" s="2">
        <v>10</v>
      </c>
      <c r="AB269" s="2">
        <v>10</v>
      </c>
      <c r="AC269" s="2">
        <v>10</v>
      </c>
      <c r="AD269" s="2">
        <v>10</v>
      </c>
      <c r="AE269" s="2">
        <v>10</v>
      </c>
      <c r="AF269" s="2">
        <v>10</v>
      </c>
      <c r="AG269" s="2">
        <v>10</v>
      </c>
      <c r="AH269" s="2">
        <v>10</v>
      </c>
      <c r="AI269" s="2">
        <v>10</v>
      </c>
      <c r="AJ269" s="2">
        <v>10</v>
      </c>
      <c r="AK269" s="3"/>
      <c r="AL269" s="3"/>
      <c r="AM269" s="3"/>
      <c r="AN269" s="3"/>
      <c r="AO269" s="3"/>
      <c r="AP269" s="3"/>
      <c r="AQ269" s="2" t="e">
        <f t="shared" ca="1" si="20"/>
        <v>#NAME?</v>
      </c>
      <c r="AR269" s="2">
        <v>10</v>
      </c>
      <c r="AS269" s="2">
        <v>10</v>
      </c>
      <c r="AT269" s="2">
        <v>10</v>
      </c>
      <c r="AU269" s="2">
        <v>10</v>
      </c>
      <c r="AV269" s="2">
        <v>10</v>
      </c>
      <c r="AW269" s="54">
        <f t="shared" si="114"/>
        <v>10</v>
      </c>
      <c r="AX269" s="48"/>
      <c r="AY269" s="2"/>
      <c r="AZ269" s="2">
        <v>10</v>
      </c>
      <c r="BA269" s="2">
        <v>10</v>
      </c>
      <c r="BB269" s="2">
        <v>10</v>
      </c>
      <c r="BC269" s="2">
        <v>10</v>
      </c>
      <c r="BD269" s="2">
        <v>10</v>
      </c>
      <c r="BE269" s="2">
        <v>10</v>
      </c>
      <c r="BF269" s="2">
        <v>10</v>
      </c>
      <c r="BG269" s="2">
        <v>10</v>
      </c>
      <c r="BH269" s="2">
        <v>10</v>
      </c>
      <c r="BI269" s="2">
        <v>10</v>
      </c>
      <c r="BJ269" s="2" t="e">
        <f t="shared" ca="1" si="21"/>
        <v>#NAME?</v>
      </c>
      <c r="BK269" s="5">
        <v>10</v>
      </c>
      <c r="BL269" s="2">
        <v>10</v>
      </c>
      <c r="BM269" s="2">
        <v>10</v>
      </c>
      <c r="BN269" s="2">
        <v>10</v>
      </c>
      <c r="BO269" s="2">
        <v>10</v>
      </c>
      <c r="BP269" s="54">
        <f t="shared" si="115"/>
        <v>10</v>
      </c>
      <c r="BQ269" s="5"/>
      <c r="BR269" s="5"/>
      <c r="BS269" s="47">
        <v>7</v>
      </c>
      <c r="BT269" s="47">
        <v>7</v>
      </c>
      <c r="BU269" s="47">
        <v>7</v>
      </c>
      <c r="BV269" s="47">
        <v>7</v>
      </c>
      <c r="BW269" s="47">
        <v>7</v>
      </c>
      <c r="BX269" s="47">
        <v>7</v>
      </c>
      <c r="BY269" s="47">
        <v>7</v>
      </c>
      <c r="BZ269" s="47">
        <v>7</v>
      </c>
      <c r="CA269" s="47">
        <v>7</v>
      </c>
      <c r="CB269" s="47">
        <v>7</v>
      </c>
      <c r="CC269" s="2" t="e">
        <f t="shared" ca="1" si="22"/>
        <v>#NAME?</v>
      </c>
      <c r="CD269" s="55"/>
      <c r="CE269" s="2"/>
      <c r="CF269" s="2">
        <v>10</v>
      </c>
      <c r="CG269" s="2">
        <v>10</v>
      </c>
      <c r="CH269" s="2">
        <v>10</v>
      </c>
      <c r="CI269" s="2">
        <v>10</v>
      </c>
      <c r="CJ269" s="2">
        <v>10</v>
      </c>
      <c r="CK269" s="2">
        <v>10</v>
      </c>
      <c r="CL269" s="2">
        <v>10</v>
      </c>
      <c r="CM269" s="2">
        <v>10</v>
      </c>
      <c r="CN269" s="2">
        <v>10</v>
      </c>
      <c r="CO269" s="2">
        <v>10</v>
      </c>
      <c r="CP269" s="2" t="e">
        <f t="shared" ca="1" si="23"/>
        <v>#NAME?</v>
      </c>
      <c r="CQ269" s="2">
        <v>10</v>
      </c>
      <c r="CR269" s="2">
        <v>8</v>
      </c>
      <c r="CS269" s="2">
        <v>10</v>
      </c>
      <c r="CT269" s="2">
        <v>10</v>
      </c>
      <c r="CU269" s="2">
        <v>10</v>
      </c>
      <c r="CV269" s="54">
        <f t="shared" si="116"/>
        <v>10</v>
      </c>
      <c r="CW269" s="55">
        <v>18</v>
      </c>
      <c r="CX269" s="3"/>
    </row>
    <row r="270" spans="1:102" ht="16.5" x14ac:dyDescent="0.55000000000000004">
      <c r="A270" s="17">
        <v>1</v>
      </c>
      <c r="B270" s="17" t="s">
        <v>569</v>
      </c>
      <c r="C270" s="23" t="s">
        <v>580</v>
      </c>
      <c r="D270" s="24" t="s">
        <v>581</v>
      </c>
      <c r="E270" s="48" t="s">
        <v>31</v>
      </c>
      <c r="F270" s="2"/>
      <c r="G270" s="2">
        <v>7</v>
      </c>
      <c r="H270" s="2">
        <v>7</v>
      </c>
      <c r="I270" s="2">
        <v>7</v>
      </c>
      <c r="J270" s="2">
        <v>8</v>
      </c>
      <c r="K270" s="2">
        <v>9</v>
      </c>
      <c r="L270" s="2">
        <v>7</v>
      </c>
      <c r="M270" s="2">
        <v>7</v>
      </c>
      <c r="N270" s="2">
        <v>7</v>
      </c>
      <c r="O270" s="2">
        <v>8</v>
      </c>
      <c r="P270" s="2">
        <v>9</v>
      </c>
      <c r="Q270" s="2" t="e">
        <f t="shared" ca="1" si="19"/>
        <v>#NAME?</v>
      </c>
      <c r="R270" s="2">
        <v>7</v>
      </c>
      <c r="S270" s="2">
        <v>7</v>
      </c>
      <c r="T270" s="2">
        <v>7</v>
      </c>
      <c r="U270" s="2">
        <v>8</v>
      </c>
      <c r="V270" s="2">
        <v>9</v>
      </c>
      <c r="W270" s="54">
        <f t="shared" si="113"/>
        <v>8</v>
      </c>
      <c r="X270" s="48">
        <v>0</v>
      </c>
      <c r="Y270" s="2">
        <v>5</v>
      </c>
      <c r="Z270" s="2"/>
      <c r="AA270" s="2">
        <v>10</v>
      </c>
      <c r="AB270" s="2">
        <v>10</v>
      </c>
      <c r="AC270" s="2">
        <v>10</v>
      </c>
      <c r="AD270" s="2">
        <v>10</v>
      </c>
      <c r="AE270" s="2">
        <v>10</v>
      </c>
      <c r="AF270" s="2">
        <v>9</v>
      </c>
      <c r="AG270" s="2">
        <v>9</v>
      </c>
      <c r="AH270" s="2">
        <v>9</v>
      </c>
      <c r="AI270" s="2">
        <v>9</v>
      </c>
      <c r="AJ270" s="2">
        <v>9</v>
      </c>
      <c r="AK270" s="3"/>
      <c r="AL270" s="3"/>
      <c r="AM270" s="3"/>
      <c r="AN270" s="3"/>
      <c r="AO270" s="3"/>
      <c r="AP270" s="3"/>
      <c r="AQ270" s="2" t="e">
        <f t="shared" ca="1" si="20"/>
        <v>#NAME?</v>
      </c>
      <c r="AR270" s="2">
        <v>10</v>
      </c>
      <c r="AS270" s="2">
        <v>10</v>
      </c>
      <c r="AT270" s="2">
        <v>10</v>
      </c>
      <c r="AU270" s="2">
        <v>10</v>
      </c>
      <c r="AV270" s="2">
        <v>9</v>
      </c>
      <c r="AW270" s="54">
        <f t="shared" si="114"/>
        <v>10</v>
      </c>
      <c r="AX270" s="48"/>
      <c r="AY270" s="2"/>
      <c r="AZ270" s="2">
        <v>10</v>
      </c>
      <c r="BA270" s="2">
        <v>10</v>
      </c>
      <c r="BB270" s="2">
        <v>10</v>
      </c>
      <c r="BC270" s="2">
        <v>10</v>
      </c>
      <c r="BD270" s="2">
        <v>9</v>
      </c>
      <c r="BE270" s="2">
        <v>9</v>
      </c>
      <c r="BF270" s="2">
        <v>9</v>
      </c>
      <c r="BG270" s="2">
        <v>8</v>
      </c>
      <c r="BH270" s="2">
        <v>8</v>
      </c>
      <c r="BI270" s="57">
        <v>8</v>
      </c>
      <c r="BJ270" s="2" t="e">
        <f t="shared" ca="1" si="21"/>
        <v>#NAME?</v>
      </c>
      <c r="BK270" s="5">
        <v>7</v>
      </c>
      <c r="BL270" s="5">
        <v>7</v>
      </c>
      <c r="BM270" s="5">
        <v>7</v>
      </c>
      <c r="BN270" s="5">
        <v>7</v>
      </c>
      <c r="BO270" s="5">
        <v>6</v>
      </c>
      <c r="BP270" s="54">
        <f t="shared" si="115"/>
        <v>7</v>
      </c>
      <c r="BQ270" s="5"/>
      <c r="BR270" s="5"/>
      <c r="BS270" s="47">
        <v>7</v>
      </c>
      <c r="BT270" s="47">
        <v>7</v>
      </c>
      <c r="BU270" s="47">
        <v>7</v>
      </c>
      <c r="BV270" s="47">
        <v>7</v>
      </c>
      <c r="BW270" s="47">
        <v>7</v>
      </c>
      <c r="BX270" s="47">
        <v>7</v>
      </c>
      <c r="BY270" s="47">
        <v>7</v>
      </c>
      <c r="BZ270" s="47">
        <v>7</v>
      </c>
      <c r="CA270" s="47">
        <v>7</v>
      </c>
      <c r="CB270" s="47">
        <v>7</v>
      </c>
      <c r="CC270" s="2" t="e">
        <f t="shared" ca="1" si="22"/>
        <v>#NAME?</v>
      </c>
      <c r="CD270" s="55"/>
      <c r="CE270" s="2"/>
      <c r="CF270" s="2">
        <v>8</v>
      </c>
      <c r="CG270" s="2">
        <v>9</v>
      </c>
      <c r="CH270" s="2">
        <v>7</v>
      </c>
      <c r="CI270" s="2">
        <v>8</v>
      </c>
      <c r="CJ270" s="2">
        <v>9</v>
      </c>
      <c r="CK270" s="2">
        <v>9</v>
      </c>
      <c r="CL270" s="2">
        <v>9</v>
      </c>
      <c r="CM270" s="2">
        <v>7</v>
      </c>
      <c r="CN270" s="2">
        <v>9</v>
      </c>
      <c r="CO270" s="2">
        <v>9</v>
      </c>
      <c r="CP270" s="2" t="e">
        <f t="shared" ca="1" si="23"/>
        <v>#NAME?</v>
      </c>
      <c r="CQ270" s="2">
        <v>6</v>
      </c>
      <c r="CR270" s="2">
        <v>8</v>
      </c>
      <c r="CS270" s="2">
        <v>9</v>
      </c>
      <c r="CT270" s="2">
        <v>9</v>
      </c>
      <c r="CU270" s="2">
        <v>10</v>
      </c>
      <c r="CV270" s="54">
        <f t="shared" si="116"/>
        <v>9</v>
      </c>
      <c r="CW270" s="55">
        <v>13</v>
      </c>
      <c r="CX270" s="3"/>
    </row>
    <row r="271" spans="1:102" ht="16.5" x14ac:dyDescent="0.55000000000000004">
      <c r="A271" s="17">
        <v>1</v>
      </c>
      <c r="B271" s="17" t="s">
        <v>569</v>
      </c>
      <c r="C271" s="23" t="s">
        <v>582</v>
      </c>
      <c r="D271" s="24" t="s">
        <v>583</v>
      </c>
      <c r="E271" s="48">
        <v>0</v>
      </c>
      <c r="F271" s="2"/>
      <c r="G271" s="2">
        <v>9</v>
      </c>
      <c r="H271" s="2">
        <v>9</v>
      </c>
      <c r="I271" s="2">
        <v>10</v>
      </c>
      <c r="J271" s="2">
        <v>9</v>
      </c>
      <c r="K271" s="2">
        <v>10</v>
      </c>
      <c r="L271" s="2">
        <v>9</v>
      </c>
      <c r="M271" s="2">
        <v>9</v>
      </c>
      <c r="N271" s="2">
        <v>10</v>
      </c>
      <c r="O271" s="2">
        <v>9</v>
      </c>
      <c r="P271" s="2">
        <v>10</v>
      </c>
      <c r="Q271" s="2" t="e">
        <f t="shared" ca="1" si="19"/>
        <v>#NAME?</v>
      </c>
      <c r="R271" s="2">
        <v>7</v>
      </c>
      <c r="S271" s="2">
        <v>7</v>
      </c>
      <c r="T271" s="2">
        <v>7</v>
      </c>
      <c r="U271" s="2">
        <v>9</v>
      </c>
      <c r="V271" s="2">
        <v>9</v>
      </c>
      <c r="W271" s="54">
        <f t="shared" si="113"/>
        <v>8</v>
      </c>
      <c r="X271" s="48">
        <v>0</v>
      </c>
      <c r="Y271" s="2">
        <v>6</v>
      </c>
      <c r="Z271" s="2"/>
      <c r="AA271" s="2">
        <v>10</v>
      </c>
      <c r="AB271" s="2">
        <v>10</v>
      </c>
      <c r="AC271" s="2">
        <v>10</v>
      </c>
      <c r="AD271" s="2">
        <v>10</v>
      </c>
      <c r="AE271" s="2">
        <v>10</v>
      </c>
      <c r="AF271" s="2">
        <v>10</v>
      </c>
      <c r="AG271" s="2">
        <v>10</v>
      </c>
      <c r="AH271" s="2">
        <v>10</v>
      </c>
      <c r="AI271" s="2">
        <v>10</v>
      </c>
      <c r="AJ271" s="2">
        <v>10</v>
      </c>
      <c r="AK271" s="3"/>
      <c r="AL271" s="3"/>
      <c r="AM271" s="3"/>
      <c r="AN271" s="3"/>
      <c r="AO271" s="3"/>
      <c r="AP271" s="3"/>
      <c r="AQ271" s="2" t="e">
        <f t="shared" ca="1" si="20"/>
        <v>#NAME?</v>
      </c>
      <c r="AR271" s="2">
        <v>10</v>
      </c>
      <c r="AS271" s="2">
        <v>10</v>
      </c>
      <c r="AT271" s="2">
        <v>10</v>
      </c>
      <c r="AU271" s="2">
        <v>10</v>
      </c>
      <c r="AV271" s="2">
        <v>10</v>
      </c>
      <c r="AW271" s="54">
        <f t="shared" si="114"/>
        <v>10</v>
      </c>
      <c r="AX271" s="48"/>
      <c r="AY271" s="2"/>
      <c r="AZ271" s="2">
        <v>10</v>
      </c>
      <c r="BA271" s="2">
        <v>10</v>
      </c>
      <c r="BB271" s="2">
        <v>10</v>
      </c>
      <c r="BC271" s="2">
        <v>10</v>
      </c>
      <c r="BD271" s="2">
        <v>10</v>
      </c>
      <c r="BE271" s="2">
        <v>10</v>
      </c>
      <c r="BF271" s="2">
        <v>9</v>
      </c>
      <c r="BG271" s="2">
        <v>9</v>
      </c>
      <c r="BH271" s="2">
        <v>9</v>
      </c>
      <c r="BI271" s="57">
        <v>9</v>
      </c>
      <c r="BJ271" s="2" t="e">
        <f t="shared" ca="1" si="21"/>
        <v>#NAME?</v>
      </c>
      <c r="BK271" s="5">
        <v>10</v>
      </c>
      <c r="BL271" s="2">
        <v>10</v>
      </c>
      <c r="BM271" s="2">
        <v>10</v>
      </c>
      <c r="BN271" s="2">
        <v>10</v>
      </c>
      <c r="BO271" s="2">
        <v>10</v>
      </c>
      <c r="BP271" s="54">
        <f t="shared" si="115"/>
        <v>10</v>
      </c>
      <c r="BQ271" s="5"/>
      <c r="BR271" s="5"/>
      <c r="BS271" s="47">
        <v>7</v>
      </c>
      <c r="BT271" s="47">
        <v>7</v>
      </c>
      <c r="BU271" s="47">
        <v>7</v>
      </c>
      <c r="BV271" s="47">
        <v>7</v>
      </c>
      <c r="BW271" s="47">
        <v>7</v>
      </c>
      <c r="BX271" s="47">
        <v>7</v>
      </c>
      <c r="BY271" s="47">
        <v>7</v>
      </c>
      <c r="BZ271" s="47">
        <v>7</v>
      </c>
      <c r="CA271" s="47">
        <v>7</v>
      </c>
      <c r="CB271" s="47">
        <v>7</v>
      </c>
      <c r="CC271" s="2" t="e">
        <f t="shared" ca="1" si="22"/>
        <v>#NAME?</v>
      </c>
      <c r="CD271" s="55"/>
      <c r="CE271" s="2"/>
      <c r="CF271" s="2">
        <v>10</v>
      </c>
      <c r="CG271" s="2">
        <v>10</v>
      </c>
      <c r="CH271" s="2">
        <v>10</v>
      </c>
      <c r="CI271" s="2">
        <v>10</v>
      </c>
      <c r="CJ271" s="2">
        <v>10</v>
      </c>
      <c r="CK271" s="2">
        <v>10</v>
      </c>
      <c r="CL271" s="2">
        <v>10</v>
      </c>
      <c r="CM271" s="2">
        <v>10</v>
      </c>
      <c r="CN271" s="2">
        <v>10</v>
      </c>
      <c r="CO271" s="2">
        <v>10</v>
      </c>
      <c r="CP271" s="2" t="e">
        <f t="shared" ca="1" si="23"/>
        <v>#NAME?</v>
      </c>
      <c r="CQ271" s="2">
        <v>8</v>
      </c>
      <c r="CR271" s="2">
        <v>8</v>
      </c>
      <c r="CS271" s="2">
        <v>9</v>
      </c>
      <c r="CT271" s="2">
        <v>10</v>
      </c>
      <c r="CU271" s="2">
        <v>10</v>
      </c>
      <c r="CV271" s="54">
        <f t="shared" si="116"/>
        <v>9</v>
      </c>
      <c r="CW271" s="55">
        <v>14</v>
      </c>
      <c r="CX271" s="3"/>
    </row>
    <row r="272" spans="1:102" ht="16.5" x14ac:dyDescent="0.55000000000000004">
      <c r="A272" s="17">
        <v>1</v>
      </c>
      <c r="B272" s="17" t="s">
        <v>569</v>
      </c>
      <c r="C272" s="23" t="s">
        <v>584</v>
      </c>
      <c r="D272" s="24" t="s">
        <v>585</v>
      </c>
      <c r="E272" s="48">
        <v>2</v>
      </c>
      <c r="F272" s="2"/>
      <c r="G272" s="2">
        <v>10</v>
      </c>
      <c r="H272" s="2">
        <v>10</v>
      </c>
      <c r="I272" s="2">
        <v>9</v>
      </c>
      <c r="J272" s="2">
        <v>10</v>
      </c>
      <c r="K272" s="2">
        <v>10</v>
      </c>
      <c r="L272" s="2">
        <v>10</v>
      </c>
      <c r="M272" s="2">
        <v>10</v>
      </c>
      <c r="N272" s="2">
        <v>9</v>
      </c>
      <c r="O272" s="2">
        <v>10</v>
      </c>
      <c r="P272" s="2">
        <v>10</v>
      </c>
      <c r="Q272" s="2" t="e">
        <f t="shared" ca="1" si="19"/>
        <v>#NAME?</v>
      </c>
      <c r="R272" s="2">
        <v>10</v>
      </c>
      <c r="S272" s="2">
        <v>9</v>
      </c>
      <c r="T272" s="2">
        <v>9</v>
      </c>
      <c r="U272" s="2">
        <v>10</v>
      </c>
      <c r="V272" s="2">
        <v>10</v>
      </c>
      <c r="W272" s="54">
        <f t="shared" si="113"/>
        <v>10</v>
      </c>
      <c r="X272" s="48">
        <v>0</v>
      </c>
      <c r="Y272" s="2">
        <v>5</v>
      </c>
      <c r="Z272" s="2"/>
      <c r="AA272" s="2">
        <v>10</v>
      </c>
      <c r="AB272" s="2">
        <v>10</v>
      </c>
      <c r="AC272" s="2">
        <v>10</v>
      </c>
      <c r="AD272" s="2">
        <v>10</v>
      </c>
      <c r="AE272" s="2">
        <v>10</v>
      </c>
      <c r="AF272" s="2">
        <v>10</v>
      </c>
      <c r="AG272" s="2">
        <v>10</v>
      </c>
      <c r="AH272" s="2">
        <v>10</v>
      </c>
      <c r="AI272" s="2">
        <v>10</v>
      </c>
      <c r="AJ272" s="2">
        <v>10</v>
      </c>
      <c r="AK272" s="3"/>
      <c r="AL272" s="3"/>
      <c r="AM272" s="3"/>
      <c r="AN272" s="3"/>
      <c r="AO272" s="3"/>
      <c r="AP272" s="3"/>
      <c r="AQ272" s="2" t="e">
        <f t="shared" ca="1" si="20"/>
        <v>#NAME?</v>
      </c>
      <c r="AR272" s="2">
        <v>10</v>
      </c>
      <c r="AS272" s="2">
        <v>10</v>
      </c>
      <c r="AT272" s="2">
        <v>10</v>
      </c>
      <c r="AU272" s="2">
        <v>10</v>
      </c>
      <c r="AV272" s="2">
        <v>10</v>
      </c>
      <c r="AW272" s="54">
        <f t="shared" si="114"/>
        <v>10</v>
      </c>
      <c r="AX272" s="48"/>
      <c r="AY272" s="2"/>
      <c r="AZ272" s="2">
        <v>10</v>
      </c>
      <c r="BA272" s="2">
        <v>10</v>
      </c>
      <c r="BB272" s="2">
        <v>10</v>
      </c>
      <c r="BC272" s="2">
        <v>10</v>
      </c>
      <c r="BD272" s="2">
        <v>10</v>
      </c>
      <c r="BE272" s="2">
        <v>10</v>
      </c>
      <c r="BF272" s="2">
        <v>10</v>
      </c>
      <c r="BG272" s="2">
        <v>10</v>
      </c>
      <c r="BH272" s="2">
        <v>10</v>
      </c>
      <c r="BI272" s="2">
        <v>10</v>
      </c>
      <c r="BJ272" s="2" t="e">
        <f t="shared" ca="1" si="21"/>
        <v>#NAME?</v>
      </c>
      <c r="BK272" s="2">
        <v>10</v>
      </c>
      <c r="BL272" s="2">
        <v>10</v>
      </c>
      <c r="BM272" s="2">
        <v>10</v>
      </c>
      <c r="BN272" s="2">
        <v>10</v>
      </c>
      <c r="BO272" s="2">
        <v>10</v>
      </c>
      <c r="BP272" s="54">
        <f t="shared" si="115"/>
        <v>10</v>
      </c>
      <c r="BQ272" s="5"/>
      <c r="BR272" s="5"/>
      <c r="BS272" s="47">
        <v>7</v>
      </c>
      <c r="BT272" s="47">
        <v>7</v>
      </c>
      <c r="BU272" s="47">
        <v>7</v>
      </c>
      <c r="BV272" s="47">
        <v>7</v>
      </c>
      <c r="BW272" s="47">
        <v>7</v>
      </c>
      <c r="BX272" s="47">
        <v>7</v>
      </c>
      <c r="BY272" s="47">
        <v>7</v>
      </c>
      <c r="BZ272" s="47">
        <v>7</v>
      </c>
      <c r="CA272" s="47">
        <v>7</v>
      </c>
      <c r="CB272" s="47">
        <v>7</v>
      </c>
      <c r="CC272" s="2" t="e">
        <f t="shared" ca="1" si="22"/>
        <v>#NAME?</v>
      </c>
      <c r="CD272" s="55"/>
      <c r="CE272" s="2"/>
      <c r="CF272" s="2">
        <v>10</v>
      </c>
      <c r="CG272" s="2">
        <v>10</v>
      </c>
      <c r="CH272" s="2">
        <v>10</v>
      </c>
      <c r="CI272" s="2">
        <v>8</v>
      </c>
      <c r="CJ272" s="2">
        <v>9</v>
      </c>
      <c r="CK272" s="2">
        <v>10</v>
      </c>
      <c r="CL272" s="2">
        <v>10</v>
      </c>
      <c r="CM272" s="2">
        <v>10</v>
      </c>
      <c r="CN272" s="2">
        <v>10</v>
      </c>
      <c r="CO272" s="2">
        <v>10</v>
      </c>
      <c r="CP272" s="2" t="e">
        <f t="shared" ca="1" si="23"/>
        <v>#NAME?</v>
      </c>
      <c r="CQ272" s="2">
        <v>6</v>
      </c>
      <c r="CR272" s="2">
        <v>8</v>
      </c>
      <c r="CS272" s="2">
        <v>8</v>
      </c>
      <c r="CT272" s="2">
        <v>9</v>
      </c>
      <c r="CU272" s="2">
        <v>10</v>
      </c>
      <c r="CV272" s="54">
        <f t="shared" si="116"/>
        <v>9</v>
      </c>
      <c r="CW272" s="55">
        <v>20</v>
      </c>
      <c r="CX272" s="3"/>
    </row>
    <row r="273" spans="1:102" ht="16.5" x14ac:dyDescent="0.55000000000000004">
      <c r="A273" s="17">
        <v>1</v>
      </c>
      <c r="B273" s="17" t="s">
        <v>569</v>
      </c>
      <c r="C273" s="23" t="s">
        <v>586</v>
      </c>
      <c r="D273" s="24" t="s">
        <v>587</v>
      </c>
      <c r="E273" s="48" t="s">
        <v>31</v>
      </c>
      <c r="F273" s="2"/>
      <c r="G273" s="2">
        <v>9</v>
      </c>
      <c r="H273" s="2">
        <v>10</v>
      </c>
      <c r="I273" s="2">
        <v>10</v>
      </c>
      <c r="J273" s="2">
        <v>9</v>
      </c>
      <c r="K273" s="2">
        <v>10</v>
      </c>
      <c r="L273" s="2">
        <v>9</v>
      </c>
      <c r="M273" s="2">
        <v>10</v>
      </c>
      <c r="N273" s="2">
        <v>10</v>
      </c>
      <c r="O273" s="2">
        <v>9</v>
      </c>
      <c r="P273" s="2">
        <v>10</v>
      </c>
      <c r="Q273" s="2" t="e">
        <f t="shared" ca="1" si="19"/>
        <v>#NAME?</v>
      </c>
      <c r="R273" s="2">
        <v>9</v>
      </c>
      <c r="S273" s="2">
        <v>9</v>
      </c>
      <c r="T273" s="2">
        <v>10</v>
      </c>
      <c r="U273" s="2">
        <v>9</v>
      </c>
      <c r="V273" s="2">
        <v>10</v>
      </c>
      <c r="W273" s="54">
        <f t="shared" si="113"/>
        <v>10</v>
      </c>
      <c r="X273" s="48">
        <v>0</v>
      </c>
      <c r="Y273" s="2">
        <v>9</v>
      </c>
      <c r="Z273" s="2"/>
      <c r="AA273" s="2">
        <v>10</v>
      </c>
      <c r="AB273" s="2">
        <v>10</v>
      </c>
      <c r="AC273" s="2">
        <v>10</v>
      </c>
      <c r="AD273" s="2">
        <v>10</v>
      </c>
      <c r="AE273" s="2">
        <v>10</v>
      </c>
      <c r="AF273" s="2">
        <v>10</v>
      </c>
      <c r="AG273" s="2">
        <v>10</v>
      </c>
      <c r="AH273" s="2">
        <v>10</v>
      </c>
      <c r="AI273" s="2">
        <v>10</v>
      </c>
      <c r="AJ273" s="2">
        <v>10</v>
      </c>
      <c r="AK273" s="3"/>
      <c r="AL273" s="3"/>
      <c r="AM273" s="3"/>
      <c r="AN273" s="3"/>
      <c r="AO273" s="3"/>
      <c r="AP273" s="3"/>
      <c r="AQ273" s="2" t="e">
        <f t="shared" ca="1" si="20"/>
        <v>#NAME?</v>
      </c>
      <c r="AR273" s="2">
        <v>10</v>
      </c>
      <c r="AS273" s="2">
        <v>10</v>
      </c>
      <c r="AT273" s="2">
        <v>10</v>
      </c>
      <c r="AU273" s="2">
        <v>10</v>
      </c>
      <c r="AV273" s="2">
        <v>10</v>
      </c>
      <c r="AW273" s="54">
        <f t="shared" si="114"/>
        <v>10</v>
      </c>
      <c r="AX273" s="48"/>
      <c r="AY273" s="2"/>
      <c r="AZ273" s="2">
        <v>10</v>
      </c>
      <c r="BA273" s="2">
        <v>10</v>
      </c>
      <c r="BB273" s="2">
        <v>10</v>
      </c>
      <c r="BC273" s="2">
        <v>10</v>
      </c>
      <c r="BD273" s="2">
        <v>10</v>
      </c>
      <c r="BE273" s="2">
        <v>10</v>
      </c>
      <c r="BF273" s="2">
        <v>10</v>
      </c>
      <c r="BG273" s="2">
        <v>10</v>
      </c>
      <c r="BH273" s="2">
        <v>10</v>
      </c>
      <c r="BI273" s="2">
        <v>10</v>
      </c>
      <c r="BJ273" s="2" t="e">
        <f t="shared" ca="1" si="21"/>
        <v>#NAME?</v>
      </c>
      <c r="BK273" s="2">
        <v>10</v>
      </c>
      <c r="BL273" s="2">
        <v>10</v>
      </c>
      <c r="BM273" s="2">
        <v>10</v>
      </c>
      <c r="BN273" s="2">
        <v>10</v>
      </c>
      <c r="BO273" s="2">
        <v>10</v>
      </c>
      <c r="BP273" s="54">
        <f t="shared" si="115"/>
        <v>10</v>
      </c>
      <c r="BQ273" s="5"/>
      <c r="BR273" s="5"/>
      <c r="BS273" s="47">
        <v>7</v>
      </c>
      <c r="BT273" s="47">
        <v>7</v>
      </c>
      <c r="BU273" s="47">
        <v>7</v>
      </c>
      <c r="BV273" s="47">
        <v>7</v>
      </c>
      <c r="BW273" s="47">
        <v>7</v>
      </c>
      <c r="BX273" s="47">
        <v>7</v>
      </c>
      <c r="BY273" s="47">
        <v>7</v>
      </c>
      <c r="BZ273" s="47">
        <v>7</v>
      </c>
      <c r="CA273" s="47">
        <v>7</v>
      </c>
      <c r="CB273" s="47">
        <v>7</v>
      </c>
      <c r="CC273" s="2" t="e">
        <f t="shared" ca="1" si="22"/>
        <v>#NAME?</v>
      </c>
      <c r="CD273" s="55"/>
      <c r="CE273" s="2"/>
      <c r="CF273" s="2">
        <v>10</v>
      </c>
      <c r="CG273" s="2">
        <v>10</v>
      </c>
      <c r="CH273" s="2">
        <v>10</v>
      </c>
      <c r="CI273" s="2">
        <v>10</v>
      </c>
      <c r="CJ273" s="2">
        <v>10</v>
      </c>
      <c r="CK273" s="2">
        <v>10</v>
      </c>
      <c r="CL273" s="2">
        <v>10</v>
      </c>
      <c r="CM273" s="2">
        <v>10</v>
      </c>
      <c r="CN273" s="2">
        <v>10</v>
      </c>
      <c r="CO273" s="2">
        <v>10</v>
      </c>
      <c r="CP273" s="2" t="e">
        <f t="shared" ca="1" si="23"/>
        <v>#NAME?</v>
      </c>
      <c r="CQ273" s="2">
        <v>8</v>
      </c>
      <c r="CR273" s="2">
        <v>9</v>
      </c>
      <c r="CS273" s="2">
        <v>9</v>
      </c>
      <c r="CT273" s="2">
        <v>10</v>
      </c>
      <c r="CU273" s="2">
        <v>10</v>
      </c>
      <c r="CV273" s="54">
        <f t="shared" si="116"/>
        <v>10</v>
      </c>
      <c r="CW273" s="55">
        <v>17</v>
      </c>
      <c r="CX273" s="3"/>
    </row>
    <row r="274" spans="1:102" ht="16.5" x14ac:dyDescent="0.55000000000000004">
      <c r="A274" s="17">
        <v>1</v>
      </c>
      <c r="B274" s="17" t="s">
        <v>569</v>
      </c>
      <c r="C274" s="23" t="s">
        <v>588</v>
      </c>
      <c r="D274" s="24" t="s">
        <v>589</v>
      </c>
      <c r="E274" s="48">
        <v>2</v>
      </c>
      <c r="F274" s="2"/>
      <c r="G274" s="2">
        <v>7</v>
      </c>
      <c r="H274" s="2">
        <v>7</v>
      </c>
      <c r="I274" s="2">
        <v>7</v>
      </c>
      <c r="J274" s="2">
        <v>7</v>
      </c>
      <c r="K274" s="2">
        <v>7</v>
      </c>
      <c r="L274" s="2">
        <v>7</v>
      </c>
      <c r="M274" s="2">
        <v>7</v>
      </c>
      <c r="N274" s="2">
        <v>7</v>
      </c>
      <c r="O274" s="2">
        <v>7</v>
      </c>
      <c r="P274" s="2">
        <v>7</v>
      </c>
      <c r="Q274" s="2" t="e">
        <f t="shared" ca="1" si="19"/>
        <v>#NAME?</v>
      </c>
      <c r="R274" s="2">
        <v>9</v>
      </c>
      <c r="S274" s="2">
        <v>7</v>
      </c>
      <c r="T274" s="2">
        <v>7</v>
      </c>
      <c r="U274" s="2">
        <v>8</v>
      </c>
      <c r="V274" s="2">
        <v>9</v>
      </c>
      <c r="W274" s="54">
        <f t="shared" si="113"/>
        <v>8</v>
      </c>
      <c r="X274" s="48">
        <v>0</v>
      </c>
      <c r="Y274" s="2">
        <v>5</v>
      </c>
      <c r="Z274" s="2"/>
      <c r="AA274" s="2">
        <v>10</v>
      </c>
      <c r="AB274" s="2">
        <v>10</v>
      </c>
      <c r="AC274" s="2">
        <v>10</v>
      </c>
      <c r="AD274" s="2">
        <v>10</v>
      </c>
      <c r="AE274" s="2">
        <v>10</v>
      </c>
      <c r="AF274" s="2">
        <v>8</v>
      </c>
      <c r="AG274" s="2">
        <v>8</v>
      </c>
      <c r="AH274" s="2">
        <v>9</v>
      </c>
      <c r="AI274" s="2">
        <v>9</v>
      </c>
      <c r="AJ274" s="2">
        <v>9</v>
      </c>
      <c r="AK274" s="3"/>
      <c r="AL274" s="3"/>
      <c r="AM274" s="3"/>
      <c r="AN274" s="3"/>
      <c r="AO274" s="3"/>
      <c r="AP274" s="3"/>
      <c r="AQ274" s="2" t="e">
        <f t="shared" ca="1" si="20"/>
        <v>#NAME?</v>
      </c>
      <c r="AR274" s="2">
        <v>10</v>
      </c>
      <c r="AS274" s="2">
        <v>10</v>
      </c>
      <c r="AT274" s="2">
        <v>10</v>
      </c>
      <c r="AU274" s="2">
        <v>10</v>
      </c>
      <c r="AV274" s="2">
        <v>10</v>
      </c>
      <c r="AW274" s="54">
        <f t="shared" si="114"/>
        <v>10</v>
      </c>
      <c r="AX274" s="48"/>
      <c r="AY274" s="2"/>
      <c r="AZ274" s="2">
        <v>9</v>
      </c>
      <c r="BA274" s="2">
        <v>9</v>
      </c>
      <c r="BB274" s="2">
        <v>9</v>
      </c>
      <c r="BC274" s="2">
        <v>9</v>
      </c>
      <c r="BD274" s="2">
        <v>9</v>
      </c>
      <c r="BE274" s="2">
        <v>9</v>
      </c>
      <c r="BF274" s="2">
        <v>9</v>
      </c>
      <c r="BG274" s="2">
        <v>9</v>
      </c>
      <c r="BH274" s="2">
        <v>9</v>
      </c>
      <c r="BI274" s="57">
        <v>9</v>
      </c>
      <c r="BJ274" s="2" t="e">
        <f t="shared" ca="1" si="21"/>
        <v>#NAME?</v>
      </c>
      <c r="BK274" s="5">
        <v>9</v>
      </c>
      <c r="BL274" s="5">
        <v>9</v>
      </c>
      <c r="BM274" s="5">
        <v>9</v>
      </c>
      <c r="BN274" s="5">
        <v>9</v>
      </c>
      <c r="BO274" s="5">
        <v>9</v>
      </c>
      <c r="BP274" s="54">
        <f t="shared" si="115"/>
        <v>9</v>
      </c>
      <c r="BQ274" s="5"/>
      <c r="BR274" s="5"/>
      <c r="BS274" s="47">
        <v>7</v>
      </c>
      <c r="BT274" s="47">
        <v>7</v>
      </c>
      <c r="BU274" s="47">
        <v>7</v>
      </c>
      <c r="BV274" s="47">
        <v>7</v>
      </c>
      <c r="BW274" s="47">
        <v>7</v>
      </c>
      <c r="BX274" s="47">
        <v>7</v>
      </c>
      <c r="BY274" s="47">
        <v>7</v>
      </c>
      <c r="BZ274" s="47">
        <v>7</v>
      </c>
      <c r="CA274" s="47">
        <v>7</v>
      </c>
      <c r="CB274" s="47">
        <v>7</v>
      </c>
      <c r="CC274" s="2" t="e">
        <f t="shared" ca="1" si="22"/>
        <v>#NAME?</v>
      </c>
      <c r="CD274" s="55"/>
      <c r="CE274" s="2"/>
      <c r="CF274" s="2">
        <v>10</v>
      </c>
      <c r="CG274" s="2">
        <v>10</v>
      </c>
      <c r="CH274" s="2">
        <v>6</v>
      </c>
      <c r="CI274" s="2">
        <v>7</v>
      </c>
      <c r="CJ274" s="2">
        <v>8</v>
      </c>
      <c r="CK274" s="2">
        <v>8</v>
      </c>
      <c r="CL274" s="2">
        <v>7</v>
      </c>
      <c r="CM274" s="2">
        <v>8</v>
      </c>
      <c r="CN274" s="2">
        <v>8</v>
      </c>
      <c r="CO274" s="2">
        <v>8</v>
      </c>
      <c r="CP274" s="2" t="e">
        <f t="shared" ca="1" si="23"/>
        <v>#NAME?</v>
      </c>
      <c r="CQ274" s="2">
        <v>5</v>
      </c>
      <c r="CR274" s="2">
        <v>6</v>
      </c>
      <c r="CS274" s="2">
        <v>7</v>
      </c>
      <c r="CT274" s="2">
        <v>8</v>
      </c>
      <c r="CU274" s="2">
        <v>10</v>
      </c>
      <c r="CV274" s="54">
        <f t="shared" si="116"/>
        <v>8</v>
      </c>
      <c r="CW274" s="55">
        <v>9</v>
      </c>
      <c r="CX274" s="3"/>
    </row>
    <row r="275" spans="1:102" ht="16.5" x14ac:dyDescent="0.55000000000000004">
      <c r="A275" s="17">
        <v>1</v>
      </c>
      <c r="B275" s="17" t="s">
        <v>569</v>
      </c>
      <c r="C275" s="23" t="s">
        <v>590</v>
      </c>
      <c r="D275" s="24" t="s">
        <v>591</v>
      </c>
      <c r="E275" s="48" t="s">
        <v>31</v>
      </c>
      <c r="F275" s="2"/>
      <c r="G275" s="2">
        <v>10</v>
      </c>
      <c r="H275" s="2">
        <v>9</v>
      </c>
      <c r="I275" s="2">
        <v>10</v>
      </c>
      <c r="J275" s="2">
        <v>9</v>
      </c>
      <c r="K275" s="2">
        <v>10</v>
      </c>
      <c r="L275" s="2">
        <v>10</v>
      </c>
      <c r="M275" s="2">
        <v>9</v>
      </c>
      <c r="N275" s="2">
        <v>10</v>
      </c>
      <c r="O275" s="2">
        <v>9</v>
      </c>
      <c r="P275" s="2">
        <v>10</v>
      </c>
      <c r="Q275" s="2" t="e">
        <f t="shared" ca="1" si="19"/>
        <v>#NAME?</v>
      </c>
      <c r="R275" s="2">
        <v>7</v>
      </c>
      <c r="S275" s="2">
        <v>7</v>
      </c>
      <c r="T275" s="2">
        <v>8</v>
      </c>
      <c r="U275" s="2">
        <v>8</v>
      </c>
      <c r="V275" s="2">
        <v>10</v>
      </c>
      <c r="W275" s="54">
        <f t="shared" si="113"/>
        <v>8</v>
      </c>
      <c r="X275" s="48">
        <v>0</v>
      </c>
      <c r="Y275" s="2"/>
      <c r="Z275" s="2"/>
      <c r="AA275" s="2">
        <v>10</v>
      </c>
      <c r="AB275" s="2">
        <v>4</v>
      </c>
      <c r="AC275" s="2">
        <v>4</v>
      </c>
      <c r="AD275" s="2">
        <v>4</v>
      </c>
      <c r="AE275" s="2">
        <v>4</v>
      </c>
      <c r="AF275" s="2">
        <v>5</v>
      </c>
      <c r="AG275" s="2">
        <v>5</v>
      </c>
      <c r="AH275" s="2">
        <v>5</v>
      </c>
      <c r="AI275" s="2">
        <v>5</v>
      </c>
      <c r="AJ275" s="2">
        <v>5</v>
      </c>
      <c r="AK275" s="3"/>
      <c r="AL275" s="3"/>
      <c r="AM275" s="3"/>
      <c r="AN275" s="3"/>
      <c r="AO275" s="3"/>
      <c r="AP275" s="3"/>
      <c r="AQ275" s="2" t="e">
        <f t="shared" ca="1" si="20"/>
        <v>#NAME?</v>
      </c>
      <c r="AR275" s="2">
        <v>10</v>
      </c>
      <c r="AS275" s="2">
        <v>10</v>
      </c>
      <c r="AT275" s="2">
        <v>5</v>
      </c>
      <c r="AU275" s="2">
        <v>5</v>
      </c>
      <c r="AV275" s="2">
        <v>5</v>
      </c>
      <c r="AW275" s="54">
        <f t="shared" si="114"/>
        <v>7</v>
      </c>
      <c r="AX275" s="48"/>
      <c r="AY275" s="2"/>
      <c r="AZ275" s="2">
        <v>10</v>
      </c>
      <c r="BA275" s="2">
        <v>10</v>
      </c>
      <c r="BB275" s="2">
        <v>9</v>
      </c>
      <c r="BC275" s="2">
        <v>9</v>
      </c>
      <c r="BD275" s="2">
        <v>10</v>
      </c>
      <c r="BE275" s="2">
        <v>10</v>
      </c>
      <c r="BF275" s="2">
        <v>10</v>
      </c>
      <c r="BG275" s="2">
        <v>10</v>
      </c>
      <c r="BH275" s="2">
        <v>10</v>
      </c>
      <c r="BI275" s="2">
        <v>10</v>
      </c>
      <c r="BJ275" s="2" t="e">
        <f t="shared" ca="1" si="21"/>
        <v>#NAME?</v>
      </c>
      <c r="BK275" s="5">
        <v>10</v>
      </c>
      <c r="BL275" s="5">
        <v>10</v>
      </c>
      <c r="BM275" s="5">
        <v>9</v>
      </c>
      <c r="BN275" s="2">
        <v>10</v>
      </c>
      <c r="BO275" s="2">
        <v>10</v>
      </c>
      <c r="BP275" s="54">
        <f t="shared" si="115"/>
        <v>10</v>
      </c>
      <c r="BQ275" s="5"/>
      <c r="BR275" s="5"/>
      <c r="BS275" s="47">
        <v>7</v>
      </c>
      <c r="BT275" s="47">
        <v>7</v>
      </c>
      <c r="BU275" s="47">
        <v>7</v>
      </c>
      <c r="BV275" s="47">
        <v>7</v>
      </c>
      <c r="BW275" s="47">
        <v>7</v>
      </c>
      <c r="BX275" s="47">
        <v>7</v>
      </c>
      <c r="BY275" s="47">
        <v>7</v>
      </c>
      <c r="BZ275" s="47">
        <v>7</v>
      </c>
      <c r="CA275" s="47">
        <v>7</v>
      </c>
      <c r="CB275" s="47">
        <v>7</v>
      </c>
      <c r="CC275" s="2" t="e">
        <f t="shared" ca="1" si="22"/>
        <v>#NAME?</v>
      </c>
      <c r="CD275" s="55"/>
      <c r="CE275" s="2"/>
      <c r="CF275" s="2">
        <v>10</v>
      </c>
      <c r="CG275" s="2">
        <v>10</v>
      </c>
      <c r="CH275" s="2">
        <v>8</v>
      </c>
      <c r="CI275" s="2">
        <v>9</v>
      </c>
      <c r="CJ275" s="2">
        <v>10</v>
      </c>
      <c r="CK275" s="2">
        <v>9</v>
      </c>
      <c r="CL275" s="2">
        <v>9</v>
      </c>
      <c r="CM275" s="2">
        <v>9</v>
      </c>
      <c r="CN275" s="2">
        <v>9</v>
      </c>
      <c r="CO275" s="2">
        <v>9</v>
      </c>
      <c r="CP275" s="2" t="e">
        <f t="shared" ca="1" si="23"/>
        <v>#NAME?</v>
      </c>
      <c r="CQ275" s="2">
        <v>7</v>
      </c>
      <c r="CR275" s="2">
        <v>8</v>
      </c>
      <c r="CS275" s="2">
        <v>9</v>
      </c>
      <c r="CT275" s="2">
        <v>10</v>
      </c>
      <c r="CU275" s="2">
        <v>10</v>
      </c>
      <c r="CV275" s="54">
        <f t="shared" si="116"/>
        <v>9</v>
      </c>
      <c r="CW275" s="55">
        <v>8</v>
      </c>
      <c r="CX275" s="3"/>
    </row>
    <row r="276" spans="1:102" ht="16.5" x14ac:dyDescent="0.55000000000000004">
      <c r="A276" s="17">
        <v>1</v>
      </c>
      <c r="B276" s="17" t="s">
        <v>569</v>
      </c>
      <c r="C276" s="23" t="s">
        <v>592</v>
      </c>
      <c r="D276" s="24" t="s">
        <v>593</v>
      </c>
      <c r="E276" s="48" t="s">
        <v>31</v>
      </c>
      <c r="F276" s="2"/>
      <c r="G276" s="2">
        <v>7</v>
      </c>
      <c r="H276" s="2">
        <v>7</v>
      </c>
      <c r="I276" s="2">
        <v>8</v>
      </c>
      <c r="J276" s="2">
        <v>9</v>
      </c>
      <c r="K276" s="2">
        <v>10</v>
      </c>
      <c r="L276" s="2">
        <v>7</v>
      </c>
      <c r="M276" s="2">
        <v>7</v>
      </c>
      <c r="N276" s="2">
        <v>8</v>
      </c>
      <c r="O276" s="2">
        <v>9</v>
      </c>
      <c r="P276" s="2">
        <v>10</v>
      </c>
      <c r="Q276" s="2" t="e">
        <f t="shared" ca="1" si="19"/>
        <v>#NAME?</v>
      </c>
      <c r="R276" s="2">
        <v>7</v>
      </c>
      <c r="S276" s="2">
        <v>7</v>
      </c>
      <c r="T276" s="2">
        <v>8</v>
      </c>
      <c r="U276" s="2">
        <v>9</v>
      </c>
      <c r="V276" s="2">
        <v>10</v>
      </c>
      <c r="W276" s="54">
        <f t="shared" si="113"/>
        <v>9</v>
      </c>
      <c r="X276" s="48">
        <v>0</v>
      </c>
      <c r="Y276" s="2">
        <v>6</v>
      </c>
      <c r="Z276" s="2"/>
      <c r="AA276" s="2">
        <v>10</v>
      </c>
      <c r="AB276" s="2">
        <v>10</v>
      </c>
      <c r="AC276" s="2">
        <v>10</v>
      </c>
      <c r="AD276" s="2">
        <v>10</v>
      </c>
      <c r="AE276" s="2">
        <v>10</v>
      </c>
      <c r="AF276" s="2">
        <v>10</v>
      </c>
      <c r="AG276" s="2">
        <v>10</v>
      </c>
      <c r="AH276" s="2">
        <v>10</v>
      </c>
      <c r="AI276" s="2">
        <v>10</v>
      </c>
      <c r="AJ276" s="2">
        <v>10</v>
      </c>
      <c r="AK276" s="3"/>
      <c r="AL276" s="3"/>
      <c r="AM276" s="3"/>
      <c r="AN276" s="3"/>
      <c r="AO276" s="3"/>
      <c r="AP276" s="3"/>
      <c r="AQ276" s="2" t="e">
        <f t="shared" ca="1" si="20"/>
        <v>#NAME?</v>
      </c>
      <c r="AR276" s="2">
        <v>10</v>
      </c>
      <c r="AS276" s="2">
        <v>10</v>
      </c>
      <c r="AT276" s="2">
        <v>10</v>
      </c>
      <c r="AU276" s="2">
        <v>10</v>
      </c>
      <c r="AV276" s="2">
        <v>10</v>
      </c>
      <c r="AW276" s="54">
        <f t="shared" si="114"/>
        <v>10</v>
      </c>
      <c r="AX276" s="48"/>
      <c r="AY276" s="2"/>
      <c r="AZ276" s="2">
        <v>9</v>
      </c>
      <c r="BA276" s="2">
        <v>9</v>
      </c>
      <c r="BB276" s="2">
        <v>9</v>
      </c>
      <c r="BC276" s="2">
        <v>9</v>
      </c>
      <c r="BD276" s="2">
        <v>9</v>
      </c>
      <c r="BE276" s="2">
        <v>9</v>
      </c>
      <c r="BF276" s="2">
        <v>9</v>
      </c>
      <c r="BG276" s="2">
        <v>9</v>
      </c>
      <c r="BH276" s="2">
        <v>9</v>
      </c>
      <c r="BI276" s="2">
        <v>9</v>
      </c>
      <c r="BJ276" s="2" t="e">
        <f t="shared" ca="1" si="21"/>
        <v>#NAME?</v>
      </c>
      <c r="BK276" s="5">
        <v>9</v>
      </c>
      <c r="BL276" s="5">
        <v>9</v>
      </c>
      <c r="BM276" s="5">
        <v>9</v>
      </c>
      <c r="BN276" s="5">
        <v>9</v>
      </c>
      <c r="BO276" s="5">
        <v>9</v>
      </c>
      <c r="BP276" s="54">
        <f t="shared" si="115"/>
        <v>9</v>
      </c>
      <c r="BQ276" s="5"/>
      <c r="BR276" s="5"/>
      <c r="BS276" s="47">
        <v>7</v>
      </c>
      <c r="BT276" s="47">
        <v>7</v>
      </c>
      <c r="BU276" s="47">
        <v>7</v>
      </c>
      <c r="BV276" s="47">
        <v>7</v>
      </c>
      <c r="BW276" s="47">
        <v>7</v>
      </c>
      <c r="BX276" s="47">
        <v>7</v>
      </c>
      <c r="BY276" s="47">
        <v>7</v>
      </c>
      <c r="BZ276" s="47">
        <v>7</v>
      </c>
      <c r="CA276" s="47">
        <v>7</v>
      </c>
      <c r="CB276" s="47">
        <v>7</v>
      </c>
      <c r="CC276" s="2" t="e">
        <f t="shared" ca="1" si="22"/>
        <v>#NAME?</v>
      </c>
      <c r="CD276" s="55"/>
      <c r="CE276" s="2"/>
      <c r="CF276" s="2">
        <v>9</v>
      </c>
      <c r="CG276" s="2">
        <v>9</v>
      </c>
      <c r="CH276" s="2">
        <v>10</v>
      </c>
      <c r="CI276" s="2">
        <v>8</v>
      </c>
      <c r="CJ276" s="2">
        <v>9</v>
      </c>
      <c r="CK276" s="2">
        <v>8</v>
      </c>
      <c r="CL276" s="2">
        <v>8</v>
      </c>
      <c r="CM276" s="2">
        <v>7</v>
      </c>
      <c r="CN276" s="2">
        <v>8</v>
      </c>
      <c r="CO276" s="2">
        <v>8</v>
      </c>
      <c r="CP276" s="2" t="e">
        <f t="shared" ca="1" si="23"/>
        <v>#NAME?</v>
      </c>
      <c r="CQ276" s="2">
        <v>7</v>
      </c>
      <c r="CR276" s="2">
        <v>6</v>
      </c>
      <c r="CS276" s="2">
        <v>7</v>
      </c>
      <c r="CT276" s="2">
        <v>8</v>
      </c>
      <c r="CU276" s="2">
        <v>10</v>
      </c>
      <c r="CV276" s="54">
        <f t="shared" si="116"/>
        <v>8</v>
      </c>
      <c r="CW276" s="55" t="s">
        <v>31</v>
      </c>
      <c r="CX276" s="3"/>
    </row>
    <row r="277" spans="1:102" ht="16.5" x14ac:dyDescent="0.55000000000000004">
      <c r="A277" s="17">
        <v>1</v>
      </c>
      <c r="B277" s="17" t="s">
        <v>569</v>
      </c>
      <c r="C277" s="23" t="s">
        <v>594</v>
      </c>
      <c r="D277" s="24" t="s">
        <v>595</v>
      </c>
      <c r="E277" s="48">
        <v>0</v>
      </c>
      <c r="F277" s="2"/>
      <c r="G277" s="2">
        <v>10</v>
      </c>
      <c r="H277" s="2"/>
      <c r="I277" s="2"/>
      <c r="J277" s="2"/>
      <c r="K277" s="2"/>
      <c r="L277" s="2">
        <v>10</v>
      </c>
      <c r="M277" s="2"/>
      <c r="N277" s="2"/>
      <c r="O277" s="2"/>
      <c r="P277" s="2"/>
      <c r="Q277" s="2" t="e">
        <f t="shared" ca="1" si="19"/>
        <v>#NAME?</v>
      </c>
      <c r="R277" s="2">
        <v>10</v>
      </c>
      <c r="S277" s="2"/>
      <c r="T277" s="2"/>
      <c r="U277" s="2"/>
      <c r="V277" s="2"/>
      <c r="W277" s="54">
        <f t="shared" si="113"/>
        <v>10</v>
      </c>
      <c r="X277" s="48">
        <v>6</v>
      </c>
      <c r="Y277" s="2"/>
      <c r="Z277" s="2"/>
      <c r="AA277" s="2">
        <v>10</v>
      </c>
      <c r="AB277" s="2">
        <v>10</v>
      </c>
      <c r="AC277" s="2">
        <v>10</v>
      </c>
      <c r="AD277" s="2">
        <v>10</v>
      </c>
      <c r="AE277" s="2">
        <v>10</v>
      </c>
      <c r="AF277" s="2">
        <v>10</v>
      </c>
      <c r="AG277" s="2">
        <v>9</v>
      </c>
      <c r="AH277" s="2">
        <v>9</v>
      </c>
      <c r="AI277" s="2">
        <v>9</v>
      </c>
      <c r="AJ277" s="2">
        <v>9</v>
      </c>
      <c r="AK277" s="3"/>
      <c r="AL277" s="3"/>
      <c r="AM277" s="3"/>
      <c r="AN277" s="3"/>
      <c r="AO277" s="3"/>
      <c r="AP277" s="3"/>
      <c r="AQ277" s="2" t="e">
        <f t="shared" ca="1" si="20"/>
        <v>#NAME?</v>
      </c>
      <c r="AR277" s="2">
        <v>10</v>
      </c>
      <c r="AS277" s="2">
        <v>10</v>
      </c>
      <c r="AT277" s="2">
        <v>10</v>
      </c>
      <c r="AU277" s="2">
        <v>9</v>
      </c>
      <c r="AV277" s="2">
        <v>9</v>
      </c>
      <c r="AW277" s="54">
        <f t="shared" si="114"/>
        <v>10</v>
      </c>
      <c r="AX277" s="48"/>
      <c r="AY277" s="2"/>
      <c r="AZ277" s="2">
        <v>10</v>
      </c>
      <c r="BA277" s="2">
        <v>10</v>
      </c>
      <c r="BB277" s="2">
        <v>10</v>
      </c>
      <c r="BC277" s="2">
        <v>10</v>
      </c>
      <c r="BD277" s="2">
        <v>7</v>
      </c>
      <c r="BE277" s="2">
        <v>6</v>
      </c>
      <c r="BF277" s="2">
        <v>7</v>
      </c>
      <c r="BG277" s="2">
        <v>7</v>
      </c>
      <c r="BH277" s="2">
        <v>7</v>
      </c>
      <c r="BI277" s="57">
        <v>7</v>
      </c>
      <c r="BJ277" s="2" t="e">
        <f t="shared" ca="1" si="21"/>
        <v>#NAME?</v>
      </c>
      <c r="BK277" s="5">
        <v>9</v>
      </c>
      <c r="BL277" s="5">
        <v>9</v>
      </c>
      <c r="BM277" s="5">
        <v>7</v>
      </c>
      <c r="BN277" s="5">
        <v>6</v>
      </c>
      <c r="BO277" s="5">
        <v>6</v>
      </c>
      <c r="BP277" s="54">
        <f t="shared" si="115"/>
        <v>8</v>
      </c>
      <c r="BQ277" s="5"/>
      <c r="BR277" s="5"/>
      <c r="BS277" s="47">
        <v>7</v>
      </c>
      <c r="BT277" s="47">
        <v>7</v>
      </c>
      <c r="BU277" s="47">
        <v>7</v>
      </c>
      <c r="BV277" s="47">
        <v>7</v>
      </c>
      <c r="BW277" s="47">
        <v>7</v>
      </c>
      <c r="BX277" s="47">
        <v>7</v>
      </c>
      <c r="BY277" s="47">
        <v>7</v>
      </c>
      <c r="BZ277" s="47">
        <v>7</v>
      </c>
      <c r="CA277" s="47">
        <v>7</v>
      </c>
      <c r="CB277" s="47">
        <v>7</v>
      </c>
      <c r="CC277" s="2" t="e">
        <f t="shared" ca="1" si="22"/>
        <v>#NAME?</v>
      </c>
      <c r="CD277" s="55"/>
      <c r="CE277" s="2"/>
      <c r="CF277" s="2">
        <v>5</v>
      </c>
      <c r="CG277" s="2">
        <v>5</v>
      </c>
      <c r="CH277" s="2">
        <v>5</v>
      </c>
      <c r="CI277" s="2">
        <v>5</v>
      </c>
      <c r="CJ277" s="2">
        <v>5</v>
      </c>
      <c r="CK277" s="2">
        <v>5</v>
      </c>
      <c r="CL277" s="2">
        <v>5</v>
      </c>
      <c r="CM277" s="2">
        <v>5</v>
      </c>
      <c r="CN277" s="2">
        <v>5</v>
      </c>
      <c r="CO277" s="2">
        <v>5</v>
      </c>
      <c r="CP277" s="2" t="e">
        <f t="shared" ca="1" si="23"/>
        <v>#NAME?</v>
      </c>
      <c r="CQ277" s="2">
        <v>5</v>
      </c>
      <c r="CR277" s="2">
        <v>5</v>
      </c>
      <c r="CS277" s="2">
        <v>5</v>
      </c>
      <c r="CT277" s="2">
        <v>5</v>
      </c>
      <c r="CU277" s="2">
        <v>5</v>
      </c>
      <c r="CV277" s="54">
        <f t="shared" si="116"/>
        <v>5</v>
      </c>
      <c r="CW277" s="55">
        <v>11</v>
      </c>
      <c r="CX277" s="3"/>
    </row>
    <row r="278" spans="1:102" ht="16.5" x14ac:dyDescent="0.55000000000000004">
      <c r="A278" s="17">
        <v>1</v>
      </c>
      <c r="B278" s="17" t="s">
        <v>569</v>
      </c>
      <c r="C278" s="23" t="s">
        <v>596</v>
      </c>
      <c r="D278" s="24" t="s">
        <v>597</v>
      </c>
      <c r="E278" s="48" t="s">
        <v>31</v>
      </c>
      <c r="F278" s="2"/>
      <c r="G278" s="2">
        <v>7</v>
      </c>
      <c r="H278" s="2">
        <v>7</v>
      </c>
      <c r="I278" s="2">
        <v>7</v>
      </c>
      <c r="J278" s="2">
        <v>7</v>
      </c>
      <c r="K278" s="2">
        <v>7</v>
      </c>
      <c r="L278" s="2">
        <v>7</v>
      </c>
      <c r="M278" s="2">
        <v>7</v>
      </c>
      <c r="N278" s="2">
        <v>7</v>
      </c>
      <c r="O278" s="2">
        <v>7</v>
      </c>
      <c r="P278" s="2">
        <v>7</v>
      </c>
      <c r="Q278" s="2" t="e">
        <f t="shared" ca="1" si="19"/>
        <v>#NAME?</v>
      </c>
      <c r="R278" s="2">
        <v>8</v>
      </c>
      <c r="S278" s="2">
        <v>7</v>
      </c>
      <c r="T278" s="2">
        <v>7</v>
      </c>
      <c r="U278" s="2">
        <v>7</v>
      </c>
      <c r="V278" s="2">
        <v>7</v>
      </c>
      <c r="W278" s="54">
        <f t="shared" si="113"/>
        <v>8</v>
      </c>
      <c r="X278" s="48">
        <v>0</v>
      </c>
      <c r="Y278" s="2"/>
      <c r="Z278" s="2"/>
      <c r="AA278" s="2">
        <v>5</v>
      </c>
      <c r="AB278" s="2">
        <v>5</v>
      </c>
      <c r="AC278" s="2">
        <v>5</v>
      </c>
      <c r="AD278" s="2">
        <v>5</v>
      </c>
      <c r="AE278" s="2">
        <v>5</v>
      </c>
      <c r="AF278" s="2">
        <v>5</v>
      </c>
      <c r="AG278" s="2">
        <v>5</v>
      </c>
      <c r="AH278" s="2">
        <v>5</v>
      </c>
      <c r="AI278" s="2">
        <v>5</v>
      </c>
      <c r="AJ278" s="2">
        <v>5</v>
      </c>
      <c r="AK278" s="3"/>
      <c r="AL278" s="3"/>
      <c r="AM278" s="3"/>
      <c r="AN278" s="3"/>
      <c r="AO278" s="3"/>
      <c r="AP278" s="3"/>
      <c r="AQ278" s="2" t="e">
        <f t="shared" ca="1" si="20"/>
        <v>#NAME?</v>
      </c>
      <c r="AR278" s="2">
        <v>5</v>
      </c>
      <c r="AS278" s="2">
        <v>5</v>
      </c>
      <c r="AT278" s="2">
        <v>5</v>
      </c>
      <c r="AU278" s="2">
        <v>5</v>
      </c>
      <c r="AV278" s="2">
        <v>5</v>
      </c>
      <c r="AW278" s="54">
        <f t="shared" si="114"/>
        <v>5</v>
      </c>
      <c r="AX278" s="48"/>
      <c r="AY278" s="2"/>
      <c r="AZ278" s="2">
        <v>10</v>
      </c>
      <c r="BA278" s="2">
        <v>10</v>
      </c>
      <c r="BB278" s="2">
        <v>10</v>
      </c>
      <c r="BC278" s="2">
        <v>10</v>
      </c>
      <c r="BD278" s="2">
        <v>10</v>
      </c>
      <c r="BE278" s="2">
        <v>10</v>
      </c>
      <c r="BF278" s="2">
        <v>10</v>
      </c>
      <c r="BG278" s="2">
        <v>10</v>
      </c>
      <c r="BH278" s="2">
        <v>10</v>
      </c>
      <c r="BI278" s="2">
        <v>10</v>
      </c>
      <c r="BJ278" s="2" t="e">
        <f t="shared" ca="1" si="21"/>
        <v>#NAME?</v>
      </c>
      <c r="BK278" s="2">
        <v>10</v>
      </c>
      <c r="BL278" s="2">
        <v>10</v>
      </c>
      <c r="BM278" s="2">
        <v>10</v>
      </c>
      <c r="BN278" s="2">
        <v>10</v>
      </c>
      <c r="BO278" s="2">
        <v>10</v>
      </c>
      <c r="BP278" s="54">
        <f t="shared" si="115"/>
        <v>10</v>
      </c>
      <c r="BQ278" s="5"/>
      <c r="BR278" s="5"/>
      <c r="BS278" s="47">
        <v>7</v>
      </c>
      <c r="BT278" s="47">
        <v>7</v>
      </c>
      <c r="BU278" s="47">
        <v>7</v>
      </c>
      <c r="BV278" s="47">
        <v>7</v>
      </c>
      <c r="BW278" s="47">
        <v>7</v>
      </c>
      <c r="BX278" s="47">
        <v>7</v>
      </c>
      <c r="BY278" s="47">
        <v>7</v>
      </c>
      <c r="BZ278" s="47">
        <v>7</v>
      </c>
      <c r="CA278" s="47">
        <v>7</v>
      </c>
      <c r="CB278" s="47">
        <v>7</v>
      </c>
      <c r="CC278" s="2" t="e">
        <f t="shared" ca="1" si="22"/>
        <v>#NAME?</v>
      </c>
      <c r="CD278" s="55"/>
      <c r="CE278" s="2"/>
      <c r="CF278" s="2">
        <v>10</v>
      </c>
      <c r="CG278" s="2">
        <v>10</v>
      </c>
      <c r="CH278" s="2">
        <v>7</v>
      </c>
      <c r="CI278" s="2">
        <v>8</v>
      </c>
      <c r="CJ278" s="2">
        <v>9</v>
      </c>
      <c r="CK278" s="2">
        <v>9</v>
      </c>
      <c r="CL278" s="2">
        <v>7</v>
      </c>
      <c r="CM278" s="2">
        <v>9</v>
      </c>
      <c r="CN278" s="2">
        <v>9</v>
      </c>
      <c r="CO278" s="2">
        <v>9</v>
      </c>
      <c r="CP278" s="2" t="e">
        <f t="shared" ca="1" si="23"/>
        <v>#NAME?</v>
      </c>
      <c r="CQ278" s="2">
        <v>6</v>
      </c>
      <c r="CR278" s="2">
        <v>7</v>
      </c>
      <c r="CS278" s="2">
        <v>8</v>
      </c>
      <c r="CT278" s="2">
        <v>9</v>
      </c>
      <c r="CU278" s="2">
        <v>10</v>
      </c>
      <c r="CV278" s="54">
        <f t="shared" si="116"/>
        <v>8</v>
      </c>
      <c r="CW278" s="55">
        <v>20</v>
      </c>
      <c r="CX278" s="3"/>
    </row>
    <row r="279" spans="1:102" ht="16.5" x14ac:dyDescent="0.55000000000000004">
      <c r="A279" s="17">
        <v>1</v>
      </c>
      <c r="B279" s="17" t="s">
        <v>569</v>
      </c>
      <c r="C279" s="23" t="s">
        <v>598</v>
      </c>
      <c r="D279" s="24" t="s">
        <v>599</v>
      </c>
      <c r="E279" s="48">
        <v>5</v>
      </c>
      <c r="F279" s="2"/>
      <c r="G279" s="2">
        <v>10</v>
      </c>
      <c r="H279" s="2">
        <v>10</v>
      </c>
      <c r="I279" s="2">
        <v>10</v>
      </c>
      <c r="J279" s="2">
        <v>9</v>
      </c>
      <c r="K279" s="2">
        <v>10</v>
      </c>
      <c r="L279" s="2">
        <v>10</v>
      </c>
      <c r="M279" s="2">
        <v>10</v>
      </c>
      <c r="N279" s="2">
        <v>10</v>
      </c>
      <c r="O279" s="2">
        <v>9</v>
      </c>
      <c r="P279" s="2">
        <v>10</v>
      </c>
      <c r="Q279" s="2" t="e">
        <f t="shared" ca="1" si="19"/>
        <v>#NAME?</v>
      </c>
      <c r="R279" s="2">
        <v>10</v>
      </c>
      <c r="S279" s="2">
        <v>10</v>
      </c>
      <c r="T279" s="2">
        <v>10</v>
      </c>
      <c r="U279" s="2">
        <v>10</v>
      </c>
      <c r="V279" s="2">
        <v>10</v>
      </c>
      <c r="W279" s="54">
        <f t="shared" si="113"/>
        <v>10</v>
      </c>
      <c r="X279" s="48">
        <v>0</v>
      </c>
      <c r="Y279" s="2">
        <v>6</v>
      </c>
      <c r="Z279" s="2"/>
      <c r="AA279" s="2">
        <v>10</v>
      </c>
      <c r="AB279" s="2">
        <v>10</v>
      </c>
      <c r="AC279" s="2">
        <v>10</v>
      </c>
      <c r="AD279" s="2">
        <v>10</v>
      </c>
      <c r="AE279" s="2">
        <v>10</v>
      </c>
      <c r="AF279" s="2">
        <v>10</v>
      </c>
      <c r="AG279" s="2">
        <v>10</v>
      </c>
      <c r="AH279" s="2">
        <v>10</v>
      </c>
      <c r="AI279" s="2">
        <v>10</v>
      </c>
      <c r="AJ279" s="2">
        <v>10</v>
      </c>
      <c r="AK279" s="53"/>
      <c r="AL279" s="2">
        <v>10</v>
      </c>
      <c r="AM279" s="2">
        <v>10</v>
      </c>
      <c r="AN279" s="2">
        <v>10</v>
      </c>
      <c r="AO279" s="2">
        <v>10</v>
      </c>
      <c r="AP279" s="2">
        <v>10</v>
      </c>
      <c r="AQ279" s="2" t="e">
        <f t="shared" ca="1" si="20"/>
        <v>#NAME?</v>
      </c>
      <c r="AR279" s="2">
        <v>10</v>
      </c>
      <c r="AS279" s="2">
        <v>10</v>
      </c>
      <c r="AT279" s="2">
        <v>5</v>
      </c>
      <c r="AU279" s="2">
        <v>5</v>
      </c>
      <c r="AV279" s="2">
        <v>5</v>
      </c>
      <c r="AW279" s="54">
        <f t="shared" si="114"/>
        <v>7</v>
      </c>
      <c r="AX279" s="48"/>
      <c r="AY279" s="2"/>
      <c r="AZ279" s="2">
        <v>10</v>
      </c>
      <c r="BA279" s="2">
        <v>10</v>
      </c>
      <c r="BB279" s="2">
        <v>10</v>
      </c>
      <c r="BC279" s="2">
        <v>10</v>
      </c>
      <c r="BD279" s="2">
        <v>10</v>
      </c>
      <c r="BE279" s="2">
        <v>10</v>
      </c>
      <c r="BF279" s="2">
        <v>10</v>
      </c>
      <c r="BG279" s="2">
        <v>10</v>
      </c>
      <c r="BH279" s="2">
        <v>10</v>
      </c>
      <c r="BI279" s="2">
        <v>10</v>
      </c>
      <c r="BJ279" s="2" t="e">
        <f t="shared" ca="1" si="21"/>
        <v>#NAME?</v>
      </c>
      <c r="BK279" s="2">
        <v>10</v>
      </c>
      <c r="BL279" s="2">
        <v>10</v>
      </c>
      <c r="BM279" s="2">
        <v>10</v>
      </c>
      <c r="BN279" s="2">
        <v>10</v>
      </c>
      <c r="BO279" s="2">
        <v>10</v>
      </c>
      <c r="BP279" s="54">
        <f t="shared" si="115"/>
        <v>10</v>
      </c>
      <c r="BQ279" s="5"/>
      <c r="BR279" s="5"/>
      <c r="BS279" s="47">
        <v>9</v>
      </c>
      <c r="BT279" s="47">
        <v>9</v>
      </c>
      <c r="BU279" s="47">
        <v>9</v>
      </c>
      <c r="BV279" s="47">
        <v>9</v>
      </c>
      <c r="BW279" s="47">
        <v>9</v>
      </c>
      <c r="BX279" s="47">
        <v>9</v>
      </c>
      <c r="BY279" s="47">
        <v>9</v>
      </c>
      <c r="BZ279" s="47">
        <v>9</v>
      </c>
      <c r="CA279" s="47">
        <v>9</v>
      </c>
      <c r="CB279" s="47">
        <v>9</v>
      </c>
      <c r="CC279" s="2" t="e">
        <f t="shared" ca="1" si="22"/>
        <v>#NAME?</v>
      </c>
      <c r="CD279" s="55"/>
      <c r="CE279" s="2"/>
      <c r="CF279" s="2">
        <v>10</v>
      </c>
      <c r="CG279" s="2">
        <v>10</v>
      </c>
      <c r="CH279" s="2">
        <v>7</v>
      </c>
      <c r="CI279" s="2">
        <v>7</v>
      </c>
      <c r="CJ279" s="2">
        <v>7</v>
      </c>
      <c r="CK279" s="2">
        <v>7</v>
      </c>
      <c r="CL279" s="2">
        <v>7</v>
      </c>
      <c r="CM279" s="2">
        <v>7</v>
      </c>
      <c r="CN279" s="2">
        <v>7</v>
      </c>
      <c r="CO279" s="2">
        <v>7</v>
      </c>
      <c r="CP279" s="2" t="e">
        <f t="shared" ca="1" si="23"/>
        <v>#NAME?</v>
      </c>
      <c r="CQ279" s="2">
        <v>6</v>
      </c>
      <c r="CR279" s="2">
        <v>7</v>
      </c>
      <c r="CS279" s="2">
        <v>8</v>
      </c>
      <c r="CT279" s="2">
        <v>9</v>
      </c>
      <c r="CU279" s="2">
        <v>10</v>
      </c>
      <c r="CV279" s="54">
        <f t="shared" si="116"/>
        <v>8</v>
      </c>
      <c r="CW279" s="55">
        <v>19</v>
      </c>
      <c r="CX279" s="3"/>
    </row>
    <row r="280" spans="1:102" ht="16.5" x14ac:dyDescent="0.55000000000000004">
      <c r="A280" s="17">
        <v>1</v>
      </c>
      <c r="B280" s="17" t="s">
        <v>569</v>
      </c>
      <c r="C280" s="23" t="s">
        <v>600</v>
      </c>
      <c r="D280" s="24" t="s">
        <v>601</v>
      </c>
      <c r="E280" s="48">
        <v>3</v>
      </c>
      <c r="F280" s="2"/>
      <c r="G280" s="2">
        <v>10</v>
      </c>
      <c r="H280" s="2">
        <v>10</v>
      </c>
      <c r="I280" s="2">
        <v>10</v>
      </c>
      <c r="J280" s="2">
        <v>9</v>
      </c>
      <c r="K280" s="2">
        <v>10</v>
      </c>
      <c r="L280" s="2">
        <v>10</v>
      </c>
      <c r="M280" s="2">
        <v>10</v>
      </c>
      <c r="N280" s="2">
        <v>10</v>
      </c>
      <c r="O280" s="2">
        <v>9</v>
      </c>
      <c r="P280" s="2">
        <v>10</v>
      </c>
      <c r="Q280" s="2" t="e">
        <f t="shared" ca="1" si="19"/>
        <v>#NAME?</v>
      </c>
      <c r="R280" s="2">
        <v>10</v>
      </c>
      <c r="S280" s="2">
        <v>9</v>
      </c>
      <c r="T280" s="2">
        <v>10</v>
      </c>
      <c r="U280" s="2">
        <v>10</v>
      </c>
      <c r="V280" s="2">
        <v>10</v>
      </c>
      <c r="W280" s="54">
        <f t="shared" si="113"/>
        <v>10</v>
      </c>
      <c r="X280" s="48">
        <v>0</v>
      </c>
      <c r="Y280" s="2">
        <v>7</v>
      </c>
      <c r="Z280" s="2"/>
      <c r="AA280" s="2">
        <v>10</v>
      </c>
      <c r="AB280" s="2">
        <v>10</v>
      </c>
      <c r="AC280" s="2">
        <v>10</v>
      </c>
      <c r="AD280" s="2">
        <v>10</v>
      </c>
      <c r="AE280" s="2">
        <v>10</v>
      </c>
      <c r="AF280" s="2">
        <v>10</v>
      </c>
      <c r="AG280" s="2">
        <v>10</v>
      </c>
      <c r="AH280" s="2">
        <v>10</v>
      </c>
      <c r="AI280" s="2">
        <v>10</v>
      </c>
      <c r="AJ280" s="2">
        <v>10</v>
      </c>
      <c r="AK280" s="3"/>
      <c r="AL280" s="3"/>
      <c r="AM280" s="3"/>
      <c r="AN280" s="3"/>
      <c r="AO280" s="3"/>
      <c r="AP280" s="3"/>
      <c r="AQ280" s="2" t="e">
        <f t="shared" ca="1" si="20"/>
        <v>#NAME?</v>
      </c>
      <c r="AR280" s="2">
        <v>10</v>
      </c>
      <c r="AS280" s="2">
        <v>10</v>
      </c>
      <c r="AT280" s="2">
        <v>10</v>
      </c>
      <c r="AU280" s="2">
        <v>10</v>
      </c>
      <c r="AV280" s="2">
        <v>10</v>
      </c>
      <c r="AW280" s="54">
        <f t="shared" si="114"/>
        <v>10</v>
      </c>
      <c r="AX280" s="48"/>
      <c r="AY280" s="2"/>
      <c r="AZ280" s="2">
        <v>10</v>
      </c>
      <c r="BA280" s="2">
        <v>10</v>
      </c>
      <c r="BB280" s="2">
        <v>10</v>
      </c>
      <c r="BC280" s="2">
        <v>10</v>
      </c>
      <c r="BD280" s="2">
        <v>10</v>
      </c>
      <c r="BE280" s="2">
        <v>10</v>
      </c>
      <c r="BF280" s="2">
        <v>10</v>
      </c>
      <c r="BG280" s="2">
        <v>10</v>
      </c>
      <c r="BH280" s="2">
        <v>10</v>
      </c>
      <c r="BI280" s="2">
        <v>10</v>
      </c>
      <c r="BJ280" s="2" t="e">
        <f t="shared" ca="1" si="21"/>
        <v>#NAME?</v>
      </c>
      <c r="BK280" s="5">
        <v>10</v>
      </c>
      <c r="BL280" s="2">
        <v>10</v>
      </c>
      <c r="BM280" s="2">
        <v>10</v>
      </c>
      <c r="BN280" s="2">
        <v>10</v>
      </c>
      <c r="BO280" s="2">
        <v>10</v>
      </c>
      <c r="BP280" s="54">
        <f t="shared" si="115"/>
        <v>10</v>
      </c>
      <c r="BQ280" s="5"/>
      <c r="BR280" s="5"/>
      <c r="BS280" s="47">
        <v>7</v>
      </c>
      <c r="BT280" s="47">
        <v>7</v>
      </c>
      <c r="BU280" s="47">
        <v>7</v>
      </c>
      <c r="BV280" s="47">
        <v>7</v>
      </c>
      <c r="BW280" s="47">
        <v>7</v>
      </c>
      <c r="BX280" s="47">
        <v>7</v>
      </c>
      <c r="BY280" s="47">
        <v>7</v>
      </c>
      <c r="BZ280" s="47">
        <v>7</v>
      </c>
      <c r="CA280" s="47">
        <v>7</v>
      </c>
      <c r="CB280" s="47">
        <v>7</v>
      </c>
      <c r="CC280" s="2" t="e">
        <f t="shared" ca="1" si="22"/>
        <v>#NAME?</v>
      </c>
      <c r="CD280" s="55"/>
      <c r="CE280" s="2"/>
      <c r="CF280" s="2">
        <v>10</v>
      </c>
      <c r="CG280" s="2">
        <v>10</v>
      </c>
      <c r="CH280" s="2">
        <v>8</v>
      </c>
      <c r="CI280" s="2">
        <v>10</v>
      </c>
      <c r="CJ280" s="2">
        <v>10</v>
      </c>
      <c r="CK280" s="2">
        <v>10</v>
      </c>
      <c r="CL280" s="2">
        <v>10</v>
      </c>
      <c r="CM280" s="2">
        <v>9</v>
      </c>
      <c r="CN280" s="2">
        <v>10</v>
      </c>
      <c r="CO280" s="2">
        <v>10</v>
      </c>
      <c r="CP280" s="2" t="e">
        <f t="shared" ca="1" si="23"/>
        <v>#NAME?</v>
      </c>
      <c r="CQ280" s="2">
        <v>7</v>
      </c>
      <c r="CR280" s="2">
        <v>8</v>
      </c>
      <c r="CS280" s="2">
        <v>9</v>
      </c>
      <c r="CT280" s="2">
        <v>10</v>
      </c>
      <c r="CU280" s="2">
        <v>10</v>
      </c>
      <c r="CV280" s="54">
        <f t="shared" si="116"/>
        <v>9</v>
      </c>
      <c r="CW280" s="55">
        <v>15</v>
      </c>
      <c r="CX280" s="3"/>
    </row>
    <row r="281" spans="1:102" ht="16.5" x14ac:dyDescent="0.55000000000000004">
      <c r="A281" s="17">
        <v>1</v>
      </c>
      <c r="B281" s="17" t="s">
        <v>569</v>
      </c>
      <c r="C281" s="23" t="s">
        <v>602</v>
      </c>
      <c r="D281" s="24" t="s">
        <v>603</v>
      </c>
      <c r="E281" s="48" t="s">
        <v>31</v>
      </c>
      <c r="F281" s="2"/>
      <c r="G281" s="2">
        <v>10</v>
      </c>
      <c r="H281" s="2">
        <v>10</v>
      </c>
      <c r="I281" s="2">
        <v>10</v>
      </c>
      <c r="J281" s="2">
        <v>9</v>
      </c>
      <c r="K281" s="2">
        <v>10</v>
      </c>
      <c r="L281" s="2">
        <v>10</v>
      </c>
      <c r="M281" s="2">
        <v>10</v>
      </c>
      <c r="N281" s="2">
        <v>10</v>
      </c>
      <c r="O281" s="2">
        <v>9</v>
      </c>
      <c r="P281" s="2">
        <v>10</v>
      </c>
      <c r="Q281" s="2" t="e">
        <f t="shared" ca="1" si="19"/>
        <v>#NAME?</v>
      </c>
      <c r="R281" s="2">
        <v>10</v>
      </c>
      <c r="S281" s="2">
        <v>9</v>
      </c>
      <c r="T281" s="2">
        <v>10</v>
      </c>
      <c r="U281" s="2">
        <v>9</v>
      </c>
      <c r="V281" s="2">
        <v>10</v>
      </c>
      <c r="W281" s="54">
        <f t="shared" si="113"/>
        <v>10</v>
      </c>
      <c r="X281" s="48">
        <v>0</v>
      </c>
      <c r="Y281" s="2"/>
      <c r="Z281" s="2"/>
      <c r="AA281" s="2">
        <v>10</v>
      </c>
      <c r="AB281" s="2">
        <v>10</v>
      </c>
      <c r="AC281" s="2">
        <v>10</v>
      </c>
      <c r="AD281" s="2">
        <v>10</v>
      </c>
      <c r="AE281" s="2">
        <v>10</v>
      </c>
      <c r="AF281" s="2">
        <v>10</v>
      </c>
      <c r="AG281" s="2">
        <v>10</v>
      </c>
      <c r="AH281" s="2">
        <v>9</v>
      </c>
      <c r="AI281" s="2">
        <v>9</v>
      </c>
      <c r="AJ281" s="2">
        <v>9</v>
      </c>
      <c r="AK281" s="3"/>
      <c r="AL281" s="3"/>
      <c r="AM281" s="3"/>
      <c r="AN281" s="3"/>
      <c r="AO281" s="3"/>
      <c r="AP281" s="3"/>
      <c r="AQ281" s="2" t="e">
        <f t="shared" ca="1" si="20"/>
        <v>#NAME?</v>
      </c>
      <c r="AR281" s="2">
        <v>10</v>
      </c>
      <c r="AS281" s="2">
        <v>10</v>
      </c>
      <c r="AT281" s="2">
        <v>9</v>
      </c>
      <c r="AU281" s="2">
        <v>9</v>
      </c>
      <c r="AV281" s="2">
        <v>9</v>
      </c>
      <c r="AW281" s="54">
        <f t="shared" si="114"/>
        <v>10</v>
      </c>
      <c r="AX281" s="48"/>
      <c r="AY281" s="2"/>
      <c r="AZ281" s="2">
        <v>9</v>
      </c>
      <c r="BA281" s="2">
        <v>9</v>
      </c>
      <c r="BB281" s="2">
        <v>9</v>
      </c>
      <c r="BC281" s="2">
        <v>9</v>
      </c>
      <c r="BD281" s="2">
        <v>9</v>
      </c>
      <c r="BE281" s="2">
        <v>9</v>
      </c>
      <c r="BF281" s="2">
        <v>9</v>
      </c>
      <c r="BG281" s="2">
        <v>9</v>
      </c>
      <c r="BH281" s="2">
        <v>9</v>
      </c>
      <c r="BI281" s="2">
        <v>9</v>
      </c>
      <c r="BJ281" s="2" t="e">
        <f t="shared" ca="1" si="21"/>
        <v>#NAME?</v>
      </c>
      <c r="BK281" s="5">
        <v>10</v>
      </c>
      <c r="BL281" s="5">
        <v>10</v>
      </c>
      <c r="BM281" s="5">
        <v>10</v>
      </c>
      <c r="BN281" s="5">
        <v>10</v>
      </c>
      <c r="BO281" s="5">
        <v>10</v>
      </c>
      <c r="BP281" s="54">
        <f t="shared" si="115"/>
        <v>10</v>
      </c>
      <c r="BQ281" s="5"/>
      <c r="BR281" s="5"/>
      <c r="BS281" s="47">
        <v>8</v>
      </c>
      <c r="BT281" s="47">
        <v>8</v>
      </c>
      <c r="BU281" s="47">
        <v>8</v>
      </c>
      <c r="BV281" s="47">
        <v>8</v>
      </c>
      <c r="BW281" s="47">
        <v>8</v>
      </c>
      <c r="BX281" s="47">
        <v>8</v>
      </c>
      <c r="BY281" s="47">
        <v>8</v>
      </c>
      <c r="BZ281" s="47">
        <v>8</v>
      </c>
      <c r="CA281" s="47">
        <v>8</v>
      </c>
      <c r="CB281" s="47">
        <v>8</v>
      </c>
      <c r="CC281" s="2" t="e">
        <f t="shared" ca="1" si="22"/>
        <v>#NAME?</v>
      </c>
      <c r="CD281" s="55"/>
      <c r="CE281" s="2"/>
      <c r="CF281" s="2">
        <v>10</v>
      </c>
      <c r="CG281" s="2">
        <v>10</v>
      </c>
      <c r="CH281" s="2">
        <v>10</v>
      </c>
      <c r="CI281" s="2">
        <v>10</v>
      </c>
      <c r="CJ281" s="2">
        <v>10</v>
      </c>
      <c r="CK281" s="2">
        <v>10</v>
      </c>
      <c r="CL281" s="2">
        <v>10</v>
      </c>
      <c r="CM281" s="2">
        <v>10</v>
      </c>
      <c r="CN281" s="2">
        <v>10</v>
      </c>
      <c r="CO281" s="2">
        <v>10</v>
      </c>
      <c r="CP281" s="2" t="e">
        <f t="shared" ca="1" si="23"/>
        <v>#NAME?</v>
      </c>
      <c r="CQ281" s="2">
        <v>7</v>
      </c>
      <c r="CR281" s="2">
        <v>8</v>
      </c>
      <c r="CS281" s="2">
        <v>9</v>
      </c>
      <c r="CT281" s="2">
        <v>10</v>
      </c>
      <c r="CU281" s="2">
        <v>10</v>
      </c>
      <c r="CV281" s="54">
        <f t="shared" si="116"/>
        <v>9</v>
      </c>
      <c r="CW281" s="55">
        <v>16</v>
      </c>
      <c r="CX281" s="3"/>
    </row>
    <row r="282" spans="1:102" ht="16.5" x14ac:dyDescent="0.55000000000000004">
      <c r="A282" s="17">
        <v>1</v>
      </c>
      <c r="B282" s="17" t="s">
        <v>569</v>
      </c>
      <c r="C282" s="23" t="s">
        <v>604</v>
      </c>
      <c r="D282" s="24" t="s">
        <v>605</v>
      </c>
      <c r="E282" s="48">
        <v>12</v>
      </c>
      <c r="F282" s="2"/>
      <c r="G282" s="2">
        <v>10</v>
      </c>
      <c r="H282" s="2">
        <v>10</v>
      </c>
      <c r="I282" s="2">
        <v>10</v>
      </c>
      <c r="J282" s="2">
        <v>10</v>
      </c>
      <c r="K282" s="2">
        <v>10</v>
      </c>
      <c r="L282" s="2">
        <v>10</v>
      </c>
      <c r="M282" s="2">
        <v>10</v>
      </c>
      <c r="N282" s="2">
        <v>10</v>
      </c>
      <c r="O282" s="2">
        <v>10</v>
      </c>
      <c r="P282" s="2">
        <v>10</v>
      </c>
      <c r="Q282" s="2" t="e">
        <f t="shared" ca="1" si="19"/>
        <v>#NAME?</v>
      </c>
      <c r="R282" s="2">
        <v>10</v>
      </c>
      <c r="S282" s="2">
        <v>10</v>
      </c>
      <c r="T282" s="2">
        <v>10</v>
      </c>
      <c r="U282" s="2">
        <v>10</v>
      </c>
      <c r="V282" s="2">
        <v>10</v>
      </c>
      <c r="W282" s="54">
        <f t="shared" si="113"/>
        <v>10</v>
      </c>
      <c r="X282" s="48">
        <v>10</v>
      </c>
      <c r="Y282" s="2">
        <v>10</v>
      </c>
      <c r="Z282" s="2"/>
      <c r="AA282" s="2">
        <v>10</v>
      </c>
      <c r="AB282" s="2">
        <v>10</v>
      </c>
      <c r="AC282" s="2">
        <v>10</v>
      </c>
      <c r="AD282" s="2">
        <v>10</v>
      </c>
      <c r="AE282" s="2">
        <v>10</v>
      </c>
      <c r="AF282" s="2">
        <v>10</v>
      </c>
      <c r="AG282" s="2">
        <v>10</v>
      </c>
      <c r="AH282" s="2">
        <v>10</v>
      </c>
      <c r="AI282" s="2">
        <v>10</v>
      </c>
      <c r="AJ282" s="2">
        <v>10</v>
      </c>
      <c r="AK282" s="3"/>
      <c r="AL282" s="3"/>
      <c r="AM282" s="3"/>
      <c r="AN282" s="3"/>
      <c r="AO282" s="3"/>
      <c r="AP282" s="3"/>
      <c r="AQ282" s="2" t="e">
        <f t="shared" ca="1" si="20"/>
        <v>#NAME?</v>
      </c>
      <c r="AR282" s="2">
        <v>10</v>
      </c>
      <c r="AS282" s="2">
        <v>10</v>
      </c>
      <c r="AT282" s="2">
        <v>10</v>
      </c>
      <c r="AU282" s="2">
        <v>10</v>
      </c>
      <c r="AV282" s="2">
        <v>10</v>
      </c>
      <c r="AW282" s="54">
        <f t="shared" si="114"/>
        <v>10</v>
      </c>
      <c r="AX282" s="48"/>
      <c r="AY282" s="2"/>
      <c r="AZ282" s="2">
        <v>10</v>
      </c>
      <c r="BA282" s="2">
        <v>10</v>
      </c>
      <c r="BB282" s="2">
        <v>10</v>
      </c>
      <c r="BC282" s="2">
        <v>10</v>
      </c>
      <c r="BD282" s="2">
        <v>10</v>
      </c>
      <c r="BE282" s="2">
        <v>10</v>
      </c>
      <c r="BF282" s="2">
        <v>10</v>
      </c>
      <c r="BG282" s="2">
        <v>10</v>
      </c>
      <c r="BH282" s="2">
        <v>10</v>
      </c>
      <c r="BI282" s="2">
        <v>10</v>
      </c>
      <c r="BJ282" s="2" t="e">
        <f t="shared" ca="1" si="21"/>
        <v>#NAME?</v>
      </c>
      <c r="BK282" s="5">
        <v>10</v>
      </c>
      <c r="BL282" s="5">
        <v>10</v>
      </c>
      <c r="BM282" s="2">
        <v>10</v>
      </c>
      <c r="BN282" s="2">
        <v>10</v>
      </c>
      <c r="BO282" s="2">
        <v>10</v>
      </c>
      <c r="BP282" s="54">
        <f t="shared" si="115"/>
        <v>10</v>
      </c>
      <c r="BQ282" s="5"/>
      <c r="BR282" s="5"/>
      <c r="BS282" s="47">
        <v>10</v>
      </c>
      <c r="BT282" s="47">
        <v>10</v>
      </c>
      <c r="BU282" s="47">
        <v>10</v>
      </c>
      <c r="BV282" s="47">
        <v>10</v>
      </c>
      <c r="BW282" s="47">
        <v>10</v>
      </c>
      <c r="BX282" s="47">
        <v>10</v>
      </c>
      <c r="BY282" s="47">
        <v>10</v>
      </c>
      <c r="BZ282" s="47">
        <v>10</v>
      </c>
      <c r="CA282" s="47">
        <v>10</v>
      </c>
      <c r="CB282" s="47">
        <v>10</v>
      </c>
      <c r="CC282" s="2" t="e">
        <f t="shared" ca="1" si="22"/>
        <v>#NAME?</v>
      </c>
      <c r="CD282" s="55"/>
      <c r="CE282" s="2"/>
      <c r="CF282" s="2">
        <v>10</v>
      </c>
      <c r="CG282" s="2">
        <v>10</v>
      </c>
      <c r="CH282" s="2">
        <v>8</v>
      </c>
      <c r="CI282" s="2">
        <v>9</v>
      </c>
      <c r="CJ282" s="2">
        <v>10</v>
      </c>
      <c r="CK282" s="2">
        <v>10</v>
      </c>
      <c r="CL282" s="2">
        <v>10</v>
      </c>
      <c r="CM282" s="2">
        <v>8</v>
      </c>
      <c r="CN282" s="2">
        <v>10</v>
      </c>
      <c r="CO282" s="2">
        <v>10</v>
      </c>
      <c r="CP282" s="2" t="e">
        <f t="shared" ca="1" si="23"/>
        <v>#NAME?</v>
      </c>
      <c r="CQ282" s="2">
        <v>7</v>
      </c>
      <c r="CR282" s="2">
        <v>10</v>
      </c>
      <c r="CS282" s="2">
        <v>9</v>
      </c>
      <c r="CT282" s="2">
        <v>10</v>
      </c>
      <c r="CU282" s="2">
        <v>10</v>
      </c>
      <c r="CV282" s="54">
        <f t="shared" si="116"/>
        <v>10</v>
      </c>
      <c r="CW282" s="55">
        <v>20</v>
      </c>
      <c r="CX282" s="3"/>
    </row>
    <row r="283" spans="1:102" ht="16.5" x14ac:dyDescent="0.55000000000000004">
      <c r="A283" s="17">
        <v>1</v>
      </c>
      <c r="B283" s="17" t="s">
        <v>569</v>
      </c>
      <c r="C283" s="23" t="s">
        <v>606</v>
      </c>
      <c r="D283" s="24" t="s">
        <v>607</v>
      </c>
      <c r="E283" s="48">
        <v>3</v>
      </c>
      <c r="F283" s="2"/>
      <c r="G283" s="2">
        <v>10</v>
      </c>
      <c r="H283" s="2">
        <v>10</v>
      </c>
      <c r="I283" s="2">
        <v>10</v>
      </c>
      <c r="J283" s="2">
        <v>10</v>
      </c>
      <c r="K283" s="2">
        <v>10</v>
      </c>
      <c r="L283" s="2">
        <v>10</v>
      </c>
      <c r="M283" s="2">
        <v>10</v>
      </c>
      <c r="N283" s="2">
        <v>10</v>
      </c>
      <c r="O283" s="2">
        <v>10</v>
      </c>
      <c r="P283" s="2">
        <v>10</v>
      </c>
      <c r="Q283" s="2" t="e">
        <f t="shared" ca="1" si="19"/>
        <v>#NAME?</v>
      </c>
      <c r="R283" s="2">
        <v>10</v>
      </c>
      <c r="S283" s="2">
        <v>10</v>
      </c>
      <c r="T283" s="2">
        <v>10</v>
      </c>
      <c r="U283" s="2">
        <v>10</v>
      </c>
      <c r="V283" s="2">
        <v>10</v>
      </c>
      <c r="W283" s="54">
        <f t="shared" si="113"/>
        <v>10</v>
      </c>
      <c r="X283" s="48">
        <v>0</v>
      </c>
      <c r="Y283" s="2">
        <v>8</v>
      </c>
      <c r="Z283" s="2"/>
      <c r="AA283" s="2">
        <v>10</v>
      </c>
      <c r="AB283" s="2">
        <v>10</v>
      </c>
      <c r="AC283" s="2">
        <v>10</v>
      </c>
      <c r="AD283" s="2">
        <v>10</v>
      </c>
      <c r="AE283" s="2">
        <v>10</v>
      </c>
      <c r="AF283" s="2">
        <v>10</v>
      </c>
      <c r="AG283" s="2">
        <v>10</v>
      </c>
      <c r="AH283" s="2">
        <v>10</v>
      </c>
      <c r="AI283" s="2">
        <v>10</v>
      </c>
      <c r="AJ283" s="2">
        <v>10</v>
      </c>
      <c r="AK283" s="3"/>
      <c r="AL283" s="3"/>
      <c r="AM283" s="3"/>
      <c r="AN283" s="3"/>
      <c r="AO283" s="3"/>
      <c r="AP283" s="3"/>
      <c r="AQ283" s="2" t="e">
        <f t="shared" ca="1" si="20"/>
        <v>#NAME?</v>
      </c>
      <c r="AR283" s="2">
        <v>10</v>
      </c>
      <c r="AS283" s="2">
        <v>10</v>
      </c>
      <c r="AT283" s="2">
        <v>10</v>
      </c>
      <c r="AU283" s="2">
        <v>10</v>
      </c>
      <c r="AV283" s="2">
        <v>10</v>
      </c>
      <c r="AW283" s="54">
        <f t="shared" si="114"/>
        <v>10</v>
      </c>
      <c r="AX283" s="48"/>
      <c r="AY283" s="2"/>
      <c r="AZ283" s="2">
        <v>10</v>
      </c>
      <c r="BA283" s="2">
        <v>10</v>
      </c>
      <c r="BB283" s="2">
        <v>10</v>
      </c>
      <c r="BC283" s="2">
        <v>10</v>
      </c>
      <c r="BD283" s="2">
        <v>10</v>
      </c>
      <c r="BE283" s="2">
        <v>10</v>
      </c>
      <c r="BF283" s="2">
        <v>10</v>
      </c>
      <c r="BG283" s="2">
        <v>10</v>
      </c>
      <c r="BH283" s="2">
        <v>10</v>
      </c>
      <c r="BI283" s="2">
        <v>10</v>
      </c>
      <c r="BJ283" s="2" t="e">
        <f t="shared" ca="1" si="21"/>
        <v>#NAME?</v>
      </c>
      <c r="BK283" s="5">
        <v>10</v>
      </c>
      <c r="BL283" s="2">
        <v>10</v>
      </c>
      <c r="BM283" s="2">
        <v>10</v>
      </c>
      <c r="BN283" s="2">
        <v>10</v>
      </c>
      <c r="BO283" s="2">
        <v>10</v>
      </c>
      <c r="BP283" s="54">
        <f t="shared" si="115"/>
        <v>10</v>
      </c>
      <c r="BQ283" s="5"/>
      <c r="BR283" s="5"/>
      <c r="BS283" s="47">
        <v>8</v>
      </c>
      <c r="BT283" s="47">
        <v>8</v>
      </c>
      <c r="BU283" s="47">
        <v>8</v>
      </c>
      <c r="BV283" s="47">
        <v>8</v>
      </c>
      <c r="BW283" s="47">
        <v>0</v>
      </c>
      <c r="BX283" s="47">
        <v>8</v>
      </c>
      <c r="BY283" s="47">
        <v>8</v>
      </c>
      <c r="BZ283" s="47">
        <v>8</v>
      </c>
      <c r="CA283" s="47">
        <v>8</v>
      </c>
      <c r="CB283" s="47">
        <v>8</v>
      </c>
      <c r="CC283" s="2" t="e">
        <f t="shared" ca="1" si="22"/>
        <v>#NAME?</v>
      </c>
      <c r="CD283" s="55"/>
      <c r="CE283" s="2"/>
      <c r="CF283" s="2">
        <v>10</v>
      </c>
      <c r="CG283" s="2">
        <v>10</v>
      </c>
      <c r="CH283" s="2">
        <v>10</v>
      </c>
      <c r="CI283" s="2">
        <v>10</v>
      </c>
      <c r="CJ283" s="2">
        <v>10</v>
      </c>
      <c r="CK283" s="2">
        <v>10</v>
      </c>
      <c r="CL283" s="2">
        <v>10</v>
      </c>
      <c r="CM283" s="2">
        <v>10</v>
      </c>
      <c r="CN283" s="2">
        <v>10</v>
      </c>
      <c r="CO283" s="2">
        <v>10</v>
      </c>
      <c r="CP283" s="2" t="e">
        <f t="shared" ca="1" si="23"/>
        <v>#NAME?</v>
      </c>
      <c r="CQ283" s="2">
        <v>8</v>
      </c>
      <c r="CR283" s="2">
        <v>8</v>
      </c>
      <c r="CS283" s="2">
        <v>9</v>
      </c>
      <c r="CT283" s="2">
        <v>10</v>
      </c>
      <c r="CU283" s="2">
        <v>10</v>
      </c>
      <c r="CV283" s="54">
        <f t="shared" si="116"/>
        <v>9</v>
      </c>
      <c r="CW283" s="55">
        <v>15</v>
      </c>
      <c r="CX283" s="3"/>
    </row>
    <row r="284" spans="1:102" ht="16.5" x14ac:dyDescent="0.55000000000000004">
      <c r="A284" s="17">
        <v>1</v>
      </c>
      <c r="B284" s="17" t="s">
        <v>569</v>
      </c>
      <c r="C284" s="23" t="s">
        <v>608</v>
      </c>
      <c r="D284" s="24" t="s">
        <v>609</v>
      </c>
      <c r="E284" s="48">
        <v>12</v>
      </c>
      <c r="F284" s="2"/>
      <c r="G284" s="2">
        <v>10</v>
      </c>
      <c r="H284" s="2">
        <v>9</v>
      </c>
      <c r="I284" s="2">
        <v>8</v>
      </c>
      <c r="J284" s="2">
        <v>10</v>
      </c>
      <c r="K284" s="2">
        <v>10</v>
      </c>
      <c r="L284" s="2">
        <v>10</v>
      </c>
      <c r="M284" s="2">
        <v>9</v>
      </c>
      <c r="N284" s="2">
        <v>8</v>
      </c>
      <c r="O284" s="2">
        <v>10</v>
      </c>
      <c r="P284" s="2">
        <v>10</v>
      </c>
      <c r="Q284" s="2" t="e">
        <f t="shared" ca="1" si="19"/>
        <v>#NAME?</v>
      </c>
      <c r="R284" s="2">
        <v>10</v>
      </c>
      <c r="S284" s="2">
        <v>9</v>
      </c>
      <c r="T284" s="2">
        <v>9</v>
      </c>
      <c r="U284" s="2">
        <v>10</v>
      </c>
      <c r="V284" s="2">
        <v>10</v>
      </c>
      <c r="W284" s="54">
        <f t="shared" si="113"/>
        <v>10</v>
      </c>
      <c r="X284" s="48">
        <v>0</v>
      </c>
      <c r="Y284" s="2">
        <v>7</v>
      </c>
      <c r="Z284" s="2"/>
      <c r="AA284" s="2">
        <v>10</v>
      </c>
      <c r="AB284" s="2">
        <v>10</v>
      </c>
      <c r="AC284" s="2">
        <v>10</v>
      </c>
      <c r="AD284" s="2">
        <v>10</v>
      </c>
      <c r="AE284" s="2">
        <v>10</v>
      </c>
      <c r="AF284" s="2">
        <v>10</v>
      </c>
      <c r="AG284" s="2">
        <v>10</v>
      </c>
      <c r="AH284" s="2">
        <v>10</v>
      </c>
      <c r="AI284" s="2">
        <v>10</v>
      </c>
      <c r="AJ284" s="2">
        <v>10</v>
      </c>
      <c r="AK284" s="3"/>
      <c r="AL284" s="3"/>
      <c r="AM284" s="3"/>
      <c r="AN284" s="3"/>
      <c r="AO284" s="3"/>
      <c r="AP284" s="3"/>
      <c r="AQ284" s="2" t="e">
        <f t="shared" ca="1" si="20"/>
        <v>#NAME?</v>
      </c>
      <c r="AR284" s="2">
        <v>10</v>
      </c>
      <c r="AS284" s="2">
        <v>10</v>
      </c>
      <c r="AT284" s="2">
        <v>10</v>
      </c>
      <c r="AU284" s="2">
        <v>10</v>
      </c>
      <c r="AV284" s="2">
        <v>10</v>
      </c>
      <c r="AW284" s="54">
        <f t="shared" si="114"/>
        <v>10</v>
      </c>
      <c r="AX284" s="48"/>
      <c r="AY284" s="2"/>
      <c r="AZ284" s="2">
        <v>10</v>
      </c>
      <c r="BA284" s="2">
        <v>10</v>
      </c>
      <c r="BB284" s="55">
        <v>10</v>
      </c>
      <c r="BC284" s="2">
        <v>10</v>
      </c>
      <c r="BD284" s="2">
        <v>10</v>
      </c>
      <c r="BE284" s="2">
        <v>10</v>
      </c>
      <c r="BF284" s="2">
        <v>10</v>
      </c>
      <c r="BG284" s="2">
        <v>10</v>
      </c>
      <c r="BH284" s="2">
        <v>10</v>
      </c>
      <c r="BI284" s="2">
        <v>10</v>
      </c>
      <c r="BJ284" s="2" t="e">
        <f t="shared" ca="1" si="21"/>
        <v>#NAME?</v>
      </c>
      <c r="BK284" s="5">
        <v>10</v>
      </c>
      <c r="BL284" s="2">
        <v>10</v>
      </c>
      <c r="BM284" s="2">
        <v>10</v>
      </c>
      <c r="BN284" s="2">
        <v>10</v>
      </c>
      <c r="BO284" s="2">
        <v>10</v>
      </c>
      <c r="BP284" s="54">
        <f t="shared" si="115"/>
        <v>10</v>
      </c>
      <c r="BQ284" s="5"/>
      <c r="BR284" s="5"/>
      <c r="BS284" s="47">
        <v>7</v>
      </c>
      <c r="BT284" s="47">
        <v>7</v>
      </c>
      <c r="BU284" s="47">
        <v>7</v>
      </c>
      <c r="BV284" s="47">
        <v>7</v>
      </c>
      <c r="BW284" s="47">
        <v>7</v>
      </c>
      <c r="BX284" s="47">
        <v>7</v>
      </c>
      <c r="BY284" s="47">
        <v>7</v>
      </c>
      <c r="BZ284" s="47">
        <v>7</v>
      </c>
      <c r="CA284" s="47">
        <v>7</v>
      </c>
      <c r="CB284" s="47">
        <v>7</v>
      </c>
      <c r="CC284" s="2" t="e">
        <f t="shared" ca="1" si="22"/>
        <v>#NAME?</v>
      </c>
      <c r="CD284" s="55"/>
      <c r="CE284" s="2"/>
      <c r="CF284" s="2">
        <v>10</v>
      </c>
      <c r="CG284" s="2">
        <v>10</v>
      </c>
      <c r="CH284" s="2">
        <v>10</v>
      </c>
      <c r="CI284" s="2">
        <v>10</v>
      </c>
      <c r="CJ284" s="2">
        <v>9</v>
      </c>
      <c r="CK284" s="2">
        <v>10</v>
      </c>
      <c r="CL284" s="2">
        <v>10</v>
      </c>
      <c r="CM284" s="2">
        <v>9</v>
      </c>
      <c r="CN284" s="2">
        <v>9</v>
      </c>
      <c r="CO284" s="2">
        <v>9</v>
      </c>
      <c r="CP284" s="2" t="e">
        <f t="shared" ca="1" si="23"/>
        <v>#NAME?</v>
      </c>
      <c r="CQ284" s="2">
        <v>8</v>
      </c>
      <c r="CR284" s="2">
        <v>8</v>
      </c>
      <c r="CS284" s="2">
        <v>9</v>
      </c>
      <c r="CT284" s="2">
        <v>10</v>
      </c>
      <c r="CU284" s="2">
        <v>10</v>
      </c>
      <c r="CV284" s="54">
        <f t="shared" si="116"/>
        <v>9</v>
      </c>
      <c r="CW284" s="55">
        <v>20</v>
      </c>
      <c r="CX284" s="3"/>
    </row>
    <row r="285" spans="1:102" ht="16.5" x14ac:dyDescent="0.55000000000000004">
      <c r="A285" s="17">
        <v>1</v>
      </c>
      <c r="B285" s="17" t="s">
        <v>569</v>
      </c>
      <c r="C285" s="23" t="s">
        <v>610</v>
      </c>
      <c r="D285" s="24" t="s">
        <v>611</v>
      </c>
      <c r="E285" s="48">
        <v>5</v>
      </c>
      <c r="F285" s="2"/>
      <c r="G285" s="2">
        <v>10</v>
      </c>
      <c r="H285" s="2">
        <v>10</v>
      </c>
      <c r="I285" s="2">
        <v>10</v>
      </c>
      <c r="J285" s="2">
        <v>10</v>
      </c>
      <c r="K285" s="2">
        <v>10</v>
      </c>
      <c r="L285" s="2">
        <v>10</v>
      </c>
      <c r="M285" s="2">
        <v>10</v>
      </c>
      <c r="N285" s="2">
        <v>10</v>
      </c>
      <c r="O285" s="2">
        <v>10</v>
      </c>
      <c r="P285" s="2">
        <v>10</v>
      </c>
      <c r="Q285" s="2" t="e">
        <f t="shared" ca="1" si="19"/>
        <v>#NAME?</v>
      </c>
      <c r="R285" s="2">
        <v>10</v>
      </c>
      <c r="S285" s="2">
        <v>10</v>
      </c>
      <c r="T285" s="2">
        <v>10</v>
      </c>
      <c r="U285" s="2">
        <v>10</v>
      </c>
      <c r="V285" s="2">
        <v>10</v>
      </c>
      <c r="W285" s="54">
        <f t="shared" si="113"/>
        <v>10</v>
      </c>
      <c r="X285" s="48">
        <v>10</v>
      </c>
      <c r="Y285" s="2">
        <v>9</v>
      </c>
      <c r="Z285" s="2"/>
      <c r="AA285" s="2">
        <v>10</v>
      </c>
      <c r="AB285" s="2">
        <v>10</v>
      </c>
      <c r="AC285" s="2">
        <v>10</v>
      </c>
      <c r="AD285" s="2">
        <v>10</v>
      </c>
      <c r="AE285" s="2">
        <v>10</v>
      </c>
      <c r="AF285" s="2">
        <v>10</v>
      </c>
      <c r="AG285" s="2">
        <v>10</v>
      </c>
      <c r="AH285" s="2">
        <v>10</v>
      </c>
      <c r="AI285" s="2">
        <v>10</v>
      </c>
      <c r="AJ285" s="2">
        <v>10</v>
      </c>
      <c r="AK285" s="3"/>
      <c r="AL285" s="3"/>
      <c r="AM285" s="3"/>
      <c r="AN285" s="3"/>
      <c r="AO285" s="3"/>
      <c r="AP285" s="3"/>
      <c r="AQ285" s="2" t="e">
        <f t="shared" ca="1" si="20"/>
        <v>#NAME?</v>
      </c>
      <c r="AR285" s="2">
        <v>10</v>
      </c>
      <c r="AS285" s="2">
        <v>10</v>
      </c>
      <c r="AT285" s="2">
        <v>10</v>
      </c>
      <c r="AU285" s="2">
        <v>10</v>
      </c>
      <c r="AV285" s="2">
        <v>10</v>
      </c>
      <c r="AW285" s="54">
        <f t="shared" si="114"/>
        <v>10</v>
      </c>
      <c r="AX285" s="48"/>
      <c r="AY285" s="2"/>
      <c r="AZ285" s="91">
        <v>10</v>
      </c>
      <c r="BA285" s="91">
        <v>10</v>
      </c>
      <c r="BB285" s="92">
        <v>10</v>
      </c>
      <c r="BC285" s="2">
        <v>10</v>
      </c>
      <c r="BD285" s="2">
        <v>10</v>
      </c>
      <c r="BE285" s="2">
        <v>10</v>
      </c>
      <c r="BF285" s="2">
        <v>10</v>
      </c>
      <c r="BG285" s="2">
        <v>10</v>
      </c>
      <c r="BH285" s="2">
        <v>10</v>
      </c>
      <c r="BI285" s="2">
        <v>10</v>
      </c>
      <c r="BJ285" s="2" t="e">
        <f t="shared" ca="1" si="21"/>
        <v>#NAME?</v>
      </c>
      <c r="BK285" s="5">
        <v>10</v>
      </c>
      <c r="BL285" s="5">
        <v>10</v>
      </c>
      <c r="BM285" s="2">
        <v>10</v>
      </c>
      <c r="BN285" s="2">
        <v>10</v>
      </c>
      <c r="BO285" s="2">
        <v>10</v>
      </c>
      <c r="BP285" s="54">
        <f t="shared" si="115"/>
        <v>10</v>
      </c>
      <c r="BQ285" s="5"/>
      <c r="BR285" s="5"/>
      <c r="BS285" s="47">
        <v>10</v>
      </c>
      <c r="BT285" s="47">
        <v>10</v>
      </c>
      <c r="BU285" s="47">
        <v>10</v>
      </c>
      <c r="BV285" s="47">
        <v>10</v>
      </c>
      <c r="BW285" s="47">
        <v>10</v>
      </c>
      <c r="BX285" s="47">
        <v>10</v>
      </c>
      <c r="BY285" s="47">
        <v>10</v>
      </c>
      <c r="BZ285" s="47">
        <v>10</v>
      </c>
      <c r="CA285" s="47">
        <v>10</v>
      </c>
      <c r="CB285" s="47">
        <v>10</v>
      </c>
      <c r="CC285" s="2" t="e">
        <f t="shared" ca="1" si="22"/>
        <v>#NAME?</v>
      </c>
      <c r="CD285" s="55"/>
      <c r="CE285" s="2"/>
      <c r="CF285" s="2">
        <v>9</v>
      </c>
      <c r="CG285" s="2">
        <v>9</v>
      </c>
      <c r="CH285" s="2">
        <v>10</v>
      </c>
      <c r="CI285" s="2">
        <v>10</v>
      </c>
      <c r="CJ285" s="2">
        <v>10</v>
      </c>
      <c r="CK285" s="2">
        <v>10</v>
      </c>
      <c r="CL285" s="2">
        <v>10</v>
      </c>
      <c r="CM285" s="2">
        <v>10</v>
      </c>
      <c r="CN285" s="2">
        <v>10</v>
      </c>
      <c r="CO285" s="2">
        <v>10</v>
      </c>
      <c r="CP285" s="2" t="e">
        <f t="shared" ca="1" si="23"/>
        <v>#NAME?</v>
      </c>
      <c r="CQ285" s="2">
        <v>8</v>
      </c>
      <c r="CR285" s="2">
        <v>9</v>
      </c>
      <c r="CS285" s="2">
        <v>10</v>
      </c>
      <c r="CT285" s="2">
        <v>10</v>
      </c>
      <c r="CU285" s="2">
        <v>10</v>
      </c>
      <c r="CV285" s="54">
        <f t="shared" si="116"/>
        <v>10</v>
      </c>
      <c r="CW285" s="55">
        <v>20</v>
      </c>
      <c r="CX285" s="3"/>
    </row>
    <row r="286" spans="1:102" ht="16.5" x14ac:dyDescent="0.55000000000000004">
      <c r="A286" s="17">
        <v>1</v>
      </c>
      <c r="B286" s="17" t="s">
        <v>569</v>
      </c>
      <c r="C286" s="23" t="s">
        <v>612</v>
      </c>
      <c r="D286" s="24" t="s">
        <v>613</v>
      </c>
      <c r="E286" s="48">
        <v>2</v>
      </c>
      <c r="F286" s="2"/>
      <c r="G286" s="2">
        <v>10</v>
      </c>
      <c r="H286" s="2">
        <v>10</v>
      </c>
      <c r="I286" s="2">
        <v>10</v>
      </c>
      <c r="J286" s="2">
        <v>10</v>
      </c>
      <c r="K286" s="2">
        <v>10</v>
      </c>
      <c r="L286" s="2">
        <v>10</v>
      </c>
      <c r="M286" s="2">
        <v>10</v>
      </c>
      <c r="N286" s="2">
        <v>10</v>
      </c>
      <c r="O286" s="2">
        <v>10</v>
      </c>
      <c r="P286" s="2">
        <v>10</v>
      </c>
      <c r="Q286" s="2" t="e">
        <f t="shared" ca="1" si="19"/>
        <v>#NAME?</v>
      </c>
      <c r="R286" s="2">
        <v>10</v>
      </c>
      <c r="S286" s="2">
        <v>10</v>
      </c>
      <c r="T286" s="2">
        <v>10</v>
      </c>
      <c r="U286" s="2">
        <v>10</v>
      </c>
      <c r="V286" s="2">
        <v>10</v>
      </c>
      <c r="W286" s="54">
        <f t="shared" si="113"/>
        <v>10</v>
      </c>
      <c r="X286" s="48">
        <v>10</v>
      </c>
      <c r="Y286" s="2">
        <v>10</v>
      </c>
      <c r="Z286" s="2"/>
      <c r="AA286" s="2">
        <v>10</v>
      </c>
      <c r="AB286" s="2">
        <v>10</v>
      </c>
      <c r="AC286" s="2">
        <v>10</v>
      </c>
      <c r="AD286" s="2">
        <v>10</v>
      </c>
      <c r="AE286" s="2">
        <v>10</v>
      </c>
      <c r="AF286" s="2">
        <v>10</v>
      </c>
      <c r="AG286" s="2">
        <v>10</v>
      </c>
      <c r="AH286" s="2">
        <v>10</v>
      </c>
      <c r="AI286" s="2">
        <v>10</v>
      </c>
      <c r="AJ286" s="2">
        <v>10</v>
      </c>
      <c r="AK286" s="3"/>
      <c r="AL286" s="3"/>
      <c r="AM286" s="3"/>
      <c r="AN286" s="3"/>
      <c r="AO286" s="3"/>
      <c r="AP286" s="3"/>
      <c r="AQ286" s="2" t="e">
        <f t="shared" ca="1" si="20"/>
        <v>#NAME?</v>
      </c>
      <c r="AR286" s="2">
        <v>10</v>
      </c>
      <c r="AS286" s="2">
        <v>10</v>
      </c>
      <c r="AT286" s="2">
        <v>10</v>
      </c>
      <c r="AU286" s="2">
        <v>10</v>
      </c>
      <c r="AV286" s="2">
        <v>10</v>
      </c>
      <c r="AW286" s="54">
        <f t="shared" si="114"/>
        <v>10</v>
      </c>
      <c r="AX286" s="48"/>
      <c r="AY286" s="2"/>
      <c r="AZ286" s="91">
        <v>10</v>
      </c>
      <c r="BA286" s="91">
        <v>10</v>
      </c>
      <c r="BB286" s="92">
        <v>10</v>
      </c>
      <c r="BC286" s="2">
        <v>10</v>
      </c>
      <c r="BD286" s="2">
        <v>10</v>
      </c>
      <c r="BE286" s="2">
        <v>10</v>
      </c>
      <c r="BF286" s="2">
        <v>10</v>
      </c>
      <c r="BG286" s="2">
        <v>10</v>
      </c>
      <c r="BH286" s="2">
        <v>10</v>
      </c>
      <c r="BI286" s="2">
        <v>10</v>
      </c>
      <c r="BJ286" s="2" t="e">
        <f t="shared" ca="1" si="21"/>
        <v>#NAME?</v>
      </c>
      <c r="BK286" s="5">
        <v>10</v>
      </c>
      <c r="BL286" s="5">
        <v>10</v>
      </c>
      <c r="BM286" s="2">
        <v>10</v>
      </c>
      <c r="BN286" s="2">
        <v>10</v>
      </c>
      <c r="BO286" s="2">
        <v>10</v>
      </c>
      <c r="BP286" s="54">
        <f t="shared" si="115"/>
        <v>10</v>
      </c>
      <c r="BQ286" s="5"/>
      <c r="BR286" s="5"/>
      <c r="BS286" s="47">
        <v>10</v>
      </c>
      <c r="BT286" s="47">
        <v>10</v>
      </c>
      <c r="BU286" s="47">
        <v>10</v>
      </c>
      <c r="BV286" s="47">
        <v>10</v>
      </c>
      <c r="BW286" s="47">
        <v>10</v>
      </c>
      <c r="BX286" s="47">
        <v>10</v>
      </c>
      <c r="BY286" s="47">
        <v>10</v>
      </c>
      <c r="BZ286" s="47">
        <v>10</v>
      </c>
      <c r="CA286" s="47">
        <v>10</v>
      </c>
      <c r="CB286" s="47">
        <v>10</v>
      </c>
      <c r="CC286" s="2" t="e">
        <f t="shared" ca="1" si="22"/>
        <v>#NAME?</v>
      </c>
      <c r="CD286" s="55"/>
      <c r="CE286" s="2"/>
      <c r="CF286" s="2">
        <v>10</v>
      </c>
      <c r="CG286" s="2">
        <v>10</v>
      </c>
      <c r="CH286" s="2">
        <v>10</v>
      </c>
      <c r="CI286" s="2">
        <v>10</v>
      </c>
      <c r="CJ286" s="2">
        <v>10</v>
      </c>
      <c r="CK286" s="2">
        <v>10</v>
      </c>
      <c r="CL286" s="2">
        <v>10</v>
      </c>
      <c r="CM286" s="2">
        <v>10</v>
      </c>
      <c r="CN286" s="2">
        <v>10</v>
      </c>
      <c r="CO286" s="2">
        <v>10</v>
      </c>
      <c r="CP286" s="2" t="e">
        <f t="shared" ca="1" si="23"/>
        <v>#NAME?</v>
      </c>
      <c r="CQ286" s="2">
        <v>8</v>
      </c>
      <c r="CR286" s="2">
        <v>9</v>
      </c>
      <c r="CS286" s="2">
        <v>10</v>
      </c>
      <c r="CT286" s="2">
        <v>10</v>
      </c>
      <c r="CU286" s="2">
        <v>10</v>
      </c>
      <c r="CV286" s="54">
        <f t="shared" si="116"/>
        <v>10</v>
      </c>
      <c r="CW286" s="55">
        <v>17</v>
      </c>
      <c r="CX286" s="3"/>
    </row>
    <row r="287" spans="1:102" ht="16.5" x14ac:dyDescent="0.55000000000000004">
      <c r="A287" s="17">
        <v>2</v>
      </c>
      <c r="B287" s="17" t="s">
        <v>569</v>
      </c>
      <c r="C287" s="23" t="s">
        <v>614</v>
      </c>
      <c r="D287" s="24" t="s">
        <v>615</v>
      </c>
      <c r="E287" s="48">
        <v>12</v>
      </c>
      <c r="F287" s="2"/>
      <c r="G287" s="2">
        <v>8</v>
      </c>
      <c r="H287" s="2">
        <v>9</v>
      </c>
      <c r="I287" s="2">
        <v>7</v>
      </c>
      <c r="J287" s="2">
        <v>8</v>
      </c>
      <c r="K287" s="2">
        <v>9</v>
      </c>
      <c r="L287" s="2">
        <v>8</v>
      </c>
      <c r="M287" s="2">
        <v>9</v>
      </c>
      <c r="N287" s="2">
        <v>7</v>
      </c>
      <c r="O287" s="2">
        <v>8</v>
      </c>
      <c r="P287" s="2">
        <v>9</v>
      </c>
      <c r="Q287" s="2" t="e">
        <f t="shared" ca="1" si="19"/>
        <v>#NAME?</v>
      </c>
      <c r="R287" s="2">
        <v>10</v>
      </c>
      <c r="S287" s="2">
        <v>9</v>
      </c>
      <c r="T287" s="2">
        <v>8</v>
      </c>
      <c r="U287" s="2">
        <v>9</v>
      </c>
      <c r="V287" s="2">
        <v>10</v>
      </c>
      <c r="W287" s="54">
        <f t="shared" si="113"/>
        <v>10</v>
      </c>
      <c r="X287" s="48">
        <v>0</v>
      </c>
      <c r="Y287" s="2">
        <v>5</v>
      </c>
      <c r="Z287" s="2"/>
      <c r="AA287" s="2">
        <v>10</v>
      </c>
      <c r="AB287" s="2">
        <v>10</v>
      </c>
      <c r="AC287" s="2">
        <v>10</v>
      </c>
      <c r="AD287" s="2">
        <v>10</v>
      </c>
      <c r="AE287" s="2">
        <v>10</v>
      </c>
      <c r="AF287" s="2">
        <v>10</v>
      </c>
      <c r="AG287" s="2">
        <v>10</v>
      </c>
      <c r="AH287" s="2">
        <v>10</v>
      </c>
      <c r="AI287" s="2">
        <v>10</v>
      </c>
      <c r="AJ287" s="2">
        <v>10</v>
      </c>
      <c r="AK287" s="3"/>
      <c r="AL287" s="3"/>
      <c r="AM287" s="3"/>
      <c r="AN287" s="3"/>
      <c r="AO287" s="3"/>
      <c r="AP287" s="3"/>
      <c r="AQ287" s="2" t="e">
        <f t="shared" ca="1" si="20"/>
        <v>#NAME?</v>
      </c>
      <c r="AR287" s="2">
        <v>10</v>
      </c>
      <c r="AS287" s="2">
        <v>10</v>
      </c>
      <c r="AT287" s="2">
        <v>10</v>
      </c>
      <c r="AU287" s="2">
        <v>10</v>
      </c>
      <c r="AV287" s="2">
        <v>10</v>
      </c>
      <c r="AW287" s="54">
        <f t="shared" si="114"/>
        <v>10</v>
      </c>
      <c r="AX287" s="48"/>
      <c r="AY287" s="2"/>
      <c r="AZ287" s="1">
        <v>10</v>
      </c>
      <c r="BA287" s="1">
        <v>10</v>
      </c>
      <c r="BB287" s="1">
        <v>10</v>
      </c>
      <c r="BC287" s="1">
        <v>10</v>
      </c>
      <c r="BD287" s="1">
        <v>10</v>
      </c>
      <c r="BE287" s="1">
        <v>10</v>
      </c>
      <c r="BF287" s="1">
        <v>10</v>
      </c>
      <c r="BG287" s="1">
        <v>10</v>
      </c>
      <c r="BH287" s="1">
        <v>10</v>
      </c>
      <c r="BI287" s="1">
        <v>10</v>
      </c>
      <c r="BJ287" s="2" t="e">
        <f t="shared" ca="1" si="21"/>
        <v>#NAME?</v>
      </c>
      <c r="BK287" s="1">
        <v>10</v>
      </c>
      <c r="BL287" s="1">
        <v>10</v>
      </c>
      <c r="BM287" s="1">
        <v>10</v>
      </c>
      <c r="BN287" s="1">
        <v>10</v>
      </c>
      <c r="BO287" s="1">
        <v>10</v>
      </c>
      <c r="BP287" s="54">
        <f t="shared" si="115"/>
        <v>10</v>
      </c>
      <c r="BQ287" s="5"/>
      <c r="BR287" s="5"/>
      <c r="BS287" s="93">
        <v>9</v>
      </c>
      <c r="BT287" s="93">
        <v>9</v>
      </c>
      <c r="BU287" s="93">
        <v>9</v>
      </c>
      <c r="BV287" s="93">
        <v>9</v>
      </c>
      <c r="BW287" s="93">
        <v>9</v>
      </c>
      <c r="BX287" s="93">
        <v>9</v>
      </c>
      <c r="BY287" s="93">
        <v>9</v>
      </c>
      <c r="BZ287" s="93">
        <v>9</v>
      </c>
      <c r="CA287" s="93">
        <v>9</v>
      </c>
      <c r="CB287" s="93">
        <v>9</v>
      </c>
      <c r="CC287" s="2" t="e">
        <f t="shared" ca="1" si="22"/>
        <v>#NAME?</v>
      </c>
      <c r="CD287" s="55"/>
      <c r="CE287" s="2"/>
      <c r="CF287" s="2">
        <v>8</v>
      </c>
      <c r="CG287" s="2">
        <v>8</v>
      </c>
      <c r="CH287" s="2">
        <v>8</v>
      </c>
      <c r="CI287" s="2">
        <v>10</v>
      </c>
      <c r="CJ287" s="2">
        <v>10</v>
      </c>
      <c r="CK287" s="2">
        <v>9</v>
      </c>
      <c r="CL287" s="2">
        <v>9</v>
      </c>
      <c r="CM287" s="2">
        <v>8</v>
      </c>
      <c r="CN287" s="2">
        <v>9</v>
      </c>
      <c r="CO287" s="2">
        <v>9</v>
      </c>
      <c r="CP287" s="2" t="e">
        <f t="shared" ca="1" si="23"/>
        <v>#NAME?</v>
      </c>
      <c r="CQ287" s="2">
        <v>9</v>
      </c>
      <c r="CR287" s="2">
        <v>8</v>
      </c>
      <c r="CS287" s="2">
        <v>9</v>
      </c>
      <c r="CT287" s="2">
        <v>10</v>
      </c>
      <c r="CU287" s="2">
        <v>10</v>
      </c>
      <c r="CV287" s="54">
        <f t="shared" si="116"/>
        <v>10</v>
      </c>
      <c r="CW287" s="55">
        <v>15</v>
      </c>
      <c r="CX287" s="3"/>
    </row>
    <row r="288" spans="1:102" ht="16.5" x14ac:dyDescent="0.55000000000000004">
      <c r="A288" s="17">
        <v>2</v>
      </c>
      <c r="B288" s="17" t="s">
        <v>569</v>
      </c>
      <c r="C288" s="23" t="s">
        <v>616</v>
      </c>
      <c r="D288" s="24" t="s">
        <v>617</v>
      </c>
      <c r="E288" s="48">
        <v>14</v>
      </c>
      <c r="F288" s="2"/>
      <c r="G288" s="2">
        <v>9</v>
      </c>
      <c r="H288" s="2">
        <v>9</v>
      </c>
      <c r="I288" s="2">
        <v>10</v>
      </c>
      <c r="J288" s="2">
        <v>10</v>
      </c>
      <c r="K288" s="2">
        <v>10</v>
      </c>
      <c r="L288" s="2">
        <v>9</v>
      </c>
      <c r="M288" s="2">
        <v>9</v>
      </c>
      <c r="N288" s="2">
        <v>10</v>
      </c>
      <c r="O288" s="2">
        <v>10</v>
      </c>
      <c r="P288" s="2">
        <v>10</v>
      </c>
      <c r="Q288" s="2" t="e">
        <f t="shared" ca="1" si="19"/>
        <v>#NAME?</v>
      </c>
      <c r="R288" s="2">
        <v>9</v>
      </c>
      <c r="S288" s="2">
        <v>9</v>
      </c>
      <c r="T288" s="2">
        <v>10</v>
      </c>
      <c r="U288" s="2">
        <v>10</v>
      </c>
      <c r="V288" s="2">
        <v>10</v>
      </c>
      <c r="W288" s="54">
        <f t="shared" si="113"/>
        <v>10</v>
      </c>
      <c r="X288" s="48">
        <v>0</v>
      </c>
      <c r="Y288" s="2">
        <v>9</v>
      </c>
      <c r="Z288" s="2"/>
      <c r="AA288" s="2">
        <v>10</v>
      </c>
      <c r="AB288" s="2">
        <v>10</v>
      </c>
      <c r="AC288" s="2">
        <v>10</v>
      </c>
      <c r="AD288" s="2">
        <v>10</v>
      </c>
      <c r="AE288" s="2">
        <v>10</v>
      </c>
      <c r="AF288" s="2">
        <v>10</v>
      </c>
      <c r="AG288" s="2">
        <v>10</v>
      </c>
      <c r="AH288" s="2">
        <v>10</v>
      </c>
      <c r="AI288" s="2">
        <v>10</v>
      </c>
      <c r="AJ288" s="2">
        <v>10</v>
      </c>
      <c r="AK288" s="3"/>
      <c r="AL288" s="3"/>
      <c r="AM288" s="3"/>
      <c r="AN288" s="3"/>
      <c r="AO288" s="3"/>
      <c r="AP288" s="3"/>
      <c r="AQ288" s="2" t="e">
        <f t="shared" ca="1" si="20"/>
        <v>#NAME?</v>
      </c>
      <c r="AR288" s="2">
        <v>10</v>
      </c>
      <c r="AS288" s="2">
        <v>10</v>
      </c>
      <c r="AT288" s="2">
        <v>10</v>
      </c>
      <c r="AU288" s="2">
        <v>10</v>
      </c>
      <c r="AV288" s="2">
        <v>10</v>
      </c>
      <c r="AW288" s="54">
        <f t="shared" si="114"/>
        <v>10</v>
      </c>
      <c r="AX288" s="48"/>
      <c r="AY288" s="2"/>
      <c r="AZ288" s="70">
        <v>10</v>
      </c>
      <c r="BA288" s="70">
        <v>10</v>
      </c>
      <c r="BB288" s="70">
        <v>10</v>
      </c>
      <c r="BC288" s="70">
        <v>10</v>
      </c>
      <c r="BD288" s="2">
        <v>10</v>
      </c>
      <c r="BE288" s="2">
        <v>10</v>
      </c>
      <c r="BF288" s="2">
        <v>10</v>
      </c>
      <c r="BG288" s="2">
        <v>10</v>
      </c>
      <c r="BH288" s="2">
        <v>10</v>
      </c>
      <c r="BI288" s="2">
        <v>10</v>
      </c>
      <c r="BJ288" s="2" t="e">
        <f t="shared" ca="1" si="21"/>
        <v>#NAME?</v>
      </c>
      <c r="BK288" s="70">
        <v>10</v>
      </c>
      <c r="BL288" s="70">
        <v>10</v>
      </c>
      <c r="BM288" s="70">
        <v>10</v>
      </c>
      <c r="BN288" s="70">
        <v>10</v>
      </c>
      <c r="BO288" s="70">
        <v>10</v>
      </c>
      <c r="BP288" s="54">
        <f t="shared" si="115"/>
        <v>10</v>
      </c>
      <c r="BQ288" s="5"/>
      <c r="BR288" s="5"/>
      <c r="BS288" s="5">
        <v>10</v>
      </c>
      <c r="BT288" s="5">
        <v>10</v>
      </c>
      <c r="BU288" s="5">
        <v>10</v>
      </c>
      <c r="BV288" s="5">
        <v>10</v>
      </c>
      <c r="BW288" s="5">
        <v>10</v>
      </c>
      <c r="BX288" s="5">
        <v>10</v>
      </c>
      <c r="BY288" s="5">
        <v>10</v>
      </c>
      <c r="BZ288" s="5">
        <v>10</v>
      </c>
      <c r="CA288" s="5">
        <v>10</v>
      </c>
      <c r="CB288" s="5">
        <v>10</v>
      </c>
      <c r="CC288" s="2" t="e">
        <f t="shared" ca="1" si="22"/>
        <v>#NAME?</v>
      </c>
      <c r="CD288" s="55"/>
      <c r="CE288" s="2"/>
      <c r="CF288" s="2">
        <v>8</v>
      </c>
      <c r="CG288" s="2">
        <v>8</v>
      </c>
      <c r="CH288" s="2">
        <v>8</v>
      </c>
      <c r="CI288" s="2">
        <v>10</v>
      </c>
      <c r="CJ288" s="2">
        <v>10</v>
      </c>
      <c r="CK288" s="2">
        <v>10</v>
      </c>
      <c r="CL288" s="2">
        <v>8</v>
      </c>
      <c r="CM288" s="2">
        <v>10</v>
      </c>
      <c r="CN288" s="2">
        <v>10</v>
      </c>
      <c r="CO288" s="2">
        <v>10</v>
      </c>
      <c r="CP288" s="2" t="e">
        <f t="shared" ca="1" si="23"/>
        <v>#NAME?</v>
      </c>
      <c r="CQ288" s="2">
        <v>9</v>
      </c>
      <c r="CR288" s="2">
        <v>10</v>
      </c>
      <c r="CS288" s="2">
        <v>10</v>
      </c>
      <c r="CT288" s="2">
        <v>10</v>
      </c>
      <c r="CU288" s="2">
        <v>10</v>
      </c>
      <c r="CV288" s="54">
        <f t="shared" si="116"/>
        <v>10</v>
      </c>
      <c r="CW288" s="55">
        <v>19</v>
      </c>
      <c r="CX288" s="3"/>
    </row>
    <row r="289" spans="1:102" ht="16.5" x14ac:dyDescent="0.55000000000000004">
      <c r="A289" s="17">
        <v>2</v>
      </c>
      <c r="B289" s="17" t="s">
        <v>569</v>
      </c>
      <c r="C289" s="23" t="s">
        <v>618</v>
      </c>
      <c r="D289" s="24" t="s">
        <v>619</v>
      </c>
      <c r="E289" s="48">
        <v>9</v>
      </c>
      <c r="F289" s="2"/>
      <c r="G289" s="2">
        <v>9</v>
      </c>
      <c r="H289" s="2">
        <v>9</v>
      </c>
      <c r="I289" s="2">
        <v>10</v>
      </c>
      <c r="J289" s="2">
        <v>9</v>
      </c>
      <c r="K289" s="2">
        <v>10</v>
      </c>
      <c r="L289" s="2">
        <v>9</v>
      </c>
      <c r="M289" s="2">
        <v>9</v>
      </c>
      <c r="N289" s="2">
        <v>10</v>
      </c>
      <c r="O289" s="2">
        <v>9</v>
      </c>
      <c r="P289" s="2">
        <v>10</v>
      </c>
      <c r="Q289" s="2" t="e">
        <f t="shared" ca="1" si="19"/>
        <v>#NAME?</v>
      </c>
      <c r="R289" s="2">
        <v>9</v>
      </c>
      <c r="S289" s="2">
        <v>10</v>
      </c>
      <c r="T289" s="2">
        <v>10</v>
      </c>
      <c r="U289" s="2">
        <v>10</v>
      </c>
      <c r="V289" s="2">
        <v>10</v>
      </c>
      <c r="W289" s="54">
        <f t="shared" si="113"/>
        <v>10</v>
      </c>
      <c r="X289" s="48">
        <v>0</v>
      </c>
      <c r="Y289" s="2">
        <v>7</v>
      </c>
      <c r="Z289" s="2"/>
      <c r="AA289" s="2">
        <v>10</v>
      </c>
      <c r="AB289" s="2">
        <v>10</v>
      </c>
      <c r="AC289" s="2">
        <v>10</v>
      </c>
      <c r="AD289" s="2">
        <v>10</v>
      </c>
      <c r="AE289" s="2">
        <v>10</v>
      </c>
      <c r="AF289" s="2">
        <v>10</v>
      </c>
      <c r="AG289" s="2">
        <v>10</v>
      </c>
      <c r="AH289" s="2">
        <v>10</v>
      </c>
      <c r="AI289" s="2">
        <v>10</v>
      </c>
      <c r="AJ289" s="2">
        <v>10</v>
      </c>
      <c r="AK289" s="3"/>
      <c r="AL289" s="3"/>
      <c r="AM289" s="3"/>
      <c r="AN289" s="3"/>
      <c r="AO289" s="3"/>
      <c r="AP289" s="3"/>
      <c r="AQ289" s="2" t="e">
        <f t="shared" ca="1" si="20"/>
        <v>#NAME?</v>
      </c>
      <c r="AR289" s="2">
        <v>10</v>
      </c>
      <c r="AS289" s="2">
        <v>10</v>
      </c>
      <c r="AT289" s="2">
        <v>10</v>
      </c>
      <c r="AU289" s="2">
        <v>10</v>
      </c>
      <c r="AV289" s="2">
        <v>10</v>
      </c>
      <c r="AW289" s="54">
        <f t="shared" si="114"/>
        <v>10</v>
      </c>
      <c r="AX289" s="48"/>
      <c r="AY289" s="2"/>
      <c r="AZ289" s="2">
        <v>10</v>
      </c>
      <c r="BA289" s="2">
        <v>10</v>
      </c>
      <c r="BB289" s="2">
        <v>10</v>
      </c>
      <c r="BC289" s="2">
        <v>10</v>
      </c>
      <c r="BD289" s="2">
        <v>10</v>
      </c>
      <c r="BE289" s="2">
        <v>10</v>
      </c>
      <c r="BF289" s="2">
        <v>10</v>
      </c>
      <c r="BG289" s="2">
        <v>10</v>
      </c>
      <c r="BH289" s="2">
        <v>10</v>
      </c>
      <c r="BI289" s="2">
        <v>10</v>
      </c>
      <c r="BJ289" s="2" t="e">
        <f t="shared" ca="1" si="21"/>
        <v>#NAME?</v>
      </c>
      <c r="BK289" s="2">
        <v>10</v>
      </c>
      <c r="BL289" s="2">
        <v>10</v>
      </c>
      <c r="BM289" s="2">
        <v>10</v>
      </c>
      <c r="BN289" s="2">
        <v>10</v>
      </c>
      <c r="BO289" s="2">
        <v>10</v>
      </c>
      <c r="BP289" s="54">
        <f t="shared" si="115"/>
        <v>10</v>
      </c>
      <c r="BQ289" s="5"/>
      <c r="BR289" s="5"/>
      <c r="BS289" s="5">
        <v>10</v>
      </c>
      <c r="BT289" s="5">
        <v>10</v>
      </c>
      <c r="BU289" s="5">
        <v>10</v>
      </c>
      <c r="BV289" s="5">
        <v>10</v>
      </c>
      <c r="BW289" s="5">
        <v>9</v>
      </c>
      <c r="BX289" s="5">
        <v>9</v>
      </c>
      <c r="BY289" s="5">
        <v>10</v>
      </c>
      <c r="BZ289" s="5">
        <v>10</v>
      </c>
      <c r="CA289" s="5">
        <v>10</v>
      </c>
      <c r="CB289" s="5">
        <v>10</v>
      </c>
      <c r="CC289" s="2" t="e">
        <f t="shared" ca="1" si="22"/>
        <v>#NAME?</v>
      </c>
      <c r="CD289" s="55"/>
      <c r="CE289" s="2"/>
      <c r="CF289" s="2">
        <v>8</v>
      </c>
      <c r="CG289" s="2">
        <v>8</v>
      </c>
      <c r="CH289" s="2">
        <v>8</v>
      </c>
      <c r="CI289" s="2">
        <v>10</v>
      </c>
      <c r="CJ289" s="2">
        <v>10</v>
      </c>
      <c r="CK289" s="2">
        <v>10</v>
      </c>
      <c r="CL289" s="2">
        <v>10</v>
      </c>
      <c r="CM289" s="2">
        <v>8</v>
      </c>
      <c r="CN289" s="2">
        <v>10</v>
      </c>
      <c r="CO289" s="2">
        <v>10</v>
      </c>
      <c r="CP289" s="2" t="e">
        <f t="shared" ca="1" si="23"/>
        <v>#NAME?</v>
      </c>
      <c r="CQ289" s="2">
        <v>9</v>
      </c>
      <c r="CR289" s="2">
        <v>8</v>
      </c>
      <c r="CS289" s="2">
        <v>9</v>
      </c>
      <c r="CT289" s="2">
        <v>10</v>
      </c>
      <c r="CU289" s="2">
        <v>10</v>
      </c>
      <c r="CV289" s="54">
        <f t="shared" si="116"/>
        <v>10</v>
      </c>
      <c r="CW289" s="55">
        <v>19</v>
      </c>
      <c r="CX289" s="3"/>
    </row>
    <row r="290" spans="1:102" ht="16.5" x14ac:dyDescent="0.55000000000000004">
      <c r="A290" s="17">
        <v>2</v>
      </c>
      <c r="B290" s="17" t="s">
        <v>569</v>
      </c>
      <c r="C290" s="23" t="s">
        <v>620</v>
      </c>
      <c r="D290" s="24" t="s">
        <v>621</v>
      </c>
      <c r="E290" s="48">
        <v>4</v>
      </c>
      <c r="F290" s="2"/>
      <c r="G290" s="2">
        <v>9</v>
      </c>
      <c r="H290" s="2">
        <v>9</v>
      </c>
      <c r="I290" s="2">
        <v>9</v>
      </c>
      <c r="J290" s="2">
        <v>10</v>
      </c>
      <c r="K290" s="2">
        <v>10</v>
      </c>
      <c r="L290" s="2">
        <v>9</v>
      </c>
      <c r="M290" s="2">
        <v>9</v>
      </c>
      <c r="N290" s="2">
        <v>9</v>
      </c>
      <c r="O290" s="2">
        <v>10</v>
      </c>
      <c r="P290" s="2">
        <v>10</v>
      </c>
      <c r="Q290" s="2" t="e">
        <f t="shared" ca="1" si="19"/>
        <v>#NAME?</v>
      </c>
      <c r="R290" s="2">
        <v>10</v>
      </c>
      <c r="S290" s="2">
        <v>9</v>
      </c>
      <c r="T290" s="2">
        <v>9</v>
      </c>
      <c r="U290" s="2">
        <v>9</v>
      </c>
      <c r="V290" s="2">
        <v>10</v>
      </c>
      <c r="W290" s="54">
        <f t="shared" si="113"/>
        <v>10</v>
      </c>
      <c r="X290" s="48">
        <v>0</v>
      </c>
      <c r="Y290" s="2">
        <v>5</v>
      </c>
      <c r="Z290" s="2"/>
      <c r="AA290" s="2">
        <v>10</v>
      </c>
      <c r="AB290" s="2">
        <v>10</v>
      </c>
      <c r="AC290" s="2">
        <v>10</v>
      </c>
      <c r="AD290" s="2">
        <v>10</v>
      </c>
      <c r="AE290" s="2">
        <v>10</v>
      </c>
      <c r="AF290" s="2">
        <v>10</v>
      </c>
      <c r="AG290" s="2">
        <v>10</v>
      </c>
      <c r="AH290" s="2">
        <v>10</v>
      </c>
      <c r="AI290" s="2">
        <v>10</v>
      </c>
      <c r="AJ290" s="2">
        <v>10</v>
      </c>
      <c r="AK290" s="3"/>
      <c r="AL290" s="3"/>
      <c r="AM290" s="3"/>
      <c r="AN290" s="3"/>
      <c r="AO290" s="3"/>
      <c r="AP290" s="3"/>
      <c r="AQ290" s="2" t="e">
        <f t="shared" ca="1" si="20"/>
        <v>#NAME?</v>
      </c>
      <c r="AR290" s="2">
        <v>10</v>
      </c>
      <c r="AS290" s="2">
        <v>10</v>
      </c>
      <c r="AT290" s="2">
        <v>10</v>
      </c>
      <c r="AU290" s="2">
        <v>10</v>
      </c>
      <c r="AV290" s="2">
        <v>10</v>
      </c>
      <c r="AW290" s="54">
        <f t="shared" si="114"/>
        <v>10</v>
      </c>
      <c r="AX290" s="48"/>
      <c r="AY290" s="2"/>
      <c r="AZ290" s="1">
        <v>10</v>
      </c>
      <c r="BA290" s="1">
        <v>10</v>
      </c>
      <c r="BB290" s="1">
        <v>10</v>
      </c>
      <c r="BC290" s="1">
        <v>10</v>
      </c>
      <c r="BD290" s="1">
        <v>10</v>
      </c>
      <c r="BE290" s="1">
        <v>10</v>
      </c>
      <c r="BF290" s="1">
        <v>10</v>
      </c>
      <c r="BG290" s="1">
        <v>10</v>
      </c>
      <c r="BH290" s="1">
        <v>10</v>
      </c>
      <c r="BI290" s="1">
        <v>10</v>
      </c>
      <c r="BJ290" s="2" t="e">
        <f t="shared" ca="1" si="21"/>
        <v>#NAME?</v>
      </c>
      <c r="BK290" s="1">
        <v>10</v>
      </c>
      <c r="BL290" s="1">
        <v>10</v>
      </c>
      <c r="BM290" s="1">
        <v>10</v>
      </c>
      <c r="BN290" s="1">
        <v>10</v>
      </c>
      <c r="BO290" s="1">
        <v>10</v>
      </c>
      <c r="BP290" s="54">
        <f t="shared" si="115"/>
        <v>10</v>
      </c>
      <c r="BQ290" s="5"/>
      <c r="BR290" s="5"/>
      <c r="BS290" s="5">
        <v>10</v>
      </c>
      <c r="BT290" s="5">
        <v>10</v>
      </c>
      <c r="BU290" s="5">
        <v>10</v>
      </c>
      <c r="BV290" s="5">
        <v>10</v>
      </c>
      <c r="BW290" s="5">
        <v>10</v>
      </c>
      <c r="BX290" s="5">
        <v>9</v>
      </c>
      <c r="BY290" s="5">
        <v>9</v>
      </c>
      <c r="BZ290" s="5">
        <v>9</v>
      </c>
      <c r="CA290" s="5">
        <v>10</v>
      </c>
      <c r="CB290" s="5">
        <v>10</v>
      </c>
      <c r="CC290" s="2" t="e">
        <f t="shared" ca="1" si="22"/>
        <v>#NAME?</v>
      </c>
      <c r="CD290" s="55"/>
      <c r="CE290" s="2"/>
      <c r="CF290" s="2">
        <v>8</v>
      </c>
      <c r="CG290" s="2">
        <v>8</v>
      </c>
      <c r="CH290" s="2">
        <v>8</v>
      </c>
      <c r="CI290" s="2">
        <v>10</v>
      </c>
      <c r="CJ290" s="2">
        <v>10</v>
      </c>
      <c r="CK290" s="2">
        <v>10</v>
      </c>
      <c r="CL290" s="2">
        <v>10</v>
      </c>
      <c r="CM290" s="2">
        <v>10</v>
      </c>
      <c r="CN290" s="2">
        <v>10</v>
      </c>
      <c r="CO290" s="2">
        <v>10</v>
      </c>
      <c r="CP290" s="2" t="e">
        <f t="shared" ca="1" si="23"/>
        <v>#NAME?</v>
      </c>
      <c r="CQ290" s="2">
        <v>9</v>
      </c>
      <c r="CR290" s="2">
        <v>10</v>
      </c>
      <c r="CS290" s="2">
        <v>10</v>
      </c>
      <c r="CT290" s="2">
        <v>10</v>
      </c>
      <c r="CU290" s="2">
        <v>10</v>
      </c>
      <c r="CV290" s="54">
        <f t="shared" si="116"/>
        <v>10</v>
      </c>
      <c r="CW290" s="55">
        <v>10</v>
      </c>
      <c r="CX290" s="3"/>
    </row>
    <row r="291" spans="1:102" ht="16.5" x14ac:dyDescent="0.55000000000000004">
      <c r="A291" s="17">
        <v>2</v>
      </c>
      <c r="B291" s="17" t="s">
        <v>569</v>
      </c>
      <c r="C291" s="23" t="s">
        <v>622</v>
      </c>
      <c r="D291" s="24" t="s">
        <v>623</v>
      </c>
      <c r="E291" s="48" t="s">
        <v>31</v>
      </c>
      <c r="F291" s="2"/>
      <c r="G291" s="2">
        <v>7</v>
      </c>
      <c r="H291" s="2">
        <v>8</v>
      </c>
      <c r="I291" s="2">
        <v>8</v>
      </c>
      <c r="J291" s="2">
        <v>8</v>
      </c>
      <c r="K291" s="2">
        <v>8</v>
      </c>
      <c r="L291" s="2">
        <v>7</v>
      </c>
      <c r="M291" s="2">
        <v>8</v>
      </c>
      <c r="N291" s="2">
        <v>8</v>
      </c>
      <c r="O291" s="2">
        <v>8</v>
      </c>
      <c r="P291" s="2">
        <v>8</v>
      </c>
      <c r="Q291" s="2" t="e">
        <f t="shared" ca="1" si="19"/>
        <v>#NAME?</v>
      </c>
      <c r="R291" s="2">
        <v>8</v>
      </c>
      <c r="S291" s="2">
        <v>8</v>
      </c>
      <c r="T291" s="2">
        <v>9</v>
      </c>
      <c r="U291" s="2">
        <v>8</v>
      </c>
      <c r="V291" s="2">
        <v>9</v>
      </c>
      <c r="W291" s="54">
        <f t="shared" si="113"/>
        <v>9</v>
      </c>
      <c r="X291" s="48">
        <v>0</v>
      </c>
      <c r="Y291" s="2">
        <v>8</v>
      </c>
      <c r="Z291" s="2"/>
      <c r="AA291" s="2">
        <v>10</v>
      </c>
      <c r="AB291" s="2">
        <v>10</v>
      </c>
      <c r="AC291" s="2">
        <v>10</v>
      </c>
      <c r="AD291" s="2">
        <v>10</v>
      </c>
      <c r="AE291" s="2">
        <v>10</v>
      </c>
      <c r="AF291" s="2">
        <v>10</v>
      </c>
      <c r="AG291" s="2">
        <v>7</v>
      </c>
      <c r="AH291" s="2">
        <v>8</v>
      </c>
      <c r="AI291" s="2">
        <v>9</v>
      </c>
      <c r="AJ291" s="2">
        <v>9</v>
      </c>
      <c r="AK291" s="3"/>
      <c r="AL291" s="3"/>
      <c r="AM291" s="3"/>
      <c r="AN291" s="3"/>
      <c r="AO291" s="3"/>
      <c r="AP291" s="3"/>
      <c r="AQ291" s="2" t="e">
        <f t="shared" ca="1" si="20"/>
        <v>#NAME?</v>
      </c>
      <c r="AR291" s="2">
        <v>10</v>
      </c>
      <c r="AS291" s="2">
        <v>10</v>
      </c>
      <c r="AT291" s="2">
        <v>10</v>
      </c>
      <c r="AU291" s="2">
        <v>9</v>
      </c>
      <c r="AV291" s="2">
        <v>9</v>
      </c>
      <c r="AW291" s="54">
        <f t="shared" si="114"/>
        <v>10</v>
      </c>
      <c r="AX291" s="48"/>
      <c r="AY291" s="2"/>
      <c r="AZ291" s="1">
        <v>9</v>
      </c>
      <c r="BA291" s="70">
        <v>9</v>
      </c>
      <c r="BB291" s="71">
        <v>9</v>
      </c>
      <c r="BC291" s="78">
        <v>9</v>
      </c>
      <c r="BD291" s="78">
        <v>9</v>
      </c>
      <c r="BE291" s="78">
        <v>9</v>
      </c>
      <c r="BF291" s="78">
        <v>9</v>
      </c>
      <c r="BG291" s="78">
        <v>9</v>
      </c>
      <c r="BH291" s="78">
        <v>8</v>
      </c>
      <c r="BI291" s="78">
        <v>8</v>
      </c>
      <c r="BJ291" s="2" t="e">
        <f t="shared" ca="1" si="21"/>
        <v>#NAME?</v>
      </c>
      <c r="BK291" s="78">
        <v>9</v>
      </c>
      <c r="BL291" s="78">
        <v>9</v>
      </c>
      <c r="BM291" s="78">
        <v>9</v>
      </c>
      <c r="BN291" s="78">
        <v>9</v>
      </c>
      <c r="BO291" s="78">
        <v>8</v>
      </c>
      <c r="BP291" s="54">
        <f t="shared" si="115"/>
        <v>9</v>
      </c>
      <c r="BQ291" s="5"/>
      <c r="BR291" s="5"/>
      <c r="BS291" s="5">
        <v>9</v>
      </c>
      <c r="BT291" s="5">
        <v>9</v>
      </c>
      <c r="BU291" s="5">
        <v>9</v>
      </c>
      <c r="BV291" s="5">
        <v>9</v>
      </c>
      <c r="BW291" s="5">
        <v>9</v>
      </c>
      <c r="BX291" s="5">
        <v>9</v>
      </c>
      <c r="BY291" s="5">
        <v>10</v>
      </c>
      <c r="BZ291" s="5">
        <v>10</v>
      </c>
      <c r="CA291" s="5">
        <v>10</v>
      </c>
      <c r="CB291" s="5">
        <v>10</v>
      </c>
      <c r="CC291" s="2" t="e">
        <f t="shared" ca="1" si="22"/>
        <v>#NAME?</v>
      </c>
      <c r="CD291" s="55"/>
      <c r="CE291" s="2"/>
      <c r="CF291" s="2">
        <v>6</v>
      </c>
      <c r="CG291" s="2">
        <v>7</v>
      </c>
      <c r="CH291" s="2">
        <v>8</v>
      </c>
      <c r="CI291" s="2">
        <v>8</v>
      </c>
      <c r="CJ291" s="2">
        <v>9</v>
      </c>
      <c r="CK291" s="2">
        <v>9</v>
      </c>
      <c r="CL291" s="2">
        <v>7</v>
      </c>
      <c r="CM291" s="2">
        <v>9</v>
      </c>
      <c r="CN291" s="2">
        <v>9</v>
      </c>
      <c r="CO291" s="2">
        <v>9</v>
      </c>
      <c r="CP291" s="2" t="e">
        <f t="shared" ca="1" si="23"/>
        <v>#NAME?</v>
      </c>
      <c r="CQ291" s="2">
        <v>7</v>
      </c>
      <c r="CR291" s="2">
        <v>7</v>
      </c>
      <c r="CS291" s="2">
        <v>8</v>
      </c>
      <c r="CT291" s="2">
        <v>9</v>
      </c>
      <c r="CU291" s="2">
        <v>10</v>
      </c>
      <c r="CV291" s="54">
        <f t="shared" si="116"/>
        <v>9</v>
      </c>
      <c r="CW291" s="55" t="s">
        <v>31</v>
      </c>
      <c r="CX291" s="3"/>
    </row>
    <row r="292" spans="1:102" ht="16.5" x14ac:dyDescent="0.55000000000000004">
      <c r="A292" s="17">
        <v>2</v>
      </c>
      <c r="B292" s="17" t="s">
        <v>569</v>
      </c>
      <c r="C292" s="23" t="s">
        <v>624</v>
      </c>
      <c r="D292" s="24" t="s">
        <v>625</v>
      </c>
      <c r="E292" s="48">
        <v>2</v>
      </c>
      <c r="F292" s="2"/>
      <c r="G292" s="2">
        <v>10</v>
      </c>
      <c r="H292" s="2">
        <v>9</v>
      </c>
      <c r="I292" s="2">
        <v>10</v>
      </c>
      <c r="J292" s="2">
        <v>10</v>
      </c>
      <c r="K292" s="2">
        <v>10</v>
      </c>
      <c r="L292" s="2">
        <v>10</v>
      </c>
      <c r="M292" s="2">
        <v>9</v>
      </c>
      <c r="N292" s="2">
        <v>10</v>
      </c>
      <c r="O292" s="2">
        <v>10</v>
      </c>
      <c r="P292" s="2">
        <v>10</v>
      </c>
      <c r="Q292" s="2" t="e">
        <f t="shared" ca="1" si="19"/>
        <v>#NAME?</v>
      </c>
      <c r="R292" s="2">
        <v>10</v>
      </c>
      <c r="S292" s="2">
        <v>9</v>
      </c>
      <c r="T292" s="2">
        <v>9</v>
      </c>
      <c r="U292" s="2">
        <v>10</v>
      </c>
      <c r="V292" s="2">
        <v>10</v>
      </c>
      <c r="W292" s="54">
        <f t="shared" si="113"/>
        <v>10</v>
      </c>
      <c r="X292" s="48">
        <v>0</v>
      </c>
      <c r="Y292" s="2">
        <v>6</v>
      </c>
      <c r="Z292" s="2"/>
      <c r="AA292" s="2">
        <v>10</v>
      </c>
      <c r="AB292" s="2">
        <v>10</v>
      </c>
      <c r="AC292" s="2">
        <v>10</v>
      </c>
      <c r="AD292" s="2">
        <v>10</v>
      </c>
      <c r="AE292" s="2">
        <v>10</v>
      </c>
      <c r="AF292" s="2">
        <v>10</v>
      </c>
      <c r="AG292" s="2">
        <v>10</v>
      </c>
      <c r="AH292" s="2">
        <v>10</v>
      </c>
      <c r="AI292" s="2">
        <v>10</v>
      </c>
      <c r="AJ292" s="2">
        <v>10</v>
      </c>
      <c r="AK292" s="3"/>
      <c r="AL292" s="3"/>
      <c r="AM292" s="3"/>
      <c r="AN292" s="3"/>
      <c r="AO292" s="3"/>
      <c r="AP292" s="3"/>
      <c r="AQ292" s="2" t="e">
        <f t="shared" ca="1" si="20"/>
        <v>#NAME?</v>
      </c>
      <c r="AR292" s="2">
        <v>10</v>
      </c>
      <c r="AS292" s="2">
        <v>10</v>
      </c>
      <c r="AT292" s="2">
        <v>10</v>
      </c>
      <c r="AU292" s="2">
        <v>10</v>
      </c>
      <c r="AV292" s="2">
        <v>10</v>
      </c>
      <c r="AW292" s="54">
        <f t="shared" si="114"/>
        <v>10</v>
      </c>
      <c r="AX292" s="48"/>
      <c r="AY292" s="2"/>
      <c r="AZ292" s="70">
        <v>10</v>
      </c>
      <c r="BA292" s="70">
        <v>10</v>
      </c>
      <c r="BB292" s="70">
        <v>10</v>
      </c>
      <c r="BC292" s="70">
        <v>10</v>
      </c>
      <c r="BD292" s="70">
        <v>10</v>
      </c>
      <c r="BE292" s="70">
        <v>10</v>
      </c>
      <c r="BF292" s="70">
        <v>10</v>
      </c>
      <c r="BG292" s="70">
        <v>10</v>
      </c>
      <c r="BH292" s="70">
        <v>10</v>
      </c>
      <c r="BI292" s="70">
        <v>10</v>
      </c>
      <c r="BJ292" s="2" t="e">
        <f t="shared" ca="1" si="21"/>
        <v>#NAME?</v>
      </c>
      <c r="BK292" s="70">
        <v>10</v>
      </c>
      <c r="BL292" s="70">
        <v>10</v>
      </c>
      <c r="BM292" s="70">
        <v>10</v>
      </c>
      <c r="BN292" s="70">
        <v>10</v>
      </c>
      <c r="BO292" s="70">
        <v>10</v>
      </c>
      <c r="BP292" s="54">
        <f t="shared" si="115"/>
        <v>10</v>
      </c>
      <c r="BQ292" s="5"/>
      <c r="BR292" s="5"/>
      <c r="BS292" s="5">
        <v>10</v>
      </c>
      <c r="BT292" s="5">
        <v>10</v>
      </c>
      <c r="BU292" s="5">
        <v>10</v>
      </c>
      <c r="BV292" s="5">
        <v>10</v>
      </c>
      <c r="BW292" s="5">
        <v>10</v>
      </c>
      <c r="BX292" s="5">
        <v>10</v>
      </c>
      <c r="BY292" s="5">
        <v>10</v>
      </c>
      <c r="BZ292" s="5">
        <v>10</v>
      </c>
      <c r="CA292" s="5">
        <v>10</v>
      </c>
      <c r="CB292" s="5">
        <v>10</v>
      </c>
      <c r="CC292" s="2" t="e">
        <f t="shared" ca="1" si="22"/>
        <v>#NAME?</v>
      </c>
      <c r="CD292" s="55"/>
      <c r="CE292" s="2"/>
      <c r="CF292" s="2">
        <v>8</v>
      </c>
      <c r="CG292" s="2">
        <v>8</v>
      </c>
      <c r="CH292" s="2">
        <v>8</v>
      </c>
      <c r="CI292" s="2">
        <v>10</v>
      </c>
      <c r="CJ292" s="2">
        <v>10</v>
      </c>
      <c r="CK292" s="2">
        <v>10</v>
      </c>
      <c r="CL292" s="2">
        <v>10</v>
      </c>
      <c r="CM292" s="2">
        <v>8</v>
      </c>
      <c r="CN292" s="2">
        <v>10</v>
      </c>
      <c r="CO292" s="2">
        <v>10</v>
      </c>
      <c r="CP292" s="2" t="e">
        <f t="shared" ca="1" si="23"/>
        <v>#NAME?</v>
      </c>
      <c r="CQ292" s="2">
        <v>9</v>
      </c>
      <c r="CR292" s="2">
        <v>9</v>
      </c>
      <c r="CS292" s="2">
        <v>10</v>
      </c>
      <c r="CT292" s="2">
        <v>10</v>
      </c>
      <c r="CU292" s="2">
        <v>10</v>
      </c>
      <c r="CV292" s="54">
        <f t="shared" si="116"/>
        <v>10</v>
      </c>
      <c r="CW292" s="55">
        <v>19</v>
      </c>
      <c r="CX292" s="3"/>
    </row>
    <row r="293" spans="1:102" ht="16.5" x14ac:dyDescent="0.55000000000000004">
      <c r="A293" s="17">
        <v>2</v>
      </c>
      <c r="B293" s="17" t="s">
        <v>569</v>
      </c>
      <c r="C293" s="23" t="s">
        <v>626</v>
      </c>
      <c r="D293" s="24" t="s">
        <v>627</v>
      </c>
      <c r="E293" s="48">
        <v>1</v>
      </c>
      <c r="F293" s="2"/>
      <c r="G293" s="2">
        <v>9</v>
      </c>
      <c r="H293" s="2">
        <v>9</v>
      </c>
      <c r="I293" s="2">
        <v>8</v>
      </c>
      <c r="J293" s="2">
        <v>9</v>
      </c>
      <c r="K293" s="2">
        <v>10</v>
      </c>
      <c r="L293" s="2">
        <v>9</v>
      </c>
      <c r="M293" s="2">
        <v>9</v>
      </c>
      <c r="N293" s="2">
        <v>8</v>
      </c>
      <c r="O293" s="2">
        <v>9</v>
      </c>
      <c r="P293" s="2">
        <v>10</v>
      </c>
      <c r="Q293" s="2" t="e">
        <f t="shared" ca="1" si="19"/>
        <v>#NAME?</v>
      </c>
      <c r="R293" s="2">
        <v>9</v>
      </c>
      <c r="S293" s="2">
        <v>9</v>
      </c>
      <c r="T293" s="2">
        <v>10</v>
      </c>
      <c r="U293" s="2">
        <v>9</v>
      </c>
      <c r="V293" s="2">
        <v>10</v>
      </c>
      <c r="W293" s="54">
        <f t="shared" si="113"/>
        <v>10</v>
      </c>
      <c r="X293" s="48">
        <v>0</v>
      </c>
      <c r="Y293" s="2"/>
      <c r="Z293" s="2"/>
      <c r="AA293" s="2">
        <v>10</v>
      </c>
      <c r="AB293" s="2">
        <v>10</v>
      </c>
      <c r="AC293" s="2">
        <v>10</v>
      </c>
      <c r="AD293" s="2">
        <v>10</v>
      </c>
      <c r="AE293" s="2">
        <v>10</v>
      </c>
      <c r="AF293" s="2">
        <v>10</v>
      </c>
      <c r="AG293" s="2">
        <v>10</v>
      </c>
      <c r="AH293" s="2">
        <v>10</v>
      </c>
      <c r="AI293" s="2">
        <v>10</v>
      </c>
      <c r="AJ293" s="2">
        <v>10</v>
      </c>
      <c r="AK293" s="3"/>
      <c r="AL293" s="3"/>
      <c r="AM293" s="3"/>
      <c r="AN293" s="3"/>
      <c r="AO293" s="3"/>
      <c r="AP293" s="3"/>
      <c r="AQ293" s="2" t="e">
        <f t="shared" ca="1" si="20"/>
        <v>#NAME?</v>
      </c>
      <c r="AR293" s="2">
        <v>10</v>
      </c>
      <c r="AS293" s="2">
        <v>10</v>
      </c>
      <c r="AT293" s="2">
        <v>10</v>
      </c>
      <c r="AU293" s="2">
        <v>10</v>
      </c>
      <c r="AV293" s="2">
        <v>10</v>
      </c>
      <c r="AW293" s="54">
        <f t="shared" si="114"/>
        <v>10</v>
      </c>
      <c r="AX293" s="48"/>
      <c r="AY293" s="2"/>
      <c r="AZ293" s="70">
        <v>10</v>
      </c>
      <c r="BA293" s="70">
        <v>10</v>
      </c>
      <c r="BB293" s="70">
        <v>10</v>
      </c>
      <c r="BC293" s="1">
        <v>10</v>
      </c>
      <c r="BD293" s="1">
        <v>10</v>
      </c>
      <c r="BE293" s="1">
        <v>10</v>
      </c>
      <c r="BF293" s="1">
        <v>10</v>
      </c>
      <c r="BG293" s="1">
        <v>10</v>
      </c>
      <c r="BH293" s="1">
        <v>10</v>
      </c>
      <c r="BI293" s="1">
        <v>10</v>
      </c>
      <c r="BJ293" s="2" t="e">
        <f t="shared" ca="1" si="21"/>
        <v>#NAME?</v>
      </c>
      <c r="BK293" s="70">
        <v>10</v>
      </c>
      <c r="BL293" s="70">
        <v>10</v>
      </c>
      <c r="BM293" s="70">
        <v>10</v>
      </c>
      <c r="BN293" s="1">
        <v>10</v>
      </c>
      <c r="BO293" s="1">
        <v>10</v>
      </c>
      <c r="BP293" s="54">
        <f t="shared" si="115"/>
        <v>10</v>
      </c>
      <c r="BQ293" s="5"/>
      <c r="BR293" s="5"/>
      <c r="BS293" s="5">
        <v>10</v>
      </c>
      <c r="BT293" s="5">
        <v>10</v>
      </c>
      <c r="BU293" s="5">
        <v>10</v>
      </c>
      <c r="BV293" s="5">
        <v>9</v>
      </c>
      <c r="BW293" s="5">
        <v>9</v>
      </c>
      <c r="BX293" s="5">
        <v>9</v>
      </c>
      <c r="BY293" s="5">
        <v>10</v>
      </c>
      <c r="BZ293" s="5">
        <v>10</v>
      </c>
      <c r="CA293" s="5">
        <v>10</v>
      </c>
      <c r="CB293" s="5">
        <v>10</v>
      </c>
      <c r="CC293" s="2" t="e">
        <f t="shared" ca="1" si="22"/>
        <v>#NAME?</v>
      </c>
      <c r="CD293" s="55"/>
      <c r="CE293" s="2"/>
      <c r="CF293" s="2">
        <v>8</v>
      </c>
      <c r="CG293" s="2">
        <v>8</v>
      </c>
      <c r="CH293" s="2">
        <v>8</v>
      </c>
      <c r="CI293" s="2">
        <v>10</v>
      </c>
      <c r="CJ293" s="2">
        <v>7</v>
      </c>
      <c r="CK293" s="2">
        <v>8</v>
      </c>
      <c r="CL293" s="2">
        <v>8</v>
      </c>
      <c r="CM293" s="2">
        <v>8</v>
      </c>
      <c r="CN293" s="2">
        <v>8</v>
      </c>
      <c r="CO293" s="2">
        <v>8</v>
      </c>
      <c r="CP293" s="2" t="e">
        <f t="shared" ca="1" si="23"/>
        <v>#NAME?</v>
      </c>
      <c r="CQ293" s="2">
        <v>7</v>
      </c>
      <c r="CR293" s="2">
        <v>6</v>
      </c>
      <c r="CS293" s="2">
        <v>7</v>
      </c>
      <c r="CT293" s="2">
        <v>8</v>
      </c>
      <c r="CU293" s="2">
        <v>10</v>
      </c>
      <c r="CV293" s="54">
        <f t="shared" si="116"/>
        <v>8</v>
      </c>
      <c r="CW293" s="55">
        <v>12</v>
      </c>
      <c r="CX293" s="3"/>
    </row>
    <row r="294" spans="1:102" ht="16.5" x14ac:dyDescent="0.55000000000000004">
      <c r="A294" s="17">
        <v>2</v>
      </c>
      <c r="B294" s="17" t="s">
        <v>569</v>
      </c>
      <c r="C294" s="23" t="s">
        <v>628</v>
      </c>
      <c r="D294" s="24" t="s">
        <v>629</v>
      </c>
      <c r="E294" s="48">
        <v>19</v>
      </c>
      <c r="F294" s="2"/>
      <c r="G294" s="2">
        <v>10</v>
      </c>
      <c r="H294" s="2">
        <v>10</v>
      </c>
      <c r="I294" s="2">
        <v>10</v>
      </c>
      <c r="J294" s="2">
        <v>10</v>
      </c>
      <c r="K294" s="2">
        <v>10</v>
      </c>
      <c r="L294" s="2">
        <v>10</v>
      </c>
      <c r="M294" s="2">
        <v>10</v>
      </c>
      <c r="N294" s="2">
        <v>10</v>
      </c>
      <c r="O294" s="2">
        <v>10</v>
      </c>
      <c r="P294" s="2">
        <v>10</v>
      </c>
      <c r="Q294" s="2" t="e">
        <f t="shared" ca="1" si="19"/>
        <v>#NAME?</v>
      </c>
      <c r="R294" s="2">
        <v>10</v>
      </c>
      <c r="S294" s="2">
        <v>10</v>
      </c>
      <c r="T294" s="2">
        <v>10</v>
      </c>
      <c r="U294" s="2">
        <v>10</v>
      </c>
      <c r="V294" s="2">
        <v>10</v>
      </c>
      <c r="W294" s="54">
        <f t="shared" si="113"/>
        <v>10</v>
      </c>
      <c r="X294" s="48">
        <v>0</v>
      </c>
      <c r="Y294" s="2">
        <v>8</v>
      </c>
      <c r="Z294" s="2"/>
      <c r="AA294" s="2">
        <v>10</v>
      </c>
      <c r="AB294" s="2">
        <v>10</v>
      </c>
      <c r="AC294" s="2">
        <v>10</v>
      </c>
      <c r="AD294" s="2">
        <v>10</v>
      </c>
      <c r="AE294" s="2">
        <v>10</v>
      </c>
      <c r="AF294" s="2">
        <v>10</v>
      </c>
      <c r="AG294" s="2">
        <v>10</v>
      </c>
      <c r="AH294" s="2">
        <v>10</v>
      </c>
      <c r="AI294" s="2">
        <v>10</v>
      </c>
      <c r="AJ294" s="2">
        <v>10</v>
      </c>
      <c r="AK294" s="3"/>
      <c r="AL294" s="3"/>
      <c r="AM294" s="3"/>
      <c r="AN294" s="3"/>
      <c r="AO294" s="3"/>
      <c r="AP294" s="3"/>
      <c r="AQ294" s="2" t="e">
        <f t="shared" ca="1" si="20"/>
        <v>#NAME?</v>
      </c>
      <c r="AR294" s="2">
        <v>10</v>
      </c>
      <c r="AS294" s="2">
        <v>10</v>
      </c>
      <c r="AT294" s="2">
        <v>10</v>
      </c>
      <c r="AU294" s="2">
        <v>10</v>
      </c>
      <c r="AV294" s="2">
        <v>10</v>
      </c>
      <c r="AW294" s="54">
        <f t="shared" si="114"/>
        <v>10</v>
      </c>
      <c r="AX294" s="48"/>
      <c r="AY294" s="2"/>
      <c r="AZ294" s="70">
        <v>10</v>
      </c>
      <c r="BA294" s="70">
        <v>10</v>
      </c>
      <c r="BB294" s="70">
        <v>10</v>
      </c>
      <c r="BC294" s="70">
        <v>10</v>
      </c>
      <c r="BD294" s="70">
        <v>10</v>
      </c>
      <c r="BE294" s="70">
        <v>10</v>
      </c>
      <c r="BF294" s="70">
        <v>10</v>
      </c>
      <c r="BG294" s="70">
        <v>10</v>
      </c>
      <c r="BH294" s="70">
        <v>10</v>
      </c>
      <c r="BI294" s="70">
        <v>10</v>
      </c>
      <c r="BJ294" s="2" t="e">
        <f t="shared" ca="1" si="21"/>
        <v>#NAME?</v>
      </c>
      <c r="BK294" s="70">
        <v>10</v>
      </c>
      <c r="BL294" s="70">
        <v>10</v>
      </c>
      <c r="BM294" s="70">
        <v>10</v>
      </c>
      <c r="BN294" s="70">
        <v>10</v>
      </c>
      <c r="BO294" s="70">
        <v>10</v>
      </c>
      <c r="BP294" s="54">
        <f t="shared" si="115"/>
        <v>10</v>
      </c>
      <c r="BQ294" s="5"/>
      <c r="BR294" s="5"/>
      <c r="BS294" s="5">
        <v>10</v>
      </c>
      <c r="BT294" s="5">
        <v>10</v>
      </c>
      <c r="BU294" s="5">
        <v>10</v>
      </c>
      <c r="BV294" s="5">
        <v>10</v>
      </c>
      <c r="BW294" s="5">
        <v>10</v>
      </c>
      <c r="BX294" s="5">
        <v>10</v>
      </c>
      <c r="BY294" s="5">
        <v>10</v>
      </c>
      <c r="BZ294" s="5">
        <v>10</v>
      </c>
      <c r="CA294" s="5">
        <v>10</v>
      </c>
      <c r="CB294" s="5">
        <v>10</v>
      </c>
      <c r="CC294" s="2" t="e">
        <f t="shared" ca="1" si="22"/>
        <v>#NAME?</v>
      </c>
      <c r="CD294" s="55"/>
      <c r="CE294" s="2"/>
      <c r="CF294" s="2">
        <v>10</v>
      </c>
      <c r="CG294" s="2">
        <v>10</v>
      </c>
      <c r="CH294" s="2">
        <v>10</v>
      </c>
      <c r="CI294" s="2">
        <v>10</v>
      </c>
      <c r="CJ294" s="2">
        <v>10</v>
      </c>
      <c r="CK294" s="2">
        <v>10</v>
      </c>
      <c r="CL294" s="2">
        <v>10</v>
      </c>
      <c r="CM294" s="2">
        <v>10</v>
      </c>
      <c r="CN294" s="2">
        <v>10</v>
      </c>
      <c r="CO294" s="2">
        <v>10</v>
      </c>
      <c r="CP294" s="2" t="e">
        <f t="shared" ca="1" si="23"/>
        <v>#NAME?</v>
      </c>
      <c r="CQ294" s="2">
        <v>10</v>
      </c>
      <c r="CR294" s="2">
        <v>10</v>
      </c>
      <c r="CS294" s="2">
        <v>10</v>
      </c>
      <c r="CT294" s="2">
        <v>10</v>
      </c>
      <c r="CU294" s="2">
        <v>10</v>
      </c>
      <c r="CV294" s="54">
        <f t="shared" si="116"/>
        <v>10</v>
      </c>
      <c r="CW294" s="55">
        <v>18</v>
      </c>
      <c r="CX294" s="3"/>
    </row>
    <row r="295" spans="1:102" ht="16.5" x14ac:dyDescent="0.55000000000000004">
      <c r="A295" s="17">
        <v>2</v>
      </c>
      <c r="B295" s="17" t="s">
        <v>569</v>
      </c>
      <c r="C295" s="23" t="s">
        <v>630</v>
      </c>
      <c r="D295" s="24" t="s">
        <v>631</v>
      </c>
      <c r="E295" s="48">
        <v>2</v>
      </c>
      <c r="F295" s="2"/>
      <c r="G295" s="2">
        <v>10</v>
      </c>
      <c r="H295" s="2">
        <v>10</v>
      </c>
      <c r="I295" s="2">
        <v>10</v>
      </c>
      <c r="J295" s="2">
        <v>10</v>
      </c>
      <c r="K295" s="2">
        <v>10</v>
      </c>
      <c r="L295" s="2">
        <v>10</v>
      </c>
      <c r="M295" s="2">
        <v>10</v>
      </c>
      <c r="N295" s="2">
        <v>10</v>
      </c>
      <c r="O295" s="2">
        <v>10</v>
      </c>
      <c r="P295" s="2">
        <v>10</v>
      </c>
      <c r="Q295" s="2" t="e">
        <f t="shared" ca="1" si="19"/>
        <v>#NAME?</v>
      </c>
      <c r="R295" s="2">
        <v>10</v>
      </c>
      <c r="S295" s="2">
        <v>10</v>
      </c>
      <c r="T295" s="2">
        <v>10</v>
      </c>
      <c r="U295" s="2">
        <v>10</v>
      </c>
      <c r="V295" s="2">
        <v>10</v>
      </c>
      <c r="W295" s="54">
        <f t="shared" si="113"/>
        <v>10</v>
      </c>
      <c r="X295" s="48">
        <v>0</v>
      </c>
      <c r="Y295" s="2">
        <v>5</v>
      </c>
      <c r="Z295" s="2"/>
      <c r="AA295" s="2">
        <v>10</v>
      </c>
      <c r="AB295" s="2">
        <v>10</v>
      </c>
      <c r="AC295" s="2">
        <v>10</v>
      </c>
      <c r="AD295" s="2">
        <v>10</v>
      </c>
      <c r="AE295" s="2">
        <v>10</v>
      </c>
      <c r="AF295" s="2">
        <v>10</v>
      </c>
      <c r="AG295" s="2">
        <v>10</v>
      </c>
      <c r="AH295" s="2">
        <v>10</v>
      </c>
      <c r="AI295" s="2">
        <v>10</v>
      </c>
      <c r="AJ295" s="2">
        <v>10</v>
      </c>
      <c r="AK295" s="3"/>
      <c r="AL295" s="3"/>
      <c r="AM295" s="3"/>
      <c r="AN295" s="3"/>
      <c r="AO295" s="3"/>
      <c r="AP295" s="3"/>
      <c r="AQ295" s="2" t="e">
        <f t="shared" ca="1" si="20"/>
        <v>#NAME?</v>
      </c>
      <c r="AR295" s="2">
        <v>10</v>
      </c>
      <c r="AS295" s="2">
        <v>10</v>
      </c>
      <c r="AT295" s="2">
        <v>10</v>
      </c>
      <c r="AU295" s="2">
        <v>10</v>
      </c>
      <c r="AV295" s="2">
        <v>10</v>
      </c>
      <c r="AW295" s="54">
        <f t="shared" si="114"/>
        <v>10</v>
      </c>
      <c r="AX295" s="48"/>
      <c r="AY295" s="2"/>
      <c r="AZ295" s="70">
        <v>10</v>
      </c>
      <c r="BA295" s="70">
        <v>10</v>
      </c>
      <c r="BB295" s="70">
        <v>10</v>
      </c>
      <c r="BC295" s="70">
        <v>10</v>
      </c>
      <c r="BD295" s="70">
        <v>10</v>
      </c>
      <c r="BE295" s="70">
        <v>10</v>
      </c>
      <c r="BF295" s="70">
        <v>10</v>
      </c>
      <c r="BG295" s="70">
        <v>10</v>
      </c>
      <c r="BH295" s="70">
        <v>10</v>
      </c>
      <c r="BI295" s="70">
        <v>10</v>
      </c>
      <c r="BJ295" s="2" t="e">
        <f t="shared" ca="1" si="21"/>
        <v>#NAME?</v>
      </c>
      <c r="BK295" s="70">
        <v>10</v>
      </c>
      <c r="BL295" s="70">
        <v>10</v>
      </c>
      <c r="BM295" s="70">
        <v>10</v>
      </c>
      <c r="BN295" s="70">
        <v>10</v>
      </c>
      <c r="BO295" s="70">
        <v>10</v>
      </c>
      <c r="BP295" s="54">
        <f t="shared" si="115"/>
        <v>10</v>
      </c>
      <c r="BQ295" s="5"/>
      <c r="BR295" s="5"/>
      <c r="BS295" s="5">
        <v>10</v>
      </c>
      <c r="BT295" s="5">
        <v>10</v>
      </c>
      <c r="BU295" s="5">
        <v>10</v>
      </c>
      <c r="BV295" s="5">
        <v>10</v>
      </c>
      <c r="BW295" s="5">
        <v>10</v>
      </c>
      <c r="BX295" s="5">
        <v>10</v>
      </c>
      <c r="BY295" s="5">
        <v>10</v>
      </c>
      <c r="BZ295" s="5">
        <v>10</v>
      </c>
      <c r="CA295" s="5">
        <v>10</v>
      </c>
      <c r="CB295" s="5">
        <v>10</v>
      </c>
      <c r="CC295" s="2" t="e">
        <f t="shared" ca="1" si="22"/>
        <v>#NAME?</v>
      </c>
      <c r="CD295" s="55"/>
      <c r="CE295" s="2"/>
      <c r="CF295" s="2">
        <v>8</v>
      </c>
      <c r="CG295" s="2">
        <v>8</v>
      </c>
      <c r="CH295" s="2">
        <v>8</v>
      </c>
      <c r="CI295" s="2">
        <v>10</v>
      </c>
      <c r="CJ295" s="2">
        <v>9</v>
      </c>
      <c r="CK295" s="2">
        <v>10</v>
      </c>
      <c r="CL295" s="2">
        <v>8</v>
      </c>
      <c r="CM295" s="2">
        <v>10</v>
      </c>
      <c r="CN295" s="2">
        <v>10</v>
      </c>
      <c r="CO295" s="2">
        <v>10</v>
      </c>
      <c r="CP295" s="2" t="e">
        <f t="shared" ca="1" si="23"/>
        <v>#NAME?</v>
      </c>
      <c r="CQ295" s="2">
        <v>10</v>
      </c>
      <c r="CR295" s="2">
        <v>9</v>
      </c>
      <c r="CS295" s="2">
        <v>10</v>
      </c>
      <c r="CT295" s="2">
        <v>10</v>
      </c>
      <c r="CU295" s="2">
        <v>10</v>
      </c>
      <c r="CV295" s="54">
        <f t="shared" si="116"/>
        <v>10</v>
      </c>
      <c r="CW295" s="55">
        <v>5</v>
      </c>
      <c r="CX295" s="3"/>
    </row>
    <row r="296" spans="1:102" ht="16.5" x14ac:dyDescent="0.55000000000000004">
      <c r="A296" s="17">
        <v>2</v>
      </c>
      <c r="B296" s="17" t="s">
        <v>569</v>
      </c>
      <c r="C296" s="23" t="s">
        <v>632</v>
      </c>
      <c r="D296" s="24" t="s">
        <v>633</v>
      </c>
      <c r="E296" s="48">
        <v>9</v>
      </c>
      <c r="F296" s="2"/>
      <c r="G296" s="2">
        <v>10</v>
      </c>
      <c r="H296" s="2">
        <v>10</v>
      </c>
      <c r="I296" s="2">
        <v>10</v>
      </c>
      <c r="J296" s="2">
        <v>10</v>
      </c>
      <c r="K296" s="2">
        <v>10</v>
      </c>
      <c r="L296" s="2">
        <v>10</v>
      </c>
      <c r="M296" s="2">
        <v>10</v>
      </c>
      <c r="N296" s="2">
        <v>10</v>
      </c>
      <c r="O296" s="2">
        <v>10</v>
      </c>
      <c r="P296" s="2">
        <v>10</v>
      </c>
      <c r="Q296" s="2" t="e">
        <f t="shared" ca="1" si="19"/>
        <v>#NAME?</v>
      </c>
      <c r="R296" s="2">
        <v>10</v>
      </c>
      <c r="S296" s="2">
        <v>10</v>
      </c>
      <c r="T296" s="2">
        <v>10</v>
      </c>
      <c r="U296" s="2">
        <v>10</v>
      </c>
      <c r="V296" s="2">
        <v>10</v>
      </c>
      <c r="W296" s="54">
        <f t="shared" si="113"/>
        <v>10</v>
      </c>
      <c r="X296" s="48">
        <v>10</v>
      </c>
      <c r="Y296" s="2">
        <v>10</v>
      </c>
      <c r="Z296" s="2"/>
      <c r="AA296" s="2">
        <v>10</v>
      </c>
      <c r="AB296" s="2">
        <v>10</v>
      </c>
      <c r="AC296" s="2">
        <v>10</v>
      </c>
      <c r="AD296" s="2">
        <v>10</v>
      </c>
      <c r="AE296" s="2">
        <v>10</v>
      </c>
      <c r="AF296" s="2">
        <v>10</v>
      </c>
      <c r="AG296" s="2">
        <v>10</v>
      </c>
      <c r="AH296" s="2">
        <v>10</v>
      </c>
      <c r="AI296" s="2">
        <v>10</v>
      </c>
      <c r="AJ296" s="2">
        <v>10</v>
      </c>
      <c r="AK296" s="3"/>
      <c r="AL296" s="3"/>
      <c r="AM296" s="3"/>
      <c r="AN296" s="3"/>
      <c r="AO296" s="3"/>
      <c r="AP296" s="3"/>
      <c r="AQ296" s="2" t="e">
        <f t="shared" ca="1" si="20"/>
        <v>#NAME?</v>
      </c>
      <c r="AR296" s="2">
        <v>10</v>
      </c>
      <c r="AS296" s="2">
        <v>10</v>
      </c>
      <c r="AT296" s="2">
        <v>10</v>
      </c>
      <c r="AU296" s="2">
        <v>10</v>
      </c>
      <c r="AV296" s="2">
        <v>10</v>
      </c>
      <c r="AW296" s="54">
        <f t="shared" si="114"/>
        <v>10</v>
      </c>
      <c r="AX296" s="48"/>
      <c r="AY296" s="2"/>
      <c r="AZ296" s="70">
        <v>10</v>
      </c>
      <c r="BA296" s="70">
        <v>10</v>
      </c>
      <c r="BB296" s="70">
        <v>10</v>
      </c>
      <c r="BC296" s="70">
        <v>10</v>
      </c>
      <c r="BD296" s="70">
        <v>10</v>
      </c>
      <c r="BE296" s="70">
        <v>10</v>
      </c>
      <c r="BF296" s="70">
        <v>10</v>
      </c>
      <c r="BG296" s="70">
        <v>10</v>
      </c>
      <c r="BH296" s="70">
        <v>10</v>
      </c>
      <c r="BI296" s="70">
        <v>10</v>
      </c>
      <c r="BJ296" s="2" t="e">
        <f t="shared" ca="1" si="21"/>
        <v>#NAME?</v>
      </c>
      <c r="BK296" s="70">
        <v>10</v>
      </c>
      <c r="BL296" s="70">
        <v>10</v>
      </c>
      <c r="BM296" s="1">
        <v>10</v>
      </c>
      <c r="BN296" s="1">
        <v>10</v>
      </c>
      <c r="BO296" s="1">
        <v>10</v>
      </c>
      <c r="BP296" s="54">
        <f t="shared" si="115"/>
        <v>10</v>
      </c>
      <c r="BQ296" s="5"/>
      <c r="BR296" s="5"/>
      <c r="BS296" s="5">
        <v>10</v>
      </c>
      <c r="BT296" s="5">
        <v>10</v>
      </c>
      <c r="BU296" s="5">
        <v>10</v>
      </c>
      <c r="BV296" s="5">
        <v>10</v>
      </c>
      <c r="BW296" s="5">
        <v>10</v>
      </c>
      <c r="BX296" s="5">
        <v>10</v>
      </c>
      <c r="BY296" s="5">
        <v>10</v>
      </c>
      <c r="BZ296" s="5">
        <v>10</v>
      </c>
      <c r="CA296" s="5">
        <v>10</v>
      </c>
      <c r="CB296" s="5">
        <v>10</v>
      </c>
      <c r="CC296" s="2" t="e">
        <f t="shared" ca="1" si="22"/>
        <v>#NAME?</v>
      </c>
      <c r="CD296" s="55"/>
      <c r="CE296" s="2"/>
      <c r="CF296" s="2">
        <v>10</v>
      </c>
      <c r="CG296" s="2">
        <v>10</v>
      </c>
      <c r="CH296" s="2">
        <v>10</v>
      </c>
      <c r="CI296" s="2">
        <v>10</v>
      </c>
      <c r="CJ296" s="2">
        <v>10</v>
      </c>
      <c r="CK296" s="2">
        <v>10</v>
      </c>
      <c r="CL296" s="2">
        <v>10</v>
      </c>
      <c r="CM296" s="2">
        <v>10</v>
      </c>
      <c r="CN296" s="2">
        <v>10</v>
      </c>
      <c r="CO296" s="2">
        <v>10</v>
      </c>
      <c r="CP296" s="2" t="e">
        <f t="shared" ca="1" si="23"/>
        <v>#NAME?</v>
      </c>
      <c r="CQ296" s="2">
        <v>10</v>
      </c>
      <c r="CR296" s="2">
        <v>10</v>
      </c>
      <c r="CS296" s="2">
        <v>10</v>
      </c>
      <c r="CT296" s="2">
        <v>10</v>
      </c>
      <c r="CU296" s="2">
        <v>10</v>
      </c>
      <c r="CV296" s="54">
        <f t="shared" si="116"/>
        <v>10</v>
      </c>
      <c r="CW296" s="55">
        <v>18</v>
      </c>
      <c r="CX296" s="3"/>
    </row>
    <row r="297" spans="1:102" ht="16.5" x14ac:dyDescent="0.55000000000000004">
      <c r="A297" s="17">
        <v>2</v>
      </c>
      <c r="B297" s="17" t="s">
        <v>569</v>
      </c>
      <c r="C297" s="23" t="s">
        <v>634</v>
      </c>
      <c r="D297" s="24" t="s">
        <v>635</v>
      </c>
      <c r="E297" s="48">
        <v>15</v>
      </c>
      <c r="F297" s="2"/>
      <c r="G297" s="2">
        <v>10</v>
      </c>
      <c r="H297" s="2">
        <v>10</v>
      </c>
      <c r="I297" s="2">
        <v>10</v>
      </c>
      <c r="J297" s="2">
        <v>10</v>
      </c>
      <c r="K297" s="2">
        <v>10</v>
      </c>
      <c r="L297" s="2">
        <v>10</v>
      </c>
      <c r="M297" s="2">
        <v>10</v>
      </c>
      <c r="N297" s="2">
        <v>10</v>
      </c>
      <c r="O297" s="2">
        <v>10</v>
      </c>
      <c r="P297" s="2">
        <v>10</v>
      </c>
      <c r="Q297" s="2" t="e">
        <f t="shared" ca="1" si="19"/>
        <v>#NAME?</v>
      </c>
      <c r="R297" s="2">
        <v>10</v>
      </c>
      <c r="S297" s="2">
        <v>10</v>
      </c>
      <c r="T297" s="2">
        <v>10</v>
      </c>
      <c r="U297" s="2">
        <v>10</v>
      </c>
      <c r="V297" s="2">
        <v>10</v>
      </c>
      <c r="W297" s="54">
        <f t="shared" si="113"/>
        <v>10</v>
      </c>
      <c r="X297" s="48">
        <v>10</v>
      </c>
      <c r="Y297" s="2">
        <v>10</v>
      </c>
      <c r="Z297" s="2"/>
      <c r="AA297" s="2">
        <v>10</v>
      </c>
      <c r="AB297" s="2">
        <v>10</v>
      </c>
      <c r="AC297" s="2">
        <v>10</v>
      </c>
      <c r="AD297" s="2">
        <v>10</v>
      </c>
      <c r="AE297" s="2">
        <v>10</v>
      </c>
      <c r="AF297" s="2">
        <v>10</v>
      </c>
      <c r="AG297" s="2">
        <v>10</v>
      </c>
      <c r="AH297" s="2">
        <v>10</v>
      </c>
      <c r="AI297" s="2">
        <v>10</v>
      </c>
      <c r="AJ297" s="2">
        <v>10</v>
      </c>
      <c r="AK297" s="3"/>
      <c r="AL297" s="3"/>
      <c r="AM297" s="3"/>
      <c r="AN297" s="3"/>
      <c r="AO297" s="3"/>
      <c r="AP297" s="3"/>
      <c r="AQ297" s="2" t="e">
        <f t="shared" ca="1" si="20"/>
        <v>#NAME?</v>
      </c>
      <c r="AR297" s="2">
        <v>10</v>
      </c>
      <c r="AS297" s="2">
        <v>10</v>
      </c>
      <c r="AT297" s="2">
        <v>10</v>
      </c>
      <c r="AU297" s="2">
        <v>10</v>
      </c>
      <c r="AV297" s="2">
        <v>10</v>
      </c>
      <c r="AW297" s="54">
        <f t="shared" si="114"/>
        <v>10</v>
      </c>
      <c r="AX297" s="48"/>
      <c r="AY297" s="2"/>
      <c r="AZ297" s="70">
        <v>10</v>
      </c>
      <c r="BA297" s="70">
        <v>10</v>
      </c>
      <c r="BB297" s="70">
        <v>10</v>
      </c>
      <c r="BC297" s="70">
        <v>10</v>
      </c>
      <c r="BD297" s="70">
        <v>10</v>
      </c>
      <c r="BE297" s="70">
        <v>10</v>
      </c>
      <c r="BF297" s="70">
        <v>10</v>
      </c>
      <c r="BG297" s="70">
        <v>10</v>
      </c>
      <c r="BH297" s="70">
        <v>10</v>
      </c>
      <c r="BI297" s="70">
        <v>10</v>
      </c>
      <c r="BJ297" s="2" t="e">
        <f t="shared" ca="1" si="21"/>
        <v>#NAME?</v>
      </c>
      <c r="BK297" s="70">
        <v>10</v>
      </c>
      <c r="BL297" s="70">
        <v>10</v>
      </c>
      <c r="BM297" s="70">
        <v>10</v>
      </c>
      <c r="BN297" s="70">
        <v>10</v>
      </c>
      <c r="BO297" s="70">
        <v>10</v>
      </c>
      <c r="BP297" s="54">
        <f t="shared" si="115"/>
        <v>10</v>
      </c>
      <c r="BQ297" s="5"/>
      <c r="BR297" s="5"/>
      <c r="BS297" s="5">
        <v>10</v>
      </c>
      <c r="BT297" s="5">
        <v>10</v>
      </c>
      <c r="BU297" s="5">
        <v>10</v>
      </c>
      <c r="BV297" s="5">
        <v>10</v>
      </c>
      <c r="BW297" s="5">
        <v>10</v>
      </c>
      <c r="BX297" s="5">
        <v>10</v>
      </c>
      <c r="BY297" s="5">
        <v>10</v>
      </c>
      <c r="BZ297" s="5">
        <v>10</v>
      </c>
      <c r="CA297" s="5">
        <v>10</v>
      </c>
      <c r="CB297" s="5">
        <v>10</v>
      </c>
      <c r="CC297" s="2" t="e">
        <f t="shared" ca="1" si="22"/>
        <v>#NAME?</v>
      </c>
      <c r="CD297" s="55"/>
      <c r="CE297" s="2"/>
      <c r="CF297" s="2">
        <v>10</v>
      </c>
      <c r="CG297" s="2">
        <v>10</v>
      </c>
      <c r="CH297" s="2">
        <v>10</v>
      </c>
      <c r="CI297" s="2">
        <v>10</v>
      </c>
      <c r="CJ297" s="2">
        <v>10</v>
      </c>
      <c r="CK297" s="2">
        <v>10</v>
      </c>
      <c r="CL297" s="2">
        <v>10</v>
      </c>
      <c r="CM297" s="2">
        <v>10</v>
      </c>
      <c r="CN297" s="2">
        <v>10</v>
      </c>
      <c r="CO297" s="2">
        <v>10</v>
      </c>
      <c r="CP297" s="2" t="e">
        <f t="shared" ca="1" si="23"/>
        <v>#NAME?</v>
      </c>
      <c r="CQ297" s="2">
        <v>10</v>
      </c>
      <c r="CR297" s="2">
        <v>10</v>
      </c>
      <c r="CS297" s="2">
        <v>10</v>
      </c>
      <c r="CT297" s="2">
        <v>10</v>
      </c>
      <c r="CU297" s="2">
        <v>10</v>
      </c>
      <c r="CV297" s="54">
        <f t="shared" si="116"/>
        <v>10</v>
      </c>
      <c r="CW297" s="55">
        <v>20</v>
      </c>
      <c r="CX297" s="3"/>
    </row>
    <row r="298" spans="1:102" ht="16.5" x14ac:dyDescent="0.55000000000000004">
      <c r="A298" s="17">
        <v>2</v>
      </c>
      <c r="B298" s="17" t="s">
        <v>569</v>
      </c>
      <c r="C298" s="23" t="s">
        <v>636</v>
      </c>
      <c r="D298" s="24" t="s">
        <v>637</v>
      </c>
      <c r="E298" s="48">
        <v>4</v>
      </c>
      <c r="F298" s="2"/>
      <c r="G298" s="2">
        <v>10</v>
      </c>
      <c r="H298" s="2">
        <v>10</v>
      </c>
      <c r="I298" s="2">
        <v>10</v>
      </c>
      <c r="J298" s="2">
        <v>9</v>
      </c>
      <c r="K298" s="2">
        <v>10</v>
      </c>
      <c r="L298" s="2">
        <v>10</v>
      </c>
      <c r="M298" s="2">
        <v>10</v>
      </c>
      <c r="N298" s="2">
        <v>10</v>
      </c>
      <c r="O298" s="2">
        <v>9</v>
      </c>
      <c r="P298" s="2">
        <v>10</v>
      </c>
      <c r="Q298" s="2" t="e">
        <f t="shared" ca="1" si="19"/>
        <v>#NAME?</v>
      </c>
      <c r="R298" s="2">
        <v>10</v>
      </c>
      <c r="S298" s="2">
        <v>10</v>
      </c>
      <c r="T298" s="2">
        <v>10</v>
      </c>
      <c r="U298" s="2">
        <v>10</v>
      </c>
      <c r="V298" s="2">
        <v>10</v>
      </c>
      <c r="W298" s="54">
        <f t="shared" si="113"/>
        <v>10</v>
      </c>
      <c r="X298" s="48">
        <v>0</v>
      </c>
      <c r="Y298" s="2">
        <v>5</v>
      </c>
      <c r="Z298" s="2"/>
      <c r="AA298" s="2">
        <v>10</v>
      </c>
      <c r="AB298" s="2">
        <v>10</v>
      </c>
      <c r="AC298" s="2">
        <v>10</v>
      </c>
      <c r="AD298" s="2">
        <v>10</v>
      </c>
      <c r="AE298" s="2">
        <v>10</v>
      </c>
      <c r="AF298" s="2">
        <v>10</v>
      </c>
      <c r="AG298" s="2">
        <v>10</v>
      </c>
      <c r="AH298" s="2">
        <v>10</v>
      </c>
      <c r="AI298" s="2">
        <v>10</v>
      </c>
      <c r="AJ298" s="2">
        <v>10</v>
      </c>
      <c r="AK298" s="3"/>
      <c r="AL298" s="3"/>
      <c r="AM298" s="3"/>
      <c r="AN298" s="3"/>
      <c r="AO298" s="3"/>
      <c r="AP298" s="3"/>
      <c r="AQ298" s="2" t="e">
        <f t="shared" ca="1" si="20"/>
        <v>#NAME?</v>
      </c>
      <c r="AR298" s="2">
        <v>10</v>
      </c>
      <c r="AS298" s="2">
        <v>10</v>
      </c>
      <c r="AT298" s="2">
        <v>10</v>
      </c>
      <c r="AU298" s="2">
        <v>10</v>
      </c>
      <c r="AV298" s="2">
        <v>10</v>
      </c>
      <c r="AW298" s="54">
        <f t="shared" si="114"/>
        <v>10</v>
      </c>
      <c r="AX298" s="48"/>
      <c r="AY298" s="2"/>
      <c r="AZ298" s="1">
        <v>10</v>
      </c>
      <c r="BA298" s="1">
        <v>10</v>
      </c>
      <c r="BB298" s="1">
        <v>10</v>
      </c>
      <c r="BC298" s="1">
        <v>10</v>
      </c>
      <c r="BD298" s="1">
        <v>10</v>
      </c>
      <c r="BE298" s="1">
        <v>10</v>
      </c>
      <c r="BF298" s="1">
        <v>10</v>
      </c>
      <c r="BG298" s="1">
        <v>10</v>
      </c>
      <c r="BH298" s="1">
        <v>10</v>
      </c>
      <c r="BI298" s="1">
        <v>10</v>
      </c>
      <c r="BJ298" s="2" t="e">
        <f t="shared" ca="1" si="21"/>
        <v>#NAME?</v>
      </c>
      <c r="BK298" s="1">
        <v>10</v>
      </c>
      <c r="BL298" s="1">
        <v>10</v>
      </c>
      <c r="BM298" s="1">
        <v>10</v>
      </c>
      <c r="BN298" s="1">
        <v>10</v>
      </c>
      <c r="BO298" s="1">
        <v>10</v>
      </c>
      <c r="BP298" s="54">
        <f t="shared" si="115"/>
        <v>10</v>
      </c>
      <c r="BQ298" s="5"/>
      <c r="BR298" s="5"/>
      <c r="BS298" s="5">
        <v>9</v>
      </c>
      <c r="BT298" s="5">
        <v>9</v>
      </c>
      <c r="BU298" s="5">
        <v>9</v>
      </c>
      <c r="BV298" s="5">
        <v>9</v>
      </c>
      <c r="BW298" s="5">
        <v>10</v>
      </c>
      <c r="BX298" s="5">
        <v>10</v>
      </c>
      <c r="BY298" s="5">
        <v>10</v>
      </c>
      <c r="BZ298" s="5">
        <v>10</v>
      </c>
      <c r="CA298" s="5">
        <v>10</v>
      </c>
      <c r="CB298" s="5">
        <v>10</v>
      </c>
      <c r="CC298" s="2" t="e">
        <f t="shared" ca="1" si="22"/>
        <v>#NAME?</v>
      </c>
      <c r="CD298" s="55"/>
      <c r="CE298" s="2"/>
      <c r="CF298" s="2">
        <v>10</v>
      </c>
      <c r="CG298" s="2">
        <v>10</v>
      </c>
      <c r="CH298" s="2">
        <v>10</v>
      </c>
      <c r="CI298" s="2">
        <v>10</v>
      </c>
      <c r="CJ298" s="2">
        <v>9</v>
      </c>
      <c r="CK298" s="2">
        <v>10</v>
      </c>
      <c r="CL298" s="2">
        <v>10</v>
      </c>
      <c r="CM298" s="2">
        <v>10</v>
      </c>
      <c r="CN298" s="2">
        <v>10</v>
      </c>
      <c r="CO298" s="2">
        <v>10</v>
      </c>
      <c r="CP298" s="2" t="e">
        <f t="shared" ca="1" si="23"/>
        <v>#NAME?</v>
      </c>
      <c r="CQ298" s="2">
        <v>10</v>
      </c>
      <c r="CR298" s="2">
        <v>8</v>
      </c>
      <c r="CS298" s="2">
        <v>9</v>
      </c>
      <c r="CT298" s="2">
        <v>10</v>
      </c>
      <c r="CU298" s="2">
        <v>10</v>
      </c>
      <c r="CV298" s="54">
        <f t="shared" si="116"/>
        <v>10</v>
      </c>
      <c r="CW298" s="55">
        <v>11</v>
      </c>
      <c r="CX298" s="3"/>
    </row>
    <row r="299" spans="1:102" ht="16.5" x14ac:dyDescent="0.55000000000000004">
      <c r="A299" s="17">
        <v>2</v>
      </c>
      <c r="B299" s="17" t="s">
        <v>569</v>
      </c>
      <c r="C299" s="23" t="s">
        <v>638</v>
      </c>
      <c r="D299" s="24" t="s">
        <v>639</v>
      </c>
      <c r="E299" s="48">
        <v>0</v>
      </c>
      <c r="F299" s="2"/>
      <c r="G299" s="2">
        <v>10</v>
      </c>
      <c r="H299" s="2">
        <v>9</v>
      </c>
      <c r="I299" s="2">
        <v>10</v>
      </c>
      <c r="J299" s="2">
        <v>10</v>
      </c>
      <c r="K299" s="2">
        <v>10</v>
      </c>
      <c r="L299" s="2">
        <v>10</v>
      </c>
      <c r="M299" s="2">
        <v>9</v>
      </c>
      <c r="N299" s="2">
        <v>10</v>
      </c>
      <c r="O299" s="2">
        <v>10</v>
      </c>
      <c r="P299" s="2">
        <v>10</v>
      </c>
      <c r="Q299" s="2" t="e">
        <f t="shared" ca="1" si="19"/>
        <v>#NAME?</v>
      </c>
      <c r="R299" s="2">
        <v>10</v>
      </c>
      <c r="S299" s="2">
        <v>10</v>
      </c>
      <c r="T299" s="2">
        <v>10</v>
      </c>
      <c r="U299" s="2">
        <v>10</v>
      </c>
      <c r="V299" s="2">
        <v>10</v>
      </c>
      <c r="W299" s="54">
        <f t="shared" si="113"/>
        <v>10</v>
      </c>
      <c r="X299" s="48">
        <v>0</v>
      </c>
      <c r="Y299" s="2">
        <v>4</v>
      </c>
      <c r="Z299" s="2"/>
      <c r="AA299" s="2">
        <v>10</v>
      </c>
      <c r="AB299" s="2">
        <v>10</v>
      </c>
      <c r="AC299" s="2">
        <v>10</v>
      </c>
      <c r="AD299" s="2">
        <v>10</v>
      </c>
      <c r="AE299" s="2">
        <v>10</v>
      </c>
      <c r="AF299" s="2">
        <v>10</v>
      </c>
      <c r="AG299" s="2">
        <v>10</v>
      </c>
      <c r="AH299" s="2">
        <v>10</v>
      </c>
      <c r="AI299" s="2">
        <v>10</v>
      </c>
      <c r="AJ299" s="2">
        <v>10</v>
      </c>
      <c r="AK299" s="3"/>
      <c r="AL299" s="3"/>
      <c r="AM299" s="3"/>
      <c r="AN299" s="3"/>
      <c r="AO299" s="3"/>
      <c r="AP299" s="3"/>
      <c r="AQ299" s="2" t="e">
        <f t="shared" ca="1" si="20"/>
        <v>#NAME?</v>
      </c>
      <c r="AR299" s="2">
        <v>10</v>
      </c>
      <c r="AS299" s="2">
        <v>10</v>
      </c>
      <c r="AT299" s="2">
        <v>10</v>
      </c>
      <c r="AU299" s="2">
        <v>10</v>
      </c>
      <c r="AV299" s="2">
        <v>10</v>
      </c>
      <c r="AW299" s="54">
        <f t="shared" si="114"/>
        <v>10</v>
      </c>
      <c r="AX299" s="48"/>
      <c r="AY299" s="2"/>
      <c r="AZ299" s="70">
        <v>10</v>
      </c>
      <c r="BA299" s="70">
        <v>10</v>
      </c>
      <c r="BB299" s="70">
        <v>10</v>
      </c>
      <c r="BC299" s="70">
        <v>10</v>
      </c>
      <c r="BD299" s="70">
        <v>10</v>
      </c>
      <c r="BE299" s="70">
        <v>10</v>
      </c>
      <c r="BF299" s="70">
        <v>10</v>
      </c>
      <c r="BG299" s="70">
        <v>10</v>
      </c>
      <c r="BH299" s="70">
        <v>10</v>
      </c>
      <c r="BI299" s="70">
        <v>10</v>
      </c>
      <c r="BJ299" s="2" t="e">
        <f t="shared" ca="1" si="21"/>
        <v>#NAME?</v>
      </c>
      <c r="BK299" s="70">
        <v>10</v>
      </c>
      <c r="BL299" s="70">
        <v>10</v>
      </c>
      <c r="BM299" s="70">
        <v>10</v>
      </c>
      <c r="BN299" s="70">
        <v>10</v>
      </c>
      <c r="BO299" s="70">
        <v>10</v>
      </c>
      <c r="BP299" s="54">
        <f t="shared" si="115"/>
        <v>10</v>
      </c>
      <c r="BQ299" s="5"/>
      <c r="BR299" s="5"/>
      <c r="BS299" s="5">
        <v>9</v>
      </c>
      <c r="BT299" s="5">
        <v>9</v>
      </c>
      <c r="BU299" s="5">
        <v>10</v>
      </c>
      <c r="BV299" s="5">
        <v>10</v>
      </c>
      <c r="BW299" s="5">
        <v>10</v>
      </c>
      <c r="BX299" s="5">
        <v>10</v>
      </c>
      <c r="BY299" s="5">
        <v>10</v>
      </c>
      <c r="BZ299" s="5">
        <v>10</v>
      </c>
      <c r="CA299" s="5">
        <v>10</v>
      </c>
      <c r="CB299" s="5">
        <v>10</v>
      </c>
      <c r="CC299" s="2" t="e">
        <f t="shared" ca="1" si="22"/>
        <v>#NAME?</v>
      </c>
      <c r="CD299" s="55"/>
      <c r="CE299" s="2"/>
      <c r="CF299" s="2">
        <v>10</v>
      </c>
      <c r="CG299" s="2">
        <v>10</v>
      </c>
      <c r="CH299" s="2">
        <v>10</v>
      </c>
      <c r="CI299" s="2">
        <v>10</v>
      </c>
      <c r="CJ299" s="2">
        <v>8</v>
      </c>
      <c r="CK299" s="2">
        <v>10</v>
      </c>
      <c r="CL299" s="2">
        <v>10</v>
      </c>
      <c r="CM299" s="2">
        <v>10</v>
      </c>
      <c r="CN299" s="2">
        <v>10</v>
      </c>
      <c r="CO299" s="2">
        <v>10</v>
      </c>
      <c r="CP299" s="2" t="e">
        <f t="shared" ca="1" si="23"/>
        <v>#NAME?</v>
      </c>
      <c r="CQ299" s="2">
        <v>10</v>
      </c>
      <c r="CR299" s="2">
        <v>10</v>
      </c>
      <c r="CS299" s="2">
        <v>10</v>
      </c>
      <c r="CT299" s="2">
        <v>10</v>
      </c>
      <c r="CU299" s="2">
        <v>10</v>
      </c>
      <c r="CV299" s="54">
        <f t="shared" si="116"/>
        <v>10</v>
      </c>
      <c r="CW299" s="55">
        <v>6</v>
      </c>
      <c r="CX299" s="3"/>
    </row>
    <row r="300" spans="1:102" ht="16.5" x14ac:dyDescent="0.55000000000000004">
      <c r="A300" s="17">
        <v>2</v>
      </c>
      <c r="B300" s="17" t="s">
        <v>569</v>
      </c>
      <c r="C300" s="23" t="s">
        <v>640</v>
      </c>
      <c r="D300" s="24" t="s">
        <v>641</v>
      </c>
      <c r="E300" s="48">
        <v>2</v>
      </c>
      <c r="F300" s="2"/>
      <c r="G300" s="2">
        <v>10</v>
      </c>
      <c r="H300" s="2">
        <v>9</v>
      </c>
      <c r="I300" s="2">
        <v>10</v>
      </c>
      <c r="J300" s="2">
        <v>9</v>
      </c>
      <c r="K300" s="2">
        <v>10</v>
      </c>
      <c r="L300" s="2">
        <v>10</v>
      </c>
      <c r="M300" s="2">
        <v>9</v>
      </c>
      <c r="N300" s="2">
        <v>10</v>
      </c>
      <c r="O300" s="2">
        <v>9</v>
      </c>
      <c r="P300" s="2">
        <v>10</v>
      </c>
      <c r="Q300" s="2" t="e">
        <f t="shared" ca="1" si="19"/>
        <v>#NAME?</v>
      </c>
      <c r="R300" s="2">
        <v>8</v>
      </c>
      <c r="S300" s="2">
        <v>9</v>
      </c>
      <c r="T300" s="2">
        <v>10</v>
      </c>
      <c r="U300" s="2">
        <v>10</v>
      </c>
      <c r="V300" s="2">
        <v>10</v>
      </c>
      <c r="W300" s="54">
        <f t="shared" si="113"/>
        <v>10</v>
      </c>
      <c r="X300" s="48">
        <v>6</v>
      </c>
      <c r="Y300" s="2">
        <v>7</v>
      </c>
      <c r="Z300" s="2"/>
      <c r="AA300" s="2">
        <v>10</v>
      </c>
      <c r="AB300" s="2">
        <v>10</v>
      </c>
      <c r="AC300" s="2">
        <v>10</v>
      </c>
      <c r="AD300" s="2">
        <v>10</v>
      </c>
      <c r="AE300" s="2">
        <v>10</v>
      </c>
      <c r="AF300" s="2">
        <v>10</v>
      </c>
      <c r="AG300" s="2">
        <v>10</v>
      </c>
      <c r="AH300" s="2">
        <v>9</v>
      </c>
      <c r="AI300" s="2">
        <v>9</v>
      </c>
      <c r="AJ300" s="2">
        <v>9</v>
      </c>
      <c r="AK300" s="3"/>
      <c r="AL300" s="3"/>
      <c r="AM300" s="3"/>
      <c r="AN300" s="3"/>
      <c r="AO300" s="3"/>
      <c r="AP300" s="3"/>
      <c r="AQ300" s="2" t="e">
        <f t="shared" ca="1" si="20"/>
        <v>#NAME?</v>
      </c>
      <c r="AR300" s="2">
        <v>10</v>
      </c>
      <c r="AS300" s="2">
        <v>9</v>
      </c>
      <c r="AT300" s="2">
        <v>9</v>
      </c>
      <c r="AU300" s="2">
        <v>9</v>
      </c>
      <c r="AV300" s="2">
        <v>9</v>
      </c>
      <c r="AW300" s="54">
        <f t="shared" si="114"/>
        <v>10</v>
      </c>
      <c r="AX300" s="48"/>
      <c r="AY300" s="2"/>
      <c r="AZ300" s="1">
        <v>10</v>
      </c>
      <c r="BA300" s="1">
        <v>10</v>
      </c>
      <c r="BB300" s="1">
        <v>10</v>
      </c>
      <c r="BC300" s="1">
        <v>10</v>
      </c>
      <c r="BD300" s="1">
        <v>10</v>
      </c>
      <c r="BE300" s="1">
        <v>10</v>
      </c>
      <c r="BF300" s="1">
        <v>10</v>
      </c>
      <c r="BG300" s="1">
        <v>10</v>
      </c>
      <c r="BH300" s="1">
        <v>10</v>
      </c>
      <c r="BI300" s="1">
        <v>10</v>
      </c>
      <c r="BJ300" s="2" t="e">
        <f t="shared" ca="1" si="21"/>
        <v>#NAME?</v>
      </c>
      <c r="BK300" s="5">
        <v>9</v>
      </c>
      <c r="BL300" s="5">
        <v>9</v>
      </c>
      <c r="BM300" s="5">
        <v>9</v>
      </c>
      <c r="BN300" s="5">
        <v>9</v>
      </c>
      <c r="BO300" s="5">
        <v>9</v>
      </c>
      <c r="BP300" s="54">
        <f t="shared" si="115"/>
        <v>9</v>
      </c>
      <c r="BQ300" s="5"/>
      <c r="BR300" s="5"/>
      <c r="BS300" s="5">
        <v>10</v>
      </c>
      <c r="BT300" s="5">
        <v>10</v>
      </c>
      <c r="BU300" s="5">
        <v>10</v>
      </c>
      <c r="BV300" s="5">
        <v>10</v>
      </c>
      <c r="BW300" s="5">
        <v>10</v>
      </c>
      <c r="BX300" s="5">
        <v>9</v>
      </c>
      <c r="BY300" s="5">
        <v>10</v>
      </c>
      <c r="BZ300" s="5">
        <v>10</v>
      </c>
      <c r="CA300" s="5">
        <v>9</v>
      </c>
      <c r="CB300" s="5">
        <v>10</v>
      </c>
      <c r="CC300" s="2" t="e">
        <f t="shared" ca="1" si="22"/>
        <v>#NAME?</v>
      </c>
      <c r="CD300" s="55"/>
      <c r="CE300" s="2"/>
      <c r="CF300" s="2">
        <v>8</v>
      </c>
      <c r="CG300" s="2">
        <v>8</v>
      </c>
      <c r="CH300" s="2">
        <v>8</v>
      </c>
      <c r="CI300" s="2">
        <v>10</v>
      </c>
      <c r="CJ300" s="2">
        <v>9</v>
      </c>
      <c r="CK300" s="2">
        <v>10</v>
      </c>
      <c r="CL300" s="2">
        <v>10</v>
      </c>
      <c r="CM300" s="2">
        <v>8</v>
      </c>
      <c r="CN300" s="2">
        <v>10</v>
      </c>
      <c r="CO300" s="2">
        <v>10</v>
      </c>
      <c r="CP300" s="2" t="e">
        <f t="shared" ca="1" si="23"/>
        <v>#NAME?</v>
      </c>
      <c r="CQ300" s="2">
        <v>8</v>
      </c>
      <c r="CR300" s="2">
        <v>9</v>
      </c>
      <c r="CS300" s="2">
        <v>10</v>
      </c>
      <c r="CT300" s="2">
        <v>10</v>
      </c>
      <c r="CU300" s="2">
        <v>10</v>
      </c>
      <c r="CV300" s="54">
        <f t="shared" si="116"/>
        <v>10</v>
      </c>
      <c r="CW300" s="55">
        <v>16</v>
      </c>
      <c r="CX300" s="3"/>
    </row>
    <row r="301" spans="1:102" ht="16.5" x14ac:dyDescent="0.55000000000000004">
      <c r="A301" s="17">
        <v>2</v>
      </c>
      <c r="B301" s="17" t="s">
        <v>569</v>
      </c>
      <c r="C301" s="23" t="s">
        <v>642</v>
      </c>
      <c r="D301" s="24" t="s">
        <v>643</v>
      </c>
      <c r="E301" s="48">
        <v>0</v>
      </c>
      <c r="F301" s="2"/>
      <c r="G301" s="2">
        <v>9</v>
      </c>
      <c r="H301" s="2">
        <v>8</v>
      </c>
      <c r="I301" s="2">
        <v>8</v>
      </c>
      <c r="J301" s="2">
        <v>10</v>
      </c>
      <c r="K301" s="2">
        <v>10</v>
      </c>
      <c r="L301" s="2">
        <v>9</v>
      </c>
      <c r="M301" s="2">
        <v>8</v>
      </c>
      <c r="N301" s="2">
        <v>8</v>
      </c>
      <c r="O301" s="2">
        <v>10</v>
      </c>
      <c r="P301" s="2">
        <v>10</v>
      </c>
      <c r="Q301" s="2" t="e">
        <f t="shared" ca="1" si="19"/>
        <v>#NAME?</v>
      </c>
      <c r="R301" s="2">
        <v>10</v>
      </c>
      <c r="S301" s="2">
        <v>8</v>
      </c>
      <c r="T301" s="2">
        <v>9</v>
      </c>
      <c r="U301" s="2">
        <v>10</v>
      </c>
      <c r="V301" s="2">
        <v>10</v>
      </c>
      <c r="W301" s="54">
        <f t="shared" si="113"/>
        <v>10</v>
      </c>
      <c r="X301" s="48">
        <v>0</v>
      </c>
      <c r="Y301" s="2">
        <v>8</v>
      </c>
      <c r="Z301" s="2"/>
      <c r="AA301" s="2">
        <v>10</v>
      </c>
      <c r="AB301" s="2">
        <v>10</v>
      </c>
      <c r="AC301" s="2">
        <v>10</v>
      </c>
      <c r="AD301" s="2">
        <v>10</v>
      </c>
      <c r="AE301" s="2">
        <v>10</v>
      </c>
      <c r="AF301" s="2">
        <v>10</v>
      </c>
      <c r="AG301" s="2">
        <v>10</v>
      </c>
      <c r="AH301" s="2">
        <v>10</v>
      </c>
      <c r="AI301" s="2">
        <v>10</v>
      </c>
      <c r="AJ301" s="2">
        <v>10</v>
      </c>
      <c r="AK301" s="3"/>
      <c r="AL301" s="3"/>
      <c r="AM301" s="3"/>
      <c r="AN301" s="3"/>
      <c r="AO301" s="3"/>
      <c r="AP301" s="3"/>
      <c r="AQ301" s="2" t="e">
        <f t="shared" ca="1" si="20"/>
        <v>#NAME?</v>
      </c>
      <c r="AR301" s="2">
        <v>10</v>
      </c>
      <c r="AS301" s="2">
        <v>10</v>
      </c>
      <c r="AT301" s="2">
        <v>10</v>
      </c>
      <c r="AU301" s="2">
        <v>10</v>
      </c>
      <c r="AV301" s="2">
        <v>10</v>
      </c>
      <c r="AW301" s="54">
        <f t="shared" si="114"/>
        <v>10</v>
      </c>
      <c r="AX301" s="48"/>
      <c r="AY301" s="2"/>
      <c r="AZ301" s="70">
        <v>10</v>
      </c>
      <c r="BA301" s="70">
        <v>10</v>
      </c>
      <c r="BB301" s="70">
        <v>10</v>
      </c>
      <c r="BC301" s="70">
        <v>10</v>
      </c>
      <c r="BD301" s="70">
        <v>10</v>
      </c>
      <c r="BE301" s="70">
        <v>10</v>
      </c>
      <c r="BF301" s="70">
        <v>10</v>
      </c>
      <c r="BG301" s="70">
        <v>10</v>
      </c>
      <c r="BH301" s="70">
        <v>10</v>
      </c>
      <c r="BI301" s="70">
        <v>10</v>
      </c>
      <c r="BJ301" s="2" t="e">
        <f t="shared" ca="1" si="21"/>
        <v>#NAME?</v>
      </c>
      <c r="BK301" s="70">
        <v>10</v>
      </c>
      <c r="BL301" s="70">
        <v>10</v>
      </c>
      <c r="BM301" s="1">
        <v>10</v>
      </c>
      <c r="BN301" s="1">
        <v>10</v>
      </c>
      <c r="BO301" s="1">
        <v>10</v>
      </c>
      <c r="BP301" s="54">
        <f t="shared" si="115"/>
        <v>10</v>
      </c>
      <c r="BQ301" s="5"/>
      <c r="BR301" s="5"/>
      <c r="BS301" s="5">
        <v>10</v>
      </c>
      <c r="BT301" s="5">
        <v>10</v>
      </c>
      <c r="BU301" s="5">
        <v>10</v>
      </c>
      <c r="BV301" s="5">
        <v>10</v>
      </c>
      <c r="BW301" s="5">
        <v>10</v>
      </c>
      <c r="BX301" s="5">
        <v>10</v>
      </c>
      <c r="BY301" s="5">
        <v>10</v>
      </c>
      <c r="BZ301" s="5">
        <v>10</v>
      </c>
      <c r="CA301" s="5">
        <v>10</v>
      </c>
      <c r="CB301" s="5">
        <v>10</v>
      </c>
      <c r="CC301" s="2" t="e">
        <f t="shared" ca="1" si="22"/>
        <v>#NAME?</v>
      </c>
      <c r="CD301" s="55"/>
      <c r="CE301" s="2"/>
      <c r="CF301" s="2">
        <v>7</v>
      </c>
      <c r="CG301" s="2">
        <v>8</v>
      </c>
      <c r="CH301" s="2">
        <v>9</v>
      </c>
      <c r="CI301" s="2">
        <v>9</v>
      </c>
      <c r="CJ301" s="2">
        <v>10</v>
      </c>
      <c r="CK301" s="2">
        <v>10</v>
      </c>
      <c r="CL301" s="2">
        <v>8</v>
      </c>
      <c r="CM301" s="2">
        <v>10</v>
      </c>
      <c r="CN301" s="2">
        <v>10</v>
      </c>
      <c r="CO301" s="2">
        <v>10</v>
      </c>
      <c r="CP301" s="2" t="e">
        <f t="shared" ca="1" si="23"/>
        <v>#NAME?</v>
      </c>
      <c r="CQ301" s="2">
        <v>8</v>
      </c>
      <c r="CR301" s="2">
        <v>9</v>
      </c>
      <c r="CS301" s="2">
        <v>10</v>
      </c>
      <c r="CT301" s="2">
        <v>10</v>
      </c>
      <c r="CU301" s="2">
        <v>10</v>
      </c>
      <c r="CV301" s="54">
        <f t="shared" si="116"/>
        <v>10</v>
      </c>
      <c r="CW301" s="55">
        <v>9</v>
      </c>
      <c r="CX301" s="3"/>
    </row>
    <row r="302" spans="1:102" ht="16.5" x14ac:dyDescent="0.55000000000000004">
      <c r="A302" s="17">
        <v>2</v>
      </c>
      <c r="B302" s="17" t="s">
        <v>569</v>
      </c>
      <c r="C302" s="23" t="s">
        <v>644</v>
      </c>
      <c r="D302" s="24" t="s">
        <v>645</v>
      </c>
      <c r="E302" s="48">
        <v>1</v>
      </c>
      <c r="F302" s="2"/>
      <c r="G302" s="2">
        <v>9</v>
      </c>
      <c r="H302" s="2">
        <v>8</v>
      </c>
      <c r="I302" s="2">
        <v>7</v>
      </c>
      <c r="J302" s="2">
        <v>8</v>
      </c>
      <c r="K302" s="2">
        <v>9</v>
      </c>
      <c r="L302" s="2">
        <v>9</v>
      </c>
      <c r="M302" s="2">
        <v>8</v>
      </c>
      <c r="N302" s="2">
        <v>7</v>
      </c>
      <c r="O302" s="2">
        <v>8</v>
      </c>
      <c r="P302" s="2">
        <v>9</v>
      </c>
      <c r="Q302" s="2" t="e">
        <f t="shared" ca="1" si="19"/>
        <v>#NAME?</v>
      </c>
      <c r="R302" s="2">
        <v>9</v>
      </c>
      <c r="S302" s="2">
        <v>9</v>
      </c>
      <c r="T302" s="2">
        <v>10</v>
      </c>
      <c r="U302" s="2">
        <v>9</v>
      </c>
      <c r="V302" s="2">
        <v>10</v>
      </c>
      <c r="W302" s="54">
        <f t="shared" si="113"/>
        <v>10</v>
      </c>
      <c r="X302" s="48">
        <v>0</v>
      </c>
      <c r="Y302" s="2">
        <v>5</v>
      </c>
      <c r="Z302" s="2"/>
      <c r="AA302" s="2">
        <v>10</v>
      </c>
      <c r="AB302" s="2">
        <v>10</v>
      </c>
      <c r="AC302" s="2">
        <v>10</v>
      </c>
      <c r="AD302" s="2">
        <v>10</v>
      </c>
      <c r="AE302" s="2">
        <v>10</v>
      </c>
      <c r="AF302" s="2">
        <v>10</v>
      </c>
      <c r="AG302" s="2">
        <v>10</v>
      </c>
      <c r="AH302" s="2">
        <v>10</v>
      </c>
      <c r="AI302" s="2">
        <v>10</v>
      </c>
      <c r="AJ302" s="2">
        <v>10</v>
      </c>
      <c r="AK302" s="3"/>
      <c r="AL302" s="3"/>
      <c r="AM302" s="3"/>
      <c r="AN302" s="3"/>
      <c r="AO302" s="3"/>
      <c r="AP302" s="3"/>
      <c r="AQ302" s="2" t="e">
        <f t="shared" ca="1" si="20"/>
        <v>#NAME?</v>
      </c>
      <c r="AR302" s="2">
        <v>10</v>
      </c>
      <c r="AS302" s="2">
        <v>10</v>
      </c>
      <c r="AT302" s="2">
        <v>10</v>
      </c>
      <c r="AU302" s="2">
        <v>10</v>
      </c>
      <c r="AV302" s="2">
        <v>10</v>
      </c>
      <c r="AW302" s="54">
        <f t="shared" si="114"/>
        <v>10</v>
      </c>
      <c r="AX302" s="48"/>
      <c r="AY302" s="2"/>
      <c r="AZ302" s="70">
        <v>10</v>
      </c>
      <c r="BA302" s="70">
        <v>10</v>
      </c>
      <c r="BB302" s="70">
        <v>10</v>
      </c>
      <c r="BC302" s="1">
        <v>10</v>
      </c>
      <c r="BD302" s="1">
        <v>10</v>
      </c>
      <c r="BE302" s="1">
        <v>10</v>
      </c>
      <c r="BF302" s="1">
        <v>10</v>
      </c>
      <c r="BG302" s="1">
        <v>10</v>
      </c>
      <c r="BH302" s="1">
        <v>10</v>
      </c>
      <c r="BI302" s="1">
        <v>10</v>
      </c>
      <c r="BJ302" s="2" t="e">
        <f t="shared" ca="1" si="21"/>
        <v>#NAME?</v>
      </c>
      <c r="BK302" s="70">
        <v>10</v>
      </c>
      <c r="BL302" s="70">
        <v>10</v>
      </c>
      <c r="BM302" s="1">
        <v>10</v>
      </c>
      <c r="BN302" s="1">
        <v>10</v>
      </c>
      <c r="BO302" s="1">
        <v>10</v>
      </c>
      <c r="BP302" s="54">
        <f t="shared" si="115"/>
        <v>10</v>
      </c>
      <c r="BQ302" s="5"/>
      <c r="BR302" s="5"/>
      <c r="BS302" s="5">
        <v>9</v>
      </c>
      <c r="BT302" s="5">
        <v>9</v>
      </c>
      <c r="BU302" s="5">
        <v>9</v>
      </c>
      <c r="BV302" s="5">
        <v>10</v>
      </c>
      <c r="BW302" s="5">
        <v>9</v>
      </c>
      <c r="BX302" s="5">
        <v>10</v>
      </c>
      <c r="BY302" s="5">
        <v>10</v>
      </c>
      <c r="BZ302" s="5">
        <v>10</v>
      </c>
      <c r="CA302" s="5">
        <v>10</v>
      </c>
      <c r="CB302" s="5">
        <v>10</v>
      </c>
      <c r="CC302" s="2" t="e">
        <f t="shared" ca="1" si="22"/>
        <v>#NAME?</v>
      </c>
      <c r="CD302" s="55"/>
      <c r="CE302" s="2"/>
      <c r="CF302" s="2">
        <v>8</v>
      </c>
      <c r="CG302" s="2">
        <v>8</v>
      </c>
      <c r="CH302" s="2">
        <v>8</v>
      </c>
      <c r="CI302" s="2">
        <v>10</v>
      </c>
      <c r="CJ302" s="2">
        <v>7</v>
      </c>
      <c r="CK302" s="2">
        <v>8</v>
      </c>
      <c r="CL302" s="2">
        <v>8</v>
      </c>
      <c r="CM302" s="2">
        <v>8</v>
      </c>
      <c r="CN302" s="2">
        <v>8</v>
      </c>
      <c r="CO302" s="2">
        <v>8</v>
      </c>
      <c r="CP302" s="2" t="e">
        <f t="shared" ca="1" si="23"/>
        <v>#NAME?</v>
      </c>
      <c r="CQ302" s="2">
        <v>7</v>
      </c>
      <c r="CR302" s="2">
        <v>6</v>
      </c>
      <c r="CS302" s="2">
        <v>7</v>
      </c>
      <c r="CT302" s="2">
        <v>8</v>
      </c>
      <c r="CU302" s="2">
        <v>10</v>
      </c>
      <c r="CV302" s="54">
        <f t="shared" si="116"/>
        <v>8</v>
      </c>
      <c r="CW302" s="55">
        <v>5</v>
      </c>
      <c r="CX302" s="3"/>
    </row>
    <row r="303" spans="1:102" ht="16.5" x14ac:dyDescent="0.55000000000000004">
      <c r="A303" s="17">
        <v>2</v>
      </c>
      <c r="B303" s="17" t="s">
        <v>569</v>
      </c>
      <c r="C303" s="23" t="s">
        <v>646</v>
      </c>
      <c r="D303" s="24" t="s">
        <v>647</v>
      </c>
      <c r="E303" s="48">
        <v>15</v>
      </c>
      <c r="F303" s="2"/>
      <c r="G303" s="2">
        <v>10</v>
      </c>
      <c r="H303" s="2">
        <v>10</v>
      </c>
      <c r="I303" s="2">
        <v>10</v>
      </c>
      <c r="J303" s="2">
        <v>10</v>
      </c>
      <c r="K303" s="2">
        <v>10</v>
      </c>
      <c r="L303" s="2">
        <v>10</v>
      </c>
      <c r="M303" s="2">
        <v>10</v>
      </c>
      <c r="N303" s="2">
        <v>10</v>
      </c>
      <c r="O303" s="2">
        <v>10</v>
      </c>
      <c r="P303" s="2">
        <v>10</v>
      </c>
      <c r="Q303" s="2" t="e">
        <f t="shared" ca="1" si="19"/>
        <v>#NAME?</v>
      </c>
      <c r="R303" s="2">
        <v>10</v>
      </c>
      <c r="S303" s="2">
        <v>10</v>
      </c>
      <c r="T303" s="2">
        <v>10</v>
      </c>
      <c r="U303" s="2">
        <v>10</v>
      </c>
      <c r="V303" s="2">
        <v>10</v>
      </c>
      <c r="W303" s="54">
        <f t="shared" si="113"/>
        <v>10</v>
      </c>
      <c r="X303" s="48">
        <v>10</v>
      </c>
      <c r="Y303" s="2"/>
      <c r="Z303" s="2"/>
      <c r="AA303" s="2">
        <v>10</v>
      </c>
      <c r="AB303" s="2">
        <v>10</v>
      </c>
      <c r="AC303" s="2">
        <v>10</v>
      </c>
      <c r="AD303" s="2">
        <v>10</v>
      </c>
      <c r="AE303" s="2">
        <v>10</v>
      </c>
      <c r="AF303" s="2">
        <v>10</v>
      </c>
      <c r="AG303" s="2">
        <v>10</v>
      </c>
      <c r="AH303" s="2">
        <v>10</v>
      </c>
      <c r="AI303" s="2">
        <v>10</v>
      </c>
      <c r="AJ303" s="2">
        <v>10</v>
      </c>
      <c r="AK303" s="3"/>
      <c r="AL303" s="3"/>
      <c r="AM303" s="3"/>
      <c r="AN303" s="3"/>
      <c r="AO303" s="3"/>
      <c r="AP303" s="3"/>
      <c r="AQ303" s="2" t="e">
        <f t="shared" ca="1" si="20"/>
        <v>#NAME?</v>
      </c>
      <c r="AR303" s="2">
        <v>10</v>
      </c>
      <c r="AS303" s="2">
        <v>10</v>
      </c>
      <c r="AT303" s="2">
        <v>10</v>
      </c>
      <c r="AU303" s="2">
        <v>10</v>
      </c>
      <c r="AV303" s="2">
        <v>10</v>
      </c>
      <c r="AW303" s="54">
        <f t="shared" si="114"/>
        <v>10</v>
      </c>
      <c r="AX303" s="48"/>
      <c r="AY303" s="2"/>
      <c r="AZ303" s="70">
        <v>10</v>
      </c>
      <c r="BA303" s="70">
        <v>10</v>
      </c>
      <c r="BB303" s="70">
        <v>10</v>
      </c>
      <c r="BC303" s="70">
        <v>10</v>
      </c>
      <c r="BD303" s="70">
        <v>10</v>
      </c>
      <c r="BE303" s="70">
        <v>10</v>
      </c>
      <c r="BF303" s="70">
        <v>10</v>
      </c>
      <c r="BG303" s="70">
        <v>10</v>
      </c>
      <c r="BH303" s="70">
        <v>10</v>
      </c>
      <c r="BI303" s="70">
        <v>10</v>
      </c>
      <c r="BJ303" s="2" t="e">
        <f t="shared" ca="1" si="21"/>
        <v>#NAME?</v>
      </c>
      <c r="BK303" s="70">
        <v>10</v>
      </c>
      <c r="BL303" s="70">
        <v>10</v>
      </c>
      <c r="BM303" s="70">
        <v>10</v>
      </c>
      <c r="BN303" s="70">
        <v>10</v>
      </c>
      <c r="BO303" s="70">
        <v>10</v>
      </c>
      <c r="BP303" s="54">
        <f t="shared" si="115"/>
        <v>10</v>
      </c>
      <c r="BQ303" s="5"/>
      <c r="BR303" s="5"/>
      <c r="BS303" s="5">
        <v>10</v>
      </c>
      <c r="BT303" s="5">
        <v>10</v>
      </c>
      <c r="BU303" s="5">
        <v>10</v>
      </c>
      <c r="BV303" s="5">
        <v>10</v>
      </c>
      <c r="BW303" s="5">
        <v>10</v>
      </c>
      <c r="BX303" s="5">
        <v>10</v>
      </c>
      <c r="BY303" s="5">
        <v>10</v>
      </c>
      <c r="BZ303" s="5">
        <v>10</v>
      </c>
      <c r="CA303" s="5">
        <v>10</v>
      </c>
      <c r="CB303" s="5">
        <v>10</v>
      </c>
      <c r="CC303" s="2" t="e">
        <f t="shared" ca="1" si="22"/>
        <v>#NAME?</v>
      </c>
      <c r="CD303" s="55"/>
      <c r="CE303" s="2"/>
      <c r="CF303" s="2">
        <v>10</v>
      </c>
      <c r="CG303" s="2">
        <v>10</v>
      </c>
      <c r="CH303" s="2">
        <v>10</v>
      </c>
      <c r="CI303" s="2">
        <v>10</v>
      </c>
      <c r="CJ303" s="2">
        <v>10</v>
      </c>
      <c r="CK303" s="2">
        <v>10</v>
      </c>
      <c r="CL303" s="2">
        <v>10</v>
      </c>
      <c r="CM303" s="2">
        <v>10</v>
      </c>
      <c r="CN303" s="2">
        <v>10</v>
      </c>
      <c r="CO303" s="2">
        <v>10</v>
      </c>
      <c r="CP303" s="2" t="e">
        <f t="shared" ca="1" si="23"/>
        <v>#NAME?</v>
      </c>
      <c r="CQ303" s="2">
        <v>10</v>
      </c>
      <c r="CR303" s="2">
        <v>10</v>
      </c>
      <c r="CS303" s="2">
        <v>10</v>
      </c>
      <c r="CT303" s="2">
        <v>10</v>
      </c>
      <c r="CU303" s="2">
        <v>10</v>
      </c>
      <c r="CV303" s="54">
        <f t="shared" si="116"/>
        <v>10</v>
      </c>
      <c r="CW303" s="55">
        <v>20</v>
      </c>
      <c r="CX303" s="3"/>
    </row>
    <row r="304" spans="1:102" ht="16.5" x14ac:dyDescent="0.55000000000000004">
      <c r="A304" s="17">
        <v>2</v>
      </c>
      <c r="B304" s="17" t="s">
        <v>569</v>
      </c>
      <c r="C304" s="23" t="s">
        <v>648</v>
      </c>
      <c r="D304" s="24" t="s">
        <v>649</v>
      </c>
      <c r="E304" s="48" t="s">
        <v>31</v>
      </c>
      <c r="F304" s="2"/>
      <c r="G304" s="2">
        <v>10</v>
      </c>
      <c r="H304" s="2">
        <v>9</v>
      </c>
      <c r="I304" s="2">
        <v>8</v>
      </c>
      <c r="J304" s="2">
        <v>8</v>
      </c>
      <c r="K304" s="2">
        <v>8</v>
      </c>
      <c r="L304" s="2">
        <v>10</v>
      </c>
      <c r="M304" s="2">
        <v>9</v>
      </c>
      <c r="N304" s="2">
        <v>8</v>
      </c>
      <c r="O304" s="2">
        <v>8</v>
      </c>
      <c r="P304" s="2">
        <v>8</v>
      </c>
      <c r="Q304" s="2" t="e">
        <f t="shared" ca="1" si="19"/>
        <v>#NAME?</v>
      </c>
      <c r="R304" s="2">
        <v>10</v>
      </c>
      <c r="S304" s="2">
        <v>8</v>
      </c>
      <c r="T304" s="2">
        <v>8</v>
      </c>
      <c r="U304" s="2">
        <v>8</v>
      </c>
      <c r="V304" s="2">
        <v>9</v>
      </c>
      <c r="W304" s="54">
        <f t="shared" si="113"/>
        <v>9</v>
      </c>
      <c r="X304" s="48">
        <v>0</v>
      </c>
      <c r="Y304" s="2">
        <v>6</v>
      </c>
      <c r="Z304" s="2"/>
      <c r="AA304" s="2">
        <v>10</v>
      </c>
      <c r="AB304" s="2">
        <v>10</v>
      </c>
      <c r="AC304" s="2">
        <v>10</v>
      </c>
      <c r="AD304" s="2">
        <v>10</v>
      </c>
      <c r="AE304" s="2">
        <v>10</v>
      </c>
      <c r="AF304" s="2">
        <v>10</v>
      </c>
      <c r="AG304" s="2">
        <v>9</v>
      </c>
      <c r="AH304" s="2">
        <v>9</v>
      </c>
      <c r="AI304" s="2">
        <v>9</v>
      </c>
      <c r="AJ304" s="2">
        <v>9</v>
      </c>
      <c r="AK304" s="3"/>
      <c r="AL304" s="3"/>
      <c r="AM304" s="3"/>
      <c r="AN304" s="3"/>
      <c r="AO304" s="3"/>
      <c r="AP304" s="3"/>
      <c r="AQ304" s="2" t="e">
        <f t="shared" ca="1" si="20"/>
        <v>#NAME?</v>
      </c>
      <c r="AR304" s="2">
        <v>10</v>
      </c>
      <c r="AS304" s="2">
        <v>10</v>
      </c>
      <c r="AT304" s="2">
        <v>10</v>
      </c>
      <c r="AU304" s="2">
        <v>9</v>
      </c>
      <c r="AV304" s="2">
        <v>9</v>
      </c>
      <c r="AW304" s="54">
        <f t="shared" si="114"/>
        <v>10</v>
      </c>
      <c r="AX304" s="48"/>
      <c r="AY304" s="2"/>
      <c r="AZ304" s="1">
        <v>10</v>
      </c>
      <c r="BA304" s="1">
        <v>10</v>
      </c>
      <c r="BB304" s="1">
        <v>10</v>
      </c>
      <c r="BC304" s="1">
        <v>10</v>
      </c>
      <c r="BD304" s="1">
        <v>10</v>
      </c>
      <c r="BE304" s="78">
        <v>9</v>
      </c>
      <c r="BF304" s="78">
        <v>9</v>
      </c>
      <c r="BG304" s="78">
        <v>9</v>
      </c>
      <c r="BH304" s="78">
        <v>9</v>
      </c>
      <c r="BI304" s="78">
        <v>9</v>
      </c>
      <c r="BJ304" s="2" t="e">
        <f t="shared" ca="1" si="21"/>
        <v>#NAME?</v>
      </c>
      <c r="BK304" s="5">
        <v>10</v>
      </c>
      <c r="BL304" s="5">
        <v>10</v>
      </c>
      <c r="BM304" s="5">
        <v>10</v>
      </c>
      <c r="BN304" s="5">
        <v>7</v>
      </c>
      <c r="BO304" s="5">
        <v>7</v>
      </c>
      <c r="BP304" s="54">
        <f t="shared" si="115"/>
        <v>9</v>
      </c>
      <c r="BQ304" s="5"/>
      <c r="BR304" s="5"/>
      <c r="BS304" s="5">
        <v>6</v>
      </c>
      <c r="BT304" s="5">
        <v>7</v>
      </c>
      <c r="BU304" s="94">
        <v>7</v>
      </c>
      <c r="BV304" s="94">
        <v>8</v>
      </c>
      <c r="BW304" s="94">
        <v>8</v>
      </c>
      <c r="BX304" s="94">
        <v>9</v>
      </c>
      <c r="BY304" s="94">
        <v>9</v>
      </c>
      <c r="BZ304" s="94">
        <v>10</v>
      </c>
      <c r="CA304" s="94">
        <v>10</v>
      </c>
      <c r="CB304" s="94">
        <v>10</v>
      </c>
      <c r="CC304" s="2" t="e">
        <f t="shared" ca="1" si="22"/>
        <v>#NAME?</v>
      </c>
      <c r="CD304" s="55"/>
      <c r="CE304" s="2"/>
      <c r="CF304" s="2">
        <v>5</v>
      </c>
      <c r="CG304" s="2">
        <v>5</v>
      </c>
      <c r="CH304" s="2">
        <v>6</v>
      </c>
      <c r="CI304" s="2">
        <v>7</v>
      </c>
      <c r="CJ304" s="2">
        <v>8</v>
      </c>
      <c r="CK304" s="2">
        <v>8</v>
      </c>
      <c r="CL304" s="2">
        <v>6</v>
      </c>
      <c r="CM304" s="2">
        <v>8</v>
      </c>
      <c r="CN304" s="2">
        <v>8</v>
      </c>
      <c r="CO304" s="2">
        <v>8</v>
      </c>
      <c r="CP304" s="2" t="e">
        <f t="shared" ca="1" si="23"/>
        <v>#NAME?</v>
      </c>
      <c r="CQ304" s="2">
        <v>5</v>
      </c>
      <c r="CR304" s="2">
        <v>6</v>
      </c>
      <c r="CS304" s="2">
        <v>7</v>
      </c>
      <c r="CT304" s="2">
        <v>8</v>
      </c>
      <c r="CU304" s="2">
        <v>10</v>
      </c>
      <c r="CV304" s="54">
        <f t="shared" si="116"/>
        <v>8</v>
      </c>
      <c r="CW304" s="55">
        <v>9</v>
      </c>
      <c r="CX304" s="3"/>
    </row>
    <row r="305" spans="1:102" ht="16.5" x14ac:dyDescent="0.55000000000000004">
      <c r="A305" s="17">
        <v>2</v>
      </c>
      <c r="B305" s="17" t="s">
        <v>569</v>
      </c>
      <c r="C305" s="23" t="s">
        <v>650</v>
      </c>
      <c r="D305" s="24" t="s">
        <v>651</v>
      </c>
      <c r="E305" s="48" t="s">
        <v>31</v>
      </c>
      <c r="F305" s="2"/>
      <c r="G305" s="2">
        <v>8</v>
      </c>
      <c r="H305" s="2">
        <v>8</v>
      </c>
      <c r="I305" s="2">
        <v>9</v>
      </c>
      <c r="J305" s="2">
        <v>8</v>
      </c>
      <c r="K305" s="2">
        <v>9</v>
      </c>
      <c r="L305" s="2">
        <v>8</v>
      </c>
      <c r="M305" s="2">
        <v>8</v>
      </c>
      <c r="N305" s="2">
        <v>9</v>
      </c>
      <c r="O305" s="2">
        <v>8</v>
      </c>
      <c r="P305" s="2">
        <v>9</v>
      </c>
      <c r="Q305" s="2" t="e">
        <f t="shared" ca="1" si="19"/>
        <v>#NAME?</v>
      </c>
      <c r="R305" s="2">
        <v>8</v>
      </c>
      <c r="S305" s="2">
        <v>8</v>
      </c>
      <c r="T305" s="2">
        <v>9</v>
      </c>
      <c r="U305" s="2">
        <v>8</v>
      </c>
      <c r="V305" s="2">
        <v>9</v>
      </c>
      <c r="W305" s="54">
        <f t="shared" si="113"/>
        <v>9</v>
      </c>
      <c r="X305" s="48">
        <v>0</v>
      </c>
      <c r="Y305" s="2"/>
      <c r="Z305" s="2"/>
      <c r="AA305" s="2">
        <v>10</v>
      </c>
      <c r="AB305" s="2">
        <v>10</v>
      </c>
      <c r="AC305" s="2">
        <v>10</v>
      </c>
      <c r="AD305" s="2">
        <v>10</v>
      </c>
      <c r="AE305" s="2">
        <v>10</v>
      </c>
      <c r="AF305" s="2">
        <v>10</v>
      </c>
      <c r="AG305" s="2">
        <v>10</v>
      </c>
      <c r="AH305" s="2">
        <v>10</v>
      </c>
      <c r="AI305" s="2">
        <v>10</v>
      </c>
      <c r="AJ305" s="2">
        <v>10</v>
      </c>
      <c r="AK305" s="3"/>
      <c r="AL305" s="3"/>
      <c r="AM305" s="3"/>
      <c r="AN305" s="3"/>
      <c r="AO305" s="3"/>
      <c r="AP305" s="3"/>
      <c r="AQ305" s="2" t="e">
        <f t="shared" ca="1" si="20"/>
        <v>#NAME?</v>
      </c>
      <c r="AR305" s="2">
        <v>10</v>
      </c>
      <c r="AS305" s="2">
        <v>10</v>
      </c>
      <c r="AT305" s="2">
        <v>10</v>
      </c>
      <c r="AU305" s="2">
        <v>10</v>
      </c>
      <c r="AV305" s="2">
        <v>10</v>
      </c>
      <c r="AW305" s="54">
        <f t="shared" si="114"/>
        <v>10</v>
      </c>
      <c r="AX305" s="48"/>
      <c r="AY305" s="2"/>
      <c r="AZ305" s="2">
        <v>10</v>
      </c>
      <c r="BA305" s="2">
        <v>10</v>
      </c>
      <c r="BB305" s="2">
        <v>10</v>
      </c>
      <c r="BC305" s="2">
        <v>10</v>
      </c>
      <c r="BD305" s="2">
        <v>10</v>
      </c>
      <c r="BE305" s="2">
        <v>10</v>
      </c>
      <c r="BF305" s="2">
        <v>10</v>
      </c>
      <c r="BG305" s="2">
        <v>10</v>
      </c>
      <c r="BH305" s="2">
        <v>10</v>
      </c>
      <c r="BI305" s="2">
        <v>10</v>
      </c>
      <c r="BJ305" s="2" t="e">
        <f t="shared" ca="1" si="21"/>
        <v>#NAME?</v>
      </c>
      <c r="BK305" s="2">
        <v>10</v>
      </c>
      <c r="BL305" s="2">
        <v>10</v>
      </c>
      <c r="BM305" s="2">
        <v>10</v>
      </c>
      <c r="BN305" s="2">
        <v>10</v>
      </c>
      <c r="BO305" s="2">
        <v>10</v>
      </c>
      <c r="BP305" s="54">
        <f t="shared" si="115"/>
        <v>10</v>
      </c>
      <c r="BQ305" s="5"/>
      <c r="BR305" s="5"/>
      <c r="BS305" s="5">
        <v>9</v>
      </c>
      <c r="BT305" s="5">
        <v>9</v>
      </c>
      <c r="BU305" s="5">
        <v>9</v>
      </c>
      <c r="BV305" s="5">
        <v>9</v>
      </c>
      <c r="BW305" s="5">
        <v>9</v>
      </c>
      <c r="BX305" s="5">
        <v>9</v>
      </c>
      <c r="BY305" s="5">
        <v>9</v>
      </c>
      <c r="BZ305" s="5">
        <v>9</v>
      </c>
      <c r="CA305" s="5">
        <v>9</v>
      </c>
      <c r="CB305" s="5">
        <v>9</v>
      </c>
      <c r="CC305" s="2" t="e">
        <f t="shared" ca="1" si="22"/>
        <v>#NAME?</v>
      </c>
      <c r="CD305" s="55"/>
      <c r="CE305" s="2"/>
      <c r="CF305" s="2">
        <v>9</v>
      </c>
      <c r="CG305" s="2">
        <v>9</v>
      </c>
      <c r="CH305" s="2">
        <v>9</v>
      </c>
      <c r="CI305" s="2">
        <v>9</v>
      </c>
      <c r="CJ305" s="2">
        <v>9</v>
      </c>
      <c r="CK305" s="2">
        <v>10</v>
      </c>
      <c r="CL305" s="2">
        <v>10</v>
      </c>
      <c r="CM305" s="2">
        <v>9</v>
      </c>
      <c r="CN305" s="2">
        <v>10</v>
      </c>
      <c r="CO305" s="2">
        <v>10</v>
      </c>
      <c r="CP305" s="2" t="e">
        <f t="shared" ca="1" si="23"/>
        <v>#NAME?</v>
      </c>
      <c r="CQ305" s="2">
        <v>8</v>
      </c>
      <c r="CR305" s="2">
        <v>9</v>
      </c>
      <c r="CS305" s="2">
        <v>10</v>
      </c>
      <c r="CT305" s="2">
        <v>10</v>
      </c>
      <c r="CU305" s="2">
        <v>10</v>
      </c>
      <c r="CV305" s="54">
        <f t="shared" si="116"/>
        <v>10</v>
      </c>
      <c r="CW305" s="55">
        <v>4</v>
      </c>
      <c r="CX305" s="3"/>
    </row>
    <row r="306" spans="1:102" ht="16.5" x14ac:dyDescent="0.55000000000000004">
      <c r="A306" s="17">
        <v>2</v>
      </c>
      <c r="B306" s="17" t="s">
        <v>569</v>
      </c>
      <c r="C306" s="23" t="s">
        <v>652</v>
      </c>
      <c r="D306" s="24" t="s">
        <v>653</v>
      </c>
      <c r="E306" s="48">
        <v>7</v>
      </c>
      <c r="F306" s="2"/>
      <c r="G306" s="2">
        <v>10</v>
      </c>
      <c r="H306" s="2">
        <v>10</v>
      </c>
      <c r="I306" s="2">
        <v>10</v>
      </c>
      <c r="J306" s="2">
        <v>10</v>
      </c>
      <c r="K306" s="2">
        <v>10</v>
      </c>
      <c r="L306" s="2">
        <v>10</v>
      </c>
      <c r="M306" s="2">
        <v>10</v>
      </c>
      <c r="N306" s="2">
        <v>10</v>
      </c>
      <c r="O306" s="2">
        <v>10</v>
      </c>
      <c r="P306" s="2">
        <v>10</v>
      </c>
      <c r="Q306" s="2" t="e">
        <f t="shared" ca="1" si="19"/>
        <v>#NAME?</v>
      </c>
      <c r="R306" s="2">
        <v>10</v>
      </c>
      <c r="S306" s="2">
        <v>10</v>
      </c>
      <c r="T306" s="2">
        <v>10</v>
      </c>
      <c r="U306" s="2">
        <v>10</v>
      </c>
      <c r="V306" s="2">
        <v>10</v>
      </c>
      <c r="W306" s="54">
        <f t="shared" si="113"/>
        <v>10</v>
      </c>
      <c r="X306" s="48">
        <v>10</v>
      </c>
      <c r="Y306" s="2">
        <v>8</v>
      </c>
      <c r="Z306" s="2"/>
      <c r="AA306" s="2">
        <v>10</v>
      </c>
      <c r="AB306" s="2">
        <v>10</v>
      </c>
      <c r="AC306" s="2">
        <v>10</v>
      </c>
      <c r="AD306" s="2">
        <v>10</v>
      </c>
      <c r="AE306" s="2">
        <v>10</v>
      </c>
      <c r="AF306" s="2">
        <v>10</v>
      </c>
      <c r="AG306" s="2">
        <v>10</v>
      </c>
      <c r="AH306" s="2">
        <v>10</v>
      </c>
      <c r="AI306" s="2">
        <v>10</v>
      </c>
      <c r="AJ306" s="2">
        <v>10</v>
      </c>
      <c r="AK306" s="3"/>
      <c r="AL306" s="3"/>
      <c r="AM306" s="3"/>
      <c r="AN306" s="3"/>
      <c r="AO306" s="3"/>
      <c r="AP306" s="3"/>
      <c r="AQ306" s="2" t="e">
        <f t="shared" ca="1" si="20"/>
        <v>#NAME?</v>
      </c>
      <c r="AR306" s="2">
        <v>10</v>
      </c>
      <c r="AS306" s="2">
        <v>10</v>
      </c>
      <c r="AT306" s="2">
        <v>10</v>
      </c>
      <c r="AU306" s="2">
        <v>10</v>
      </c>
      <c r="AV306" s="2">
        <v>10</v>
      </c>
      <c r="AW306" s="54">
        <f t="shared" si="114"/>
        <v>10</v>
      </c>
      <c r="AX306" s="48"/>
      <c r="AY306" s="2"/>
      <c r="AZ306" s="70">
        <v>10</v>
      </c>
      <c r="BA306" s="70">
        <v>10</v>
      </c>
      <c r="BB306" s="70">
        <v>10</v>
      </c>
      <c r="BC306" s="70">
        <v>10</v>
      </c>
      <c r="BD306" s="70">
        <v>10</v>
      </c>
      <c r="BE306" s="70">
        <v>10</v>
      </c>
      <c r="BF306" s="70">
        <v>10</v>
      </c>
      <c r="BG306" s="70">
        <v>10</v>
      </c>
      <c r="BH306" s="70">
        <v>10</v>
      </c>
      <c r="BI306" s="70">
        <v>10</v>
      </c>
      <c r="BJ306" s="2" t="e">
        <f t="shared" ca="1" si="21"/>
        <v>#NAME?</v>
      </c>
      <c r="BK306" s="70">
        <v>10</v>
      </c>
      <c r="BL306" s="70">
        <v>10</v>
      </c>
      <c r="BM306" s="70">
        <v>10</v>
      </c>
      <c r="BN306" s="70">
        <v>10</v>
      </c>
      <c r="BO306" s="70">
        <v>10</v>
      </c>
      <c r="BP306" s="54">
        <f t="shared" si="115"/>
        <v>10</v>
      </c>
      <c r="BQ306" s="5"/>
      <c r="BR306" s="5"/>
      <c r="BS306" s="5">
        <v>10</v>
      </c>
      <c r="BT306" s="5">
        <v>10</v>
      </c>
      <c r="BU306" s="5">
        <v>10</v>
      </c>
      <c r="BV306" s="5">
        <v>10</v>
      </c>
      <c r="BW306" s="5">
        <v>10</v>
      </c>
      <c r="BX306" s="5">
        <v>10</v>
      </c>
      <c r="BY306" s="5">
        <v>10</v>
      </c>
      <c r="BZ306" s="5">
        <v>10</v>
      </c>
      <c r="CA306" s="5">
        <v>10</v>
      </c>
      <c r="CB306" s="5">
        <v>10</v>
      </c>
      <c r="CC306" s="2" t="e">
        <f t="shared" ca="1" si="22"/>
        <v>#NAME?</v>
      </c>
      <c r="CD306" s="55"/>
      <c r="CE306" s="2"/>
      <c r="CF306" s="2">
        <v>10</v>
      </c>
      <c r="CG306" s="2">
        <v>10</v>
      </c>
      <c r="CH306" s="2">
        <v>10</v>
      </c>
      <c r="CI306" s="2">
        <v>10</v>
      </c>
      <c r="CJ306" s="2">
        <v>10</v>
      </c>
      <c r="CK306" s="2">
        <v>10</v>
      </c>
      <c r="CL306" s="2">
        <v>10</v>
      </c>
      <c r="CM306" s="2">
        <v>10</v>
      </c>
      <c r="CN306" s="2">
        <v>10</v>
      </c>
      <c r="CO306" s="2">
        <v>10</v>
      </c>
      <c r="CP306" s="2" t="e">
        <f t="shared" ca="1" si="23"/>
        <v>#NAME?</v>
      </c>
      <c r="CQ306" s="2">
        <v>10</v>
      </c>
      <c r="CR306" s="2">
        <v>10</v>
      </c>
      <c r="CS306" s="2">
        <v>10</v>
      </c>
      <c r="CT306" s="2">
        <v>10</v>
      </c>
      <c r="CU306" s="2">
        <v>10</v>
      </c>
      <c r="CV306" s="54">
        <f t="shared" si="116"/>
        <v>10</v>
      </c>
      <c r="CW306" s="55">
        <v>12</v>
      </c>
      <c r="CX306" s="3"/>
    </row>
    <row r="307" spans="1:102" ht="16.5" x14ac:dyDescent="0.55000000000000004">
      <c r="A307" s="17">
        <v>2</v>
      </c>
      <c r="B307" s="17" t="s">
        <v>569</v>
      </c>
      <c r="C307" s="23" t="s">
        <v>654</v>
      </c>
      <c r="D307" s="24" t="s">
        <v>655</v>
      </c>
      <c r="E307" s="48" t="s">
        <v>31</v>
      </c>
      <c r="F307" s="2"/>
      <c r="G307" s="2">
        <v>8</v>
      </c>
      <c r="H307" s="2">
        <v>9</v>
      </c>
      <c r="I307" s="2">
        <v>10</v>
      </c>
      <c r="J307" s="2">
        <v>10</v>
      </c>
      <c r="K307" s="2">
        <v>10</v>
      </c>
      <c r="L307" s="2">
        <v>8</v>
      </c>
      <c r="M307" s="2">
        <v>9</v>
      </c>
      <c r="N307" s="2">
        <v>10</v>
      </c>
      <c r="O307" s="2">
        <v>10</v>
      </c>
      <c r="P307" s="2">
        <v>10</v>
      </c>
      <c r="Q307" s="2" t="e">
        <f t="shared" ca="1" si="19"/>
        <v>#NAME?</v>
      </c>
      <c r="R307" s="2">
        <v>10</v>
      </c>
      <c r="S307" s="2">
        <v>9</v>
      </c>
      <c r="T307" s="2">
        <v>10</v>
      </c>
      <c r="U307" s="2">
        <v>9</v>
      </c>
      <c r="V307" s="2">
        <v>10</v>
      </c>
      <c r="W307" s="54">
        <f t="shared" si="113"/>
        <v>10</v>
      </c>
      <c r="X307" s="48">
        <v>0</v>
      </c>
      <c r="Y307" s="2">
        <v>5</v>
      </c>
      <c r="Z307" s="2"/>
      <c r="AA307" s="2">
        <v>10</v>
      </c>
      <c r="AB307" s="2">
        <v>10</v>
      </c>
      <c r="AC307" s="2">
        <v>10</v>
      </c>
      <c r="AD307" s="2">
        <v>10</v>
      </c>
      <c r="AE307" s="2">
        <v>10</v>
      </c>
      <c r="AF307" s="2">
        <v>10</v>
      </c>
      <c r="AG307" s="2">
        <v>10</v>
      </c>
      <c r="AH307" s="2">
        <v>10</v>
      </c>
      <c r="AI307" s="2">
        <v>10</v>
      </c>
      <c r="AJ307" s="2">
        <v>10</v>
      </c>
      <c r="AK307" s="3"/>
      <c r="AL307" s="3"/>
      <c r="AM307" s="3"/>
      <c r="AN307" s="3"/>
      <c r="AO307" s="3"/>
      <c r="AP307" s="3"/>
      <c r="AQ307" s="2" t="e">
        <f t="shared" ca="1" si="20"/>
        <v>#NAME?</v>
      </c>
      <c r="AR307" s="2">
        <v>10</v>
      </c>
      <c r="AS307" s="2">
        <v>10</v>
      </c>
      <c r="AT307" s="2">
        <v>10</v>
      </c>
      <c r="AU307" s="2">
        <v>10</v>
      </c>
      <c r="AV307" s="2">
        <v>10</v>
      </c>
      <c r="AW307" s="54">
        <f t="shared" si="114"/>
        <v>10</v>
      </c>
      <c r="AX307" s="48"/>
      <c r="AY307" s="2"/>
      <c r="AZ307" s="2">
        <v>10</v>
      </c>
      <c r="BA307" s="2">
        <v>10</v>
      </c>
      <c r="BB307" s="2">
        <v>10</v>
      </c>
      <c r="BC307" s="2">
        <v>10</v>
      </c>
      <c r="BD307" s="2">
        <v>10</v>
      </c>
      <c r="BE307" s="2">
        <v>10</v>
      </c>
      <c r="BF307" s="2">
        <v>10</v>
      </c>
      <c r="BG307" s="2">
        <v>10</v>
      </c>
      <c r="BH307" s="2">
        <v>10</v>
      </c>
      <c r="BI307" s="2">
        <v>10</v>
      </c>
      <c r="BJ307" s="2" t="e">
        <f t="shared" ca="1" si="21"/>
        <v>#NAME?</v>
      </c>
      <c r="BK307" s="2">
        <v>10</v>
      </c>
      <c r="BL307" s="2">
        <v>10</v>
      </c>
      <c r="BM307" s="2">
        <v>10</v>
      </c>
      <c r="BN307" s="2">
        <v>10</v>
      </c>
      <c r="BO307" s="2">
        <v>10</v>
      </c>
      <c r="BP307" s="54">
        <f t="shared" si="115"/>
        <v>10</v>
      </c>
      <c r="BQ307" s="5"/>
      <c r="BR307" s="5"/>
      <c r="BS307" s="5">
        <v>9</v>
      </c>
      <c r="BT307" s="5">
        <v>9</v>
      </c>
      <c r="BU307" s="5">
        <v>9</v>
      </c>
      <c r="BV307" s="5">
        <v>9</v>
      </c>
      <c r="BW307" s="5">
        <v>10</v>
      </c>
      <c r="BX307" s="5">
        <v>10</v>
      </c>
      <c r="BY307" s="5">
        <v>10</v>
      </c>
      <c r="BZ307" s="5">
        <v>10</v>
      </c>
      <c r="CA307" s="5">
        <v>10</v>
      </c>
      <c r="CB307" s="5">
        <v>9</v>
      </c>
      <c r="CC307" s="2" t="e">
        <f t="shared" ca="1" si="22"/>
        <v>#NAME?</v>
      </c>
      <c r="CD307" s="55"/>
      <c r="CE307" s="2"/>
      <c r="CF307" s="2">
        <v>8</v>
      </c>
      <c r="CG307" s="2">
        <v>8</v>
      </c>
      <c r="CH307" s="2">
        <v>8</v>
      </c>
      <c r="CI307" s="2">
        <v>10</v>
      </c>
      <c r="CJ307" s="2">
        <v>10</v>
      </c>
      <c r="CK307" s="2">
        <v>10</v>
      </c>
      <c r="CL307" s="2">
        <v>10</v>
      </c>
      <c r="CM307" s="2">
        <v>8</v>
      </c>
      <c r="CN307" s="2">
        <v>10</v>
      </c>
      <c r="CO307" s="2">
        <v>10</v>
      </c>
      <c r="CP307" s="2" t="e">
        <f t="shared" ca="1" si="23"/>
        <v>#NAME?</v>
      </c>
      <c r="CQ307" s="2">
        <v>9</v>
      </c>
      <c r="CR307" s="2">
        <v>10</v>
      </c>
      <c r="CS307" s="2">
        <v>10</v>
      </c>
      <c r="CT307" s="2">
        <v>10</v>
      </c>
      <c r="CU307" s="2">
        <v>10</v>
      </c>
      <c r="CV307" s="54">
        <f t="shared" si="116"/>
        <v>10</v>
      </c>
      <c r="CW307" s="55">
        <v>16</v>
      </c>
      <c r="CX307" s="3"/>
    </row>
    <row r="308" spans="1:102" ht="16.5" x14ac:dyDescent="0.55000000000000004">
      <c r="A308" s="17">
        <v>2</v>
      </c>
      <c r="B308" s="17" t="s">
        <v>569</v>
      </c>
      <c r="C308" s="23" t="s">
        <v>656</v>
      </c>
      <c r="D308" s="24" t="s">
        <v>657</v>
      </c>
      <c r="E308" s="48">
        <v>3</v>
      </c>
      <c r="F308" s="2"/>
      <c r="G308" s="2">
        <v>10</v>
      </c>
      <c r="H308" s="2">
        <v>10</v>
      </c>
      <c r="I308" s="2">
        <v>10</v>
      </c>
      <c r="J308" s="2">
        <v>10</v>
      </c>
      <c r="K308" s="2">
        <v>10</v>
      </c>
      <c r="L308" s="2">
        <v>10</v>
      </c>
      <c r="M308" s="2">
        <v>10</v>
      </c>
      <c r="N308" s="2">
        <v>10</v>
      </c>
      <c r="O308" s="2">
        <v>10</v>
      </c>
      <c r="P308" s="2">
        <v>10</v>
      </c>
      <c r="Q308" s="2" t="e">
        <f t="shared" ca="1" si="19"/>
        <v>#NAME?</v>
      </c>
      <c r="R308" s="2">
        <v>10</v>
      </c>
      <c r="S308" s="2">
        <v>10</v>
      </c>
      <c r="T308" s="2">
        <v>10</v>
      </c>
      <c r="U308" s="2">
        <v>10</v>
      </c>
      <c r="V308" s="2">
        <v>10</v>
      </c>
      <c r="W308" s="54">
        <f t="shared" si="113"/>
        <v>10</v>
      </c>
      <c r="X308" s="48">
        <v>10</v>
      </c>
      <c r="Y308" s="2">
        <v>10</v>
      </c>
      <c r="Z308" s="2"/>
      <c r="AA308" s="2">
        <v>10</v>
      </c>
      <c r="AB308" s="2">
        <v>10</v>
      </c>
      <c r="AC308" s="2">
        <v>10</v>
      </c>
      <c r="AD308" s="2">
        <v>10</v>
      </c>
      <c r="AE308" s="2">
        <v>10</v>
      </c>
      <c r="AF308" s="2">
        <v>10</v>
      </c>
      <c r="AG308" s="2">
        <v>10</v>
      </c>
      <c r="AH308" s="2">
        <v>10</v>
      </c>
      <c r="AI308" s="2">
        <v>10</v>
      </c>
      <c r="AJ308" s="2">
        <v>10</v>
      </c>
      <c r="AK308" s="3"/>
      <c r="AL308" s="3"/>
      <c r="AM308" s="3"/>
      <c r="AN308" s="3"/>
      <c r="AO308" s="3"/>
      <c r="AP308" s="3"/>
      <c r="AQ308" s="2" t="e">
        <f t="shared" ca="1" si="20"/>
        <v>#NAME?</v>
      </c>
      <c r="AR308" s="2">
        <v>10</v>
      </c>
      <c r="AS308" s="2">
        <v>10</v>
      </c>
      <c r="AT308" s="2">
        <v>10</v>
      </c>
      <c r="AU308" s="2">
        <v>10</v>
      </c>
      <c r="AV308" s="2">
        <v>10</v>
      </c>
      <c r="AW308" s="54">
        <f t="shared" si="114"/>
        <v>10</v>
      </c>
      <c r="AX308" s="48"/>
      <c r="AY308" s="2"/>
      <c r="AZ308" s="70">
        <v>10</v>
      </c>
      <c r="BA308" s="70">
        <v>10</v>
      </c>
      <c r="BB308" s="70">
        <v>10</v>
      </c>
      <c r="BC308" s="70">
        <v>10</v>
      </c>
      <c r="BD308" s="70">
        <v>10</v>
      </c>
      <c r="BE308" s="70">
        <v>10</v>
      </c>
      <c r="BF308" s="70">
        <v>10</v>
      </c>
      <c r="BG308" s="70">
        <v>10</v>
      </c>
      <c r="BH308" s="70">
        <v>10</v>
      </c>
      <c r="BI308" s="70">
        <v>10</v>
      </c>
      <c r="BJ308" s="2" t="e">
        <f t="shared" ca="1" si="21"/>
        <v>#NAME?</v>
      </c>
      <c r="BK308" s="70">
        <v>10</v>
      </c>
      <c r="BL308" s="70">
        <v>10</v>
      </c>
      <c r="BM308" s="70">
        <v>10</v>
      </c>
      <c r="BN308" s="70">
        <v>10</v>
      </c>
      <c r="BO308" s="70">
        <v>10</v>
      </c>
      <c r="BP308" s="54">
        <f t="shared" si="115"/>
        <v>10</v>
      </c>
      <c r="BQ308" s="5"/>
      <c r="BR308" s="5"/>
      <c r="BS308" s="5">
        <v>10</v>
      </c>
      <c r="BT308" s="5">
        <v>10</v>
      </c>
      <c r="BU308" s="5">
        <v>10</v>
      </c>
      <c r="BV308" s="5">
        <v>10</v>
      </c>
      <c r="BW308" s="5">
        <v>10</v>
      </c>
      <c r="BX308" s="5">
        <v>10</v>
      </c>
      <c r="BY308" s="5">
        <v>10</v>
      </c>
      <c r="BZ308" s="5">
        <v>10</v>
      </c>
      <c r="CA308" s="5">
        <v>10</v>
      </c>
      <c r="CB308" s="5">
        <v>10</v>
      </c>
      <c r="CC308" s="2" t="e">
        <f t="shared" ca="1" si="22"/>
        <v>#NAME?</v>
      </c>
      <c r="CD308" s="55"/>
      <c r="CE308" s="2"/>
      <c r="CF308" s="2">
        <v>10</v>
      </c>
      <c r="CG308" s="2">
        <v>10</v>
      </c>
      <c r="CH308" s="2">
        <v>10</v>
      </c>
      <c r="CI308" s="2">
        <v>10</v>
      </c>
      <c r="CJ308" s="2">
        <v>10</v>
      </c>
      <c r="CK308" s="2">
        <v>10</v>
      </c>
      <c r="CL308" s="2">
        <v>10</v>
      </c>
      <c r="CM308" s="2">
        <v>10</v>
      </c>
      <c r="CN308" s="2">
        <v>10</v>
      </c>
      <c r="CO308" s="2">
        <v>10</v>
      </c>
      <c r="CP308" s="2" t="e">
        <f t="shared" ca="1" si="23"/>
        <v>#NAME?</v>
      </c>
      <c r="CQ308" s="2">
        <v>10</v>
      </c>
      <c r="CR308" s="2">
        <v>10</v>
      </c>
      <c r="CS308" s="2">
        <v>10</v>
      </c>
      <c r="CT308" s="2">
        <v>10</v>
      </c>
      <c r="CU308" s="2">
        <v>10</v>
      </c>
      <c r="CV308" s="54">
        <f t="shared" si="116"/>
        <v>10</v>
      </c>
      <c r="CW308" s="55">
        <v>20</v>
      </c>
      <c r="CX308" s="3"/>
    </row>
    <row r="309" spans="1:102" ht="16.5" x14ac:dyDescent="0.55000000000000004">
      <c r="A309" s="17">
        <v>3</v>
      </c>
      <c r="B309" s="17" t="s">
        <v>569</v>
      </c>
      <c r="C309" s="23" t="s">
        <v>658</v>
      </c>
      <c r="D309" s="24" t="s">
        <v>659</v>
      </c>
      <c r="E309" s="48">
        <v>0</v>
      </c>
      <c r="F309" s="2"/>
      <c r="G309" s="2">
        <v>10</v>
      </c>
      <c r="H309" s="2">
        <v>10</v>
      </c>
      <c r="I309" s="2">
        <v>10</v>
      </c>
      <c r="J309" s="2">
        <v>10</v>
      </c>
      <c r="K309" s="2">
        <v>10</v>
      </c>
      <c r="L309" s="2">
        <v>10</v>
      </c>
      <c r="M309" s="2">
        <v>10</v>
      </c>
      <c r="N309" s="2">
        <v>10</v>
      </c>
      <c r="O309" s="2">
        <v>10</v>
      </c>
      <c r="P309" s="2">
        <v>10</v>
      </c>
      <c r="Q309" s="2" t="e">
        <f t="shared" ca="1" si="19"/>
        <v>#NAME?</v>
      </c>
      <c r="R309" s="2">
        <v>10</v>
      </c>
      <c r="S309" s="2">
        <v>9</v>
      </c>
      <c r="T309" s="2">
        <v>10</v>
      </c>
      <c r="U309" s="2">
        <v>10</v>
      </c>
      <c r="V309" s="2">
        <v>10</v>
      </c>
      <c r="W309" s="54">
        <f t="shared" si="113"/>
        <v>10</v>
      </c>
      <c r="X309" s="48">
        <v>0</v>
      </c>
      <c r="Y309" s="2">
        <v>5</v>
      </c>
      <c r="Z309" s="2"/>
      <c r="AA309" s="2">
        <v>10</v>
      </c>
      <c r="AB309" s="2">
        <v>10</v>
      </c>
      <c r="AC309" s="2">
        <v>10</v>
      </c>
      <c r="AD309" s="2">
        <v>10</v>
      </c>
      <c r="AE309" s="2">
        <v>10</v>
      </c>
      <c r="AF309" s="2">
        <v>10</v>
      </c>
      <c r="AG309" s="2">
        <v>10</v>
      </c>
      <c r="AH309" s="2">
        <v>10</v>
      </c>
      <c r="AI309" s="2">
        <v>10</v>
      </c>
      <c r="AJ309" s="2">
        <v>10</v>
      </c>
      <c r="AK309" s="3"/>
      <c r="AL309" s="3"/>
      <c r="AM309" s="3"/>
      <c r="AN309" s="3"/>
      <c r="AO309" s="3"/>
      <c r="AP309" s="3"/>
      <c r="AQ309" s="2" t="e">
        <f t="shared" ca="1" si="20"/>
        <v>#NAME?</v>
      </c>
      <c r="AR309" s="2">
        <v>10</v>
      </c>
      <c r="AS309" s="2">
        <v>10</v>
      </c>
      <c r="AT309" s="2">
        <v>10</v>
      </c>
      <c r="AU309" s="2">
        <v>10</v>
      </c>
      <c r="AV309" s="2">
        <v>10</v>
      </c>
      <c r="AW309" s="54">
        <f t="shared" si="114"/>
        <v>10</v>
      </c>
      <c r="AX309" s="48"/>
      <c r="AY309" s="2"/>
      <c r="AZ309" s="2">
        <v>10</v>
      </c>
      <c r="BA309" s="2">
        <v>10</v>
      </c>
      <c r="BB309" s="2">
        <v>10</v>
      </c>
      <c r="BC309" s="2">
        <v>10</v>
      </c>
      <c r="BD309" s="2">
        <v>10</v>
      </c>
      <c r="BE309" s="2">
        <v>10</v>
      </c>
      <c r="BF309" s="2">
        <v>10</v>
      </c>
      <c r="BG309" s="2">
        <v>10</v>
      </c>
      <c r="BH309" s="2">
        <v>10</v>
      </c>
      <c r="BI309" s="2">
        <v>10</v>
      </c>
      <c r="BJ309" s="2" t="e">
        <f t="shared" ca="1" si="21"/>
        <v>#NAME?</v>
      </c>
      <c r="BK309" s="2">
        <v>10</v>
      </c>
      <c r="BL309" s="2">
        <v>10</v>
      </c>
      <c r="BM309" s="2">
        <v>10</v>
      </c>
      <c r="BN309" s="2">
        <v>10</v>
      </c>
      <c r="BO309" s="2">
        <v>10</v>
      </c>
      <c r="BP309" s="54">
        <f t="shared" si="115"/>
        <v>10</v>
      </c>
      <c r="BQ309" s="5"/>
      <c r="BR309" s="5"/>
      <c r="BS309" s="5">
        <v>10</v>
      </c>
      <c r="BT309" s="5">
        <v>10</v>
      </c>
      <c r="BU309" s="5">
        <v>10</v>
      </c>
      <c r="BV309" s="5">
        <v>7</v>
      </c>
      <c r="BW309" s="5">
        <v>9</v>
      </c>
      <c r="BX309" s="5">
        <v>8</v>
      </c>
      <c r="BY309" s="5">
        <v>9</v>
      </c>
      <c r="BZ309" s="5">
        <v>9</v>
      </c>
      <c r="CA309" s="5">
        <v>10</v>
      </c>
      <c r="CB309" s="5">
        <v>10</v>
      </c>
      <c r="CC309" s="2" t="e">
        <f t="shared" ca="1" si="22"/>
        <v>#NAME?</v>
      </c>
      <c r="CD309" s="55"/>
      <c r="CE309" s="2"/>
      <c r="CF309" s="2">
        <v>10</v>
      </c>
      <c r="CG309" s="2">
        <v>10</v>
      </c>
      <c r="CH309" s="2">
        <v>10</v>
      </c>
      <c r="CI309" s="2">
        <v>10</v>
      </c>
      <c r="CJ309" s="2">
        <v>10</v>
      </c>
      <c r="CK309" s="2">
        <v>10</v>
      </c>
      <c r="CL309" s="2">
        <v>10</v>
      </c>
      <c r="CM309" s="2">
        <v>10</v>
      </c>
      <c r="CN309" s="2">
        <v>10</v>
      </c>
      <c r="CO309" s="2">
        <v>10</v>
      </c>
      <c r="CP309" s="2" t="e">
        <f t="shared" ca="1" si="23"/>
        <v>#NAME?</v>
      </c>
      <c r="CQ309" s="2">
        <v>10</v>
      </c>
      <c r="CR309" s="2">
        <v>10</v>
      </c>
      <c r="CS309" s="2">
        <v>10</v>
      </c>
      <c r="CT309" s="2">
        <v>10</v>
      </c>
      <c r="CU309" s="2">
        <v>10</v>
      </c>
      <c r="CV309" s="54">
        <f t="shared" si="116"/>
        <v>10</v>
      </c>
      <c r="CW309" s="55">
        <v>11</v>
      </c>
      <c r="CX309" s="3"/>
    </row>
    <row r="310" spans="1:102" ht="16.5" x14ac:dyDescent="0.55000000000000004">
      <c r="A310" s="17">
        <v>3</v>
      </c>
      <c r="B310" s="17" t="s">
        <v>569</v>
      </c>
      <c r="C310" s="23" t="s">
        <v>660</v>
      </c>
      <c r="D310" s="24" t="s">
        <v>661</v>
      </c>
      <c r="E310" s="48">
        <v>20</v>
      </c>
      <c r="F310" s="2"/>
      <c r="G310" s="2">
        <v>10</v>
      </c>
      <c r="H310" s="2">
        <v>10</v>
      </c>
      <c r="I310" s="2">
        <v>10</v>
      </c>
      <c r="J310" s="2">
        <v>10</v>
      </c>
      <c r="K310" s="2">
        <v>10</v>
      </c>
      <c r="L310" s="2">
        <v>10</v>
      </c>
      <c r="M310" s="2">
        <v>10</v>
      </c>
      <c r="N310" s="2">
        <v>10</v>
      </c>
      <c r="O310" s="2">
        <v>10</v>
      </c>
      <c r="P310" s="2">
        <v>10</v>
      </c>
      <c r="Q310" s="2" t="e">
        <f t="shared" ca="1" si="19"/>
        <v>#NAME?</v>
      </c>
      <c r="R310" s="2">
        <v>10</v>
      </c>
      <c r="S310" s="2">
        <v>10</v>
      </c>
      <c r="T310" s="2">
        <v>10</v>
      </c>
      <c r="U310" s="2">
        <v>10</v>
      </c>
      <c r="V310" s="2">
        <v>10</v>
      </c>
      <c r="W310" s="54">
        <f t="shared" si="113"/>
        <v>10</v>
      </c>
      <c r="X310" s="48">
        <v>10</v>
      </c>
      <c r="Y310" s="2">
        <v>10</v>
      </c>
      <c r="Z310" s="2"/>
      <c r="AA310" s="2">
        <v>10</v>
      </c>
      <c r="AB310" s="2">
        <v>10</v>
      </c>
      <c r="AC310" s="2">
        <v>10</v>
      </c>
      <c r="AD310" s="2">
        <v>10</v>
      </c>
      <c r="AE310" s="2">
        <v>10</v>
      </c>
      <c r="AF310" s="2">
        <v>10</v>
      </c>
      <c r="AG310" s="2">
        <v>10</v>
      </c>
      <c r="AH310" s="2">
        <v>10</v>
      </c>
      <c r="AI310" s="2">
        <v>10</v>
      </c>
      <c r="AJ310" s="2">
        <v>10</v>
      </c>
      <c r="AK310" s="3"/>
      <c r="AL310" s="3"/>
      <c r="AM310" s="3"/>
      <c r="AN310" s="3"/>
      <c r="AO310" s="3"/>
      <c r="AP310" s="3"/>
      <c r="AQ310" s="2" t="e">
        <f t="shared" ca="1" si="20"/>
        <v>#NAME?</v>
      </c>
      <c r="AR310" s="2">
        <v>10</v>
      </c>
      <c r="AS310" s="2">
        <v>10</v>
      </c>
      <c r="AT310" s="2">
        <v>10</v>
      </c>
      <c r="AU310" s="2">
        <v>10</v>
      </c>
      <c r="AV310" s="2">
        <v>10</v>
      </c>
      <c r="AW310" s="54">
        <f t="shared" si="114"/>
        <v>10</v>
      </c>
      <c r="AX310" s="48"/>
      <c r="AY310" s="2"/>
      <c r="AZ310" s="2">
        <v>10</v>
      </c>
      <c r="BA310" s="2">
        <v>10</v>
      </c>
      <c r="BB310" s="2">
        <v>10</v>
      </c>
      <c r="BC310" s="2">
        <v>10</v>
      </c>
      <c r="BD310" s="2">
        <v>10</v>
      </c>
      <c r="BE310" s="2">
        <v>10</v>
      </c>
      <c r="BF310" s="2">
        <v>10</v>
      </c>
      <c r="BG310" s="2">
        <v>10</v>
      </c>
      <c r="BH310" s="2">
        <v>10</v>
      </c>
      <c r="BI310" s="2">
        <v>10</v>
      </c>
      <c r="BJ310" s="2" t="e">
        <f t="shared" ca="1" si="21"/>
        <v>#NAME?</v>
      </c>
      <c r="BK310" s="2">
        <v>10</v>
      </c>
      <c r="BL310" s="2">
        <v>10</v>
      </c>
      <c r="BM310" s="2">
        <v>10</v>
      </c>
      <c r="BN310" s="2">
        <v>10</v>
      </c>
      <c r="BO310" s="2">
        <v>10</v>
      </c>
      <c r="BP310" s="54">
        <f t="shared" si="115"/>
        <v>10</v>
      </c>
      <c r="BQ310" s="5"/>
      <c r="BR310" s="5"/>
      <c r="BS310" s="5">
        <v>10</v>
      </c>
      <c r="BT310" s="5">
        <v>10</v>
      </c>
      <c r="BU310" s="5">
        <v>10</v>
      </c>
      <c r="BV310" s="5">
        <v>10</v>
      </c>
      <c r="BW310" s="5">
        <v>10</v>
      </c>
      <c r="BX310" s="5">
        <v>10</v>
      </c>
      <c r="BY310" s="5">
        <v>10</v>
      </c>
      <c r="BZ310" s="5">
        <v>10</v>
      </c>
      <c r="CA310" s="5">
        <v>10</v>
      </c>
      <c r="CB310" s="5">
        <v>10</v>
      </c>
      <c r="CC310" s="2" t="e">
        <f t="shared" ca="1" si="22"/>
        <v>#NAME?</v>
      </c>
      <c r="CD310" s="55"/>
      <c r="CE310" s="2"/>
      <c r="CF310" s="2">
        <v>10</v>
      </c>
      <c r="CG310" s="2">
        <v>10</v>
      </c>
      <c r="CH310" s="2">
        <v>10</v>
      </c>
      <c r="CI310" s="2">
        <v>10</v>
      </c>
      <c r="CJ310" s="2">
        <v>10</v>
      </c>
      <c r="CK310" s="2">
        <v>10</v>
      </c>
      <c r="CL310" s="2">
        <v>10</v>
      </c>
      <c r="CM310" s="2">
        <v>10</v>
      </c>
      <c r="CN310" s="2">
        <v>10</v>
      </c>
      <c r="CO310" s="2">
        <v>10</v>
      </c>
      <c r="CP310" s="2" t="e">
        <f t="shared" ca="1" si="23"/>
        <v>#NAME?</v>
      </c>
      <c r="CQ310" s="2">
        <v>10</v>
      </c>
      <c r="CR310" s="2">
        <v>10</v>
      </c>
      <c r="CS310" s="2">
        <v>10</v>
      </c>
      <c r="CT310" s="2">
        <v>10</v>
      </c>
      <c r="CU310" s="2">
        <v>10</v>
      </c>
      <c r="CV310" s="54">
        <f t="shared" si="116"/>
        <v>10</v>
      </c>
      <c r="CW310" s="55">
        <v>16</v>
      </c>
      <c r="CX310" s="3"/>
    </row>
    <row r="311" spans="1:102" ht="16.5" x14ac:dyDescent="0.55000000000000004">
      <c r="A311" s="17">
        <v>3</v>
      </c>
      <c r="B311" s="17" t="s">
        <v>569</v>
      </c>
      <c r="C311" s="23" t="s">
        <v>662</v>
      </c>
      <c r="D311" s="24" t="s">
        <v>663</v>
      </c>
      <c r="E311" s="48" t="s">
        <v>31</v>
      </c>
      <c r="F311" s="2"/>
      <c r="G311" s="2">
        <v>9</v>
      </c>
      <c r="H311" s="2">
        <v>10</v>
      </c>
      <c r="I311" s="2">
        <v>9</v>
      </c>
      <c r="J311" s="2">
        <v>8</v>
      </c>
      <c r="K311" s="2">
        <v>8</v>
      </c>
      <c r="L311" s="2">
        <v>9</v>
      </c>
      <c r="M311" s="2">
        <v>10</v>
      </c>
      <c r="N311" s="2">
        <v>9</v>
      </c>
      <c r="O311" s="2">
        <v>8</v>
      </c>
      <c r="P311" s="2">
        <v>8</v>
      </c>
      <c r="Q311" s="2" t="e">
        <f t="shared" ca="1" si="19"/>
        <v>#NAME?</v>
      </c>
      <c r="R311" s="2">
        <v>9</v>
      </c>
      <c r="S311" s="2">
        <v>9</v>
      </c>
      <c r="T311" s="2">
        <v>9</v>
      </c>
      <c r="U311" s="2">
        <v>8</v>
      </c>
      <c r="V311" s="2">
        <v>8</v>
      </c>
      <c r="W311" s="54">
        <f t="shared" si="113"/>
        <v>9</v>
      </c>
      <c r="X311" s="48">
        <v>10</v>
      </c>
      <c r="Y311" s="2"/>
      <c r="Z311" s="2"/>
      <c r="AA311" s="2">
        <v>10</v>
      </c>
      <c r="AB311" s="2">
        <v>10</v>
      </c>
      <c r="AC311" s="2">
        <v>10</v>
      </c>
      <c r="AD311" s="2">
        <v>10</v>
      </c>
      <c r="AE311" s="2">
        <v>10</v>
      </c>
      <c r="AF311" s="2">
        <v>10</v>
      </c>
      <c r="AG311" s="2">
        <v>10</v>
      </c>
      <c r="AH311" s="2">
        <v>10</v>
      </c>
      <c r="AI311" s="2">
        <v>10</v>
      </c>
      <c r="AJ311" s="2">
        <v>10</v>
      </c>
      <c r="AK311" s="3"/>
      <c r="AL311" s="3"/>
      <c r="AM311" s="3"/>
      <c r="AN311" s="3"/>
      <c r="AO311" s="3"/>
      <c r="AP311" s="3"/>
      <c r="AQ311" s="2" t="e">
        <f t="shared" ca="1" si="20"/>
        <v>#NAME?</v>
      </c>
      <c r="AR311" s="2">
        <v>10</v>
      </c>
      <c r="AS311" s="2">
        <v>10</v>
      </c>
      <c r="AT311" s="2">
        <v>10</v>
      </c>
      <c r="AU311" s="2">
        <v>10</v>
      </c>
      <c r="AV311" s="2">
        <v>10</v>
      </c>
      <c r="AW311" s="54">
        <f t="shared" si="114"/>
        <v>10</v>
      </c>
      <c r="AX311" s="48"/>
      <c r="AY311" s="2"/>
      <c r="AZ311" s="2">
        <v>9</v>
      </c>
      <c r="BA311" s="2">
        <v>9</v>
      </c>
      <c r="BB311" s="2">
        <v>9</v>
      </c>
      <c r="BC311" s="2">
        <v>9</v>
      </c>
      <c r="BD311" s="2">
        <v>9</v>
      </c>
      <c r="BE311" s="2">
        <v>9</v>
      </c>
      <c r="BF311" s="2">
        <v>9</v>
      </c>
      <c r="BG311" s="2">
        <v>9</v>
      </c>
      <c r="BH311" s="2">
        <v>9</v>
      </c>
      <c r="BI311" s="57">
        <v>9</v>
      </c>
      <c r="BJ311" s="2" t="e">
        <f t="shared" ca="1" si="21"/>
        <v>#NAME?</v>
      </c>
      <c r="BK311" s="5">
        <v>8</v>
      </c>
      <c r="BL311" s="5">
        <v>8</v>
      </c>
      <c r="BM311" s="5">
        <v>8</v>
      </c>
      <c r="BN311" s="5">
        <v>8</v>
      </c>
      <c r="BO311" s="5">
        <v>9</v>
      </c>
      <c r="BP311" s="54">
        <f t="shared" si="115"/>
        <v>9</v>
      </c>
      <c r="BQ311" s="5"/>
      <c r="BR311" s="5"/>
      <c r="BS311" s="5">
        <v>8</v>
      </c>
      <c r="BT311" s="5">
        <v>8</v>
      </c>
      <c r="BU311" s="5">
        <v>8</v>
      </c>
      <c r="BV311" s="5">
        <v>9</v>
      </c>
      <c r="BW311" s="5">
        <v>10</v>
      </c>
      <c r="BX311" s="5">
        <v>9</v>
      </c>
      <c r="BY311" s="5">
        <v>10</v>
      </c>
      <c r="BZ311" s="5">
        <v>10</v>
      </c>
      <c r="CA311" s="5">
        <v>8</v>
      </c>
      <c r="CB311" s="5">
        <v>10</v>
      </c>
      <c r="CC311" s="2" t="e">
        <f t="shared" ca="1" si="22"/>
        <v>#NAME?</v>
      </c>
      <c r="CD311" s="55"/>
      <c r="CE311" s="2"/>
      <c r="CF311" s="2">
        <v>10</v>
      </c>
      <c r="CG311" s="2">
        <v>10</v>
      </c>
      <c r="CH311" s="2">
        <v>10</v>
      </c>
      <c r="CI311" s="2">
        <v>8</v>
      </c>
      <c r="CJ311" s="2">
        <v>8</v>
      </c>
      <c r="CK311" s="2">
        <v>10</v>
      </c>
      <c r="CL311" s="2">
        <v>10</v>
      </c>
      <c r="CM311" s="2">
        <v>10</v>
      </c>
      <c r="CN311" s="2">
        <v>10</v>
      </c>
      <c r="CO311" s="2">
        <v>10</v>
      </c>
      <c r="CP311" s="2" t="e">
        <f t="shared" ca="1" si="23"/>
        <v>#NAME?</v>
      </c>
      <c r="CQ311" s="2">
        <v>7</v>
      </c>
      <c r="CR311" s="2">
        <v>7</v>
      </c>
      <c r="CS311" s="2">
        <v>8</v>
      </c>
      <c r="CT311" s="2">
        <v>9</v>
      </c>
      <c r="CU311" s="2">
        <v>10</v>
      </c>
      <c r="CV311" s="54">
        <f t="shared" si="116"/>
        <v>9</v>
      </c>
      <c r="CW311" s="55">
        <v>8</v>
      </c>
      <c r="CX311" s="3"/>
    </row>
    <row r="312" spans="1:102" ht="16.5" x14ac:dyDescent="0.55000000000000004">
      <c r="A312" s="17">
        <v>3</v>
      </c>
      <c r="B312" s="17" t="s">
        <v>569</v>
      </c>
      <c r="C312" s="23" t="s">
        <v>664</v>
      </c>
      <c r="D312" s="24" t="s">
        <v>665</v>
      </c>
      <c r="E312" s="48" t="s">
        <v>31</v>
      </c>
      <c r="F312" s="2"/>
      <c r="G312" s="2">
        <v>7</v>
      </c>
      <c r="H312" s="2">
        <v>7</v>
      </c>
      <c r="I312" s="2">
        <v>8</v>
      </c>
      <c r="J312" s="2">
        <v>10</v>
      </c>
      <c r="K312" s="2">
        <v>8</v>
      </c>
      <c r="L312" s="2">
        <v>7</v>
      </c>
      <c r="M312" s="2">
        <v>7</v>
      </c>
      <c r="N312" s="2">
        <v>8</v>
      </c>
      <c r="O312" s="2">
        <v>10</v>
      </c>
      <c r="P312" s="2">
        <v>8</v>
      </c>
      <c r="Q312" s="2" t="e">
        <f t="shared" ca="1" si="19"/>
        <v>#NAME?</v>
      </c>
      <c r="R312" s="2">
        <v>7</v>
      </c>
      <c r="S312" s="2">
        <v>8</v>
      </c>
      <c r="T312" s="2">
        <v>9</v>
      </c>
      <c r="U312" s="2">
        <v>10</v>
      </c>
      <c r="V312" s="2">
        <v>9</v>
      </c>
      <c r="W312" s="54">
        <f t="shared" si="113"/>
        <v>9</v>
      </c>
      <c r="X312" s="48">
        <v>0</v>
      </c>
      <c r="Y312" s="2">
        <v>7</v>
      </c>
      <c r="Z312" s="2"/>
      <c r="AA312" s="2">
        <v>10</v>
      </c>
      <c r="AB312" s="2">
        <v>10</v>
      </c>
      <c r="AC312" s="2">
        <v>10</v>
      </c>
      <c r="AD312" s="2">
        <v>10</v>
      </c>
      <c r="AE312" s="2">
        <v>10</v>
      </c>
      <c r="AF312" s="2">
        <v>10</v>
      </c>
      <c r="AG312" s="2">
        <v>10</v>
      </c>
      <c r="AH312" s="2">
        <v>10</v>
      </c>
      <c r="AI312" s="2">
        <v>10</v>
      </c>
      <c r="AJ312" s="2">
        <v>10</v>
      </c>
      <c r="AK312" s="3"/>
      <c r="AL312" s="3"/>
      <c r="AM312" s="3"/>
      <c r="AN312" s="3"/>
      <c r="AO312" s="3"/>
      <c r="AP312" s="3"/>
      <c r="AQ312" s="2" t="e">
        <f t="shared" ca="1" si="20"/>
        <v>#NAME?</v>
      </c>
      <c r="AR312" s="2">
        <v>10</v>
      </c>
      <c r="AS312" s="2">
        <v>10</v>
      </c>
      <c r="AT312" s="2">
        <v>10</v>
      </c>
      <c r="AU312" s="2">
        <v>10</v>
      </c>
      <c r="AV312" s="2">
        <v>10</v>
      </c>
      <c r="AW312" s="54">
        <f t="shared" si="114"/>
        <v>10</v>
      </c>
      <c r="AX312" s="48"/>
      <c r="AY312" s="2"/>
      <c r="AZ312" s="2">
        <v>10</v>
      </c>
      <c r="BA312" s="2">
        <v>10</v>
      </c>
      <c r="BB312" s="2">
        <v>10</v>
      </c>
      <c r="BC312" s="2">
        <v>10</v>
      </c>
      <c r="BD312" s="2">
        <v>10</v>
      </c>
      <c r="BE312" s="2">
        <v>10</v>
      </c>
      <c r="BF312" s="2">
        <v>9</v>
      </c>
      <c r="BG312" s="2">
        <v>9</v>
      </c>
      <c r="BH312" s="2">
        <v>10</v>
      </c>
      <c r="BI312" s="2">
        <v>10</v>
      </c>
      <c r="BJ312" s="2" t="e">
        <f t="shared" ca="1" si="21"/>
        <v>#NAME?</v>
      </c>
      <c r="BK312" s="2">
        <v>10</v>
      </c>
      <c r="BL312" s="2">
        <v>10</v>
      </c>
      <c r="BM312" s="2">
        <v>10</v>
      </c>
      <c r="BN312" s="2">
        <v>10</v>
      </c>
      <c r="BO312" s="2">
        <v>10</v>
      </c>
      <c r="BP312" s="54">
        <f t="shared" si="115"/>
        <v>10</v>
      </c>
      <c r="BQ312" s="5"/>
      <c r="BR312" s="5"/>
      <c r="BS312" s="5">
        <v>6</v>
      </c>
      <c r="BT312" s="5">
        <v>6</v>
      </c>
      <c r="BU312" s="5">
        <v>7</v>
      </c>
      <c r="BV312" s="5">
        <v>7</v>
      </c>
      <c r="BW312" s="5">
        <v>10</v>
      </c>
      <c r="BX312" s="5">
        <v>8</v>
      </c>
      <c r="BY312" s="5">
        <v>8</v>
      </c>
      <c r="BZ312" s="5">
        <v>9</v>
      </c>
      <c r="CA312" s="5">
        <v>9</v>
      </c>
      <c r="CB312" s="5">
        <v>10</v>
      </c>
      <c r="CC312" s="2" t="e">
        <f t="shared" ca="1" si="22"/>
        <v>#NAME?</v>
      </c>
      <c r="CD312" s="55"/>
      <c r="CE312" s="2"/>
      <c r="CF312" s="2">
        <v>10</v>
      </c>
      <c r="CG312" s="2">
        <v>10</v>
      </c>
      <c r="CH312" s="2">
        <v>10</v>
      </c>
      <c r="CI312" s="2">
        <v>7</v>
      </c>
      <c r="CJ312" s="2">
        <v>8</v>
      </c>
      <c r="CK312" s="2">
        <v>9</v>
      </c>
      <c r="CL312" s="2">
        <v>10</v>
      </c>
      <c r="CM312" s="2">
        <v>10</v>
      </c>
      <c r="CN312" s="2">
        <v>10</v>
      </c>
      <c r="CO312" s="2">
        <v>10</v>
      </c>
      <c r="CP312" s="2" t="e">
        <f t="shared" ca="1" si="23"/>
        <v>#NAME?</v>
      </c>
      <c r="CQ312" s="2">
        <v>9</v>
      </c>
      <c r="CR312" s="2">
        <v>8</v>
      </c>
      <c r="CS312" s="2">
        <v>9</v>
      </c>
      <c r="CT312" s="2">
        <v>10</v>
      </c>
      <c r="CU312" s="2">
        <v>10</v>
      </c>
      <c r="CV312" s="54">
        <f t="shared" si="116"/>
        <v>10</v>
      </c>
      <c r="CW312" s="55">
        <v>3</v>
      </c>
      <c r="CX312" s="3"/>
    </row>
    <row r="313" spans="1:102" ht="16.5" x14ac:dyDescent="0.55000000000000004">
      <c r="A313" s="17">
        <v>3</v>
      </c>
      <c r="B313" s="17" t="s">
        <v>569</v>
      </c>
      <c r="C313" s="23" t="s">
        <v>666</v>
      </c>
      <c r="D313" s="24" t="s">
        <v>667</v>
      </c>
      <c r="E313" s="48">
        <v>2</v>
      </c>
      <c r="F313" s="2"/>
      <c r="G313" s="2">
        <v>10</v>
      </c>
      <c r="H313" s="2">
        <v>10</v>
      </c>
      <c r="I313" s="2">
        <v>10</v>
      </c>
      <c r="J313" s="2">
        <v>10</v>
      </c>
      <c r="K313" s="2">
        <v>10</v>
      </c>
      <c r="L313" s="2">
        <v>10</v>
      </c>
      <c r="M313" s="2">
        <v>10</v>
      </c>
      <c r="N313" s="2">
        <v>10</v>
      </c>
      <c r="O313" s="2">
        <v>10</v>
      </c>
      <c r="P313" s="2">
        <v>10</v>
      </c>
      <c r="Q313" s="2" t="e">
        <f t="shared" ca="1" si="19"/>
        <v>#NAME?</v>
      </c>
      <c r="R313" s="2">
        <v>10</v>
      </c>
      <c r="S313" s="2">
        <v>10</v>
      </c>
      <c r="T313" s="2">
        <v>10</v>
      </c>
      <c r="U313" s="2">
        <v>10</v>
      </c>
      <c r="V313" s="2">
        <v>10</v>
      </c>
      <c r="W313" s="54">
        <f t="shared" si="113"/>
        <v>10</v>
      </c>
      <c r="X313" s="48">
        <v>0</v>
      </c>
      <c r="Y313" s="2">
        <v>7</v>
      </c>
      <c r="Z313" s="3"/>
      <c r="AA313" s="2">
        <v>10</v>
      </c>
      <c r="AB313" s="2">
        <v>10</v>
      </c>
      <c r="AC313" s="2">
        <v>10</v>
      </c>
      <c r="AD313" s="2">
        <v>10</v>
      </c>
      <c r="AE313" s="2">
        <v>10</v>
      </c>
      <c r="AF313" s="2">
        <v>10</v>
      </c>
      <c r="AG313" s="2">
        <v>10</v>
      </c>
      <c r="AH313" s="2">
        <v>10</v>
      </c>
      <c r="AI313" s="2">
        <v>10</v>
      </c>
      <c r="AJ313" s="2">
        <v>10</v>
      </c>
      <c r="AK313" s="3"/>
      <c r="AL313" s="3"/>
      <c r="AM313" s="3"/>
      <c r="AN313" s="3"/>
      <c r="AO313" s="3"/>
      <c r="AP313" s="3"/>
      <c r="AQ313" s="2" t="e">
        <f t="shared" ca="1" si="20"/>
        <v>#NAME?</v>
      </c>
      <c r="AR313" s="2">
        <v>10</v>
      </c>
      <c r="AS313" s="2">
        <v>10</v>
      </c>
      <c r="AT313" s="2">
        <v>10</v>
      </c>
      <c r="AU313" s="2">
        <v>10</v>
      </c>
      <c r="AV313" s="2">
        <v>10</v>
      </c>
      <c r="AW313" s="54">
        <f t="shared" si="114"/>
        <v>10</v>
      </c>
      <c r="AX313" s="48"/>
      <c r="AY313" s="2"/>
      <c r="AZ313" s="2">
        <v>10</v>
      </c>
      <c r="BA313" s="2">
        <v>10</v>
      </c>
      <c r="BB313" s="2">
        <v>10</v>
      </c>
      <c r="BC313" s="2">
        <v>10</v>
      </c>
      <c r="BD313" s="2">
        <v>10</v>
      </c>
      <c r="BE313" s="2">
        <v>10</v>
      </c>
      <c r="BF313" s="2">
        <v>10</v>
      </c>
      <c r="BG313" s="2">
        <v>10</v>
      </c>
      <c r="BH313" s="2">
        <v>10</v>
      </c>
      <c r="BI313" s="2">
        <v>10</v>
      </c>
      <c r="BJ313" s="2" t="e">
        <f t="shared" ca="1" si="21"/>
        <v>#NAME?</v>
      </c>
      <c r="BK313" s="2">
        <v>10</v>
      </c>
      <c r="BL313" s="2">
        <v>10</v>
      </c>
      <c r="BM313" s="2">
        <v>10</v>
      </c>
      <c r="BN313" s="2">
        <v>10</v>
      </c>
      <c r="BO313" s="2">
        <v>10</v>
      </c>
      <c r="BP313" s="54">
        <f t="shared" si="115"/>
        <v>10</v>
      </c>
      <c r="BQ313" s="5"/>
      <c r="BR313" s="5"/>
      <c r="BS313" s="5">
        <v>10</v>
      </c>
      <c r="BT313" s="5">
        <v>10</v>
      </c>
      <c r="BU313" s="5">
        <v>10</v>
      </c>
      <c r="BV313" s="5">
        <v>10</v>
      </c>
      <c r="BW313" s="5">
        <v>9</v>
      </c>
      <c r="BX313" s="5">
        <v>10</v>
      </c>
      <c r="BY313" s="5">
        <v>9</v>
      </c>
      <c r="BZ313" s="5">
        <v>9</v>
      </c>
      <c r="CA313" s="5">
        <v>10</v>
      </c>
      <c r="CB313" s="5">
        <v>10</v>
      </c>
      <c r="CC313" s="2" t="e">
        <f t="shared" ca="1" si="22"/>
        <v>#NAME?</v>
      </c>
      <c r="CD313" s="55"/>
      <c r="CE313" s="2"/>
      <c r="CF313" s="2">
        <v>10</v>
      </c>
      <c r="CG313" s="2">
        <v>10</v>
      </c>
      <c r="CH313" s="2">
        <v>10</v>
      </c>
      <c r="CI313" s="2">
        <v>10</v>
      </c>
      <c r="CJ313" s="2">
        <v>10</v>
      </c>
      <c r="CK313" s="2">
        <v>10</v>
      </c>
      <c r="CL313" s="2">
        <v>10</v>
      </c>
      <c r="CM313" s="2">
        <v>10</v>
      </c>
      <c r="CN313" s="2">
        <v>10</v>
      </c>
      <c r="CO313" s="2">
        <v>10</v>
      </c>
      <c r="CP313" s="2" t="e">
        <f t="shared" ca="1" si="23"/>
        <v>#NAME?</v>
      </c>
      <c r="CQ313" s="2">
        <v>10</v>
      </c>
      <c r="CR313" s="2">
        <v>10</v>
      </c>
      <c r="CS313" s="2">
        <v>10</v>
      </c>
      <c r="CT313" s="2">
        <v>10</v>
      </c>
      <c r="CU313" s="2">
        <v>10</v>
      </c>
      <c r="CV313" s="54">
        <f t="shared" si="116"/>
        <v>10</v>
      </c>
      <c r="CW313" s="55">
        <v>19</v>
      </c>
      <c r="CX313" s="3"/>
    </row>
    <row r="314" spans="1:102" ht="16.5" x14ac:dyDescent="0.55000000000000004">
      <c r="A314" s="17">
        <v>3</v>
      </c>
      <c r="B314" s="17" t="s">
        <v>569</v>
      </c>
      <c r="C314" s="23" t="s">
        <v>668</v>
      </c>
      <c r="D314" s="24" t="s">
        <v>669</v>
      </c>
      <c r="E314" s="48">
        <v>0</v>
      </c>
      <c r="F314" s="2"/>
      <c r="G314" s="2">
        <v>9</v>
      </c>
      <c r="H314" s="2">
        <v>10</v>
      </c>
      <c r="I314" s="2">
        <v>7</v>
      </c>
      <c r="J314" s="2">
        <v>7</v>
      </c>
      <c r="K314" s="2">
        <v>7</v>
      </c>
      <c r="L314" s="2">
        <v>9</v>
      </c>
      <c r="M314" s="2">
        <v>10</v>
      </c>
      <c r="N314" s="2">
        <v>7</v>
      </c>
      <c r="O314" s="2">
        <v>7</v>
      </c>
      <c r="P314" s="2">
        <v>7</v>
      </c>
      <c r="Q314" s="2" t="e">
        <f t="shared" ca="1" si="19"/>
        <v>#NAME?</v>
      </c>
      <c r="R314" s="2">
        <v>9</v>
      </c>
      <c r="S314" s="2">
        <v>9</v>
      </c>
      <c r="T314" s="2">
        <v>8</v>
      </c>
      <c r="U314" s="2">
        <v>8</v>
      </c>
      <c r="V314" s="2">
        <v>9</v>
      </c>
      <c r="W314" s="54">
        <f t="shared" si="113"/>
        <v>9</v>
      </c>
      <c r="X314" s="48">
        <v>0</v>
      </c>
      <c r="Y314" s="2">
        <v>5</v>
      </c>
      <c r="Z314" s="2"/>
      <c r="AA314" s="2">
        <v>10</v>
      </c>
      <c r="AB314" s="2">
        <v>10</v>
      </c>
      <c r="AC314" s="2">
        <v>10</v>
      </c>
      <c r="AD314" s="2">
        <v>10</v>
      </c>
      <c r="AE314" s="2">
        <v>10</v>
      </c>
      <c r="AF314" s="2">
        <v>10</v>
      </c>
      <c r="AG314" s="2">
        <v>10</v>
      </c>
      <c r="AH314" s="2">
        <v>10</v>
      </c>
      <c r="AI314" s="2">
        <v>10</v>
      </c>
      <c r="AJ314" s="2">
        <v>10</v>
      </c>
      <c r="AK314" s="3"/>
      <c r="AL314" s="3"/>
      <c r="AM314" s="3"/>
      <c r="AN314" s="3"/>
      <c r="AO314" s="3"/>
      <c r="AP314" s="3"/>
      <c r="AQ314" s="2" t="e">
        <f t="shared" ca="1" si="20"/>
        <v>#NAME?</v>
      </c>
      <c r="AR314" s="2">
        <v>10</v>
      </c>
      <c r="AS314" s="2">
        <v>10</v>
      </c>
      <c r="AT314" s="2">
        <v>10</v>
      </c>
      <c r="AU314" s="2">
        <v>10</v>
      </c>
      <c r="AV314" s="2">
        <v>10</v>
      </c>
      <c r="AW314" s="54">
        <f t="shared" si="114"/>
        <v>10</v>
      </c>
      <c r="AX314" s="48"/>
      <c r="AY314" s="2"/>
      <c r="AZ314" s="2">
        <v>10</v>
      </c>
      <c r="BA314" s="2">
        <v>10</v>
      </c>
      <c r="BB314" s="2">
        <v>8</v>
      </c>
      <c r="BC314" s="2">
        <v>9</v>
      </c>
      <c r="BD314" s="2">
        <v>9</v>
      </c>
      <c r="BE314" s="2">
        <v>9</v>
      </c>
      <c r="BF314" s="2">
        <v>9</v>
      </c>
      <c r="BG314" s="2">
        <v>9</v>
      </c>
      <c r="BH314" s="2">
        <v>9</v>
      </c>
      <c r="BI314" s="2">
        <v>9</v>
      </c>
      <c r="BJ314" s="2" t="e">
        <f t="shared" ca="1" si="21"/>
        <v>#NAME?</v>
      </c>
      <c r="BK314" s="2">
        <v>9</v>
      </c>
      <c r="BL314" s="2">
        <v>9</v>
      </c>
      <c r="BM314" s="2">
        <v>9</v>
      </c>
      <c r="BN314" s="2">
        <v>9</v>
      </c>
      <c r="BO314" s="2">
        <v>9</v>
      </c>
      <c r="BP314" s="54">
        <f t="shared" si="115"/>
        <v>9</v>
      </c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2" t="e">
        <f t="shared" ca="1" si="22"/>
        <v>#NAME?</v>
      </c>
      <c r="CD314" s="55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 t="e">
        <f t="shared" ca="1" si="23"/>
        <v>#NAME?</v>
      </c>
      <c r="CQ314" s="2"/>
      <c r="CR314" s="2"/>
      <c r="CS314" s="2"/>
      <c r="CT314" s="2"/>
      <c r="CU314" s="2"/>
      <c r="CV314" s="54">
        <f t="shared" si="116"/>
        <v>0</v>
      </c>
      <c r="CW314" s="55">
        <v>3</v>
      </c>
      <c r="CX314" s="3"/>
    </row>
    <row r="315" spans="1:102" ht="16.5" x14ac:dyDescent="0.55000000000000004">
      <c r="A315" s="17">
        <v>3</v>
      </c>
      <c r="B315" s="17" t="s">
        <v>569</v>
      </c>
      <c r="C315" s="23" t="s">
        <v>670</v>
      </c>
      <c r="D315" s="24" t="s">
        <v>671</v>
      </c>
      <c r="E315" s="48">
        <v>3</v>
      </c>
      <c r="F315" s="2"/>
      <c r="G315" s="2">
        <v>10</v>
      </c>
      <c r="H315" s="2">
        <v>9</v>
      </c>
      <c r="I315" s="2">
        <v>9</v>
      </c>
      <c r="J315" s="2">
        <v>10</v>
      </c>
      <c r="K315" s="2">
        <v>9</v>
      </c>
      <c r="L315" s="2">
        <v>10</v>
      </c>
      <c r="M315" s="2">
        <v>9</v>
      </c>
      <c r="N315" s="2">
        <v>9</v>
      </c>
      <c r="O315" s="2">
        <v>10</v>
      </c>
      <c r="P315" s="2">
        <v>9</v>
      </c>
      <c r="Q315" s="2" t="e">
        <f t="shared" ca="1" si="19"/>
        <v>#NAME?</v>
      </c>
      <c r="R315" s="2">
        <v>10</v>
      </c>
      <c r="S315" s="2">
        <v>9</v>
      </c>
      <c r="T315" s="2">
        <v>10</v>
      </c>
      <c r="U315" s="2">
        <v>10</v>
      </c>
      <c r="V315" s="2">
        <v>10</v>
      </c>
      <c r="W315" s="54">
        <f t="shared" si="113"/>
        <v>10</v>
      </c>
      <c r="X315" s="48">
        <v>0</v>
      </c>
      <c r="Y315" s="2">
        <v>5</v>
      </c>
      <c r="Z315" s="2"/>
      <c r="AA315" s="2">
        <v>10</v>
      </c>
      <c r="AB315" s="2">
        <v>10</v>
      </c>
      <c r="AC315" s="2">
        <v>10</v>
      </c>
      <c r="AD315" s="2">
        <v>10</v>
      </c>
      <c r="AE315" s="2">
        <v>10</v>
      </c>
      <c r="AF315" s="2">
        <v>10</v>
      </c>
      <c r="AG315" s="2">
        <v>10</v>
      </c>
      <c r="AH315" s="2">
        <v>10</v>
      </c>
      <c r="AI315" s="2">
        <v>9</v>
      </c>
      <c r="AJ315" s="2">
        <v>9</v>
      </c>
      <c r="AK315" s="3"/>
      <c r="AL315" s="3"/>
      <c r="AM315" s="3"/>
      <c r="AN315" s="3"/>
      <c r="AO315" s="3"/>
      <c r="AP315" s="3"/>
      <c r="AQ315" s="2" t="e">
        <f t="shared" ca="1" si="20"/>
        <v>#NAME?</v>
      </c>
      <c r="AR315" s="2">
        <v>10</v>
      </c>
      <c r="AS315" s="2">
        <v>10</v>
      </c>
      <c r="AT315" s="2">
        <v>10</v>
      </c>
      <c r="AU315" s="2">
        <v>10</v>
      </c>
      <c r="AV315" s="2">
        <v>10</v>
      </c>
      <c r="AW315" s="54">
        <f t="shared" si="114"/>
        <v>10</v>
      </c>
      <c r="AX315" s="48"/>
      <c r="AY315" s="2"/>
      <c r="AZ315" s="2">
        <v>10</v>
      </c>
      <c r="BA315" s="2">
        <v>10</v>
      </c>
      <c r="BB315" s="2">
        <v>10</v>
      </c>
      <c r="BC315" s="2">
        <v>10</v>
      </c>
      <c r="BD315" s="2">
        <v>10</v>
      </c>
      <c r="BE315" s="2">
        <v>10</v>
      </c>
      <c r="BF315" s="2">
        <v>10</v>
      </c>
      <c r="BG315" s="2">
        <v>10</v>
      </c>
      <c r="BH315" s="2">
        <v>10</v>
      </c>
      <c r="BI315" s="2">
        <v>10</v>
      </c>
      <c r="BJ315" s="2" t="e">
        <f t="shared" ca="1" si="21"/>
        <v>#NAME?</v>
      </c>
      <c r="BK315" s="2">
        <v>10</v>
      </c>
      <c r="BL315" s="2">
        <v>10</v>
      </c>
      <c r="BM315" s="2">
        <v>10</v>
      </c>
      <c r="BN315" s="2">
        <v>10</v>
      </c>
      <c r="BO315" s="2">
        <v>10</v>
      </c>
      <c r="BP315" s="54">
        <f t="shared" si="115"/>
        <v>10</v>
      </c>
      <c r="BQ315" s="5"/>
      <c r="BR315" s="5"/>
      <c r="BS315" s="5">
        <v>5</v>
      </c>
      <c r="BT315" s="5">
        <v>6</v>
      </c>
      <c r="BU315" s="5">
        <v>6</v>
      </c>
      <c r="BV315" s="5">
        <v>7</v>
      </c>
      <c r="BW315" s="5">
        <v>9</v>
      </c>
      <c r="BX315" s="5">
        <v>8</v>
      </c>
      <c r="BY315" s="5">
        <v>9</v>
      </c>
      <c r="BZ315" s="5">
        <v>9</v>
      </c>
      <c r="CA315" s="5">
        <v>8</v>
      </c>
      <c r="CB315" s="5">
        <v>10</v>
      </c>
      <c r="CC315" s="2" t="e">
        <f t="shared" ca="1" si="22"/>
        <v>#NAME?</v>
      </c>
      <c r="CD315" s="55"/>
      <c r="CE315" s="2"/>
      <c r="CF315" s="2">
        <v>10</v>
      </c>
      <c r="CG315" s="2">
        <v>10</v>
      </c>
      <c r="CH315" s="2">
        <v>10</v>
      </c>
      <c r="CI315" s="2">
        <v>9</v>
      </c>
      <c r="CJ315" s="2">
        <v>10</v>
      </c>
      <c r="CK315" s="2">
        <v>10</v>
      </c>
      <c r="CL315" s="2">
        <v>10</v>
      </c>
      <c r="CM315" s="2">
        <v>8</v>
      </c>
      <c r="CN315" s="2">
        <v>10</v>
      </c>
      <c r="CO315" s="2">
        <v>10</v>
      </c>
      <c r="CP315" s="2" t="e">
        <f t="shared" ca="1" si="23"/>
        <v>#NAME?</v>
      </c>
      <c r="CQ315" s="2">
        <v>9</v>
      </c>
      <c r="CR315" s="2">
        <v>9</v>
      </c>
      <c r="CS315" s="2">
        <v>10</v>
      </c>
      <c r="CT315" s="2">
        <v>10</v>
      </c>
      <c r="CU315" s="2">
        <v>10</v>
      </c>
      <c r="CV315" s="54">
        <f t="shared" si="116"/>
        <v>10</v>
      </c>
      <c r="CW315" s="55">
        <v>9</v>
      </c>
      <c r="CX315" s="3"/>
    </row>
    <row r="316" spans="1:102" ht="16.5" x14ac:dyDescent="0.55000000000000004">
      <c r="A316" s="17">
        <v>3</v>
      </c>
      <c r="B316" s="17" t="s">
        <v>569</v>
      </c>
      <c r="C316" s="23" t="s">
        <v>672</v>
      </c>
      <c r="D316" s="24" t="s">
        <v>673</v>
      </c>
      <c r="E316" s="48">
        <v>3</v>
      </c>
      <c r="F316" s="2"/>
      <c r="G316" s="2">
        <v>10</v>
      </c>
      <c r="H316" s="2">
        <v>10</v>
      </c>
      <c r="I316" s="2">
        <v>9</v>
      </c>
      <c r="J316" s="2">
        <v>10</v>
      </c>
      <c r="K316" s="2">
        <v>10</v>
      </c>
      <c r="L316" s="2">
        <v>10</v>
      </c>
      <c r="M316" s="2">
        <v>10</v>
      </c>
      <c r="N316" s="2">
        <v>9</v>
      </c>
      <c r="O316" s="2">
        <v>10</v>
      </c>
      <c r="P316" s="2">
        <v>10</v>
      </c>
      <c r="Q316" s="2" t="e">
        <f t="shared" ca="1" si="19"/>
        <v>#NAME?</v>
      </c>
      <c r="R316" s="2">
        <v>10</v>
      </c>
      <c r="S316" s="2">
        <v>9</v>
      </c>
      <c r="T316" s="2">
        <v>10</v>
      </c>
      <c r="U316" s="2">
        <v>10</v>
      </c>
      <c r="V316" s="2">
        <v>10</v>
      </c>
      <c r="W316" s="54">
        <f t="shared" si="113"/>
        <v>10</v>
      </c>
      <c r="X316" s="48">
        <v>0</v>
      </c>
      <c r="Y316" s="2">
        <v>7</v>
      </c>
      <c r="Z316" s="2"/>
      <c r="AA316" s="2">
        <v>10</v>
      </c>
      <c r="AB316" s="2">
        <v>10</v>
      </c>
      <c r="AC316" s="2">
        <v>10</v>
      </c>
      <c r="AD316" s="2">
        <v>10</v>
      </c>
      <c r="AE316" s="2">
        <v>10</v>
      </c>
      <c r="AF316" s="2">
        <v>10</v>
      </c>
      <c r="AG316" s="2">
        <v>10</v>
      </c>
      <c r="AH316" s="2">
        <v>10</v>
      </c>
      <c r="AI316" s="2">
        <v>10</v>
      </c>
      <c r="AJ316" s="2">
        <v>10</v>
      </c>
      <c r="AK316" s="3"/>
      <c r="AL316" s="3"/>
      <c r="AM316" s="3"/>
      <c r="AN316" s="3"/>
      <c r="AO316" s="3"/>
      <c r="AP316" s="3"/>
      <c r="AQ316" s="2" t="e">
        <f t="shared" ca="1" si="20"/>
        <v>#NAME?</v>
      </c>
      <c r="AR316" s="2">
        <v>10</v>
      </c>
      <c r="AS316" s="2">
        <v>10</v>
      </c>
      <c r="AT316" s="2">
        <v>10</v>
      </c>
      <c r="AU316" s="2">
        <v>10</v>
      </c>
      <c r="AV316" s="2">
        <v>10</v>
      </c>
      <c r="AW316" s="54">
        <f t="shared" si="114"/>
        <v>10</v>
      </c>
      <c r="AX316" s="48"/>
      <c r="AY316" s="2"/>
      <c r="AZ316" s="2">
        <v>10</v>
      </c>
      <c r="BA316" s="2">
        <v>10</v>
      </c>
      <c r="BB316" s="2">
        <v>10</v>
      </c>
      <c r="BC316" s="2">
        <v>10</v>
      </c>
      <c r="BD316" s="2">
        <v>10</v>
      </c>
      <c r="BE316" s="2">
        <v>10</v>
      </c>
      <c r="BF316" s="2">
        <v>10</v>
      </c>
      <c r="BG316" s="2">
        <v>10</v>
      </c>
      <c r="BH316" s="2">
        <v>10</v>
      </c>
      <c r="BI316" s="2">
        <v>10</v>
      </c>
      <c r="BJ316" s="2" t="e">
        <f t="shared" ca="1" si="21"/>
        <v>#NAME?</v>
      </c>
      <c r="BK316" s="2">
        <v>10</v>
      </c>
      <c r="BL316" s="2">
        <v>10</v>
      </c>
      <c r="BM316" s="2">
        <v>10</v>
      </c>
      <c r="BN316" s="2">
        <v>10</v>
      </c>
      <c r="BO316" s="2">
        <v>10</v>
      </c>
      <c r="BP316" s="54">
        <f t="shared" si="115"/>
        <v>10</v>
      </c>
      <c r="BQ316" s="5"/>
      <c r="BR316" s="5"/>
      <c r="BS316" s="5">
        <v>10</v>
      </c>
      <c r="BT316" s="5">
        <v>10</v>
      </c>
      <c r="BU316" s="5">
        <v>9</v>
      </c>
      <c r="BV316" s="5">
        <v>10</v>
      </c>
      <c r="BW316" s="5">
        <v>9</v>
      </c>
      <c r="BX316" s="5">
        <v>10</v>
      </c>
      <c r="BY316" s="5">
        <v>10</v>
      </c>
      <c r="BZ316" s="5">
        <v>10</v>
      </c>
      <c r="CA316" s="5">
        <v>8</v>
      </c>
      <c r="CB316" s="5">
        <v>10</v>
      </c>
      <c r="CC316" s="2" t="e">
        <f t="shared" ca="1" si="22"/>
        <v>#NAME?</v>
      </c>
      <c r="CD316" s="55"/>
      <c r="CE316" s="2"/>
      <c r="CF316" s="2">
        <v>10</v>
      </c>
      <c r="CG316" s="2">
        <v>10</v>
      </c>
      <c r="CH316" s="2">
        <v>10</v>
      </c>
      <c r="CI316" s="2">
        <v>10</v>
      </c>
      <c r="CJ316" s="2">
        <v>7</v>
      </c>
      <c r="CK316" s="2">
        <v>10</v>
      </c>
      <c r="CL316" s="2">
        <v>10</v>
      </c>
      <c r="CM316" s="2">
        <v>6</v>
      </c>
      <c r="CN316" s="2">
        <v>10</v>
      </c>
      <c r="CO316" s="2">
        <v>10</v>
      </c>
      <c r="CP316" s="2" t="e">
        <f t="shared" ca="1" si="23"/>
        <v>#NAME?</v>
      </c>
      <c r="CQ316" s="2">
        <v>9</v>
      </c>
      <c r="CR316" s="2">
        <v>9</v>
      </c>
      <c r="CS316" s="2">
        <v>10</v>
      </c>
      <c r="CT316" s="2">
        <v>10</v>
      </c>
      <c r="CU316" s="2">
        <v>10</v>
      </c>
      <c r="CV316" s="54">
        <f t="shared" si="116"/>
        <v>10</v>
      </c>
      <c r="CW316" s="55">
        <v>11</v>
      </c>
      <c r="CX316" s="3"/>
    </row>
    <row r="317" spans="1:102" ht="16.5" x14ac:dyDescent="0.55000000000000004">
      <c r="A317" s="17">
        <v>3</v>
      </c>
      <c r="B317" s="17" t="s">
        <v>569</v>
      </c>
      <c r="C317" s="23" t="s">
        <v>674</v>
      </c>
      <c r="D317" s="24" t="s">
        <v>675</v>
      </c>
      <c r="E317" s="48">
        <v>3</v>
      </c>
      <c r="F317" s="2"/>
      <c r="G317" s="2">
        <v>9</v>
      </c>
      <c r="H317" s="2">
        <v>10</v>
      </c>
      <c r="I317" s="2">
        <v>9</v>
      </c>
      <c r="J317" s="2">
        <v>10</v>
      </c>
      <c r="K317" s="2">
        <v>10</v>
      </c>
      <c r="L317" s="2">
        <v>9</v>
      </c>
      <c r="M317" s="2">
        <v>10</v>
      </c>
      <c r="N317" s="2">
        <v>9</v>
      </c>
      <c r="O317" s="2">
        <v>10</v>
      </c>
      <c r="P317" s="2">
        <v>10</v>
      </c>
      <c r="Q317" s="2" t="e">
        <f t="shared" ca="1" si="19"/>
        <v>#NAME?</v>
      </c>
      <c r="R317" s="2">
        <v>9</v>
      </c>
      <c r="S317" s="2">
        <v>10</v>
      </c>
      <c r="T317" s="2">
        <v>10</v>
      </c>
      <c r="U317" s="2">
        <v>10</v>
      </c>
      <c r="V317" s="2">
        <v>10</v>
      </c>
      <c r="W317" s="54">
        <f t="shared" si="113"/>
        <v>10</v>
      </c>
      <c r="X317" s="48">
        <v>0</v>
      </c>
      <c r="Y317" s="2">
        <v>7</v>
      </c>
      <c r="Z317" s="2"/>
      <c r="AA317" s="2">
        <v>10</v>
      </c>
      <c r="AB317" s="2">
        <v>10</v>
      </c>
      <c r="AC317" s="2">
        <v>10</v>
      </c>
      <c r="AD317" s="2">
        <v>10</v>
      </c>
      <c r="AE317" s="2">
        <v>10</v>
      </c>
      <c r="AF317" s="2">
        <v>10</v>
      </c>
      <c r="AG317" s="2">
        <v>10</v>
      </c>
      <c r="AH317" s="2">
        <v>10</v>
      </c>
      <c r="AI317" s="2">
        <v>10</v>
      </c>
      <c r="AJ317" s="2">
        <v>10</v>
      </c>
      <c r="AK317" s="3"/>
      <c r="AL317" s="3"/>
      <c r="AM317" s="3"/>
      <c r="AN317" s="3"/>
      <c r="AO317" s="3"/>
      <c r="AP317" s="3"/>
      <c r="AQ317" s="2" t="e">
        <f t="shared" ca="1" si="20"/>
        <v>#NAME?</v>
      </c>
      <c r="AR317" s="2">
        <v>10</v>
      </c>
      <c r="AS317" s="2">
        <v>10</v>
      </c>
      <c r="AT317" s="2">
        <v>10</v>
      </c>
      <c r="AU317" s="2">
        <v>10</v>
      </c>
      <c r="AV317" s="2">
        <v>10</v>
      </c>
      <c r="AW317" s="54">
        <f t="shared" si="114"/>
        <v>10</v>
      </c>
      <c r="AX317" s="48"/>
      <c r="AY317" s="2"/>
      <c r="AZ317" s="2">
        <v>10</v>
      </c>
      <c r="BA317" s="2">
        <v>10</v>
      </c>
      <c r="BB317" s="2">
        <v>10</v>
      </c>
      <c r="BC317" s="2">
        <v>10</v>
      </c>
      <c r="BD317" s="2">
        <v>10</v>
      </c>
      <c r="BE317" s="2">
        <v>10</v>
      </c>
      <c r="BF317" s="2">
        <v>10</v>
      </c>
      <c r="BG317" s="2">
        <v>10</v>
      </c>
      <c r="BH317" s="2">
        <v>10</v>
      </c>
      <c r="BI317" s="2">
        <v>10</v>
      </c>
      <c r="BJ317" s="2" t="e">
        <f t="shared" ca="1" si="21"/>
        <v>#NAME?</v>
      </c>
      <c r="BK317" s="2">
        <v>10</v>
      </c>
      <c r="BL317" s="2">
        <v>10</v>
      </c>
      <c r="BM317" s="2">
        <v>10</v>
      </c>
      <c r="BN317" s="2">
        <v>10</v>
      </c>
      <c r="BO317" s="2">
        <v>10</v>
      </c>
      <c r="BP317" s="54">
        <f t="shared" si="115"/>
        <v>10</v>
      </c>
      <c r="BQ317" s="5"/>
      <c r="BR317" s="5"/>
      <c r="BS317" s="5">
        <v>10</v>
      </c>
      <c r="BT317" s="5">
        <v>10</v>
      </c>
      <c r="BU317" s="5">
        <v>10</v>
      </c>
      <c r="BV317" s="5">
        <v>10</v>
      </c>
      <c r="BW317" s="5">
        <v>9</v>
      </c>
      <c r="BX317" s="5">
        <v>10</v>
      </c>
      <c r="BY317" s="5">
        <v>10</v>
      </c>
      <c r="BZ317" s="5">
        <v>10</v>
      </c>
      <c r="CA317" s="5">
        <v>8</v>
      </c>
      <c r="CB317" s="5">
        <v>10</v>
      </c>
      <c r="CC317" s="2" t="e">
        <f t="shared" ca="1" si="22"/>
        <v>#NAME?</v>
      </c>
      <c r="CD317" s="55"/>
      <c r="CE317" s="2"/>
      <c r="CF317" s="2">
        <v>10</v>
      </c>
      <c r="CG317" s="2">
        <v>10</v>
      </c>
      <c r="CH317" s="2">
        <v>10</v>
      </c>
      <c r="CI317" s="2">
        <v>8</v>
      </c>
      <c r="CJ317" s="2">
        <v>9</v>
      </c>
      <c r="CK317" s="2">
        <v>10</v>
      </c>
      <c r="CL317" s="2">
        <v>10</v>
      </c>
      <c r="CM317" s="2">
        <v>10</v>
      </c>
      <c r="CN317" s="2">
        <v>10</v>
      </c>
      <c r="CO317" s="2">
        <v>10</v>
      </c>
      <c r="CP317" s="2" t="e">
        <f t="shared" ca="1" si="23"/>
        <v>#NAME?</v>
      </c>
      <c r="CQ317" s="2">
        <v>9</v>
      </c>
      <c r="CR317" s="2">
        <v>9</v>
      </c>
      <c r="CS317" s="2">
        <v>10</v>
      </c>
      <c r="CT317" s="2">
        <v>10</v>
      </c>
      <c r="CU317" s="2">
        <v>10</v>
      </c>
      <c r="CV317" s="54">
        <f t="shared" si="116"/>
        <v>10</v>
      </c>
      <c r="CW317" s="55">
        <v>7</v>
      </c>
      <c r="CX317" s="3"/>
    </row>
    <row r="318" spans="1:102" ht="16.5" x14ac:dyDescent="0.55000000000000004">
      <c r="A318" s="17">
        <v>3</v>
      </c>
      <c r="B318" s="17" t="s">
        <v>569</v>
      </c>
      <c r="C318" s="23" t="s">
        <v>676</v>
      </c>
      <c r="D318" s="24" t="s">
        <v>677</v>
      </c>
      <c r="E318" s="48">
        <v>6</v>
      </c>
      <c r="F318" s="2"/>
      <c r="G318" s="2">
        <v>9</v>
      </c>
      <c r="H318" s="2">
        <v>10</v>
      </c>
      <c r="I318" s="2">
        <v>8</v>
      </c>
      <c r="J318" s="2">
        <v>10</v>
      </c>
      <c r="K318" s="2">
        <v>10</v>
      </c>
      <c r="L318" s="2">
        <v>9</v>
      </c>
      <c r="M318" s="2">
        <v>10</v>
      </c>
      <c r="N318" s="2">
        <v>8</v>
      </c>
      <c r="O318" s="2">
        <v>10</v>
      </c>
      <c r="P318" s="2">
        <v>10</v>
      </c>
      <c r="Q318" s="2" t="e">
        <f t="shared" ca="1" si="19"/>
        <v>#NAME?</v>
      </c>
      <c r="R318" s="2">
        <v>9</v>
      </c>
      <c r="S318" s="2">
        <v>8</v>
      </c>
      <c r="T318" s="2">
        <v>9</v>
      </c>
      <c r="U318" s="2">
        <v>10</v>
      </c>
      <c r="V318" s="2">
        <v>10</v>
      </c>
      <c r="W318" s="54">
        <f t="shared" si="113"/>
        <v>10</v>
      </c>
      <c r="X318" s="48">
        <v>0</v>
      </c>
      <c r="Y318" s="2">
        <v>5</v>
      </c>
      <c r="Z318" s="2"/>
      <c r="AA318" s="2">
        <v>10</v>
      </c>
      <c r="AB318" s="2">
        <v>10</v>
      </c>
      <c r="AC318" s="2">
        <v>10</v>
      </c>
      <c r="AD318" s="2">
        <v>10</v>
      </c>
      <c r="AE318" s="2">
        <v>10</v>
      </c>
      <c r="AF318" s="2">
        <v>10</v>
      </c>
      <c r="AG318" s="2">
        <v>10</v>
      </c>
      <c r="AH318" s="2">
        <v>10</v>
      </c>
      <c r="AI318" s="2">
        <v>10</v>
      </c>
      <c r="AJ318" s="2">
        <v>10</v>
      </c>
      <c r="AK318" s="3"/>
      <c r="AL318" s="3"/>
      <c r="AM318" s="3"/>
      <c r="AN318" s="3"/>
      <c r="AO318" s="3"/>
      <c r="AP318" s="3"/>
      <c r="AQ318" s="2" t="e">
        <f t="shared" ca="1" si="20"/>
        <v>#NAME?</v>
      </c>
      <c r="AR318" s="2">
        <v>10</v>
      </c>
      <c r="AS318" s="2">
        <v>10</v>
      </c>
      <c r="AT318" s="2">
        <v>10</v>
      </c>
      <c r="AU318" s="2">
        <v>10</v>
      </c>
      <c r="AV318" s="2">
        <v>10</v>
      </c>
      <c r="AW318" s="54">
        <f t="shared" si="114"/>
        <v>10</v>
      </c>
      <c r="AX318" s="48"/>
      <c r="AY318" s="2"/>
      <c r="AZ318" s="2">
        <v>10</v>
      </c>
      <c r="BA318" s="2">
        <v>10</v>
      </c>
      <c r="BB318" s="2">
        <v>10</v>
      </c>
      <c r="BC318" s="2">
        <v>10</v>
      </c>
      <c r="BD318" s="2">
        <v>10</v>
      </c>
      <c r="BE318" s="2">
        <v>10</v>
      </c>
      <c r="BF318" s="2">
        <v>10</v>
      </c>
      <c r="BG318" s="2">
        <v>10</v>
      </c>
      <c r="BH318" s="2">
        <v>10</v>
      </c>
      <c r="BI318" s="2">
        <v>10</v>
      </c>
      <c r="BJ318" s="2" t="e">
        <f t="shared" ca="1" si="21"/>
        <v>#NAME?</v>
      </c>
      <c r="BK318" s="5">
        <v>10</v>
      </c>
      <c r="BL318" s="5">
        <v>10</v>
      </c>
      <c r="BM318" s="5">
        <v>10</v>
      </c>
      <c r="BN318" s="5">
        <v>10</v>
      </c>
      <c r="BO318" s="5">
        <v>10</v>
      </c>
      <c r="BP318" s="54">
        <f t="shared" si="115"/>
        <v>10</v>
      </c>
      <c r="BQ318" s="5"/>
      <c r="BR318" s="5"/>
      <c r="BS318" s="5">
        <v>10</v>
      </c>
      <c r="BT318" s="5">
        <v>10</v>
      </c>
      <c r="BU318" s="5">
        <v>10</v>
      </c>
      <c r="BV318" s="5">
        <v>10</v>
      </c>
      <c r="BW318" s="5">
        <v>9</v>
      </c>
      <c r="BX318" s="5">
        <v>10</v>
      </c>
      <c r="BY318" s="5">
        <v>10</v>
      </c>
      <c r="BZ318" s="5">
        <v>9</v>
      </c>
      <c r="CA318" s="5">
        <v>10</v>
      </c>
      <c r="CB318" s="5">
        <v>10</v>
      </c>
      <c r="CC318" s="2" t="e">
        <f t="shared" ca="1" si="22"/>
        <v>#NAME?</v>
      </c>
      <c r="CD318" s="55"/>
      <c r="CE318" s="2"/>
      <c r="CF318" s="2">
        <v>10</v>
      </c>
      <c r="CG318" s="2">
        <v>10</v>
      </c>
      <c r="CH318" s="2">
        <v>10</v>
      </c>
      <c r="CI318" s="2">
        <v>10</v>
      </c>
      <c r="CJ318" s="2">
        <v>9</v>
      </c>
      <c r="CK318" s="2">
        <v>10</v>
      </c>
      <c r="CL318" s="2">
        <v>10</v>
      </c>
      <c r="CM318" s="2">
        <v>10</v>
      </c>
      <c r="CN318" s="2">
        <v>10</v>
      </c>
      <c r="CO318" s="2">
        <v>10</v>
      </c>
      <c r="CP318" s="2" t="e">
        <f t="shared" ca="1" si="23"/>
        <v>#NAME?</v>
      </c>
      <c r="CQ318" s="2">
        <v>9</v>
      </c>
      <c r="CR318" s="2">
        <v>9</v>
      </c>
      <c r="CS318" s="2">
        <v>10</v>
      </c>
      <c r="CT318" s="2">
        <v>10</v>
      </c>
      <c r="CU318" s="2">
        <v>10</v>
      </c>
      <c r="CV318" s="54">
        <f t="shared" si="116"/>
        <v>10</v>
      </c>
      <c r="CW318" s="55">
        <v>9</v>
      </c>
      <c r="CX318" s="3"/>
    </row>
    <row r="319" spans="1:102" ht="16.5" x14ac:dyDescent="0.55000000000000004">
      <c r="A319" s="17">
        <v>3</v>
      </c>
      <c r="B319" s="17" t="s">
        <v>569</v>
      </c>
      <c r="C319" s="23" t="s">
        <v>678</v>
      </c>
      <c r="D319" s="24" t="s">
        <v>679</v>
      </c>
      <c r="E319" s="48">
        <v>7</v>
      </c>
      <c r="F319" s="2"/>
      <c r="G319" s="2">
        <v>8</v>
      </c>
      <c r="H319" s="2">
        <v>9</v>
      </c>
      <c r="I319" s="2">
        <v>8</v>
      </c>
      <c r="J319" s="2">
        <v>8</v>
      </c>
      <c r="K319" s="2">
        <v>9</v>
      </c>
      <c r="L319" s="2">
        <v>8</v>
      </c>
      <c r="M319" s="2">
        <v>9</v>
      </c>
      <c r="N319" s="2">
        <v>8</v>
      </c>
      <c r="O319" s="2">
        <v>8</v>
      </c>
      <c r="P319" s="2">
        <v>9</v>
      </c>
      <c r="Q319" s="2" t="e">
        <f t="shared" ca="1" si="19"/>
        <v>#NAME?</v>
      </c>
      <c r="R319" s="2">
        <v>9</v>
      </c>
      <c r="S319" s="2">
        <v>10</v>
      </c>
      <c r="T319" s="2">
        <v>10</v>
      </c>
      <c r="U319" s="2">
        <v>9</v>
      </c>
      <c r="V319" s="2">
        <v>9</v>
      </c>
      <c r="W319" s="54">
        <f t="shared" si="113"/>
        <v>10</v>
      </c>
      <c r="X319" s="48">
        <v>10</v>
      </c>
      <c r="Y319" s="2">
        <v>5</v>
      </c>
      <c r="Z319" s="2"/>
      <c r="AA319" s="2">
        <v>10</v>
      </c>
      <c r="AB319" s="2">
        <v>10</v>
      </c>
      <c r="AC319" s="2">
        <v>10</v>
      </c>
      <c r="AD319" s="2">
        <v>10</v>
      </c>
      <c r="AE319" s="2">
        <v>10</v>
      </c>
      <c r="AF319" s="2">
        <v>10</v>
      </c>
      <c r="AG319" s="2">
        <v>10</v>
      </c>
      <c r="AH319" s="2">
        <v>9</v>
      </c>
      <c r="AI319" s="2">
        <v>9</v>
      </c>
      <c r="AJ319" s="2">
        <v>9</v>
      </c>
      <c r="AK319" s="3"/>
      <c r="AL319" s="3"/>
      <c r="AM319" s="3"/>
      <c r="AN319" s="3"/>
      <c r="AO319" s="3"/>
      <c r="AP319" s="3"/>
      <c r="AQ319" s="2" t="e">
        <f t="shared" ca="1" si="20"/>
        <v>#NAME?</v>
      </c>
      <c r="AR319" s="2">
        <v>10</v>
      </c>
      <c r="AS319" s="2">
        <v>10</v>
      </c>
      <c r="AT319" s="2">
        <v>10</v>
      </c>
      <c r="AU319" s="2">
        <v>9</v>
      </c>
      <c r="AV319" s="2">
        <v>9</v>
      </c>
      <c r="AW319" s="54">
        <f t="shared" si="114"/>
        <v>10</v>
      </c>
      <c r="AX319" s="48"/>
      <c r="AY319" s="2"/>
      <c r="AZ319" s="2">
        <v>10</v>
      </c>
      <c r="BA319" s="2">
        <v>10</v>
      </c>
      <c r="BB319" s="2">
        <v>10</v>
      </c>
      <c r="BC319" s="2">
        <v>10</v>
      </c>
      <c r="BD319" s="2">
        <v>10</v>
      </c>
      <c r="BE319" s="2">
        <v>10</v>
      </c>
      <c r="BF319" s="2">
        <v>10</v>
      </c>
      <c r="BG319" s="2">
        <v>10</v>
      </c>
      <c r="BH319" s="2">
        <v>10</v>
      </c>
      <c r="BI319" s="2">
        <v>10</v>
      </c>
      <c r="BJ319" s="2" t="e">
        <f t="shared" ca="1" si="21"/>
        <v>#NAME?</v>
      </c>
      <c r="BK319" s="2">
        <v>10</v>
      </c>
      <c r="BL319" s="2">
        <v>10</v>
      </c>
      <c r="BM319" s="2">
        <v>10</v>
      </c>
      <c r="BN319" s="2">
        <v>10</v>
      </c>
      <c r="BO319" s="2">
        <v>10</v>
      </c>
      <c r="BP319" s="54">
        <f t="shared" si="115"/>
        <v>10</v>
      </c>
      <c r="BQ319" s="5"/>
      <c r="BR319" s="5"/>
      <c r="BS319" s="5">
        <v>8</v>
      </c>
      <c r="BT319" s="5">
        <v>8</v>
      </c>
      <c r="BU319" s="5">
        <v>9</v>
      </c>
      <c r="BV319" s="5">
        <v>9</v>
      </c>
      <c r="BW319" s="5">
        <v>10</v>
      </c>
      <c r="BX319" s="5">
        <v>10</v>
      </c>
      <c r="BY319" s="5">
        <v>10</v>
      </c>
      <c r="BZ319" s="5">
        <v>10</v>
      </c>
      <c r="CA319" s="5">
        <v>10</v>
      </c>
      <c r="CB319" s="5">
        <v>10</v>
      </c>
      <c r="CC319" s="2" t="e">
        <f t="shared" ca="1" si="22"/>
        <v>#NAME?</v>
      </c>
      <c r="CD319" s="55"/>
      <c r="CE319" s="2"/>
      <c r="CF319" s="2">
        <v>7</v>
      </c>
      <c r="CG319" s="2">
        <v>8</v>
      </c>
      <c r="CH319" s="2">
        <v>8</v>
      </c>
      <c r="CI319" s="2">
        <v>10</v>
      </c>
      <c r="CJ319" s="2">
        <v>10</v>
      </c>
      <c r="CK319" s="2">
        <v>10</v>
      </c>
      <c r="CL319" s="2">
        <v>10</v>
      </c>
      <c r="CM319" s="2">
        <v>9</v>
      </c>
      <c r="CN319" s="2">
        <v>10</v>
      </c>
      <c r="CO319" s="2">
        <v>10</v>
      </c>
      <c r="CP319" s="2" t="e">
        <f t="shared" ca="1" si="23"/>
        <v>#NAME?</v>
      </c>
      <c r="CQ319" s="2">
        <v>7</v>
      </c>
      <c r="CR319" s="2">
        <v>10</v>
      </c>
      <c r="CS319" s="2">
        <v>10</v>
      </c>
      <c r="CT319" s="2">
        <v>10</v>
      </c>
      <c r="CU319" s="2">
        <v>10</v>
      </c>
      <c r="CV319" s="54">
        <f t="shared" si="116"/>
        <v>10</v>
      </c>
      <c r="CW319" s="55">
        <v>16</v>
      </c>
      <c r="CX319" s="3"/>
    </row>
    <row r="320" spans="1:102" ht="16.5" x14ac:dyDescent="0.55000000000000004">
      <c r="A320" s="16">
        <v>3</v>
      </c>
      <c r="B320" s="16" t="s">
        <v>569</v>
      </c>
      <c r="C320" s="60" t="s">
        <v>680</v>
      </c>
      <c r="D320" s="18" t="s">
        <v>681</v>
      </c>
      <c r="E320" s="62" t="s">
        <v>31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>
        <f>IFERROR(ROUNDUP(AVERAGE(G320:P320),0),0)</f>
        <v>0</v>
      </c>
      <c r="R320" s="10"/>
      <c r="S320" s="10"/>
      <c r="T320" s="10"/>
      <c r="U320" s="10"/>
      <c r="V320" s="10"/>
      <c r="W320" s="63">
        <f t="shared" si="113"/>
        <v>0</v>
      </c>
      <c r="X320" s="62">
        <v>0</v>
      </c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1"/>
      <c r="AL320" s="11"/>
      <c r="AM320" s="11"/>
      <c r="AN320" s="11"/>
      <c r="AO320" s="11"/>
      <c r="AP320" s="11"/>
      <c r="AQ320" s="10">
        <f>IFERROR(ROUNDUP(AVERAGE(AA320:AP320),0),0)</f>
        <v>0</v>
      </c>
      <c r="AR320" s="10"/>
      <c r="AS320" s="10"/>
      <c r="AT320" s="10"/>
      <c r="AU320" s="10"/>
      <c r="AV320" s="10"/>
      <c r="AW320" s="63">
        <f t="shared" si="114"/>
        <v>0</v>
      </c>
      <c r="AX320" s="62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64"/>
      <c r="BJ320" s="10">
        <f>IFERROR(ROUNDUP(AVERAGE(AZ320:BI320),0),0)</f>
        <v>0</v>
      </c>
      <c r="BK320" s="12"/>
      <c r="BL320" s="12"/>
      <c r="BM320" s="12"/>
      <c r="BN320" s="12"/>
      <c r="BO320" s="12"/>
      <c r="BP320" s="63">
        <f t="shared" si="115"/>
        <v>0</v>
      </c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0">
        <f>IFERROR(ROUNDUP(AVERAGE(BS320:CB320),0),0)</f>
        <v>0</v>
      </c>
      <c r="CD320" s="65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>
        <f>IFERROR(ROUNDUP(AVERAGE(CF320:CO320),0),0)</f>
        <v>0</v>
      </c>
      <c r="CQ320" s="10"/>
      <c r="CR320" s="10"/>
      <c r="CS320" s="10"/>
      <c r="CT320" s="10"/>
      <c r="CU320" s="10"/>
      <c r="CV320" s="63">
        <f t="shared" si="116"/>
        <v>0</v>
      </c>
      <c r="CW320" s="65" t="s">
        <v>31</v>
      </c>
      <c r="CX320" s="11"/>
    </row>
    <row r="321" spans="1:102" ht="16.5" x14ac:dyDescent="0.55000000000000004">
      <c r="A321" s="17">
        <v>3</v>
      </c>
      <c r="B321" s="17" t="s">
        <v>569</v>
      </c>
      <c r="C321" s="23" t="s">
        <v>682</v>
      </c>
      <c r="D321" s="24" t="s">
        <v>683</v>
      </c>
      <c r="E321" s="48" t="s">
        <v>31</v>
      </c>
      <c r="F321" s="2"/>
      <c r="G321" s="2">
        <v>9</v>
      </c>
      <c r="H321" s="2">
        <v>10</v>
      </c>
      <c r="I321" s="2"/>
      <c r="J321" s="2"/>
      <c r="K321" s="2"/>
      <c r="L321" s="2">
        <v>9</v>
      </c>
      <c r="M321" s="2">
        <v>10</v>
      </c>
      <c r="N321" s="2"/>
      <c r="O321" s="2"/>
      <c r="P321" s="2"/>
      <c r="Q321" s="2" t="e">
        <f t="shared" ref="Q321:Q365" ca="1" si="122">_xludf.let(a,IFERROR(AVERAGE(G321:P321),0),ROUND(MAP(a, LAMBDA(x, 5 + (x * 0.5))),0))</f>
        <v>#NAME?</v>
      </c>
      <c r="R321" s="2">
        <v>10</v>
      </c>
      <c r="S321" s="2"/>
      <c r="T321" s="2"/>
      <c r="U321" s="2"/>
      <c r="V321" s="2"/>
      <c r="W321" s="54">
        <f t="shared" si="113"/>
        <v>10</v>
      </c>
      <c r="X321" s="48">
        <v>0</v>
      </c>
      <c r="Y321" s="2"/>
      <c r="Z321" s="2"/>
      <c r="AA321" s="2">
        <v>7</v>
      </c>
      <c r="AB321" s="2">
        <v>8</v>
      </c>
      <c r="AC321" s="2">
        <v>8</v>
      </c>
      <c r="AD321" s="2">
        <v>8</v>
      </c>
      <c r="AE321" s="2">
        <v>9</v>
      </c>
      <c r="AF321" s="2">
        <v>9</v>
      </c>
      <c r="AG321" s="2">
        <v>9</v>
      </c>
      <c r="AH321" s="2">
        <v>7</v>
      </c>
      <c r="AI321" s="2">
        <v>7</v>
      </c>
      <c r="AJ321" s="2">
        <v>7</v>
      </c>
      <c r="AK321" s="3"/>
      <c r="AL321" s="3"/>
      <c r="AM321" s="3"/>
      <c r="AN321" s="3"/>
      <c r="AO321" s="3"/>
      <c r="AP321" s="3"/>
      <c r="AQ321" s="2" t="e">
        <f t="shared" ref="AQ321:AQ365" ca="1" si="123">_xludf.let(a,IFERROR(AVERAGE(AA321:AP321),0),ROUND(MAP(a, LAMBDA(x, 5 + (x * 0.5))),0))</f>
        <v>#NAME?</v>
      </c>
      <c r="AR321" s="2">
        <v>8</v>
      </c>
      <c r="AS321" s="2">
        <v>8</v>
      </c>
      <c r="AT321" s="2">
        <v>7</v>
      </c>
      <c r="AU321" s="2">
        <v>7</v>
      </c>
      <c r="AV321" s="2">
        <v>7</v>
      </c>
      <c r="AW321" s="54">
        <f t="shared" si="114"/>
        <v>8</v>
      </c>
      <c r="AX321" s="48"/>
      <c r="AY321" s="2"/>
      <c r="AZ321" s="2">
        <v>7</v>
      </c>
      <c r="BA321" s="2">
        <v>7</v>
      </c>
      <c r="BB321" s="2">
        <v>7</v>
      </c>
      <c r="BC321" s="2">
        <v>7</v>
      </c>
      <c r="BD321" s="2">
        <v>7</v>
      </c>
      <c r="BE321" s="2">
        <v>7</v>
      </c>
      <c r="BF321" s="2">
        <v>7</v>
      </c>
      <c r="BG321" s="2">
        <v>7</v>
      </c>
      <c r="BH321" s="2">
        <v>7</v>
      </c>
      <c r="BI321" s="57">
        <v>7</v>
      </c>
      <c r="BJ321" s="2" t="e">
        <f t="shared" ref="BJ321:BJ365" ca="1" si="124">_xludf.let(a,IFERROR(AVERAGE(AZ321:BI321),0),ROUND(MAP(a, LAMBDA(x, 5 + (x * 0.5))),0))</f>
        <v>#NAME?</v>
      </c>
      <c r="BK321" s="5">
        <v>9</v>
      </c>
      <c r="BL321" s="5">
        <v>9</v>
      </c>
      <c r="BM321" s="5">
        <v>6</v>
      </c>
      <c r="BN321" s="5">
        <v>7</v>
      </c>
      <c r="BO321" s="5">
        <v>6</v>
      </c>
      <c r="BP321" s="54">
        <f t="shared" si="115"/>
        <v>8</v>
      </c>
      <c r="BQ321" s="5"/>
      <c r="BR321" s="5"/>
      <c r="BS321" s="5">
        <v>5</v>
      </c>
      <c r="BT321" s="5">
        <v>6</v>
      </c>
      <c r="BU321" s="5">
        <v>6</v>
      </c>
      <c r="BV321" s="5">
        <v>7</v>
      </c>
      <c r="BW321" s="5">
        <v>7</v>
      </c>
      <c r="BX321" s="5">
        <v>8</v>
      </c>
      <c r="BY321" s="5">
        <v>8</v>
      </c>
      <c r="BZ321" s="5">
        <v>9</v>
      </c>
      <c r="CA321" s="5">
        <v>9</v>
      </c>
      <c r="CB321" s="5">
        <v>10</v>
      </c>
      <c r="CC321" s="2" t="e">
        <f t="shared" ref="CC321:CC365" ca="1" si="125">_xludf.let(a,IFERROR(AVERAGE(BS321:CB321),0),ROUND(MAP(a, LAMBDA(x, 5 + (x * 0.5))),0))</f>
        <v>#NAME?</v>
      </c>
      <c r="CD321" s="55"/>
      <c r="CE321" s="2"/>
      <c r="CF321" s="2">
        <v>5</v>
      </c>
      <c r="CG321" s="2">
        <v>5</v>
      </c>
      <c r="CH321" s="2">
        <v>5</v>
      </c>
      <c r="CI321" s="2">
        <v>5</v>
      </c>
      <c r="CJ321" s="2">
        <v>5</v>
      </c>
      <c r="CK321" s="2">
        <v>5</v>
      </c>
      <c r="CL321" s="2">
        <v>5</v>
      </c>
      <c r="CM321" s="2">
        <v>5</v>
      </c>
      <c r="CN321" s="2">
        <v>5</v>
      </c>
      <c r="CO321" s="2">
        <v>5</v>
      </c>
      <c r="CP321" s="2" t="e">
        <f t="shared" ref="CP321:CP365" ca="1" si="126">_xludf.let(a,IFERROR(AVERAGE(CF321:CO321),0),ROUND(MAP(a, LAMBDA(x, 5 + (x * 0.5))),0))</f>
        <v>#NAME?</v>
      </c>
      <c r="CQ321" s="2">
        <v>5</v>
      </c>
      <c r="CR321" s="2">
        <v>5</v>
      </c>
      <c r="CS321" s="2">
        <v>5</v>
      </c>
      <c r="CT321" s="2">
        <v>5</v>
      </c>
      <c r="CU321" s="2">
        <v>5</v>
      </c>
      <c r="CV321" s="54">
        <f t="shared" si="116"/>
        <v>5</v>
      </c>
      <c r="CW321" s="55">
        <v>0</v>
      </c>
      <c r="CX321" s="3"/>
    </row>
    <row r="322" spans="1:102" ht="16.5" x14ac:dyDescent="0.55000000000000004">
      <c r="A322" s="17">
        <v>3</v>
      </c>
      <c r="B322" s="17" t="s">
        <v>569</v>
      </c>
      <c r="C322" s="23" t="s">
        <v>684</v>
      </c>
      <c r="D322" s="24" t="s">
        <v>685</v>
      </c>
      <c r="E322" s="48" t="s">
        <v>31</v>
      </c>
      <c r="F322" s="2"/>
      <c r="G322" s="2">
        <v>9</v>
      </c>
      <c r="H322" s="2">
        <v>10</v>
      </c>
      <c r="I322" s="2">
        <v>7</v>
      </c>
      <c r="J322" s="2">
        <v>8</v>
      </c>
      <c r="K322" s="2">
        <v>9</v>
      </c>
      <c r="L322" s="2">
        <v>9</v>
      </c>
      <c r="M322" s="2">
        <v>10</v>
      </c>
      <c r="N322" s="2">
        <v>7</v>
      </c>
      <c r="O322" s="2">
        <v>8</v>
      </c>
      <c r="P322" s="2">
        <v>9</v>
      </c>
      <c r="Q322" s="2" t="e">
        <f t="shared" ca="1" si="122"/>
        <v>#NAME?</v>
      </c>
      <c r="R322" s="2">
        <v>9</v>
      </c>
      <c r="S322" s="2">
        <v>10</v>
      </c>
      <c r="T322" s="2">
        <v>9</v>
      </c>
      <c r="U322" s="2">
        <v>9</v>
      </c>
      <c r="V322" s="2">
        <v>10</v>
      </c>
      <c r="W322" s="54">
        <f t="shared" si="113"/>
        <v>10</v>
      </c>
      <c r="X322" s="48">
        <v>0</v>
      </c>
      <c r="Y322" s="2">
        <v>5</v>
      </c>
      <c r="Z322" s="2"/>
      <c r="AA322" s="2">
        <v>10</v>
      </c>
      <c r="AB322" s="2">
        <v>10</v>
      </c>
      <c r="AC322" s="2">
        <v>10</v>
      </c>
      <c r="AD322" s="2">
        <v>10</v>
      </c>
      <c r="AE322" s="2">
        <v>10</v>
      </c>
      <c r="AF322" s="2">
        <v>10</v>
      </c>
      <c r="AG322" s="2">
        <v>10</v>
      </c>
      <c r="AH322" s="2">
        <v>10</v>
      </c>
      <c r="AI322" s="2">
        <v>10</v>
      </c>
      <c r="AJ322" s="2">
        <v>10</v>
      </c>
      <c r="AK322" s="3"/>
      <c r="AL322" s="3"/>
      <c r="AM322" s="3"/>
      <c r="AN322" s="3"/>
      <c r="AO322" s="3"/>
      <c r="AP322" s="3"/>
      <c r="AQ322" s="2" t="e">
        <f t="shared" ca="1" si="123"/>
        <v>#NAME?</v>
      </c>
      <c r="AR322" s="2">
        <v>10</v>
      </c>
      <c r="AS322" s="2">
        <v>10</v>
      </c>
      <c r="AT322" s="2">
        <v>10</v>
      </c>
      <c r="AU322" s="2">
        <v>10</v>
      </c>
      <c r="AV322" s="2">
        <v>10</v>
      </c>
      <c r="AW322" s="54">
        <f t="shared" si="114"/>
        <v>10</v>
      </c>
      <c r="AX322" s="48"/>
      <c r="AY322" s="2"/>
      <c r="AZ322" s="2">
        <v>9</v>
      </c>
      <c r="BA322" s="2">
        <v>9</v>
      </c>
      <c r="BB322" s="2">
        <v>9</v>
      </c>
      <c r="BC322" s="2">
        <v>9</v>
      </c>
      <c r="BD322" s="2">
        <v>9</v>
      </c>
      <c r="BE322" s="2">
        <v>8</v>
      </c>
      <c r="BF322" s="2">
        <v>8</v>
      </c>
      <c r="BG322" s="2">
        <v>10</v>
      </c>
      <c r="BH322" s="2">
        <v>8</v>
      </c>
      <c r="BI322" s="57">
        <v>8</v>
      </c>
      <c r="BJ322" s="2" t="e">
        <f t="shared" ca="1" si="124"/>
        <v>#NAME?</v>
      </c>
      <c r="BK322" s="5">
        <v>10</v>
      </c>
      <c r="BL322" s="5">
        <v>9</v>
      </c>
      <c r="BM322" s="5">
        <v>8</v>
      </c>
      <c r="BN322" s="5">
        <v>8</v>
      </c>
      <c r="BO322" s="5">
        <v>8</v>
      </c>
      <c r="BP322" s="54">
        <f t="shared" si="115"/>
        <v>9</v>
      </c>
      <c r="BQ322" s="5"/>
      <c r="BR322" s="5"/>
      <c r="BS322" s="5">
        <v>5</v>
      </c>
      <c r="BT322" s="5">
        <v>5</v>
      </c>
      <c r="BU322" s="5">
        <v>5</v>
      </c>
      <c r="BV322" s="5">
        <v>6</v>
      </c>
      <c r="BW322" s="5">
        <v>6</v>
      </c>
      <c r="BX322" s="5">
        <v>7</v>
      </c>
      <c r="BY322" s="5">
        <v>7</v>
      </c>
      <c r="BZ322" s="5">
        <v>8</v>
      </c>
      <c r="CA322" s="5">
        <v>8</v>
      </c>
      <c r="CB322" s="5">
        <v>10</v>
      </c>
      <c r="CC322" s="2" t="e">
        <f t="shared" ca="1" si="125"/>
        <v>#NAME?</v>
      </c>
      <c r="CD322" s="55"/>
      <c r="CE322" s="2"/>
      <c r="CF322" s="2">
        <v>6</v>
      </c>
      <c r="CG322" s="2">
        <v>6</v>
      </c>
      <c r="CH322" s="2">
        <v>7</v>
      </c>
      <c r="CI322" s="2">
        <v>7</v>
      </c>
      <c r="CJ322" s="2">
        <v>8</v>
      </c>
      <c r="CK322" s="2">
        <v>9</v>
      </c>
      <c r="CL322" s="2">
        <v>9</v>
      </c>
      <c r="CM322" s="2">
        <v>7</v>
      </c>
      <c r="CN322" s="2">
        <v>9</v>
      </c>
      <c r="CO322" s="2">
        <v>9</v>
      </c>
      <c r="CP322" s="2" t="e">
        <f t="shared" ca="1" si="126"/>
        <v>#NAME?</v>
      </c>
      <c r="CQ322" s="2">
        <v>6</v>
      </c>
      <c r="CR322" s="2">
        <v>7</v>
      </c>
      <c r="CS322" s="2">
        <v>8</v>
      </c>
      <c r="CT322" s="2">
        <v>9</v>
      </c>
      <c r="CU322" s="2">
        <v>10</v>
      </c>
      <c r="CV322" s="54">
        <f t="shared" si="116"/>
        <v>8</v>
      </c>
      <c r="CW322" s="55">
        <v>3</v>
      </c>
      <c r="CX322" s="3"/>
    </row>
    <row r="323" spans="1:102" ht="16.5" x14ac:dyDescent="0.55000000000000004">
      <c r="A323" s="17">
        <v>3</v>
      </c>
      <c r="B323" s="17" t="s">
        <v>569</v>
      </c>
      <c r="C323" s="23" t="s">
        <v>686</v>
      </c>
      <c r="D323" s="24" t="s">
        <v>687</v>
      </c>
      <c r="E323" s="48">
        <v>6</v>
      </c>
      <c r="F323" s="2"/>
      <c r="G323" s="2">
        <v>10</v>
      </c>
      <c r="H323" s="2">
        <v>10</v>
      </c>
      <c r="I323" s="2">
        <v>8</v>
      </c>
      <c r="J323" s="2">
        <v>10</v>
      </c>
      <c r="K323" s="2">
        <v>10</v>
      </c>
      <c r="L323" s="2">
        <v>10</v>
      </c>
      <c r="M323" s="2">
        <v>10</v>
      </c>
      <c r="N323" s="2">
        <v>8</v>
      </c>
      <c r="O323" s="2">
        <v>10</v>
      </c>
      <c r="P323" s="2">
        <v>10</v>
      </c>
      <c r="Q323" s="2" t="e">
        <f t="shared" ca="1" si="122"/>
        <v>#NAME?</v>
      </c>
      <c r="R323" s="2">
        <v>10</v>
      </c>
      <c r="S323" s="2">
        <v>10</v>
      </c>
      <c r="T323" s="2">
        <v>8</v>
      </c>
      <c r="U323" s="2">
        <v>9</v>
      </c>
      <c r="V323" s="2">
        <v>10</v>
      </c>
      <c r="W323" s="54">
        <f t="shared" si="113"/>
        <v>10</v>
      </c>
      <c r="X323" s="48">
        <v>0</v>
      </c>
      <c r="Y323" s="2">
        <v>7</v>
      </c>
      <c r="Z323" s="2"/>
      <c r="AA323" s="2">
        <v>10</v>
      </c>
      <c r="AB323" s="2">
        <v>10</v>
      </c>
      <c r="AC323" s="2">
        <v>10</v>
      </c>
      <c r="AD323" s="2">
        <v>10</v>
      </c>
      <c r="AE323" s="2">
        <v>10</v>
      </c>
      <c r="AF323" s="2">
        <v>10</v>
      </c>
      <c r="AG323" s="2">
        <v>10</v>
      </c>
      <c r="AH323" s="2">
        <v>10</v>
      </c>
      <c r="AI323" s="2">
        <v>10</v>
      </c>
      <c r="AJ323" s="2">
        <v>10</v>
      </c>
      <c r="AK323" s="3"/>
      <c r="AL323" s="3"/>
      <c r="AM323" s="3"/>
      <c r="AN323" s="3"/>
      <c r="AO323" s="3"/>
      <c r="AP323" s="3"/>
      <c r="AQ323" s="2" t="e">
        <f t="shared" ca="1" si="123"/>
        <v>#NAME?</v>
      </c>
      <c r="AR323" s="2">
        <v>10</v>
      </c>
      <c r="AS323" s="2">
        <v>10</v>
      </c>
      <c r="AT323" s="2">
        <v>10</v>
      </c>
      <c r="AU323" s="2">
        <v>10</v>
      </c>
      <c r="AV323" s="2">
        <v>10</v>
      </c>
      <c r="AW323" s="54">
        <f t="shared" si="114"/>
        <v>10</v>
      </c>
      <c r="AX323" s="48"/>
      <c r="AY323" s="2"/>
      <c r="AZ323" s="2">
        <v>10</v>
      </c>
      <c r="BA323" s="2">
        <v>10</v>
      </c>
      <c r="BB323" s="2">
        <v>10</v>
      </c>
      <c r="BC323" s="2">
        <v>10</v>
      </c>
      <c r="BD323" s="2">
        <v>10</v>
      </c>
      <c r="BE323" s="2">
        <v>10</v>
      </c>
      <c r="BF323" s="2">
        <v>10</v>
      </c>
      <c r="BG323" s="2">
        <v>10</v>
      </c>
      <c r="BH323" s="2">
        <v>10</v>
      </c>
      <c r="BI323" s="2">
        <v>10</v>
      </c>
      <c r="BJ323" s="2" t="e">
        <f t="shared" ca="1" si="124"/>
        <v>#NAME?</v>
      </c>
      <c r="BK323" s="2">
        <v>10</v>
      </c>
      <c r="BL323" s="2">
        <v>10</v>
      </c>
      <c r="BM323" s="2">
        <v>10</v>
      </c>
      <c r="BN323" s="2">
        <v>10</v>
      </c>
      <c r="BO323" s="5">
        <v>10</v>
      </c>
      <c r="BP323" s="54">
        <f t="shared" si="115"/>
        <v>10</v>
      </c>
      <c r="BQ323" s="5"/>
      <c r="BR323" s="5"/>
      <c r="BS323" s="5">
        <v>10</v>
      </c>
      <c r="BT323" s="5">
        <v>10</v>
      </c>
      <c r="BU323" s="5">
        <v>10</v>
      </c>
      <c r="BV323" s="5">
        <v>10</v>
      </c>
      <c r="BW323" s="5">
        <v>9</v>
      </c>
      <c r="BX323" s="5">
        <v>10</v>
      </c>
      <c r="BY323" s="5">
        <v>9</v>
      </c>
      <c r="BZ323" s="5">
        <v>9</v>
      </c>
      <c r="CA323" s="5">
        <v>10</v>
      </c>
      <c r="CB323" s="5">
        <v>10</v>
      </c>
      <c r="CC323" s="2" t="e">
        <f t="shared" ca="1" si="125"/>
        <v>#NAME?</v>
      </c>
      <c r="CD323" s="55"/>
      <c r="CE323" s="2"/>
      <c r="CF323" s="2">
        <v>10</v>
      </c>
      <c r="CG323" s="2">
        <v>10</v>
      </c>
      <c r="CH323" s="2">
        <v>10</v>
      </c>
      <c r="CI323" s="2">
        <v>10</v>
      </c>
      <c r="CJ323" s="2">
        <v>10</v>
      </c>
      <c r="CK323" s="2">
        <v>10</v>
      </c>
      <c r="CL323" s="2">
        <v>10</v>
      </c>
      <c r="CM323" s="2">
        <v>10</v>
      </c>
      <c r="CN323" s="2">
        <v>10</v>
      </c>
      <c r="CO323" s="2">
        <v>10</v>
      </c>
      <c r="CP323" s="2" t="e">
        <f t="shared" ca="1" si="126"/>
        <v>#NAME?</v>
      </c>
      <c r="CQ323" s="2">
        <v>9</v>
      </c>
      <c r="CR323" s="2">
        <v>8</v>
      </c>
      <c r="CS323" s="2">
        <v>9</v>
      </c>
      <c r="CT323" s="2">
        <v>10</v>
      </c>
      <c r="CU323" s="2">
        <v>10</v>
      </c>
      <c r="CV323" s="54">
        <f t="shared" si="116"/>
        <v>10</v>
      </c>
      <c r="CW323" s="55">
        <v>10</v>
      </c>
      <c r="CX323" s="3"/>
    </row>
    <row r="324" spans="1:102" ht="16.5" x14ac:dyDescent="0.55000000000000004">
      <c r="A324" s="17">
        <v>3</v>
      </c>
      <c r="B324" s="17" t="s">
        <v>569</v>
      </c>
      <c r="C324" s="23" t="s">
        <v>688</v>
      </c>
      <c r="D324" s="24" t="s">
        <v>689</v>
      </c>
      <c r="E324" s="48">
        <v>10</v>
      </c>
      <c r="F324" s="2"/>
      <c r="G324" s="2">
        <v>9</v>
      </c>
      <c r="H324" s="2">
        <v>10</v>
      </c>
      <c r="I324" s="2">
        <v>10</v>
      </c>
      <c r="J324" s="2">
        <v>10</v>
      </c>
      <c r="K324" s="2">
        <v>10</v>
      </c>
      <c r="L324" s="2">
        <v>9</v>
      </c>
      <c r="M324" s="2">
        <v>10</v>
      </c>
      <c r="N324" s="2">
        <v>10</v>
      </c>
      <c r="O324" s="2">
        <v>10</v>
      </c>
      <c r="P324" s="2">
        <v>10</v>
      </c>
      <c r="Q324" s="2" t="e">
        <f t="shared" ca="1" si="122"/>
        <v>#NAME?</v>
      </c>
      <c r="R324" s="2">
        <v>9</v>
      </c>
      <c r="S324" s="2">
        <v>10</v>
      </c>
      <c r="T324" s="2">
        <v>10</v>
      </c>
      <c r="U324" s="2">
        <v>10</v>
      </c>
      <c r="V324" s="2">
        <v>10</v>
      </c>
      <c r="W324" s="54">
        <f t="shared" si="113"/>
        <v>10</v>
      </c>
      <c r="X324" s="48">
        <v>10</v>
      </c>
      <c r="Y324" s="2">
        <v>9</v>
      </c>
      <c r="Z324" s="2"/>
      <c r="AA324" s="2">
        <v>10</v>
      </c>
      <c r="AB324" s="2">
        <v>10</v>
      </c>
      <c r="AC324" s="2">
        <v>10</v>
      </c>
      <c r="AD324" s="2">
        <v>10</v>
      </c>
      <c r="AE324" s="2">
        <v>10</v>
      </c>
      <c r="AF324" s="2">
        <v>10</v>
      </c>
      <c r="AG324" s="2">
        <v>10</v>
      </c>
      <c r="AH324" s="2">
        <v>10</v>
      </c>
      <c r="AI324" s="2">
        <v>10</v>
      </c>
      <c r="AJ324" s="2">
        <v>10</v>
      </c>
      <c r="AK324" s="3"/>
      <c r="AL324" s="3"/>
      <c r="AM324" s="3"/>
      <c r="AN324" s="3"/>
      <c r="AO324" s="3"/>
      <c r="AP324" s="3"/>
      <c r="AQ324" s="2" t="e">
        <f t="shared" ca="1" si="123"/>
        <v>#NAME?</v>
      </c>
      <c r="AR324" s="2">
        <v>10</v>
      </c>
      <c r="AS324" s="2">
        <v>10</v>
      </c>
      <c r="AT324" s="2">
        <v>10</v>
      </c>
      <c r="AU324" s="2">
        <v>10</v>
      </c>
      <c r="AV324" s="2">
        <v>10</v>
      </c>
      <c r="AW324" s="54">
        <f t="shared" si="114"/>
        <v>10</v>
      </c>
      <c r="AX324" s="48"/>
      <c r="AY324" s="2"/>
      <c r="AZ324" s="2">
        <v>10</v>
      </c>
      <c r="BA324" s="2">
        <v>10</v>
      </c>
      <c r="BB324" s="2">
        <v>10</v>
      </c>
      <c r="BC324" s="5">
        <v>10</v>
      </c>
      <c r="BD324" s="5">
        <v>10</v>
      </c>
      <c r="BE324" s="5">
        <v>10</v>
      </c>
      <c r="BF324" s="5">
        <v>10</v>
      </c>
      <c r="BG324" s="5">
        <v>10</v>
      </c>
      <c r="BH324" s="5">
        <v>10</v>
      </c>
      <c r="BI324" s="5">
        <v>10</v>
      </c>
      <c r="BJ324" s="2" t="e">
        <f t="shared" ca="1" si="124"/>
        <v>#NAME?</v>
      </c>
      <c r="BK324" s="2">
        <v>10</v>
      </c>
      <c r="BL324" s="2">
        <v>10</v>
      </c>
      <c r="BM324" s="5">
        <v>10</v>
      </c>
      <c r="BN324" s="5">
        <v>10</v>
      </c>
      <c r="BO324" s="5">
        <v>10</v>
      </c>
      <c r="BP324" s="54">
        <f t="shared" si="115"/>
        <v>10</v>
      </c>
      <c r="BQ324" s="5"/>
      <c r="BR324" s="5"/>
      <c r="BS324" s="5">
        <v>10</v>
      </c>
      <c r="BT324" s="5">
        <v>10</v>
      </c>
      <c r="BU324" s="5">
        <v>10</v>
      </c>
      <c r="BV324" s="5">
        <v>10</v>
      </c>
      <c r="BW324" s="5">
        <v>9</v>
      </c>
      <c r="BX324" s="5">
        <v>10</v>
      </c>
      <c r="BY324" s="5">
        <v>10</v>
      </c>
      <c r="BZ324" s="5">
        <v>9</v>
      </c>
      <c r="CA324" s="5">
        <v>10</v>
      </c>
      <c r="CB324" s="5">
        <v>10</v>
      </c>
      <c r="CC324" s="2" t="e">
        <f t="shared" ca="1" si="125"/>
        <v>#NAME?</v>
      </c>
      <c r="CD324" s="55"/>
      <c r="CE324" s="2"/>
      <c r="CF324" s="2">
        <v>10</v>
      </c>
      <c r="CG324" s="2">
        <v>10</v>
      </c>
      <c r="CH324" s="2">
        <v>10</v>
      </c>
      <c r="CI324" s="2">
        <v>10</v>
      </c>
      <c r="CJ324" s="2">
        <v>10</v>
      </c>
      <c r="CK324" s="2">
        <v>10</v>
      </c>
      <c r="CL324" s="2">
        <v>10</v>
      </c>
      <c r="CM324" s="2">
        <v>10</v>
      </c>
      <c r="CN324" s="2">
        <v>10</v>
      </c>
      <c r="CO324" s="2">
        <v>10</v>
      </c>
      <c r="CP324" s="2" t="e">
        <f t="shared" ca="1" si="126"/>
        <v>#NAME?</v>
      </c>
      <c r="CQ324" s="2">
        <v>10</v>
      </c>
      <c r="CR324" s="2">
        <v>9</v>
      </c>
      <c r="CS324" s="2">
        <v>10</v>
      </c>
      <c r="CT324" s="2">
        <v>10</v>
      </c>
      <c r="CU324" s="2">
        <v>10</v>
      </c>
      <c r="CV324" s="54">
        <f t="shared" si="116"/>
        <v>10</v>
      </c>
      <c r="CW324" s="55">
        <v>20</v>
      </c>
      <c r="CX324" s="3"/>
    </row>
    <row r="325" spans="1:102" ht="16.5" x14ac:dyDescent="0.55000000000000004">
      <c r="A325" s="17">
        <v>3</v>
      </c>
      <c r="B325" s="17" t="s">
        <v>569</v>
      </c>
      <c r="C325" s="23" t="s">
        <v>690</v>
      </c>
      <c r="D325" s="24" t="s">
        <v>691</v>
      </c>
      <c r="E325" s="48">
        <v>2</v>
      </c>
      <c r="F325" s="2"/>
      <c r="G325" s="2">
        <v>10</v>
      </c>
      <c r="H325" s="2">
        <v>8</v>
      </c>
      <c r="I325" s="2">
        <v>9</v>
      </c>
      <c r="J325" s="2">
        <v>10</v>
      </c>
      <c r="K325" s="2">
        <v>10</v>
      </c>
      <c r="L325" s="2">
        <v>10</v>
      </c>
      <c r="M325" s="2">
        <v>8</v>
      </c>
      <c r="N325" s="2">
        <v>9</v>
      </c>
      <c r="O325" s="2">
        <v>10</v>
      </c>
      <c r="P325" s="2">
        <v>10</v>
      </c>
      <c r="Q325" s="2" t="e">
        <f t="shared" ca="1" si="122"/>
        <v>#NAME?</v>
      </c>
      <c r="R325" s="2">
        <v>9</v>
      </c>
      <c r="S325" s="2">
        <v>10</v>
      </c>
      <c r="T325" s="2">
        <v>10</v>
      </c>
      <c r="U325" s="2">
        <v>9</v>
      </c>
      <c r="V325" s="2">
        <v>10</v>
      </c>
      <c r="W325" s="54">
        <f t="shared" si="113"/>
        <v>10</v>
      </c>
      <c r="X325" s="48">
        <v>0</v>
      </c>
      <c r="Y325" s="2">
        <v>8</v>
      </c>
      <c r="Z325" s="2"/>
      <c r="AA325" s="2">
        <v>10</v>
      </c>
      <c r="AB325" s="2">
        <v>10</v>
      </c>
      <c r="AC325" s="2">
        <v>10</v>
      </c>
      <c r="AD325" s="2">
        <v>10</v>
      </c>
      <c r="AE325" s="2">
        <v>10</v>
      </c>
      <c r="AF325" s="2">
        <v>10</v>
      </c>
      <c r="AG325" s="2">
        <v>10</v>
      </c>
      <c r="AH325" s="2">
        <v>10</v>
      </c>
      <c r="AI325" s="2">
        <v>10</v>
      </c>
      <c r="AJ325" s="2">
        <v>10</v>
      </c>
      <c r="AK325" s="3"/>
      <c r="AL325" s="3"/>
      <c r="AM325" s="3"/>
      <c r="AN325" s="3"/>
      <c r="AO325" s="3"/>
      <c r="AP325" s="3"/>
      <c r="AQ325" s="2" t="e">
        <f t="shared" ca="1" si="123"/>
        <v>#NAME?</v>
      </c>
      <c r="AR325" s="2">
        <v>10</v>
      </c>
      <c r="AS325" s="2">
        <v>10</v>
      </c>
      <c r="AT325" s="2">
        <v>10</v>
      </c>
      <c r="AU325" s="2">
        <v>10</v>
      </c>
      <c r="AV325" s="2">
        <v>10</v>
      </c>
      <c r="AW325" s="54">
        <f t="shared" si="114"/>
        <v>10</v>
      </c>
      <c r="AX325" s="48"/>
      <c r="AY325" s="2"/>
      <c r="AZ325" s="2">
        <v>10</v>
      </c>
      <c r="BA325" s="2">
        <v>10</v>
      </c>
      <c r="BB325" s="2">
        <v>10</v>
      </c>
      <c r="BC325" s="2">
        <v>10</v>
      </c>
      <c r="BD325" s="2">
        <v>10</v>
      </c>
      <c r="BE325" s="2">
        <v>10</v>
      </c>
      <c r="BF325" s="2">
        <v>10</v>
      </c>
      <c r="BG325" s="2">
        <v>10</v>
      </c>
      <c r="BH325" s="2">
        <v>10</v>
      </c>
      <c r="BI325" s="2">
        <v>10</v>
      </c>
      <c r="BJ325" s="2" t="e">
        <f t="shared" ca="1" si="124"/>
        <v>#NAME?</v>
      </c>
      <c r="BK325" s="5">
        <v>10</v>
      </c>
      <c r="BL325" s="5">
        <v>10</v>
      </c>
      <c r="BM325" s="5">
        <v>10</v>
      </c>
      <c r="BN325" s="5">
        <v>10</v>
      </c>
      <c r="BO325" s="5">
        <v>10</v>
      </c>
      <c r="BP325" s="54">
        <f t="shared" si="115"/>
        <v>10</v>
      </c>
      <c r="BQ325" s="5"/>
      <c r="BR325" s="5"/>
      <c r="BS325" s="5">
        <v>10</v>
      </c>
      <c r="BT325" s="5">
        <v>10</v>
      </c>
      <c r="BU325" s="5">
        <v>10</v>
      </c>
      <c r="BV325" s="5">
        <v>10</v>
      </c>
      <c r="BW325" s="5">
        <v>9</v>
      </c>
      <c r="BX325" s="5">
        <v>10</v>
      </c>
      <c r="BY325" s="5">
        <v>10</v>
      </c>
      <c r="BZ325" s="5">
        <v>10</v>
      </c>
      <c r="CA325" s="5">
        <v>10</v>
      </c>
      <c r="CB325" s="5">
        <v>10</v>
      </c>
      <c r="CC325" s="2" t="e">
        <f t="shared" ca="1" si="125"/>
        <v>#NAME?</v>
      </c>
      <c r="CD325" s="55"/>
      <c r="CE325" s="2"/>
      <c r="CF325" s="2">
        <v>10</v>
      </c>
      <c r="CG325" s="2">
        <v>10</v>
      </c>
      <c r="CH325" s="2">
        <v>10</v>
      </c>
      <c r="CI325" s="2">
        <v>10</v>
      </c>
      <c r="CJ325" s="2">
        <v>10</v>
      </c>
      <c r="CK325" s="2">
        <v>10</v>
      </c>
      <c r="CL325" s="2">
        <v>10</v>
      </c>
      <c r="CM325" s="2">
        <v>10</v>
      </c>
      <c r="CN325" s="2">
        <v>10</v>
      </c>
      <c r="CO325" s="2">
        <v>10</v>
      </c>
      <c r="CP325" s="2" t="e">
        <f t="shared" ca="1" si="126"/>
        <v>#NAME?</v>
      </c>
      <c r="CQ325" s="2">
        <v>9</v>
      </c>
      <c r="CR325" s="2">
        <v>10</v>
      </c>
      <c r="CS325" s="2">
        <v>10</v>
      </c>
      <c r="CT325" s="2">
        <v>10</v>
      </c>
      <c r="CU325" s="2">
        <v>10</v>
      </c>
      <c r="CV325" s="54">
        <f t="shared" si="116"/>
        <v>10</v>
      </c>
      <c r="CW325" s="55" t="s">
        <v>31</v>
      </c>
      <c r="CX325" s="3"/>
    </row>
    <row r="326" spans="1:102" ht="16.5" x14ac:dyDescent="0.55000000000000004">
      <c r="A326" s="17">
        <v>3</v>
      </c>
      <c r="B326" s="17" t="s">
        <v>569</v>
      </c>
      <c r="C326" s="23" t="s">
        <v>692</v>
      </c>
      <c r="D326" s="24" t="s">
        <v>693</v>
      </c>
      <c r="E326" s="48">
        <v>2</v>
      </c>
      <c r="F326" s="2"/>
      <c r="G326" s="2">
        <v>10</v>
      </c>
      <c r="H326" s="2">
        <v>10</v>
      </c>
      <c r="I326" s="2">
        <v>10</v>
      </c>
      <c r="J326" s="2">
        <v>10</v>
      </c>
      <c r="K326" s="2">
        <v>10</v>
      </c>
      <c r="L326" s="2">
        <v>10</v>
      </c>
      <c r="M326" s="2">
        <v>10</v>
      </c>
      <c r="N326" s="2">
        <v>10</v>
      </c>
      <c r="O326" s="2">
        <v>10</v>
      </c>
      <c r="P326" s="2">
        <v>10</v>
      </c>
      <c r="Q326" s="2" t="e">
        <f t="shared" ca="1" si="122"/>
        <v>#NAME?</v>
      </c>
      <c r="R326" s="2">
        <v>9</v>
      </c>
      <c r="S326" s="2">
        <v>10</v>
      </c>
      <c r="T326" s="2">
        <v>10</v>
      </c>
      <c r="U326" s="2">
        <v>10</v>
      </c>
      <c r="V326" s="2">
        <v>10</v>
      </c>
      <c r="W326" s="54">
        <f t="shared" si="113"/>
        <v>10</v>
      </c>
      <c r="X326" s="48">
        <v>0</v>
      </c>
      <c r="Y326" s="2">
        <v>7</v>
      </c>
      <c r="Z326" s="2"/>
      <c r="AA326" s="2">
        <v>10</v>
      </c>
      <c r="AB326" s="2">
        <v>10</v>
      </c>
      <c r="AC326" s="2">
        <v>10</v>
      </c>
      <c r="AD326" s="2">
        <v>10</v>
      </c>
      <c r="AE326" s="2">
        <v>10</v>
      </c>
      <c r="AF326" s="2">
        <v>10</v>
      </c>
      <c r="AG326" s="2">
        <v>10</v>
      </c>
      <c r="AH326" s="2">
        <v>10</v>
      </c>
      <c r="AI326" s="2">
        <v>10</v>
      </c>
      <c r="AJ326" s="2">
        <v>10</v>
      </c>
      <c r="AK326" s="3"/>
      <c r="AL326" s="3"/>
      <c r="AM326" s="3"/>
      <c r="AN326" s="3"/>
      <c r="AO326" s="3"/>
      <c r="AP326" s="3"/>
      <c r="AQ326" s="2" t="e">
        <f t="shared" ca="1" si="123"/>
        <v>#NAME?</v>
      </c>
      <c r="AR326" s="2">
        <v>10</v>
      </c>
      <c r="AS326" s="2">
        <v>10</v>
      </c>
      <c r="AT326" s="2">
        <v>10</v>
      </c>
      <c r="AU326" s="2">
        <v>10</v>
      </c>
      <c r="AV326" s="2">
        <v>10</v>
      </c>
      <c r="AW326" s="54">
        <f t="shared" si="114"/>
        <v>10</v>
      </c>
      <c r="AX326" s="48"/>
      <c r="AY326" s="2"/>
      <c r="AZ326" s="2">
        <v>10</v>
      </c>
      <c r="BA326" s="2">
        <v>10</v>
      </c>
      <c r="BB326" s="2">
        <v>10</v>
      </c>
      <c r="BC326" s="2">
        <v>10</v>
      </c>
      <c r="BD326" s="2">
        <v>10</v>
      </c>
      <c r="BE326" s="2">
        <v>10</v>
      </c>
      <c r="BF326" s="2">
        <v>10</v>
      </c>
      <c r="BG326" s="2">
        <v>10</v>
      </c>
      <c r="BH326" s="2">
        <v>10</v>
      </c>
      <c r="BI326" s="2">
        <v>10</v>
      </c>
      <c r="BJ326" s="2" t="e">
        <f t="shared" ca="1" si="124"/>
        <v>#NAME?</v>
      </c>
      <c r="BK326" s="2">
        <v>10</v>
      </c>
      <c r="BL326" s="2">
        <v>10</v>
      </c>
      <c r="BM326" s="2">
        <v>10</v>
      </c>
      <c r="BN326" s="5">
        <v>10</v>
      </c>
      <c r="BO326" s="5">
        <v>10</v>
      </c>
      <c r="BP326" s="54">
        <f t="shared" si="115"/>
        <v>10</v>
      </c>
      <c r="BQ326" s="5"/>
      <c r="BR326" s="5"/>
      <c r="BS326" s="5">
        <v>10</v>
      </c>
      <c r="BT326" s="5">
        <v>10</v>
      </c>
      <c r="BU326" s="5">
        <v>10</v>
      </c>
      <c r="BV326" s="5">
        <v>10</v>
      </c>
      <c r="BW326" s="5">
        <v>10</v>
      </c>
      <c r="BX326" s="5">
        <v>10</v>
      </c>
      <c r="BY326" s="5">
        <v>10</v>
      </c>
      <c r="BZ326" s="5">
        <v>10</v>
      </c>
      <c r="CA326" s="5">
        <v>10</v>
      </c>
      <c r="CB326" s="5">
        <v>10</v>
      </c>
      <c r="CC326" s="2" t="e">
        <f t="shared" ca="1" si="125"/>
        <v>#NAME?</v>
      </c>
      <c r="CD326" s="55"/>
      <c r="CE326" s="2"/>
      <c r="CF326" s="2">
        <v>10</v>
      </c>
      <c r="CG326" s="2">
        <v>10</v>
      </c>
      <c r="CH326" s="2">
        <v>10</v>
      </c>
      <c r="CI326" s="2">
        <v>10</v>
      </c>
      <c r="CJ326" s="2">
        <v>10</v>
      </c>
      <c r="CK326" s="2">
        <v>10</v>
      </c>
      <c r="CL326" s="2">
        <v>10</v>
      </c>
      <c r="CM326" s="2">
        <v>10</v>
      </c>
      <c r="CN326" s="2">
        <v>10</v>
      </c>
      <c r="CO326" s="2">
        <v>10</v>
      </c>
      <c r="CP326" s="2" t="e">
        <f t="shared" ca="1" si="126"/>
        <v>#NAME?</v>
      </c>
      <c r="CQ326" s="2">
        <v>9</v>
      </c>
      <c r="CR326" s="2">
        <v>8</v>
      </c>
      <c r="CS326" s="2">
        <v>10</v>
      </c>
      <c r="CT326" s="2">
        <v>10</v>
      </c>
      <c r="CU326" s="2">
        <v>10</v>
      </c>
      <c r="CV326" s="54">
        <f t="shared" si="116"/>
        <v>10</v>
      </c>
      <c r="CW326" s="55">
        <v>11</v>
      </c>
      <c r="CX326" s="3"/>
    </row>
    <row r="327" spans="1:102" ht="16.5" x14ac:dyDescent="0.55000000000000004">
      <c r="A327" s="17">
        <v>3</v>
      </c>
      <c r="B327" s="17" t="s">
        <v>569</v>
      </c>
      <c r="C327" s="23" t="s">
        <v>694</v>
      </c>
      <c r="D327" s="24" t="s">
        <v>695</v>
      </c>
      <c r="E327" s="48">
        <v>2</v>
      </c>
      <c r="F327" s="2"/>
      <c r="G327" s="2">
        <v>9</v>
      </c>
      <c r="H327" s="2">
        <v>10</v>
      </c>
      <c r="I327" s="2"/>
      <c r="J327" s="2"/>
      <c r="K327" s="2"/>
      <c r="L327" s="2">
        <v>9</v>
      </c>
      <c r="M327" s="2">
        <v>10</v>
      </c>
      <c r="N327" s="2"/>
      <c r="O327" s="2"/>
      <c r="P327" s="2"/>
      <c r="Q327" s="2" t="e">
        <f t="shared" ca="1" si="122"/>
        <v>#NAME?</v>
      </c>
      <c r="R327" s="2">
        <v>9</v>
      </c>
      <c r="S327" s="2">
        <v>8</v>
      </c>
      <c r="T327" s="2">
        <v>9</v>
      </c>
      <c r="U327" s="2">
        <v>8</v>
      </c>
      <c r="V327" s="2">
        <v>8</v>
      </c>
      <c r="W327" s="54">
        <f t="shared" si="113"/>
        <v>9</v>
      </c>
      <c r="X327" s="48">
        <v>0</v>
      </c>
      <c r="Y327" s="2"/>
      <c r="Z327" s="2"/>
      <c r="AA327" s="2">
        <v>5</v>
      </c>
      <c r="AB327" s="2">
        <v>5</v>
      </c>
      <c r="AC327" s="2">
        <v>5</v>
      </c>
      <c r="AD327" s="2">
        <v>5</v>
      </c>
      <c r="AE327" s="2">
        <v>5</v>
      </c>
      <c r="AF327" s="2">
        <v>5</v>
      </c>
      <c r="AG327" s="2">
        <v>5</v>
      </c>
      <c r="AH327" s="2">
        <v>5</v>
      </c>
      <c r="AI327" s="2">
        <v>5</v>
      </c>
      <c r="AJ327" s="2">
        <v>5</v>
      </c>
      <c r="AK327" s="3"/>
      <c r="AL327" s="3"/>
      <c r="AM327" s="3"/>
      <c r="AN327" s="3"/>
      <c r="AO327" s="3"/>
      <c r="AP327" s="3"/>
      <c r="AQ327" s="2" t="e">
        <f t="shared" ca="1" si="123"/>
        <v>#NAME?</v>
      </c>
      <c r="AR327" s="2">
        <v>5</v>
      </c>
      <c r="AS327" s="2">
        <v>5</v>
      </c>
      <c r="AT327" s="2">
        <v>5</v>
      </c>
      <c r="AU327" s="2">
        <v>5</v>
      </c>
      <c r="AV327" s="2">
        <v>5</v>
      </c>
      <c r="AW327" s="54">
        <f t="shared" si="114"/>
        <v>5</v>
      </c>
      <c r="AX327" s="48"/>
      <c r="AY327" s="2"/>
      <c r="AZ327" s="2">
        <v>10</v>
      </c>
      <c r="BA327" s="2">
        <v>10</v>
      </c>
      <c r="BB327" s="2">
        <v>10</v>
      </c>
      <c r="BC327" s="2">
        <v>10</v>
      </c>
      <c r="BD327" s="2">
        <v>10</v>
      </c>
      <c r="BE327" s="2">
        <v>10</v>
      </c>
      <c r="BF327" s="2">
        <v>10</v>
      </c>
      <c r="BG327" s="2">
        <v>10</v>
      </c>
      <c r="BH327" s="2">
        <v>10</v>
      </c>
      <c r="BI327" s="2">
        <v>10</v>
      </c>
      <c r="BJ327" s="2" t="e">
        <f t="shared" ca="1" si="124"/>
        <v>#NAME?</v>
      </c>
      <c r="BK327" s="2">
        <v>10</v>
      </c>
      <c r="BL327" s="2">
        <v>10</v>
      </c>
      <c r="BM327" s="2">
        <v>10</v>
      </c>
      <c r="BN327" s="2">
        <v>9</v>
      </c>
      <c r="BO327" s="2">
        <v>9</v>
      </c>
      <c r="BP327" s="54">
        <f t="shared" si="115"/>
        <v>10</v>
      </c>
      <c r="BQ327" s="5"/>
      <c r="BR327" s="5"/>
      <c r="BS327" s="5">
        <v>6</v>
      </c>
      <c r="BT327" s="5">
        <v>6</v>
      </c>
      <c r="BU327" s="5">
        <v>6</v>
      </c>
      <c r="BV327" s="5">
        <v>6</v>
      </c>
      <c r="BW327" s="5">
        <v>6</v>
      </c>
      <c r="BX327" s="5">
        <v>6</v>
      </c>
      <c r="BY327" s="5">
        <v>6</v>
      </c>
      <c r="BZ327" s="5">
        <v>6</v>
      </c>
      <c r="CA327" s="5">
        <v>6</v>
      </c>
      <c r="CB327" s="5">
        <v>6</v>
      </c>
      <c r="CC327" s="2" t="e">
        <f t="shared" ca="1" si="125"/>
        <v>#NAME?</v>
      </c>
      <c r="CD327" s="55"/>
      <c r="CE327" s="2"/>
      <c r="CF327" s="2">
        <v>7</v>
      </c>
      <c r="CG327" s="2">
        <v>6</v>
      </c>
      <c r="CH327" s="2">
        <v>6</v>
      </c>
      <c r="CI327" s="2">
        <v>7</v>
      </c>
      <c r="CJ327" s="2">
        <v>8</v>
      </c>
      <c r="CK327" s="2">
        <v>9</v>
      </c>
      <c r="CL327" s="2">
        <v>10</v>
      </c>
      <c r="CM327" s="2">
        <v>10</v>
      </c>
      <c r="CN327" s="2">
        <v>10</v>
      </c>
      <c r="CO327" s="2">
        <v>10</v>
      </c>
      <c r="CP327" s="2" t="e">
        <f t="shared" ca="1" si="126"/>
        <v>#NAME?</v>
      </c>
      <c r="CQ327" s="2">
        <v>10</v>
      </c>
      <c r="CR327" s="2">
        <v>8</v>
      </c>
      <c r="CS327" s="2">
        <v>9</v>
      </c>
      <c r="CT327" s="2">
        <v>10</v>
      </c>
      <c r="CU327" s="2">
        <v>10</v>
      </c>
      <c r="CV327" s="54">
        <f t="shared" si="116"/>
        <v>10</v>
      </c>
      <c r="CW327" s="55">
        <v>5</v>
      </c>
      <c r="CX327" s="3"/>
    </row>
    <row r="328" spans="1:102" ht="16.5" x14ac:dyDescent="0.55000000000000004">
      <c r="A328" s="17">
        <v>3</v>
      </c>
      <c r="B328" s="17" t="s">
        <v>569</v>
      </c>
      <c r="C328" s="23" t="s">
        <v>696</v>
      </c>
      <c r="D328" s="24" t="s">
        <v>697</v>
      </c>
      <c r="E328" s="48" t="s">
        <v>31</v>
      </c>
      <c r="F328" s="2"/>
      <c r="G328" s="2">
        <v>10</v>
      </c>
      <c r="H328" s="2">
        <v>10</v>
      </c>
      <c r="I328" s="2">
        <v>10</v>
      </c>
      <c r="J328" s="2">
        <v>10</v>
      </c>
      <c r="K328" s="2">
        <v>10</v>
      </c>
      <c r="L328" s="2">
        <v>10</v>
      </c>
      <c r="M328" s="2">
        <v>10</v>
      </c>
      <c r="N328" s="2">
        <v>10</v>
      </c>
      <c r="O328" s="2">
        <v>10</v>
      </c>
      <c r="P328" s="2">
        <v>10</v>
      </c>
      <c r="Q328" s="2" t="e">
        <f t="shared" ca="1" si="122"/>
        <v>#NAME?</v>
      </c>
      <c r="R328" s="2">
        <v>10</v>
      </c>
      <c r="S328" s="2">
        <v>10</v>
      </c>
      <c r="T328" s="2">
        <v>10</v>
      </c>
      <c r="U328" s="2">
        <v>10</v>
      </c>
      <c r="V328" s="2">
        <v>10</v>
      </c>
      <c r="W328" s="54">
        <f t="shared" si="113"/>
        <v>10</v>
      </c>
      <c r="X328" s="48">
        <v>0</v>
      </c>
      <c r="Y328" s="2"/>
      <c r="Z328" s="2"/>
      <c r="AA328" s="2">
        <v>5</v>
      </c>
      <c r="AB328" s="2">
        <v>5</v>
      </c>
      <c r="AC328" s="2">
        <v>5</v>
      </c>
      <c r="AD328" s="2">
        <v>5</v>
      </c>
      <c r="AE328" s="2">
        <v>5</v>
      </c>
      <c r="AF328" s="2">
        <v>5</v>
      </c>
      <c r="AG328" s="2">
        <v>5</v>
      </c>
      <c r="AH328" s="2">
        <v>5</v>
      </c>
      <c r="AI328" s="2">
        <v>5</v>
      </c>
      <c r="AJ328" s="2">
        <v>5</v>
      </c>
      <c r="AK328" s="3"/>
      <c r="AL328" s="3"/>
      <c r="AM328" s="3"/>
      <c r="AN328" s="3"/>
      <c r="AO328" s="3"/>
      <c r="AP328" s="3"/>
      <c r="AQ328" s="2" t="e">
        <f t="shared" ca="1" si="123"/>
        <v>#NAME?</v>
      </c>
      <c r="AR328" s="2">
        <v>5</v>
      </c>
      <c r="AS328" s="2">
        <v>5</v>
      </c>
      <c r="AT328" s="2">
        <v>5</v>
      </c>
      <c r="AU328" s="2">
        <v>5</v>
      </c>
      <c r="AV328" s="2">
        <v>5</v>
      </c>
      <c r="AW328" s="54">
        <f t="shared" si="114"/>
        <v>5</v>
      </c>
      <c r="AX328" s="48"/>
      <c r="AY328" s="2"/>
      <c r="AZ328" s="5">
        <v>10</v>
      </c>
      <c r="BA328" s="5">
        <v>10</v>
      </c>
      <c r="BB328" s="5">
        <v>10</v>
      </c>
      <c r="BC328" s="5">
        <v>10</v>
      </c>
      <c r="BD328" s="5">
        <v>10</v>
      </c>
      <c r="BE328" s="5">
        <v>10</v>
      </c>
      <c r="BF328" s="5">
        <v>10</v>
      </c>
      <c r="BG328" s="5">
        <v>10</v>
      </c>
      <c r="BH328" s="5">
        <v>10</v>
      </c>
      <c r="BI328" s="5">
        <v>10</v>
      </c>
      <c r="BJ328" s="2" t="e">
        <f t="shared" ca="1" si="124"/>
        <v>#NAME?</v>
      </c>
      <c r="BK328" s="5">
        <v>10</v>
      </c>
      <c r="BL328" s="5">
        <v>10</v>
      </c>
      <c r="BM328" s="5">
        <v>10</v>
      </c>
      <c r="BN328" s="5">
        <v>10</v>
      </c>
      <c r="BO328" s="5">
        <v>10</v>
      </c>
      <c r="BP328" s="54">
        <f t="shared" si="115"/>
        <v>10</v>
      </c>
      <c r="BQ328" s="5"/>
      <c r="BR328" s="5"/>
      <c r="BS328" s="5">
        <v>10</v>
      </c>
      <c r="BT328" s="5">
        <v>10</v>
      </c>
      <c r="BU328" s="5">
        <v>10</v>
      </c>
      <c r="BV328" s="5">
        <v>10</v>
      </c>
      <c r="BW328" s="5">
        <v>10</v>
      </c>
      <c r="BX328" s="5">
        <v>10</v>
      </c>
      <c r="BY328" s="5">
        <v>10</v>
      </c>
      <c r="BZ328" s="5">
        <v>10</v>
      </c>
      <c r="CA328" s="5">
        <v>10</v>
      </c>
      <c r="CB328" s="5">
        <v>10</v>
      </c>
      <c r="CC328" s="2" t="e">
        <f t="shared" ca="1" si="125"/>
        <v>#NAME?</v>
      </c>
      <c r="CD328" s="55"/>
      <c r="CE328" s="2"/>
      <c r="CF328" s="2">
        <v>10</v>
      </c>
      <c r="CG328" s="2">
        <v>10</v>
      </c>
      <c r="CH328" s="2">
        <v>10</v>
      </c>
      <c r="CI328" s="2">
        <v>10</v>
      </c>
      <c r="CJ328" s="2">
        <v>10</v>
      </c>
      <c r="CK328" s="2">
        <v>10</v>
      </c>
      <c r="CL328" s="2">
        <v>10</v>
      </c>
      <c r="CM328" s="2">
        <v>10</v>
      </c>
      <c r="CN328" s="2">
        <v>10</v>
      </c>
      <c r="CO328" s="2">
        <v>10</v>
      </c>
      <c r="CP328" s="2" t="e">
        <f t="shared" ca="1" si="126"/>
        <v>#NAME?</v>
      </c>
      <c r="CQ328" s="2">
        <v>10</v>
      </c>
      <c r="CR328" s="2">
        <v>10</v>
      </c>
      <c r="CS328" s="2">
        <v>8</v>
      </c>
      <c r="CT328" s="2">
        <v>9</v>
      </c>
      <c r="CU328" s="2">
        <v>10</v>
      </c>
      <c r="CV328" s="54">
        <f t="shared" si="116"/>
        <v>10</v>
      </c>
      <c r="CW328" s="55">
        <v>17</v>
      </c>
      <c r="CX328" s="3"/>
    </row>
    <row r="329" spans="1:102" ht="16.5" x14ac:dyDescent="0.55000000000000004">
      <c r="A329" s="17">
        <v>3</v>
      </c>
      <c r="B329" s="17" t="s">
        <v>569</v>
      </c>
      <c r="C329" s="23" t="s">
        <v>698</v>
      </c>
      <c r="D329" s="24" t="s">
        <v>699</v>
      </c>
      <c r="E329" s="48">
        <v>0</v>
      </c>
      <c r="F329" s="2"/>
      <c r="G329" s="2">
        <v>9</v>
      </c>
      <c r="H329" s="2">
        <v>10</v>
      </c>
      <c r="I329" s="2">
        <v>10</v>
      </c>
      <c r="J329" s="2">
        <v>10</v>
      </c>
      <c r="K329" s="2">
        <v>10</v>
      </c>
      <c r="L329" s="2">
        <v>9</v>
      </c>
      <c r="M329" s="2">
        <v>10</v>
      </c>
      <c r="N329" s="2">
        <v>10</v>
      </c>
      <c r="O329" s="2">
        <v>10</v>
      </c>
      <c r="P329" s="2">
        <v>10</v>
      </c>
      <c r="Q329" s="2" t="e">
        <f t="shared" ca="1" si="122"/>
        <v>#NAME?</v>
      </c>
      <c r="R329" s="2">
        <v>9</v>
      </c>
      <c r="S329" s="2">
        <v>9</v>
      </c>
      <c r="T329" s="2">
        <v>10</v>
      </c>
      <c r="U329" s="2">
        <v>10</v>
      </c>
      <c r="V329" s="2">
        <v>10</v>
      </c>
      <c r="W329" s="54">
        <f t="shared" si="113"/>
        <v>10</v>
      </c>
      <c r="X329" s="48">
        <v>0</v>
      </c>
      <c r="Y329" s="2">
        <v>8</v>
      </c>
      <c r="Z329" s="2"/>
      <c r="AA329" s="2">
        <v>10</v>
      </c>
      <c r="AB329" s="2">
        <v>10</v>
      </c>
      <c r="AC329" s="2">
        <v>10</v>
      </c>
      <c r="AD329" s="2">
        <v>10</v>
      </c>
      <c r="AE329" s="2">
        <v>10</v>
      </c>
      <c r="AF329" s="2">
        <v>10</v>
      </c>
      <c r="AG329" s="2">
        <v>10</v>
      </c>
      <c r="AH329" s="2">
        <v>10</v>
      </c>
      <c r="AI329" s="2">
        <v>10</v>
      </c>
      <c r="AJ329" s="2">
        <v>10</v>
      </c>
      <c r="AK329" s="3"/>
      <c r="AL329" s="3"/>
      <c r="AM329" s="3"/>
      <c r="AN329" s="3"/>
      <c r="AO329" s="3"/>
      <c r="AP329" s="3"/>
      <c r="AQ329" s="2" t="e">
        <f t="shared" ca="1" si="123"/>
        <v>#NAME?</v>
      </c>
      <c r="AR329" s="2">
        <v>10</v>
      </c>
      <c r="AS329" s="2">
        <v>10</v>
      </c>
      <c r="AT329" s="2">
        <v>10</v>
      </c>
      <c r="AU329" s="2">
        <v>10</v>
      </c>
      <c r="AV329" s="2">
        <v>10</v>
      </c>
      <c r="AW329" s="54">
        <f t="shared" si="114"/>
        <v>10</v>
      </c>
      <c r="AX329" s="48"/>
      <c r="AY329" s="2"/>
      <c r="AZ329" s="2">
        <v>10</v>
      </c>
      <c r="BA329" s="2">
        <v>10</v>
      </c>
      <c r="BB329" s="2">
        <v>10</v>
      </c>
      <c r="BC329" s="2">
        <v>10</v>
      </c>
      <c r="BD329" s="2">
        <v>10</v>
      </c>
      <c r="BE329" s="2">
        <v>10</v>
      </c>
      <c r="BF329" s="2">
        <v>10</v>
      </c>
      <c r="BG329" s="2">
        <v>10</v>
      </c>
      <c r="BH329" s="2">
        <v>10</v>
      </c>
      <c r="BI329" s="2">
        <v>10</v>
      </c>
      <c r="BJ329" s="2" t="e">
        <f t="shared" ca="1" si="124"/>
        <v>#NAME?</v>
      </c>
      <c r="BK329" s="2">
        <v>10</v>
      </c>
      <c r="BL329" s="2">
        <v>10</v>
      </c>
      <c r="BM329" s="2">
        <v>10</v>
      </c>
      <c r="BN329" s="2">
        <v>10</v>
      </c>
      <c r="BO329" s="2">
        <v>10</v>
      </c>
      <c r="BP329" s="54">
        <f t="shared" si="115"/>
        <v>10</v>
      </c>
      <c r="BQ329" s="5"/>
      <c r="BR329" s="5"/>
      <c r="BS329" s="5">
        <v>10</v>
      </c>
      <c r="BT329" s="5">
        <v>10</v>
      </c>
      <c r="BU329" s="5">
        <v>10</v>
      </c>
      <c r="BV329" s="5">
        <v>9</v>
      </c>
      <c r="BW329" s="5">
        <v>9</v>
      </c>
      <c r="BX329" s="5">
        <v>10</v>
      </c>
      <c r="BY329" s="5">
        <v>10</v>
      </c>
      <c r="BZ329" s="5">
        <v>9</v>
      </c>
      <c r="CA329" s="5">
        <v>10</v>
      </c>
      <c r="CB329" s="5">
        <v>10</v>
      </c>
      <c r="CC329" s="2" t="e">
        <f t="shared" ca="1" si="125"/>
        <v>#NAME?</v>
      </c>
      <c r="CD329" s="55"/>
      <c r="CE329" s="2"/>
      <c r="CF329" s="2">
        <v>10</v>
      </c>
      <c r="CG329" s="2">
        <v>10</v>
      </c>
      <c r="CH329" s="2">
        <v>10</v>
      </c>
      <c r="CI329" s="2">
        <v>8</v>
      </c>
      <c r="CJ329" s="2">
        <v>9</v>
      </c>
      <c r="CK329" s="2">
        <v>10</v>
      </c>
      <c r="CL329" s="2">
        <v>10</v>
      </c>
      <c r="CM329" s="2">
        <v>10</v>
      </c>
      <c r="CN329" s="2">
        <v>10</v>
      </c>
      <c r="CO329" s="2">
        <v>10</v>
      </c>
      <c r="CP329" s="2" t="e">
        <f t="shared" ca="1" si="126"/>
        <v>#NAME?</v>
      </c>
      <c r="CQ329" s="2">
        <v>9</v>
      </c>
      <c r="CR329" s="2">
        <v>6</v>
      </c>
      <c r="CS329" s="2">
        <v>10</v>
      </c>
      <c r="CT329" s="2">
        <v>10</v>
      </c>
      <c r="CU329" s="2">
        <v>10</v>
      </c>
      <c r="CV329" s="54">
        <f t="shared" si="116"/>
        <v>9</v>
      </c>
      <c r="CW329" s="55">
        <v>10</v>
      </c>
      <c r="CX329" s="3"/>
    </row>
    <row r="330" spans="1:102" ht="16.5" x14ac:dyDescent="0.55000000000000004">
      <c r="A330" s="17">
        <v>3</v>
      </c>
      <c r="B330" s="17" t="s">
        <v>569</v>
      </c>
      <c r="C330" s="23" t="s">
        <v>700</v>
      </c>
      <c r="D330" s="24" t="s">
        <v>701</v>
      </c>
      <c r="E330" s="48" t="s">
        <v>31</v>
      </c>
      <c r="F330" s="2"/>
      <c r="G330" s="2">
        <v>10</v>
      </c>
      <c r="H330" s="2">
        <v>10</v>
      </c>
      <c r="I330" s="2">
        <v>10</v>
      </c>
      <c r="J330" s="2">
        <v>9</v>
      </c>
      <c r="K330" s="2">
        <v>10</v>
      </c>
      <c r="L330" s="2">
        <v>10</v>
      </c>
      <c r="M330" s="2">
        <v>10</v>
      </c>
      <c r="N330" s="2">
        <v>10</v>
      </c>
      <c r="O330" s="2">
        <v>9</v>
      </c>
      <c r="P330" s="2">
        <v>10</v>
      </c>
      <c r="Q330" s="2" t="e">
        <f t="shared" ca="1" si="122"/>
        <v>#NAME?</v>
      </c>
      <c r="R330" s="2">
        <v>10</v>
      </c>
      <c r="S330" s="2">
        <v>10</v>
      </c>
      <c r="T330" s="2">
        <v>10</v>
      </c>
      <c r="U330" s="2">
        <v>10</v>
      </c>
      <c r="V330" s="2">
        <v>10</v>
      </c>
      <c r="W330" s="54">
        <f t="shared" si="113"/>
        <v>10</v>
      </c>
      <c r="X330" s="48">
        <v>0</v>
      </c>
      <c r="Y330" s="2">
        <v>9</v>
      </c>
      <c r="Z330" s="2"/>
      <c r="AA330" s="2">
        <v>10</v>
      </c>
      <c r="AB330" s="2">
        <v>10</v>
      </c>
      <c r="AC330" s="2">
        <v>10</v>
      </c>
      <c r="AD330" s="2">
        <v>10</v>
      </c>
      <c r="AE330" s="2">
        <v>10</v>
      </c>
      <c r="AF330" s="2">
        <v>10</v>
      </c>
      <c r="AG330" s="2">
        <v>10</v>
      </c>
      <c r="AH330" s="2">
        <v>10</v>
      </c>
      <c r="AI330" s="2">
        <v>10</v>
      </c>
      <c r="AJ330" s="2">
        <v>10</v>
      </c>
      <c r="AK330" s="3"/>
      <c r="AL330" s="3"/>
      <c r="AM330" s="3"/>
      <c r="AN330" s="3"/>
      <c r="AO330" s="3"/>
      <c r="AP330" s="3"/>
      <c r="AQ330" s="2" t="e">
        <f t="shared" ca="1" si="123"/>
        <v>#NAME?</v>
      </c>
      <c r="AR330" s="2">
        <v>10</v>
      </c>
      <c r="AS330" s="2">
        <v>10</v>
      </c>
      <c r="AT330" s="2">
        <v>10</v>
      </c>
      <c r="AU330" s="2">
        <v>10</v>
      </c>
      <c r="AV330" s="2">
        <v>10</v>
      </c>
      <c r="AW330" s="54">
        <f t="shared" si="114"/>
        <v>10</v>
      </c>
      <c r="AX330" s="48"/>
      <c r="AY330" s="2"/>
      <c r="AZ330" s="2">
        <v>10</v>
      </c>
      <c r="BA330" s="2">
        <v>10</v>
      </c>
      <c r="BB330" s="2">
        <v>10</v>
      </c>
      <c r="BC330" s="2">
        <v>10</v>
      </c>
      <c r="BD330" s="2">
        <v>10</v>
      </c>
      <c r="BE330" s="2">
        <v>10</v>
      </c>
      <c r="BF330" s="2">
        <v>10</v>
      </c>
      <c r="BG330" s="2">
        <v>10</v>
      </c>
      <c r="BH330" s="2">
        <v>10</v>
      </c>
      <c r="BI330" s="2">
        <v>10</v>
      </c>
      <c r="BJ330" s="2" t="e">
        <f t="shared" ca="1" si="124"/>
        <v>#NAME?</v>
      </c>
      <c r="BK330" s="2">
        <v>10</v>
      </c>
      <c r="BL330" s="2">
        <v>10</v>
      </c>
      <c r="BM330" s="2">
        <v>10</v>
      </c>
      <c r="BN330" s="2">
        <v>10</v>
      </c>
      <c r="BO330" s="2">
        <v>10</v>
      </c>
      <c r="BP330" s="54">
        <f t="shared" si="115"/>
        <v>10</v>
      </c>
      <c r="BQ330" s="5"/>
      <c r="BR330" s="5">
        <v>10</v>
      </c>
      <c r="BS330" s="5">
        <v>10</v>
      </c>
      <c r="BT330" s="5">
        <v>10</v>
      </c>
      <c r="BU330" s="5">
        <v>10</v>
      </c>
      <c r="BV330" s="5">
        <v>10</v>
      </c>
      <c r="BW330" s="5">
        <v>10</v>
      </c>
      <c r="BX330" s="5">
        <v>10</v>
      </c>
      <c r="BY330" s="5">
        <v>10</v>
      </c>
      <c r="BZ330" s="5">
        <v>9</v>
      </c>
      <c r="CA330" s="5">
        <v>10</v>
      </c>
      <c r="CB330" s="5">
        <v>10</v>
      </c>
      <c r="CC330" s="2" t="e">
        <f t="shared" ca="1" si="125"/>
        <v>#NAME?</v>
      </c>
      <c r="CD330" s="55"/>
      <c r="CE330" s="2"/>
      <c r="CF330" s="2">
        <v>10</v>
      </c>
      <c r="CG330" s="2">
        <v>10</v>
      </c>
      <c r="CH330" s="2">
        <v>10</v>
      </c>
      <c r="CI330" s="2">
        <v>8</v>
      </c>
      <c r="CJ330" s="2">
        <v>9</v>
      </c>
      <c r="CK330" s="2">
        <v>10</v>
      </c>
      <c r="CL330" s="2">
        <v>10</v>
      </c>
      <c r="CM330" s="2">
        <v>10</v>
      </c>
      <c r="CN330" s="2">
        <v>10</v>
      </c>
      <c r="CO330" s="2">
        <v>10</v>
      </c>
      <c r="CP330" s="2" t="e">
        <f t="shared" ca="1" si="126"/>
        <v>#NAME?</v>
      </c>
      <c r="CQ330" s="2">
        <v>9</v>
      </c>
      <c r="CR330" s="2">
        <v>9</v>
      </c>
      <c r="CS330" s="2">
        <v>10</v>
      </c>
      <c r="CT330" s="2">
        <v>10</v>
      </c>
      <c r="CU330" s="2">
        <v>10</v>
      </c>
      <c r="CV330" s="54">
        <f t="shared" si="116"/>
        <v>10</v>
      </c>
      <c r="CW330" s="55">
        <v>10</v>
      </c>
      <c r="CX330" s="3"/>
    </row>
    <row r="331" spans="1:102" ht="16.5" x14ac:dyDescent="0.55000000000000004">
      <c r="A331" s="17">
        <v>1</v>
      </c>
      <c r="B331" s="22" t="s">
        <v>7</v>
      </c>
      <c r="C331" s="23" t="s">
        <v>702</v>
      </c>
      <c r="D331" s="24" t="s">
        <v>703</v>
      </c>
      <c r="E331" s="48" t="s">
        <v>31</v>
      </c>
      <c r="F331" s="2" t="s">
        <v>31</v>
      </c>
      <c r="G331" s="2">
        <v>5</v>
      </c>
      <c r="H331" s="2">
        <v>5</v>
      </c>
      <c r="I331" s="2">
        <v>5</v>
      </c>
      <c r="J331" s="2">
        <v>5</v>
      </c>
      <c r="K331" s="2">
        <v>5</v>
      </c>
      <c r="L331" s="2">
        <v>6</v>
      </c>
      <c r="M331" s="2">
        <v>6</v>
      </c>
      <c r="N331" s="2">
        <v>6</v>
      </c>
      <c r="O331" s="2">
        <v>6</v>
      </c>
      <c r="P331" s="2">
        <v>6</v>
      </c>
      <c r="Q331" s="2" t="e">
        <f t="shared" ca="1" si="122"/>
        <v>#NAME?</v>
      </c>
      <c r="R331" s="2">
        <v>5</v>
      </c>
      <c r="S331" s="2">
        <v>5</v>
      </c>
      <c r="T331" s="2">
        <v>10</v>
      </c>
      <c r="U331" s="2">
        <v>10</v>
      </c>
      <c r="V331" s="2">
        <v>10</v>
      </c>
      <c r="W331" s="54">
        <f t="shared" si="113"/>
        <v>8</v>
      </c>
      <c r="X331" s="48">
        <v>5</v>
      </c>
      <c r="Y331" s="48">
        <v>5</v>
      </c>
      <c r="Z331" s="2"/>
      <c r="AA331" s="2">
        <v>6</v>
      </c>
      <c r="AB331" s="2">
        <v>6</v>
      </c>
      <c r="AC331" s="2">
        <v>6</v>
      </c>
      <c r="AD331" s="2">
        <v>6</v>
      </c>
      <c r="AE331" s="2">
        <v>6</v>
      </c>
      <c r="AF331" s="2">
        <v>6</v>
      </c>
      <c r="AG331" s="2">
        <v>6</v>
      </c>
      <c r="AH331" s="2">
        <v>6</v>
      </c>
      <c r="AI331" s="2">
        <v>6</v>
      </c>
      <c r="AJ331" s="2">
        <v>6</v>
      </c>
      <c r="AK331" s="2">
        <v>6</v>
      </c>
      <c r="AL331" s="2">
        <v>6</v>
      </c>
      <c r="AM331" s="2">
        <v>6</v>
      </c>
      <c r="AN331" s="2">
        <v>6</v>
      </c>
      <c r="AO331" s="2">
        <v>6</v>
      </c>
      <c r="AP331" s="2">
        <v>6</v>
      </c>
      <c r="AQ331" s="2" t="e">
        <f t="shared" ca="1" si="123"/>
        <v>#NAME?</v>
      </c>
      <c r="AR331" s="2">
        <v>6</v>
      </c>
      <c r="AS331" s="2">
        <v>6</v>
      </c>
      <c r="AT331" s="2">
        <v>6</v>
      </c>
      <c r="AU331" s="2">
        <v>6</v>
      </c>
      <c r="AV331" s="2">
        <v>6</v>
      </c>
      <c r="AW331" s="54">
        <f t="shared" si="114"/>
        <v>6</v>
      </c>
      <c r="AX331" s="48">
        <v>6</v>
      </c>
      <c r="AY331" s="2">
        <v>6</v>
      </c>
      <c r="AZ331" s="2">
        <v>6</v>
      </c>
      <c r="BA331" s="2">
        <v>6</v>
      </c>
      <c r="BB331" s="2">
        <v>6</v>
      </c>
      <c r="BC331" s="2">
        <v>6</v>
      </c>
      <c r="BD331" s="2">
        <v>6</v>
      </c>
      <c r="BE331" s="2">
        <v>6</v>
      </c>
      <c r="BF331" s="2">
        <v>6</v>
      </c>
      <c r="BG331" s="2">
        <v>6</v>
      </c>
      <c r="BH331" s="2">
        <v>6</v>
      </c>
      <c r="BI331" s="57">
        <v>6</v>
      </c>
      <c r="BJ331" s="2" t="e">
        <f t="shared" ca="1" si="124"/>
        <v>#NAME?</v>
      </c>
      <c r="BK331" s="5">
        <v>6</v>
      </c>
      <c r="BL331" s="5">
        <v>6</v>
      </c>
      <c r="BM331" s="5">
        <v>6</v>
      </c>
      <c r="BN331" s="5">
        <v>6</v>
      </c>
      <c r="BO331" s="5">
        <v>6</v>
      </c>
      <c r="BP331" s="54">
        <f t="shared" si="115"/>
        <v>6</v>
      </c>
      <c r="BQ331" s="5"/>
      <c r="BR331" s="5">
        <v>10</v>
      </c>
      <c r="BS331" s="5">
        <v>10</v>
      </c>
      <c r="BT331" s="5">
        <v>10</v>
      </c>
      <c r="BU331" s="5">
        <v>10</v>
      </c>
      <c r="BV331" s="5">
        <v>10</v>
      </c>
      <c r="BW331" s="5">
        <v>10</v>
      </c>
      <c r="BX331" s="5">
        <v>10</v>
      </c>
      <c r="BY331" s="5">
        <v>10</v>
      </c>
      <c r="BZ331" s="5">
        <v>10</v>
      </c>
      <c r="CA331" s="5">
        <v>10</v>
      </c>
      <c r="CB331" s="5">
        <v>10</v>
      </c>
      <c r="CC331" s="2" t="e">
        <f t="shared" ca="1" si="125"/>
        <v>#NAME?</v>
      </c>
      <c r="CD331" s="55"/>
      <c r="CE331" s="2"/>
      <c r="CF331" s="2">
        <v>8</v>
      </c>
      <c r="CG331" s="2">
        <v>8</v>
      </c>
      <c r="CH331" s="2">
        <v>8</v>
      </c>
      <c r="CI331" s="2">
        <v>8</v>
      </c>
      <c r="CJ331" s="2">
        <v>8</v>
      </c>
      <c r="CK331" s="2">
        <v>8</v>
      </c>
      <c r="CL331" s="2">
        <v>8</v>
      </c>
      <c r="CM331" s="2">
        <v>10</v>
      </c>
      <c r="CN331" s="2">
        <v>10</v>
      </c>
      <c r="CO331" s="2">
        <v>10</v>
      </c>
      <c r="CP331" s="2" t="e">
        <f t="shared" ca="1" si="126"/>
        <v>#NAME?</v>
      </c>
      <c r="CQ331" s="2">
        <v>8</v>
      </c>
      <c r="CR331" s="2">
        <v>8</v>
      </c>
      <c r="CS331" s="2">
        <v>8</v>
      </c>
      <c r="CT331" s="2">
        <v>8</v>
      </c>
      <c r="CU331" s="2">
        <v>8</v>
      </c>
      <c r="CV331" s="54">
        <f t="shared" si="116"/>
        <v>8</v>
      </c>
      <c r="CW331" s="55"/>
      <c r="CX331" s="3"/>
    </row>
    <row r="332" spans="1:102" ht="16.5" x14ac:dyDescent="0.55000000000000004">
      <c r="A332" s="17">
        <v>1</v>
      </c>
      <c r="B332" s="17" t="s">
        <v>7</v>
      </c>
      <c r="C332" s="23" t="s">
        <v>704</v>
      </c>
      <c r="D332" s="24" t="s">
        <v>705</v>
      </c>
      <c r="E332" s="48" t="s">
        <v>31</v>
      </c>
      <c r="F332" s="2" t="s">
        <v>31</v>
      </c>
      <c r="G332" s="2">
        <v>10</v>
      </c>
      <c r="H332" s="2">
        <v>6</v>
      </c>
      <c r="I332" s="2">
        <v>6</v>
      </c>
      <c r="J332" s="2">
        <v>5</v>
      </c>
      <c r="K332" s="2">
        <v>5</v>
      </c>
      <c r="L332" s="2">
        <v>6</v>
      </c>
      <c r="M332" s="2">
        <v>6</v>
      </c>
      <c r="N332" s="2">
        <v>6</v>
      </c>
      <c r="O332" s="2">
        <v>6</v>
      </c>
      <c r="P332" s="2">
        <v>6</v>
      </c>
      <c r="Q332" s="2" t="e">
        <f t="shared" ca="1" si="122"/>
        <v>#NAME?</v>
      </c>
      <c r="R332" s="2">
        <v>5</v>
      </c>
      <c r="S332" s="2">
        <v>5</v>
      </c>
      <c r="T332" s="2">
        <v>5</v>
      </c>
      <c r="U332" s="2">
        <v>10</v>
      </c>
      <c r="V332" s="2">
        <v>10</v>
      </c>
      <c r="W332" s="54">
        <f t="shared" si="113"/>
        <v>7</v>
      </c>
      <c r="X332" s="48">
        <v>9</v>
      </c>
      <c r="Y332" s="48">
        <v>9</v>
      </c>
      <c r="Z332" s="2"/>
      <c r="AA332" s="49">
        <v>9</v>
      </c>
      <c r="AB332" s="49">
        <v>9</v>
      </c>
      <c r="AC332" s="49">
        <v>9</v>
      </c>
      <c r="AD332" s="49">
        <v>9</v>
      </c>
      <c r="AE332" s="49">
        <v>9</v>
      </c>
      <c r="AF332" s="49">
        <v>9</v>
      </c>
      <c r="AG332" s="50">
        <v>8</v>
      </c>
      <c r="AH332" s="50">
        <v>8</v>
      </c>
      <c r="AI332" s="50">
        <v>8</v>
      </c>
      <c r="AJ332" s="50">
        <v>8</v>
      </c>
      <c r="AK332" s="49">
        <v>9</v>
      </c>
      <c r="AL332" s="49">
        <v>9</v>
      </c>
      <c r="AM332" s="50">
        <v>8</v>
      </c>
      <c r="AN332" s="50">
        <v>8</v>
      </c>
      <c r="AO332" s="50">
        <v>8</v>
      </c>
      <c r="AP332" s="50">
        <v>8</v>
      </c>
      <c r="AQ332" s="2" t="e">
        <f t="shared" ca="1" si="123"/>
        <v>#NAME?</v>
      </c>
      <c r="AR332" s="49">
        <v>9</v>
      </c>
      <c r="AS332" s="49">
        <v>9</v>
      </c>
      <c r="AT332" s="49">
        <v>9</v>
      </c>
      <c r="AU332" s="50">
        <v>9</v>
      </c>
      <c r="AV332" s="50">
        <v>9</v>
      </c>
      <c r="AW332" s="54">
        <f t="shared" si="114"/>
        <v>9</v>
      </c>
      <c r="AX332" s="48">
        <v>8</v>
      </c>
      <c r="AY332" s="2">
        <v>7</v>
      </c>
      <c r="AZ332" s="2">
        <v>10</v>
      </c>
      <c r="BA332" s="2">
        <v>10</v>
      </c>
      <c r="BB332" s="2">
        <v>10</v>
      </c>
      <c r="BC332" s="2">
        <v>10</v>
      </c>
      <c r="BD332" s="2">
        <v>9</v>
      </c>
      <c r="BE332" s="2">
        <v>9</v>
      </c>
      <c r="BF332" s="2">
        <v>9</v>
      </c>
      <c r="BG332" s="2">
        <v>9</v>
      </c>
      <c r="BH332" s="2">
        <v>9</v>
      </c>
      <c r="BI332" s="57">
        <v>9</v>
      </c>
      <c r="BJ332" s="2" t="e">
        <f t="shared" ca="1" si="124"/>
        <v>#NAME?</v>
      </c>
      <c r="BK332" s="5">
        <v>10</v>
      </c>
      <c r="BL332" s="5">
        <v>10</v>
      </c>
      <c r="BM332" s="5">
        <v>10</v>
      </c>
      <c r="BN332" s="5">
        <v>10</v>
      </c>
      <c r="BO332" s="5">
        <v>10</v>
      </c>
      <c r="BP332" s="54">
        <f t="shared" si="115"/>
        <v>10</v>
      </c>
      <c r="BQ332" s="5"/>
      <c r="BR332" s="5">
        <v>10</v>
      </c>
      <c r="BS332" s="5">
        <v>10</v>
      </c>
      <c r="BT332" s="5">
        <v>10</v>
      </c>
      <c r="BU332" s="5">
        <v>10</v>
      </c>
      <c r="BV332" s="5">
        <v>10</v>
      </c>
      <c r="BW332" s="5">
        <v>10</v>
      </c>
      <c r="BX332" s="5">
        <v>10</v>
      </c>
      <c r="BY332" s="5">
        <v>10</v>
      </c>
      <c r="BZ332" s="5">
        <v>10</v>
      </c>
      <c r="CA332" s="5">
        <v>10</v>
      </c>
      <c r="CB332" s="5">
        <v>10</v>
      </c>
      <c r="CC332" s="2" t="e">
        <f t="shared" ca="1" si="125"/>
        <v>#NAME?</v>
      </c>
      <c r="CD332" s="55"/>
      <c r="CE332" s="2"/>
      <c r="CF332" s="2">
        <v>10</v>
      </c>
      <c r="CG332" s="2">
        <v>10</v>
      </c>
      <c r="CH332" s="8">
        <v>10</v>
      </c>
      <c r="CI332" s="8">
        <v>10</v>
      </c>
      <c r="CJ332" s="2">
        <v>10</v>
      </c>
      <c r="CK332" s="2">
        <v>10</v>
      </c>
      <c r="CL332" s="2">
        <v>10</v>
      </c>
      <c r="CM332" s="2">
        <v>10</v>
      </c>
      <c r="CN332" s="2">
        <v>10</v>
      </c>
      <c r="CO332" s="2">
        <v>10</v>
      </c>
      <c r="CP332" s="2" t="e">
        <f t="shared" ca="1" si="126"/>
        <v>#NAME?</v>
      </c>
      <c r="CQ332" s="2">
        <v>10</v>
      </c>
      <c r="CR332" s="2">
        <v>10</v>
      </c>
      <c r="CS332" s="2">
        <v>10</v>
      </c>
      <c r="CT332" s="2">
        <v>10</v>
      </c>
      <c r="CU332" s="2">
        <v>10</v>
      </c>
      <c r="CV332" s="54">
        <f t="shared" si="116"/>
        <v>10</v>
      </c>
      <c r="CW332" s="55"/>
      <c r="CX332" s="3"/>
    </row>
    <row r="333" spans="1:102" ht="16.5" x14ac:dyDescent="0.55000000000000004">
      <c r="A333" s="3">
        <v>1</v>
      </c>
      <c r="B333" s="32" t="s">
        <v>7</v>
      </c>
      <c r="C333" s="32" t="s">
        <v>706</v>
      </c>
      <c r="D333" s="4" t="s">
        <v>707</v>
      </c>
      <c r="E333" s="48" t="s">
        <v>31</v>
      </c>
      <c r="F333" s="2" t="s">
        <v>31</v>
      </c>
      <c r="G333" s="2">
        <v>10</v>
      </c>
      <c r="H333" s="2">
        <v>10</v>
      </c>
      <c r="I333" s="2">
        <v>9</v>
      </c>
      <c r="J333" s="2">
        <v>9</v>
      </c>
      <c r="K333" s="2">
        <v>9</v>
      </c>
      <c r="L333" s="2">
        <v>6</v>
      </c>
      <c r="M333" s="2">
        <v>6</v>
      </c>
      <c r="N333" s="2">
        <v>6</v>
      </c>
      <c r="O333" s="2">
        <v>6</v>
      </c>
      <c r="P333" s="2">
        <v>6</v>
      </c>
      <c r="Q333" s="2" t="e">
        <f t="shared" ca="1" si="122"/>
        <v>#NAME?</v>
      </c>
      <c r="R333" s="2">
        <v>5</v>
      </c>
      <c r="S333" s="2">
        <v>5</v>
      </c>
      <c r="T333" s="2">
        <v>5</v>
      </c>
      <c r="U333" s="2">
        <v>5</v>
      </c>
      <c r="V333" s="2">
        <v>5</v>
      </c>
      <c r="W333" s="54">
        <f t="shared" si="113"/>
        <v>5</v>
      </c>
      <c r="X333" s="48">
        <v>0</v>
      </c>
      <c r="Y333" s="48">
        <v>0</v>
      </c>
      <c r="Z333" s="2"/>
      <c r="AA333" s="49">
        <v>9</v>
      </c>
      <c r="AB333" s="49">
        <v>9</v>
      </c>
      <c r="AC333" s="49">
        <v>9</v>
      </c>
      <c r="AD333" s="50">
        <v>8</v>
      </c>
      <c r="AE333" s="50">
        <v>8</v>
      </c>
      <c r="AF333" s="50">
        <v>8</v>
      </c>
      <c r="AG333" s="50">
        <v>8</v>
      </c>
      <c r="AH333" s="50">
        <v>8</v>
      </c>
      <c r="AI333" s="50">
        <v>6</v>
      </c>
      <c r="AJ333" s="50">
        <v>6</v>
      </c>
      <c r="AK333" s="50">
        <v>8</v>
      </c>
      <c r="AL333" s="50">
        <v>8</v>
      </c>
      <c r="AM333" s="50">
        <v>8</v>
      </c>
      <c r="AN333" s="50">
        <v>8</v>
      </c>
      <c r="AO333" s="50">
        <v>6</v>
      </c>
      <c r="AP333" s="50">
        <v>6</v>
      </c>
      <c r="AQ333" s="2" t="e">
        <f t="shared" ca="1" si="123"/>
        <v>#NAME?</v>
      </c>
      <c r="AR333" s="49">
        <v>9</v>
      </c>
      <c r="AS333" s="49">
        <v>9</v>
      </c>
      <c r="AT333" s="50">
        <v>6</v>
      </c>
      <c r="AU333" s="50">
        <v>6</v>
      </c>
      <c r="AV333" s="50">
        <v>6</v>
      </c>
      <c r="AW333" s="54">
        <f t="shared" si="114"/>
        <v>8</v>
      </c>
      <c r="AX333" s="48">
        <v>7</v>
      </c>
      <c r="AY333" s="2">
        <v>7</v>
      </c>
      <c r="AZ333" s="2">
        <v>10</v>
      </c>
      <c r="BA333" s="2">
        <v>9</v>
      </c>
      <c r="BB333" s="2">
        <v>9</v>
      </c>
      <c r="BC333" s="2">
        <v>9</v>
      </c>
      <c r="BD333" s="2">
        <v>10</v>
      </c>
      <c r="BE333" s="2">
        <v>9</v>
      </c>
      <c r="BF333" s="2">
        <v>9</v>
      </c>
      <c r="BG333" s="2">
        <v>10</v>
      </c>
      <c r="BH333" s="2">
        <v>9</v>
      </c>
      <c r="BI333" s="57">
        <v>9</v>
      </c>
      <c r="BJ333" s="2" t="e">
        <f t="shared" ca="1" si="124"/>
        <v>#NAME?</v>
      </c>
      <c r="BK333" s="5">
        <v>9</v>
      </c>
      <c r="BL333" s="5">
        <v>9</v>
      </c>
      <c r="BM333" s="5">
        <v>9</v>
      </c>
      <c r="BN333" s="5">
        <v>9</v>
      </c>
      <c r="BO333" s="5">
        <v>9</v>
      </c>
      <c r="BP333" s="54">
        <f t="shared" si="115"/>
        <v>9</v>
      </c>
      <c r="BQ333" s="5"/>
      <c r="BR333" s="5">
        <v>10</v>
      </c>
      <c r="BS333" s="5">
        <v>10</v>
      </c>
      <c r="BT333" s="5">
        <v>10</v>
      </c>
      <c r="BU333" s="5">
        <v>10</v>
      </c>
      <c r="BV333" s="5">
        <v>10</v>
      </c>
      <c r="BW333" s="5">
        <v>10</v>
      </c>
      <c r="BX333" s="5">
        <v>10</v>
      </c>
      <c r="BY333" s="5">
        <v>10</v>
      </c>
      <c r="BZ333" s="5">
        <v>10</v>
      </c>
      <c r="CA333" s="5">
        <v>10</v>
      </c>
      <c r="CB333" s="5">
        <v>10</v>
      </c>
      <c r="CC333" s="2" t="e">
        <f t="shared" ca="1" si="125"/>
        <v>#NAME?</v>
      </c>
      <c r="CD333" s="55"/>
      <c r="CE333" s="2"/>
      <c r="CF333" s="2">
        <v>7</v>
      </c>
      <c r="CG333" s="2">
        <v>7</v>
      </c>
      <c r="CH333" s="2">
        <v>7</v>
      </c>
      <c r="CI333" s="2">
        <v>7</v>
      </c>
      <c r="CJ333" s="2">
        <v>7</v>
      </c>
      <c r="CK333" s="2">
        <v>7</v>
      </c>
      <c r="CL333" s="2">
        <v>7</v>
      </c>
      <c r="CM333" s="2">
        <v>7</v>
      </c>
      <c r="CN333" s="2">
        <v>7</v>
      </c>
      <c r="CO333" s="2">
        <v>7</v>
      </c>
      <c r="CP333" s="2" t="e">
        <f t="shared" ca="1" si="126"/>
        <v>#NAME?</v>
      </c>
      <c r="CQ333" s="2">
        <v>7</v>
      </c>
      <c r="CR333" s="2">
        <v>7</v>
      </c>
      <c r="CS333" s="2">
        <v>7</v>
      </c>
      <c r="CT333" s="2">
        <v>7</v>
      </c>
      <c r="CU333" s="2">
        <v>7</v>
      </c>
      <c r="CV333" s="54">
        <f t="shared" si="116"/>
        <v>7</v>
      </c>
      <c r="CW333" s="55"/>
      <c r="CX333" s="3"/>
    </row>
    <row r="334" spans="1:102" ht="16.5" x14ac:dyDescent="0.55000000000000004">
      <c r="A334" s="17">
        <v>1</v>
      </c>
      <c r="B334" s="17" t="s">
        <v>7</v>
      </c>
      <c r="C334" s="23" t="s">
        <v>708</v>
      </c>
      <c r="D334" s="24" t="s">
        <v>709</v>
      </c>
      <c r="E334" s="48" t="s">
        <v>31</v>
      </c>
      <c r="F334" s="2" t="s">
        <v>31</v>
      </c>
      <c r="G334" s="2">
        <v>10</v>
      </c>
      <c r="H334" s="2">
        <v>5</v>
      </c>
      <c r="I334" s="2">
        <v>5</v>
      </c>
      <c r="J334" s="2">
        <v>6</v>
      </c>
      <c r="K334" s="2">
        <v>6</v>
      </c>
      <c r="L334" s="2">
        <v>6</v>
      </c>
      <c r="M334" s="2">
        <v>6</v>
      </c>
      <c r="N334" s="2">
        <v>6</v>
      </c>
      <c r="O334" s="2">
        <v>6</v>
      </c>
      <c r="P334" s="2">
        <v>6</v>
      </c>
      <c r="Q334" s="2" t="e">
        <f t="shared" ca="1" si="122"/>
        <v>#NAME?</v>
      </c>
      <c r="R334" s="2">
        <v>5</v>
      </c>
      <c r="S334" s="2">
        <v>5</v>
      </c>
      <c r="T334" s="2">
        <v>5</v>
      </c>
      <c r="U334" s="2">
        <v>10</v>
      </c>
      <c r="V334" s="2">
        <v>10</v>
      </c>
      <c r="W334" s="54">
        <f t="shared" si="113"/>
        <v>7</v>
      </c>
      <c r="X334" s="48">
        <v>6</v>
      </c>
      <c r="Y334" s="48">
        <v>6</v>
      </c>
      <c r="Z334" s="2"/>
      <c r="AA334" s="49">
        <v>9</v>
      </c>
      <c r="AB334" s="49">
        <v>9</v>
      </c>
      <c r="AC334" s="49">
        <v>9</v>
      </c>
      <c r="AD334" s="49">
        <v>9</v>
      </c>
      <c r="AE334" s="49">
        <v>9</v>
      </c>
      <c r="AF334" s="49">
        <v>9</v>
      </c>
      <c r="AG334" s="49">
        <v>10</v>
      </c>
      <c r="AH334" s="49">
        <v>10</v>
      </c>
      <c r="AI334" s="49">
        <v>10</v>
      </c>
      <c r="AJ334" s="49">
        <v>10</v>
      </c>
      <c r="AK334" s="49">
        <v>9</v>
      </c>
      <c r="AL334" s="49">
        <v>9</v>
      </c>
      <c r="AM334" s="49">
        <v>10</v>
      </c>
      <c r="AN334" s="49">
        <v>10</v>
      </c>
      <c r="AO334" s="49">
        <v>10</v>
      </c>
      <c r="AP334" s="49">
        <v>10</v>
      </c>
      <c r="AQ334" s="2" t="e">
        <f t="shared" ca="1" si="123"/>
        <v>#NAME?</v>
      </c>
      <c r="AR334" s="49">
        <v>9</v>
      </c>
      <c r="AS334" s="49">
        <v>9</v>
      </c>
      <c r="AT334" s="49">
        <v>9</v>
      </c>
      <c r="AU334" s="49">
        <v>10</v>
      </c>
      <c r="AV334" s="49">
        <v>10</v>
      </c>
      <c r="AW334" s="54">
        <f t="shared" si="114"/>
        <v>10</v>
      </c>
      <c r="AX334" s="48">
        <v>7</v>
      </c>
      <c r="AY334" s="2">
        <v>8</v>
      </c>
      <c r="AZ334" s="2">
        <v>10</v>
      </c>
      <c r="BA334" s="2">
        <v>10</v>
      </c>
      <c r="BB334" s="2">
        <v>10</v>
      </c>
      <c r="BC334" s="2">
        <v>9</v>
      </c>
      <c r="BD334" s="2">
        <v>9</v>
      </c>
      <c r="BE334" s="2">
        <v>9</v>
      </c>
      <c r="BF334" s="2">
        <v>10</v>
      </c>
      <c r="BG334" s="2">
        <v>9</v>
      </c>
      <c r="BH334" s="2">
        <v>9</v>
      </c>
      <c r="BI334" s="57">
        <v>10</v>
      </c>
      <c r="BJ334" s="2" t="e">
        <f t="shared" ca="1" si="124"/>
        <v>#NAME?</v>
      </c>
      <c r="BK334" s="5">
        <v>9</v>
      </c>
      <c r="BL334" s="5">
        <v>9</v>
      </c>
      <c r="BM334" s="5">
        <v>9</v>
      </c>
      <c r="BN334" s="5">
        <v>9</v>
      </c>
      <c r="BO334" s="5">
        <v>9</v>
      </c>
      <c r="BP334" s="54">
        <f t="shared" si="115"/>
        <v>9</v>
      </c>
      <c r="BQ334" s="5"/>
      <c r="BR334" s="5">
        <v>10</v>
      </c>
      <c r="BS334" s="5">
        <v>10</v>
      </c>
      <c r="BT334" s="5">
        <v>10</v>
      </c>
      <c r="BU334" s="5">
        <v>10</v>
      </c>
      <c r="BV334" s="5">
        <v>10</v>
      </c>
      <c r="BW334" s="5">
        <v>10</v>
      </c>
      <c r="BX334" s="5">
        <v>10</v>
      </c>
      <c r="BY334" s="5">
        <v>10</v>
      </c>
      <c r="BZ334" s="5">
        <v>10</v>
      </c>
      <c r="CA334" s="5">
        <v>10</v>
      </c>
      <c r="CB334" s="5">
        <v>10</v>
      </c>
      <c r="CC334" s="2" t="e">
        <f t="shared" ca="1" si="125"/>
        <v>#NAME?</v>
      </c>
      <c r="CD334" s="55"/>
      <c r="CE334" s="2"/>
      <c r="CF334" s="2">
        <v>10</v>
      </c>
      <c r="CG334" s="2">
        <v>10</v>
      </c>
      <c r="CH334" s="2">
        <v>10</v>
      </c>
      <c r="CI334" s="2">
        <v>10</v>
      </c>
      <c r="CJ334" s="2">
        <v>10</v>
      </c>
      <c r="CK334" s="2">
        <v>10</v>
      </c>
      <c r="CL334" s="2">
        <v>10</v>
      </c>
      <c r="CM334" s="2">
        <v>10</v>
      </c>
      <c r="CN334" s="2">
        <v>10</v>
      </c>
      <c r="CO334" s="2">
        <v>10</v>
      </c>
      <c r="CP334" s="2" t="e">
        <f t="shared" ca="1" si="126"/>
        <v>#NAME?</v>
      </c>
      <c r="CQ334" s="2">
        <v>10</v>
      </c>
      <c r="CR334" s="2">
        <v>10</v>
      </c>
      <c r="CS334" s="2">
        <v>10</v>
      </c>
      <c r="CT334" s="2">
        <v>10</v>
      </c>
      <c r="CU334" s="2">
        <v>10</v>
      </c>
      <c r="CV334" s="54">
        <f t="shared" si="116"/>
        <v>10</v>
      </c>
      <c r="CW334" s="55"/>
      <c r="CX334" s="3"/>
    </row>
    <row r="335" spans="1:102" ht="16.5" x14ac:dyDescent="0.55000000000000004">
      <c r="A335" s="17">
        <v>1</v>
      </c>
      <c r="B335" s="17" t="s">
        <v>7</v>
      </c>
      <c r="C335" s="23" t="s">
        <v>710</v>
      </c>
      <c r="D335" s="24" t="s">
        <v>711</v>
      </c>
      <c r="E335" s="48" t="s">
        <v>31</v>
      </c>
      <c r="F335" s="2" t="s">
        <v>31</v>
      </c>
      <c r="G335" s="2">
        <v>6</v>
      </c>
      <c r="H335" s="2">
        <v>7</v>
      </c>
      <c r="I335" s="2">
        <v>6</v>
      </c>
      <c r="J335" s="2">
        <v>5</v>
      </c>
      <c r="K335" s="2">
        <v>5</v>
      </c>
      <c r="L335" s="2">
        <v>6</v>
      </c>
      <c r="M335" s="2">
        <v>6</v>
      </c>
      <c r="N335" s="2">
        <v>6</v>
      </c>
      <c r="O335" s="2">
        <v>6</v>
      </c>
      <c r="P335" s="2">
        <v>6</v>
      </c>
      <c r="Q335" s="2" t="e">
        <f t="shared" ca="1" si="122"/>
        <v>#NAME?</v>
      </c>
      <c r="R335" s="2">
        <v>5</v>
      </c>
      <c r="S335" s="2">
        <v>5</v>
      </c>
      <c r="T335" s="2">
        <v>5</v>
      </c>
      <c r="U335" s="2">
        <v>10</v>
      </c>
      <c r="V335" s="2">
        <v>10</v>
      </c>
      <c r="W335" s="54">
        <f t="shared" si="113"/>
        <v>7</v>
      </c>
      <c r="X335" s="48">
        <v>0</v>
      </c>
      <c r="Y335" s="48">
        <v>0</v>
      </c>
      <c r="Z335" s="2"/>
      <c r="AA335" s="49">
        <v>9</v>
      </c>
      <c r="AB335" s="95">
        <v>9</v>
      </c>
      <c r="AC335" s="49">
        <v>9</v>
      </c>
      <c r="AD335" s="49">
        <v>7</v>
      </c>
      <c r="AE335" s="49">
        <v>7</v>
      </c>
      <c r="AF335" s="50">
        <v>6</v>
      </c>
      <c r="AG335" s="50">
        <v>6</v>
      </c>
      <c r="AH335" s="50">
        <v>6</v>
      </c>
      <c r="AI335" s="50">
        <v>6</v>
      </c>
      <c r="AJ335" s="50">
        <v>6</v>
      </c>
      <c r="AK335" s="49">
        <v>7</v>
      </c>
      <c r="AL335" s="50">
        <v>6</v>
      </c>
      <c r="AM335" s="50">
        <v>6</v>
      </c>
      <c r="AN335" s="50">
        <v>6</v>
      </c>
      <c r="AO335" s="50">
        <v>6</v>
      </c>
      <c r="AP335" s="50">
        <v>6</v>
      </c>
      <c r="AQ335" s="2" t="e">
        <f t="shared" ca="1" si="123"/>
        <v>#NAME?</v>
      </c>
      <c r="AR335" s="49">
        <v>9</v>
      </c>
      <c r="AS335" s="49">
        <v>9</v>
      </c>
      <c r="AT335" s="49">
        <v>9</v>
      </c>
      <c r="AU335" s="50">
        <v>6</v>
      </c>
      <c r="AV335" s="50">
        <v>6</v>
      </c>
      <c r="AW335" s="54">
        <f t="shared" si="114"/>
        <v>8</v>
      </c>
      <c r="AX335" s="48">
        <v>7</v>
      </c>
      <c r="AY335" s="2">
        <v>8</v>
      </c>
      <c r="AZ335" s="2">
        <v>10</v>
      </c>
      <c r="BA335" s="2">
        <v>10</v>
      </c>
      <c r="BB335" s="2">
        <v>10</v>
      </c>
      <c r="BC335" s="2">
        <v>10</v>
      </c>
      <c r="BD335" s="2">
        <v>9</v>
      </c>
      <c r="BE335" s="2">
        <v>10</v>
      </c>
      <c r="BF335" s="2">
        <v>9</v>
      </c>
      <c r="BG335" s="2">
        <v>10</v>
      </c>
      <c r="BH335" s="2">
        <v>9</v>
      </c>
      <c r="BI335" s="57">
        <v>9</v>
      </c>
      <c r="BJ335" s="2" t="e">
        <f t="shared" ca="1" si="124"/>
        <v>#NAME?</v>
      </c>
      <c r="BK335" s="5">
        <v>9</v>
      </c>
      <c r="BL335" s="5">
        <v>9</v>
      </c>
      <c r="BM335" s="5">
        <v>9</v>
      </c>
      <c r="BN335" s="5">
        <v>9</v>
      </c>
      <c r="BO335" s="5">
        <v>9</v>
      </c>
      <c r="BP335" s="54">
        <f t="shared" si="115"/>
        <v>9</v>
      </c>
      <c r="BQ335" s="5"/>
      <c r="BR335" s="5">
        <v>10</v>
      </c>
      <c r="BS335" s="5">
        <v>10</v>
      </c>
      <c r="BT335" s="5">
        <v>10</v>
      </c>
      <c r="BU335" s="5">
        <v>10</v>
      </c>
      <c r="BV335" s="5">
        <v>10</v>
      </c>
      <c r="BW335" s="5">
        <v>10</v>
      </c>
      <c r="BX335" s="5">
        <v>10</v>
      </c>
      <c r="BY335" s="5">
        <v>10</v>
      </c>
      <c r="BZ335" s="5">
        <v>10</v>
      </c>
      <c r="CA335" s="5">
        <v>10</v>
      </c>
      <c r="CB335" s="5">
        <v>10</v>
      </c>
      <c r="CC335" s="2" t="e">
        <f t="shared" ca="1" si="125"/>
        <v>#NAME?</v>
      </c>
      <c r="CD335" s="55"/>
      <c r="CE335" s="2"/>
      <c r="CF335" s="2">
        <v>10</v>
      </c>
      <c r="CG335" s="2">
        <v>10</v>
      </c>
      <c r="CH335" s="8">
        <v>10</v>
      </c>
      <c r="CI335" s="8">
        <v>10</v>
      </c>
      <c r="CJ335" s="2">
        <v>10</v>
      </c>
      <c r="CK335" s="2">
        <v>10</v>
      </c>
      <c r="CL335" s="2">
        <v>10</v>
      </c>
      <c r="CM335" s="2">
        <v>10</v>
      </c>
      <c r="CN335" s="2">
        <v>10</v>
      </c>
      <c r="CO335" s="2">
        <v>10</v>
      </c>
      <c r="CP335" s="2" t="e">
        <f t="shared" ca="1" si="126"/>
        <v>#NAME?</v>
      </c>
      <c r="CQ335" s="2">
        <v>10</v>
      </c>
      <c r="CR335" s="2">
        <v>10</v>
      </c>
      <c r="CS335" s="2">
        <v>10</v>
      </c>
      <c r="CT335" s="2">
        <v>10</v>
      </c>
      <c r="CU335" s="2">
        <v>10</v>
      </c>
      <c r="CV335" s="54">
        <f t="shared" si="116"/>
        <v>10</v>
      </c>
      <c r="CW335" s="55"/>
      <c r="CX335" s="3"/>
    </row>
    <row r="336" spans="1:102" ht="16.5" x14ac:dyDescent="0.55000000000000004">
      <c r="A336" s="17">
        <v>1</v>
      </c>
      <c r="B336" s="17" t="s">
        <v>7</v>
      </c>
      <c r="C336" s="23" t="s">
        <v>712</v>
      </c>
      <c r="D336" s="24" t="s">
        <v>713</v>
      </c>
      <c r="E336" s="48" t="s">
        <v>31</v>
      </c>
      <c r="F336" s="2" t="s">
        <v>714</v>
      </c>
      <c r="G336" s="2">
        <v>10</v>
      </c>
      <c r="H336" s="2">
        <v>7</v>
      </c>
      <c r="I336" s="2">
        <v>7</v>
      </c>
      <c r="J336" s="2">
        <v>6</v>
      </c>
      <c r="K336" s="2">
        <v>6</v>
      </c>
      <c r="L336" s="2">
        <v>6</v>
      </c>
      <c r="M336" s="2">
        <v>6</v>
      </c>
      <c r="N336" s="2">
        <v>6</v>
      </c>
      <c r="O336" s="2">
        <v>6</v>
      </c>
      <c r="P336" s="2">
        <v>6</v>
      </c>
      <c r="Q336" s="2" t="e">
        <f t="shared" ca="1" si="122"/>
        <v>#NAME?</v>
      </c>
      <c r="R336" s="2">
        <v>5</v>
      </c>
      <c r="S336" s="2">
        <v>5</v>
      </c>
      <c r="T336" s="2">
        <v>5</v>
      </c>
      <c r="U336" s="2">
        <v>10</v>
      </c>
      <c r="V336" s="2">
        <v>10</v>
      </c>
      <c r="W336" s="54">
        <f t="shared" si="113"/>
        <v>7</v>
      </c>
      <c r="X336" s="48">
        <v>9</v>
      </c>
      <c r="Y336" s="48">
        <v>9</v>
      </c>
      <c r="Z336" s="2"/>
      <c r="AA336" s="49">
        <v>9</v>
      </c>
      <c r="AB336" s="95">
        <v>9</v>
      </c>
      <c r="AC336" s="49">
        <v>9</v>
      </c>
      <c r="AD336" s="49">
        <v>9</v>
      </c>
      <c r="AE336" s="49">
        <v>9</v>
      </c>
      <c r="AF336" s="49">
        <v>9</v>
      </c>
      <c r="AG336" s="49">
        <v>10</v>
      </c>
      <c r="AH336" s="49">
        <v>10</v>
      </c>
      <c r="AI336" s="49">
        <v>10</v>
      </c>
      <c r="AJ336" s="49">
        <v>10</v>
      </c>
      <c r="AK336" s="49">
        <v>9</v>
      </c>
      <c r="AL336" s="49">
        <v>9</v>
      </c>
      <c r="AM336" s="49">
        <v>10</v>
      </c>
      <c r="AN336" s="49">
        <v>10</v>
      </c>
      <c r="AO336" s="49">
        <v>10</v>
      </c>
      <c r="AP336" s="49">
        <v>10</v>
      </c>
      <c r="AQ336" s="2" t="e">
        <f t="shared" ca="1" si="123"/>
        <v>#NAME?</v>
      </c>
      <c r="AR336" s="49">
        <v>9</v>
      </c>
      <c r="AS336" s="49">
        <v>9</v>
      </c>
      <c r="AT336" s="49">
        <v>9</v>
      </c>
      <c r="AU336" s="49">
        <v>10</v>
      </c>
      <c r="AV336" s="49">
        <v>10</v>
      </c>
      <c r="AW336" s="54">
        <f t="shared" si="114"/>
        <v>10</v>
      </c>
      <c r="AX336" s="48">
        <v>7</v>
      </c>
      <c r="AY336" s="2">
        <v>8</v>
      </c>
      <c r="AZ336" s="2">
        <v>10</v>
      </c>
      <c r="BA336" s="2">
        <v>10</v>
      </c>
      <c r="BB336" s="2">
        <v>10</v>
      </c>
      <c r="BC336" s="2">
        <v>9</v>
      </c>
      <c r="BD336" s="2">
        <v>10</v>
      </c>
      <c r="BE336" s="2">
        <v>9</v>
      </c>
      <c r="BF336" s="2">
        <v>10</v>
      </c>
      <c r="BG336" s="2">
        <v>9</v>
      </c>
      <c r="BH336" s="2">
        <v>10</v>
      </c>
      <c r="BI336" s="57">
        <v>9</v>
      </c>
      <c r="BJ336" s="2" t="e">
        <f t="shared" ca="1" si="124"/>
        <v>#NAME?</v>
      </c>
      <c r="BK336" s="5">
        <v>9</v>
      </c>
      <c r="BL336" s="5">
        <v>9</v>
      </c>
      <c r="BM336" s="5">
        <v>9</v>
      </c>
      <c r="BN336" s="5">
        <v>9</v>
      </c>
      <c r="BO336" s="5">
        <v>9</v>
      </c>
      <c r="BP336" s="54">
        <f t="shared" si="115"/>
        <v>9</v>
      </c>
      <c r="BQ336" s="5"/>
      <c r="BR336" s="5">
        <v>10</v>
      </c>
      <c r="BS336" s="5">
        <v>10</v>
      </c>
      <c r="BT336" s="5">
        <v>10</v>
      </c>
      <c r="BU336" s="5">
        <v>10</v>
      </c>
      <c r="BV336" s="5">
        <v>10</v>
      </c>
      <c r="BW336" s="5">
        <v>10</v>
      </c>
      <c r="BX336" s="5">
        <v>10</v>
      </c>
      <c r="BY336" s="5">
        <v>10</v>
      </c>
      <c r="BZ336" s="5">
        <v>10</v>
      </c>
      <c r="CA336" s="5">
        <v>10</v>
      </c>
      <c r="CB336" s="5">
        <v>10</v>
      </c>
      <c r="CC336" s="2" t="e">
        <f t="shared" ca="1" si="125"/>
        <v>#NAME?</v>
      </c>
      <c r="CD336" s="55"/>
      <c r="CE336" s="2"/>
      <c r="CF336" s="2">
        <v>10</v>
      </c>
      <c r="CG336" s="2">
        <v>10</v>
      </c>
      <c r="CH336" s="2">
        <v>10</v>
      </c>
      <c r="CI336" s="2">
        <v>10</v>
      </c>
      <c r="CJ336" s="2">
        <v>10</v>
      </c>
      <c r="CK336" s="2">
        <v>10</v>
      </c>
      <c r="CL336" s="2">
        <v>10</v>
      </c>
      <c r="CM336" s="2">
        <v>10</v>
      </c>
      <c r="CN336" s="2">
        <v>10</v>
      </c>
      <c r="CO336" s="2">
        <v>10</v>
      </c>
      <c r="CP336" s="2" t="e">
        <f t="shared" ca="1" si="126"/>
        <v>#NAME?</v>
      </c>
      <c r="CQ336" s="2">
        <v>10</v>
      </c>
      <c r="CR336" s="2">
        <v>10</v>
      </c>
      <c r="CS336" s="2">
        <v>10</v>
      </c>
      <c r="CT336" s="2">
        <v>10</v>
      </c>
      <c r="CU336" s="2">
        <v>10</v>
      </c>
      <c r="CV336" s="54">
        <f t="shared" si="116"/>
        <v>10</v>
      </c>
      <c r="CW336" s="55"/>
      <c r="CX336" s="3"/>
    </row>
    <row r="337" spans="1:102" ht="16.5" x14ac:dyDescent="0.55000000000000004">
      <c r="A337" s="17">
        <v>1</v>
      </c>
      <c r="B337" s="17" t="s">
        <v>7</v>
      </c>
      <c r="C337" s="23" t="s">
        <v>715</v>
      </c>
      <c r="D337" s="24" t="s">
        <v>716</v>
      </c>
      <c r="E337" s="48" t="s">
        <v>31</v>
      </c>
      <c r="F337" s="2" t="s">
        <v>31</v>
      </c>
      <c r="G337" s="2">
        <v>5</v>
      </c>
      <c r="H337" s="2">
        <v>5</v>
      </c>
      <c r="I337" s="2">
        <v>5</v>
      </c>
      <c r="J337" s="2">
        <v>5</v>
      </c>
      <c r="K337" s="2">
        <v>5</v>
      </c>
      <c r="L337" s="2">
        <v>6</v>
      </c>
      <c r="M337" s="2">
        <v>6</v>
      </c>
      <c r="N337" s="2">
        <v>6</v>
      </c>
      <c r="O337" s="2">
        <v>6</v>
      </c>
      <c r="P337" s="2">
        <v>6</v>
      </c>
      <c r="Q337" s="2" t="e">
        <f t="shared" ca="1" si="122"/>
        <v>#NAME?</v>
      </c>
      <c r="R337" s="2"/>
      <c r="S337" s="2"/>
      <c r="T337" s="2"/>
      <c r="U337" s="2"/>
      <c r="V337" s="2"/>
      <c r="W337" s="54">
        <f t="shared" si="113"/>
        <v>0</v>
      </c>
      <c r="X337" s="48">
        <v>0</v>
      </c>
      <c r="Y337" s="48">
        <v>0</v>
      </c>
      <c r="Z337" s="2"/>
      <c r="AA337" s="49">
        <v>7</v>
      </c>
      <c r="AB337" s="49">
        <v>7</v>
      </c>
      <c r="AC337" s="49">
        <v>7</v>
      </c>
      <c r="AD337" s="49">
        <v>7</v>
      </c>
      <c r="AE337" s="49">
        <v>7</v>
      </c>
      <c r="AF337" s="49">
        <v>7</v>
      </c>
      <c r="AG337" s="49">
        <v>7</v>
      </c>
      <c r="AH337" s="49">
        <v>7</v>
      </c>
      <c r="AI337" s="49">
        <v>7</v>
      </c>
      <c r="AJ337" s="49">
        <v>7</v>
      </c>
      <c r="AK337" s="49">
        <v>7</v>
      </c>
      <c r="AL337" s="49">
        <v>7</v>
      </c>
      <c r="AM337" s="49">
        <v>7</v>
      </c>
      <c r="AN337" s="49">
        <v>7</v>
      </c>
      <c r="AO337" s="49">
        <v>7</v>
      </c>
      <c r="AP337" s="49">
        <v>7</v>
      </c>
      <c r="AQ337" s="2" t="e">
        <f t="shared" ca="1" si="123"/>
        <v>#NAME?</v>
      </c>
      <c r="AR337" s="50">
        <v>6</v>
      </c>
      <c r="AS337" s="50">
        <v>6</v>
      </c>
      <c r="AT337" s="50">
        <v>6</v>
      </c>
      <c r="AU337" s="50">
        <v>6</v>
      </c>
      <c r="AV337" s="50">
        <v>6</v>
      </c>
      <c r="AW337" s="54">
        <f t="shared" si="114"/>
        <v>6</v>
      </c>
      <c r="AX337" s="48">
        <v>7</v>
      </c>
      <c r="AY337" s="2">
        <v>7</v>
      </c>
      <c r="AZ337" s="2">
        <v>10</v>
      </c>
      <c r="BA337" s="2">
        <v>9</v>
      </c>
      <c r="BB337" s="2">
        <v>9</v>
      </c>
      <c r="BC337" s="2">
        <v>9</v>
      </c>
      <c r="BD337" s="2">
        <v>9</v>
      </c>
      <c r="BE337" s="2">
        <v>9</v>
      </c>
      <c r="BF337" s="2">
        <v>9</v>
      </c>
      <c r="BG337" s="2">
        <v>10</v>
      </c>
      <c r="BH337" s="2">
        <v>10</v>
      </c>
      <c r="BI337" s="57">
        <v>10</v>
      </c>
      <c r="BJ337" s="2" t="e">
        <f t="shared" ca="1" si="124"/>
        <v>#NAME?</v>
      </c>
      <c r="BK337" s="5">
        <v>9</v>
      </c>
      <c r="BL337" s="5">
        <v>9</v>
      </c>
      <c r="BM337" s="5">
        <v>9</v>
      </c>
      <c r="BN337" s="5">
        <v>9</v>
      </c>
      <c r="BO337" s="5">
        <v>8</v>
      </c>
      <c r="BP337" s="54">
        <f t="shared" si="115"/>
        <v>9</v>
      </c>
      <c r="BQ337" s="5"/>
      <c r="BR337" s="5">
        <v>10</v>
      </c>
      <c r="BS337" s="5">
        <v>10</v>
      </c>
      <c r="BT337" s="5">
        <v>10</v>
      </c>
      <c r="BU337" s="5">
        <v>10</v>
      </c>
      <c r="BV337" s="5">
        <v>10</v>
      </c>
      <c r="BW337" s="5">
        <v>10</v>
      </c>
      <c r="BX337" s="5">
        <v>10</v>
      </c>
      <c r="BY337" s="5">
        <v>10</v>
      </c>
      <c r="BZ337" s="5">
        <v>10</v>
      </c>
      <c r="CA337" s="5">
        <v>10</v>
      </c>
      <c r="CB337" s="5">
        <v>10</v>
      </c>
      <c r="CC337" s="2" t="e">
        <f t="shared" ca="1" si="125"/>
        <v>#NAME?</v>
      </c>
      <c r="CD337" s="55"/>
      <c r="CE337" s="2"/>
      <c r="CF337" s="2">
        <v>10</v>
      </c>
      <c r="CG337" s="2">
        <v>8</v>
      </c>
      <c r="CH337" s="8">
        <v>10</v>
      </c>
      <c r="CI337" s="8">
        <v>10</v>
      </c>
      <c r="CJ337" s="2">
        <v>8</v>
      </c>
      <c r="CK337" s="2">
        <v>8</v>
      </c>
      <c r="CL337" s="2">
        <v>8</v>
      </c>
      <c r="CM337" s="2">
        <v>10</v>
      </c>
      <c r="CN337" s="2">
        <v>10</v>
      </c>
      <c r="CO337" s="2">
        <v>10</v>
      </c>
      <c r="CP337" s="2" t="e">
        <f t="shared" ca="1" si="126"/>
        <v>#NAME?</v>
      </c>
      <c r="CQ337" s="2">
        <v>8</v>
      </c>
      <c r="CR337" s="2">
        <v>7</v>
      </c>
      <c r="CS337" s="2">
        <v>7</v>
      </c>
      <c r="CT337" s="2">
        <v>7</v>
      </c>
      <c r="CU337" s="2">
        <v>7</v>
      </c>
      <c r="CV337" s="54">
        <f t="shared" si="116"/>
        <v>8</v>
      </c>
      <c r="CW337" s="55"/>
      <c r="CX337" s="3"/>
    </row>
    <row r="338" spans="1:102" ht="16.5" x14ac:dyDescent="0.55000000000000004">
      <c r="A338" s="17">
        <v>1</v>
      </c>
      <c r="B338" s="22" t="s">
        <v>7</v>
      </c>
      <c r="C338" s="23" t="s">
        <v>717</v>
      </c>
      <c r="D338" s="24" t="s">
        <v>718</v>
      </c>
      <c r="E338" s="48"/>
      <c r="F338" s="2"/>
      <c r="G338" s="2">
        <v>6</v>
      </c>
      <c r="H338" s="2">
        <v>6</v>
      </c>
      <c r="I338" s="2">
        <v>6</v>
      </c>
      <c r="J338" s="2">
        <v>6</v>
      </c>
      <c r="K338" s="2">
        <v>6</v>
      </c>
      <c r="L338" s="2">
        <v>6</v>
      </c>
      <c r="M338" s="2">
        <v>6</v>
      </c>
      <c r="N338" s="2">
        <v>6</v>
      </c>
      <c r="O338" s="2">
        <v>6</v>
      </c>
      <c r="P338" s="2">
        <v>6</v>
      </c>
      <c r="Q338" s="2" t="e">
        <f t="shared" ca="1" si="122"/>
        <v>#NAME?</v>
      </c>
      <c r="R338" s="2"/>
      <c r="S338" s="2"/>
      <c r="T338" s="2"/>
      <c r="U338" s="2"/>
      <c r="V338" s="2"/>
      <c r="W338" s="54">
        <f t="shared" si="113"/>
        <v>0</v>
      </c>
      <c r="X338" s="48">
        <v>0</v>
      </c>
      <c r="Y338" s="48">
        <v>0</v>
      </c>
      <c r="Z338" s="2"/>
      <c r="AA338" s="50">
        <v>7</v>
      </c>
      <c r="AB338" s="50">
        <v>7</v>
      </c>
      <c r="AC338" s="50">
        <v>7</v>
      </c>
      <c r="AD338" s="50">
        <v>7</v>
      </c>
      <c r="AE338" s="50">
        <v>7</v>
      </c>
      <c r="AF338" s="50">
        <v>7</v>
      </c>
      <c r="AG338" s="50">
        <v>6</v>
      </c>
      <c r="AH338" s="50">
        <v>6</v>
      </c>
      <c r="AI338" s="50">
        <v>6</v>
      </c>
      <c r="AJ338" s="50">
        <v>6</v>
      </c>
      <c r="AK338" s="50">
        <v>7</v>
      </c>
      <c r="AL338" s="50">
        <v>7</v>
      </c>
      <c r="AM338" s="50">
        <v>6</v>
      </c>
      <c r="AN338" s="50">
        <v>6</v>
      </c>
      <c r="AO338" s="50">
        <v>6</v>
      </c>
      <c r="AP338" s="50">
        <v>6</v>
      </c>
      <c r="AQ338" s="2" t="e">
        <f t="shared" ca="1" si="123"/>
        <v>#NAME?</v>
      </c>
      <c r="AR338" s="50">
        <v>6</v>
      </c>
      <c r="AS338" s="50">
        <v>6</v>
      </c>
      <c r="AT338" s="50">
        <v>6</v>
      </c>
      <c r="AU338" s="50">
        <v>6</v>
      </c>
      <c r="AV338" s="50">
        <v>6</v>
      </c>
      <c r="AW338" s="54">
        <f t="shared" si="114"/>
        <v>6</v>
      </c>
      <c r="AX338" s="48">
        <v>6</v>
      </c>
      <c r="AY338" s="2">
        <v>7</v>
      </c>
      <c r="AZ338" s="2">
        <v>6</v>
      </c>
      <c r="BA338" s="2">
        <v>6</v>
      </c>
      <c r="BB338" s="2">
        <v>6</v>
      </c>
      <c r="BC338" s="2">
        <v>6</v>
      </c>
      <c r="BD338" s="2">
        <v>6</v>
      </c>
      <c r="BE338" s="2">
        <v>6</v>
      </c>
      <c r="BF338" s="2">
        <v>6</v>
      </c>
      <c r="BG338" s="2">
        <v>6</v>
      </c>
      <c r="BH338" s="2">
        <v>6</v>
      </c>
      <c r="BI338" s="57">
        <v>6</v>
      </c>
      <c r="BJ338" s="2" t="e">
        <f t="shared" ca="1" si="124"/>
        <v>#NAME?</v>
      </c>
      <c r="BK338" s="5">
        <v>6</v>
      </c>
      <c r="BL338" s="5">
        <v>6</v>
      </c>
      <c r="BM338" s="5">
        <v>6</v>
      </c>
      <c r="BN338" s="5">
        <v>6</v>
      </c>
      <c r="BO338" s="5">
        <v>6</v>
      </c>
      <c r="BP338" s="54">
        <f t="shared" si="115"/>
        <v>6</v>
      </c>
      <c r="BQ338" s="5"/>
      <c r="BR338" s="5">
        <v>10</v>
      </c>
      <c r="BS338" s="5">
        <v>10</v>
      </c>
      <c r="BT338" s="5">
        <v>10</v>
      </c>
      <c r="BU338" s="5">
        <v>10</v>
      </c>
      <c r="BV338" s="5">
        <v>10</v>
      </c>
      <c r="BW338" s="5">
        <v>10</v>
      </c>
      <c r="BX338" s="5">
        <v>10</v>
      </c>
      <c r="BY338" s="5">
        <v>10</v>
      </c>
      <c r="BZ338" s="5">
        <v>10</v>
      </c>
      <c r="CA338" s="5">
        <v>10</v>
      </c>
      <c r="CB338" s="5">
        <v>10</v>
      </c>
      <c r="CC338" s="2" t="e">
        <f t="shared" ca="1" si="125"/>
        <v>#NAME?</v>
      </c>
      <c r="CD338" s="55"/>
      <c r="CE338" s="2"/>
      <c r="CF338" s="2">
        <v>7</v>
      </c>
      <c r="CG338" s="2">
        <v>7</v>
      </c>
      <c r="CH338" s="2">
        <v>7</v>
      </c>
      <c r="CI338" s="2">
        <v>7</v>
      </c>
      <c r="CJ338" s="2">
        <v>8</v>
      </c>
      <c r="CK338" s="2">
        <v>8</v>
      </c>
      <c r="CL338" s="2">
        <v>8</v>
      </c>
      <c r="CM338" s="2">
        <v>8</v>
      </c>
      <c r="CN338" s="2">
        <v>10</v>
      </c>
      <c r="CO338" s="2">
        <v>10</v>
      </c>
      <c r="CP338" s="2" t="e">
        <f t="shared" ca="1" si="126"/>
        <v>#NAME?</v>
      </c>
      <c r="CQ338" s="2">
        <v>6</v>
      </c>
      <c r="CR338" s="2">
        <v>6</v>
      </c>
      <c r="CS338" s="2">
        <v>6</v>
      </c>
      <c r="CT338" s="2">
        <v>6</v>
      </c>
      <c r="CU338" s="2">
        <v>6</v>
      </c>
      <c r="CV338" s="54">
        <f t="shared" si="116"/>
        <v>6</v>
      </c>
      <c r="CW338" s="55"/>
      <c r="CX338" s="3"/>
    </row>
    <row r="339" spans="1:102" ht="16.5" x14ac:dyDescent="0.55000000000000004">
      <c r="A339" s="3">
        <v>1</v>
      </c>
      <c r="B339" s="32" t="s">
        <v>7</v>
      </c>
      <c r="C339" s="32" t="s">
        <v>719</v>
      </c>
      <c r="D339" s="4" t="s">
        <v>720</v>
      </c>
      <c r="E339" s="48">
        <v>0</v>
      </c>
      <c r="F339" s="2">
        <v>0</v>
      </c>
      <c r="G339" s="2" t="s">
        <v>50</v>
      </c>
      <c r="H339" s="2" t="s">
        <v>50</v>
      </c>
      <c r="I339" s="2" t="s">
        <v>50</v>
      </c>
      <c r="J339" s="2" t="s">
        <v>50</v>
      </c>
      <c r="K339" s="2" t="s">
        <v>50</v>
      </c>
      <c r="L339" s="2" t="s">
        <v>50</v>
      </c>
      <c r="M339" s="2" t="s">
        <v>50</v>
      </c>
      <c r="N339" s="2" t="s">
        <v>50</v>
      </c>
      <c r="O339" s="2" t="s">
        <v>50</v>
      </c>
      <c r="P339" s="2" t="s">
        <v>50</v>
      </c>
      <c r="Q339" s="2" t="e">
        <f t="shared" ca="1" si="122"/>
        <v>#NAME?</v>
      </c>
      <c r="R339" s="2" t="s">
        <v>50</v>
      </c>
      <c r="S339" s="2" t="s">
        <v>50</v>
      </c>
      <c r="T339" s="2" t="s">
        <v>50</v>
      </c>
      <c r="U339" s="2" t="s">
        <v>50</v>
      </c>
      <c r="V339" s="2" t="s">
        <v>50</v>
      </c>
      <c r="W339" s="54">
        <f t="shared" si="113"/>
        <v>0</v>
      </c>
      <c r="X339" s="48">
        <v>0</v>
      </c>
      <c r="Y339" s="48">
        <v>0</v>
      </c>
      <c r="Z339" s="2"/>
      <c r="AA339" s="49">
        <v>0</v>
      </c>
      <c r="AB339" s="49">
        <v>0</v>
      </c>
      <c r="AC339" s="49">
        <v>0</v>
      </c>
      <c r="AD339" s="49">
        <v>0</v>
      </c>
      <c r="AE339" s="49">
        <v>0</v>
      </c>
      <c r="AF339" s="49">
        <v>0</v>
      </c>
      <c r="AG339" s="49">
        <v>0</v>
      </c>
      <c r="AH339" s="49">
        <v>0</v>
      </c>
      <c r="AI339" s="49">
        <v>0</v>
      </c>
      <c r="AJ339" s="49">
        <v>0</v>
      </c>
      <c r="AK339" s="49">
        <v>0</v>
      </c>
      <c r="AL339" s="49">
        <v>0</v>
      </c>
      <c r="AM339" s="49">
        <v>0</v>
      </c>
      <c r="AN339" s="49">
        <v>0</v>
      </c>
      <c r="AO339" s="49">
        <v>0</v>
      </c>
      <c r="AP339" s="49">
        <v>0</v>
      </c>
      <c r="AQ339" s="2" t="e">
        <f t="shared" ca="1" si="123"/>
        <v>#NAME?</v>
      </c>
      <c r="AR339" s="49">
        <v>0</v>
      </c>
      <c r="AS339" s="49">
        <v>0</v>
      </c>
      <c r="AT339" s="50">
        <v>0</v>
      </c>
      <c r="AU339" s="50">
        <v>0</v>
      </c>
      <c r="AV339" s="50">
        <v>0</v>
      </c>
      <c r="AW339" s="54">
        <f t="shared" si="114"/>
        <v>0</v>
      </c>
      <c r="AX339" s="48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57">
        <v>0</v>
      </c>
      <c r="BJ339" s="2" t="e">
        <f t="shared" ca="1" si="124"/>
        <v>#NAME?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4">
        <f t="shared" si="115"/>
        <v>0</v>
      </c>
      <c r="BQ339" s="5"/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2" t="e">
        <f t="shared" ca="1" si="125"/>
        <v>#NAME?</v>
      </c>
      <c r="CD339" s="55"/>
      <c r="CE339" s="2"/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 t="e">
        <f t="shared" ca="1" si="126"/>
        <v>#NAME?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54">
        <f t="shared" si="116"/>
        <v>0</v>
      </c>
      <c r="CW339" s="55"/>
      <c r="CX339" s="3"/>
    </row>
    <row r="340" spans="1:102" ht="16.5" x14ac:dyDescent="0.55000000000000004">
      <c r="A340" s="17">
        <v>1</v>
      </c>
      <c r="B340" s="17" t="s">
        <v>7</v>
      </c>
      <c r="C340" s="23" t="s">
        <v>721</v>
      </c>
      <c r="D340" s="24" t="s">
        <v>722</v>
      </c>
      <c r="E340" s="48">
        <v>8</v>
      </c>
      <c r="F340" s="2">
        <v>8</v>
      </c>
      <c r="G340" s="2">
        <v>10</v>
      </c>
      <c r="H340" s="2">
        <v>10</v>
      </c>
      <c r="I340" s="2">
        <v>10</v>
      </c>
      <c r="J340" s="2">
        <v>10</v>
      </c>
      <c r="K340" s="2">
        <v>10</v>
      </c>
      <c r="L340" s="2">
        <v>10</v>
      </c>
      <c r="M340" s="2">
        <v>10</v>
      </c>
      <c r="N340" s="2">
        <v>10</v>
      </c>
      <c r="O340" s="2">
        <v>10</v>
      </c>
      <c r="P340" s="2">
        <v>10</v>
      </c>
      <c r="Q340" s="2" t="e">
        <f t="shared" ca="1" si="122"/>
        <v>#NAME?</v>
      </c>
      <c r="R340" s="2">
        <v>10</v>
      </c>
      <c r="S340" s="2">
        <v>10</v>
      </c>
      <c r="T340" s="2">
        <v>10</v>
      </c>
      <c r="U340" s="2">
        <v>10</v>
      </c>
      <c r="V340" s="2">
        <v>10</v>
      </c>
      <c r="W340" s="54">
        <f t="shared" si="113"/>
        <v>10</v>
      </c>
      <c r="X340" s="48">
        <v>6</v>
      </c>
      <c r="Y340" s="48">
        <v>6</v>
      </c>
      <c r="Z340" s="2"/>
      <c r="AA340" s="49">
        <v>10</v>
      </c>
      <c r="AB340" s="49">
        <v>10</v>
      </c>
      <c r="AC340" s="49">
        <v>10</v>
      </c>
      <c r="AD340" s="49">
        <v>9</v>
      </c>
      <c r="AE340" s="49">
        <v>9</v>
      </c>
      <c r="AF340" s="49">
        <v>9</v>
      </c>
      <c r="AG340" s="49">
        <v>10</v>
      </c>
      <c r="AH340" s="49">
        <v>10</v>
      </c>
      <c r="AI340" s="49">
        <v>10</v>
      </c>
      <c r="AJ340" s="49">
        <v>10</v>
      </c>
      <c r="AK340" s="49">
        <v>9</v>
      </c>
      <c r="AL340" s="49">
        <v>9</v>
      </c>
      <c r="AM340" s="49">
        <v>10</v>
      </c>
      <c r="AN340" s="49">
        <v>10</v>
      </c>
      <c r="AO340" s="49">
        <v>10</v>
      </c>
      <c r="AP340" s="49">
        <v>10</v>
      </c>
      <c r="AQ340" s="2" t="e">
        <f t="shared" ca="1" si="123"/>
        <v>#NAME?</v>
      </c>
      <c r="AR340" s="49">
        <v>10</v>
      </c>
      <c r="AS340" s="49">
        <v>10</v>
      </c>
      <c r="AT340" s="49">
        <v>10</v>
      </c>
      <c r="AU340" s="49">
        <v>10</v>
      </c>
      <c r="AV340" s="49">
        <v>10</v>
      </c>
      <c r="AW340" s="54">
        <f t="shared" si="114"/>
        <v>10</v>
      </c>
      <c r="AX340" s="48">
        <v>8</v>
      </c>
      <c r="AY340" s="2">
        <v>8</v>
      </c>
      <c r="AZ340" s="2">
        <v>10</v>
      </c>
      <c r="BA340" s="2">
        <v>10</v>
      </c>
      <c r="BB340" s="2">
        <v>10</v>
      </c>
      <c r="BC340" s="2">
        <v>10</v>
      </c>
      <c r="BD340" s="2">
        <v>10</v>
      </c>
      <c r="BE340" s="2">
        <v>10</v>
      </c>
      <c r="BF340" s="2">
        <v>10</v>
      </c>
      <c r="BG340" s="2">
        <v>10</v>
      </c>
      <c r="BH340" s="2">
        <v>10</v>
      </c>
      <c r="BI340" s="57">
        <v>10</v>
      </c>
      <c r="BJ340" s="2" t="e">
        <f t="shared" ca="1" si="124"/>
        <v>#NAME?</v>
      </c>
      <c r="BK340" s="5">
        <v>10</v>
      </c>
      <c r="BL340" s="5">
        <v>10</v>
      </c>
      <c r="BM340" s="5">
        <v>10</v>
      </c>
      <c r="BN340" s="5">
        <v>10</v>
      </c>
      <c r="BO340" s="5">
        <v>10</v>
      </c>
      <c r="BP340" s="54">
        <f t="shared" si="115"/>
        <v>10</v>
      </c>
      <c r="BQ340" s="5"/>
      <c r="BR340" s="5">
        <v>10</v>
      </c>
      <c r="BS340" s="5">
        <v>10</v>
      </c>
      <c r="BT340" s="5">
        <v>10</v>
      </c>
      <c r="BU340" s="5">
        <v>10</v>
      </c>
      <c r="BV340" s="5">
        <v>10</v>
      </c>
      <c r="BW340" s="5">
        <v>10</v>
      </c>
      <c r="BX340" s="5">
        <v>10</v>
      </c>
      <c r="BY340" s="5">
        <v>10</v>
      </c>
      <c r="BZ340" s="5">
        <v>10</v>
      </c>
      <c r="CA340" s="5">
        <v>10</v>
      </c>
      <c r="CB340" s="5">
        <v>10</v>
      </c>
      <c r="CC340" s="2" t="e">
        <f t="shared" ca="1" si="125"/>
        <v>#NAME?</v>
      </c>
      <c r="CD340" s="55"/>
      <c r="CE340" s="2"/>
      <c r="CF340" s="2">
        <v>10</v>
      </c>
      <c r="CG340" s="2">
        <v>10</v>
      </c>
      <c r="CH340" s="2">
        <v>10</v>
      </c>
      <c r="CI340" s="2">
        <v>10</v>
      </c>
      <c r="CJ340" s="2">
        <v>10</v>
      </c>
      <c r="CK340" s="2">
        <v>10</v>
      </c>
      <c r="CL340" s="2">
        <v>10</v>
      </c>
      <c r="CM340" s="2">
        <v>10</v>
      </c>
      <c r="CN340" s="2">
        <v>10</v>
      </c>
      <c r="CO340" s="2">
        <v>10</v>
      </c>
      <c r="CP340" s="2" t="e">
        <f t="shared" ca="1" si="126"/>
        <v>#NAME?</v>
      </c>
      <c r="CQ340" s="2">
        <v>10</v>
      </c>
      <c r="CR340" s="2">
        <v>10</v>
      </c>
      <c r="CS340" s="2">
        <v>10</v>
      </c>
      <c r="CT340" s="2">
        <v>10</v>
      </c>
      <c r="CU340" s="2">
        <v>10</v>
      </c>
      <c r="CV340" s="54">
        <f t="shared" si="116"/>
        <v>10</v>
      </c>
      <c r="CW340" s="55"/>
      <c r="CX340" s="3"/>
    </row>
    <row r="341" spans="1:102" ht="16.5" x14ac:dyDescent="0.55000000000000004">
      <c r="A341" s="17">
        <v>1</v>
      </c>
      <c r="B341" s="17" t="s">
        <v>7</v>
      </c>
      <c r="C341" s="23" t="s">
        <v>723</v>
      </c>
      <c r="D341" s="24" t="s">
        <v>724</v>
      </c>
      <c r="E341" s="48" t="s">
        <v>31</v>
      </c>
      <c r="F341" s="2" t="s">
        <v>31</v>
      </c>
      <c r="G341" s="2">
        <v>5</v>
      </c>
      <c r="H341" s="2">
        <v>6</v>
      </c>
      <c r="I341" s="2">
        <v>6</v>
      </c>
      <c r="J341" s="2">
        <v>5</v>
      </c>
      <c r="K341" s="2">
        <v>5</v>
      </c>
      <c r="L341" s="2">
        <v>6</v>
      </c>
      <c r="M341" s="2">
        <v>7</v>
      </c>
      <c r="N341" s="2">
        <v>7</v>
      </c>
      <c r="O341" s="2">
        <v>7</v>
      </c>
      <c r="P341" s="2">
        <v>7</v>
      </c>
      <c r="Q341" s="2" t="e">
        <f t="shared" ca="1" si="122"/>
        <v>#NAME?</v>
      </c>
      <c r="R341" s="2">
        <v>10</v>
      </c>
      <c r="S341" s="2">
        <v>5</v>
      </c>
      <c r="T341" s="2">
        <v>10</v>
      </c>
      <c r="U341" s="2">
        <v>10</v>
      </c>
      <c r="V341" s="2">
        <v>10</v>
      </c>
      <c r="W341" s="54">
        <f t="shared" si="113"/>
        <v>9</v>
      </c>
      <c r="X341" s="48">
        <v>7</v>
      </c>
      <c r="Y341" s="48">
        <v>7</v>
      </c>
      <c r="Z341" s="2"/>
      <c r="AA341" s="49">
        <v>9</v>
      </c>
      <c r="AB341" s="49">
        <v>9</v>
      </c>
      <c r="AC341" s="49">
        <v>9</v>
      </c>
      <c r="AD341" s="49">
        <v>9</v>
      </c>
      <c r="AE341" s="49">
        <v>7</v>
      </c>
      <c r="AF341" s="49">
        <v>7</v>
      </c>
      <c r="AG341" s="49">
        <v>10</v>
      </c>
      <c r="AH341" s="49">
        <v>10</v>
      </c>
      <c r="AI341" s="49">
        <v>10</v>
      </c>
      <c r="AJ341" s="49">
        <v>10</v>
      </c>
      <c r="AK341" s="49">
        <v>7</v>
      </c>
      <c r="AL341" s="49">
        <v>7</v>
      </c>
      <c r="AM341" s="49">
        <v>10</v>
      </c>
      <c r="AN341" s="49">
        <v>10</v>
      </c>
      <c r="AO341" s="49">
        <v>10</v>
      </c>
      <c r="AP341" s="49">
        <v>10</v>
      </c>
      <c r="AQ341" s="2" t="e">
        <f t="shared" ca="1" si="123"/>
        <v>#NAME?</v>
      </c>
      <c r="AR341" s="49">
        <v>9</v>
      </c>
      <c r="AS341" s="49">
        <v>7</v>
      </c>
      <c r="AT341" s="49">
        <v>7</v>
      </c>
      <c r="AU341" s="49">
        <v>10</v>
      </c>
      <c r="AV341" s="49">
        <v>10</v>
      </c>
      <c r="AW341" s="54">
        <f t="shared" si="114"/>
        <v>9</v>
      </c>
      <c r="AX341" s="48">
        <v>7</v>
      </c>
      <c r="AY341" s="2">
        <v>8</v>
      </c>
      <c r="AZ341" s="2">
        <v>9</v>
      </c>
      <c r="BA341" s="2">
        <v>9</v>
      </c>
      <c r="BB341" s="2">
        <v>9</v>
      </c>
      <c r="BC341" s="2">
        <v>9</v>
      </c>
      <c r="BD341" s="2">
        <v>9</v>
      </c>
      <c r="BE341" s="2">
        <v>9</v>
      </c>
      <c r="BF341" s="2">
        <v>10</v>
      </c>
      <c r="BG341" s="2">
        <v>10</v>
      </c>
      <c r="BH341" s="2">
        <v>10</v>
      </c>
      <c r="BI341" s="57">
        <v>10</v>
      </c>
      <c r="BJ341" s="2" t="e">
        <f t="shared" ca="1" si="124"/>
        <v>#NAME?</v>
      </c>
      <c r="BK341" s="5">
        <v>9</v>
      </c>
      <c r="BL341" s="5">
        <v>9</v>
      </c>
      <c r="BM341" s="5">
        <v>9</v>
      </c>
      <c r="BN341" s="5">
        <v>9</v>
      </c>
      <c r="BO341" s="5">
        <v>9</v>
      </c>
      <c r="BP341" s="54">
        <f t="shared" si="115"/>
        <v>9</v>
      </c>
      <c r="BQ341" s="5"/>
      <c r="BR341" s="5">
        <v>10</v>
      </c>
      <c r="BS341" s="5">
        <v>10</v>
      </c>
      <c r="BT341" s="5">
        <v>10</v>
      </c>
      <c r="BU341" s="5">
        <v>10</v>
      </c>
      <c r="BV341" s="5">
        <v>10</v>
      </c>
      <c r="BW341" s="5">
        <v>10</v>
      </c>
      <c r="BX341" s="5">
        <v>10</v>
      </c>
      <c r="BY341" s="5">
        <v>10</v>
      </c>
      <c r="BZ341" s="5">
        <v>10</v>
      </c>
      <c r="CA341" s="5">
        <v>10</v>
      </c>
      <c r="CB341" s="5">
        <v>10</v>
      </c>
      <c r="CC341" s="2" t="e">
        <f t="shared" ca="1" si="125"/>
        <v>#NAME?</v>
      </c>
      <c r="CD341" s="55"/>
      <c r="CE341" s="2"/>
      <c r="CF341" s="2">
        <v>10</v>
      </c>
      <c r="CG341" s="2">
        <v>10</v>
      </c>
      <c r="CH341" s="2">
        <v>10</v>
      </c>
      <c r="CI341" s="2">
        <v>10</v>
      </c>
      <c r="CJ341" s="2">
        <v>10</v>
      </c>
      <c r="CK341" s="2">
        <v>10</v>
      </c>
      <c r="CL341" s="2">
        <v>10</v>
      </c>
      <c r="CM341" s="2">
        <v>10</v>
      </c>
      <c r="CN341" s="2">
        <v>10</v>
      </c>
      <c r="CO341" s="2">
        <v>10</v>
      </c>
      <c r="CP341" s="2" t="e">
        <f t="shared" ca="1" si="126"/>
        <v>#NAME?</v>
      </c>
      <c r="CQ341" s="2">
        <v>10</v>
      </c>
      <c r="CR341" s="2">
        <v>10</v>
      </c>
      <c r="CS341" s="2">
        <v>10</v>
      </c>
      <c r="CT341" s="2">
        <v>10</v>
      </c>
      <c r="CU341" s="2">
        <v>10</v>
      </c>
      <c r="CV341" s="54">
        <f t="shared" si="116"/>
        <v>10</v>
      </c>
      <c r="CW341" s="55"/>
      <c r="CX341" s="3"/>
    </row>
    <row r="342" spans="1:102" ht="16.5" x14ac:dyDescent="0.55000000000000004">
      <c r="A342" s="17">
        <v>1</v>
      </c>
      <c r="B342" s="17" t="s">
        <v>7</v>
      </c>
      <c r="C342" s="23" t="s">
        <v>725</v>
      </c>
      <c r="D342" s="24" t="s">
        <v>726</v>
      </c>
      <c r="E342" s="48">
        <v>3</v>
      </c>
      <c r="F342" s="2" t="s">
        <v>31</v>
      </c>
      <c r="G342" s="2">
        <v>5</v>
      </c>
      <c r="H342" s="2">
        <v>7</v>
      </c>
      <c r="I342" s="2">
        <v>6</v>
      </c>
      <c r="J342" s="2">
        <v>6</v>
      </c>
      <c r="K342" s="2">
        <v>6</v>
      </c>
      <c r="L342" s="2">
        <v>6</v>
      </c>
      <c r="M342" s="2">
        <v>6</v>
      </c>
      <c r="N342" s="2">
        <v>6</v>
      </c>
      <c r="O342" s="2">
        <v>6</v>
      </c>
      <c r="P342" s="2">
        <v>6</v>
      </c>
      <c r="Q342" s="2" t="e">
        <f t="shared" ca="1" si="122"/>
        <v>#NAME?</v>
      </c>
      <c r="R342" s="2">
        <v>10</v>
      </c>
      <c r="S342" s="2">
        <v>5</v>
      </c>
      <c r="T342" s="2">
        <v>5</v>
      </c>
      <c r="U342" s="2">
        <v>10</v>
      </c>
      <c r="V342" s="2">
        <v>10</v>
      </c>
      <c r="W342" s="54">
        <f t="shared" si="113"/>
        <v>8</v>
      </c>
      <c r="X342" s="48">
        <v>7</v>
      </c>
      <c r="Y342" s="48">
        <v>7</v>
      </c>
      <c r="Z342" s="2"/>
      <c r="AA342" s="49">
        <v>10</v>
      </c>
      <c r="AB342" s="49">
        <v>10</v>
      </c>
      <c r="AC342" s="49">
        <v>10</v>
      </c>
      <c r="AD342" s="49">
        <v>10</v>
      </c>
      <c r="AE342" s="49">
        <v>10</v>
      </c>
      <c r="AF342" s="49">
        <v>10</v>
      </c>
      <c r="AG342" s="49">
        <v>10</v>
      </c>
      <c r="AH342" s="49">
        <v>10</v>
      </c>
      <c r="AI342" s="49">
        <v>10</v>
      </c>
      <c r="AJ342" s="49">
        <v>10</v>
      </c>
      <c r="AK342" s="49">
        <v>10</v>
      </c>
      <c r="AL342" s="49">
        <v>10</v>
      </c>
      <c r="AM342" s="49">
        <v>10</v>
      </c>
      <c r="AN342" s="49">
        <v>10</v>
      </c>
      <c r="AO342" s="49">
        <v>10</v>
      </c>
      <c r="AP342" s="49">
        <v>10</v>
      </c>
      <c r="AQ342" s="2" t="e">
        <f t="shared" ca="1" si="123"/>
        <v>#NAME?</v>
      </c>
      <c r="AR342" s="49">
        <v>10</v>
      </c>
      <c r="AS342" s="49">
        <v>10</v>
      </c>
      <c r="AT342" s="49">
        <v>10</v>
      </c>
      <c r="AU342" s="49">
        <v>10</v>
      </c>
      <c r="AV342" s="49">
        <v>10</v>
      </c>
      <c r="AW342" s="54">
        <f t="shared" si="114"/>
        <v>10</v>
      </c>
      <c r="AX342" s="48">
        <v>8</v>
      </c>
      <c r="AY342" s="2">
        <v>8</v>
      </c>
      <c r="AZ342" s="2">
        <v>10</v>
      </c>
      <c r="BA342" s="2">
        <v>10</v>
      </c>
      <c r="BB342" s="2">
        <v>10</v>
      </c>
      <c r="BC342" s="2">
        <v>10</v>
      </c>
      <c r="BD342" s="2">
        <v>9</v>
      </c>
      <c r="BE342" s="2">
        <v>10</v>
      </c>
      <c r="BF342" s="2">
        <v>9</v>
      </c>
      <c r="BG342" s="2">
        <v>10</v>
      </c>
      <c r="BH342" s="2">
        <v>10</v>
      </c>
      <c r="BI342" s="57">
        <v>10</v>
      </c>
      <c r="BJ342" s="2" t="e">
        <f t="shared" ca="1" si="124"/>
        <v>#NAME?</v>
      </c>
      <c r="BK342" s="5">
        <v>10</v>
      </c>
      <c r="BL342" s="5">
        <v>9</v>
      </c>
      <c r="BM342" s="5">
        <v>9</v>
      </c>
      <c r="BN342" s="5">
        <v>9</v>
      </c>
      <c r="BO342" s="5">
        <v>9</v>
      </c>
      <c r="BP342" s="54">
        <f t="shared" si="115"/>
        <v>10</v>
      </c>
      <c r="BQ342" s="5"/>
      <c r="BR342" s="5">
        <v>10</v>
      </c>
      <c r="BS342" s="5">
        <v>10</v>
      </c>
      <c r="BT342" s="5">
        <v>10</v>
      </c>
      <c r="BU342" s="5">
        <v>10</v>
      </c>
      <c r="BV342" s="5">
        <v>10</v>
      </c>
      <c r="BW342" s="5">
        <v>10</v>
      </c>
      <c r="BX342" s="5">
        <v>10</v>
      </c>
      <c r="BY342" s="5">
        <v>10</v>
      </c>
      <c r="BZ342" s="5">
        <v>10</v>
      </c>
      <c r="CA342" s="5">
        <v>10</v>
      </c>
      <c r="CB342" s="5">
        <v>10</v>
      </c>
      <c r="CC342" s="2" t="e">
        <f t="shared" ca="1" si="125"/>
        <v>#NAME?</v>
      </c>
      <c r="CD342" s="55"/>
      <c r="CE342" s="2"/>
      <c r="CF342" s="2">
        <v>9</v>
      </c>
      <c r="CG342" s="2">
        <v>9</v>
      </c>
      <c r="CH342" s="8">
        <v>9</v>
      </c>
      <c r="CI342" s="8">
        <v>9</v>
      </c>
      <c r="CJ342" s="2">
        <v>9</v>
      </c>
      <c r="CK342" s="2">
        <v>9</v>
      </c>
      <c r="CL342" s="2">
        <v>9</v>
      </c>
      <c r="CM342" s="2">
        <v>10</v>
      </c>
      <c r="CN342" s="2">
        <v>10</v>
      </c>
      <c r="CO342" s="2">
        <v>10</v>
      </c>
      <c r="CP342" s="2" t="e">
        <f t="shared" ca="1" si="126"/>
        <v>#NAME?</v>
      </c>
      <c r="CQ342" s="2">
        <v>7</v>
      </c>
      <c r="CR342" s="2">
        <v>7</v>
      </c>
      <c r="CS342" s="2">
        <v>7</v>
      </c>
      <c r="CT342" s="2">
        <v>7</v>
      </c>
      <c r="CU342" s="2">
        <v>7</v>
      </c>
      <c r="CV342" s="54">
        <f t="shared" si="116"/>
        <v>7</v>
      </c>
      <c r="CW342" s="55"/>
      <c r="CX342" s="3"/>
    </row>
    <row r="343" spans="1:102" ht="16.5" x14ac:dyDescent="0.55000000000000004">
      <c r="A343" s="17">
        <v>1</v>
      </c>
      <c r="B343" s="17" t="s">
        <v>7</v>
      </c>
      <c r="C343" s="23" t="s">
        <v>727</v>
      </c>
      <c r="D343" s="24" t="s">
        <v>728</v>
      </c>
      <c r="E343" s="48" t="s">
        <v>31</v>
      </c>
      <c r="F343" s="2" t="s">
        <v>31</v>
      </c>
      <c r="G343" s="2">
        <v>5</v>
      </c>
      <c r="H343" s="2">
        <v>6</v>
      </c>
      <c r="I343" s="2">
        <v>5</v>
      </c>
      <c r="J343" s="2">
        <v>5</v>
      </c>
      <c r="K343" s="2">
        <v>5</v>
      </c>
      <c r="L343" s="2">
        <v>6</v>
      </c>
      <c r="M343" s="2">
        <v>6</v>
      </c>
      <c r="N343" s="2">
        <v>6</v>
      </c>
      <c r="O343" s="2">
        <v>6</v>
      </c>
      <c r="P343" s="2">
        <v>6</v>
      </c>
      <c r="Q343" s="2" t="e">
        <f t="shared" ca="1" si="122"/>
        <v>#NAME?</v>
      </c>
      <c r="R343" s="2">
        <v>10</v>
      </c>
      <c r="S343" s="2">
        <v>5</v>
      </c>
      <c r="T343" s="2">
        <v>10</v>
      </c>
      <c r="U343" s="2">
        <v>10</v>
      </c>
      <c r="V343" s="2">
        <v>10</v>
      </c>
      <c r="W343" s="54">
        <f t="shared" si="113"/>
        <v>9</v>
      </c>
      <c r="X343" s="48">
        <v>0</v>
      </c>
      <c r="Y343" s="48">
        <v>0</v>
      </c>
      <c r="Z343" s="2"/>
      <c r="AA343" s="49">
        <v>10</v>
      </c>
      <c r="AB343" s="49">
        <v>10</v>
      </c>
      <c r="AC343" s="49">
        <v>10</v>
      </c>
      <c r="AD343" s="49">
        <v>10</v>
      </c>
      <c r="AE343" s="49">
        <v>10</v>
      </c>
      <c r="AF343" s="49">
        <v>10</v>
      </c>
      <c r="AG343" s="49">
        <v>10</v>
      </c>
      <c r="AH343" s="49">
        <v>10</v>
      </c>
      <c r="AI343" s="49">
        <v>10</v>
      </c>
      <c r="AJ343" s="49">
        <v>10</v>
      </c>
      <c r="AK343" s="49">
        <v>10</v>
      </c>
      <c r="AL343" s="49">
        <v>10</v>
      </c>
      <c r="AM343" s="49">
        <v>10</v>
      </c>
      <c r="AN343" s="49">
        <v>10</v>
      </c>
      <c r="AO343" s="49">
        <v>10</v>
      </c>
      <c r="AP343" s="49">
        <v>10</v>
      </c>
      <c r="AQ343" s="2" t="e">
        <f t="shared" ca="1" si="123"/>
        <v>#NAME?</v>
      </c>
      <c r="AR343" s="49">
        <v>10</v>
      </c>
      <c r="AS343" s="49">
        <v>10</v>
      </c>
      <c r="AT343" s="49">
        <v>10</v>
      </c>
      <c r="AU343" s="49">
        <v>10</v>
      </c>
      <c r="AV343" s="49">
        <v>10</v>
      </c>
      <c r="AW343" s="54">
        <f t="shared" si="114"/>
        <v>10</v>
      </c>
      <c r="AX343" s="48">
        <v>8</v>
      </c>
      <c r="AY343" s="2">
        <v>8</v>
      </c>
      <c r="AZ343" s="5">
        <v>10</v>
      </c>
      <c r="BA343" s="5">
        <v>10</v>
      </c>
      <c r="BB343" s="5">
        <v>10</v>
      </c>
      <c r="BC343" s="5">
        <v>10</v>
      </c>
      <c r="BD343" s="5">
        <v>9</v>
      </c>
      <c r="BE343" s="2">
        <v>9</v>
      </c>
      <c r="BF343" s="2">
        <v>9</v>
      </c>
      <c r="BG343" s="2">
        <v>10</v>
      </c>
      <c r="BH343" s="2">
        <v>10</v>
      </c>
      <c r="BI343" s="57">
        <v>10</v>
      </c>
      <c r="BJ343" s="2" t="e">
        <f t="shared" ca="1" si="124"/>
        <v>#NAME?</v>
      </c>
      <c r="BK343" s="5">
        <v>10</v>
      </c>
      <c r="BL343" s="5">
        <v>10</v>
      </c>
      <c r="BM343" s="5">
        <v>10</v>
      </c>
      <c r="BN343" s="5">
        <v>10</v>
      </c>
      <c r="BO343" s="5">
        <v>10</v>
      </c>
      <c r="BP343" s="54">
        <f t="shared" si="115"/>
        <v>10</v>
      </c>
      <c r="BQ343" s="5"/>
      <c r="BR343" s="5">
        <v>10</v>
      </c>
      <c r="BS343" s="5">
        <v>10</v>
      </c>
      <c r="BT343" s="5">
        <v>10</v>
      </c>
      <c r="BU343" s="5">
        <v>10</v>
      </c>
      <c r="BV343" s="5">
        <v>10</v>
      </c>
      <c r="BW343" s="5">
        <v>10</v>
      </c>
      <c r="BX343" s="5">
        <v>10</v>
      </c>
      <c r="BY343" s="5">
        <v>10</v>
      </c>
      <c r="BZ343" s="5">
        <v>10</v>
      </c>
      <c r="CA343" s="5">
        <v>10</v>
      </c>
      <c r="CB343" s="5">
        <v>10</v>
      </c>
      <c r="CC343" s="2" t="e">
        <f t="shared" ca="1" si="125"/>
        <v>#NAME?</v>
      </c>
      <c r="CD343" s="55"/>
      <c r="CE343" s="2"/>
      <c r="CF343" s="2">
        <v>10</v>
      </c>
      <c r="CG343" s="2">
        <v>10</v>
      </c>
      <c r="CH343" s="2">
        <v>10</v>
      </c>
      <c r="CI343" s="2">
        <v>10</v>
      </c>
      <c r="CJ343" s="2">
        <v>10</v>
      </c>
      <c r="CK343" s="2">
        <v>10</v>
      </c>
      <c r="CL343" s="2">
        <v>10</v>
      </c>
      <c r="CM343" s="2">
        <v>10</v>
      </c>
      <c r="CN343" s="2">
        <v>10</v>
      </c>
      <c r="CO343" s="2">
        <v>10</v>
      </c>
      <c r="CP343" s="2" t="e">
        <f t="shared" ca="1" si="126"/>
        <v>#NAME?</v>
      </c>
      <c r="CQ343" s="2">
        <v>10</v>
      </c>
      <c r="CR343" s="2">
        <v>10</v>
      </c>
      <c r="CS343" s="2">
        <v>10</v>
      </c>
      <c r="CT343" s="2">
        <v>10</v>
      </c>
      <c r="CU343" s="2">
        <v>10</v>
      </c>
      <c r="CV343" s="54">
        <f t="shared" si="116"/>
        <v>10</v>
      </c>
      <c r="CW343" s="55"/>
      <c r="CX343" s="3"/>
    </row>
    <row r="344" spans="1:102" ht="16.5" x14ac:dyDescent="0.55000000000000004">
      <c r="A344" s="17">
        <v>1</v>
      </c>
      <c r="B344" s="17" t="s">
        <v>7</v>
      </c>
      <c r="C344" s="23" t="s">
        <v>729</v>
      </c>
      <c r="D344" s="24" t="s">
        <v>730</v>
      </c>
      <c r="E344" s="48">
        <v>4</v>
      </c>
      <c r="F344" s="2" t="s">
        <v>714</v>
      </c>
      <c r="G344" s="2">
        <v>8</v>
      </c>
      <c r="H344" s="2">
        <v>8</v>
      </c>
      <c r="I344" s="2">
        <v>10</v>
      </c>
      <c r="J344" s="2">
        <v>8</v>
      </c>
      <c r="K344" s="2">
        <v>8</v>
      </c>
      <c r="L344" s="2">
        <v>8</v>
      </c>
      <c r="M344" s="2">
        <v>8</v>
      </c>
      <c r="N344" s="2">
        <v>9</v>
      </c>
      <c r="O344" s="2">
        <v>9</v>
      </c>
      <c r="P344" s="2">
        <v>9</v>
      </c>
      <c r="Q344" s="2" t="e">
        <f t="shared" ca="1" si="122"/>
        <v>#NAME?</v>
      </c>
      <c r="R344" s="2">
        <v>10</v>
      </c>
      <c r="S344" s="2">
        <v>10</v>
      </c>
      <c r="T344" s="2">
        <v>10</v>
      </c>
      <c r="U344" s="2">
        <v>10</v>
      </c>
      <c r="V344" s="2">
        <v>10</v>
      </c>
      <c r="W344" s="54">
        <f t="shared" si="113"/>
        <v>10</v>
      </c>
      <c r="X344" s="48">
        <v>0</v>
      </c>
      <c r="Y344" s="48">
        <v>0</v>
      </c>
      <c r="Z344" s="2"/>
      <c r="AA344" s="49">
        <v>10</v>
      </c>
      <c r="AB344" s="49">
        <v>10</v>
      </c>
      <c r="AC344" s="49">
        <v>10</v>
      </c>
      <c r="AD344" s="49">
        <v>10</v>
      </c>
      <c r="AE344" s="49">
        <v>10</v>
      </c>
      <c r="AF344" s="49">
        <v>10</v>
      </c>
      <c r="AG344" s="49">
        <v>10</v>
      </c>
      <c r="AH344" s="49">
        <v>10</v>
      </c>
      <c r="AI344" s="49">
        <v>10</v>
      </c>
      <c r="AJ344" s="49">
        <v>10</v>
      </c>
      <c r="AK344" s="49">
        <v>10</v>
      </c>
      <c r="AL344" s="49">
        <v>10</v>
      </c>
      <c r="AM344" s="49">
        <v>10</v>
      </c>
      <c r="AN344" s="49">
        <v>10</v>
      </c>
      <c r="AO344" s="49">
        <v>10</v>
      </c>
      <c r="AP344" s="49">
        <v>10</v>
      </c>
      <c r="AQ344" s="2" t="e">
        <f t="shared" ca="1" si="123"/>
        <v>#NAME?</v>
      </c>
      <c r="AR344" s="49">
        <v>10</v>
      </c>
      <c r="AS344" s="49">
        <v>10</v>
      </c>
      <c r="AT344" s="49">
        <v>10</v>
      </c>
      <c r="AU344" s="49">
        <v>10</v>
      </c>
      <c r="AV344" s="49">
        <v>10</v>
      </c>
      <c r="AW344" s="54">
        <f t="shared" si="114"/>
        <v>10</v>
      </c>
      <c r="AX344" s="48">
        <v>8</v>
      </c>
      <c r="AY344" s="2">
        <v>7</v>
      </c>
      <c r="AZ344" s="5">
        <v>10</v>
      </c>
      <c r="BA344" s="5">
        <v>10</v>
      </c>
      <c r="BB344" s="5">
        <v>10</v>
      </c>
      <c r="BC344" s="5">
        <v>10</v>
      </c>
      <c r="BD344" s="5">
        <v>9</v>
      </c>
      <c r="BE344" s="5">
        <v>9</v>
      </c>
      <c r="BF344" s="5">
        <v>9</v>
      </c>
      <c r="BG344" s="5">
        <v>10</v>
      </c>
      <c r="BH344" s="5">
        <v>10</v>
      </c>
      <c r="BI344" s="5">
        <v>10</v>
      </c>
      <c r="BJ344" s="2" t="e">
        <f t="shared" ca="1" si="124"/>
        <v>#NAME?</v>
      </c>
      <c r="BK344" s="5">
        <v>10</v>
      </c>
      <c r="BL344" s="5">
        <v>10</v>
      </c>
      <c r="BM344" s="5">
        <v>10</v>
      </c>
      <c r="BN344" s="5">
        <v>10</v>
      </c>
      <c r="BO344" s="5">
        <v>10</v>
      </c>
      <c r="BP344" s="54">
        <f t="shared" si="115"/>
        <v>10</v>
      </c>
      <c r="BQ344" s="5"/>
      <c r="BR344" s="5">
        <v>10</v>
      </c>
      <c r="BS344" s="5">
        <v>10</v>
      </c>
      <c r="BT344" s="5">
        <v>10</v>
      </c>
      <c r="BU344" s="5">
        <v>10</v>
      </c>
      <c r="BV344" s="5">
        <v>10</v>
      </c>
      <c r="BW344" s="5">
        <v>10</v>
      </c>
      <c r="BX344" s="5">
        <v>10</v>
      </c>
      <c r="BY344" s="5">
        <v>10</v>
      </c>
      <c r="BZ344" s="5">
        <v>10</v>
      </c>
      <c r="CA344" s="5">
        <v>10</v>
      </c>
      <c r="CB344" s="5">
        <v>10</v>
      </c>
      <c r="CC344" s="2" t="e">
        <f t="shared" ca="1" si="125"/>
        <v>#NAME?</v>
      </c>
      <c r="CD344" s="55"/>
      <c r="CE344" s="2"/>
      <c r="CF344" s="2">
        <v>10</v>
      </c>
      <c r="CG344" s="2">
        <v>10</v>
      </c>
      <c r="CH344" s="8">
        <v>10</v>
      </c>
      <c r="CI344" s="8">
        <v>10</v>
      </c>
      <c r="CJ344" s="2">
        <v>10</v>
      </c>
      <c r="CK344" s="2">
        <v>10</v>
      </c>
      <c r="CL344" s="2">
        <v>10</v>
      </c>
      <c r="CM344" s="2">
        <v>10</v>
      </c>
      <c r="CN344" s="2">
        <v>10</v>
      </c>
      <c r="CO344" s="2">
        <v>10</v>
      </c>
      <c r="CP344" s="2" t="e">
        <f t="shared" ca="1" si="126"/>
        <v>#NAME?</v>
      </c>
      <c r="CQ344" s="2">
        <v>10</v>
      </c>
      <c r="CR344" s="2">
        <v>10</v>
      </c>
      <c r="CS344" s="2">
        <v>10</v>
      </c>
      <c r="CT344" s="2">
        <v>10</v>
      </c>
      <c r="CU344" s="2">
        <v>10</v>
      </c>
      <c r="CV344" s="54">
        <f t="shared" si="116"/>
        <v>10</v>
      </c>
      <c r="CW344" s="55"/>
      <c r="CX344" s="3"/>
    </row>
    <row r="345" spans="1:102" ht="16.5" x14ac:dyDescent="0.55000000000000004">
      <c r="A345" s="3">
        <v>1</v>
      </c>
      <c r="B345" s="3" t="s">
        <v>7</v>
      </c>
      <c r="C345" s="32" t="s">
        <v>731</v>
      </c>
      <c r="D345" s="4" t="s">
        <v>732</v>
      </c>
      <c r="E345" s="48">
        <v>3</v>
      </c>
      <c r="F345" s="2" t="s">
        <v>31</v>
      </c>
      <c r="G345" s="2">
        <v>7</v>
      </c>
      <c r="H345" s="2">
        <v>6</v>
      </c>
      <c r="I345" s="2">
        <v>7</v>
      </c>
      <c r="J345" s="2">
        <v>5</v>
      </c>
      <c r="K345" s="2">
        <v>5</v>
      </c>
      <c r="L345" s="2">
        <v>6</v>
      </c>
      <c r="M345" s="2">
        <v>6</v>
      </c>
      <c r="N345" s="2">
        <v>7</v>
      </c>
      <c r="O345" s="2">
        <v>7</v>
      </c>
      <c r="P345" s="2">
        <v>8</v>
      </c>
      <c r="Q345" s="2" t="e">
        <f t="shared" ca="1" si="122"/>
        <v>#NAME?</v>
      </c>
      <c r="R345" s="2">
        <v>10</v>
      </c>
      <c r="S345" s="2">
        <v>5</v>
      </c>
      <c r="T345" s="2">
        <v>5</v>
      </c>
      <c r="U345" s="2">
        <v>5</v>
      </c>
      <c r="V345" s="2">
        <v>10</v>
      </c>
      <c r="W345" s="54">
        <f t="shared" si="113"/>
        <v>7</v>
      </c>
      <c r="X345" s="48">
        <v>5</v>
      </c>
      <c r="Y345" s="48">
        <v>5</v>
      </c>
      <c r="Z345" s="2"/>
      <c r="AA345" s="49">
        <v>10</v>
      </c>
      <c r="AB345" s="49">
        <v>10</v>
      </c>
      <c r="AC345" s="49">
        <v>10</v>
      </c>
      <c r="AD345" s="49">
        <v>10</v>
      </c>
      <c r="AE345" s="49">
        <v>10</v>
      </c>
      <c r="AF345" s="49">
        <v>10</v>
      </c>
      <c r="AG345" s="49">
        <v>10</v>
      </c>
      <c r="AH345" s="49">
        <v>10</v>
      </c>
      <c r="AI345" s="49">
        <v>10</v>
      </c>
      <c r="AJ345" s="49">
        <v>10</v>
      </c>
      <c r="AK345" s="49">
        <v>10</v>
      </c>
      <c r="AL345" s="49">
        <v>10</v>
      </c>
      <c r="AM345" s="49">
        <v>10</v>
      </c>
      <c r="AN345" s="49">
        <v>10</v>
      </c>
      <c r="AO345" s="49">
        <v>10</v>
      </c>
      <c r="AP345" s="49">
        <v>10</v>
      </c>
      <c r="AQ345" s="2" t="e">
        <f t="shared" ca="1" si="123"/>
        <v>#NAME?</v>
      </c>
      <c r="AR345" s="49">
        <v>10</v>
      </c>
      <c r="AS345" s="49">
        <v>10</v>
      </c>
      <c r="AT345" s="49">
        <v>10</v>
      </c>
      <c r="AU345" s="49">
        <v>10</v>
      </c>
      <c r="AV345" s="49">
        <v>10</v>
      </c>
      <c r="AW345" s="54">
        <f t="shared" si="114"/>
        <v>10</v>
      </c>
      <c r="AX345" s="48">
        <v>7</v>
      </c>
      <c r="AY345" s="2">
        <v>8</v>
      </c>
      <c r="AZ345" s="5">
        <v>10</v>
      </c>
      <c r="BA345" s="5">
        <v>10</v>
      </c>
      <c r="BB345" s="5">
        <v>10</v>
      </c>
      <c r="BC345" s="5">
        <v>10</v>
      </c>
      <c r="BD345" s="5">
        <v>10</v>
      </c>
      <c r="BE345" s="5">
        <v>10</v>
      </c>
      <c r="BF345" s="5">
        <v>9</v>
      </c>
      <c r="BG345" s="5">
        <v>10</v>
      </c>
      <c r="BH345" s="5">
        <v>10</v>
      </c>
      <c r="BI345" s="5">
        <v>10</v>
      </c>
      <c r="BJ345" s="2" t="e">
        <f t="shared" ca="1" si="124"/>
        <v>#NAME?</v>
      </c>
      <c r="BK345" s="5">
        <v>10</v>
      </c>
      <c r="BL345" s="5">
        <v>10</v>
      </c>
      <c r="BM345" s="5">
        <v>10</v>
      </c>
      <c r="BN345" s="5">
        <v>10</v>
      </c>
      <c r="BO345" s="5">
        <v>10</v>
      </c>
      <c r="BP345" s="54">
        <f t="shared" si="115"/>
        <v>10</v>
      </c>
      <c r="BQ345" s="5"/>
      <c r="BR345" s="5">
        <v>10</v>
      </c>
      <c r="BS345" s="5">
        <v>10</v>
      </c>
      <c r="BT345" s="5">
        <v>10</v>
      </c>
      <c r="BU345" s="5">
        <v>10</v>
      </c>
      <c r="BV345" s="5">
        <v>10</v>
      </c>
      <c r="BW345" s="5">
        <v>10</v>
      </c>
      <c r="BX345" s="5">
        <v>10</v>
      </c>
      <c r="BY345" s="5">
        <v>10</v>
      </c>
      <c r="BZ345" s="5">
        <v>10</v>
      </c>
      <c r="CA345" s="5">
        <v>10</v>
      </c>
      <c r="CB345" s="5">
        <v>10</v>
      </c>
      <c r="CC345" s="2" t="e">
        <f t="shared" ca="1" si="125"/>
        <v>#NAME?</v>
      </c>
      <c r="CD345" s="55"/>
      <c r="CE345" s="2"/>
      <c r="CF345" s="2">
        <v>10</v>
      </c>
      <c r="CG345" s="2">
        <v>10</v>
      </c>
      <c r="CH345" s="2">
        <v>10</v>
      </c>
      <c r="CI345" s="2">
        <v>10</v>
      </c>
      <c r="CJ345" s="2">
        <v>10</v>
      </c>
      <c r="CK345" s="2">
        <v>10</v>
      </c>
      <c r="CL345" s="2">
        <v>10</v>
      </c>
      <c r="CM345" s="2">
        <v>10</v>
      </c>
      <c r="CN345" s="2">
        <v>10</v>
      </c>
      <c r="CO345" s="2">
        <v>10</v>
      </c>
      <c r="CP345" s="2" t="e">
        <f t="shared" ca="1" si="126"/>
        <v>#NAME?</v>
      </c>
      <c r="CQ345" s="2">
        <v>10</v>
      </c>
      <c r="CR345" s="2">
        <v>10</v>
      </c>
      <c r="CS345" s="2">
        <v>10</v>
      </c>
      <c r="CT345" s="2">
        <v>10</v>
      </c>
      <c r="CU345" s="2">
        <v>10</v>
      </c>
      <c r="CV345" s="54">
        <f t="shared" si="116"/>
        <v>10</v>
      </c>
      <c r="CW345" s="55"/>
      <c r="CX345" s="3"/>
    </row>
    <row r="346" spans="1:102" ht="16.5" x14ac:dyDescent="0.55000000000000004">
      <c r="A346" s="17">
        <v>1</v>
      </c>
      <c r="B346" s="17" t="s">
        <v>7</v>
      </c>
      <c r="C346" s="23" t="s">
        <v>733</v>
      </c>
      <c r="D346" s="24" t="s">
        <v>734</v>
      </c>
      <c r="E346" s="48">
        <v>6</v>
      </c>
      <c r="F346" s="2">
        <v>6</v>
      </c>
      <c r="G346" s="2">
        <v>8</v>
      </c>
      <c r="H346" s="2">
        <v>10</v>
      </c>
      <c r="I346" s="2">
        <v>7</v>
      </c>
      <c r="J346" s="2">
        <v>10</v>
      </c>
      <c r="K346" s="2">
        <v>10</v>
      </c>
      <c r="L346" s="2">
        <v>10</v>
      </c>
      <c r="M346" s="2">
        <v>10</v>
      </c>
      <c r="N346" s="2">
        <v>9</v>
      </c>
      <c r="O346" s="2">
        <v>9</v>
      </c>
      <c r="P346" s="2">
        <v>9</v>
      </c>
      <c r="Q346" s="2" t="e">
        <f t="shared" ca="1" si="122"/>
        <v>#NAME?</v>
      </c>
      <c r="R346" s="2">
        <v>10</v>
      </c>
      <c r="S346" s="2">
        <v>10</v>
      </c>
      <c r="T346" s="2">
        <v>10</v>
      </c>
      <c r="U346" s="2">
        <v>10</v>
      </c>
      <c r="V346" s="2">
        <v>10</v>
      </c>
      <c r="W346" s="54">
        <f t="shared" si="113"/>
        <v>10</v>
      </c>
      <c r="X346" s="48">
        <v>8</v>
      </c>
      <c r="Y346" s="48">
        <v>8</v>
      </c>
      <c r="Z346" s="2"/>
      <c r="AA346" s="49">
        <v>10</v>
      </c>
      <c r="AB346" s="49">
        <v>10</v>
      </c>
      <c r="AC346" s="49">
        <v>10</v>
      </c>
      <c r="AD346" s="49">
        <v>10</v>
      </c>
      <c r="AE346" s="49">
        <v>10</v>
      </c>
      <c r="AF346" s="49">
        <v>10</v>
      </c>
      <c r="AG346" s="49">
        <v>10</v>
      </c>
      <c r="AH346" s="49">
        <v>10</v>
      </c>
      <c r="AI346" s="49">
        <v>10</v>
      </c>
      <c r="AJ346" s="49">
        <v>10</v>
      </c>
      <c r="AK346" s="49">
        <v>10</v>
      </c>
      <c r="AL346" s="49">
        <v>10</v>
      </c>
      <c r="AM346" s="49">
        <v>10</v>
      </c>
      <c r="AN346" s="49">
        <v>10</v>
      </c>
      <c r="AO346" s="49">
        <v>10</v>
      </c>
      <c r="AP346" s="49">
        <v>10</v>
      </c>
      <c r="AQ346" s="2" t="e">
        <f t="shared" ca="1" si="123"/>
        <v>#NAME?</v>
      </c>
      <c r="AR346" s="49">
        <v>10</v>
      </c>
      <c r="AS346" s="49">
        <v>10</v>
      </c>
      <c r="AT346" s="49">
        <v>10</v>
      </c>
      <c r="AU346" s="49">
        <v>10</v>
      </c>
      <c r="AV346" s="49">
        <v>10</v>
      </c>
      <c r="AW346" s="54">
        <f t="shared" si="114"/>
        <v>10</v>
      </c>
      <c r="AX346" s="48">
        <v>9</v>
      </c>
      <c r="AY346" s="2">
        <v>9</v>
      </c>
      <c r="AZ346" s="5">
        <v>10</v>
      </c>
      <c r="BA346" s="5">
        <v>10</v>
      </c>
      <c r="BB346" s="5">
        <v>10</v>
      </c>
      <c r="BC346" s="5">
        <v>10</v>
      </c>
      <c r="BD346" s="5">
        <v>10</v>
      </c>
      <c r="BE346" s="5">
        <v>10</v>
      </c>
      <c r="BF346" s="5">
        <v>9</v>
      </c>
      <c r="BG346" s="5">
        <v>10</v>
      </c>
      <c r="BH346" s="5">
        <v>10</v>
      </c>
      <c r="BI346" s="5">
        <v>10</v>
      </c>
      <c r="BJ346" s="2" t="e">
        <f t="shared" ca="1" si="124"/>
        <v>#NAME?</v>
      </c>
      <c r="BK346" s="5">
        <v>10</v>
      </c>
      <c r="BL346" s="5">
        <v>10</v>
      </c>
      <c r="BM346" s="5">
        <v>10</v>
      </c>
      <c r="BN346" s="5">
        <v>10</v>
      </c>
      <c r="BO346" s="5">
        <v>10</v>
      </c>
      <c r="BP346" s="54">
        <f t="shared" si="115"/>
        <v>10</v>
      </c>
      <c r="BQ346" s="5"/>
      <c r="BR346" s="5">
        <v>10</v>
      </c>
      <c r="BS346" s="5">
        <v>10</v>
      </c>
      <c r="BT346" s="5">
        <v>10</v>
      </c>
      <c r="BU346" s="5">
        <v>10</v>
      </c>
      <c r="BV346" s="5">
        <v>10</v>
      </c>
      <c r="BW346" s="5">
        <v>10</v>
      </c>
      <c r="BX346" s="5">
        <v>10</v>
      </c>
      <c r="BY346" s="5">
        <v>10</v>
      </c>
      <c r="BZ346" s="5">
        <v>10</v>
      </c>
      <c r="CA346" s="5">
        <v>10</v>
      </c>
      <c r="CB346" s="5">
        <v>10</v>
      </c>
      <c r="CC346" s="2" t="e">
        <f t="shared" ca="1" si="125"/>
        <v>#NAME?</v>
      </c>
      <c r="CD346" s="55"/>
      <c r="CE346" s="2"/>
      <c r="CF346" s="2">
        <v>10</v>
      </c>
      <c r="CG346" s="2">
        <v>10</v>
      </c>
      <c r="CH346" s="2">
        <v>10</v>
      </c>
      <c r="CI346" s="2">
        <v>10</v>
      </c>
      <c r="CJ346" s="2">
        <v>10</v>
      </c>
      <c r="CK346" s="2">
        <v>10</v>
      </c>
      <c r="CL346" s="2">
        <v>10</v>
      </c>
      <c r="CM346" s="2">
        <v>10</v>
      </c>
      <c r="CN346" s="2">
        <v>10</v>
      </c>
      <c r="CO346" s="2">
        <v>10</v>
      </c>
      <c r="CP346" s="2" t="e">
        <f t="shared" ca="1" si="126"/>
        <v>#NAME?</v>
      </c>
      <c r="CQ346" s="2">
        <v>10</v>
      </c>
      <c r="CR346" s="2">
        <v>10</v>
      </c>
      <c r="CS346" s="2">
        <v>10</v>
      </c>
      <c r="CT346" s="2">
        <v>10</v>
      </c>
      <c r="CU346" s="2">
        <v>10</v>
      </c>
      <c r="CV346" s="54">
        <f t="shared" si="116"/>
        <v>10</v>
      </c>
      <c r="CW346" s="55"/>
      <c r="CX346" s="3"/>
    </row>
    <row r="347" spans="1:102" ht="16.5" x14ac:dyDescent="0.55000000000000004">
      <c r="A347" s="17">
        <v>1</v>
      </c>
      <c r="B347" s="17" t="s">
        <v>7</v>
      </c>
      <c r="C347" s="23" t="s">
        <v>735</v>
      </c>
      <c r="D347" s="24" t="s">
        <v>736</v>
      </c>
      <c r="E347" s="48">
        <v>5</v>
      </c>
      <c r="F347" s="2" t="s">
        <v>31</v>
      </c>
      <c r="G347" s="2">
        <v>9</v>
      </c>
      <c r="H347" s="2">
        <v>9</v>
      </c>
      <c r="I347" s="2">
        <v>8</v>
      </c>
      <c r="J347" s="2">
        <v>8</v>
      </c>
      <c r="K347" s="2">
        <v>8</v>
      </c>
      <c r="L347" s="2">
        <v>9</v>
      </c>
      <c r="M347" s="2">
        <v>9</v>
      </c>
      <c r="N347" s="2">
        <v>9</v>
      </c>
      <c r="O347" s="2">
        <v>10</v>
      </c>
      <c r="P347" s="2">
        <v>10</v>
      </c>
      <c r="Q347" s="2" t="e">
        <f t="shared" ca="1" si="122"/>
        <v>#NAME?</v>
      </c>
      <c r="R347" s="8">
        <v>10</v>
      </c>
      <c r="S347" s="8">
        <v>10</v>
      </c>
      <c r="T347" s="8">
        <v>10</v>
      </c>
      <c r="U347" s="8">
        <v>10</v>
      </c>
      <c r="V347" s="8">
        <v>10</v>
      </c>
      <c r="W347" s="54">
        <f t="shared" si="113"/>
        <v>10</v>
      </c>
      <c r="X347" s="48">
        <v>9</v>
      </c>
      <c r="Y347" s="48">
        <v>9</v>
      </c>
      <c r="Z347" s="2"/>
      <c r="AA347" s="49">
        <v>10</v>
      </c>
      <c r="AB347" s="49">
        <v>10</v>
      </c>
      <c r="AC347" s="49">
        <v>10</v>
      </c>
      <c r="AD347" s="49">
        <v>10</v>
      </c>
      <c r="AE347" s="49">
        <v>10</v>
      </c>
      <c r="AF347" s="49">
        <v>10</v>
      </c>
      <c r="AG347" s="49">
        <v>7</v>
      </c>
      <c r="AH347" s="49">
        <v>7</v>
      </c>
      <c r="AI347" s="49">
        <v>7</v>
      </c>
      <c r="AJ347" s="49">
        <v>7</v>
      </c>
      <c r="AK347" s="49">
        <v>10</v>
      </c>
      <c r="AL347" s="49">
        <v>10</v>
      </c>
      <c r="AM347" s="49">
        <v>7</v>
      </c>
      <c r="AN347" s="49">
        <v>7</v>
      </c>
      <c r="AO347" s="49">
        <v>7</v>
      </c>
      <c r="AP347" s="49">
        <v>7</v>
      </c>
      <c r="AQ347" s="2" t="e">
        <f t="shared" ca="1" si="123"/>
        <v>#NAME?</v>
      </c>
      <c r="AR347" s="49">
        <v>10</v>
      </c>
      <c r="AS347" s="49">
        <v>10</v>
      </c>
      <c r="AT347" s="49">
        <v>10</v>
      </c>
      <c r="AU347" s="50">
        <v>7</v>
      </c>
      <c r="AV347" s="50">
        <v>7</v>
      </c>
      <c r="AW347" s="54">
        <f t="shared" si="114"/>
        <v>9</v>
      </c>
      <c r="AX347" s="48">
        <v>9</v>
      </c>
      <c r="AY347" s="2">
        <v>8</v>
      </c>
      <c r="AZ347" s="5">
        <v>10</v>
      </c>
      <c r="BA347" s="5">
        <v>10</v>
      </c>
      <c r="BB347" s="5">
        <v>10</v>
      </c>
      <c r="BC347" s="5">
        <v>10</v>
      </c>
      <c r="BD347" s="5">
        <v>10</v>
      </c>
      <c r="BE347" s="5">
        <v>10</v>
      </c>
      <c r="BF347" s="5">
        <v>10</v>
      </c>
      <c r="BG347" s="5">
        <v>10</v>
      </c>
      <c r="BH347" s="5">
        <v>10</v>
      </c>
      <c r="BI347" s="5">
        <v>10</v>
      </c>
      <c r="BJ347" s="2" t="e">
        <f t="shared" ca="1" si="124"/>
        <v>#NAME?</v>
      </c>
      <c r="BK347" s="5">
        <v>10</v>
      </c>
      <c r="BL347" s="5">
        <v>10</v>
      </c>
      <c r="BM347" s="5">
        <v>10</v>
      </c>
      <c r="BN347" s="5">
        <v>10</v>
      </c>
      <c r="BO347" s="5">
        <v>10</v>
      </c>
      <c r="BP347" s="54">
        <f t="shared" si="115"/>
        <v>10</v>
      </c>
      <c r="BQ347" s="5"/>
      <c r="BR347" s="5">
        <v>10</v>
      </c>
      <c r="BS347" s="5">
        <v>10</v>
      </c>
      <c r="BT347" s="5">
        <v>10</v>
      </c>
      <c r="BU347" s="5">
        <v>10</v>
      </c>
      <c r="BV347" s="5">
        <v>10</v>
      </c>
      <c r="BW347" s="5">
        <v>10</v>
      </c>
      <c r="BX347" s="5">
        <v>10</v>
      </c>
      <c r="BY347" s="5">
        <v>10</v>
      </c>
      <c r="BZ347" s="5">
        <v>10</v>
      </c>
      <c r="CA347" s="5">
        <v>10</v>
      </c>
      <c r="CB347" s="5">
        <v>10</v>
      </c>
      <c r="CC347" s="2" t="e">
        <f t="shared" ca="1" si="125"/>
        <v>#NAME?</v>
      </c>
      <c r="CD347" s="55"/>
      <c r="CE347" s="2"/>
      <c r="CF347" s="2">
        <v>10</v>
      </c>
      <c r="CG347" s="2">
        <v>10</v>
      </c>
      <c r="CH347" s="2">
        <v>10</v>
      </c>
      <c r="CI347" s="2">
        <v>10</v>
      </c>
      <c r="CJ347" s="2">
        <v>10</v>
      </c>
      <c r="CK347" s="2">
        <v>10</v>
      </c>
      <c r="CL347" s="2">
        <v>10</v>
      </c>
      <c r="CM347" s="2">
        <v>10</v>
      </c>
      <c r="CN347" s="2">
        <v>10</v>
      </c>
      <c r="CO347" s="2">
        <v>10</v>
      </c>
      <c r="CP347" s="2" t="e">
        <f t="shared" ca="1" si="126"/>
        <v>#NAME?</v>
      </c>
      <c r="CQ347" s="2">
        <v>10</v>
      </c>
      <c r="CR347" s="2">
        <v>10</v>
      </c>
      <c r="CS347" s="2">
        <v>10</v>
      </c>
      <c r="CT347" s="2">
        <v>10</v>
      </c>
      <c r="CU347" s="2">
        <v>10</v>
      </c>
      <c r="CV347" s="54">
        <f t="shared" si="116"/>
        <v>10</v>
      </c>
      <c r="CW347" s="55"/>
      <c r="CX347" s="3"/>
    </row>
    <row r="348" spans="1:102" ht="16.5" x14ac:dyDescent="0.55000000000000004">
      <c r="A348" s="17">
        <v>1</v>
      </c>
      <c r="B348" s="17" t="s">
        <v>7</v>
      </c>
      <c r="C348" s="23" t="s">
        <v>737</v>
      </c>
      <c r="D348" s="24" t="s">
        <v>738</v>
      </c>
      <c r="E348" s="48" t="s">
        <v>31</v>
      </c>
      <c r="F348" s="2" t="s">
        <v>31</v>
      </c>
      <c r="G348" s="2">
        <v>7</v>
      </c>
      <c r="H348" s="2">
        <v>9</v>
      </c>
      <c r="I348" s="2">
        <v>7</v>
      </c>
      <c r="J348" s="2">
        <v>7</v>
      </c>
      <c r="K348" s="2">
        <v>7</v>
      </c>
      <c r="L348" s="2">
        <v>8</v>
      </c>
      <c r="M348" s="2">
        <v>8</v>
      </c>
      <c r="N348" s="2">
        <v>8</v>
      </c>
      <c r="O348" s="2">
        <v>9</v>
      </c>
      <c r="P348" s="2">
        <v>9</v>
      </c>
      <c r="Q348" s="2" t="e">
        <f t="shared" ca="1" si="122"/>
        <v>#NAME?</v>
      </c>
      <c r="R348" s="2">
        <v>10</v>
      </c>
      <c r="S348" s="2">
        <v>5</v>
      </c>
      <c r="T348" s="2">
        <v>10</v>
      </c>
      <c r="U348" s="2">
        <v>10</v>
      </c>
      <c r="V348" s="2">
        <v>10</v>
      </c>
      <c r="W348" s="54">
        <f t="shared" si="113"/>
        <v>9</v>
      </c>
      <c r="X348" s="48">
        <v>4</v>
      </c>
      <c r="Y348" s="48">
        <v>4</v>
      </c>
      <c r="Z348" s="2"/>
      <c r="AA348" s="49">
        <v>10</v>
      </c>
      <c r="AB348" s="49">
        <v>10</v>
      </c>
      <c r="AC348" s="49">
        <v>10</v>
      </c>
      <c r="AD348" s="49">
        <v>10</v>
      </c>
      <c r="AE348" s="49">
        <v>10</v>
      </c>
      <c r="AF348" s="49">
        <v>10</v>
      </c>
      <c r="AG348" s="49">
        <v>10</v>
      </c>
      <c r="AH348" s="49">
        <v>10</v>
      </c>
      <c r="AI348" s="49">
        <v>10</v>
      </c>
      <c r="AJ348" s="49">
        <v>10</v>
      </c>
      <c r="AK348" s="49">
        <v>10</v>
      </c>
      <c r="AL348" s="49">
        <v>10</v>
      </c>
      <c r="AM348" s="49">
        <v>10</v>
      </c>
      <c r="AN348" s="49">
        <v>10</v>
      </c>
      <c r="AO348" s="49">
        <v>10</v>
      </c>
      <c r="AP348" s="49">
        <v>10</v>
      </c>
      <c r="AQ348" s="2" t="e">
        <f t="shared" ca="1" si="123"/>
        <v>#NAME?</v>
      </c>
      <c r="AR348" s="49">
        <v>10</v>
      </c>
      <c r="AS348" s="49">
        <v>10</v>
      </c>
      <c r="AT348" s="49">
        <v>10</v>
      </c>
      <c r="AU348" s="49">
        <v>10</v>
      </c>
      <c r="AV348" s="49">
        <v>10</v>
      </c>
      <c r="AW348" s="54">
        <f t="shared" si="114"/>
        <v>10</v>
      </c>
      <c r="AX348" s="48">
        <v>8</v>
      </c>
      <c r="AY348" s="2">
        <v>8</v>
      </c>
      <c r="AZ348" s="5">
        <v>10</v>
      </c>
      <c r="BA348" s="5">
        <v>10</v>
      </c>
      <c r="BB348" s="5">
        <v>10</v>
      </c>
      <c r="BC348" s="5">
        <v>9</v>
      </c>
      <c r="BD348" s="5">
        <v>10</v>
      </c>
      <c r="BE348" s="5">
        <v>10</v>
      </c>
      <c r="BF348" s="5">
        <v>10</v>
      </c>
      <c r="BG348" s="5">
        <v>9</v>
      </c>
      <c r="BH348" s="5">
        <v>10</v>
      </c>
      <c r="BI348" s="5">
        <v>10</v>
      </c>
      <c r="BJ348" s="2" t="e">
        <f t="shared" ca="1" si="124"/>
        <v>#NAME?</v>
      </c>
      <c r="BK348" s="5">
        <v>10</v>
      </c>
      <c r="BL348" s="5">
        <v>10</v>
      </c>
      <c r="BM348" s="5">
        <v>10</v>
      </c>
      <c r="BN348" s="5">
        <v>10</v>
      </c>
      <c r="BO348" s="5">
        <v>10</v>
      </c>
      <c r="BP348" s="54">
        <f t="shared" si="115"/>
        <v>10</v>
      </c>
      <c r="BQ348" s="5"/>
      <c r="BR348" s="5">
        <v>10</v>
      </c>
      <c r="BS348" s="5">
        <v>10</v>
      </c>
      <c r="BT348" s="5">
        <v>10</v>
      </c>
      <c r="BU348" s="5">
        <v>10</v>
      </c>
      <c r="BV348" s="5">
        <v>10</v>
      </c>
      <c r="BW348" s="5">
        <v>10</v>
      </c>
      <c r="BX348" s="5">
        <v>10</v>
      </c>
      <c r="BY348" s="5">
        <v>10</v>
      </c>
      <c r="BZ348" s="5">
        <v>10</v>
      </c>
      <c r="CA348" s="5">
        <v>10</v>
      </c>
      <c r="CB348" s="5">
        <v>10</v>
      </c>
      <c r="CC348" s="2" t="e">
        <f t="shared" ca="1" si="125"/>
        <v>#NAME?</v>
      </c>
      <c r="CD348" s="55"/>
      <c r="CE348" s="2"/>
      <c r="CF348" s="2">
        <v>9</v>
      </c>
      <c r="CG348" s="2">
        <v>9</v>
      </c>
      <c r="CH348" s="2">
        <v>9</v>
      </c>
      <c r="CI348" s="2">
        <v>9</v>
      </c>
      <c r="CJ348" s="2">
        <v>9</v>
      </c>
      <c r="CK348" s="2">
        <v>10</v>
      </c>
      <c r="CL348" s="2">
        <v>10</v>
      </c>
      <c r="CM348" s="2">
        <v>10</v>
      </c>
      <c r="CN348" s="2">
        <v>10</v>
      </c>
      <c r="CO348" s="2">
        <v>10</v>
      </c>
      <c r="CP348" s="2" t="e">
        <f t="shared" ca="1" si="126"/>
        <v>#NAME?</v>
      </c>
      <c r="CQ348" s="2">
        <v>10</v>
      </c>
      <c r="CR348" s="2">
        <v>10</v>
      </c>
      <c r="CS348" s="2">
        <v>10</v>
      </c>
      <c r="CT348" s="2">
        <v>10</v>
      </c>
      <c r="CU348" s="2">
        <v>10</v>
      </c>
      <c r="CV348" s="54">
        <f t="shared" si="116"/>
        <v>10</v>
      </c>
      <c r="CW348" s="55"/>
      <c r="CX348" s="3"/>
    </row>
    <row r="349" spans="1:102" ht="16.5" x14ac:dyDescent="0.55000000000000004">
      <c r="A349" s="17">
        <v>1</v>
      </c>
      <c r="B349" s="17" t="s">
        <v>7</v>
      </c>
      <c r="C349" s="23" t="s">
        <v>739</v>
      </c>
      <c r="D349" s="24" t="s">
        <v>740</v>
      </c>
      <c r="E349" s="48">
        <v>0</v>
      </c>
      <c r="F349" s="2" t="s">
        <v>31</v>
      </c>
      <c r="G349" s="2">
        <v>7</v>
      </c>
      <c r="H349" s="2">
        <v>7</v>
      </c>
      <c r="I349" s="2">
        <v>8</v>
      </c>
      <c r="J349" s="2">
        <v>10</v>
      </c>
      <c r="K349" s="2">
        <v>8</v>
      </c>
      <c r="L349" s="2">
        <v>8</v>
      </c>
      <c r="M349" s="2">
        <v>8</v>
      </c>
      <c r="N349" s="2">
        <v>9</v>
      </c>
      <c r="O349" s="2">
        <v>9</v>
      </c>
      <c r="P349" s="2">
        <v>9</v>
      </c>
      <c r="Q349" s="2" t="e">
        <f t="shared" ca="1" si="122"/>
        <v>#NAME?</v>
      </c>
      <c r="R349" s="2">
        <v>10</v>
      </c>
      <c r="S349" s="2">
        <v>10</v>
      </c>
      <c r="T349" s="2">
        <v>10</v>
      </c>
      <c r="U349" s="2">
        <v>10</v>
      </c>
      <c r="V349" s="2">
        <v>10</v>
      </c>
      <c r="W349" s="54">
        <f t="shared" si="113"/>
        <v>10</v>
      </c>
      <c r="X349" s="48">
        <v>0</v>
      </c>
      <c r="Y349" s="48">
        <v>0</v>
      </c>
      <c r="Z349" s="2"/>
      <c r="AA349" s="49">
        <v>10</v>
      </c>
      <c r="AB349" s="49">
        <v>10</v>
      </c>
      <c r="AC349" s="49">
        <v>10</v>
      </c>
      <c r="AD349" s="49">
        <v>10</v>
      </c>
      <c r="AE349" s="49">
        <v>10</v>
      </c>
      <c r="AF349" s="49">
        <v>10</v>
      </c>
      <c r="AG349" s="49">
        <v>10</v>
      </c>
      <c r="AH349" s="49">
        <v>10</v>
      </c>
      <c r="AI349" s="49">
        <v>10</v>
      </c>
      <c r="AJ349" s="49">
        <v>10</v>
      </c>
      <c r="AK349" s="49">
        <v>10</v>
      </c>
      <c r="AL349" s="49">
        <v>10</v>
      </c>
      <c r="AM349" s="49">
        <v>10</v>
      </c>
      <c r="AN349" s="49">
        <v>10</v>
      </c>
      <c r="AO349" s="49">
        <v>10</v>
      </c>
      <c r="AP349" s="49">
        <v>10</v>
      </c>
      <c r="AQ349" s="2" t="e">
        <f t="shared" ca="1" si="123"/>
        <v>#NAME?</v>
      </c>
      <c r="AR349" s="49">
        <v>10</v>
      </c>
      <c r="AS349" s="49">
        <v>10</v>
      </c>
      <c r="AT349" s="49">
        <v>10</v>
      </c>
      <c r="AU349" s="49">
        <v>10</v>
      </c>
      <c r="AV349" s="49">
        <v>10</v>
      </c>
      <c r="AW349" s="54">
        <f t="shared" si="114"/>
        <v>10</v>
      </c>
      <c r="AX349" s="48">
        <v>8</v>
      </c>
      <c r="AY349" s="2">
        <v>7</v>
      </c>
      <c r="AZ349" s="2">
        <v>10</v>
      </c>
      <c r="BA349" s="2">
        <v>10</v>
      </c>
      <c r="BB349" s="2">
        <v>9</v>
      </c>
      <c r="BC349" s="2">
        <v>10</v>
      </c>
      <c r="BD349" s="2">
        <v>10</v>
      </c>
      <c r="BE349" s="2">
        <v>9</v>
      </c>
      <c r="BF349" s="2">
        <v>10</v>
      </c>
      <c r="BG349" s="2">
        <v>10</v>
      </c>
      <c r="BH349" s="2">
        <v>10</v>
      </c>
      <c r="BI349" s="57">
        <v>10</v>
      </c>
      <c r="BJ349" s="2" t="e">
        <f t="shared" ca="1" si="124"/>
        <v>#NAME?</v>
      </c>
      <c r="BK349" s="5">
        <v>10</v>
      </c>
      <c r="BL349" s="5">
        <v>10</v>
      </c>
      <c r="BM349" s="5">
        <v>10</v>
      </c>
      <c r="BN349" s="5">
        <v>10</v>
      </c>
      <c r="BO349" s="5">
        <v>10</v>
      </c>
      <c r="BP349" s="54">
        <f t="shared" si="115"/>
        <v>10</v>
      </c>
      <c r="BQ349" s="5"/>
      <c r="BR349" s="5">
        <v>10</v>
      </c>
      <c r="BS349" s="5">
        <v>10</v>
      </c>
      <c r="BT349" s="5">
        <v>10</v>
      </c>
      <c r="BU349" s="5">
        <v>10</v>
      </c>
      <c r="BV349" s="5">
        <v>10</v>
      </c>
      <c r="BW349" s="5">
        <v>10</v>
      </c>
      <c r="BX349" s="5">
        <v>10</v>
      </c>
      <c r="BY349" s="5">
        <v>10</v>
      </c>
      <c r="BZ349" s="5">
        <v>10</v>
      </c>
      <c r="CA349" s="5">
        <v>10</v>
      </c>
      <c r="CB349" s="5">
        <v>10</v>
      </c>
      <c r="CC349" s="2" t="e">
        <f t="shared" ca="1" si="125"/>
        <v>#NAME?</v>
      </c>
      <c r="CD349" s="55"/>
      <c r="CE349" s="2"/>
      <c r="CF349" s="2">
        <v>8</v>
      </c>
      <c r="CG349" s="2">
        <v>8</v>
      </c>
      <c r="CH349" s="2">
        <v>8</v>
      </c>
      <c r="CI349" s="2">
        <v>8</v>
      </c>
      <c r="CJ349" s="2">
        <v>8</v>
      </c>
      <c r="CK349" s="2">
        <v>8</v>
      </c>
      <c r="CL349" s="2">
        <v>8</v>
      </c>
      <c r="CM349" s="2">
        <v>10</v>
      </c>
      <c r="CN349" s="2">
        <v>10</v>
      </c>
      <c r="CO349" s="2">
        <v>10</v>
      </c>
      <c r="CP349" s="2" t="e">
        <f t="shared" ca="1" si="126"/>
        <v>#NAME?</v>
      </c>
      <c r="CQ349" s="2">
        <v>8</v>
      </c>
      <c r="CR349" s="2">
        <v>8</v>
      </c>
      <c r="CS349" s="2">
        <v>8</v>
      </c>
      <c r="CT349" s="2">
        <v>8</v>
      </c>
      <c r="CU349" s="2">
        <v>8</v>
      </c>
      <c r="CV349" s="54">
        <f t="shared" si="116"/>
        <v>8</v>
      </c>
      <c r="CW349" s="55"/>
      <c r="CX349" s="3"/>
    </row>
    <row r="350" spans="1:102" ht="16.5" x14ac:dyDescent="0.55000000000000004">
      <c r="A350" s="17">
        <v>1</v>
      </c>
      <c r="B350" s="17" t="s">
        <v>7</v>
      </c>
      <c r="C350" s="23" t="s">
        <v>741</v>
      </c>
      <c r="D350" s="24" t="s">
        <v>742</v>
      </c>
      <c r="E350" s="48" t="s">
        <v>31</v>
      </c>
      <c r="F350" s="2" t="s">
        <v>31</v>
      </c>
      <c r="G350" s="2">
        <v>5</v>
      </c>
      <c r="H350" s="2">
        <v>6</v>
      </c>
      <c r="I350" s="2">
        <v>7</v>
      </c>
      <c r="J350" s="2">
        <v>6</v>
      </c>
      <c r="K350" s="2">
        <v>6</v>
      </c>
      <c r="L350" s="2"/>
      <c r="M350" s="2"/>
      <c r="N350" s="2"/>
      <c r="O350" s="2"/>
      <c r="P350" s="2"/>
      <c r="Q350" s="2" t="e">
        <f t="shared" ca="1" si="122"/>
        <v>#NAME?</v>
      </c>
      <c r="R350" s="2">
        <v>10</v>
      </c>
      <c r="S350" s="2">
        <v>5</v>
      </c>
      <c r="T350" s="2">
        <v>10</v>
      </c>
      <c r="U350" s="2">
        <v>10</v>
      </c>
      <c r="V350" s="2">
        <v>10</v>
      </c>
      <c r="W350" s="54">
        <f t="shared" si="113"/>
        <v>9</v>
      </c>
      <c r="X350" s="48">
        <v>3</v>
      </c>
      <c r="Y350" s="48">
        <v>3</v>
      </c>
      <c r="Z350" s="2"/>
      <c r="AA350" s="49">
        <v>10</v>
      </c>
      <c r="AB350" s="49">
        <v>10</v>
      </c>
      <c r="AC350" s="49">
        <v>10</v>
      </c>
      <c r="AD350" s="49">
        <v>10</v>
      </c>
      <c r="AE350" s="49">
        <v>10</v>
      </c>
      <c r="AF350" s="49">
        <v>10</v>
      </c>
      <c r="AG350" s="49">
        <v>10</v>
      </c>
      <c r="AH350" s="49">
        <v>10</v>
      </c>
      <c r="AI350" s="49">
        <v>10</v>
      </c>
      <c r="AJ350" s="49">
        <v>10</v>
      </c>
      <c r="AK350" s="49">
        <v>10</v>
      </c>
      <c r="AL350" s="49">
        <v>10</v>
      </c>
      <c r="AM350" s="49">
        <v>10</v>
      </c>
      <c r="AN350" s="49">
        <v>10</v>
      </c>
      <c r="AO350" s="49">
        <v>10</v>
      </c>
      <c r="AP350" s="49">
        <v>10</v>
      </c>
      <c r="AQ350" s="2" t="e">
        <f t="shared" ca="1" si="123"/>
        <v>#NAME?</v>
      </c>
      <c r="AR350" s="49">
        <v>10</v>
      </c>
      <c r="AS350" s="49">
        <v>10</v>
      </c>
      <c r="AT350" s="49">
        <v>10</v>
      </c>
      <c r="AU350" s="49">
        <v>10</v>
      </c>
      <c r="AV350" s="49">
        <v>10</v>
      </c>
      <c r="AW350" s="54">
        <f t="shared" si="114"/>
        <v>10</v>
      </c>
      <c r="AX350" s="48">
        <v>8</v>
      </c>
      <c r="AY350" s="2">
        <v>8</v>
      </c>
      <c r="AZ350" s="5">
        <v>10</v>
      </c>
      <c r="BA350" s="5">
        <v>10</v>
      </c>
      <c r="BB350" s="5">
        <v>10</v>
      </c>
      <c r="BC350" s="5">
        <v>10</v>
      </c>
      <c r="BD350" s="5">
        <v>10</v>
      </c>
      <c r="BE350" s="5">
        <v>10</v>
      </c>
      <c r="BF350" s="5">
        <v>10</v>
      </c>
      <c r="BG350" s="5">
        <v>10</v>
      </c>
      <c r="BH350" s="5">
        <v>10</v>
      </c>
      <c r="BI350" s="5">
        <v>10</v>
      </c>
      <c r="BJ350" s="2" t="e">
        <f t="shared" ca="1" si="124"/>
        <v>#NAME?</v>
      </c>
      <c r="BK350" s="5">
        <v>10</v>
      </c>
      <c r="BL350" s="5">
        <v>10</v>
      </c>
      <c r="BM350" s="5">
        <v>10</v>
      </c>
      <c r="BN350" s="5">
        <v>10</v>
      </c>
      <c r="BO350" s="5">
        <v>10</v>
      </c>
      <c r="BP350" s="54">
        <f t="shared" si="115"/>
        <v>10</v>
      </c>
      <c r="BQ350" s="5"/>
      <c r="BR350" s="5">
        <v>10</v>
      </c>
      <c r="BS350" s="5">
        <v>10</v>
      </c>
      <c r="BT350" s="5">
        <v>10</v>
      </c>
      <c r="BU350" s="5">
        <v>10</v>
      </c>
      <c r="BV350" s="5">
        <v>10</v>
      </c>
      <c r="BW350" s="5">
        <v>10</v>
      </c>
      <c r="BX350" s="5">
        <v>10</v>
      </c>
      <c r="BY350" s="5">
        <v>10</v>
      </c>
      <c r="BZ350" s="5">
        <v>10</v>
      </c>
      <c r="CA350" s="5">
        <v>10</v>
      </c>
      <c r="CB350" s="5">
        <v>10</v>
      </c>
      <c r="CC350" s="2" t="e">
        <f t="shared" ca="1" si="125"/>
        <v>#NAME?</v>
      </c>
      <c r="CD350" s="55"/>
      <c r="CE350" s="2"/>
      <c r="CF350" s="2">
        <v>10</v>
      </c>
      <c r="CG350" s="2">
        <v>10</v>
      </c>
      <c r="CH350" s="2">
        <v>10</v>
      </c>
      <c r="CI350" s="2">
        <v>10</v>
      </c>
      <c r="CJ350" s="2">
        <v>10</v>
      </c>
      <c r="CK350" s="2">
        <v>10</v>
      </c>
      <c r="CL350" s="2">
        <v>10</v>
      </c>
      <c r="CM350" s="2">
        <v>10</v>
      </c>
      <c r="CN350" s="2">
        <v>10</v>
      </c>
      <c r="CO350" s="2">
        <v>10</v>
      </c>
      <c r="CP350" s="2" t="e">
        <f t="shared" ca="1" si="126"/>
        <v>#NAME?</v>
      </c>
      <c r="CQ350" s="2">
        <v>10</v>
      </c>
      <c r="CR350" s="2">
        <v>10</v>
      </c>
      <c r="CS350" s="2">
        <v>10</v>
      </c>
      <c r="CT350" s="2">
        <v>10</v>
      </c>
      <c r="CU350" s="2">
        <v>10</v>
      </c>
      <c r="CV350" s="54">
        <f t="shared" si="116"/>
        <v>10</v>
      </c>
      <c r="CW350" s="55"/>
      <c r="CX350" s="3"/>
    </row>
    <row r="351" spans="1:102" ht="16.5" x14ac:dyDescent="0.55000000000000004">
      <c r="A351" s="17">
        <v>1</v>
      </c>
      <c r="B351" s="17" t="s">
        <v>7</v>
      </c>
      <c r="C351" s="23" t="s">
        <v>743</v>
      </c>
      <c r="D351" s="24" t="s">
        <v>744</v>
      </c>
      <c r="E351" s="48">
        <v>1</v>
      </c>
      <c r="F351" s="2" t="s">
        <v>31</v>
      </c>
      <c r="G351" s="2">
        <v>5</v>
      </c>
      <c r="H351" s="2">
        <v>7</v>
      </c>
      <c r="I351" s="2">
        <v>6</v>
      </c>
      <c r="J351" s="2">
        <v>7</v>
      </c>
      <c r="K351" s="2">
        <v>7</v>
      </c>
      <c r="L351" s="2"/>
      <c r="M351" s="2"/>
      <c r="N351" s="2"/>
      <c r="O351" s="2"/>
      <c r="P351" s="2"/>
      <c r="Q351" s="2" t="e">
        <f t="shared" ca="1" si="122"/>
        <v>#NAME?</v>
      </c>
      <c r="R351" s="2">
        <v>10</v>
      </c>
      <c r="S351" s="2">
        <v>10</v>
      </c>
      <c r="T351" s="2">
        <v>10</v>
      </c>
      <c r="U351" s="2">
        <v>10</v>
      </c>
      <c r="V351" s="2">
        <v>10</v>
      </c>
      <c r="W351" s="54">
        <f t="shared" si="113"/>
        <v>10</v>
      </c>
      <c r="X351" s="48">
        <v>10</v>
      </c>
      <c r="Y351" s="48">
        <v>10</v>
      </c>
      <c r="Z351" s="2"/>
      <c r="AA351" s="49">
        <v>10</v>
      </c>
      <c r="AB351" s="49">
        <v>10</v>
      </c>
      <c r="AC351" s="49">
        <v>10</v>
      </c>
      <c r="AD351" s="49">
        <v>10</v>
      </c>
      <c r="AE351" s="49">
        <v>10</v>
      </c>
      <c r="AF351" s="49">
        <v>10</v>
      </c>
      <c r="AG351" s="49">
        <v>10</v>
      </c>
      <c r="AH351" s="49">
        <v>10</v>
      </c>
      <c r="AI351" s="49">
        <v>10</v>
      </c>
      <c r="AJ351" s="49">
        <v>10</v>
      </c>
      <c r="AK351" s="49">
        <v>10</v>
      </c>
      <c r="AL351" s="49">
        <v>10</v>
      </c>
      <c r="AM351" s="49">
        <v>10</v>
      </c>
      <c r="AN351" s="49">
        <v>10</v>
      </c>
      <c r="AO351" s="49">
        <v>10</v>
      </c>
      <c r="AP351" s="49">
        <v>10</v>
      </c>
      <c r="AQ351" s="2" t="e">
        <f t="shared" ca="1" si="123"/>
        <v>#NAME?</v>
      </c>
      <c r="AR351" s="49">
        <v>10</v>
      </c>
      <c r="AS351" s="50">
        <v>7</v>
      </c>
      <c r="AT351" s="50">
        <v>6</v>
      </c>
      <c r="AU351" s="50">
        <v>6</v>
      </c>
      <c r="AV351" s="50">
        <v>6</v>
      </c>
      <c r="AW351" s="54">
        <f t="shared" si="114"/>
        <v>7</v>
      </c>
      <c r="AX351" s="48">
        <v>8</v>
      </c>
      <c r="AY351" s="2">
        <v>9</v>
      </c>
      <c r="AZ351" s="5">
        <v>10</v>
      </c>
      <c r="BA351" s="5">
        <v>10</v>
      </c>
      <c r="BB351" s="5">
        <v>10</v>
      </c>
      <c r="BC351" s="5">
        <v>10</v>
      </c>
      <c r="BD351" s="5">
        <v>10</v>
      </c>
      <c r="BE351" s="5">
        <v>10</v>
      </c>
      <c r="BF351" s="5">
        <v>9</v>
      </c>
      <c r="BG351" s="5">
        <v>10</v>
      </c>
      <c r="BH351" s="5">
        <v>10</v>
      </c>
      <c r="BI351" s="5">
        <v>10</v>
      </c>
      <c r="BJ351" s="2" t="e">
        <f t="shared" ca="1" si="124"/>
        <v>#NAME?</v>
      </c>
      <c r="BK351" s="5">
        <v>10</v>
      </c>
      <c r="BL351" s="5">
        <v>10</v>
      </c>
      <c r="BM351" s="5">
        <v>10</v>
      </c>
      <c r="BN351" s="5">
        <v>10</v>
      </c>
      <c r="BO351" s="5">
        <v>10</v>
      </c>
      <c r="BP351" s="54">
        <f t="shared" si="115"/>
        <v>10</v>
      </c>
      <c r="BQ351" s="5"/>
      <c r="BR351" s="5">
        <v>10</v>
      </c>
      <c r="BS351" s="5">
        <v>10</v>
      </c>
      <c r="BT351" s="5">
        <v>10</v>
      </c>
      <c r="BU351" s="5">
        <v>10</v>
      </c>
      <c r="BV351" s="5">
        <v>10</v>
      </c>
      <c r="BW351" s="5">
        <v>10</v>
      </c>
      <c r="BX351" s="5">
        <v>10</v>
      </c>
      <c r="BY351" s="5">
        <v>10</v>
      </c>
      <c r="BZ351" s="5">
        <v>10</v>
      </c>
      <c r="CA351" s="5">
        <v>10</v>
      </c>
      <c r="CB351" s="5">
        <v>10</v>
      </c>
      <c r="CC351" s="2" t="e">
        <f t="shared" ca="1" si="125"/>
        <v>#NAME?</v>
      </c>
      <c r="CD351" s="55"/>
      <c r="CE351" s="2"/>
      <c r="CF351" s="2">
        <v>10</v>
      </c>
      <c r="CG351" s="2">
        <v>10</v>
      </c>
      <c r="CH351" s="2">
        <v>10</v>
      </c>
      <c r="CI351" s="2">
        <v>10</v>
      </c>
      <c r="CJ351" s="2">
        <v>10</v>
      </c>
      <c r="CK351" s="2">
        <v>10</v>
      </c>
      <c r="CL351" s="2">
        <v>10</v>
      </c>
      <c r="CM351" s="2">
        <v>10</v>
      </c>
      <c r="CN351" s="2">
        <v>10</v>
      </c>
      <c r="CO351" s="2">
        <v>10</v>
      </c>
      <c r="CP351" s="2" t="e">
        <f t="shared" ca="1" si="126"/>
        <v>#NAME?</v>
      </c>
      <c r="CQ351" s="2">
        <v>10</v>
      </c>
      <c r="CR351" s="2">
        <v>10</v>
      </c>
      <c r="CS351" s="2">
        <v>10</v>
      </c>
      <c r="CT351" s="2">
        <v>10</v>
      </c>
      <c r="CU351" s="2">
        <v>10</v>
      </c>
      <c r="CV351" s="54">
        <f t="shared" si="116"/>
        <v>10</v>
      </c>
      <c r="CW351" s="55"/>
      <c r="CX351" s="3"/>
    </row>
    <row r="352" spans="1:102" ht="16.5" x14ac:dyDescent="0.55000000000000004">
      <c r="A352" s="17">
        <v>1</v>
      </c>
      <c r="B352" s="17" t="s">
        <v>7</v>
      </c>
      <c r="C352" s="23" t="s">
        <v>745</v>
      </c>
      <c r="D352" s="24" t="s">
        <v>746</v>
      </c>
      <c r="E352" s="48" t="s">
        <v>31</v>
      </c>
      <c r="F352" s="2" t="s">
        <v>31</v>
      </c>
      <c r="G352" s="2">
        <v>7</v>
      </c>
      <c r="H352" s="2">
        <v>6</v>
      </c>
      <c r="I352" s="2">
        <v>6</v>
      </c>
      <c r="J352" s="2">
        <v>6</v>
      </c>
      <c r="K352" s="2">
        <v>6</v>
      </c>
      <c r="L352" s="2"/>
      <c r="M352" s="2"/>
      <c r="N352" s="2"/>
      <c r="O352" s="2"/>
      <c r="P352" s="2"/>
      <c r="Q352" s="2" t="e">
        <f t="shared" ca="1" si="122"/>
        <v>#NAME?</v>
      </c>
      <c r="R352" s="2">
        <v>10</v>
      </c>
      <c r="S352" s="2">
        <v>10</v>
      </c>
      <c r="T352" s="2">
        <v>10</v>
      </c>
      <c r="U352" s="2">
        <v>10</v>
      </c>
      <c r="V352" s="2">
        <v>10</v>
      </c>
      <c r="W352" s="54">
        <f t="shared" si="113"/>
        <v>10</v>
      </c>
      <c r="X352" s="48">
        <v>0</v>
      </c>
      <c r="Y352" s="48">
        <v>0</v>
      </c>
      <c r="Z352" s="2"/>
      <c r="AA352" s="49">
        <v>10</v>
      </c>
      <c r="AB352" s="49">
        <v>10</v>
      </c>
      <c r="AC352" s="49">
        <v>10</v>
      </c>
      <c r="AD352" s="49">
        <v>10</v>
      </c>
      <c r="AE352" s="49">
        <v>10</v>
      </c>
      <c r="AF352" s="49">
        <v>10</v>
      </c>
      <c r="AG352" s="50">
        <v>7</v>
      </c>
      <c r="AH352" s="50">
        <v>7</v>
      </c>
      <c r="AI352" s="50">
        <v>7</v>
      </c>
      <c r="AJ352" s="50">
        <v>7</v>
      </c>
      <c r="AK352" s="49">
        <v>10</v>
      </c>
      <c r="AL352" s="49">
        <v>10</v>
      </c>
      <c r="AM352" s="50">
        <v>7</v>
      </c>
      <c r="AN352" s="50">
        <v>7</v>
      </c>
      <c r="AO352" s="50">
        <v>7</v>
      </c>
      <c r="AP352" s="50">
        <v>7</v>
      </c>
      <c r="AQ352" s="2" t="e">
        <f t="shared" ca="1" si="123"/>
        <v>#NAME?</v>
      </c>
      <c r="AR352" s="50">
        <v>6</v>
      </c>
      <c r="AS352" s="50">
        <v>6</v>
      </c>
      <c r="AT352" s="50">
        <v>7</v>
      </c>
      <c r="AU352" s="50">
        <v>7</v>
      </c>
      <c r="AV352" s="50">
        <v>7</v>
      </c>
      <c r="AW352" s="54">
        <f t="shared" si="114"/>
        <v>7</v>
      </c>
      <c r="AX352" s="48">
        <v>8</v>
      </c>
      <c r="AY352" s="2">
        <v>7</v>
      </c>
      <c r="AZ352" s="5">
        <v>10</v>
      </c>
      <c r="BA352" s="5">
        <v>9</v>
      </c>
      <c r="BB352" s="5">
        <v>10</v>
      </c>
      <c r="BC352" s="5">
        <v>10</v>
      </c>
      <c r="BD352" s="5">
        <v>9</v>
      </c>
      <c r="BE352" s="5">
        <v>10</v>
      </c>
      <c r="BF352" s="5">
        <v>10</v>
      </c>
      <c r="BG352" s="5">
        <v>9</v>
      </c>
      <c r="BH352" s="5">
        <v>10</v>
      </c>
      <c r="BI352" s="5">
        <v>10</v>
      </c>
      <c r="BJ352" s="2" t="e">
        <f t="shared" ca="1" si="124"/>
        <v>#NAME?</v>
      </c>
      <c r="BK352" s="5">
        <v>10</v>
      </c>
      <c r="BL352" s="5">
        <v>10</v>
      </c>
      <c r="BM352" s="5">
        <v>10</v>
      </c>
      <c r="BN352" s="5">
        <v>10</v>
      </c>
      <c r="BO352" s="5">
        <v>10</v>
      </c>
      <c r="BP352" s="54">
        <f t="shared" si="115"/>
        <v>10</v>
      </c>
      <c r="BQ352" s="5"/>
      <c r="BR352" s="5">
        <v>10</v>
      </c>
      <c r="BS352" s="5">
        <v>10</v>
      </c>
      <c r="BT352" s="5">
        <v>10</v>
      </c>
      <c r="BU352" s="5">
        <v>10</v>
      </c>
      <c r="BV352" s="5">
        <v>10</v>
      </c>
      <c r="BW352" s="5">
        <v>10</v>
      </c>
      <c r="BX352" s="5">
        <v>10</v>
      </c>
      <c r="BY352" s="5">
        <v>10</v>
      </c>
      <c r="BZ352" s="5">
        <v>10</v>
      </c>
      <c r="CA352" s="5">
        <v>10</v>
      </c>
      <c r="CB352" s="5">
        <v>10</v>
      </c>
      <c r="CC352" s="2" t="e">
        <f t="shared" ca="1" si="125"/>
        <v>#NAME?</v>
      </c>
      <c r="CD352" s="55"/>
      <c r="CE352" s="2"/>
      <c r="CF352" s="2">
        <v>9</v>
      </c>
      <c r="CG352" s="2">
        <v>9</v>
      </c>
      <c r="CH352" s="2">
        <v>9</v>
      </c>
      <c r="CI352" s="2">
        <v>9</v>
      </c>
      <c r="CJ352" s="2">
        <v>9</v>
      </c>
      <c r="CK352" s="2">
        <v>9</v>
      </c>
      <c r="CL352" s="2">
        <v>9</v>
      </c>
      <c r="CM352" s="2">
        <v>9</v>
      </c>
      <c r="CN352" s="2">
        <v>10</v>
      </c>
      <c r="CO352" s="2">
        <v>10</v>
      </c>
      <c r="CP352" s="2" t="e">
        <f t="shared" ca="1" si="126"/>
        <v>#NAME?</v>
      </c>
      <c r="CQ352" s="2">
        <v>6</v>
      </c>
      <c r="CR352" s="2">
        <v>6</v>
      </c>
      <c r="CS352" s="2">
        <v>6</v>
      </c>
      <c r="CT352" s="2">
        <v>7</v>
      </c>
      <c r="CU352" s="2">
        <v>7</v>
      </c>
      <c r="CV352" s="54">
        <f t="shared" si="116"/>
        <v>7</v>
      </c>
      <c r="CW352" s="55"/>
      <c r="CX352" s="3"/>
    </row>
    <row r="353" spans="1:102" ht="16.5" x14ac:dyDescent="0.55000000000000004">
      <c r="A353" s="17">
        <v>1</v>
      </c>
      <c r="B353" s="17" t="s">
        <v>7</v>
      </c>
      <c r="C353" s="23" t="s">
        <v>747</v>
      </c>
      <c r="D353" s="24" t="s">
        <v>748</v>
      </c>
      <c r="E353" s="48">
        <v>0</v>
      </c>
      <c r="F353" s="2">
        <v>0</v>
      </c>
      <c r="G353" s="2">
        <v>5</v>
      </c>
      <c r="H353" s="2">
        <v>8</v>
      </c>
      <c r="I353" s="2">
        <v>7</v>
      </c>
      <c r="J353" s="2">
        <v>8</v>
      </c>
      <c r="K353" s="2">
        <v>8</v>
      </c>
      <c r="L353" s="2"/>
      <c r="M353" s="2"/>
      <c r="N353" s="2"/>
      <c r="O353" s="2"/>
      <c r="P353" s="2"/>
      <c r="Q353" s="2" t="e">
        <f t="shared" ca="1" si="122"/>
        <v>#NAME?</v>
      </c>
      <c r="R353" s="2">
        <v>10</v>
      </c>
      <c r="S353" s="2">
        <v>10</v>
      </c>
      <c r="T353" s="2">
        <v>10</v>
      </c>
      <c r="U353" s="2">
        <v>10</v>
      </c>
      <c r="V353" s="2">
        <v>10</v>
      </c>
      <c r="W353" s="54">
        <f t="shared" si="113"/>
        <v>10</v>
      </c>
      <c r="X353" s="48">
        <v>6</v>
      </c>
      <c r="Y353" s="48">
        <v>6</v>
      </c>
      <c r="Z353" s="2"/>
      <c r="AA353" s="49">
        <v>8</v>
      </c>
      <c r="AB353" s="49">
        <v>8</v>
      </c>
      <c r="AC353" s="49">
        <v>8</v>
      </c>
      <c r="AD353" s="49">
        <v>8</v>
      </c>
      <c r="AE353" s="49">
        <v>10</v>
      </c>
      <c r="AF353" s="49">
        <v>10</v>
      </c>
      <c r="AG353" s="49">
        <v>10</v>
      </c>
      <c r="AH353" s="49">
        <v>10</v>
      </c>
      <c r="AI353" s="49">
        <v>10</v>
      </c>
      <c r="AJ353" s="49">
        <v>10</v>
      </c>
      <c r="AK353" s="49">
        <v>10</v>
      </c>
      <c r="AL353" s="49">
        <v>10</v>
      </c>
      <c r="AM353" s="49">
        <v>10</v>
      </c>
      <c r="AN353" s="49">
        <v>10</v>
      </c>
      <c r="AO353" s="49">
        <v>10</v>
      </c>
      <c r="AP353" s="49">
        <v>10</v>
      </c>
      <c r="AQ353" s="2" t="e">
        <f t="shared" ca="1" si="123"/>
        <v>#NAME?</v>
      </c>
      <c r="AR353" s="49">
        <v>10</v>
      </c>
      <c r="AS353" s="49">
        <v>10</v>
      </c>
      <c r="AT353" s="49">
        <v>10</v>
      </c>
      <c r="AU353" s="49">
        <v>10</v>
      </c>
      <c r="AV353" s="49">
        <v>10</v>
      </c>
      <c r="AW353" s="54">
        <f t="shared" si="114"/>
        <v>10</v>
      </c>
      <c r="AX353" s="48">
        <v>8</v>
      </c>
      <c r="AY353" s="2">
        <v>8</v>
      </c>
      <c r="AZ353" s="5">
        <v>10</v>
      </c>
      <c r="BA353" s="5">
        <v>10</v>
      </c>
      <c r="BB353" s="5">
        <v>10</v>
      </c>
      <c r="BC353" s="5">
        <v>9</v>
      </c>
      <c r="BD353" s="5">
        <v>10</v>
      </c>
      <c r="BE353" s="5">
        <v>10</v>
      </c>
      <c r="BF353" s="5">
        <v>10</v>
      </c>
      <c r="BG353" s="5">
        <v>10</v>
      </c>
      <c r="BH353" s="5">
        <v>10</v>
      </c>
      <c r="BI353" s="5">
        <v>10</v>
      </c>
      <c r="BJ353" s="2" t="e">
        <f t="shared" ca="1" si="124"/>
        <v>#NAME?</v>
      </c>
      <c r="BK353" s="5">
        <v>10</v>
      </c>
      <c r="BL353" s="5">
        <v>10</v>
      </c>
      <c r="BM353" s="5">
        <v>10</v>
      </c>
      <c r="BN353" s="5">
        <v>10</v>
      </c>
      <c r="BO353" s="5">
        <v>10</v>
      </c>
      <c r="BP353" s="54">
        <f t="shared" si="115"/>
        <v>10</v>
      </c>
      <c r="BQ353" s="5"/>
      <c r="BR353" s="5">
        <v>10</v>
      </c>
      <c r="BS353" s="5">
        <v>10</v>
      </c>
      <c r="BT353" s="5">
        <v>10</v>
      </c>
      <c r="BU353" s="5">
        <v>10</v>
      </c>
      <c r="BV353" s="5">
        <v>10</v>
      </c>
      <c r="BW353" s="5">
        <v>10</v>
      </c>
      <c r="BX353" s="5">
        <v>10</v>
      </c>
      <c r="BY353" s="5">
        <v>10</v>
      </c>
      <c r="BZ353" s="5">
        <v>10</v>
      </c>
      <c r="CA353" s="5">
        <v>10</v>
      </c>
      <c r="CB353" s="5">
        <v>10</v>
      </c>
      <c r="CC353" s="2" t="e">
        <f t="shared" ca="1" si="125"/>
        <v>#NAME?</v>
      </c>
      <c r="CD353" s="55"/>
      <c r="CE353" s="2"/>
      <c r="CF353" s="2">
        <v>10</v>
      </c>
      <c r="CG353" s="2">
        <v>10</v>
      </c>
      <c r="CH353" s="2">
        <v>10</v>
      </c>
      <c r="CI353" s="2">
        <v>10</v>
      </c>
      <c r="CJ353" s="2">
        <v>10</v>
      </c>
      <c r="CK353" s="2">
        <v>10</v>
      </c>
      <c r="CL353" s="2">
        <v>10</v>
      </c>
      <c r="CM353" s="2">
        <v>10</v>
      </c>
      <c r="CN353" s="2">
        <v>10</v>
      </c>
      <c r="CO353" s="2">
        <v>10</v>
      </c>
      <c r="CP353" s="2" t="e">
        <f t="shared" ca="1" si="126"/>
        <v>#NAME?</v>
      </c>
      <c r="CQ353" s="2">
        <v>10</v>
      </c>
      <c r="CR353" s="2">
        <v>10</v>
      </c>
      <c r="CS353" s="2">
        <v>10</v>
      </c>
      <c r="CT353" s="2">
        <v>10</v>
      </c>
      <c r="CU353" s="2">
        <v>10</v>
      </c>
      <c r="CV353" s="54">
        <f t="shared" si="116"/>
        <v>10</v>
      </c>
      <c r="CW353" s="55"/>
      <c r="CX353" s="3"/>
    </row>
    <row r="354" spans="1:102" ht="16.5" x14ac:dyDescent="0.55000000000000004">
      <c r="A354" s="17">
        <v>1</v>
      </c>
      <c r="B354" s="17" t="s">
        <v>7</v>
      </c>
      <c r="C354" s="23" t="s">
        <v>749</v>
      </c>
      <c r="D354" s="24" t="s">
        <v>750</v>
      </c>
      <c r="E354" s="48" t="s">
        <v>31</v>
      </c>
      <c r="F354" s="2" t="s">
        <v>31</v>
      </c>
      <c r="G354" s="2">
        <v>6</v>
      </c>
      <c r="H354" s="2">
        <v>6</v>
      </c>
      <c r="I354" s="2">
        <v>5</v>
      </c>
      <c r="J354" s="2">
        <v>5</v>
      </c>
      <c r="K354" s="2">
        <v>5</v>
      </c>
      <c r="L354" s="2"/>
      <c r="M354" s="2"/>
      <c r="N354" s="2"/>
      <c r="O354" s="2"/>
      <c r="P354" s="2"/>
      <c r="Q354" s="2" t="e">
        <f t="shared" ca="1" si="122"/>
        <v>#NAME?</v>
      </c>
      <c r="R354" s="2">
        <v>10</v>
      </c>
      <c r="S354" s="2">
        <v>5</v>
      </c>
      <c r="T354" s="2">
        <v>10</v>
      </c>
      <c r="U354" s="2">
        <v>10</v>
      </c>
      <c r="V354" s="2">
        <v>10</v>
      </c>
      <c r="W354" s="54">
        <f t="shared" si="113"/>
        <v>9</v>
      </c>
      <c r="X354" s="48">
        <v>0</v>
      </c>
      <c r="Y354" s="48">
        <v>0</v>
      </c>
      <c r="Z354" s="2"/>
      <c r="AA354" s="49">
        <v>10</v>
      </c>
      <c r="AB354" s="49">
        <v>10</v>
      </c>
      <c r="AC354" s="49">
        <v>10</v>
      </c>
      <c r="AD354" s="49">
        <v>10</v>
      </c>
      <c r="AE354" s="49">
        <v>10</v>
      </c>
      <c r="AF354" s="49">
        <v>10</v>
      </c>
      <c r="AG354" s="49">
        <v>10</v>
      </c>
      <c r="AH354" s="49">
        <v>10</v>
      </c>
      <c r="AI354" s="49">
        <v>10</v>
      </c>
      <c r="AJ354" s="49">
        <v>10</v>
      </c>
      <c r="AK354" s="49">
        <v>10</v>
      </c>
      <c r="AL354" s="49">
        <v>10</v>
      </c>
      <c r="AM354" s="49">
        <v>10</v>
      </c>
      <c r="AN354" s="49">
        <v>10</v>
      </c>
      <c r="AO354" s="49">
        <v>10</v>
      </c>
      <c r="AP354" s="49">
        <v>10</v>
      </c>
      <c r="AQ354" s="2" t="e">
        <f t="shared" ca="1" si="123"/>
        <v>#NAME?</v>
      </c>
      <c r="AR354" s="49">
        <v>10</v>
      </c>
      <c r="AS354" s="49">
        <v>10</v>
      </c>
      <c r="AT354" s="49">
        <v>10</v>
      </c>
      <c r="AU354" s="49">
        <v>10</v>
      </c>
      <c r="AV354" s="49">
        <v>10</v>
      </c>
      <c r="AW354" s="54">
        <f t="shared" si="114"/>
        <v>10</v>
      </c>
      <c r="AX354" s="48">
        <v>8</v>
      </c>
      <c r="AY354" s="2">
        <v>8</v>
      </c>
      <c r="AZ354" s="5">
        <v>10</v>
      </c>
      <c r="BA354" s="5">
        <v>10</v>
      </c>
      <c r="BB354" s="5">
        <v>10</v>
      </c>
      <c r="BC354" s="5">
        <v>9</v>
      </c>
      <c r="BD354" s="5">
        <v>10</v>
      </c>
      <c r="BE354" s="5">
        <v>10</v>
      </c>
      <c r="BF354" s="5">
        <v>10</v>
      </c>
      <c r="BG354" s="5">
        <v>10</v>
      </c>
      <c r="BH354" s="5">
        <v>10</v>
      </c>
      <c r="BI354" s="5">
        <v>10</v>
      </c>
      <c r="BJ354" s="2" t="e">
        <f t="shared" ca="1" si="124"/>
        <v>#NAME?</v>
      </c>
      <c r="BK354" s="5">
        <v>10</v>
      </c>
      <c r="BL354" s="5">
        <v>10</v>
      </c>
      <c r="BM354" s="5">
        <v>10</v>
      </c>
      <c r="BN354" s="5">
        <v>10</v>
      </c>
      <c r="BO354" s="5">
        <v>10</v>
      </c>
      <c r="BP354" s="54">
        <f t="shared" si="115"/>
        <v>10</v>
      </c>
      <c r="BQ354" s="5"/>
      <c r="BR354" s="5">
        <v>10</v>
      </c>
      <c r="BS354" s="5">
        <v>10</v>
      </c>
      <c r="BT354" s="5">
        <v>10</v>
      </c>
      <c r="BU354" s="5">
        <v>10</v>
      </c>
      <c r="BV354" s="5">
        <v>10</v>
      </c>
      <c r="BW354" s="5">
        <v>10</v>
      </c>
      <c r="BX354" s="5">
        <v>10</v>
      </c>
      <c r="BY354" s="5">
        <v>10</v>
      </c>
      <c r="BZ354" s="5">
        <v>10</v>
      </c>
      <c r="CA354" s="5">
        <v>10</v>
      </c>
      <c r="CB354" s="5">
        <v>10</v>
      </c>
      <c r="CC354" s="2" t="e">
        <f t="shared" ca="1" si="125"/>
        <v>#NAME?</v>
      </c>
      <c r="CD354" s="55"/>
      <c r="CE354" s="2"/>
      <c r="CF354" s="2">
        <v>10</v>
      </c>
      <c r="CG354" s="2">
        <v>10</v>
      </c>
      <c r="CH354" s="2">
        <v>10</v>
      </c>
      <c r="CI354" s="2">
        <v>10</v>
      </c>
      <c r="CJ354" s="2">
        <v>10</v>
      </c>
      <c r="CK354" s="2">
        <v>10</v>
      </c>
      <c r="CL354" s="2">
        <v>10</v>
      </c>
      <c r="CM354" s="2">
        <v>10</v>
      </c>
      <c r="CN354" s="2">
        <v>10</v>
      </c>
      <c r="CO354" s="2">
        <v>10</v>
      </c>
      <c r="CP354" s="2" t="e">
        <f t="shared" ca="1" si="126"/>
        <v>#NAME?</v>
      </c>
      <c r="CQ354" s="2">
        <v>10</v>
      </c>
      <c r="CR354" s="2">
        <v>10</v>
      </c>
      <c r="CS354" s="2">
        <v>10</v>
      </c>
      <c r="CT354" s="2">
        <v>10</v>
      </c>
      <c r="CU354" s="2">
        <v>10</v>
      </c>
      <c r="CV354" s="54">
        <f t="shared" si="116"/>
        <v>10</v>
      </c>
      <c r="CW354" s="55"/>
      <c r="CX354" s="3"/>
    </row>
    <row r="355" spans="1:102" ht="16.5" x14ac:dyDescent="0.55000000000000004">
      <c r="A355" s="17">
        <v>1</v>
      </c>
      <c r="B355" s="17" t="s">
        <v>7</v>
      </c>
      <c r="C355" s="23" t="s">
        <v>751</v>
      </c>
      <c r="D355" s="24" t="s">
        <v>752</v>
      </c>
      <c r="E355" s="48">
        <v>7</v>
      </c>
      <c r="F355" s="2" t="s">
        <v>31</v>
      </c>
      <c r="G355" s="2">
        <v>10</v>
      </c>
      <c r="H355" s="2">
        <v>10</v>
      </c>
      <c r="I355" s="2">
        <v>10</v>
      </c>
      <c r="J355" s="2">
        <v>10</v>
      </c>
      <c r="K355" s="2">
        <v>10</v>
      </c>
      <c r="L355" s="2"/>
      <c r="M355" s="2"/>
      <c r="N355" s="2"/>
      <c r="O355" s="2"/>
      <c r="P355" s="2"/>
      <c r="Q355" s="2" t="e">
        <f t="shared" ca="1" si="122"/>
        <v>#NAME?</v>
      </c>
      <c r="R355" s="2">
        <v>10</v>
      </c>
      <c r="S355" s="2">
        <v>10</v>
      </c>
      <c r="T355" s="2">
        <v>10</v>
      </c>
      <c r="U355" s="2">
        <v>10</v>
      </c>
      <c r="V355" s="2">
        <v>10</v>
      </c>
      <c r="W355" s="54">
        <f t="shared" si="113"/>
        <v>10</v>
      </c>
      <c r="X355" s="48">
        <v>0</v>
      </c>
      <c r="Y355" s="48">
        <v>0</v>
      </c>
      <c r="Z355" s="2"/>
      <c r="AA355" s="49">
        <v>10</v>
      </c>
      <c r="AB355" s="49">
        <v>10</v>
      </c>
      <c r="AC355" s="49">
        <v>10</v>
      </c>
      <c r="AD355" s="49">
        <v>10</v>
      </c>
      <c r="AE355" s="49">
        <v>10</v>
      </c>
      <c r="AF355" s="49">
        <v>10</v>
      </c>
      <c r="AG355" s="49">
        <v>10</v>
      </c>
      <c r="AH355" s="49">
        <v>10</v>
      </c>
      <c r="AI355" s="49">
        <v>10</v>
      </c>
      <c r="AJ355" s="49">
        <v>10</v>
      </c>
      <c r="AK355" s="49">
        <v>10</v>
      </c>
      <c r="AL355" s="49">
        <v>10</v>
      </c>
      <c r="AM355" s="49">
        <v>10</v>
      </c>
      <c r="AN355" s="49">
        <v>10</v>
      </c>
      <c r="AO355" s="49">
        <v>10</v>
      </c>
      <c r="AP355" s="49">
        <v>10</v>
      </c>
      <c r="AQ355" s="2" t="e">
        <f t="shared" ca="1" si="123"/>
        <v>#NAME?</v>
      </c>
      <c r="AR355" s="49">
        <v>10</v>
      </c>
      <c r="AS355" s="49">
        <v>10</v>
      </c>
      <c r="AT355" s="49">
        <v>10</v>
      </c>
      <c r="AU355" s="49">
        <v>10</v>
      </c>
      <c r="AV355" s="49">
        <v>10</v>
      </c>
      <c r="AW355" s="54">
        <f t="shared" si="114"/>
        <v>10</v>
      </c>
      <c r="AX355" s="48">
        <v>8</v>
      </c>
      <c r="AY355" s="2">
        <v>8</v>
      </c>
      <c r="AZ355" s="2">
        <v>10</v>
      </c>
      <c r="BA355" s="2">
        <v>10</v>
      </c>
      <c r="BB355" s="2">
        <v>10</v>
      </c>
      <c r="BC355" s="2">
        <v>10</v>
      </c>
      <c r="BD355" s="2">
        <v>9</v>
      </c>
      <c r="BE355" s="2">
        <v>10</v>
      </c>
      <c r="BF355" s="2">
        <v>10</v>
      </c>
      <c r="BG355" s="2">
        <v>10</v>
      </c>
      <c r="BH355" s="2">
        <v>10</v>
      </c>
      <c r="BI355" s="57">
        <v>10</v>
      </c>
      <c r="BJ355" s="2" t="e">
        <f t="shared" ca="1" si="124"/>
        <v>#NAME?</v>
      </c>
      <c r="BK355" s="5">
        <v>10</v>
      </c>
      <c r="BL355" s="5">
        <v>10</v>
      </c>
      <c r="BM355" s="5">
        <v>10</v>
      </c>
      <c r="BN355" s="5">
        <v>10</v>
      </c>
      <c r="BO355" s="5">
        <v>10</v>
      </c>
      <c r="BP355" s="54">
        <f t="shared" si="115"/>
        <v>10</v>
      </c>
      <c r="BQ355" s="5"/>
      <c r="BR355" s="5">
        <v>10</v>
      </c>
      <c r="BS355" s="5">
        <v>10</v>
      </c>
      <c r="BT355" s="5">
        <v>10</v>
      </c>
      <c r="BU355" s="5">
        <v>10</v>
      </c>
      <c r="BV355" s="5">
        <v>10</v>
      </c>
      <c r="BW355" s="5">
        <v>10</v>
      </c>
      <c r="BX355" s="5">
        <v>10</v>
      </c>
      <c r="BY355" s="5">
        <v>10</v>
      </c>
      <c r="BZ355" s="5">
        <v>10</v>
      </c>
      <c r="CA355" s="5">
        <v>10</v>
      </c>
      <c r="CB355" s="5">
        <v>10</v>
      </c>
      <c r="CC355" s="2" t="e">
        <f t="shared" ca="1" si="125"/>
        <v>#NAME?</v>
      </c>
      <c r="CD355" s="55"/>
      <c r="CE355" s="2"/>
      <c r="CF355" s="2">
        <v>10</v>
      </c>
      <c r="CG355" s="2">
        <v>10</v>
      </c>
      <c r="CH355" s="2">
        <v>10</v>
      </c>
      <c r="CI355" s="2">
        <v>10</v>
      </c>
      <c r="CJ355" s="2">
        <v>10</v>
      </c>
      <c r="CK355" s="2">
        <v>10</v>
      </c>
      <c r="CL355" s="2">
        <v>10</v>
      </c>
      <c r="CM355" s="2">
        <v>10</v>
      </c>
      <c r="CN355" s="2">
        <v>10</v>
      </c>
      <c r="CO355" s="2">
        <v>10</v>
      </c>
      <c r="CP355" s="2" t="e">
        <f t="shared" ca="1" si="126"/>
        <v>#NAME?</v>
      </c>
      <c r="CQ355" s="2">
        <v>10</v>
      </c>
      <c r="CR355" s="2">
        <v>10</v>
      </c>
      <c r="CS355" s="2">
        <v>10</v>
      </c>
      <c r="CT355" s="2">
        <v>10</v>
      </c>
      <c r="CU355" s="2">
        <v>10</v>
      </c>
      <c r="CV355" s="54">
        <f t="shared" si="116"/>
        <v>10</v>
      </c>
      <c r="CW355" s="55"/>
      <c r="CX355" s="3"/>
    </row>
    <row r="356" spans="1:102" ht="16.5" x14ac:dyDescent="0.55000000000000004">
      <c r="A356" s="17">
        <v>1</v>
      </c>
      <c r="B356" s="17" t="s">
        <v>7</v>
      </c>
      <c r="C356" s="23" t="s">
        <v>753</v>
      </c>
      <c r="D356" s="24" t="s">
        <v>754</v>
      </c>
      <c r="E356" s="48">
        <v>2</v>
      </c>
      <c r="F356" s="2">
        <v>2</v>
      </c>
      <c r="G356" s="2">
        <v>6</v>
      </c>
      <c r="H356" s="2">
        <v>8</v>
      </c>
      <c r="I356" s="2">
        <v>9</v>
      </c>
      <c r="J356" s="2">
        <v>8</v>
      </c>
      <c r="K356" s="2">
        <v>7</v>
      </c>
      <c r="L356" s="2"/>
      <c r="M356" s="2"/>
      <c r="N356" s="2"/>
      <c r="O356" s="2"/>
      <c r="P356" s="2"/>
      <c r="Q356" s="2" t="e">
        <f t="shared" ca="1" si="122"/>
        <v>#NAME?</v>
      </c>
      <c r="R356" s="2">
        <v>10</v>
      </c>
      <c r="S356" s="2">
        <v>10</v>
      </c>
      <c r="T356" s="2">
        <v>10</v>
      </c>
      <c r="U356" s="2">
        <v>10</v>
      </c>
      <c r="V356" s="2">
        <v>10</v>
      </c>
      <c r="W356" s="54">
        <f t="shared" si="113"/>
        <v>10</v>
      </c>
      <c r="X356" s="48">
        <v>10</v>
      </c>
      <c r="Y356" s="48">
        <v>10</v>
      </c>
      <c r="Z356" s="2"/>
      <c r="AA356" s="49">
        <v>8</v>
      </c>
      <c r="AB356" s="49">
        <v>8</v>
      </c>
      <c r="AC356" s="49">
        <v>8</v>
      </c>
      <c r="AD356" s="49">
        <v>8</v>
      </c>
      <c r="AE356" s="49">
        <v>10</v>
      </c>
      <c r="AF356" s="49">
        <v>10</v>
      </c>
      <c r="AG356" s="49">
        <v>10</v>
      </c>
      <c r="AH356" s="49">
        <v>10</v>
      </c>
      <c r="AI356" s="49">
        <v>10</v>
      </c>
      <c r="AJ356" s="49">
        <v>10</v>
      </c>
      <c r="AK356" s="49">
        <v>10</v>
      </c>
      <c r="AL356" s="49">
        <v>10</v>
      </c>
      <c r="AM356" s="49">
        <v>10</v>
      </c>
      <c r="AN356" s="49">
        <v>10</v>
      </c>
      <c r="AO356" s="49">
        <v>10</v>
      </c>
      <c r="AP356" s="49">
        <v>10</v>
      </c>
      <c r="AQ356" s="2" t="e">
        <f t="shared" ca="1" si="123"/>
        <v>#NAME?</v>
      </c>
      <c r="AR356" s="49">
        <v>8</v>
      </c>
      <c r="AS356" s="49">
        <v>10</v>
      </c>
      <c r="AT356" s="49">
        <v>10</v>
      </c>
      <c r="AU356" s="49">
        <v>10</v>
      </c>
      <c r="AV356" s="49">
        <v>10</v>
      </c>
      <c r="AW356" s="54">
        <f t="shared" si="114"/>
        <v>10</v>
      </c>
      <c r="AX356" s="48">
        <v>8</v>
      </c>
      <c r="AY356" s="5">
        <v>9</v>
      </c>
      <c r="AZ356" s="5">
        <v>10</v>
      </c>
      <c r="BA356" s="5">
        <v>10</v>
      </c>
      <c r="BB356" s="5">
        <v>10</v>
      </c>
      <c r="BC356" s="5">
        <v>10</v>
      </c>
      <c r="BD356" s="5">
        <v>10</v>
      </c>
      <c r="BE356" s="5">
        <v>10</v>
      </c>
      <c r="BF356" s="5">
        <v>10</v>
      </c>
      <c r="BG356" s="5">
        <v>10</v>
      </c>
      <c r="BH356" s="5">
        <v>10</v>
      </c>
      <c r="BI356" s="57">
        <v>10</v>
      </c>
      <c r="BJ356" s="2" t="e">
        <f t="shared" ca="1" si="124"/>
        <v>#NAME?</v>
      </c>
      <c r="BK356" s="5">
        <v>10</v>
      </c>
      <c r="BL356" s="5">
        <v>10</v>
      </c>
      <c r="BM356" s="5">
        <v>10</v>
      </c>
      <c r="BN356" s="5">
        <v>10</v>
      </c>
      <c r="BO356" s="5">
        <v>10</v>
      </c>
      <c r="BP356" s="54">
        <f t="shared" si="115"/>
        <v>10</v>
      </c>
      <c r="BQ356" s="5"/>
      <c r="BR356" s="5">
        <v>10</v>
      </c>
      <c r="BS356" s="5">
        <v>10</v>
      </c>
      <c r="BT356" s="5">
        <v>10</v>
      </c>
      <c r="BU356" s="5">
        <v>10</v>
      </c>
      <c r="BV356" s="5">
        <v>10</v>
      </c>
      <c r="BW356" s="5">
        <v>10</v>
      </c>
      <c r="BX356" s="5">
        <v>10</v>
      </c>
      <c r="BY356" s="5">
        <v>10</v>
      </c>
      <c r="BZ356" s="5">
        <v>10</v>
      </c>
      <c r="CA356" s="5">
        <v>10</v>
      </c>
      <c r="CB356" s="5">
        <v>10</v>
      </c>
      <c r="CC356" s="2" t="e">
        <f t="shared" ca="1" si="125"/>
        <v>#NAME?</v>
      </c>
      <c r="CD356" s="55"/>
      <c r="CE356" s="2"/>
      <c r="CF356" s="2">
        <v>10</v>
      </c>
      <c r="CG356" s="2">
        <v>10</v>
      </c>
      <c r="CH356" s="2">
        <v>10</v>
      </c>
      <c r="CI356" s="2">
        <v>10</v>
      </c>
      <c r="CJ356" s="2">
        <v>10</v>
      </c>
      <c r="CK356" s="2">
        <v>10</v>
      </c>
      <c r="CL356" s="2">
        <v>10</v>
      </c>
      <c r="CM356" s="2">
        <v>10</v>
      </c>
      <c r="CN356" s="2">
        <v>10</v>
      </c>
      <c r="CO356" s="2">
        <v>10</v>
      </c>
      <c r="CP356" s="2" t="e">
        <f t="shared" ca="1" si="126"/>
        <v>#NAME?</v>
      </c>
      <c r="CQ356" s="2">
        <v>10</v>
      </c>
      <c r="CR356" s="2">
        <v>10</v>
      </c>
      <c r="CS356" s="2">
        <v>10</v>
      </c>
      <c r="CT356" s="2">
        <v>10</v>
      </c>
      <c r="CU356" s="2">
        <v>10</v>
      </c>
      <c r="CV356" s="54">
        <f t="shared" si="116"/>
        <v>10</v>
      </c>
      <c r="CW356" s="55"/>
      <c r="CX356" s="3"/>
    </row>
    <row r="357" spans="1:102" ht="16.5" x14ac:dyDescent="0.55000000000000004">
      <c r="A357" s="17">
        <v>1</v>
      </c>
      <c r="B357" s="17" t="s">
        <v>7</v>
      </c>
      <c r="C357" s="23" t="s">
        <v>755</v>
      </c>
      <c r="D357" s="24" t="s">
        <v>756</v>
      </c>
      <c r="E357" s="48">
        <v>0</v>
      </c>
      <c r="F357" s="2">
        <v>0</v>
      </c>
      <c r="G357" s="2">
        <v>5</v>
      </c>
      <c r="H357" s="2">
        <v>6</v>
      </c>
      <c r="I357" s="2">
        <v>6</v>
      </c>
      <c r="J357" s="2">
        <v>6</v>
      </c>
      <c r="K357" s="2">
        <v>5</v>
      </c>
      <c r="L357" s="2"/>
      <c r="M357" s="2"/>
      <c r="N357" s="2"/>
      <c r="O357" s="2"/>
      <c r="P357" s="2"/>
      <c r="Q357" s="2" t="e">
        <f t="shared" ca="1" si="122"/>
        <v>#NAME?</v>
      </c>
      <c r="R357" s="2">
        <v>10</v>
      </c>
      <c r="S357" s="2">
        <v>10</v>
      </c>
      <c r="T357" s="2">
        <v>10</v>
      </c>
      <c r="U357" s="2">
        <v>10</v>
      </c>
      <c r="V357" s="2">
        <v>10</v>
      </c>
      <c r="W357" s="54">
        <f t="shared" si="113"/>
        <v>10</v>
      </c>
      <c r="X357" s="48">
        <v>7</v>
      </c>
      <c r="Y357" s="48">
        <v>7</v>
      </c>
      <c r="Z357" s="2"/>
      <c r="AA357" s="49">
        <v>10</v>
      </c>
      <c r="AB357" s="49">
        <v>10</v>
      </c>
      <c r="AC357" s="49">
        <v>10</v>
      </c>
      <c r="AD357" s="49">
        <v>10</v>
      </c>
      <c r="AE357" s="49">
        <v>10</v>
      </c>
      <c r="AF357" s="49">
        <v>10</v>
      </c>
      <c r="AG357" s="49">
        <v>10</v>
      </c>
      <c r="AH357" s="49">
        <v>10</v>
      </c>
      <c r="AI357" s="49">
        <v>10</v>
      </c>
      <c r="AJ357" s="49">
        <v>10</v>
      </c>
      <c r="AK357" s="49">
        <v>10</v>
      </c>
      <c r="AL357" s="49">
        <v>10</v>
      </c>
      <c r="AM357" s="49">
        <v>10</v>
      </c>
      <c r="AN357" s="49">
        <v>10</v>
      </c>
      <c r="AO357" s="49">
        <v>10</v>
      </c>
      <c r="AP357" s="49">
        <v>10</v>
      </c>
      <c r="AQ357" s="2" t="e">
        <f t="shared" ca="1" si="123"/>
        <v>#NAME?</v>
      </c>
      <c r="AR357" s="49">
        <v>10</v>
      </c>
      <c r="AS357" s="49">
        <v>10</v>
      </c>
      <c r="AT357" s="49">
        <v>10</v>
      </c>
      <c r="AU357" s="49">
        <v>10</v>
      </c>
      <c r="AV357" s="49">
        <v>10</v>
      </c>
      <c r="AW357" s="54">
        <f t="shared" si="114"/>
        <v>10</v>
      </c>
      <c r="AX357" s="48">
        <v>9</v>
      </c>
      <c r="AY357" s="2">
        <v>8</v>
      </c>
      <c r="AZ357" s="5">
        <v>10</v>
      </c>
      <c r="BA357" s="5">
        <v>10</v>
      </c>
      <c r="BB357" s="5">
        <v>10</v>
      </c>
      <c r="BC357" s="5">
        <v>10</v>
      </c>
      <c r="BD357" s="5">
        <v>10</v>
      </c>
      <c r="BE357" s="5">
        <v>10</v>
      </c>
      <c r="BF357" s="5">
        <v>10</v>
      </c>
      <c r="BG357" s="5">
        <v>10</v>
      </c>
      <c r="BH357" s="5">
        <v>10</v>
      </c>
      <c r="BI357" s="5">
        <v>10</v>
      </c>
      <c r="BJ357" s="2" t="e">
        <f t="shared" ca="1" si="124"/>
        <v>#NAME?</v>
      </c>
      <c r="BK357" s="5">
        <v>9</v>
      </c>
      <c r="BL357" s="5">
        <v>10</v>
      </c>
      <c r="BM357" s="5">
        <v>10</v>
      </c>
      <c r="BN357" s="5">
        <v>10</v>
      </c>
      <c r="BO357" s="5">
        <v>10</v>
      </c>
      <c r="BP357" s="54">
        <f t="shared" si="115"/>
        <v>10</v>
      </c>
      <c r="BQ357" s="5"/>
      <c r="BR357" s="5">
        <v>10</v>
      </c>
      <c r="BS357" s="5">
        <v>10</v>
      </c>
      <c r="BT357" s="5">
        <v>10</v>
      </c>
      <c r="BU357" s="5">
        <v>10</v>
      </c>
      <c r="BV357" s="5">
        <v>10</v>
      </c>
      <c r="BW357" s="5">
        <v>10</v>
      </c>
      <c r="BX357" s="5">
        <v>10</v>
      </c>
      <c r="BY357" s="5">
        <v>10</v>
      </c>
      <c r="BZ357" s="5">
        <v>10</v>
      </c>
      <c r="CA357" s="5">
        <v>10</v>
      </c>
      <c r="CB357" s="5">
        <v>10</v>
      </c>
      <c r="CC357" s="2" t="e">
        <f t="shared" ca="1" si="125"/>
        <v>#NAME?</v>
      </c>
      <c r="CD357" s="55"/>
      <c r="CE357" s="2"/>
      <c r="CF357" s="2">
        <v>10</v>
      </c>
      <c r="CG357" s="2">
        <v>10</v>
      </c>
      <c r="CH357" s="2">
        <v>10</v>
      </c>
      <c r="CI357" s="2">
        <v>10</v>
      </c>
      <c r="CJ357" s="2">
        <v>10</v>
      </c>
      <c r="CK357" s="2">
        <v>10</v>
      </c>
      <c r="CL357" s="2">
        <v>10</v>
      </c>
      <c r="CM357" s="2">
        <v>10</v>
      </c>
      <c r="CN357" s="2">
        <v>10</v>
      </c>
      <c r="CO357" s="2">
        <v>10</v>
      </c>
      <c r="CP357" s="2" t="e">
        <f t="shared" ca="1" si="126"/>
        <v>#NAME?</v>
      </c>
      <c r="CQ357" s="2">
        <v>10</v>
      </c>
      <c r="CR357" s="2">
        <v>10</v>
      </c>
      <c r="CS357" s="2">
        <v>10</v>
      </c>
      <c r="CT357" s="2">
        <v>10</v>
      </c>
      <c r="CU357" s="2">
        <v>10</v>
      </c>
      <c r="CV357" s="54">
        <f t="shared" si="116"/>
        <v>10</v>
      </c>
      <c r="CW357" s="55"/>
      <c r="CX357" s="3"/>
    </row>
    <row r="358" spans="1:102" ht="16.5" x14ac:dyDescent="0.55000000000000004">
      <c r="A358" s="17">
        <v>1</v>
      </c>
      <c r="B358" s="17" t="s">
        <v>7</v>
      </c>
      <c r="C358" s="23" t="s">
        <v>757</v>
      </c>
      <c r="D358" s="24" t="s">
        <v>758</v>
      </c>
      <c r="E358" s="48" t="s">
        <v>31</v>
      </c>
      <c r="F358" s="2" t="s">
        <v>31</v>
      </c>
      <c r="G358" s="2">
        <v>10</v>
      </c>
      <c r="H358" s="2">
        <v>8</v>
      </c>
      <c r="I358" s="2">
        <v>7</v>
      </c>
      <c r="J358" s="2">
        <v>8</v>
      </c>
      <c r="K358" s="2">
        <v>8</v>
      </c>
      <c r="L358" s="2"/>
      <c r="M358" s="2"/>
      <c r="N358" s="2"/>
      <c r="O358" s="2"/>
      <c r="P358" s="2"/>
      <c r="Q358" s="2" t="e">
        <f t="shared" ca="1" si="122"/>
        <v>#NAME?</v>
      </c>
      <c r="R358" s="2">
        <v>10</v>
      </c>
      <c r="S358" s="2">
        <v>10</v>
      </c>
      <c r="T358" s="2">
        <v>10</v>
      </c>
      <c r="U358" s="2">
        <v>10</v>
      </c>
      <c r="V358" s="2">
        <v>10</v>
      </c>
      <c r="W358" s="54">
        <f t="shared" si="113"/>
        <v>10</v>
      </c>
      <c r="X358" s="48">
        <v>5</v>
      </c>
      <c r="Y358" s="48">
        <v>5</v>
      </c>
      <c r="Z358" s="2"/>
      <c r="AA358" s="49">
        <v>10</v>
      </c>
      <c r="AB358" s="49">
        <v>10</v>
      </c>
      <c r="AC358" s="49">
        <v>10</v>
      </c>
      <c r="AD358" s="49">
        <v>10</v>
      </c>
      <c r="AE358" s="49">
        <v>10</v>
      </c>
      <c r="AF358" s="49">
        <v>10</v>
      </c>
      <c r="AG358" s="49">
        <v>10</v>
      </c>
      <c r="AH358" s="49">
        <v>10</v>
      </c>
      <c r="AI358" s="49">
        <v>10</v>
      </c>
      <c r="AJ358" s="49">
        <v>10</v>
      </c>
      <c r="AK358" s="49">
        <v>10</v>
      </c>
      <c r="AL358" s="49">
        <v>10</v>
      </c>
      <c r="AM358" s="49">
        <v>10</v>
      </c>
      <c r="AN358" s="49">
        <v>10</v>
      </c>
      <c r="AO358" s="49">
        <v>10</v>
      </c>
      <c r="AP358" s="49">
        <v>10</v>
      </c>
      <c r="AQ358" s="2" t="e">
        <f t="shared" ca="1" si="123"/>
        <v>#NAME?</v>
      </c>
      <c r="AR358" s="49">
        <v>10</v>
      </c>
      <c r="AS358" s="49">
        <v>10</v>
      </c>
      <c r="AT358" s="49">
        <v>10</v>
      </c>
      <c r="AU358" s="49">
        <v>10</v>
      </c>
      <c r="AV358" s="49">
        <v>10</v>
      </c>
      <c r="AW358" s="54">
        <f t="shared" si="114"/>
        <v>10</v>
      </c>
      <c r="AX358" s="48">
        <v>8</v>
      </c>
      <c r="AY358" s="2">
        <v>7</v>
      </c>
      <c r="AZ358" s="5">
        <v>10</v>
      </c>
      <c r="BA358" s="5">
        <v>10</v>
      </c>
      <c r="BB358" s="5">
        <v>9</v>
      </c>
      <c r="BC358" s="5">
        <v>10</v>
      </c>
      <c r="BD358" s="5">
        <v>10</v>
      </c>
      <c r="BE358" s="5">
        <v>9</v>
      </c>
      <c r="BF358" s="5">
        <v>10</v>
      </c>
      <c r="BG358" s="5">
        <v>10</v>
      </c>
      <c r="BH358" s="5">
        <v>10</v>
      </c>
      <c r="BI358" s="5">
        <v>10</v>
      </c>
      <c r="BJ358" s="2" t="e">
        <f t="shared" ca="1" si="124"/>
        <v>#NAME?</v>
      </c>
      <c r="BK358" s="5">
        <v>10</v>
      </c>
      <c r="BL358" s="5">
        <v>10</v>
      </c>
      <c r="BM358" s="5">
        <v>10</v>
      </c>
      <c r="BN358" s="5">
        <v>10</v>
      </c>
      <c r="BO358" s="5">
        <v>10</v>
      </c>
      <c r="BP358" s="54">
        <f t="shared" si="115"/>
        <v>10</v>
      </c>
      <c r="BQ358" s="5"/>
      <c r="BR358" s="5">
        <v>10</v>
      </c>
      <c r="BS358" s="5">
        <v>10</v>
      </c>
      <c r="BT358" s="5">
        <v>10</v>
      </c>
      <c r="BU358" s="5">
        <v>10</v>
      </c>
      <c r="BV358" s="5">
        <v>10</v>
      </c>
      <c r="BW358" s="5">
        <v>10</v>
      </c>
      <c r="BX358" s="5">
        <v>10</v>
      </c>
      <c r="BY358" s="5">
        <v>10</v>
      </c>
      <c r="BZ358" s="5">
        <v>10</v>
      </c>
      <c r="CA358" s="5">
        <v>10</v>
      </c>
      <c r="CB358" s="5"/>
      <c r="CC358" s="2" t="e">
        <f t="shared" ca="1" si="125"/>
        <v>#NAME?</v>
      </c>
      <c r="CD358" s="55"/>
      <c r="CE358" s="2"/>
      <c r="CF358" s="2">
        <v>10</v>
      </c>
      <c r="CG358" s="2">
        <v>9</v>
      </c>
      <c r="CH358" s="2">
        <v>10</v>
      </c>
      <c r="CI358" s="2">
        <v>10</v>
      </c>
      <c r="CJ358" s="2">
        <v>10</v>
      </c>
      <c r="CK358" s="2">
        <v>9</v>
      </c>
      <c r="CL358" s="2">
        <v>9</v>
      </c>
      <c r="CM358" s="2">
        <v>10</v>
      </c>
      <c r="CN358" s="2">
        <v>9</v>
      </c>
      <c r="CO358" s="2">
        <v>9</v>
      </c>
      <c r="CP358" s="2" t="e">
        <f t="shared" ca="1" si="126"/>
        <v>#NAME?</v>
      </c>
      <c r="CQ358" s="2">
        <v>10</v>
      </c>
      <c r="CR358" s="2">
        <v>10</v>
      </c>
      <c r="CS358" s="2">
        <v>10</v>
      </c>
      <c r="CT358" s="2">
        <v>10</v>
      </c>
      <c r="CU358" s="2">
        <v>10</v>
      </c>
      <c r="CV358" s="54">
        <f t="shared" si="116"/>
        <v>10</v>
      </c>
      <c r="CW358" s="55"/>
      <c r="CX358" s="3"/>
    </row>
    <row r="359" spans="1:102" ht="16.5" x14ac:dyDescent="0.55000000000000004">
      <c r="A359" s="17">
        <v>1</v>
      </c>
      <c r="B359" s="17" t="s">
        <v>7</v>
      </c>
      <c r="C359" s="23" t="s">
        <v>759</v>
      </c>
      <c r="D359" s="24" t="s">
        <v>760</v>
      </c>
      <c r="E359" s="48">
        <v>0</v>
      </c>
      <c r="F359" s="2">
        <v>0</v>
      </c>
      <c r="G359" s="2">
        <v>6</v>
      </c>
      <c r="H359" s="2">
        <v>6</v>
      </c>
      <c r="I359" s="2">
        <v>6</v>
      </c>
      <c r="J359" s="2">
        <v>6</v>
      </c>
      <c r="K359" s="2">
        <v>6</v>
      </c>
      <c r="L359" s="2"/>
      <c r="M359" s="2"/>
      <c r="N359" s="2"/>
      <c r="O359" s="2"/>
      <c r="P359" s="2"/>
      <c r="Q359" s="2" t="e">
        <f t="shared" ca="1" si="122"/>
        <v>#NAME?</v>
      </c>
      <c r="R359" s="2">
        <v>6</v>
      </c>
      <c r="S359" s="2">
        <v>6</v>
      </c>
      <c r="T359" s="2">
        <v>6</v>
      </c>
      <c r="U359" s="2">
        <v>6</v>
      </c>
      <c r="V359" s="2">
        <v>6</v>
      </c>
      <c r="W359" s="54">
        <f t="shared" si="113"/>
        <v>6</v>
      </c>
      <c r="X359" s="48">
        <v>0</v>
      </c>
      <c r="Y359" s="48">
        <v>0</v>
      </c>
      <c r="Z359" s="2"/>
      <c r="AA359" s="50">
        <v>6</v>
      </c>
      <c r="AB359" s="50">
        <v>6</v>
      </c>
      <c r="AC359" s="50">
        <v>6</v>
      </c>
      <c r="AD359" s="50">
        <v>6</v>
      </c>
      <c r="AE359" s="50">
        <v>6</v>
      </c>
      <c r="AF359" s="50">
        <v>6</v>
      </c>
      <c r="AG359" s="50">
        <v>6</v>
      </c>
      <c r="AH359" s="50">
        <v>6</v>
      </c>
      <c r="AI359" s="50">
        <v>6</v>
      </c>
      <c r="AJ359" s="50">
        <v>6</v>
      </c>
      <c r="AK359" s="50">
        <v>6</v>
      </c>
      <c r="AL359" s="50">
        <v>6</v>
      </c>
      <c r="AM359" s="50">
        <v>6</v>
      </c>
      <c r="AN359" s="50">
        <v>6</v>
      </c>
      <c r="AO359" s="50">
        <v>6</v>
      </c>
      <c r="AP359" s="50">
        <v>6</v>
      </c>
      <c r="AQ359" s="2" t="e">
        <f t="shared" ca="1" si="123"/>
        <v>#NAME?</v>
      </c>
      <c r="AR359" s="50">
        <v>6</v>
      </c>
      <c r="AS359" s="50">
        <v>6</v>
      </c>
      <c r="AT359" s="50">
        <v>6</v>
      </c>
      <c r="AU359" s="50">
        <v>6</v>
      </c>
      <c r="AV359" s="50">
        <v>6</v>
      </c>
      <c r="AW359" s="54">
        <f t="shared" si="114"/>
        <v>6</v>
      </c>
      <c r="AX359" s="48">
        <v>5</v>
      </c>
      <c r="AY359" s="2">
        <v>6</v>
      </c>
      <c r="AZ359" s="2">
        <v>6</v>
      </c>
      <c r="BA359" s="2">
        <v>6</v>
      </c>
      <c r="BB359" s="2">
        <v>6</v>
      </c>
      <c r="BC359" s="2">
        <v>6</v>
      </c>
      <c r="BD359" s="2">
        <v>6</v>
      </c>
      <c r="BE359" s="2">
        <v>6</v>
      </c>
      <c r="BF359" s="2">
        <v>6</v>
      </c>
      <c r="BG359" s="2">
        <v>6</v>
      </c>
      <c r="BH359" s="2">
        <v>6</v>
      </c>
      <c r="BI359" s="57">
        <v>6</v>
      </c>
      <c r="BJ359" s="2" t="e">
        <f t="shared" ca="1" si="124"/>
        <v>#NAME?</v>
      </c>
      <c r="BK359" s="5">
        <v>6</v>
      </c>
      <c r="BL359" s="5">
        <v>6</v>
      </c>
      <c r="BM359" s="5">
        <v>6</v>
      </c>
      <c r="BN359" s="5">
        <v>6</v>
      </c>
      <c r="BO359" s="5">
        <v>6</v>
      </c>
      <c r="BP359" s="54">
        <f t="shared" si="115"/>
        <v>6</v>
      </c>
      <c r="BQ359" s="5"/>
      <c r="BR359" s="5">
        <v>6</v>
      </c>
      <c r="BS359" s="5">
        <v>6</v>
      </c>
      <c r="BT359" s="5">
        <v>6</v>
      </c>
      <c r="BU359" s="5">
        <v>6</v>
      </c>
      <c r="BV359" s="5">
        <v>6</v>
      </c>
      <c r="BW359" s="5">
        <v>6</v>
      </c>
      <c r="BX359" s="5">
        <v>6</v>
      </c>
      <c r="BY359" s="5">
        <v>6</v>
      </c>
      <c r="BZ359" s="5">
        <v>6</v>
      </c>
      <c r="CA359" s="5">
        <v>6</v>
      </c>
      <c r="CB359" s="5">
        <v>6</v>
      </c>
      <c r="CC359" s="2" t="e">
        <f t="shared" ca="1" si="125"/>
        <v>#NAME?</v>
      </c>
      <c r="CD359" s="55"/>
      <c r="CE359" s="2"/>
      <c r="CF359" s="2">
        <v>6</v>
      </c>
      <c r="CG359" s="2">
        <v>6</v>
      </c>
      <c r="CH359" s="8">
        <v>6</v>
      </c>
      <c r="CI359" s="8">
        <v>6</v>
      </c>
      <c r="CJ359" s="2">
        <v>6</v>
      </c>
      <c r="CK359" s="2">
        <v>6</v>
      </c>
      <c r="CL359" s="2">
        <v>6</v>
      </c>
      <c r="CM359" s="2">
        <v>6</v>
      </c>
      <c r="CN359" s="2">
        <v>6</v>
      </c>
      <c r="CO359" s="2">
        <v>6</v>
      </c>
      <c r="CP359" s="2" t="e">
        <f t="shared" ca="1" si="126"/>
        <v>#NAME?</v>
      </c>
      <c r="CQ359" s="2">
        <v>6</v>
      </c>
      <c r="CR359" s="2">
        <v>6</v>
      </c>
      <c r="CS359" s="2">
        <v>6</v>
      </c>
      <c r="CT359" s="2">
        <v>6</v>
      </c>
      <c r="CU359" s="2">
        <v>6</v>
      </c>
      <c r="CV359" s="54">
        <f t="shared" si="116"/>
        <v>6</v>
      </c>
      <c r="CW359" s="55"/>
      <c r="CX359" s="3"/>
    </row>
    <row r="360" spans="1:102" ht="16.5" x14ac:dyDescent="0.55000000000000004">
      <c r="A360" s="17">
        <v>2</v>
      </c>
      <c r="B360" s="17" t="s">
        <v>7</v>
      </c>
      <c r="C360" s="23" t="s">
        <v>761</v>
      </c>
      <c r="D360" s="24" t="s">
        <v>762</v>
      </c>
      <c r="E360" s="48" t="s">
        <v>31</v>
      </c>
      <c r="F360" s="2" t="s">
        <v>31</v>
      </c>
      <c r="G360" s="2">
        <v>8</v>
      </c>
      <c r="H360" s="2">
        <v>5</v>
      </c>
      <c r="I360" s="2">
        <v>5</v>
      </c>
      <c r="J360" s="2">
        <v>5</v>
      </c>
      <c r="K360" s="2">
        <v>5</v>
      </c>
      <c r="L360" s="2"/>
      <c r="M360" s="2"/>
      <c r="N360" s="2"/>
      <c r="O360" s="2"/>
      <c r="P360" s="2"/>
      <c r="Q360" s="2" t="e">
        <f t="shared" ca="1" si="122"/>
        <v>#NAME?</v>
      </c>
      <c r="R360" s="2">
        <v>10</v>
      </c>
      <c r="S360" s="2">
        <v>5</v>
      </c>
      <c r="T360" s="2">
        <v>5</v>
      </c>
      <c r="U360" s="2">
        <v>10</v>
      </c>
      <c r="V360" s="2">
        <v>10</v>
      </c>
      <c r="W360" s="54">
        <f t="shared" si="113"/>
        <v>8</v>
      </c>
      <c r="X360" s="48">
        <v>0</v>
      </c>
      <c r="Y360" s="48">
        <v>0</v>
      </c>
      <c r="Z360" s="2"/>
      <c r="AA360" s="49">
        <v>7</v>
      </c>
      <c r="AB360" s="49">
        <v>7</v>
      </c>
      <c r="AC360" s="49">
        <v>7</v>
      </c>
      <c r="AD360" s="49">
        <v>7</v>
      </c>
      <c r="AE360" s="49">
        <v>7</v>
      </c>
      <c r="AF360" s="49">
        <v>7</v>
      </c>
      <c r="AG360" s="49">
        <v>10</v>
      </c>
      <c r="AH360" s="49">
        <v>10</v>
      </c>
      <c r="AI360" s="49">
        <v>10</v>
      </c>
      <c r="AJ360" s="49">
        <v>10</v>
      </c>
      <c r="AK360" s="49">
        <v>7</v>
      </c>
      <c r="AL360" s="49">
        <v>7</v>
      </c>
      <c r="AM360" s="49">
        <v>10</v>
      </c>
      <c r="AN360" s="49">
        <v>10</v>
      </c>
      <c r="AO360" s="49">
        <v>10</v>
      </c>
      <c r="AP360" s="49">
        <v>10</v>
      </c>
      <c r="AQ360" s="2" t="e">
        <f t="shared" ca="1" si="123"/>
        <v>#NAME?</v>
      </c>
      <c r="AR360" s="50">
        <v>6</v>
      </c>
      <c r="AS360" s="50">
        <v>6</v>
      </c>
      <c r="AT360" s="50">
        <v>6</v>
      </c>
      <c r="AU360" s="50">
        <v>7</v>
      </c>
      <c r="AV360" s="50">
        <v>7</v>
      </c>
      <c r="AW360" s="54">
        <f t="shared" si="114"/>
        <v>7</v>
      </c>
      <c r="AX360" s="48">
        <v>8</v>
      </c>
      <c r="AY360" s="2">
        <v>8</v>
      </c>
      <c r="AZ360" s="2">
        <v>9</v>
      </c>
      <c r="BA360" s="2">
        <v>10</v>
      </c>
      <c r="BB360" s="2">
        <v>10</v>
      </c>
      <c r="BC360" s="2">
        <v>10</v>
      </c>
      <c r="BD360" s="2">
        <v>10</v>
      </c>
      <c r="BE360" s="2">
        <v>10</v>
      </c>
      <c r="BF360" s="2">
        <v>9</v>
      </c>
      <c r="BG360" s="2">
        <v>9</v>
      </c>
      <c r="BH360" s="2">
        <v>10</v>
      </c>
      <c r="BI360" s="57">
        <v>10</v>
      </c>
      <c r="BJ360" s="2" t="e">
        <f t="shared" ca="1" si="124"/>
        <v>#NAME?</v>
      </c>
      <c r="BK360" s="5">
        <v>10</v>
      </c>
      <c r="BL360" s="5">
        <v>10</v>
      </c>
      <c r="BM360" s="5">
        <v>10</v>
      </c>
      <c r="BN360" s="5">
        <v>10</v>
      </c>
      <c r="BO360" s="5">
        <v>10</v>
      </c>
      <c r="BP360" s="54">
        <f t="shared" si="115"/>
        <v>10</v>
      </c>
      <c r="BQ360" s="5"/>
      <c r="BR360" s="5"/>
      <c r="BS360" s="6">
        <v>8</v>
      </c>
      <c r="BT360" s="6">
        <v>8</v>
      </c>
      <c r="BU360" s="6">
        <v>8</v>
      </c>
      <c r="BV360" s="6">
        <v>8</v>
      </c>
      <c r="BW360" s="6">
        <v>8</v>
      </c>
      <c r="BX360" s="6">
        <v>8</v>
      </c>
      <c r="BY360" s="6">
        <v>8</v>
      </c>
      <c r="BZ360" s="6">
        <v>8</v>
      </c>
      <c r="CA360" s="6">
        <v>8</v>
      </c>
      <c r="CB360" s="6">
        <v>8</v>
      </c>
      <c r="CC360" s="2" t="e">
        <f t="shared" ca="1" si="125"/>
        <v>#NAME?</v>
      </c>
      <c r="CD360" s="55"/>
      <c r="CE360" s="2"/>
      <c r="CF360" s="2">
        <v>10</v>
      </c>
      <c r="CG360" s="2">
        <v>10</v>
      </c>
      <c r="CH360" s="2">
        <v>10</v>
      </c>
      <c r="CI360" s="2">
        <v>10</v>
      </c>
      <c r="CJ360" s="2">
        <v>10</v>
      </c>
      <c r="CK360" s="2">
        <v>10</v>
      </c>
      <c r="CL360" s="2">
        <v>10</v>
      </c>
      <c r="CM360" s="2">
        <v>10</v>
      </c>
      <c r="CN360" s="2">
        <v>10</v>
      </c>
      <c r="CO360" s="2">
        <v>10</v>
      </c>
      <c r="CP360" s="2" t="e">
        <f t="shared" ca="1" si="126"/>
        <v>#NAME?</v>
      </c>
      <c r="CQ360" s="2">
        <v>6</v>
      </c>
      <c r="CR360" s="2">
        <v>6</v>
      </c>
      <c r="CS360" s="2">
        <v>6</v>
      </c>
      <c r="CT360" s="2">
        <v>7</v>
      </c>
      <c r="CU360" s="2">
        <v>7</v>
      </c>
      <c r="CV360" s="54">
        <f t="shared" si="116"/>
        <v>7</v>
      </c>
      <c r="CW360" s="55"/>
      <c r="CX360" s="3"/>
    </row>
    <row r="361" spans="1:102" ht="16.5" x14ac:dyDescent="0.55000000000000004">
      <c r="A361" s="17">
        <v>2</v>
      </c>
      <c r="B361" s="17" t="s">
        <v>7</v>
      </c>
      <c r="C361" s="23" t="s">
        <v>763</v>
      </c>
      <c r="D361" s="24" t="s">
        <v>764</v>
      </c>
      <c r="E361" s="48">
        <v>7</v>
      </c>
      <c r="F361" s="2">
        <v>7</v>
      </c>
      <c r="G361" s="2">
        <v>10</v>
      </c>
      <c r="H361" s="2">
        <v>10</v>
      </c>
      <c r="I361" s="2">
        <v>10</v>
      </c>
      <c r="J361" s="2">
        <v>10</v>
      </c>
      <c r="K361" s="2">
        <v>10</v>
      </c>
      <c r="L361" s="2"/>
      <c r="M361" s="2"/>
      <c r="N361" s="2"/>
      <c r="O361" s="2"/>
      <c r="P361" s="2"/>
      <c r="Q361" s="2" t="e">
        <f t="shared" ca="1" si="122"/>
        <v>#NAME?</v>
      </c>
      <c r="R361" s="2">
        <v>10</v>
      </c>
      <c r="S361" s="2">
        <v>10</v>
      </c>
      <c r="T361" s="2">
        <v>10</v>
      </c>
      <c r="U361" s="2">
        <v>10</v>
      </c>
      <c r="V361" s="2">
        <v>10</v>
      </c>
      <c r="W361" s="54">
        <f t="shared" si="113"/>
        <v>10</v>
      </c>
      <c r="X361" s="48">
        <v>10</v>
      </c>
      <c r="Y361" s="48">
        <v>10</v>
      </c>
      <c r="Z361" s="2"/>
      <c r="AA361" s="49">
        <v>10</v>
      </c>
      <c r="AB361" s="49">
        <v>10</v>
      </c>
      <c r="AC361" s="49">
        <v>10</v>
      </c>
      <c r="AD361" s="49">
        <v>10</v>
      </c>
      <c r="AE361" s="49">
        <v>10</v>
      </c>
      <c r="AF361" s="49">
        <v>10</v>
      </c>
      <c r="AG361" s="49">
        <v>10</v>
      </c>
      <c r="AH361" s="49">
        <v>10</v>
      </c>
      <c r="AI361" s="49">
        <v>10</v>
      </c>
      <c r="AJ361" s="49">
        <v>10</v>
      </c>
      <c r="AK361" s="49">
        <v>10</v>
      </c>
      <c r="AL361" s="49">
        <v>10</v>
      </c>
      <c r="AM361" s="49">
        <v>10</v>
      </c>
      <c r="AN361" s="49">
        <v>10</v>
      </c>
      <c r="AO361" s="49">
        <v>10</v>
      </c>
      <c r="AP361" s="49">
        <v>10</v>
      </c>
      <c r="AQ361" s="2" t="e">
        <f t="shared" ca="1" si="123"/>
        <v>#NAME?</v>
      </c>
      <c r="AR361" s="49">
        <v>10</v>
      </c>
      <c r="AS361" s="49">
        <v>10</v>
      </c>
      <c r="AT361" s="49">
        <v>10</v>
      </c>
      <c r="AU361" s="49">
        <v>10</v>
      </c>
      <c r="AV361" s="49">
        <v>10</v>
      </c>
      <c r="AW361" s="54">
        <f t="shared" si="114"/>
        <v>10</v>
      </c>
      <c r="AX361" s="48">
        <v>9</v>
      </c>
      <c r="AY361" s="2">
        <v>9</v>
      </c>
      <c r="AZ361" s="5">
        <v>10</v>
      </c>
      <c r="BA361" s="5">
        <v>10</v>
      </c>
      <c r="BB361" s="5">
        <v>10</v>
      </c>
      <c r="BC361" s="5">
        <v>10</v>
      </c>
      <c r="BD361" s="5">
        <v>10</v>
      </c>
      <c r="BE361" s="5">
        <v>10</v>
      </c>
      <c r="BF361" s="5">
        <v>10</v>
      </c>
      <c r="BG361" s="5">
        <v>10</v>
      </c>
      <c r="BH361" s="5">
        <v>10</v>
      </c>
      <c r="BI361" s="5">
        <v>10</v>
      </c>
      <c r="BJ361" s="2" t="e">
        <f t="shared" ca="1" si="124"/>
        <v>#NAME?</v>
      </c>
      <c r="BK361" s="5">
        <v>10</v>
      </c>
      <c r="BL361" s="5">
        <v>10</v>
      </c>
      <c r="BM361" s="5">
        <v>10</v>
      </c>
      <c r="BN361" s="5">
        <v>10</v>
      </c>
      <c r="BO361" s="5">
        <v>10</v>
      </c>
      <c r="BP361" s="54">
        <f t="shared" si="115"/>
        <v>10</v>
      </c>
      <c r="BQ361" s="5"/>
      <c r="BR361" s="5"/>
      <c r="BS361" s="6">
        <v>10</v>
      </c>
      <c r="BT361" s="6">
        <v>10</v>
      </c>
      <c r="BU361" s="6">
        <v>10</v>
      </c>
      <c r="BV361" s="6">
        <v>10</v>
      </c>
      <c r="BW361" s="6">
        <v>10</v>
      </c>
      <c r="BX361" s="6">
        <v>10</v>
      </c>
      <c r="BY361" s="6">
        <v>10</v>
      </c>
      <c r="BZ361" s="6">
        <v>10</v>
      </c>
      <c r="CA361" s="6">
        <v>10</v>
      </c>
      <c r="CB361" s="6">
        <v>10</v>
      </c>
      <c r="CC361" s="2" t="e">
        <f t="shared" ca="1" si="125"/>
        <v>#NAME?</v>
      </c>
      <c r="CD361" s="55"/>
      <c r="CE361" s="2"/>
      <c r="CF361" s="2">
        <v>10</v>
      </c>
      <c r="CG361" s="2">
        <v>10</v>
      </c>
      <c r="CH361" s="2">
        <v>10</v>
      </c>
      <c r="CI361" s="2">
        <v>10</v>
      </c>
      <c r="CJ361" s="2">
        <v>10</v>
      </c>
      <c r="CK361" s="2">
        <v>10</v>
      </c>
      <c r="CL361" s="2">
        <v>10</v>
      </c>
      <c r="CM361" s="2">
        <v>10</v>
      </c>
      <c r="CN361" s="2">
        <v>10</v>
      </c>
      <c r="CO361" s="2">
        <v>10</v>
      </c>
      <c r="CP361" s="2" t="e">
        <f t="shared" ca="1" si="126"/>
        <v>#NAME?</v>
      </c>
      <c r="CQ361" s="2">
        <v>10</v>
      </c>
      <c r="CR361" s="2">
        <v>10</v>
      </c>
      <c r="CS361" s="2">
        <v>10</v>
      </c>
      <c r="CT361" s="2">
        <v>10</v>
      </c>
      <c r="CU361" s="2">
        <v>10</v>
      </c>
      <c r="CV361" s="54">
        <f t="shared" si="116"/>
        <v>10</v>
      </c>
      <c r="CW361" s="55"/>
      <c r="CX361" s="3"/>
    </row>
    <row r="362" spans="1:102" ht="16.5" x14ac:dyDescent="0.55000000000000004">
      <c r="A362" s="17">
        <v>2</v>
      </c>
      <c r="B362" s="17" t="s">
        <v>7</v>
      </c>
      <c r="C362" s="23" t="s">
        <v>765</v>
      </c>
      <c r="D362" s="24" t="s">
        <v>766</v>
      </c>
      <c r="E362" s="48">
        <v>8</v>
      </c>
      <c r="F362" s="2">
        <v>8</v>
      </c>
      <c r="G362" s="2">
        <v>10</v>
      </c>
      <c r="H362" s="2">
        <v>10</v>
      </c>
      <c r="I362" s="2">
        <v>10</v>
      </c>
      <c r="J362" s="2">
        <v>10</v>
      </c>
      <c r="K362" s="2">
        <v>10</v>
      </c>
      <c r="L362" s="2"/>
      <c r="M362" s="2"/>
      <c r="N362" s="2"/>
      <c r="O362" s="2"/>
      <c r="P362" s="2"/>
      <c r="Q362" s="2" t="e">
        <f t="shared" ca="1" si="122"/>
        <v>#NAME?</v>
      </c>
      <c r="R362" s="2">
        <v>10</v>
      </c>
      <c r="S362" s="2">
        <v>10</v>
      </c>
      <c r="T362" s="2">
        <v>10</v>
      </c>
      <c r="U362" s="2">
        <v>10</v>
      </c>
      <c r="V362" s="2">
        <v>10</v>
      </c>
      <c r="W362" s="54">
        <f t="shared" si="113"/>
        <v>10</v>
      </c>
      <c r="X362" s="48">
        <v>0</v>
      </c>
      <c r="Y362" s="48">
        <v>0</v>
      </c>
      <c r="Z362" s="2"/>
      <c r="AA362" s="50">
        <v>9</v>
      </c>
      <c r="AB362" s="50">
        <v>9</v>
      </c>
      <c r="AC362" s="50">
        <v>9</v>
      </c>
      <c r="AD362" s="50">
        <v>9</v>
      </c>
      <c r="AE362" s="50">
        <v>9</v>
      </c>
      <c r="AF362" s="50">
        <v>9</v>
      </c>
      <c r="AG362" s="2">
        <v>10</v>
      </c>
      <c r="AH362" s="2">
        <v>10</v>
      </c>
      <c r="AI362" s="2">
        <v>10</v>
      </c>
      <c r="AJ362" s="2">
        <v>10</v>
      </c>
      <c r="AK362" s="50">
        <v>9</v>
      </c>
      <c r="AL362" s="50">
        <v>9</v>
      </c>
      <c r="AM362" s="2">
        <v>10</v>
      </c>
      <c r="AN362" s="2">
        <v>10</v>
      </c>
      <c r="AO362" s="2">
        <v>10</v>
      </c>
      <c r="AP362" s="2">
        <v>10</v>
      </c>
      <c r="AQ362" s="2" t="e">
        <f t="shared" ca="1" si="123"/>
        <v>#NAME?</v>
      </c>
      <c r="AR362" s="2">
        <v>10</v>
      </c>
      <c r="AS362" s="2">
        <v>10</v>
      </c>
      <c r="AT362" s="2">
        <v>10</v>
      </c>
      <c r="AU362" s="2">
        <v>10</v>
      </c>
      <c r="AV362" s="2">
        <v>10</v>
      </c>
      <c r="AW362" s="54">
        <f t="shared" si="114"/>
        <v>10</v>
      </c>
      <c r="AX362" s="48">
        <v>9</v>
      </c>
      <c r="AY362" s="2">
        <v>8</v>
      </c>
      <c r="AZ362" s="5">
        <v>10</v>
      </c>
      <c r="BA362" s="5">
        <v>10</v>
      </c>
      <c r="BB362" s="5">
        <v>10</v>
      </c>
      <c r="BC362" s="5">
        <v>10</v>
      </c>
      <c r="BD362" s="5">
        <v>10</v>
      </c>
      <c r="BE362" s="5">
        <v>10</v>
      </c>
      <c r="BF362" s="5">
        <v>9</v>
      </c>
      <c r="BG362" s="5">
        <v>10</v>
      </c>
      <c r="BH362" s="5">
        <v>10</v>
      </c>
      <c r="BI362" s="5">
        <v>10</v>
      </c>
      <c r="BJ362" s="2" t="e">
        <f t="shared" ca="1" si="124"/>
        <v>#NAME?</v>
      </c>
      <c r="BK362" s="5">
        <v>10</v>
      </c>
      <c r="BL362" s="5">
        <v>10</v>
      </c>
      <c r="BM362" s="5">
        <v>10</v>
      </c>
      <c r="BN362" s="5">
        <v>10</v>
      </c>
      <c r="BO362" s="5">
        <v>10</v>
      </c>
      <c r="BP362" s="54">
        <f t="shared" si="115"/>
        <v>10</v>
      </c>
      <c r="BQ362" s="5"/>
      <c r="BR362" s="5"/>
      <c r="BS362" s="6">
        <v>10</v>
      </c>
      <c r="BT362" s="6">
        <v>10</v>
      </c>
      <c r="BU362" s="6">
        <v>10</v>
      </c>
      <c r="BV362" s="6">
        <v>10</v>
      </c>
      <c r="BW362" s="6">
        <v>10</v>
      </c>
      <c r="BX362" s="6">
        <v>10</v>
      </c>
      <c r="BY362" s="6">
        <v>10</v>
      </c>
      <c r="BZ362" s="6">
        <v>10</v>
      </c>
      <c r="CA362" s="6">
        <v>10</v>
      </c>
      <c r="CB362" s="6">
        <v>10</v>
      </c>
      <c r="CC362" s="2" t="e">
        <f t="shared" ca="1" si="125"/>
        <v>#NAME?</v>
      </c>
      <c r="CD362" s="55"/>
      <c r="CE362" s="2"/>
      <c r="CF362" s="2">
        <v>10</v>
      </c>
      <c r="CG362" s="2">
        <v>10</v>
      </c>
      <c r="CH362" s="8">
        <v>10</v>
      </c>
      <c r="CI362" s="8">
        <v>10</v>
      </c>
      <c r="CJ362" s="2">
        <v>10</v>
      </c>
      <c r="CK362" s="2">
        <v>10</v>
      </c>
      <c r="CL362" s="2">
        <v>10</v>
      </c>
      <c r="CM362" s="2">
        <v>10</v>
      </c>
      <c r="CN362" s="2">
        <v>10</v>
      </c>
      <c r="CO362" s="2">
        <v>10</v>
      </c>
      <c r="CP362" s="2" t="e">
        <f t="shared" ca="1" si="126"/>
        <v>#NAME?</v>
      </c>
      <c r="CQ362" s="2">
        <v>10</v>
      </c>
      <c r="CR362" s="2">
        <v>10</v>
      </c>
      <c r="CS362" s="2">
        <v>10</v>
      </c>
      <c r="CT362" s="2">
        <v>10</v>
      </c>
      <c r="CU362" s="2">
        <v>10</v>
      </c>
      <c r="CV362" s="54">
        <f t="shared" si="116"/>
        <v>10</v>
      </c>
      <c r="CW362" s="55"/>
      <c r="CX362" s="3"/>
    </row>
    <row r="363" spans="1:102" ht="16.5" x14ac:dyDescent="0.55000000000000004">
      <c r="A363" s="17">
        <v>2</v>
      </c>
      <c r="B363" s="17" t="s">
        <v>7</v>
      </c>
      <c r="C363" s="23" t="s">
        <v>767</v>
      </c>
      <c r="D363" s="24" t="s">
        <v>768</v>
      </c>
      <c r="E363" s="48">
        <v>8</v>
      </c>
      <c r="F363" s="2">
        <v>8</v>
      </c>
      <c r="G363" s="2">
        <v>10</v>
      </c>
      <c r="H363" s="2">
        <v>10</v>
      </c>
      <c r="I363" s="2">
        <v>10</v>
      </c>
      <c r="J363" s="2">
        <v>10</v>
      </c>
      <c r="K363" s="2">
        <v>10</v>
      </c>
      <c r="L363" s="2"/>
      <c r="M363" s="2"/>
      <c r="N363" s="2"/>
      <c r="O363" s="2"/>
      <c r="P363" s="2"/>
      <c r="Q363" s="2" t="e">
        <f t="shared" ca="1" si="122"/>
        <v>#NAME?</v>
      </c>
      <c r="R363" s="2">
        <v>10</v>
      </c>
      <c r="S363" s="2">
        <v>10</v>
      </c>
      <c r="T363" s="2">
        <v>10</v>
      </c>
      <c r="U363" s="2">
        <v>10</v>
      </c>
      <c r="V363" s="2">
        <v>10</v>
      </c>
      <c r="W363" s="54">
        <f t="shared" si="113"/>
        <v>10</v>
      </c>
      <c r="X363" s="48">
        <v>0</v>
      </c>
      <c r="Y363" s="48">
        <v>0</v>
      </c>
      <c r="Z363" s="2"/>
      <c r="AA363" s="50">
        <v>10</v>
      </c>
      <c r="AB363" s="50">
        <v>10</v>
      </c>
      <c r="AC363" s="50">
        <v>10</v>
      </c>
      <c r="AD363" s="50">
        <v>10</v>
      </c>
      <c r="AE363" s="50">
        <v>10</v>
      </c>
      <c r="AF363" s="50">
        <v>10</v>
      </c>
      <c r="AG363" s="2">
        <v>10</v>
      </c>
      <c r="AH363" s="2">
        <v>10</v>
      </c>
      <c r="AI363" s="2">
        <v>10</v>
      </c>
      <c r="AJ363" s="2">
        <v>10</v>
      </c>
      <c r="AK363" s="50">
        <v>10</v>
      </c>
      <c r="AL363" s="50">
        <v>10</v>
      </c>
      <c r="AM363" s="2">
        <v>10</v>
      </c>
      <c r="AN363" s="2">
        <v>10</v>
      </c>
      <c r="AO363" s="2">
        <v>10</v>
      </c>
      <c r="AP363" s="2">
        <v>10</v>
      </c>
      <c r="AQ363" s="2" t="e">
        <f t="shared" ca="1" si="123"/>
        <v>#NAME?</v>
      </c>
      <c r="AR363" s="2">
        <v>10</v>
      </c>
      <c r="AS363" s="2">
        <v>10</v>
      </c>
      <c r="AT363" s="2">
        <v>10</v>
      </c>
      <c r="AU363" s="2">
        <v>10</v>
      </c>
      <c r="AV363" s="2">
        <v>10</v>
      </c>
      <c r="AW363" s="54">
        <f t="shared" si="114"/>
        <v>10</v>
      </c>
      <c r="AX363" s="48">
        <v>8</v>
      </c>
      <c r="AY363" s="2">
        <v>9</v>
      </c>
      <c r="AZ363" s="88">
        <v>10</v>
      </c>
      <c r="BA363" s="2">
        <v>10</v>
      </c>
      <c r="BB363" s="2">
        <v>10</v>
      </c>
      <c r="BC363" s="2">
        <v>10</v>
      </c>
      <c r="BD363" s="2">
        <v>9</v>
      </c>
      <c r="BE363" s="2">
        <v>9</v>
      </c>
      <c r="BF363" s="2">
        <v>10</v>
      </c>
      <c r="BG363" s="2">
        <v>10</v>
      </c>
      <c r="BH363" s="2">
        <v>10</v>
      </c>
      <c r="BI363" s="2">
        <v>10</v>
      </c>
      <c r="BJ363" s="2" t="e">
        <f t="shared" ca="1" si="124"/>
        <v>#NAME?</v>
      </c>
      <c r="BK363" s="5">
        <v>10</v>
      </c>
      <c r="BL363" s="5">
        <v>10</v>
      </c>
      <c r="BM363" s="5">
        <v>10</v>
      </c>
      <c r="BN363" s="5">
        <v>10</v>
      </c>
      <c r="BO363" s="5">
        <v>10</v>
      </c>
      <c r="BP363" s="54">
        <f t="shared" si="115"/>
        <v>10</v>
      </c>
      <c r="BQ363" s="5"/>
      <c r="BR363" s="5"/>
      <c r="BS363" s="6">
        <v>10</v>
      </c>
      <c r="BT363" s="6">
        <v>10</v>
      </c>
      <c r="BU363" s="6">
        <v>10</v>
      </c>
      <c r="BV363" s="6">
        <v>10</v>
      </c>
      <c r="BW363" s="6">
        <v>10</v>
      </c>
      <c r="BX363" s="6">
        <v>10</v>
      </c>
      <c r="BY363" s="6">
        <v>10</v>
      </c>
      <c r="BZ363" s="6">
        <v>10</v>
      </c>
      <c r="CA363" s="6">
        <v>10</v>
      </c>
      <c r="CB363" s="6">
        <v>10</v>
      </c>
      <c r="CC363" s="2" t="e">
        <f t="shared" ca="1" si="125"/>
        <v>#NAME?</v>
      </c>
      <c r="CD363" s="55"/>
      <c r="CE363" s="2"/>
      <c r="CF363" s="2">
        <v>10</v>
      </c>
      <c r="CG363" s="2">
        <v>10</v>
      </c>
      <c r="CH363" s="2">
        <v>10</v>
      </c>
      <c r="CI363" s="2">
        <v>10</v>
      </c>
      <c r="CJ363" s="2">
        <v>10</v>
      </c>
      <c r="CK363" s="2">
        <v>10</v>
      </c>
      <c r="CL363" s="2">
        <v>10</v>
      </c>
      <c r="CM363" s="2">
        <v>10</v>
      </c>
      <c r="CN363" s="2">
        <v>10</v>
      </c>
      <c r="CO363" s="2">
        <v>10</v>
      </c>
      <c r="CP363" s="2" t="e">
        <f t="shared" ca="1" si="126"/>
        <v>#NAME?</v>
      </c>
      <c r="CQ363" s="2">
        <v>10</v>
      </c>
      <c r="CR363" s="2">
        <v>10</v>
      </c>
      <c r="CS363" s="2">
        <v>10</v>
      </c>
      <c r="CT363" s="2">
        <v>10</v>
      </c>
      <c r="CU363" s="2">
        <v>10</v>
      </c>
      <c r="CV363" s="54">
        <f t="shared" si="116"/>
        <v>10</v>
      </c>
      <c r="CW363" s="55"/>
      <c r="CX363" s="3"/>
    </row>
    <row r="364" spans="1:102" ht="16.5" x14ac:dyDescent="0.55000000000000004">
      <c r="A364" s="17">
        <v>2</v>
      </c>
      <c r="B364" s="17" t="s">
        <v>7</v>
      </c>
      <c r="C364" s="23" t="s">
        <v>769</v>
      </c>
      <c r="D364" s="24" t="s">
        <v>770</v>
      </c>
      <c r="E364" s="48">
        <v>5</v>
      </c>
      <c r="F364" s="2">
        <v>5</v>
      </c>
      <c r="G364" s="2">
        <v>7</v>
      </c>
      <c r="H364" s="2">
        <v>8</v>
      </c>
      <c r="I364" s="2">
        <v>8</v>
      </c>
      <c r="J364" s="2">
        <v>7</v>
      </c>
      <c r="K364" s="2">
        <v>7</v>
      </c>
      <c r="L364" s="2"/>
      <c r="M364" s="2"/>
      <c r="N364" s="2"/>
      <c r="O364" s="2"/>
      <c r="P364" s="2"/>
      <c r="Q364" s="2" t="e">
        <f t="shared" ca="1" si="122"/>
        <v>#NAME?</v>
      </c>
      <c r="R364" s="8">
        <v>10</v>
      </c>
      <c r="S364" s="8">
        <v>10</v>
      </c>
      <c r="T364" s="8">
        <v>10</v>
      </c>
      <c r="U364" s="8">
        <v>10</v>
      </c>
      <c r="V364" s="8">
        <v>10</v>
      </c>
      <c r="W364" s="54">
        <f t="shared" si="113"/>
        <v>10</v>
      </c>
      <c r="X364" s="48">
        <v>7</v>
      </c>
      <c r="Y364" s="48">
        <v>7</v>
      </c>
      <c r="Z364" s="2"/>
      <c r="AA364" s="50">
        <v>6</v>
      </c>
      <c r="AB364" s="50">
        <v>6</v>
      </c>
      <c r="AC364" s="50">
        <v>6</v>
      </c>
      <c r="AD364" s="50">
        <v>6</v>
      </c>
      <c r="AE364" s="50">
        <v>6</v>
      </c>
      <c r="AF364" s="50">
        <v>6</v>
      </c>
      <c r="AG364" s="2">
        <v>8</v>
      </c>
      <c r="AH364" s="2">
        <v>8</v>
      </c>
      <c r="AI364" s="2">
        <v>8</v>
      </c>
      <c r="AJ364" s="2">
        <v>8</v>
      </c>
      <c r="AK364" s="50">
        <v>6</v>
      </c>
      <c r="AL364" s="50">
        <v>6</v>
      </c>
      <c r="AM364" s="2">
        <v>8</v>
      </c>
      <c r="AN364" s="2">
        <v>8</v>
      </c>
      <c r="AO364" s="2">
        <v>8</v>
      </c>
      <c r="AP364" s="2">
        <v>8</v>
      </c>
      <c r="AQ364" s="2" t="e">
        <f t="shared" ca="1" si="123"/>
        <v>#NAME?</v>
      </c>
      <c r="AR364" s="2">
        <v>7</v>
      </c>
      <c r="AS364" s="2">
        <v>7</v>
      </c>
      <c r="AT364" s="2">
        <v>7</v>
      </c>
      <c r="AU364" s="2">
        <v>8</v>
      </c>
      <c r="AV364" s="2">
        <v>8</v>
      </c>
      <c r="AW364" s="54">
        <f t="shared" si="114"/>
        <v>8</v>
      </c>
      <c r="AX364" s="48">
        <v>8</v>
      </c>
      <c r="AY364" s="2">
        <v>8</v>
      </c>
      <c r="AZ364" s="5">
        <v>9</v>
      </c>
      <c r="BA364" s="5">
        <v>9</v>
      </c>
      <c r="BB364" s="5">
        <v>10</v>
      </c>
      <c r="BC364" s="5">
        <v>10</v>
      </c>
      <c r="BD364" s="5">
        <v>10</v>
      </c>
      <c r="BE364" s="5">
        <v>10</v>
      </c>
      <c r="BF364" s="5">
        <v>9</v>
      </c>
      <c r="BG364" s="5">
        <v>10</v>
      </c>
      <c r="BH364" s="5">
        <v>10</v>
      </c>
      <c r="BI364" s="5">
        <v>10</v>
      </c>
      <c r="BJ364" s="2" t="e">
        <f t="shared" ca="1" si="124"/>
        <v>#NAME?</v>
      </c>
      <c r="BK364" s="5">
        <v>10</v>
      </c>
      <c r="BL364" s="5">
        <v>10</v>
      </c>
      <c r="BM364" s="5">
        <v>10</v>
      </c>
      <c r="BN364" s="5">
        <v>10</v>
      </c>
      <c r="BO364" s="5">
        <v>10</v>
      </c>
      <c r="BP364" s="54">
        <f t="shared" si="115"/>
        <v>10</v>
      </c>
      <c r="BQ364" s="5"/>
      <c r="BR364" s="5"/>
      <c r="BS364" s="6">
        <v>10</v>
      </c>
      <c r="BT364" s="6">
        <v>10</v>
      </c>
      <c r="BU364" s="6">
        <v>10</v>
      </c>
      <c r="BV364" s="6">
        <v>9</v>
      </c>
      <c r="BW364" s="6">
        <v>10</v>
      </c>
      <c r="BX364" s="6">
        <v>10</v>
      </c>
      <c r="BY364" s="6">
        <v>10</v>
      </c>
      <c r="BZ364" s="6">
        <v>10</v>
      </c>
      <c r="CA364" s="6">
        <v>10</v>
      </c>
      <c r="CB364" s="6">
        <v>10</v>
      </c>
      <c r="CC364" s="2" t="e">
        <f t="shared" ca="1" si="125"/>
        <v>#NAME?</v>
      </c>
      <c r="CD364" s="55"/>
      <c r="CE364" s="2"/>
      <c r="CF364" s="2">
        <v>10</v>
      </c>
      <c r="CG364" s="2">
        <v>10</v>
      </c>
      <c r="CH364" s="2">
        <v>10</v>
      </c>
      <c r="CI364" s="2">
        <v>10</v>
      </c>
      <c r="CJ364" s="2">
        <v>10</v>
      </c>
      <c r="CK364" s="2">
        <v>10</v>
      </c>
      <c r="CL364" s="2">
        <v>10</v>
      </c>
      <c r="CM364" s="2">
        <v>10</v>
      </c>
      <c r="CN364" s="2">
        <v>10</v>
      </c>
      <c r="CO364" s="2">
        <v>10</v>
      </c>
      <c r="CP364" s="2" t="e">
        <f t="shared" ca="1" si="126"/>
        <v>#NAME?</v>
      </c>
      <c r="CQ364" s="2">
        <v>10</v>
      </c>
      <c r="CR364" s="2">
        <v>10</v>
      </c>
      <c r="CS364" s="2">
        <v>10</v>
      </c>
      <c r="CT364" s="2">
        <v>10</v>
      </c>
      <c r="CU364" s="2">
        <v>10</v>
      </c>
      <c r="CV364" s="54">
        <f t="shared" si="116"/>
        <v>10</v>
      </c>
      <c r="CW364" s="55"/>
      <c r="CX364" s="3"/>
    </row>
    <row r="365" spans="1:102" ht="16.5" x14ac:dyDescent="0.55000000000000004">
      <c r="A365" s="17">
        <v>2</v>
      </c>
      <c r="B365" s="17" t="s">
        <v>7</v>
      </c>
      <c r="C365" s="23" t="s">
        <v>771</v>
      </c>
      <c r="D365" s="24" t="s">
        <v>772</v>
      </c>
      <c r="E365" s="48">
        <v>5</v>
      </c>
      <c r="F365" s="2">
        <v>5</v>
      </c>
      <c r="G365" s="2">
        <v>10</v>
      </c>
      <c r="H365" s="2">
        <v>10</v>
      </c>
      <c r="I365" s="2">
        <v>9</v>
      </c>
      <c r="J365" s="2">
        <v>9</v>
      </c>
      <c r="K365" s="2">
        <v>9</v>
      </c>
      <c r="L365" s="2"/>
      <c r="M365" s="2"/>
      <c r="N365" s="2"/>
      <c r="O365" s="2"/>
      <c r="P365" s="2"/>
      <c r="Q365" s="2" t="e">
        <f t="shared" ca="1" si="122"/>
        <v>#NAME?</v>
      </c>
      <c r="R365" s="8">
        <v>10</v>
      </c>
      <c r="S365" s="8">
        <v>10</v>
      </c>
      <c r="T365" s="8">
        <v>10</v>
      </c>
      <c r="U365" s="8">
        <v>10</v>
      </c>
      <c r="V365" s="8">
        <v>10</v>
      </c>
      <c r="W365" s="54">
        <f t="shared" si="113"/>
        <v>10</v>
      </c>
      <c r="X365" s="48">
        <v>10</v>
      </c>
      <c r="Y365" s="48">
        <v>10</v>
      </c>
      <c r="Z365" s="2"/>
      <c r="AA365" s="50">
        <v>10</v>
      </c>
      <c r="AB365" s="50">
        <v>10</v>
      </c>
      <c r="AC365" s="50">
        <v>10</v>
      </c>
      <c r="AD365" s="50">
        <v>10</v>
      </c>
      <c r="AE365" s="50">
        <v>10</v>
      </c>
      <c r="AF365" s="50">
        <v>10</v>
      </c>
      <c r="AG365" s="2">
        <v>10</v>
      </c>
      <c r="AH365" s="2">
        <v>10</v>
      </c>
      <c r="AI365" s="2">
        <v>10</v>
      </c>
      <c r="AJ365" s="2">
        <v>10</v>
      </c>
      <c r="AK365" s="50">
        <v>10</v>
      </c>
      <c r="AL365" s="50">
        <v>10</v>
      </c>
      <c r="AM365" s="2">
        <v>10</v>
      </c>
      <c r="AN365" s="2">
        <v>10</v>
      </c>
      <c r="AO365" s="2">
        <v>10</v>
      </c>
      <c r="AP365" s="2">
        <v>10</v>
      </c>
      <c r="AQ365" s="2" t="e">
        <f t="shared" ca="1" si="123"/>
        <v>#NAME?</v>
      </c>
      <c r="AR365" s="2">
        <v>10</v>
      </c>
      <c r="AS365" s="2">
        <v>10</v>
      </c>
      <c r="AT365" s="2">
        <v>10</v>
      </c>
      <c r="AU365" s="2">
        <v>8</v>
      </c>
      <c r="AV365" s="2">
        <v>8</v>
      </c>
      <c r="AW365" s="54">
        <f t="shared" si="114"/>
        <v>10</v>
      </c>
      <c r="AX365" s="48">
        <v>9</v>
      </c>
      <c r="AY365" s="2">
        <v>9</v>
      </c>
      <c r="AZ365" s="5">
        <v>10</v>
      </c>
      <c r="BA365" s="5">
        <v>10</v>
      </c>
      <c r="BB365" s="5">
        <v>10</v>
      </c>
      <c r="BC365" s="5">
        <v>10</v>
      </c>
      <c r="BD365" s="5">
        <v>10</v>
      </c>
      <c r="BE365" s="5">
        <v>10</v>
      </c>
      <c r="BF365" s="5">
        <v>10</v>
      </c>
      <c r="BG365" s="5">
        <v>10</v>
      </c>
      <c r="BH365" s="5">
        <v>10</v>
      </c>
      <c r="BI365" s="5">
        <v>10</v>
      </c>
      <c r="BJ365" s="2" t="e">
        <f t="shared" ca="1" si="124"/>
        <v>#NAME?</v>
      </c>
      <c r="BK365" s="5">
        <v>10</v>
      </c>
      <c r="BL365" s="5">
        <v>10</v>
      </c>
      <c r="BM365" s="5">
        <v>10</v>
      </c>
      <c r="BN365" s="5">
        <v>10</v>
      </c>
      <c r="BO365" s="5">
        <v>10</v>
      </c>
      <c r="BP365" s="54">
        <f t="shared" si="115"/>
        <v>10</v>
      </c>
      <c r="BQ365" s="5"/>
      <c r="BR365" s="5"/>
      <c r="BS365" s="6">
        <v>10</v>
      </c>
      <c r="BT365" s="6">
        <v>10</v>
      </c>
      <c r="BU365" s="6">
        <v>10</v>
      </c>
      <c r="BV365" s="6">
        <v>10</v>
      </c>
      <c r="BW365" s="6">
        <v>9</v>
      </c>
      <c r="BX365" s="6">
        <v>9</v>
      </c>
      <c r="BY365" s="6">
        <v>10</v>
      </c>
      <c r="BZ365" s="6">
        <v>10</v>
      </c>
      <c r="CA365" s="6">
        <v>10</v>
      </c>
      <c r="CB365" s="6">
        <v>10</v>
      </c>
      <c r="CC365" s="2" t="e">
        <f t="shared" ca="1" si="125"/>
        <v>#NAME?</v>
      </c>
      <c r="CD365" s="55"/>
      <c r="CE365" s="2"/>
      <c r="CF365" s="2">
        <v>10</v>
      </c>
      <c r="CG365" s="2">
        <v>10</v>
      </c>
      <c r="CH365" s="2">
        <v>10</v>
      </c>
      <c r="CI365" s="2">
        <v>10</v>
      </c>
      <c r="CJ365" s="2">
        <v>10</v>
      </c>
      <c r="CK365" s="2">
        <v>10</v>
      </c>
      <c r="CL365" s="2">
        <v>10</v>
      </c>
      <c r="CM365" s="2">
        <v>10</v>
      </c>
      <c r="CN365" s="2">
        <v>10</v>
      </c>
      <c r="CO365" s="2">
        <v>10</v>
      </c>
      <c r="CP365" s="2" t="e">
        <f t="shared" ca="1" si="126"/>
        <v>#NAME?</v>
      </c>
      <c r="CQ365" s="2">
        <v>10</v>
      </c>
      <c r="CR365" s="2">
        <v>10</v>
      </c>
      <c r="CS365" s="2">
        <v>10</v>
      </c>
      <c r="CT365" s="2">
        <v>10</v>
      </c>
      <c r="CU365" s="2">
        <v>10</v>
      </c>
      <c r="CV365" s="54">
        <f t="shared" si="116"/>
        <v>10</v>
      </c>
      <c r="CW365" s="55"/>
      <c r="CX365" s="3"/>
    </row>
    <row r="366" spans="1:102" ht="16.5" x14ac:dyDescent="0.55000000000000004">
      <c r="A366" s="16">
        <v>2</v>
      </c>
      <c r="B366" s="16" t="s">
        <v>7</v>
      </c>
      <c r="C366" s="60" t="s">
        <v>773</v>
      </c>
      <c r="D366" s="18" t="s">
        <v>774</v>
      </c>
      <c r="E366" s="62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/>
      <c r="N366" s="10"/>
      <c r="O366" s="10"/>
      <c r="P366" s="10"/>
      <c r="Q366" s="10">
        <f>IFERROR(ROUNDUP(AVERAGE(G366:P366),0),0)</f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63">
        <f t="shared" si="113"/>
        <v>0</v>
      </c>
      <c r="X366" s="62">
        <v>0</v>
      </c>
      <c r="Y366" s="62">
        <v>0</v>
      </c>
      <c r="Z366" s="10"/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10">
        <v>0</v>
      </c>
      <c r="AH366" s="10">
        <v>0</v>
      </c>
      <c r="AI366" s="10">
        <v>0</v>
      </c>
      <c r="AJ366" s="10">
        <v>0</v>
      </c>
      <c r="AK366" s="9">
        <v>0</v>
      </c>
      <c r="AL366" s="9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f>IFERROR(ROUNDUP(AVERAGE(AA366:AP366),0),0)</f>
        <v>0</v>
      </c>
      <c r="AR366" s="10">
        <v>0</v>
      </c>
      <c r="AS366" s="10">
        <v>0</v>
      </c>
      <c r="AT366" s="10">
        <v>0</v>
      </c>
      <c r="AU366" s="10">
        <v>0</v>
      </c>
      <c r="AV366" s="10">
        <v>0</v>
      </c>
      <c r="AW366" s="63">
        <f t="shared" si="114"/>
        <v>0</v>
      </c>
      <c r="AX366" s="62">
        <v>0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64">
        <v>0</v>
      </c>
      <c r="BJ366" s="10">
        <f>IFERROR(ROUNDUP(AVERAGE(AZ366:BI366),0),0)</f>
        <v>0</v>
      </c>
      <c r="BK366" s="12">
        <v>0</v>
      </c>
      <c r="BL366" s="12">
        <v>0</v>
      </c>
      <c r="BM366" s="12">
        <v>0</v>
      </c>
      <c r="BN366" s="12">
        <v>0</v>
      </c>
      <c r="BO366" s="12">
        <v>0</v>
      </c>
      <c r="BP366" s="63">
        <f t="shared" si="115"/>
        <v>0</v>
      </c>
      <c r="BQ366" s="12"/>
      <c r="BR366" s="12"/>
      <c r="BS366" s="9">
        <v>0</v>
      </c>
      <c r="BT366" s="9">
        <v>0</v>
      </c>
      <c r="BU366" s="9">
        <v>0</v>
      </c>
      <c r="BV366" s="9">
        <v>0</v>
      </c>
      <c r="BW366" s="9">
        <v>0</v>
      </c>
      <c r="BX366" s="9">
        <v>0</v>
      </c>
      <c r="BY366" s="9">
        <v>0</v>
      </c>
      <c r="BZ366" s="9">
        <v>0</v>
      </c>
      <c r="CA366" s="9">
        <v>0</v>
      </c>
      <c r="CB366" s="12">
        <v>0</v>
      </c>
      <c r="CC366" s="10">
        <f>IFERROR(ROUNDUP(AVERAGE(BS366:CB366),0),0)</f>
        <v>0</v>
      </c>
      <c r="CD366" s="65"/>
      <c r="CE366" s="10"/>
      <c r="CF366" s="10">
        <v>0</v>
      </c>
      <c r="CG366" s="10">
        <v>0</v>
      </c>
      <c r="CH366" s="10">
        <v>0</v>
      </c>
      <c r="CI366" s="10">
        <v>0</v>
      </c>
      <c r="CJ366" s="10">
        <v>0</v>
      </c>
      <c r="CK366" s="10">
        <v>0</v>
      </c>
      <c r="CL366" s="10">
        <v>0</v>
      </c>
      <c r="CM366" s="10">
        <v>0</v>
      </c>
      <c r="CN366" s="10">
        <v>0</v>
      </c>
      <c r="CO366" s="10">
        <v>0</v>
      </c>
      <c r="CP366" s="10">
        <f>IFERROR(ROUNDUP(AVERAGE(CF366:CO366),0),0)</f>
        <v>0</v>
      </c>
      <c r="CQ366" s="10">
        <v>0</v>
      </c>
      <c r="CR366" s="10">
        <v>0</v>
      </c>
      <c r="CS366" s="10">
        <v>0</v>
      </c>
      <c r="CT366" s="10">
        <v>0</v>
      </c>
      <c r="CU366" s="10">
        <v>0</v>
      </c>
      <c r="CV366" s="63">
        <f t="shared" si="116"/>
        <v>0</v>
      </c>
      <c r="CW366" s="65"/>
      <c r="CX366" s="11"/>
    </row>
    <row r="367" spans="1:102" ht="16.5" x14ac:dyDescent="0.55000000000000004">
      <c r="A367" s="17">
        <v>2</v>
      </c>
      <c r="B367" s="17" t="s">
        <v>7</v>
      </c>
      <c r="C367" s="23" t="s">
        <v>775</v>
      </c>
      <c r="D367" s="24" t="s">
        <v>776</v>
      </c>
      <c r="E367" s="48" t="s">
        <v>31</v>
      </c>
      <c r="F367" s="2" t="s">
        <v>31</v>
      </c>
      <c r="G367" s="2">
        <v>5</v>
      </c>
      <c r="H367" s="2">
        <v>5</v>
      </c>
      <c r="I367" s="2">
        <v>5</v>
      </c>
      <c r="J367" s="2">
        <v>5</v>
      </c>
      <c r="K367" s="2">
        <v>5</v>
      </c>
      <c r="L367" s="2"/>
      <c r="M367" s="2"/>
      <c r="N367" s="2"/>
      <c r="O367" s="2"/>
      <c r="P367" s="2"/>
      <c r="Q367" s="2" t="e">
        <f t="shared" ref="Q367:Q451" ca="1" si="127">_xludf.let(a,IFERROR(AVERAGE(G367:P367),0),ROUND(MAP(a, LAMBDA(x, 5 + (x * 0.5))),0))</f>
        <v>#NAME?</v>
      </c>
      <c r="R367" s="2">
        <v>5</v>
      </c>
      <c r="S367" s="2">
        <v>5</v>
      </c>
      <c r="T367" s="2">
        <v>5</v>
      </c>
      <c r="U367" s="2">
        <v>5</v>
      </c>
      <c r="V367" s="2">
        <v>5</v>
      </c>
      <c r="W367" s="54">
        <f t="shared" si="113"/>
        <v>5</v>
      </c>
      <c r="X367" s="48">
        <v>0</v>
      </c>
      <c r="Y367" s="48">
        <v>0</v>
      </c>
      <c r="Z367" s="2"/>
      <c r="AA367" s="50">
        <v>7</v>
      </c>
      <c r="AB367" s="50">
        <v>7</v>
      </c>
      <c r="AC367" s="50">
        <v>7</v>
      </c>
      <c r="AD367" s="50">
        <v>7</v>
      </c>
      <c r="AE367" s="50">
        <v>7</v>
      </c>
      <c r="AF367" s="50">
        <v>7</v>
      </c>
      <c r="AG367" s="2">
        <v>7</v>
      </c>
      <c r="AH367" s="2">
        <v>7</v>
      </c>
      <c r="AI367" s="2">
        <v>7</v>
      </c>
      <c r="AJ367" s="2">
        <v>7</v>
      </c>
      <c r="AK367" s="50">
        <v>7</v>
      </c>
      <c r="AL367" s="50">
        <v>7</v>
      </c>
      <c r="AM367" s="2">
        <v>7</v>
      </c>
      <c r="AN367" s="2">
        <v>7</v>
      </c>
      <c r="AO367" s="2">
        <v>7</v>
      </c>
      <c r="AP367" s="2">
        <v>7</v>
      </c>
      <c r="AQ367" s="2" t="e">
        <f t="shared" ref="AQ367:AQ451" ca="1" si="128">_xludf.let(a,IFERROR(AVERAGE(AA367:AP367),0),ROUND(MAP(a, LAMBDA(x, 5 + (x * 0.5))),0))</f>
        <v>#NAME?</v>
      </c>
      <c r="AR367" s="2">
        <v>7</v>
      </c>
      <c r="AS367" s="2">
        <v>7</v>
      </c>
      <c r="AT367" s="2">
        <v>6</v>
      </c>
      <c r="AU367" s="2">
        <v>6</v>
      </c>
      <c r="AV367" s="2">
        <v>6</v>
      </c>
      <c r="AW367" s="54">
        <f t="shared" si="114"/>
        <v>7</v>
      </c>
      <c r="AX367" s="48">
        <v>8</v>
      </c>
      <c r="AY367" s="2">
        <v>7</v>
      </c>
      <c r="AZ367" s="2">
        <v>10</v>
      </c>
      <c r="BA367" s="2">
        <v>10</v>
      </c>
      <c r="BB367" s="2">
        <v>10</v>
      </c>
      <c r="BC367" s="2">
        <v>10</v>
      </c>
      <c r="BD367" s="2">
        <v>10</v>
      </c>
      <c r="BE367" s="2">
        <v>10</v>
      </c>
      <c r="BF367" s="2">
        <v>9</v>
      </c>
      <c r="BG367" s="2">
        <v>9</v>
      </c>
      <c r="BH367" s="2">
        <v>9</v>
      </c>
      <c r="BI367" s="57">
        <v>9</v>
      </c>
      <c r="BJ367" s="2" t="e">
        <f t="shared" ref="BJ367:BJ451" ca="1" si="129">_xludf.let(a,IFERROR(AVERAGE(AZ367:BI367),0),ROUND(MAP(a, LAMBDA(x, 5 + (x * 0.5))),0))</f>
        <v>#NAME?</v>
      </c>
      <c r="BK367" s="5">
        <v>9</v>
      </c>
      <c r="BL367" s="5">
        <v>9</v>
      </c>
      <c r="BM367" s="5">
        <v>9</v>
      </c>
      <c r="BN367" s="5">
        <v>9</v>
      </c>
      <c r="BO367" s="5">
        <v>9</v>
      </c>
      <c r="BP367" s="54">
        <f t="shared" si="115"/>
        <v>9</v>
      </c>
      <c r="BQ367" s="5"/>
      <c r="BR367" s="5"/>
      <c r="BS367" s="6">
        <v>8</v>
      </c>
      <c r="BT367" s="6">
        <v>8</v>
      </c>
      <c r="BU367" s="6">
        <v>8</v>
      </c>
      <c r="BV367" s="6">
        <v>8</v>
      </c>
      <c r="BW367" s="6">
        <v>8</v>
      </c>
      <c r="BX367" s="6">
        <v>8</v>
      </c>
      <c r="BY367" s="6">
        <v>8</v>
      </c>
      <c r="BZ367" s="6">
        <v>8</v>
      </c>
      <c r="CA367" s="6">
        <v>8</v>
      </c>
      <c r="CB367" s="6">
        <v>8</v>
      </c>
      <c r="CC367" s="2" t="e">
        <f t="shared" ref="CC367:CC451" ca="1" si="130">_xludf.let(a,IFERROR(AVERAGE(BS367:CB367),0),ROUND(MAP(a, LAMBDA(x, 5 + (x * 0.5))),0))</f>
        <v>#NAME?</v>
      </c>
      <c r="CD367" s="55"/>
      <c r="CE367" s="2"/>
      <c r="CF367" s="2">
        <v>10</v>
      </c>
      <c r="CG367" s="2">
        <v>10</v>
      </c>
      <c r="CH367" s="8">
        <v>10</v>
      </c>
      <c r="CI367" s="8">
        <v>10</v>
      </c>
      <c r="CJ367" s="2">
        <v>10</v>
      </c>
      <c r="CK367" s="2">
        <v>10</v>
      </c>
      <c r="CL367" s="2">
        <v>10</v>
      </c>
      <c r="CM367" s="2">
        <v>10</v>
      </c>
      <c r="CN367" s="2">
        <v>10</v>
      </c>
      <c r="CO367" s="2">
        <v>10</v>
      </c>
      <c r="CP367" s="2" t="e">
        <f t="shared" ref="CP367:CP451" ca="1" si="131">_xludf.let(a,IFERROR(AVERAGE(CF367:CO367),0),ROUND(MAP(a, LAMBDA(x, 5 + (x * 0.5))),0))</f>
        <v>#NAME?</v>
      </c>
      <c r="CQ367" s="2">
        <v>10</v>
      </c>
      <c r="CR367" s="2">
        <v>10</v>
      </c>
      <c r="CS367" s="2">
        <v>10</v>
      </c>
      <c r="CT367" s="2">
        <v>10</v>
      </c>
      <c r="CU367" s="2">
        <v>10</v>
      </c>
      <c r="CV367" s="54">
        <f t="shared" si="116"/>
        <v>10</v>
      </c>
      <c r="CW367" s="55"/>
      <c r="CX367" s="3"/>
    </row>
    <row r="368" spans="1:102" ht="16.5" x14ac:dyDescent="0.55000000000000004">
      <c r="A368" s="17">
        <v>2</v>
      </c>
      <c r="B368" s="17" t="s">
        <v>7</v>
      </c>
      <c r="C368" s="23" t="s">
        <v>777</v>
      </c>
      <c r="D368" s="24" t="s">
        <v>778</v>
      </c>
      <c r="E368" s="48">
        <v>7</v>
      </c>
      <c r="F368" s="2">
        <v>7</v>
      </c>
      <c r="G368" s="2">
        <v>10</v>
      </c>
      <c r="H368" s="2">
        <v>10</v>
      </c>
      <c r="I368" s="2">
        <v>10</v>
      </c>
      <c r="J368" s="2">
        <v>10</v>
      </c>
      <c r="K368" s="2">
        <v>10</v>
      </c>
      <c r="L368" s="2"/>
      <c r="M368" s="2"/>
      <c r="N368" s="2"/>
      <c r="O368" s="2"/>
      <c r="P368" s="2"/>
      <c r="Q368" s="2" t="e">
        <f t="shared" ca="1" si="127"/>
        <v>#NAME?</v>
      </c>
      <c r="R368" s="2">
        <v>10</v>
      </c>
      <c r="S368" s="2">
        <v>10</v>
      </c>
      <c r="T368" s="2">
        <v>10</v>
      </c>
      <c r="U368" s="2">
        <v>10</v>
      </c>
      <c r="V368" s="2">
        <v>10</v>
      </c>
      <c r="W368" s="54">
        <f t="shared" si="113"/>
        <v>10</v>
      </c>
      <c r="X368" s="48">
        <v>0</v>
      </c>
      <c r="Y368" s="48">
        <v>0</v>
      </c>
      <c r="Z368" s="2"/>
      <c r="AA368" s="2">
        <v>10</v>
      </c>
      <c r="AB368" s="2">
        <v>10</v>
      </c>
      <c r="AC368" s="2">
        <v>10</v>
      </c>
      <c r="AD368" s="2">
        <v>10</v>
      </c>
      <c r="AE368" s="2">
        <v>10</v>
      </c>
      <c r="AF368" s="2">
        <v>10</v>
      </c>
      <c r="AG368" s="2">
        <v>10</v>
      </c>
      <c r="AH368" s="2">
        <v>10</v>
      </c>
      <c r="AI368" s="2">
        <v>10</v>
      </c>
      <c r="AJ368" s="2">
        <v>10</v>
      </c>
      <c r="AK368" s="2">
        <v>10</v>
      </c>
      <c r="AL368" s="2">
        <v>10</v>
      </c>
      <c r="AM368" s="2">
        <v>10</v>
      </c>
      <c r="AN368" s="2">
        <v>10</v>
      </c>
      <c r="AO368" s="2">
        <v>10</v>
      </c>
      <c r="AP368" s="2">
        <v>10</v>
      </c>
      <c r="AQ368" s="2" t="e">
        <f t="shared" ca="1" si="128"/>
        <v>#NAME?</v>
      </c>
      <c r="AR368" s="2">
        <v>10</v>
      </c>
      <c r="AS368" s="2">
        <v>10</v>
      </c>
      <c r="AT368" s="2">
        <v>10</v>
      </c>
      <c r="AU368" s="2">
        <v>10</v>
      </c>
      <c r="AV368" s="2">
        <v>10</v>
      </c>
      <c r="AW368" s="54">
        <f t="shared" si="114"/>
        <v>10</v>
      </c>
      <c r="AX368" s="48">
        <v>8</v>
      </c>
      <c r="AY368" s="2">
        <v>7</v>
      </c>
      <c r="AZ368" s="88">
        <v>10</v>
      </c>
      <c r="BA368" s="8">
        <v>10</v>
      </c>
      <c r="BB368" s="88">
        <v>9</v>
      </c>
      <c r="BC368" s="88">
        <v>9</v>
      </c>
      <c r="BD368" s="8">
        <v>10</v>
      </c>
      <c r="BE368" s="88">
        <v>10</v>
      </c>
      <c r="BF368" s="88">
        <v>10</v>
      </c>
      <c r="BG368" s="8">
        <v>10</v>
      </c>
      <c r="BH368" s="88">
        <v>10</v>
      </c>
      <c r="BI368" s="89">
        <v>10</v>
      </c>
      <c r="BJ368" s="2" t="e">
        <f t="shared" ca="1" si="129"/>
        <v>#NAME?</v>
      </c>
      <c r="BK368" s="5">
        <v>10</v>
      </c>
      <c r="BL368" s="5">
        <v>10</v>
      </c>
      <c r="BM368" s="5">
        <v>10</v>
      </c>
      <c r="BN368" s="5">
        <v>10</v>
      </c>
      <c r="BO368" s="5">
        <v>10</v>
      </c>
      <c r="BP368" s="54">
        <f t="shared" si="115"/>
        <v>10</v>
      </c>
      <c r="BQ368" s="5"/>
      <c r="BR368" s="5"/>
      <c r="BS368" s="6">
        <v>10</v>
      </c>
      <c r="BT368" s="6">
        <v>10</v>
      </c>
      <c r="BU368" s="6">
        <v>10</v>
      </c>
      <c r="BV368" s="6">
        <v>10</v>
      </c>
      <c r="BW368" s="6">
        <v>10</v>
      </c>
      <c r="BX368" s="6">
        <v>10</v>
      </c>
      <c r="BY368" s="6">
        <v>10</v>
      </c>
      <c r="BZ368" s="6">
        <v>10</v>
      </c>
      <c r="CA368" s="6">
        <v>10</v>
      </c>
      <c r="CB368" s="6">
        <v>10</v>
      </c>
      <c r="CC368" s="2" t="e">
        <f t="shared" ca="1" si="130"/>
        <v>#NAME?</v>
      </c>
      <c r="CD368" s="55"/>
      <c r="CE368" s="2"/>
      <c r="CF368" s="2">
        <v>10</v>
      </c>
      <c r="CG368" s="2">
        <v>10</v>
      </c>
      <c r="CH368" s="2">
        <v>10</v>
      </c>
      <c r="CI368" s="2">
        <v>10</v>
      </c>
      <c r="CJ368" s="2">
        <v>10</v>
      </c>
      <c r="CK368" s="2">
        <v>10</v>
      </c>
      <c r="CL368" s="2">
        <v>10</v>
      </c>
      <c r="CM368" s="2">
        <v>10</v>
      </c>
      <c r="CN368" s="2">
        <v>10</v>
      </c>
      <c r="CO368" s="2">
        <v>10</v>
      </c>
      <c r="CP368" s="2" t="e">
        <f t="shared" ca="1" si="131"/>
        <v>#NAME?</v>
      </c>
      <c r="CQ368" s="2">
        <v>10</v>
      </c>
      <c r="CR368" s="2">
        <v>10</v>
      </c>
      <c r="CS368" s="2">
        <v>10</v>
      </c>
      <c r="CT368" s="2">
        <v>10</v>
      </c>
      <c r="CU368" s="2">
        <v>10</v>
      </c>
      <c r="CV368" s="54">
        <f t="shared" si="116"/>
        <v>10</v>
      </c>
      <c r="CW368" s="55"/>
      <c r="CX368" s="3"/>
    </row>
    <row r="369" spans="1:102" ht="16.5" x14ac:dyDescent="0.55000000000000004">
      <c r="A369" s="17">
        <v>2</v>
      </c>
      <c r="B369" s="17" t="s">
        <v>7</v>
      </c>
      <c r="C369" s="23" t="s">
        <v>779</v>
      </c>
      <c r="D369" s="24" t="s">
        <v>780</v>
      </c>
      <c r="E369" s="48">
        <v>3</v>
      </c>
      <c r="F369" s="2">
        <v>3</v>
      </c>
      <c r="G369" s="2">
        <v>10</v>
      </c>
      <c r="H369" s="2">
        <v>7</v>
      </c>
      <c r="I369" s="2">
        <v>5</v>
      </c>
      <c r="J369" s="2">
        <v>7</v>
      </c>
      <c r="K369" s="2">
        <v>7</v>
      </c>
      <c r="L369" s="2"/>
      <c r="M369" s="2"/>
      <c r="N369" s="2"/>
      <c r="O369" s="2"/>
      <c r="P369" s="2"/>
      <c r="Q369" s="2" t="e">
        <f t="shared" ca="1" si="127"/>
        <v>#NAME?</v>
      </c>
      <c r="R369" s="2">
        <v>10</v>
      </c>
      <c r="S369" s="2">
        <v>10</v>
      </c>
      <c r="T369" s="2">
        <v>10</v>
      </c>
      <c r="U369" s="2">
        <v>10</v>
      </c>
      <c r="V369" s="2">
        <v>10</v>
      </c>
      <c r="W369" s="54">
        <f t="shared" si="113"/>
        <v>10</v>
      </c>
      <c r="X369" s="48">
        <v>10</v>
      </c>
      <c r="Y369" s="48">
        <v>10</v>
      </c>
      <c r="Z369" s="2"/>
      <c r="AA369" s="50">
        <v>10</v>
      </c>
      <c r="AB369" s="50">
        <v>10</v>
      </c>
      <c r="AC369" s="50">
        <v>7</v>
      </c>
      <c r="AD369" s="50">
        <v>7</v>
      </c>
      <c r="AE369" s="50">
        <v>7</v>
      </c>
      <c r="AF369" s="50">
        <v>7</v>
      </c>
      <c r="AG369" s="50">
        <v>10</v>
      </c>
      <c r="AH369" s="50">
        <v>10</v>
      </c>
      <c r="AI369" s="50">
        <v>10</v>
      </c>
      <c r="AJ369" s="50">
        <v>10</v>
      </c>
      <c r="AK369" s="50">
        <v>7</v>
      </c>
      <c r="AL369" s="50">
        <v>7</v>
      </c>
      <c r="AM369" s="50">
        <v>10</v>
      </c>
      <c r="AN369" s="50">
        <v>10</v>
      </c>
      <c r="AO369" s="50">
        <v>10</v>
      </c>
      <c r="AP369" s="50">
        <v>10</v>
      </c>
      <c r="AQ369" s="2" t="e">
        <f t="shared" ca="1" si="128"/>
        <v>#NAME?</v>
      </c>
      <c r="AR369" s="50">
        <v>10</v>
      </c>
      <c r="AS369" s="50">
        <v>10</v>
      </c>
      <c r="AT369" s="50">
        <v>10</v>
      </c>
      <c r="AU369" s="50">
        <v>10</v>
      </c>
      <c r="AV369" s="50">
        <v>10</v>
      </c>
      <c r="AW369" s="54">
        <f t="shared" si="114"/>
        <v>10</v>
      </c>
      <c r="AX369" s="48">
        <v>8</v>
      </c>
      <c r="AY369" s="2">
        <v>8</v>
      </c>
      <c r="AZ369" s="5">
        <v>10</v>
      </c>
      <c r="BA369" s="5">
        <v>10</v>
      </c>
      <c r="BB369" s="5">
        <v>9</v>
      </c>
      <c r="BC369" s="5">
        <v>10</v>
      </c>
      <c r="BD369" s="5">
        <v>10</v>
      </c>
      <c r="BE369" s="5">
        <v>10</v>
      </c>
      <c r="BF369" s="5">
        <v>10</v>
      </c>
      <c r="BG369" s="5">
        <v>10</v>
      </c>
      <c r="BH369" s="5">
        <v>10</v>
      </c>
      <c r="BI369" s="5">
        <v>10</v>
      </c>
      <c r="BJ369" s="2" t="e">
        <f t="shared" ca="1" si="129"/>
        <v>#NAME?</v>
      </c>
      <c r="BK369" s="5">
        <v>10</v>
      </c>
      <c r="BL369" s="5">
        <v>10</v>
      </c>
      <c r="BM369" s="5">
        <v>10</v>
      </c>
      <c r="BN369" s="5">
        <v>10</v>
      </c>
      <c r="BO369" s="5">
        <v>10</v>
      </c>
      <c r="BP369" s="54">
        <f t="shared" si="115"/>
        <v>10</v>
      </c>
      <c r="BQ369" s="5"/>
      <c r="BR369" s="5"/>
      <c r="BS369" s="6">
        <v>10</v>
      </c>
      <c r="BT369" s="6">
        <v>10</v>
      </c>
      <c r="BU369" s="6">
        <v>10</v>
      </c>
      <c r="BV369" s="6">
        <v>10</v>
      </c>
      <c r="BW369" s="6">
        <v>10</v>
      </c>
      <c r="BX369" s="6">
        <v>10</v>
      </c>
      <c r="BY369" s="6">
        <v>10</v>
      </c>
      <c r="BZ369" s="6">
        <v>10</v>
      </c>
      <c r="CA369" s="6">
        <v>10</v>
      </c>
      <c r="CB369" s="6">
        <v>10</v>
      </c>
      <c r="CC369" s="2" t="e">
        <f t="shared" ca="1" si="130"/>
        <v>#NAME?</v>
      </c>
      <c r="CD369" s="55"/>
      <c r="CE369" s="2"/>
      <c r="CF369" s="2">
        <v>10</v>
      </c>
      <c r="CG369" s="2">
        <v>10</v>
      </c>
      <c r="CH369" s="2">
        <v>10</v>
      </c>
      <c r="CI369" s="2">
        <v>10</v>
      </c>
      <c r="CJ369" s="2">
        <v>10</v>
      </c>
      <c r="CK369" s="2">
        <v>10</v>
      </c>
      <c r="CL369" s="2">
        <v>10</v>
      </c>
      <c r="CM369" s="2">
        <v>10</v>
      </c>
      <c r="CN369" s="2">
        <v>10</v>
      </c>
      <c r="CO369" s="2">
        <v>10</v>
      </c>
      <c r="CP369" s="2" t="e">
        <f t="shared" ca="1" si="131"/>
        <v>#NAME?</v>
      </c>
      <c r="CQ369" s="2">
        <v>10</v>
      </c>
      <c r="CR369" s="2">
        <v>10</v>
      </c>
      <c r="CS369" s="2">
        <v>10</v>
      </c>
      <c r="CT369" s="2">
        <v>10</v>
      </c>
      <c r="CU369" s="2">
        <v>10</v>
      </c>
      <c r="CV369" s="54">
        <f t="shared" si="116"/>
        <v>10</v>
      </c>
      <c r="CW369" s="55"/>
      <c r="CX369" s="3"/>
    </row>
    <row r="370" spans="1:102" ht="16.5" x14ac:dyDescent="0.55000000000000004">
      <c r="A370" s="17">
        <v>2</v>
      </c>
      <c r="B370" s="17" t="s">
        <v>7</v>
      </c>
      <c r="C370" s="23" t="s">
        <v>781</v>
      </c>
      <c r="D370" s="24" t="s">
        <v>782</v>
      </c>
      <c r="E370" s="48"/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/>
      <c r="N370" s="2"/>
      <c r="O370" s="2"/>
      <c r="P370" s="2"/>
      <c r="Q370" s="2" t="e">
        <f t="shared" ca="1" si="127"/>
        <v>#NAME?</v>
      </c>
      <c r="R370" s="2">
        <v>0</v>
      </c>
      <c r="S370" s="8">
        <v>0</v>
      </c>
      <c r="T370" s="8">
        <v>0</v>
      </c>
      <c r="U370" s="2">
        <v>0</v>
      </c>
      <c r="V370" s="2">
        <v>0</v>
      </c>
      <c r="W370" s="54">
        <f t="shared" si="113"/>
        <v>0</v>
      </c>
      <c r="X370" s="48">
        <v>0</v>
      </c>
      <c r="Y370" s="48">
        <v>0</v>
      </c>
      <c r="Z370" s="2"/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 t="e">
        <f t="shared" ca="1" si="128"/>
        <v>#NAME?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54">
        <f t="shared" si="114"/>
        <v>0</v>
      </c>
      <c r="AX370" s="48">
        <v>6</v>
      </c>
      <c r="AY370" s="2">
        <v>5</v>
      </c>
      <c r="AZ370" s="2">
        <v>6</v>
      </c>
      <c r="BA370" s="2">
        <v>6</v>
      </c>
      <c r="BB370" s="2">
        <v>6</v>
      </c>
      <c r="BC370" s="2">
        <v>6</v>
      </c>
      <c r="BD370" s="2">
        <v>6</v>
      </c>
      <c r="BE370" s="2">
        <v>6</v>
      </c>
      <c r="BF370" s="2">
        <v>6</v>
      </c>
      <c r="BG370" s="2">
        <v>6</v>
      </c>
      <c r="BH370" s="2">
        <v>6</v>
      </c>
      <c r="BI370" s="57">
        <v>6</v>
      </c>
      <c r="BJ370" s="2" t="e">
        <f t="shared" ca="1" si="129"/>
        <v>#NAME?</v>
      </c>
      <c r="BK370" s="5">
        <v>6</v>
      </c>
      <c r="BL370" s="5">
        <v>6</v>
      </c>
      <c r="BM370" s="5">
        <v>6</v>
      </c>
      <c r="BN370" s="5">
        <v>6</v>
      </c>
      <c r="BO370" s="5">
        <v>6</v>
      </c>
      <c r="BP370" s="54">
        <f t="shared" si="115"/>
        <v>6</v>
      </c>
      <c r="BQ370" s="5"/>
      <c r="BR370" s="5"/>
      <c r="BS370" s="6">
        <v>10</v>
      </c>
      <c r="BT370" s="6">
        <v>9</v>
      </c>
      <c r="BU370" s="6">
        <v>9</v>
      </c>
      <c r="BV370" s="6">
        <v>9</v>
      </c>
      <c r="BW370" s="6">
        <v>9</v>
      </c>
      <c r="BX370" s="6">
        <v>9</v>
      </c>
      <c r="BY370" s="6">
        <v>9</v>
      </c>
      <c r="BZ370" s="6">
        <v>10</v>
      </c>
      <c r="CA370" s="6">
        <v>10</v>
      </c>
      <c r="CB370" s="6">
        <v>10</v>
      </c>
      <c r="CC370" s="2" t="e">
        <f t="shared" ca="1" si="130"/>
        <v>#NAME?</v>
      </c>
      <c r="CD370" s="55"/>
      <c r="CE370" s="2"/>
      <c r="CF370" s="2">
        <v>6</v>
      </c>
      <c r="CG370" s="2">
        <v>6</v>
      </c>
      <c r="CH370" s="8">
        <v>6</v>
      </c>
      <c r="CI370" s="8">
        <v>6</v>
      </c>
      <c r="CJ370" s="2">
        <v>6</v>
      </c>
      <c r="CK370" s="2">
        <v>6</v>
      </c>
      <c r="CL370" s="2">
        <v>6</v>
      </c>
      <c r="CM370" s="2">
        <v>6</v>
      </c>
      <c r="CN370" s="2">
        <v>6</v>
      </c>
      <c r="CO370" s="2">
        <v>6</v>
      </c>
      <c r="CP370" s="2" t="e">
        <f t="shared" ca="1" si="131"/>
        <v>#NAME?</v>
      </c>
      <c r="CQ370" s="2">
        <v>6</v>
      </c>
      <c r="CR370" s="2">
        <v>6</v>
      </c>
      <c r="CS370" s="2">
        <v>6</v>
      </c>
      <c r="CT370" s="2">
        <v>6</v>
      </c>
      <c r="CU370" s="2">
        <v>6</v>
      </c>
      <c r="CV370" s="54">
        <f t="shared" si="116"/>
        <v>6</v>
      </c>
      <c r="CW370" s="55"/>
      <c r="CX370" s="3"/>
    </row>
    <row r="371" spans="1:102" ht="16.5" x14ac:dyDescent="0.55000000000000004">
      <c r="A371" s="17">
        <v>2</v>
      </c>
      <c r="B371" s="17" t="s">
        <v>7</v>
      </c>
      <c r="C371" s="23" t="s">
        <v>783</v>
      </c>
      <c r="D371" s="24" t="s">
        <v>784</v>
      </c>
      <c r="E371" s="48" t="s">
        <v>31</v>
      </c>
      <c r="F371" s="2" t="s">
        <v>31</v>
      </c>
      <c r="G371" s="2">
        <v>5</v>
      </c>
      <c r="H371" s="2">
        <v>5</v>
      </c>
      <c r="I371" s="2">
        <v>5</v>
      </c>
      <c r="J371" s="2">
        <v>5</v>
      </c>
      <c r="K371" s="2">
        <v>5</v>
      </c>
      <c r="L371" s="2"/>
      <c r="M371" s="2"/>
      <c r="N371" s="2"/>
      <c r="O371" s="2"/>
      <c r="P371" s="2"/>
      <c r="Q371" s="2" t="e">
        <f t="shared" ca="1" si="127"/>
        <v>#NAME?</v>
      </c>
      <c r="R371" s="2">
        <v>5</v>
      </c>
      <c r="S371" s="2">
        <v>5</v>
      </c>
      <c r="T371" s="2">
        <v>10</v>
      </c>
      <c r="U371" s="2">
        <v>10</v>
      </c>
      <c r="V371" s="2">
        <v>10</v>
      </c>
      <c r="W371" s="54">
        <f t="shared" si="113"/>
        <v>8</v>
      </c>
      <c r="X371" s="48">
        <v>8</v>
      </c>
      <c r="Y371" s="48">
        <v>8</v>
      </c>
      <c r="Z371" s="2"/>
      <c r="AA371" s="50">
        <v>10</v>
      </c>
      <c r="AB371" s="50">
        <v>10</v>
      </c>
      <c r="AC371" s="50">
        <v>7</v>
      </c>
      <c r="AD371" s="50">
        <v>7</v>
      </c>
      <c r="AE371" s="50">
        <v>7</v>
      </c>
      <c r="AF371" s="50">
        <v>7</v>
      </c>
      <c r="AG371" s="50">
        <v>10</v>
      </c>
      <c r="AH371" s="50">
        <v>10</v>
      </c>
      <c r="AI371" s="50">
        <v>10</v>
      </c>
      <c r="AJ371" s="50">
        <v>10</v>
      </c>
      <c r="AK371" s="50">
        <v>7</v>
      </c>
      <c r="AL371" s="50">
        <v>7</v>
      </c>
      <c r="AM371" s="50">
        <v>10</v>
      </c>
      <c r="AN371" s="50">
        <v>10</v>
      </c>
      <c r="AO371" s="50">
        <v>10</v>
      </c>
      <c r="AP371" s="50">
        <v>10</v>
      </c>
      <c r="AQ371" s="2" t="e">
        <f t="shared" ca="1" si="128"/>
        <v>#NAME?</v>
      </c>
      <c r="AR371" s="50">
        <v>10</v>
      </c>
      <c r="AS371" s="50">
        <v>10</v>
      </c>
      <c r="AT371" s="50">
        <v>7</v>
      </c>
      <c r="AU371" s="50">
        <v>10</v>
      </c>
      <c r="AV371" s="50">
        <v>10</v>
      </c>
      <c r="AW371" s="54">
        <f t="shared" si="114"/>
        <v>10</v>
      </c>
      <c r="AX371" s="48">
        <v>8</v>
      </c>
      <c r="AY371" s="2">
        <v>7</v>
      </c>
      <c r="AZ371" s="2">
        <v>9</v>
      </c>
      <c r="BA371" s="2">
        <v>9</v>
      </c>
      <c r="BB371" s="2">
        <v>9</v>
      </c>
      <c r="BC371" s="2">
        <v>9</v>
      </c>
      <c r="BD371" s="2">
        <v>10</v>
      </c>
      <c r="BE371" s="2">
        <v>10</v>
      </c>
      <c r="BF371" s="2">
        <v>10</v>
      </c>
      <c r="BG371" s="2">
        <v>10</v>
      </c>
      <c r="BH371" s="2">
        <v>10</v>
      </c>
      <c r="BI371" s="57">
        <v>10</v>
      </c>
      <c r="BJ371" s="2" t="e">
        <f t="shared" ca="1" si="129"/>
        <v>#NAME?</v>
      </c>
      <c r="BK371" s="5">
        <v>10</v>
      </c>
      <c r="BL371" s="5">
        <v>10</v>
      </c>
      <c r="BM371" s="5">
        <v>10</v>
      </c>
      <c r="BN371" s="5">
        <v>10</v>
      </c>
      <c r="BO371" s="5">
        <v>10</v>
      </c>
      <c r="BP371" s="54">
        <f t="shared" si="115"/>
        <v>10</v>
      </c>
      <c r="BQ371" s="5"/>
      <c r="BR371" s="5"/>
      <c r="BS371" s="6">
        <v>9</v>
      </c>
      <c r="BT371" s="6">
        <v>9</v>
      </c>
      <c r="BU371" s="6">
        <v>9</v>
      </c>
      <c r="BV371" s="6">
        <v>9</v>
      </c>
      <c r="BW371" s="6">
        <v>9</v>
      </c>
      <c r="BX371" s="6">
        <v>9</v>
      </c>
      <c r="BY371" s="6">
        <v>9</v>
      </c>
      <c r="BZ371" s="6">
        <v>10</v>
      </c>
      <c r="CA371" s="6">
        <v>10</v>
      </c>
      <c r="CB371" s="6">
        <v>10</v>
      </c>
      <c r="CC371" s="2" t="e">
        <f t="shared" ca="1" si="130"/>
        <v>#NAME?</v>
      </c>
      <c r="CD371" s="55"/>
      <c r="CE371" s="2"/>
      <c r="CF371" s="2">
        <v>10</v>
      </c>
      <c r="CG371" s="2">
        <v>10</v>
      </c>
      <c r="CH371" s="8">
        <v>10</v>
      </c>
      <c r="CI371" s="8">
        <v>10</v>
      </c>
      <c r="CJ371" s="2">
        <v>10</v>
      </c>
      <c r="CK371" s="2">
        <v>10</v>
      </c>
      <c r="CL371" s="2">
        <v>10</v>
      </c>
      <c r="CM371" s="2">
        <v>10</v>
      </c>
      <c r="CN371" s="2">
        <v>10</v>
      </c>
      <c r="CO371" s="2">
        <v>10</v>
      </c>
      <c r="CP371" s="2" t="e">
        <f t="shared" ca="1" si="131"/>
        <v>#NAME?</v>
      </c>
      <c r="CQ371" s="2">
        <v>10</v>
      </c>
      <c r="CR371" s="2">
        <v>10</v>
      </c>
      <c r="CS371" s="2">
        <v>10</v>
      </c>
      <c r="CT371" s="2">
        <v>10</v>
      </c>
      <c r="CU371" s="2">
        <v>10</v>
      </c>
      <c r="CV371" s="54">
        <f t="shared" si="116"/>
        <v>10</v>
      </c>
      <c r="CW371" s="55"/>
      <c r="CX371" s="3"/>
    </row>
    <row r="372" spans="1:102" ht="16.5" x14ac:dyDescent="0.55000000000000004">
      <c r="A372" s="17">
        <v>2</v>
      </c>
      <c r="B372" s="17" t="s">
        <v>7</v>
      </c>
      <c r="C372" s="23" t="s">
        <v>785</v>
      </c>
      <c r="D372" s="24" t="s">
        <v>786</v>
      </c>
      <c r="E372" s="48">
        <v>0</v>
      </c>
      <c r="F372" s="2">
        <v>0</v>
      </c>
      <c r="G372" s="2">
        <v>10</v>
      </c>
      <c r="H372" s="2">
        <v>9</v>
      </c>
      <c r="I372" s="2">
        <v>10</v>
      </c>
      <c r="J372" s="2">
        <v>10</v>
      </c>
      <c r="K372" s="2">
        <v>10</v>
      </c>
      <c r="L372" s="2"/>
      <c r="M372" s="2"/>
      <c r="N372" s="2"/>
      <c r="O372" s="2"/>
      <c r="P372" s="2"/>
      <c r="Q372" s="2" t="e">
        <f t="shared" ca="1" si="127"/>
        <v>#NAME?</v>
      </c>
      <c r="R372" s="2">
        <v>10</v>
      </c>
      <c r="S372" s="2">
        <v>10</v>
      </c>
      <c r="T372" s="2">
        <v>10</v>
      </c>
      <c r="U372" s="2">
        <v>10</v>
      </c>
      <c r="V372" s="2">
        <v>10</v>
      </c>
      <c r="W372" s="54">
        <f t="shared" si="113"/>
        <v>10</v>
      </c>
      <c r="X372" s="48">
        <v>0</v>
      </c>
      <c r="Y372" s="48">
        <v>0</v>
      </c>
      <c r="Z372" s="2"/>
      <c r="AA372" s="50">
        <v>10</v>
      </c>
      <c r="AB372" s="50">
        <v>10</v>
      </c>
      <c r="AC372" s="50">
        <v>9</v>
      </c>
      <c r="AD372" s="50">
        <v>9</v>
      </c>
      <c r="AE372" s="50">
        <v>9</v>
      </c>
      <c r="AF372" s="50">
        <v>9</v>
      </c>
      <c r="AG372" s="50">
        <v>10</v>
      </c>
      <c r="AH372" s="50">
        <v>10</v>
      </c>
      <c r="AI372" s="50">
        <v>10</v>
      </c>
      <c r="AJ372" s="50">
        <v>10</v>
      </c>
      <c r="AK372" s="50">
        <v>9</v>
      </c>
      <c r="AL372" s="50">
        <v>9</v>
      </c>
      <c r="AM372" s="50">
        <v>10</v>
      </c>
      <c r="AN372" s="50">
        <v>10</v>
      </c>
      <c r="AO372" s="50">
        <v>10</v>
      </c>
      <c r="AP372" s="50">
        <v>10</v>
      </c>
      <c r="AQ372" s="2" t="e">
        <f t="shared" ca="1" si="128"/>
        <v>#NAME?</v>
      </c>
      <c r="AR372" s="2">
        <v>10</v>
      </c>
      <c r="AS372" s="2">
        <v>10</v>
      </c>
      <c r="AT372" s="2">
        <v>10</v>
      </c>
      <c r="AU372" s="2">
        <v>10</v>
      </c>
      <c r="AV372" s="2">
        <v>10</v>
      </c>
      <c r="AW372" s="54">
        <f t="shared" si="114"/>
        <v>10</v>
      </c>
      <c r="AX372" s="48">
        <v>8</v>
      </c>
      <c r="AY372" s="2">
        <v>7</v>
      </c>
      <c r="AZ372" s="2">
        <v>10</v>
      </c>
      <c r="BA372" s="2">
        <v>10</v>
      </c>
      <c r="BB372" s="2">
        <v>10</v>
      </c>
      <c r="BC372" s="2">
        <v>10</v>
      </c>
      <c r="BD372" s="2">
        <v>10</v>
      </c>
      <c r="BE372" s="2">
        <v>10</v>
      </c>
      <c r="BF372" s="2">
        <v>10</v>
      </c>
      <c r="BG372" s="2">
        <v>10</v>
      </c>
      <c r="BH372" s="2">
        <v>10</v>
      </c>
      <c r="BI372" s="57">
        <v>10</v>
      </c>
      <c r="BJ372" s="2" t="e">
        <f t="shared" ca="1" si="129"/>
        <v>#NAME?</v>
      </c>
      <c r="BK372" s="5">
        <v>10</v>
      </c>
      <c r="BL372" s="5">
        <v>10</v>
      </c>
      <c r="BM372" s="5">
        <v>10</v>
      </c>
      <c r="BN372" s="5">
        <v>10</v>
      </c>
      <c r="BO372" s="5">
        <v>10</v>
      </c>
      <c r="BP372" s="54">
        <f t="shared" si="115"/>
        <v>10</v>
      </c>
      <c r="BQ372" s="5"/>
      <c r="BR372" s="5"/>
      <c r="BS372" s="6">
        <v>10</v>
      </c>
      <c r="BT372" s="6">
        <v>10</v>
      </c>
      <c r="BU372" s="6">
        <v>10</v>
      </c>
      <c r="BV372" s="6">
        <v>10</v>
      </c>
      <c r="BW372" s="6">
        <v>10</v>
      </c>
      <c r="BX372" s="6">
        <v>10</v>
      </c>
      <c r="BY372" s="6">
        <v>10</v>
      </c>
      <c r="BZ372" s="6">
        <v>10</v>
      </c>
      <c r="CA372" s="6">
        <v>10</v>
      </c>
      <c r="CB372" s="6">
        <v>10</v>
      </c>
      <c r="CC372" s="2" t="e">
        <f t="shared" ca="1" si="130"/>
        <v>#NAME?</v>
      </c>
      <c r="CD372" s="55"/>
      <c r="CE372" s="2"/>
      <c r="CF372" s="2">
        <v>10</v>
      </c>
      <c r="CG372" s="2">
        <v>10</v>
      </c>
      <c r="CH372" s="2">
        <v>10</v>
      </c>
      <c r="CI372" s="2">
        <v>10</v>
      </c>
      <c r="CJ372" s="2">
        <v>10</v>
      </c>
      <c r="CK372" s="2">
        <v>10</v>
      </c>
      <c r="CL372" s="2">
        <v>10</v>
      </c>
      <c r="CM372" s="2">
        <v>10</v>
      </c>
      <c r="CN372" s="2">
        <v>10</v>
      </c>
      <c r="CO372" s="2">
        <v>10</v>
      </c>
      <c r="CP372" s="2" t="e">
        <f t="shared" ca="1" si="131"/>
        <v>#NAME?</v>
      </c>
      <c r="CQ372" s="2">
        <v>10</v>
      </c>
      <c r="CR372" s="2">
        <v>10</v>
      </c>
      <c r="CS372" s="2">
        <v>10</v>
      </c>
      <c r="CT372" s="2">
        <v>7</v>
      </c>
      <c r="CU372" s="2">
        <v>7</v>
      </c>
      <c r="CV372" s="54">
        <f t="shared" si="116"/>
        <v>9</v>
      </c>
      <c r="CW372" s="55"/>
      <c r="CX372" s="3"/>
    </row>
    <row r="373" spans="1:102" ht="16.5" x14ac:dyDescent="0.55000000000000004">
      <c r="A373" s="17">
        <v>2</v>
      </c>
      <c r="B373" s="17" t="s">
        <v>7</v>
      </c>
      <c r="C373" s="23" t="s">
        <v>787</v>
      </c>
      <c r="D373" s="24" t="s">
        <v>788</v>
      </c>
      <c r="E373" s="48">
        <v>4</v>
      </c>
      <c r="F373" s="2">
        <v>4</v>
      </c>
      <c r="G373" s="2">
        <v>8</v>
      </c>
      <c r="H373" s="2">
        <v>8</v>
      </c>
      <c r="I373" s="2">
        <v>6</v>
      </c>
      <c r="J373" s="2">
        <v>7</v>
      </c>
      <c r="K373" s="2">
        <v>7</v>
      </c>
      <c r="L373" s="2"/>
      <c r="M373" s="2"/>
      <c r="N373" s="2"/>
      <c r="O373" s="2"/>
      <c r="P373" s="2"/>
      <c r="Q373" s="2" t="e">
        <f t="shared" ca="1" si="127"/>
        <v>#NAME?</v>
      </c>
      <c r="R373" s="2">
        <v>10</v>
      </c>
      <c r="S373" s="2">
        <v>10</v>
      </c>
      <c r="T373" s="2">
        <v>10</v>
      </c>
      <c r="U373" s="2">
        <v>10</v>
      </c>
      <c r="V373" s="2">
        <v>10</v>
      </c>
      <c r="W373" s="54">
        <f t="shared" si="113"/>
        <v>10</v>
      </c>
      <c r="X373" s="48">
        <v>9</v>
      </c>
      <c r="Y373" s="48">
        <v>9</v>
      </c>
      <c r="Z373" s="2"/>
      <c r="AA373" s="50">
        <v>10</v>
      </c>
      <c r="AB373" s="50">
        <v>10</v>
      </c>
      <c r="AC373" s="50">
        <v>10</v>
      </c>
      <c r="AD373" s="50">
        <v>10</v>
      </c>
      <c r="AE373" s="50">
        <v>10</v>
      </c>
      <c r="AF373" s="50">
        <v>10</v>
      </c>
      <c r="AG373" s="50">
        <v>10</v>
      </c>
      <c r="AH373" s="50">
        <v>10</v>
      </c>
      <c r="AI373" s="50">
        <v>10</v>
      </c>
      <c r="AJ373" s="50">
        <v>10</v>
      </c>
      <c r="AK373" s="50">
        <v>10</v>
      </c>
      <c r="AL373" s="50">
        <v>10</v>
      </c>
      <c r="AM373" s="50">
        <v>10</v>
      </c>
      <c r="AN373" s="50">
        <v>10</v>
      </c>
      <c r="AO373" s="50">
        <v>10</v>
      </c>
      <c r="AP373" s="50">
        <v>10</v>
      </c>
      <c r="AQ373" s="2" t="e">
        <f t="shared" ca="1" si="128"/>
        <v>#NAME?</v>
      </c>
      <c r="AR373" s="2">
        <v>10</v>
      </c>
      <c r="AS373" s="2">
        <v>10</v>
      </c>
      <c r="AT373" s="2">
        <v>10</v>
      </c>
      <c r="AU373" s="2">
        <v>10</v>
      </c>
      <c r="AV373" s="2">
        <v>10</v>
      </c>
      <c r="AW373" s="54">
        <f t="shared" si="114"/>
        <v>10</v>
      </c>
      <c r="AX373" s="48">
        <v>7</v>
      </c>
      <c r="AY373" s="2">
        <v>7</v>
      </c>
      <c r="AZ373" s="5">
        <v>10</v>
      </c>
      <c r="BA373" s="5">
        <v>10</v>
      </c>
      <c r="BB373" s="5">
        <v>10</v>
      </c>
      <c r="BC373" s="5">
        <v>10</v>
      </c>
      <c r="BD373" s="5">
        <v>10</v>
      </c>
      <c r="BE373" s="5">
        <v>10</v>
      </c>
      <c r="BF373" s="5">
        <v>9</v>
      </c>
      <c r="BG373" s="5">
        <v>10</v>
      </c>
      <c r="BH373" s="5">
        <v>10</v>
      </c>
      <c r="BI373" s="5">
        <v>10</v>
      </c>
      <c r="BJ373" s="2" t="e">
        <f t="shared" ca="1" si="129"/>
        <v>#NAME?</v>
      </c>
      <c r="BK373" s="5">
        <v>10</v>
      </c>
      <c r="BL373" s="5">
        <v>10</v>
      </c>
      <c r="BM373" s="5">
        <v>10</v>
      </c>
      <c r="BN373" s="5">
        <v>10</v>
      </c>
      <c r="BO373" s="5">
        <v>10</v>
      </c>
      <c r="BP373" s="54">
        <f t="shared" si="115"/>
        <v>10</v>
      </c>
      <c r="BQ373" s="5"/>
      <c r="BR373" s="5"/>
      <c r="BS373" s="6">
        <v>10</v>
      </c>
      <c r="BT373" s="6">
        <v>10</v>
      </c>
      <c r="BU373" s="6">
        <v>10</v>
      </c>
      <c r="BV373" s="6">
        <v>10</v>
      </c>
      <c r="BW373" s="6">
        <v>10</v>
      </c>
      <c r="BX373" s="6">
        <v>10</v>
      </c>
      <c r="BY373" s="6">
        <v>10</v>
      </c>
      <c r="BZ373" s="6">
        <v>10</v>
      </c>
      <c r="CA373" s="6">
        <v>10</v>
      </c>
      <c r="CB373" s="6">
        <v>10</v>
      </c>
      <c r="CC373" s="2" t="e">
        <f t="shared" ca="1" si="130"/>
        <v>#NAME?</v>
      </c>
      <c r="CD373" s="55"/>
      <c r="CE373" s="2"/>
      <c r="CF373" s="2">
        <v>10</v>
      </c>
      <c r="CG373" s="2">
        <v>10</v>
      </c>
      <c r="CH373" s="2">
        <v>10</v>
      </c>
      <c r="CI373" s="2">
        <v>10</v>
      </c>
      <c r="CJ373" s="2">
        <v>10</v>
      </c>
      <c r="CK373" s="2">
        <v>10</v>
      </c>
      <c r="CL373" s="2">
        <v>10</v>
      </c>
      <c r="CM373" s="2">
        <v>10</v>
      </c>
      <c r="CN373" s="2">
        <v>10</v>
      </c>
      <c r="CO373" s="2">
        <v>10</v>
      </c>
      <c r="CP373" s="2" t="e">
        <f t="shared" ca="1" si="131"/>
        <v>#NAME?</v>
      </c>
      <c r="CQ373" s="2">
        <v>10</v>
      </c>
      <c r="CR373" s="2">
        <v>10</v>
      </c>
      <c r="CS373" s="2">
        <v>10</v>
      </c>
      <c r="CT373" s="2">
        <v>10</v>
      </c>
      <c r="CU373" s="2">
        <v>10</v>
      </c>
      <c r="CV373" s="54">
        <f t="shared" si="116"/>
        <v>10</v>
      </c>
      <c r="CW373" s="55"/>
      <c r="CX373" s="3"/>
    </row>
    <row r="374" spans="1:102" ht="16.5" x14ac:dyDescent="0.55000000000000004">
      <c r="A374" s="17">
        <v>2</v>
      </c>
      <c r="B374" s="17" t="s">
        <v>7</v>
      </c>
      <c r="C374" s="23" t="s">
        <v>789</v>
      </c>
      <c r="D374" s="24" t="s">
        <v>790</v>
      </c>
      <c r="E374" s="48">
        <v>0</v>
      </c>
      <c r="F374" s="2">
        <v>0</v>
      </c>
      <c r="G374" s="2">
        <v>5</v>
      </c>
      <c r="H374" s="2">
        <v>5</v>
      </c>
      <c r="I374" s="2">
        <v>5</v>
      </c>
      <c r="J374" s="2">
        <v>8</v>
      </c>
      <c r="K374" s="2">
        <v>8</v>
      </c>
      <c r="L374" s="2"/>
      <c r="M374" s="2"/>
      <c r="N374" s="2"/>
      <c r="O374" s="2"/>
      <c r="P374" s="2"/>
      <c r="Q374" s="2" t="e">
        <f t="shared" ca="1" si="127"/>
        <v>#NAME?</v>
      </c>
      <c r="R374" s="2">
        <v>5</v>
      </c>
      <c r="S374" s="2">
        <v>5</v>
      </c>
      <c r="T374" s="2">
        <v>10</v>
      </c>
      <c r="U374" s="2">
        <v>10</v>
      </c>
      <c r="V374" s="2">
        <v>10</v>
      </c>
      <c r="W374" s="54">
        <f t="shared" si="113"/>
        <v>8</v>
      </c>
      <c r="X374" s="2">
        <v>9</v>
      </c>
      <c r="Y374" s="2">
        <v>9</v>
      </c>
      <c r="Z374" s="2"/>
      <c r="AA374" s="50">
        <v>10</v>
      </c>
      <c r="AB374" s="50">
        <v>10</v>
      </c>
      <c r="AC374" s="50">
        <v>10</v>
      </c>
      <c r="AD374" s="50">
        <v>10</v>
      </c>
      <c r="AE374" s="50">
        <v>10</v>
      </c>
      <c r="AF374" s="50">
        <v>10</v>
      </c>
      <c r="AG374" s="50">
        <v>10</v>
      </c>
      <c r="AH374" s="50">
        <v>10</v>
      </c>
      <c r="AI374" s="50">
        <v>10</v>
      </c>
      <c r="AJ374" s="50">
        <v>10</v>
      </c>
      <c r="AK374" s="50">
        <v>10</v>
      </c>
      <c r="AL374" s="50">
        <v>10</v>
      </c>
      <c r="AM374" s="50">
        <v>10</v>
      </c>
      <c r="AN374" s="50">
        <v>10</v>
      </c>
      <c r="AO374" s="50">
        <v>10</v>
      </c>
      <c r="AP374" s="50">
        <v>10</v>
      </c>
      <c r="AQ374" s="2" t="e">
        <f t="shared" ca="1" si="128"/>
        <v>#NAME?</v>
      </c>
      <c r="AR374" s="2">
        <v>10</v>
      </c>
      <c r="AS374" s="2">
        <v>10</v>
      </c>
      <c r="AT374" s="2">
        <v>10</v>
      </c>
      <c r="AU374" s="2">
        <v>10</v>
      </c>
      <c r="AV374" s="2">
        <v>10</v>
      </c>
      <c r="AW374" s="54">
        <f t="shared" si="114"/>
        <v>10</v>
      </c>
      <c r="AX374" s="48">
        <v>5</v>
      </c>
      <c r="AY374" s="2">
        <v>6</v>
      </c>
      <c r="AZ374" s="5">
        <v>10</v>
      </c>
      <c r="BA374" s="5">
        <v>10</v>
      </c>
      <c r="BB374" s="5">
        <v>10</v>
      </c>
      <c r="BC374" s="5">
        <v>9</v>
      </c>
      <c r="BD374" s="5">
        <v>9</v>
      </c>
      <c r="BE374" s="5">
        <v>10</v>
      </c>
      <c r="BF374" s="5">
        <v>10</v>
      </c>
      <c r="BG374" s="5">
        <v>10</v>
      </c>
      <c r="BH374" s="5">
        <v>10</v>
      </c>
      <c r="BI374" s="5">
        <v>10</v>
      </c>
      <c r="BJ374" s="2" t="e">
        <f t="shared" ca="1" si="129"/>
        <v>#NAME?</v>
      </c>
      <c r="BK374" s="5">
        <v>10</v>
      </c>
      <c r="BL374" s="5">
        <v>10</v>
      </c>
      <c r="BM374" s="5">
        <v>10</v>
      </c>
      <c r="BN374" s="5">
        <v>10</v>
      </c>
      <c r="BO374" s="5">
        <v>10</v>
      </c>
      <c r="BP374" s="54">
        <f t="shared" si="115"/>
        <v>10</v>
      </c>
      <c r="BQ374" s="5"/>
      <c r="BR374" s="5"/>
      <c r="BS374" s="6">
        <v>10</v>
      </c>
      <c r="BT374" s="6">
        <v>10</v>
      </c>
      <c r="BU374" s="6">
        <v>10</v>
      </c>
      <c r="BV374" s="6">
        <v>10</v>
      </c>
      <c r="BW374" s="6">
        <v>8</v>
      </c>
      <c r="BX374" s="6">
        <v>9</v>
      </c>
      <c r="BY374" s="6">
        <v>10</v>
      </c>
      <c r="BZ374" s="6">
        <v>10</v>
      </c>
      <c r="CA374" s="6">
        <v>10</v>
      </c>
      <c r="CB374" s="6">
        <v>10</v>
      </c>
      <c r="CC374" s="2" t="e">
        <f t="shared" ca="1" si="130"/>
        <v>#NAME?</v>
      </c>
      <c r="CD374" s="55"/>
      <c r="CE374" s="2"/>
      <c r="CF374" s="2">
        <v>10</v>
      </c>
      <c r="CG374" s="2">
        <v>10</v>
      </c>
      <c r="CH374" s="2">
        <v>10</v>
      </c>
      <c r="CI374" s="2">
        <v>10</v>
      </c>
      <c r="CJ374" s="2">
        <v>10</v>
      </c>
      <c r="CK374" s="2">
        <v>10</v>
      </c>
      <c r="CL374" s="2">
        <v>10</v>
      </c>
      <c r="CM374" s="2">
        <v>10</v>
      </c>
      <c r="CN374" s="2">
        <v>10</v>
      </c>
      <c r="CO374" s="2">
        <v>10</v>
      </c>
      <c r="CP374" s="2" t="e">
        <f t="shared" ca="1" si="131"/>
        <v>#NAME?</v>
      </c>
      <c r="CQ374" s="2">
        <v>10</v>
      </c>
      <c r="CR374" s="2">
        <v>10</v>
      </c>
      <c r="CS374" s="2">
        <v>10</v>
      </c>
      <c r="CT374" s="2">
        <v>10</v>
      </c>
      <c r="CU374" s="2">
        <v>10</v>
      </c>
      <c r="CV374" s="54">
        <f t="shared" si="116"/>
        <v>10</v>
      </c>
      <c r="CW374" s="55"/>
      <c r="CX374" s="3"/>
    </row>
    <row r="375" spans="1:102" ht="16.5" x14ac:dyDescent="0.55000000000000004">
      <c r="A375" s="17">
        <v>2</v>
      </c>
      <c r="B375" s="17" t="s">
        <v>7</v>
      </c>
      <c r="C375" s="23" t="s">
        <v>791</v>
      </c>
      <c r="D375" s="24" t="s">
        <v>792</v>
      </c>
      <c r="E375" s="48">
        <v>2</v>
      </c>
      <c r="F375" s="2">
        <v>2</v>
      </c>
      <c r="G375" s="2">
        <v>5</v>
      </c>
      <c r="H375" s="2">
        <v>5</v>
      </c>
      <c r="I375" s="2">
        <v>5</v>
      </c>
      <c r="J375" s="2">
        <v>5</v>
      </c>
      <c r="K375" s="2">
        <v>5</v>
      </c>
      <c r="L375" s="2"/>
      <c r="M375" s="2"/>
      <c r="N375" s="2"/>
      <c r="O375" s="2"/>
      <c r="P375" s="2"/>
      <c r="Q375" s="2" t="e">
        <f t="shared" ca="1" si="127"/>
        <v>#NAME?</v>
      </c>
      <c r="R375" s="2">
        <v>5</v>
      </c>
      <c r="S375" s="2">
        <v>5</v>
      </c>
      <c r="T375" s="2">
        <v>5</v>
      </c>
      <c r="U375" s="2">
        <v>5</v>
      </c>
      <c r="V375" s="2">
        <v>5</v>
      </c>
      <c r="W375" s="54">
        <f t="shared" si="113"/>
        <v>5</v>
      </c>
      <c r="X375" s="48">
        <v>0</v>
      </c>
      <c r="Y375" s="48">
        <v>0</v>
      </c>
      <c r="Z375" s="2"/>
      <c r="AA375" s="50">
        <v>10</v>
      </c>
      <c r="AB375" s="50">
        <v>10</v>
      </c>
      <c r="AC375" s="50">
        <v>9</v>
      </c>
      <c r="AD375" s="50">
        <v>9</v>
      </c>
      <c r="AE375" s="50">
        <v>9</v>
      </c>
      <c r="AF375" s="50">
        <v>9</v>
      </c>
      <c r="AG375" s="50">
        <v>10</v>
      </c>
      <c r="AH375" s="50">
        <v>10</v>
      </c>
      <c r="AI375" s="50">
        <v>10</v>
      </c>
      <c r="AJ375" s="50">
        <v>10</v>
      </c>
      <c r="AK375" s="50">
        <v>9</v>
      </c>
      <c r="AL375" s="50">
        <v>9</v>
      </c>
      <c r="AM375" s="50">
        <v>10</v>
      </c>
      <c r="AN375" s="50">
        <v>10</v>
      </c>
      <c r="AO375" s="50">
        <v>10</v>
      </c>
      <c r="AP375" s="50">
        <v>10</v>
      </c>
      <c r="AQ375" s="2" t="e">
        <f t="shared" ca="1" si="128"/>
        <v>#NAME?</v>
      </c>
      <c r="AR375" s="50">
        <v>9</v>
      </c>
      <c r="AS375" s="50">
        <v>10</v>
      </c>
      <c r="AT375" s="50">
        <v>10</v>
      </c>
      <c r="AU375" s="50">
        <v>10</v>
      </c>
      <c r="AV375" s="50">
        <v>10</v>
      </c>
      <c r="AW375" s="54">
        <f t="shared" si="114"/>
        <v>10</v>
      </c>
      <c r="AX375" s="48">
        <v>8</v>
      </c>
      <c r="AY375" s="2">
        <v>7</v>
      </c>
      <c r="AZ375" s="2">
        <v>10</v>
      </c>
      <c r="BA375" s="2">
        <v>10</v>
      </c>
      <c r="BB375" s="2">
        <v>10</v>
      </c>
      <c r="BC375" s="2">
        <v>9</v>
      </c>
      <c r="BD375" s="2">
        <v>9</v>
      </c>
      <c r="BE375" s="2">
        <v>9</v>
      </c>
      <c r="BF375" s="2">
        <v>9</v>
      </c>
      <c r="BG375" s="2">
        <v>9</v>
      </c>
      <c r="BH375" s="2">
        <v>9</v>
      </c>
      <c r="BI375" s="57">
        <v>10</v>
      </c>
      <c r="BJ375" s="2" t="e">
        <f t="shared" ca="1" si="129"/>
        <v>#NAME?</v>
      </c>
      <c r="BK375" s="5">
        <v>9</v>
      </c>
      <c r="BL375" s="5">
        <v>9</v>
      </c>
      <c r="BM375" s="5">
        <v>9</v>
      </c>
      <c r="BN375" s="5">
        <v>9</v>
      </c>
      <c r="BO375" s="5">
        <v>9</v>
      </c>
      <c r="BP375" s="54">
        <f t="shared" si="115"/>
        <v>9</v>
      </c>
      <c r="BQ375" s="5"/>
      <c r="BR375" s="5"/>
      <c r="BS375" s="6">
        <v>10</v>
      </c>
      <c r="BT375" s="6">
        <v>10</v>
      </c>
      <c r="BU375" s="6">
        <v>10</v>
      </c>
      <c r="BV375" s="6">
        <v>10</v>
      </c>
      <c r="BW375" s="6">
        <v>9</v>
      </c>
      <c r="BX375" s="6">
        <v>9</v>
      </c>
      <c r="BY375" s="6">
        <v>10</v>
      </c>
      <c r="BZ375" s="6">
        <v>10</v>
      </c>
      <c r="CA375" s="6">
        <v>10</v>
      </c>
      <c r="CB375" s="6">
        <v>10</v>
      </c>
      <c r="CC375" s="2" t="e">
        <f t="shared" ca="1" si="130"/>
        <v>#NAME?</v>
      </c>
      <c r="CD375" s="55"/>
      <c r="CE375" s="2"/>
      <c r="CF375" s="2">
        <v>10</v>
      </c>
      <c r="CG375" s="2">
        <v>10</v>
      </c>
      <c r="CH375" s="2">
        <v>10</v>
      </c>
      <c r="CI375" s="2">
        <v>10</v>
      </c>
      <c r="CJ375" s="2">
        <v>10</v>
      </c>
      <c r="CK375" s="2">
        <v>10</v>
      </c>
      <c r="CL375" s="2">
        <v>8</v>
      </c>
      <c r="CM375" s="2">
        <v>8</v>
      </c>
      <c r="CN375" s="2">
        <v>8</v>
      </c>
      <c r="CO375" s="2">
        <v>8</v>
      </c>
      <c r="CP375" s="2" t="e">
        <f t="shared" ca="1" si="131"/>
        <v>#NAME?</v>
      </c>
      <c r="CQ375" s="2">
        <v>10</v>
      </c>
      <c r="CR375" s="2">
        <v>10</v>
      </c>
      <c r="CS375" s="2">
        <v>10</v>
      </c>
      <c r="CT375" s="2">
        <v>10</v>
      </c>
      <c r="CU375" s="2">
        <v>10</v>
      </c>
      <c r="CV375" s="54">
        <f t="shared" si="116"/>
        <v>10</v>
      </c>
      <c r="CW375" s="55"/>
      <c r="CX375" s="3"/>
    </row>
    <row r="376" spans="1:102" ht="16.5" x14ac:dyDescent="0.55000000000000004">
      <c r="A376" s="17">
        <v>2</v>
      </c>
      <c r="B376" s="17" t="s">
        <v>7</v>
      </c>
      <c r="C376" s="23" t="s">
        <v>793</v>
      </c>
      <c r="D376" s="24" t="s">
        <v>794</v>
      </c>
      <c r="E376" s="48">
        <v>9</v>
      </c>
      <c r="F376" s="2">
        <v>9</v>
      </c>
      <c r="G376" s="2">
        <v>10</v>
      </c>
      <c r="H376" s="2">
        <v>10</v>
      </c>
      <c r="I376" s="2">
        <v>10</v>
      </c>
      <c r="J376" s="2">
        <v>10</v>
      </c>
      <c r="K376" s="2">
        <v>10</v>
      </c>
      <c r="L376" s="2"/>
      <c r="M376" s="2"/>
      <c r="N376" s="2"/>
      <c r="O376" s="2"/>
      <c r="P376" s="2"/>
      <c r="Q376" s="2" t="e">
        <f t="shared" ca="1" si="127"/>
        <v>#NAME?</v>
      </c>
      <c r="R376" s="2">
        <v>10</v>
      </c>
      <c r="S376" s="2">
        <v>10</v>
      </c>
      <c r="T376" s="2">
        <v>10</v>
      </c>
      <c r="U376" s="2">
        <v>10</v>
      </c>
      <c r="V376" s="2">
        <v>10</v>
      </c>
      <c r="W376" s="54">
        <f t="shared" si="113"/>
        <v>10</v>
      </c>
      <c r="X376" s="48">
        <v>9</v>
      </c>
      <c r="Y376" s="48">
        <v>9</v>
      </c>
      <c r="Z376" s="2"/>
      <c r="AA376" s="50">
        <v>10</v>
      </c>
      <c r="AB376" s="50">
        <v>10</v>
      </c>
      <c r="AC376" s="50">
        <v>10</v>
      </c>
      <c r="AD376" s="50">
        <v>10</v>
      </c>
      <c r="AE376" s="50">
        <v>10</v>
      </c>
      <c r="AF376" s="50">
        <v>10</v>
      </c>
      <c r="AG376" s="50">
        <v>10</v>
      </c>
      <c r="AH376" s="50">
        <v>10</v>
      </c>
      <c r="AI376" s="50">
        <v>10</v>
      </c>
      <c r="AJ376" s="50">
        <v>10</v>
      </c>
      <c r="AK376" s="50">
        <v>10</v>
      </c>
      <c r="AL376" s="50">
        <v>10</v>
      </c>
      <c r="AM376" s="50">
        <v>10</v>
      </c>
      <c r="AN376" s="50">
        <v>10</v>
      </c>
      <c r="AO376" s="50">
        <v>10</v>
      </c>
      <c r="AP376" s="50">
        <v>10</v>
      </c>
      <c r="AQ376" s="2" t="e">
        <f t="shared" ca="1" si="128"/>
        <v>#NAME?</v>
      </c>
      <c r="AR376" s="50">
        <v>10</v>
      </c>
      <c r="AS376" s="50">
        <v>10</v>
      </c>
      <c r="AT376" s="50">
        <v>10</v>
      </c>
      <c r="AU376" s="50">
        <v>10</v>
      </c>
      <c r="AV376" s="49">
        <v>10</v>
      </c>
      <c r="AW376" s="54">
        <f t="shared" si="114"/>
        <v>10</v>
      </c>
      <c r="AX376" s="48">
        <v>8</v>
      </c>
      <c r="AY376" s="2">
        <v>9</v>
      </c>
      <c r="AZ376" s="5">
        <v>10</v>
      </c>
      <c r="BA376" s="5">
        <v>10</v>
      </c>
      <c r="BB376" s="5">
        <v>10</v>
      </c>
      <c r="BC376" s="5">
        <v>10</v>
      </c>
      <c r="BD376" s="5">
        <v>10</v>
      </c>
      <c r="BE376" s="5">
        <v>10</v>
      </c>
      <c r="BF376" s="5">
        <v>10</v>
      </c>
      <c r="BG376" s="5">
        <v>10</v>
      </c>
      <c r="BH376" s="5">
        <v>10</v>
      </c>
      <c r="BI376" s="5">
        <v>10</v>
      </c>
      <c r="BJ376" s="2" t="e">
        <f t="shared" ca="1" si="129"/>
        <v>#NAME?</v>
      </c>
      <c r="BK376" s="5">
        <v>10</v>
      </c>
      <c r="BL376" s="5">
        <v>10</v>
      </c>
      <c r="BM376" s="5">
        <v>10</v>
      </c>
      <c r="BN376" s="5">
        <v>10</v>
      </c>
      <c r="BO376" s="5">
        <v>10</v>
      </c>
      <c r="BP376" s="54">
        <f t="shared" si="115"/>
        <v>10</v>
      </c>
      <c r="BQ376" s="5"/>
      <c r="BR376" s="5"/>
      <c r="BS376" s="6">
        <v>10</v>
      </c>
      <c r="BT376" s="6">
        <v>10</v>
      </c>
      <c r="BU376" s="6">
        <v>10</v>
      </c>
      <c r="BV376" s="6">
        <v>10</v>
      </c>
      <c r="BW376" s="6">
        <v>10</v>
      </c>
      <c r="BX376" s="6">
        <v>10</v>
      </c>
      <c r="BY376" s="6">
        <v>10</v>
      </c>
      <c r="BZ376" s="6">
        <v>10</v>
      </c>
      <c r="CA376" s="6">
        <v>10</v>
      </c>
      <c r="CB376" s="6">
        <v>10</v>
      </c>
      <c r="CC376" s="2" t="e">
        <f t="shared" ca="1" si="130"/>
        <v>#NAME?</v>
      </c>
      <c r="CD376" s="55"/>
      <c r="CE376" s="2"/>
      <c r="CF376" s="2">
        <v>10</v>
      </c>
      <c r="CG376" s="2">
        <v>10</v>
      </c>
      <c r="CH376" s="2">
        <v>10</v>
      </c>
      <c r="CI376" s="2">
        <v>10</v>
      </c>
      <c r="CJ376" s="2">
        <v>10</v>
      </c>
      <c r="CK376" s="2">
        <v>10</v>
      </c>
      <c r="CL376" s="2">
        <v>10</v>
      </c>
      <c r="CM376" s="2">
        <v>10</v>
      </c>
      <c r="CN376" s="2">
        <v>10</v>
      </c>
      <c r="CO376" s="2">
        <v>10</v>
      </c>
      <c r="CP376" s="2" t="e">
        <f t="shared" ca="1" si="131"/>
        <v>#NAME?</v>
      </c>
      <c r="CQ376" s="2">
        <v>10</v>
      </c>
      <c r="CR376" s="2">
        <v>10</v>
      </c>
      <c r="CS376" s="2">
        <v>10</v>
      </c>
      <c r="CT376" s="2">
        <v>10</v>
      </c>
      <c r="CU376" s="2">
        <v>10</v>
      </c>
      <c r="CV376" s="54">
        <f t="shared" si="116"/>
        <v>10</v>
      </c>
      <c r="CW376" s="55"/>
      <c r="CX376" s="3"/>
    </row>
    <row r="377" spans="1:102" ht="16.5" x14ac:dyDescent="0.55000000000000004">
      <c r="A377" s="17">
        <v>2</v>
      </c>
      <c r="B377" s="17" t="s">
        <v>7</v>
      </c>
      <c r="C377" s="23" t="s">
        <v>795</v>
      </c>
      <c r="D377" s="24" t="s">
        <v>796</v>
      </c>
      <c r="E377" s="48">
        <v>5</v>
      </c>
      <c r="F377" s="2">
        <v>5</v>
      </c>
      <c r="G377" s="2">
        <v>10</v>
      </c>
      <c r="H377" s="2">
        <v>10</v>
      </c>
      <c r="I377" s="2">
        <v>10</v>
      </c>
      <c r="J377" s="2">
        <v>10</v>
      </c>
      <c r="K377" s="2">
        <v>10</v>
      </c>
      <c r="L377" s="2"/>
      <c r="M377" s="2"/>
      <c r="N377" s="2"/>
      <c r="O377" s="2"/>
      <c r="P377" s="2"/>
      <c r="Q377" s="2" t="e">
        <f t="shared" ca="1" si="127"/>
        <v>#NAME?</v>
      </c>
      <c r="R377" s="2">
        <v>10</v>
      </c>
      <c r="S377" s="2">
        <v>10</v>
      </c>
      <c r="T377" s="2">
        <v>10</v>
      </c>
      <c r="U377" s="2">
        <v>10</v>
      </c>
      <c r="V377" s="2">
        <v>10</v>
      </c>
      <c r="W377" s="54">
        <f t="shared" si="113"/>
        <v>10</v>
      </c>
      <c r="X377" s="48">
        <v>9</v>
      </c>
      <c r="Y377" s="48">
        <v>9</v>
      </c>
      <c r="Z377" s="2"/>
      <c r="AA377" s="50">
        <v>10</v>
      </c>
      <c r="AB377" s="50">
        <v>10</v>
      </c>
      <c r="AC377" s="50">
        <v>10</v>
      </c>
      <c r="AD377" s="50">
        <v>10</v>
      </c>
      <c r="AE377" s="50">
        <v>10</v>
      </c>
      <c r="AF377" s="50">
        <v>10</v>
      </c>
      <c r="AG377" s="50">
        <v>10</v>
      </c>
      <c r="AH377" s="50">
        <v>10</v>
      </c>
      <c r="AI377" s="50">
        <v>10</v>
      </c>
      <c r="AJ377" s="50">
        <v>10</v>
      </c>
      <c r="AK377" s="50">
        <v>10</v>
      </c>
      <c r="AL377" s="50">
        <v>10</v>
      </c>
      <c r="AM377" s="50">
        <v>10</v>
      </c>
      <c r="AN377" s="50">
        <v>10</v>
      </c>
      <c r="AO377" s="50">
        <v>10</v>
      </c>
      <c r="AP377" s="50">
        <v>10</v>
      </c>
      <c r="AQ377" s="2" t="e">
        <f t="shared" ca="1" si="128"/>
        <v>#NAME?</v>
      </c>
      <c r="AR377" s="50">
        <v>10</v>
      </c>
      <c r="AS377" s="50">
        <v>10</v>
      </c>
      <c r="AT377" s="50">
        <v>10</v>
      </c>
      <c r="AU377" s="50">
        <v>10</v>
      </c>
      <c r="AV377" s="50">
        <v>10</v>
      </c>
      <c r="AW377" s="54">
        <f t="shared" si="114"/>
        <v>10</v>
      </c>
      <c r="AX377" s="48">
        <v>9</v>
      </c>
      <c r="AY377" s="2">
        <v>9</v>
      </c>
      <c r="AZ377" s="5">
        <v>10</v>
      </c>
      <c r="BA377" s="5">
        <v>10</v>
      </c>
      <c r="BB377" s="5">
        <v>10</v>
      </c>
      <c r="BC377" s="5">
        <v>10</v>
      </c>
      <c r="BD377" s="5">
        <v>10</v>
      </c>
      <c r="BE377" s="5">
        <v>10</v>
      </c>
      <c r="BF377" s="5">
        <v>10</v>
      </c>
      <c r="BG377" s="5">
        <v>10</v>
      </c>
      <c r="BH377" s="5">
        <v>10</v>
      </c>
      <c r="BI377" s="5">
        <v>10</v>
      </c>
      <c r="BJ377" s="2" t="e">
        <f t="shared" ca="1" si="129"/>
        <v>#NAME?</v>
      </c>
      <c r="BK377" s="5">
        <v>10</v>
      </c>
      <c r="BL377" s="5">
        <v>10</v>
      </c>
      <c r="BM377" s="5">
        <v>10</v>
      </c>
      <c r="BN377" s="5">
        <v>10</v>
      </c>
      <c r="BO377" s="5">
        <v>10</v>
      </c>
      <c r="BP377" s="54">
        <f t="shared" si="115"/>
        <v>10</v>
      </c>
      <c r="BQ377" s="5"/>
      <c r="BR377" s="5"/>
      <c r="BS377" s="6">
        <v>10</v>
      </c>
      <c r="BT377" s="6">
        <v>10</v>
      </c>
      <c r="BU377" s="6">
        <v>10</v>
      </c>
      <c r="BV377" s="6">
        <v>10</v>
      </c>
      <c r="BW377" s="6">
        <v>10</v>
      </c>
      <c r="BX377" s="6">
        <v>10</v>
      </c>
      <c r="BY377" s="6">
        <v>10</v>
      </c>
      <c r="BZ377" s="6">
        <v>10</v>
      </c>
      <c r="CA377" s="6">
        <v>10</v>
      </c>
      <c r="CB377" s="6">
        <v>10</v>
      </c>
      <c r="CC377" s="2" t="e">
        <f t="shared" ca="1" si="130"/>
        <v>#NAME?</v>
      </c>
      <c r="CD377" s="55"/>
      <c r="CE377" s="2"/>
      <c r="CF377" s="2">
        <v>10</v>
      </c>
      <c r="CG377" s="2">
        <v>10</v>
      </c>
      <c r="CH377" s="2">
        <v>10</v>
      </c>
      <c r="CI377" s="2">
        <v>10</v>
      </c>
      <c r="CJ377" s="2">
        <v>10</v>
      </c>
      <c r="CK377" s="2">
        <v>10</v>
      </c>
      <c r="CL377" s="2">
        <v>10</v>
      </c>
      <c r="CM377" s="2">
        <v>10</v>
      </c>
      <c r="CN377" s="2">
        <v>10</v>
      </c>
      <c r="CO377" s="2">
        <v>10</v>
      </c>
      <c r="CP377" s="2" t="e">
        <f t="shared" ca="1" si="131"/>
        <v>#NAME?</v>
      </c>
      <c r="CQ377" s="2">
        <v>10</v>
      </c>
      <c r="CR377" s="2">
        <v>10</v>
      </c>
      <c r="CS377" s="2">
        <v>10</v>
      </c>
      <c r="CT377" s="2">
        <v>10</v>
      </c>
      <c r="CU377" s="2">
        <v>10</v>
      </c>
      <c r="CV377" s="54">
        <f t="shared" si="116"/>
        <v>10</v>
      </c>
      <c r="CW377" s="55"/>
      <c r="CX377" s="3"/>
    </row>
    <row r="378" spans="1:102" ht="16.5" x14ac:dyDescent="0.55000000000000004">
      <c r="A378" s="17">
        <v>2</v>
      </c>
      <c r="B378" s="17" t="s">
        <v>7</v>
      </c>
      <c r="C378" s="23" t="s">
        <v>797</v>
      </c>
      <c r="D378" s="24" t="s">
        <v>456</v>
      </c>
      <c r="E378" s="48">
        <v>0</v>
      </c>
      <c r="F378" s="2" t="s">
        <v>31</v>
      </c>
      <c r="G378" s="2">
        <v>6</v>
      </c>
      <c r="H378" s="2">
        <v>5</v>
      </c>
      <c r="I378" s="2">
        <v>5</v>
      </c>
      <c r="J378" s="2">
        <v>5</v>
      </c>
      <c r="K378" s="2">
        <v>5</v>
      </c>
      <c r="L378" s="2"/>
      <c r="M378" s="2"/>
      <c r="N378" s="2"/>
      <c r="O378" s="2"/>
      <c r="P378" s="2"/>
      <c r="Q378" s="2" t="e">
        <f t="shared" ca="1" si="127"/>
        <v>#NAME?</v>
      </c>
      <c r="R378" s="2">
        <v>5</v>
      </c>
      <c r="S378" s="2">
        <v>10</v>
      </c>
      <c r="T378" s="2">
        <v>10</v>
      </c>
      <c r="U378" s="2">
        <v>5</v>
      </c>
      <c r="V378" s="2">
        <v>5</v>
      </c>
      <c r="W378" s="54">
        <f t="shared" si="113"/>
        <v>7</v>
      </c>
      <c r="X378" s="48">
        <v>0</v>
      </c>
      <c r="Y378" s="48">
        <v>0</v>
      </c>
      <c r="Z378" s="2"/>
      <c r="AA378" s="50">
        <v>10</v>
      </c>
      <c r="AB378" s="50">
        <v>10</v>
      </c>
      <c r="AC378" s="50">
        <v>10</v>
      </c>
      <c r="AD378" s="50">
        <v>10</v>
      </c>
      <c r="AE378" s="50">
        <v>10</v>
      </c>
      <c r="AF378" s="50">
        <v>10</v>
      </c>
      <c r="AG378" s="50">
        <v>10</v>
      </c>
      <c r="AH378" s="50">
        <v>10</v>
      </c>
      <c r="AI378" s="50">
        <v>10</v>
      </c>
      <c r="AJ378" s="50">
        <v>10</v>
      </c>
      <c r="AK378" s="50">
        <v>10</v>
      </c>
      <c r="AL378" s="50">
        <v>10</v>
      </c>
      <c r="AM378" s="50">
        <v>10</v>
      </c>
      <c r="AN378" s="50">
        <v>10</v>
      </c>
      <c r="AO378" s="50">
        <v>10</v>
      </c>
      <c r="AP378" s="50">
        <v>10</v>
      </c>
      <c r="AQ378" s="2" t="e">
        <f t="shared" ca="1" si="128"/>
        <v>#NAME?</v>
      </c>
      <c r="AR378" s="2">
        <v>7</v>
      </c>
      <c r="AS378" s="2">
        <v>7</v>
      </c>
      <c r="AT378" s="2">
        <v>7</v>
      </c>
      <c r="AU378" s="2">
        <v>10</v>
      </c>
      <c r="AV378" s="2">
        <v>10</v>
      </c>
      <c r="AW378" s="54">
        <f t="shared" si="114"/>
        <v>9</v>
      </c>
      <c r="AX378" s="48">
        <v>8</v>
      </c>
      <c r="AY378" s="2">
        <v>7</v>
      </c>
      <c r="AZ378" s="2">
        <v>10</v>
      </c>
      <c r="BA378" s="2">
        <v>10</v>
      </c>
      <c r="BB378" s="2">
        <v>9</v>
      </c>
      <c r="BC378" s="2">
        <v>9</v>
      </c>
      <c r="BD378" s="2">
        <v>9</v>
      </c>
      <c r="BE378" s="2">
        <v>9</v>
      </c>
      <c r="BF378" s="2">
        <v>10</v>
      </c>
      <c r="BG378" s="2">
        <v>10</v>
      </c>
      <c r="BH378" s="2">
        <v>9</v>
      </c>
      <c r="BI378" s="57">
        <v>10</v>
      </c>
      <c r="BJ378" s="2" t="e">
        <f t="shared" ca="1" si="129"/>
        <v>#NAME?</v>
      </c>
      <c r="BK378" s="5">
        <v>10</v>
      </c>
      <c r="BL378" s="5">
        <v>10</v>
      </c>
      <c r="BM378" s="5">
        <v>9</v>
      </c>
      <c r="BN378" s="5">
        <v>9</v>
      </c>
      <c r="BO378" s="5">
        <v>9</v>
      </c>
      <c r="BP378" s="54">
        <f t="shared" si="115"/>
        <v>10</v>
      </c>
      <c r="BQ378" s="5"/>
      <c r="BR378" s="5"/>
      <c r="BS378" s="6">
        <v>10</v>
      </c>
      <c r="BT378" s="6">
        <v>10</v>
      </c>
      <c r="BU378" s="6">
        <v>10</v>
      </c>
      <c r="BV378" s="6">
        <v>10</v>
      </c>
      <c r="BW378" s="6">
        <v>8</v>
      </c>
      <c r="BX378" s="6">
        <v>9</v>
      </c>
      <c r="BY378" s="6">
        <v>10</v>
      </c>
      <c r="BZ378" s="6">
        <v>10</v>
      </c>
      <c r="CA378" s="6">
        <v>10</v>
      </c>
      <c r="CB378" s="6">
        <v>10</v>
      </c>
      <c r="CC378" s="2" t="e">
        <f t="shared" ca="1" si="130"/>
        <v>#NAME?</v>
      </c>
      <c r="CD378" s="55"/>
      <c r="CE378" s="2"/>
      <c r="CF378" s="2">
        <v>10</v>
      </c>
      <c r="CG378" s="2">
        <v>10</v>
      </c>
      <c r="CH378" s="2">
        <v>10</v>
      </c>
      <c r="CI378" s="2">
        <v>10</v>
      </c>
      <c r="CJ378" s="2">
        <v>10</v>
      </c>
      <c r="CK378" s="2">
        <v>10</v>
      </c>
      <c r="CL378" s="2">
        <v>10</v>
      </c>
      <c r="CM378" s="2">
        <v>10</v>
      </c>
      <c r="CN378" s="2">
        <v>10</v>
      </c>
      <c r="CO378" s="2">
        <v>10</v>
      </c>
      <c r="CP378" s="2" t="e">
        <f t="shared" ca="1" si="131"/>
        <v>#NAME?</v>
      </c>
      <c r="CQ378" s="2">
        <v>10</v>
      </c>
      <c r="CR378" s="2">
        <v>10</v>
      </c>
      <c r="CS378" s="2">
        <v>10</v>
      </c>
      <c r="CT378" s="2">
        <v>10</v>
      </c>
      <c r="CU378" s="2">
        <v>10</v>
      </c>
      <c r="CV378" s="54">
        <f t="shared" si="116"/>
        <v>10</v>
      </c>
      <c r="CW378" s="55"/>
      <c r="CX378" s="3"/>
    </row>
    <row r="379" spans="1:102" ht="16.5" x14ac:dyDescent="0.55000000000000004">
      <c r="A379" s="17">
        <v>2</v>
      </c>
      <c r="B379" s="17" t="s">
        <v>7</v>
      </c>
      <c r="C379" s="23" t="s">
        <v>798</v>
      </c>
      <c r="D379" s="24" t="s">
        <v>799</v>
      </c>
      <c r="E379" s="48">
        <v>5</v>
      </c>
      <c r="F379" s="2">
        <v>5</v>
      </c>
      <c r="G379" s="2">
        <v>10</v>
      </c>
      <c r="H379" s="2">
        <v>8</v>
      </c>
      <c r="I379" s="2">
        <v>7</v>
      </c>
      <c r="J379" s="2">
        <v>10</v>
      </c>
      <c r="K379" s="2">
        <v>10</v>
      </c>
      <c r="L379" s="2"/>
      <c r="M379" s="2"/>
      <c r="N379" s="2"/>
      <c r="O379" s="2"/>
      <c r="P379" s="2"/>
      <c r="Q379" s="2" t="e">
        <f t="shared" ca="1" si="127"/>
        <v>#NAME?</v>
      </c>
      <c r="R379" s="2">
        <v>10</v>
      </c>
      <c r="S379" s="2">
        <v>10</v>
      </c>
      <c r="T379" s="2">
        <v>10</v>
      </c>
      <c r="U379" s="2">
        <v>10</v>
      </c>
      <c r="V379" s="2">
        <v>10</v>
      </c>
      <c r="W379" s="54">
        <f t="shared" si="113"/>
        <v>10</v>
      </c>
      <c r="X379" s="48">
        <v>6</v>
      </c>
      <c r="Y379" s="48">
        <v>6</v>
      </c>
      <c r="Z379" s="2"/>
      <c r="AA379" s="50">
        <v>10</v>
      </c>
      <c r="AB379" s="50">
        <v>10</v>
      </c>
      <c r="AC379" s="50">
        <v>10</v>
      </c>
      <c r="AD379" s="50">
        <v>10</v>
      </c>
      <c r="AE379" s="50">
        <v>10</v>
      </c>
      <c r="AF379" s="50">
        <v>10</v>
      </c>
      <c r="AG379" s="50">
        <v>10</v>
      </c>
      <c r="AH379" s="50">
        <v>9</v>
      </c>
      <c r="AI379" s="50">
        <v>10</v>
      </c>
      <c r="AJ379" s="50">
        <v>10</v>
      </c>
      <c r="AK379" s="50">
        <v>10</v>
      </c>
      <c r="AL379" s="50">
        <v>10</v>
      </c>
      <c r="AM379" s="50">
        <v>10</v>
      </c>
      <c r="AN379" s="50">
        <v>9</v>
      </c>
      <c r="AO379" s="50">
        <v>10</v>
      </c>
      <c r="AP379" s="50">
        <v>10</v>
      </c>
      <c r="AQ379" s="2" t="e">
        <f t="shared" ca="1" si="128"/>
        <v>#NAME?</v>
      </c>
      <c r="AR379" s="50">
        <v>10</v>
      </c>
      <c r="AS379" s="50">
        <v>10</v>
      </c>
      <c r="AT379" s="50">
        <v>10</v>
      </c>
      <c r="AU379" s="50">
        <v>10</v>
      </c>
      <c r="AV379" s="50">
        <v>10</v>
      </c>
      <c r="AW379" s="54">
        <f t="shared" si="114"/>
        <v>10</v>
      </c>
      <c r="AX379" s="48">
        <v>8</v>
      </c>
      <c r="AY379" s="2">
        <v>8</v>
      </c>
      <c r="AZ379" s="2">
        <v>10</v>
      </c>
      <c r="BA379" s="2">
        <v>10</v>
      </c>
      <c r="BB379" s="2">
        <v>10</v>
      </c>
      <c r="BC379" s="2">
        <v>10</v>
      </c>
      <c r="BD379" s="2">
        <v>10</v>
      </c>
      <c r="BE379" s="2">
        <v>10</v>
      </c>
      <c r="BF379" s="2">
        <v>9</v>
      </c>
      <c r="BG379" s="2">
        <v>10</v>
      </c>
      <c r="BH379" s="2">
        <v>10</v>
      </c>
      <c r="BI379" s="57">
        <v>10</v>
      </c>
      <c r="BJ379" s="2" t="e">
        <f t="shared" ca="1" si="129"/>
        <v>#NAME?</v>
      </c>
      <c r="BK379" s="5">
        <v>10</v>
      </c>
      <c r="BL379" s="5">
        <v>10</v>
      </c>
      <c r="BM379" s="5">
        <v>10</v>
      </c>
      <c r="BN379" s="5">
        <v>10</v>
      </c>
      <c r="BO379" s="5">
        <v>10</v>
      </c>
      <c r="BP379" s="54">
        <f t="shared" si="115"/>
        <v>10</v>
      </c>
      <c r="BQ379" s="5"/>
      <c r="BR379" s="5"/>
      <c r="BS379" s="6">
        <v>10</v>
      </c>
      <c r="BT379" s="6">
        <v>10</v>
      </c>
      <c r="BU379" s="6">
        <v>10</v>
      </c>
      <c r="BV379" s="6">
        <v>10</v>
      </c>
      <c r="BW379" s="6">
        <v>10</v>
      </c>
      <c r="BX379" s="6">
        <v>10</v>
      </c>
      <c r="BY379" s="6">
        <v>10</v>
      </c>
      <c r="BZ379" s="6">
        <v>10</v>
      </c>
      <c r="CA379" s="6">
        <v>10</v>
      </c>
      <c r="CB379" s="6">
        <v>10</v>
      </c>
      <c r="CC379" s="2" t="e">
        <f t="shared" ca="1" si="130"/>
        <v>#NAME?</v>
      </c>
      <c r="CD379" s="55"/>
      <c r="CE379" s="2"/>
      <c r="CF379" s="2">
        <v>10</v>
      </c>
      <c r="CG379" s="2">
        <v>10</v>
      </c>
      <c r="CH379" s="2">
        <v>10</v>
      </c>
      <c r="CI379" s="2">
        <v>10</v>
      </c>
      <c r="CJ379" s="2">
        <v>10</v>
      </c>
      <c r="CK379" s="2">
        <v>10</v>
      </c>
      <c r="CL379" s="2">
        <v>10</v>
      </c>
      <c r="CM379" s="2">
        <v>10</v>
      </c>
      <c r="CN379" s="2">
        <v>10</v>
      </c>
      <c r="CO379" s="2">
        <v>10</v>
      </c>
      <c r="CP379" s="2" t="e">
        <f t="shared" ca="1" si="131"/>
        <v>#NAME?</v>
      </c>
      <c r="CQ379" s="2">
        <v>10</v>
      </c>
      <c r="CR379" s="2">
        <v>10</v>
      </c>
      <c r="CS379" s="2">
        <v>10</v>
      </c>
      <c r="CT379" s="2">
        <v>10</v>
      </c>
      <c r="CU379" s="2">
        <v>10</v>
      </c>
      <c r="CV379" s="54">
        <f t="shared" si="116"/>
        <v>10</v>
      </c>
      <c r="CW379" s="55"/>
      <c r="CX379" s="3"/>
    </row>
    <row r="380" spans="1:102" ht="16.5" x14ac:dyDescent="0.55000000000000004">
      <c r="A380" s="17">
        <v>2</v>
      </c>
      <c r="B380" s="17" t="s">
        <v>7</v>
      </c>
      <c r="C380" s="23" t="s">
        <v>800</v>
      </c>
      <c r="D380" s="24" t="s">
        <v>801</v>
      </c>
      <c r="E380" s="48">
        <v>5</v>
      </c>
      <c r="F380" s="2">
        <v>5</v>
      </c>
      <c r="G380" s="2">
        <v>10</v>
      </c>
      <c r="H380" s="2">
        <v>10</v>
      </c>
      <c r="I380" s="2">
        <v>10</v>
      </c>
      <c r="J380" s="2">
        <v>10</v>
      </c>
      <c r="K380" s="2">
        <v>10</v>
      </c>
      <c r="L380" s="2"/>
      <c r="M380" s="2"/>
      <c r="N380" s="2"/>
      <c r="O380" s="2"/>
      <c r="P380" s="2"/>
      <c r="Q380" s="2" t="e">
        <f t="shared" ca="1" si="127"/>
        <v>#NAME?</v>
      </c>
      <c r="R380" s="2">
        <v>10</v>
      </c>
      <c r="S380" s="2">
        <v>10</v>
      </c>
      <c r="T380" s="2">
        <v>10</v>
      </c>
      <c r="U380" s="2">
        <v>10</v>
      </c>
      <c r="V380" s="2">
        <v>10</v>
      </c>
      <c r="W380" s="54">
        <f t="shared" si="113"/>
        <v>10</v>
      </c>
      <c r="X380" s="48">
        <v>10</v>
      </c>
      <c r="Y380" s="48">
        <v>10</v>
      </c>
      <c r="Z380" s="2"/>
      <c r="AA380" s="50">
        <v>10</v>
      </c>
      <c r="AB380" s="50">
        <v>10</v>
      </c>
      <c r="AC380" s="50">
        <v>10</v>
      </c>
      <c r="AD380" s="50">
        <v>10</v>
      </c>
      <c r="AE380" s="50">
        <v>10</v>
      </c>
      <c r="AF380" s="50">
        <v>10</v>
      </c>
      <c r="AG380" s="50">
        <v>10</v>
      </c>
      <c r="AH380" s="50">
        <v>10</v>
      </c>
      <c r="AI380" s="50">
        <v>10</v>
      </c>
      <c r="AJ380" s="50">
        <v>10</v>
      </c>
      <c r="AK380" s="50">
        <v>10</v>
      </c>
      <c r="AL380" s="50">
        <v>10</v>
      </c>
      <c r="AM380" s="50">
        <v>10</v>
      </c>
      <c r="AN380" s="50">
        <v>10</v>
      </c>
      <c r="AO380" s="50">
        <v>10</v>
      </c>
      <c r="AP380" s="50">
        <v>10</v>
      </c>
      <c r="AQ380" s="2" t="e">
        <f t="shared" ca="1" si="128"/>
        <v>#NAME?</v>
      </c>
      <c r="AR380" s="50">
        <v>10</v>
      </c>
      <c r="AS380" s="50">
        <v>10</v>
      </c>
      <c r="AT380" s="50">
        <v>10</v>
      </c>
      <c r="AU380" s="50">
        <v>10</v>
      </c>
      <c r="AV380" s="50">
        <v>10</v>
      </c>
      <c r="AW380" s="54">
        <f t="shared" si="114"/>
        <v>10</v>
      </c>
      <c r="AX380" s="48">
        <v>9</v>
      </c>
      <c r="AY380" s="2">
        <v>9</v>
      </c>
      <c r="AZ380" s="5">
        <v>10</v>
      </c>
      <c r="BA380" s="5">
        <v>10</v>
      </c>
      <c r="BB380" s="5">
        <v>10</v>
      </c>
      <c r="BC380" s="5">
        <v>10</v>
      </c>
      <c r="BD380" s="5">
        <v>10</v>
      </c>
      <c r="BE380" s="5">
        <v>10</v>
      </c>
      <c r="BF380" s="5">
        <v>10</v>
      </c>
      <c r="BG380" s="5">
        <v>10</v>
      </c>
      <c r="BH380" s="5">
        <v>10</v>
      </c>
      <c r="BI380" s="5">
        <v>10</v>
      </c>
      <c r="BJ380" s="2" t="e">
        <f t="shared" ca="1" si="129"/>
        <v>#NAME?</v>
      </c>
      <c r="BK380" s="5">
        <v>10</v>
      </c>
      <c r="BL380" s="5">
        <v>10</v>
      </c>
      <c r="BM380" s="5">
        <v>10</v>
      </c>
      <c r="BN380" s="5">
        <v>10</v>
      </c>
      <c r="BO380" s="5">
        <v>10</v>
      </c>
      <c r="BP380" s="54">
        <f t="shared" si="115"/>
        <v>10</v>
      </c>
      <c r="BQ380" s="5"/>
      <c r="BR380" s="5"/>
      <c r="BS380" s="6">
        <v>10</v>
      </c>
      <c r="BT380" s="6">
        <v>10</v>
      </c>
      <c r="BU380" s="6">
        <v>10</v>
      </c>
      <c r="BV380" s="6">
        <v>10</v>
      </c>
      <c r="BW380" s="6">
        <v>10</v>
      </c>
      <c r="BX380" s="6">
        <v>10</v>
      </c>
      <c r="BY380" s="6">
        <v>10</v>
      </c>
      <c r="BZ380" s="6">
        <v>10</v>
      </c>
      <c r="CA380" s="6">
        <v>10</v>
      </c>
      <c r="CB380" s="6">
        <v>10</v>
      </c>
      <c r="CC380" s="2" t="e">
        <f t="shared" ca="1" si="130"/>
        <v>#NAME?</v>
      </c>
      <c r="CD380" s="55"/>
      <c r="CE380" s="2"/>
      <c r="CF380" s="2">
        <v>10</v>
      </c>
      <c r="CG380" s="2">
        <v>10</v>
      </c>
      <c r="CH380" s="2">
        <v>10</v>
      </c>
      <c r="CI380" s="2">
        <v>10</v>
      </c>
      <c r="CJ380" s="2">
        <v>10</v>
      </c>
      <c r="CK380" s="2">
        <v>10</v>
      </c>
      <c r="CL380" s="2">
        <v>10</v>
      </c>
      <c r="CM380" s="2">
        <v>10</v>
      </c>
      <c r="CN380" s="2">
        <v>10</v>
      </c>
      <c r="CO380" s="2">
        <v>10</v>
      </c>
      <c r="CP380" s="2" t="e">
        <f t="shared" ca="1" si="131"/>
        <v>#NAME?</v>
      </c>
      <c r="CQ380" s="2">
        <v>10</v>
      </c>
      <c r="CR380" s="2">
        <v>10</v>
      </c>
      <c r="CS380" s="2">
        <v>10</v>
      </c>
      <c r="CT380" s="2">
        <v>10</v>
      </c>
      <c r="CU380" s="2">
        <v>10</v>
      </c>
      <c r="CV380" s="54">
        <f t="shared" si="116"/>
        <v>10</v>
      </c>
      <c r="CW380" s="55"/>
      <c r="CX380" s="3"/>
    </row>
    <row r="381" spans="1:102" ht="16.5" x14ac:dyDescent="0.55000000000000004">
      <c r="A381" s="17">
        <v>2</v>
      </c>
      <c r="B381" s="17" t="s">
        <v>7</v>
      </c>
      <c r="C381" s="23" t="s">
        <v>802</v>
      </c>
      <c r="D381" s="24" t="s">
        <v>803</v>
      </c>
      <c r="E381" s="48">
        <v>6</v>
      </c>
      <c r="F381" s="2" t="s">
        <v>31</v>
      </c>
      <c r="G381" s="2">
        <v>6</v>
      </c>
      <c r="H381" s="2">
        <v>6</v>
      </c>
      <c r="I381" s="2">
        <v>7</v>
      </c>
      <c r="J381" s="2">
        <v>8</v>
      </c>
      <c r="K381" s="2">
        <v>8</v>
      </c>
      <c r="L381" s="2"/>
      <c r="M381" s="2"/>
      <c r="N381" s="2"/>
      <c r="O381" s="2"/>
      <c r="P381" s="2"/>
      <c r="Q381" s="2" t="e">
        <f t="shared" ca="1" si="127"/>
        <v>#NAME?</v>
      </c>
      <c r="R381" s="2">
        <v>10</v>
      </c>
      <c r="S381" s="2">
        <v>10</v>
      </c>
      <c r="T381" s="2">
        <v>10</v>
      </c>
      <c r="U381" s="2">
        <v>10</v>
      </c>
      <c r="V381" s="2">
        <v>10</v>
      </c>
      <c r="W381" s="54">
        <f t="shared" si="113"/>
        <v>10</v>
      </c>
      <c r="X381" s="48">
        <v>0</v>
      </c>
      <c r="Y381" s="48">
        <v>0</v>
      </c>
      <c r="Z381" s="2"/>
      <c r="AA381" s="50">
        <v>7</v>
      </c>
      <c r="AB381" s="50">
        <v>7</v>
      </c>
      <c r="AC381" s="50">
        <v>7</v>
      </c>
      <c r="AD381" s="50">
        <v>7</v>
      </c>
      <c r="AE381" s="50">
        <v>7</v>
      </c>
      <c r="AF381" s="50">
        <v>7</v>
      </c>
      <c r="AG381" s="50">
        <v>10</v>
      </c>
      <c r="AH381" s="50">
        <v>10</v>
      </c>
      <c r="AI381" s="50">
        <v>10</v>
      </c>
      <c r="AJ381" s="50">
        <v>10</v>
      </c>
      <c r="AK381" s="50">
        <v>7</v>
      </c>
      <c r="AL381" s="50">
        <v>7</v>
      </c>
      <c r="AM381" s="50">
        <v>10</v>
      </c>
      <c r="AN381" s="50">
        <v>10</v>
      </c>
      <c r="AO381" s="50">
        <v>10</v>
      </c>
      <c r="AP381" s="50">
        <v>10</v>
      </c>
      <c r="AQ381" s="2" t="e">
        <f t="shared" ca="1" si="128"/>
        <v>#NAME?</v>
      </c>
      <c r="AR381" s="50">
        <v>10</v>
      </c>
      <c r="AS381" s="50">
        <v>10</v>
      </c>
      <c r="AT381" s="50">
        <v>10</v>
      </c>
      <c r="AU381" s="50">
        <v>10</v>
      </c>
      <c r="AV381" s="50">
        <v>10</v>
      </c>
      <c r="AW381" s="54">
        <f t="shared" si="114"/>
        <v>10</v>
      </c>
      <c r="AX381" s="48">
        <v>8</v>
      </c>
      <c r="AY381" s="2">
        <v>8</v>
      </c>
      <c r="AZ381" s="2">
        <v>10</v>
      </c>
      <c r="BA381" s="2">
        <v>10</v>
      </c>
      <c r="BB381" s="2">
        <v>10</v>
      </c>
      <c r="BC381" s="2">
        <v>9</v>
      </c>
      <c r="BD381" s="2">
        <v>10</v>
      </c>
      <c r="BE381" s="2">
        <v>9</v>
      </c>
      <c r="BF381" s="2">
        <v>10</v>
      </c>
      <c r="BG381" s="2">
        <v>10</v>
      </c>
      <c r="BH381" s="2">
        <v>9</v>
      </c>
      <c r="BI381" s="57">
        <v>10</v>
      </c>
      <c r="BJ381" s="2" t="e">
        <f t="shared" ca="1" si="129"/>
        <v>#NAME?</v>
      </c>
      <c r="BK381" s="5">
        <v>9</v>
      </c>
      <c r="BL381" s="5">
        <v>9</v>
      </c>
      <c r="BM381" s="5">
        <v>9</v>
      </c>
      <c r="BN381" s="5">
        <v>9</v>
      </c>
      <c r="BO381" s="5">
        <v>9</v>
      </c>
      <c r="BP381" s="54">
        <f t="shared" si="115"/>
        <v>9</v>
      </c>
      <c r="BQ381" s="5"/>
      <c r="BR381" s="5"/>
      <c r="BS381" s="6">
        <v>10</v>
      </c>
      <c r="BT381" s="6">
        <v>10</v>
      </c>
      <c r="BU381" s="6">
        <v>10</v>
      </c>
      <c r="BV381" s="6">
        <v>10</v>
      </c>
      <c r="BW381" s="6">
        <v>9</v>
      </c>
      <c r="BX381" s="6">
        <v>9</v>
      </c>
      <c r="BY381" s="6">
        <v>9</v>
      </c>
      <c r="BZ381" s="6">
        <v>10</v>
      </c>
      <c r="CA381" s="6">
        <v>10</v>
      </c>
      <c r="CB381" s="6">
        <v>10</v>
      </c>
      <c r="CC381" s="2" t="e">
        <f t="shared" ca="1" si="130"/>
        <v>#NAME?</v>
      </c>
      <c r="CD381" s="55"/>
      <c r="CE381" s="2"/>
      <c r="CF381" s="2">
        <v>10</v>
      </c>
      <c r="CG381" s="2">
        <v>10</v>
      </c>
      <c r="CH381" s="2">
        <v>10</v>
      </c>
      <c r="CI381" s="2">
        <v>10</v>
      </c>
      <c r="CJ381" s="2">
        <v>10</v>
      </c>
      <c r="CK381" s="2">
        <v>10</v>
      </c>
      <c r="CL381" s="2">
        <v>10</v>
      </c>
      <c r="CM381" s="2">
        <v>10</v>
      </c>
      <c r="CN381" s="2">
        <v>10</v>
      </c>
      <c r="CO381" s="2">
        <v>10</v>
      </c>
      <c r="CP381" s="2" t="e">
        <f t="shared" ca="1" si="131"/>
        <v>#NAME?</v>
      </c>
      <c r="CQ381" s="2">
        <v>10</v>
      </c>
      <c r="CR381" s="2">
        <v>10</v>
      </c>
      <c r="CS381" s="2">
        <v>10</v>
      </c>
      <c r="CT381" s="2">
        <v>10</v>
      </c>
      <c r="CU381" s="2">
        <v>10</v>
      </c>
      <c r="CV381" s="54">
        <f t="shared" si="116"/>
        <v>10</v>
      </c>
      <c r="CW381" s="55"/>
      <c r="CX381" s="3"/>
    </row>
    <row r="382" spans="1:102" ht="16.5" x14ac:dyDescent="0.55000000000000004">
      <c r="A382" s="17">
        <v>2</v>
      </c>
      <c r="B382" s="17" t="s">
        <v>7</v>
      </c>
      <c r="C382" s="23" t="s">
        <v>804</v>
      </c>
      <c r="D382" s="24" t="s">
        <v>805</v>
      </c>
      <c r="E382" s="48" t="s">
        <v>31</v>
      </c>
      <c r="F382" s="2" t="s">
        <v>31</v>
      </c>
      <c r="G382" s="2">
        <v>5</v>
      </c>
      <c r="H382" s="2">
        <v>5</v>
      </c>
      <c r="I382" s="2">
        <v>5</v>
      </c>
      <c r="J382" s="2">
        <v>6</v>
      </c>
      <c r="K382" s="2">
        <v>6</v>
      </c>
      <c r="L382" s="2"/>
      <c r="M382" s="2"/>
      <c r="N382" s="2"/>
      <c r="O382" s="2"/>
      <c r="P382" s="2"/>
      <c r="Q382" s="2" t="e">
        <f t="shared" ca="1" si="127"/>
        <v>#NAME?</v>
      </c>
      <c r="R382" s="2">
        <v>5</v>
      </c>
      <c r="S382" s="2">
        <v>5</v>
      </c>
      <c r="T382" s="2">
        <v>5</v>
      </c>
      <c r="U382" s="2">
        <v>5</v>
      </c>
      <c r="V382" s="2">
        <v>5</v>
      </c>
      <c r="W382" s="54">
        <f t="shared" si="113"/>
        <v>5</v>
      </c>
      <c r="X382" s="48">
        <v>9</v>
      </c>
      <c r="Y382" s="48">
        <v>9</v>
      </c>
      <c r="Z382" s="2"/>
      <c r="AA382" s="50">
        <v>7</v>
      </c>
      <c r="AB382" s="50">
        <v>7</v>
      </c>
      <c r="AC382" s="50">
        <v>7</v>
      </c>
      <c r="AD382" s="50">
        <v>7</v>
      </c>
      <c r="AE382" s="50">
        <v>7</v>
      </c>
      <c r="AF382" s="50">
        <v>7</v>
      </c>
      <c r="AG382" s="50">
        <v>10</v>
      </c>
      <c r="AH382" s="50">
        <v>10</v>
      </c>
      <c r="AI382" s="50">
        <v>10</v>
      </c>
      <c r="AJ382" s="50">
        <v>10</v>
      </c>
      <c r="AK382" s="50">
        <v>7</v>
      </c>
      <c r="AL382" s="50">
        <v>7</v>
      </c>
      <c r="AM382" s="50">
        <v>10</v>
      </c>
      <c r="AN382" s="50">
        <v>10</v>
      </c>
      <c r="AO382" s="50">
        <v>10</v>
      </c>
      <c r="AP382" s="50">
        <v>10</v>
      </c>
      <c r="AQ382" s="2" t="e">
        <f t="shared" ca="1" si="128"/>
        <v>#NAME?</v>
      </c>
      <c r="AR382" s="50">
        <v>10</v>
      </c>
      <c r="AS382" s="50">
        <v>10</v>
      </c>
      <c r="AT382" s="50">
        <v>10</v>
      </c>
      <c r="AU382" s="50">
        <v>10</v>
      </c>
      <c r="AV382" s="50">
        <v>10</v>
      </c>
      <c r="AW382" s="54">
        <f t="shared" si="114"/>
        <v>10</v>
      </c>
      <c r="AX382" s="48">
        <v>8</v>
      </c>
      <c r="AY382" s="2">
        <v>8</v>
      </c>
      <c r="AZ382" s="5">
        <v>9</v>
      </c>
      <c r="BA382" s="5">
        <v>9</v>
      </c>
      <c r="BB382" s="5">
        <v>9</v>
      </c>
      <c r="BC382" s="5">
        <v>9</v>
      </c>
      <c r="BD382" s="5">
        <v>10</v>
      </c>
      <c r="BE382" s="5">
        <v>10</v>
      </c>
      <c r="BF382" s="5">
        <v>10</v>
      </c>
      <c r="BG382" s="5">
        <v>10</v>
      </c>
      <c r="BH382" s="5">
        <v>10</v>
      </c>
      <c r="BI382" s="5">
        <v>10</v>
      </c>
      <c r="BJ382" s="2" t="e">
        <f t="shared" ca="1" si="129"/>
        <v>#NAME?</v>
      </c>
      <c r="BK382" s="5">
        <v>10</v>
      </c>
      <c r="BL382" s="5">
        <v>10</v>
      </c>
      <c r="BM382" s="5">
        <v>10</v>
      </c>
      <c r="BN382" s="5">
        <v>10</v>
      </c>
      <c r="BO382" s="5">
        <v>10</v>
      </c>
      <c r="BP382" s="54">
        <f t="shared" si="115"/>
        <v>10</v>
      </c>
      <c r="BQ382" s="5"/>
      <c r="BR382" s="5"/>
      <c r="BS382" s="6">
        <v>10</v>
      </c>
      <c r="BT382" s="6">
        <v>10</v>
      </c>
      <c r="BU382" s="6">
        <v>10</v>
      </c>
      <c r="BV382" s="6">
        <v>10</v>
      </c>
      <c r="BW382" s="6">
        <v>8</v>
      </c>
      <c r="BX382" s="6">
        <v>9</v>
      </c>
      <c r="BY382" s="6">
        <v>10</v>
      </c>
      <c r="BZ382" s="6">
        <v>10</v>
      </c>
      <c r="CA382" s="6">
        <v>10</v>
      </c>
      <c r="CB382" s="6">
        <v>10</v>
      </c>
      <c r="CC382" s="2" t="e">
        <f t="shared" ca="1" si="130"/>
        <v>#NAME?</v>
      </c>
      <c r="CD382" s="55"/>
      <c r="CE382" s="2"/>
      <c r="CF382" s="2">
        <v>10</v>
      </c>
      <c r="CG382" s="2">
        <v>10</v>
      </c>
      <c r="CH382" s="8">
        <v>10</v>
      </c>
      <c r="CI382" s="8">
        <v>10</v>
      </c>
      <c r="CJ382" s="2">
        <v>10</v>
      </c>
      <c r="CK382" s="2">
        <v>10</v>
      </c>
      <c r="CL382" s="2">
        <v>10</v>
      </c>
      <c r="CM382" s="2">
        <v>10</v>
      </c>
      <c r="CN382" s="2">
        <v>10</v>
      </c>
      <c r="CO382" s="2">
        <v>10</v>
      </c>
      <c r="CP382" s="2" t="e">
        <f t="shared" ca="1" si="131"/>
        <v>#NAME?</v>
      </c>
      <c r="CQ382" s="2">
        <v>10</v>
      </c>
      <c r="CR382" s="2">
        <v>10</v>
      </c>
      <c r="CS382" s="2">
        <v>10</v>
      </c>
      <c r="CT382" s="2">
        <v>7</v>
      </c>
      <c r="CU382" s="2">
        <v>7</v>
      </c>
      <c r="CV382" s="54">
        <f t="shared" si="116"/>
        <v>9</v>
      </c>
      <c r="CW382" s="55"/>
      <c r="CX382" s="3"/>
    </row>
    <row r="383" spans="1:102" ht="16.5" x14ac:dyDescent="0.55000000000000004">
      <c r="A383" s="17">
        <v>2</v>
      </c>
      <c r="B383" s="17" t="s">
        <v>7</v>
      </c>
      <c r="C383" s="23" t="s">
        <v>806</v>
      </c>
      <c r="D383" s="24" t="s">
        <v>807</v>
      </c>
      <c r="E383" s="48">
        <v>2</v>
      </c>
      <c r="F383" s="2">
        <v>2</v>
      </c>
      <c r="G383" s="2">
        <v>10</v>
      </c>
      <c r="H383" s="2">
        <v>8</v>
      </c>
      <c r="I383" s="2">
        <v>9</v>
      </c>
      <c r="J383" s="2">
        <v>10</v>
      </c>
      <c r="K383" s="2">
        <v>10</v>
      </c>
      <c r="L383" s="2"/>
      <c r="M383" s="2"/>
      <c r="N383" s="2"/>
      <c r="O383" s="2"/>
      <c r="P383" s="2"/>
      <c r="Q383" s="2" t="e">
        <f t="shared" ca="1" si="127"/>
        <v>#NAME?</v>
      </c>
      <c r="R383" s="2">
        <v>10</v>
      </c>
      <c r="S383" s="2">
        <v>10</v>
      </c>
      <c r="T383" s="2">
        <v>10</v>
      </c>
      <c r="U383" s="2">
        <v>10</v>
      </c>
      <c r="V383" s="2">
        <v>10</v>
      </c>
      <c r="W383" s="54">
        <f t="shared" si="113"/>
        <v>10</v>
      </c>
      <c r="X383" s="48">
        <v>4</v>
      </c>
      <c r="Y383" s="48">
        <v>4</v>
      </c>
      <c r="Z383" s="2"/>
      <c r="AA383" s="50">
        <v>10</v>
      </c>
      <c r="AB383" s="50">
        <v>10</v>
      </c>
      <c r="AC383" s="50">
        <v>10</v>
      </c>
      <c r="AD383" s="50">
        <v>10</v>
      </c>
      <c r="AE383" s="50">
        <v>10</v>
      </c>
      <c r="AF383" s="50">
        <v>10</v>
      </c>
      <c r="AG383" s="50">
        <v>10</v>
      </c>
      <c r="AH383" s="50">
        <v>10</v>
      </c>
      <c r="AI383" s="50">
        <v>10</v>
      </c>
      <c r="AJ383" s="50">
        <v>10</v>
      </c>
      <c r="AK383" s="50">
        <v>10</v>
      </c>
      <c r="AL383" s="50">
        <v>10</v>
      </c>
      <c r="AM383" s="50">
        <v>10</v>
      </c>
      <c r="AN383" s="50">
        <v>10</v>
      </c>
      <c r="AO383" s="50">
        <v>10</v>
      </c>
      <c r="AP383" s="50">
        <v>10</v>
      </c>
      <c r="AQ383" s="2" t="e">
        <f t="shared" ca="1" si="128"/>
        <v>#NAME?</v>
      </c>
      <c r="AR383" s="50">
        <v>10</v>
      </c>
      <c r="AS383" s="50">
        <v>10</v>
      </c>
      <c r="AT383" s="50">
        <v>10</v>
      </c>
      <c r="AU383" s="50">
        <v>10</v>
      </c>
      <c r="AV383" s="50">
        <v>10</v>
      </c>
      <c r="AW383" s="54">
        <f t="shared" si="114"/>
        <v>10</v>
      </c>
      <c r="AX383" s="48">
        <v>9</v>
      </c>
      <c r="AY383" s="2">
        <v>8</v>
      </c>
      <c r="AZ383" s="5">
        <v>10</v>
      </c>
      <c r="BA383" s="5">
        <v>10</v>
      </c>
      <c r="BB383" s="5">
        <v>10</v>
      </c>
      <c r="BC383" s="5">
        <v>10</v>
      </c>
      <c r="BD383" s="5">
        <v>9</v>
      </c>
      <c r="BE383" s="5">
        <v>10</v>
      </c>
      <c r="BF383" s="5">
        <v>10</v>
      </c>
      <c r="BG383" s="5">
        <v>10</v>
      </c>
      <c r="BH383" s="5">
        <v>10</v>
      </c>
      <c r="BI383" s="5">
        <v>10</v>
      </c>
      <c r="BJ383" s="2" t="e">
        <f t="shared" ca="1" si="129"/>
        <v>#NAME?</v>
      </c>
      <c r="BK383" s="5">
        <v>10</v>
      </c>
      <c r="BL383" s="5">
        <v>10</v>
      </c>
      <c r="BM383" s="5">
        <v>10</v>
      </c>
      <c r="BN383" s="5">
        <v>10</v>
      </c>
      <c r="BO383" s="5">
        <v>10</v>
      </c>
      <c r="BP383" s="54">
        <f t="shared" si="115"/>
        <v>10</v>
      </c>
      <c r="BQ383" s="5"/>
      <c r="BR383" s="5"/>
      <c r="BS383" s="6">
        <v>10</v>
      </c>
      <c r="BT383" s="6">
        <v>10</v>
      </c>
      <c r="BU383" s="6">
        <v>10</v>
      </c>
      <c r="BV383" s="6">
        <v>10</v>
      </c>
      <c r="BW383" s="6">
        <v>10</v>
      </c>
      <c r="BX383" s="6">
        <v>10</v>
      </c>
      <c r="BY383" s="6">
        <v>10</v>
      </c>
      <c r="BZ383" s="6">
        <v>10</v>
      </c>
      <c r="CA383" s="6">
        <v>10</v>
      </c>
      <c r="CB383" s="6">
        <v>10</v>
      </c>
      <c r="CC383" s="2" t="e">
        <f t="shared" ca="1" si="130"/>
        <v>#NAME?</v>
      </c>
      <c r="CD383" s="55"/>
      <c r="CE383" s="2"/>
      <c r="CF383" s="2">
        <v>10</v>
      </c>
      <c r="CG383" s="2">
        <v>10</v>
      </c>
      <c r="CH383" s="2">
        <v>10</v>
      </c>
      <c r="CI383" s="2">
        <v>10</v>
      </c>
      <c r="CJ383" s="2">
        <v>10</v>
      </c>
      <c r="CK383" s="2">
        <v>10</v>
      </c>
      <c r="CL383" s="2">
        <v>10</v>
      </c>
      <c r="CM383" s="2">
        <v>10</v>
      </c>
      <c r="CN383" s="2">
        <v>10</v>
      </c>
      <c r="CO383" s="2">
        <v>10</v>
      </c>
      <c r="CP383" s="2" t="e">
        <f t="shared" ca="1" si="131"/>
        <v>#NAME?</v>
      </c>
      <c r="CQ383" s="2">
        <v>10</v>
      </c>
      <c r="CR383" s="2">
        <v>10</v>
      </c>
      <c r="CS383" s="2">
        <v>10</v>
      </c>
      <c r="CT383" s="2">
        <v>10</v>
      </c>
      <c r="CU383" s="2">
        <v>10</v>
      </c>
      <c r="CV383" s="54">
        <f t="shared" si="116"/>
        <v>10</v>
      </c>
      <c r="CW383" s="55"/>
      <c r="CX383" s="3"/>
    </row>
    <row r="384" spans="1:102" ht="16.5" x14ac:dyDescent="0.55000000000000004">
      <c r="A384" s="17">
        <v>2</v>
      </c>
      <c r="B384" s="17" t="s">
        <v>7</v>
      </c>
      <c r="C384" s="23" t="s">
        <v>808</v>
      </c>
      <c r="D384" s="24" t="s">
        <v>809</v>
      </c>
      <c r="E384" s="48">
        <v>1</v>
      </c>
      <c r="F384" s="2" t="s">
        <v>31</v>
      </c>
      <c r="G384" s="2">
        <v>10</v>
      </c>
      <c r="H384" s="2">
        <v>7</v>
      </c>
      <c r="I384" s="2">
        <v>8</v>
      </c>
      <c r="J384" s="2">
        <v>8</v>
      </c>
      <c r="K384" s="2">
        <v>8</v>
      </c>
      <c r="L384" s="2"/>
      <c r="M384" s="2"/>
      <c r="N384" s="2"/>
      <c r="O384" s="2"/>
      <c r="P384" s="2"/>
      <c r="Q384" s="2" t="e">
        <f t="shared" ca="1" si="127"/>
        <v>#NAME?</v>
      </c>
      <c r="R384" s="2">
        <v>10</v>
      </c>
      <c r="S384" s="2">
        <v>10</v>
      </c>
      <c r="T384" s="2">
        <v>10</v>
      </c>
      <c r="U384" s="2">
        <v>10</v>
      </c>
      <c r="V384" s="2">
        <v>10</v>
      </c>
      <c r="W384" s="54">
        <f t="shared" si="113"/>
        <v>10</v>
      </c>
      <c r="X384" s="48">
        <v>8</v>
      </c>
      <c r="Y384" s="48">
        <v>8</v>
      </c>
      <c r="Z384" s="2"/>
      <c r="AA384" s="50">
        <v>10</v>
      </c>
      <c r="AB384" s="50">
        <v>10</v>
      </c>
      <c r="AC384" s="50">
        <v>7</v>
      </c>
      <c r="AD384" s="50">
        <v>7</v>
      </c>
      <c r="AE384" s="50">
        <v>7</v>
      </c>
      <c r="AF384" s="50">
        <v>7</v>
      </c>
      <c r="AG384" s="50">
        <v>10</v>
      </c>
      <c r="AH384" s="50">
        <v>10</v>
      </c>
      <c r="AI384" s="50">
        <v>10</v>
      </c>
      <c r="AJ384" s="50">
        <v>10</v>
      </c>
      <c r="AK384" s="50">
        <v>7</v>
      </c>
      <c r="AL384" s="50">
        <v>7</v>
      </c>
      <c r="AM384" s="50">
        <v>10</v>
      </c>
      <c r="AN384" s="50">
        <v>10</v>
      </c>
      <c r="AO384" s="50">
        <v>10</v>
      </c>
      <c r="AP384" s="50">
        <v>10</v>
      </c>
      <c r="AQ384" s="2" t="e">
        <f t="shared" ca="1" si="128"/>
        <v>#NAME?</v>
      </c>
      <c r="AR384" s="50">
        <v>10</v>
      </c>
      <c r="AS384" s="50">
        <v>10</v>
      </c>
      <c r="AT384" s="50">
        <v>10</v>
      </c>
      <c r="AU384" s="50">
        <v>10</v>
      </c>
      <c r="AV384" s="50">
        <v>10</v>
      </c>
      <c r="AW384" s="54">
        <f t="shared" si="114"/>
        <v>10</v>
      </c>
      <c r="AX384" s="48">
        <v>8</v>
      </c>
      <c r="AY384" s="2">
        <v>8</v>
      </c>
      <c r="AZ384" s="2">
        <v>10</v>
      </c>
      <c r="BA384" s="2">
        <v>10</v>
      </c>
      <c r="BB384" s="2">
        <v>9</v>
      </c>
      <c r="BC384" s="2">
        <v>10</v>
      </c>
      <c r="BD384" s="2">
        <v>9</v>
      </c>
      <c r="BE384" s="2">
        <v>10</v>
      </c>
      <c r="BF384" s="2">
        <v>9</v>
      </c>
      <c r="BG384" s="2">
        <v>10</v>
      </c>
      <c r="BH384" s="2">
        <v>10</v>
      </c>
      <c r="BI384" s="57">
        <v>10</v>
      </c>
      <c r="BJ384" s="2" t="e">
        <f t="shared" ca="1" si="129"/>
        <v>#NAME?</v>
      </c>
      <c r="BK384" s="5">
        <v>10</v>
      </c>
      <c r="BL384" s="5">
        <v>9</v>
      </c>
      <c r="BM384" s="5">
        <v>9</v>
      </c>
      <c r="BN384" s="5">
        <v>9</v>
      </c>
      <c r="BO384" s="5">
        <v>9</v>
      </c>
      <c r="BP384" s="54">
        <f t="shared" si="115"/>
        <v>10</v>
      </c>
      <c r="BQ384" s="5"/>
      <c r="BR384" s="5"/>
      <c r="BS384" s="6">
        <v>10</v>
      </c>
      <c r="BT384" s="6">
        <v>10</v>
      </c>
      <c r="BU384" s="6">
        <v>10</v>
      </c>
      <c r="BV384" s="6">
        <v>10</v>
      </c>
      <c r="BW384" s="6">
        <v>10</v>
      </c>
      <c r="BX384" s="6">
        <v>10</v>
      </c>
      <c r="BY384" s="6">
        <v>10</v>
      </c>
      <c r="BZ384" s="6">
        <v>10</v>
      </c>
      <c r="CA384" s="6">
        <v>10</v>
      </c>
      <c r="CB384" s="6">
        <v>10</v>
      </c>
      <c r="CC384" s="2" t="e">
        <f t="shared" ca="1" si="130"/>
        <v>#NAME?</v>
      </c>
      <c r="CD384" s="55"/>
      <c r="CE384" s="2"/>
      <c r="CF384" s="2">
        <v>10</v>
      </c>
      <c r="CG384" s="2">
        <v>10</v>
      </c>
      <c r="CH384" s="8">
        <v>10</v>
      </c>
      <c r="CI384" s="8">
        <v>10</v>
      </c>
      <c r="CJ384" s="2">
        <v>10</v>
      </c>
      <c r="CK384" s="2">
        <v>10</v>
      </c>
      <c r="CL384" s="2">
        <v>10</v>
      </c>
      <c r="CM384" s="2">
        <v>10</v>
      </c>
      <c r="CN384" s="2">
        <v>10</v>
      </c>
      <c r="CO384" s="2">
        <v>10</v>
      </c>
      <c r="CP384" s="2" t="e">
        <f t="shared" ca="1" si="131"/>
        <v>#NAME?</v>
      </c>
      <c r="CQ384" s="2">
        <v>10</v>
      </c>
      <c r="CR384" s="2">
        <v>10</v>
      </c>
      <c r="CS384" s="2">
        <v>7</v>
      </c>
      <c r="CT384" s="2">
        <v>7</v>
      </c>
      <c r="CU384" s="2">
        <v>7</v>
      </c>
      <c r="CV384" s="54">
        <f t="shared" si="116"/>
        <v>9</v>
      </c>
      <c r="CW384" s="55"/>
      <c r="CX384" s="3"/>
    </row>
    <row r="385" spans="1:102" ht="16.5" x14ac:dyDescent="0.55000000000000004">
      <c r="A385" s="17">
        <v>2</v>
      </c>
      <c r="B385" s="17" t="s">
        <v>7</v>
      </c>
      <c r="C385" s="23" t="s">
        <v>810</v>
      </c>
      <c r="D385" s="24" t="s">
        <v>811</v>
      </c>
      <c r="E385" s="48">
        <v>4</v>
      </c>
      <c r="F385" s="2">
        <v>4</v>
      </c>
      <c r="G385" s="2">
        <v>5</v>
      </c>
      <c r="H385" s="2">
        <v>5</v>
      </c>
      <c r="I385" s="2">
        <v>5</v>
      </c>
      <c r="J385" s="2">
        <v>8</v>
      </c>
      <c r="K385" s="2">
        <v>8</v>
      </c>
      <c r="L385" s="2"/>
      <c r="M385" s="2"/>
      <c r="N385" s="2"/>
      <c r="O385" s="2"/>
      <c r="P385" s="2"/>
      <c r="Q385" s="2" t="e">
        <f t="shared" ca="1" si="127"/>
        <v>#NAME?</v>
      </c>
      <c r="R385" s="2">
        <v>5</v>
      </c>
      <c r="S385" s="2">
        <v>5</v>
      </c>
      <c r="T385" s="2">
        <v>10</v>
      </c>
      <c r="U385" s="2">
        <v>10</v>
      </c>
      <c r="V385" s="2">
        <v>10</v>
      </c>
      <c r="W385" s="54">
        <f t="shared" si="113"/>
        <v>8</v>
      </c>
      <c r="X385" s="48">
        <v>7</v>
      </c>
      <c r="Y385" s="48">
        <v>7</v>
      </c>
      <c r="Z385" s="2"/>
      <c r="AA385" s="50">
        <v>7</v>
      </c>
      <c r="AB385" s="50">
        <v>7</v>
      </c>
      <c r="AC385" s="50">
        <v>7</v>
      </c>
      <c r="AD385" s="50">
        <v>7</v>
      </c>
      <c r="AE385" s="50">
        <v>7</v>
      </c>
      <c r="AF385" s="50">
        <v>7</v>
      </c>
      <c r="AG385" s="50">
        <v>10</v>
      </c>
      <c r="AH385" s="50">
        <v>10</v>
      </c>
      <c r="AI385" s="50">
        <v>10</v>
      </c>
      <c r="AJ385" s="50">
        <v>10</v>
      </c>
      <c r="AK385" s="50">
        <v>7</v>
      </c>
      <c r="AL385" s="50">
        <v>7</v>
      </c>
      <c r="AM385" s="50">
        <v>10</v>
      </c>
      <c r="AN385" s="50">
        <v>10</v>
      </c>
      <c r="AO385" s="50">
        <v>10</v>
      </c>
      <c r="AP385" s="50">
        <v>10</v>
      </c>
      <c r="AQ385" s="2" t="e">
        <f t="shared" ca="1" si="128"/>
        <v>#NAME?</v>
      </c>
      <c r="AR385" s="50">
        <v>10</v>
      </c>
      <c r="AS385" s="50">
        <v>10</v>
      </c>
      <c r="AT385" s="50">
        <v>10</v>
      </c>
      <c r="AU385" s="50">
        <v>10</v>
      </c>
      <c r="AV385" s="50">
        <v>10</v>
      </c>
      <c r="AW385" s="54">
        <f t="shared" si="114"/>
        <v>10</v>
      </c>
      <c r="AX385" s="48">
        <v>9</v>
      </c>
      <c r="AY385" s="2">
        <v>9</v>
      </c>
      <c r="AZ385" s="5">
        <v>10</v>
      </c>
      <c r="BA385" s="5">
        <v>10</v>
      </c>
      <c r="BB385" s="5">
        <v>10</v>
      </c>
      <c r="BC385" s="5">
        <v>10</v>
      </c>
      <c r="BD385" s="5">
        <v>10</v>
      </c>
      <c r="BE385" s="5">
        <v>10</v>
      </c>
      <c r="BF385" s="5">
        <v>10</v>
      </c>
      <c r="BG385" s="5">
        <v>10</v>
      </c>
      <c r="BH385" s="5">
        <v>10</v>
      </c>
      <c r="BI385" s="5">
        <v>10</v>
      </c>
      <c r="BJ385" s="2" t="e">
        <f t="shared" ca="1" si="129"/>
        <v>#NAME?</v>
      </c>
      <c r="BK385" s="5">
        <v>10</v>
      </c>
      <c r="BL385" s="5">
        <v>10</v>
      </c>
      <c r="BM385" s="5">
        <v>10</v>
      </c>
      <c r="BN385" s="5">
        <v>10</v>
      </c>
      <c r="BO385" s="5">
        <v>10</v>
      </c>
      <c r="BP385" s="54">
        <f t="shared" si="115"/>
        <v>10</v>
      </c>
      <c r="BQ385" s="5"/>
      <c r="BR385" s="5"/>
      <c r="BS385" s="6">
        <v>10</v>
      </c>
      <c r="BT385" s="6">
        <v>10</v>
      </c>
      <c r="BU385" s="6">
        <v>10</v>
      </c>
      <c r="BV385" s="6">
        <v>10</v>
      </c>
      <c r="BW385" s="6">
        <v>10</v>
      </c>
      <c r="BX385" s="6">
        <v>9</v>
      </c>
      <c r="BY385" s="6">
        <v>10</v>
      </c>
      <c r="BZ385" s="6">
        <v>10</v>
      </c>
      <c r="CA385" s="6">
        <v>10</v>
      </c>
      <c r="CB385" s="6">
        <v>10</v>
      </c>
      <c r="CC385" s="2" t="e">
        <f t="shared" ca="1" si="130"/>
        <v>#NAME?</v>
      </c>
      <c r="CD385" s="55"/>
      <c r="CE385" s="2"/>
      <c r="CF385" s="2">
        <v>10</v>
      </c>
      <c r="CG385" s="2">
        <v>10</v>
      </c>
      <c r="CH385" s="8">
        <v>10</v>
      </c>
      <c r="CI385" s="8">
        <v>10</v>
      </c>
      <c r="CJ385" s="2">
        <v>10</v>
      </c>
      <c r="CK385" s="2">
        <v>10</v>
      </c>
      <c r="CL385" s="2">
        <v>10</v>
      </c>
      <c r="CM385" s="2">
        <v>10</v>
      </c>
      <c r="CN385" s="2">
        <v>10</v>
      </c>
      <c r="CO385" s="2">
        <v>10</v>
      </c>
      <c r="CP385" s="2" t="e">
        <f t="shared" ca="1" si="131"/>
        <v>#NAME?</v>
      </c>
      <c r="CQ385" s="2">
        <v>10</v>
      </c>
      <c r="CR385" s="2">
        <v>10</v>
      </c>
      <c r="CS385" s="2">
        <v>10</v>
      </c>
      <c r="CT385" s="2">
        <v>10</v>
      </c>
      <c r="CU385" s="2">
        <v>10</v>
      </c>
      <c r="CV385" s="54">
        <f t="shared" si="116"/>
        <v>10</v>
      </c>
      <c r="CW385" s="55"/>
      <c r="CX385" s="3"/>
    </row>
    <row r="386" spans="1:102" ht="16.5" x14ac:dyDescent="0.55000000000000004">
      <c r="A386" s="17">
        <v>2</v>
      </c>
      <c r="B386" s="17" t="s">
        <v>7</v>
      </c>
      <c r="C386" s="23" t="s">
        <v>812</v>
      </c>
      <c r="D386" s="24" t="s">
        <v>813</v>
      </c>
      <c r="E386" s="48">
        <v>6</v>
      </c>
      <c r="F386" s="2">
        <v>6</v>
      </c>
      <c r="G386" s="2">
        <v>9</v>
      </c>
      <c r="H386" s="2">
        <v>8</v>
      </c>
      <c r="I386" s="2">
        <v>8</v>
      </c>
      <c r="J386" s="2">
        <v>8</v>
      </c>
      <c r="K386" s="2">
        <v>8</v>
      </c>
      <c r="L386" s="2"/>
      <c r="M386" s="2"/>
      <c r="N386" s="2"/>
      <c r="O386" s="2"/>
      <c r="P386" s="2"/>
      <c r="Q386" s="2" t="e">
        <f t="shared" ca="1" si="127"/>
        <v>#NAME?</v>
      </c>
      <c r="R386" s="2">
        <v>10</v>
      </c>
      <c r="S386" s="2">
        <v>10</v>
      </c>
      <c r="T386" s="2">
        <v>10</v>
      </c>
      <c r="U386" s="2">
        <v>10</v>
      </c>
      <c r="V386" s="2">
        <v>10</v>
      </c>
      <c r="W386" s="54">
        <f t="shared" si="113"/>
        <v>10</v>
      </c>
      <c r="X386" s="48">
        <v>6</v>
      </c>
      <c r="Y386" s="48">
        <v>6</v>
      </c>
      <c r="Z386" s="2"/>
      <c r="AA386" s="50">
        <v>7</v>
      </c>
      <c r="AB386" s="50">
        <v>7</v>
      </c>
      <c r="AC386" s="50">
        <v>7</v>
      </c>
      <c r="AD386" s="50">
        <v>7</v>
      </c>
      <c r="AE386" s="50">
        <v>7</v>
      </c>
      <c r="AF386" s="50">
        <v>10</v>
      </c>
      <c r="AG386" s="50">
        <v>10</v>
      </c>
      <c r="AH386" s="50">
        <v>10</v>
      </c>
      <c r="AI386" s="50">
        <v>10</v>
      </c>
      <c r="AJ386" s="50">
        <v>10</v>
      </c>
      <c r="AK386" s="50">
        <v>7</v>
      </c>
      <c r="AL386" s="50">
        <v>10</v>
      </c>
      <c r="AM386" s="50">
        <v>10</v>
      </c>
      <c r="AN386" s="50">
        <v>10</v>
      </c>
      <c r="AO386" s="50">
        <v>10</v>
      </c>
      <c r="AP386" s="50">
        <v>10</v>
      </c>
      <c r="AQ386" s="2" t="e">
        <f t="shared" ca="1" si="128"/>
        <v>#NAME?</v>
      </c>
      <c r="AR386" s="50">
        <v>10</v>
      </c>
      <c r="AS386" s="50">
        <v>10</v>
      </c>
      <c r="AT386" s="50">
        <v>10</v>
      </c>
      <c r="AU386" s="50">
        <v>10</v>
      </c>
      <c r="AV386" s="50">
        <v>10</v>
      </c>
      <c r="AW386" s="54">
        <f t="shared" si="114"/>
        <v>10</v>
      </c>
      <c r="AX386" s="48">
        <v>8</v>
      </c>
      <c r="AY386" s="2">
        <v>7</v>
      </c>
      <c r="AZ386" s="2">
        <v>10</v>
      </c>
      <c r="BA386" s="2">
        <v>10</v>
      </c>
      <c r="BB386" s="2">
        <v>10</v>
      </c>
      <c r="BC386" s="2">
        <v>10</v>
      </c>
      <c r="BD386" s="2">
        <v>10</v>
      </c>
      <c r="BE386" s="2">
        <v>9</v>
      </c>
      <c r="BF386" s="2">
        <v>9</v>
      </c>
      <c r="BG386" s="2">
        <v>9</v>
      </c>
      <c r="BH386" s="2">
        <v>10</v>
      </c>
      <c r="BI386" s="57">
        <v>10</v>
      </c>
      <c r="BJ386" s="2" t="e">
        <f t="shared" ca="1" si="129"/>
        <v>#NAME?</v>
      </c>
      <c r="BK386" s="5">
        <v>10</v>
      </c>
      <c r="BL386" s="5">
        <v>10</v>
      </c>
      <c r="BM386" s="5">
        <v>9</v>
      </c>
      <c r="BN386" s="5">
        <v>9</v>
      </c>
      <c r="BO386" s="5">
        <v>10</v>
      </c>
      <c r="BP386" s="54">
        <f t="shared" si="115"/>
        <v>10</v>
      </c>
      <c r="BQ386" s="5"/>
      <c r="BR386" s="5"/>
      <c r="BS386" s="6">
        <v>10</v>
      </c>
      <c r="BT386" s="6">
        <v>10</v>
      </c>
      <c r="BU386" s="6">
        <v>10</v>
      </c>
      <c r="BV386" s="6">
        <v>8</v>
      </c>
      <c r="BW386" s="6">
        <v>9</v>
      </c>
      <c r="BX386" s="6">
        <v>10</v>
      </c>
      <c r="BY386" s="6">
        <v>10</v>
      </c>
      <c r="BZ386" s="6">
        <v>10</v>
      </c>
      <c r="CA386" s="6">
        <v>10</v>
      </c>
      <c r="CB386" s="6">
        <v>10</v>
      </c>
      <c r="CC386" s="2" t="e">
        <f t="shared" ca="1" si="130"/>
        <v>#NAME?</v>
      </c>
      <c r="CD386" s="55"/>
      <c r="CE386" s="2"/>
      <c r="CF386" s="2">
        <v>10</v>
      </c>
      <c r="CG386" s="2">
        <v>10</v>
      </c>
      <c r="CH386" s="8">
        <v>10</v>
      </c>
      <c r="CI386" s="8">
        <v>10</v>
      </c>
      <c r="CJ386" s="2">
        <v>10</v>
      </c>
      <c r="CK386" s="2">
        <v>10</v>
      </c>
      <c r="CL386" s="2">
        <v>10</v>
      </c>
      <c r="CM386" s="2">
        <v>10</v>
      </c>
      <c r="CN386" s="2">
        <v>10</v>
      </c>
      <c r="CO386" s="2">
        <v>10</v>
      </c>
      <c r="CP386" s="2" t="e">
        <f t="shared" ca="1" si="131"/>
        <v>#NAME?</v>
      </c>
      <c r="CQ386" s="2">
        <v>10</v>
      </c>
      <c r="CR386" s="2">
        <v>10</v>
      </c>
      <c r="CS386" s="2">
        <v>10</v>
      </c>
      <c r="CT386" s="2">
        <v>7</v>
      </c>
      <c r="CU386" s="2">
        <v>7</v>
      </c>
      <c r="CV386" s="54">
        <f t="shared" si="116"/>
        <v>9</v>
      </c>
      <c r="CW386" s="55"/>
      <c r="CX386" s="3"/>
    </row>
    <row r="387" spans="1:102" ht="16.5" x14ac:dyDescent="0.55000000000000004">
      <c r="A387" s="17">
        <v>2</v>
      </c>
      <c r="B387" s="17" t="s">
        <v>7</v>
      </c>
      <c r="C387" s="23" t="s">
        <v>814</v>
      </c>
      <c r="D387" s="24" t="s">
        <v>815</v>
      </c>
      <c r="E387" s="48" t="s">
        <v>31</v>
      </c>
      <c r="F387" s="2" t="s">
        <v>31</v>
      </c>
      <c r="G387" s="2">
        <v>5</v>
      </c>
      <c r="H387" s="2">
        <v>5</v>
      </c>
      <c r="I387" s="2">
        <v>5</v>
      </c>
      <c r="J387" s="2">
        <v>5</v>
      </c>
      <c r="K387" s="2">
        <v>5</v>
      </c>
      <c r="L387" s="2"/>
      <c r="M387" s="2"/>
      <c r="N387" s="2"/>
      <c r="O387" s="2"/>
      <c r="P387" s="2"/>
      <c r="Q387" s="2" t="e">
        <f t="shared" ca="1" si="127"/>
        <v>#NAME?</v>
      </c>
      <c r="R387" s="2">
        <v>5</v>
      </c>
      <c r="S387" s="2">
        <v>5</v>
      </c>
      <c r="T387" s="2">
        <v>5</v>
      </c>
      <c r="U387" s="2">
        <v>5</v>
      </c>
      <c r="V387" s="2">
        <v>5</v>
      </c>
      <c r="W387" s="54">
        <f t="shared" si="113"/>
        <v>5</v>
      </c>
      <c r="X387" s="48">
        <v>4</v>
      </c>
      <c r="Y387" s="48">
        <v>4</v>
      </c>
      <c r="Z387" s="2"/>
      <c r="AA387" s="50">
        <v>10</v>
      </c>
      <c r="AB387" s="50">
        <v>10</v>
      </c>
      <c r="AC387" s="50">
        <v>7</v>
      </c>
      <c r="AD387" s="50">
        <v>7</v>
      </c>
      <c r="AE387" s="50">
        <v>7</v>
      </c>
      <c r="AF387" s="50">
        <v>7</v>
      </c>
      <c r="AG387" s="50">
        <v>10</v>
      </c>
      <c r="AH387" s="50">
        <v>10</v>
      </c>
      <c r="AI387" s="50">
        <v>10</v>
      </c>
      <c r="AJ387" s="50">
        <v>10</v>
      </c>
      <c r="AK387" s="50">
        <v>7</v>
      </c>
      <c r="AL387" s="50">
        <v>7</v>
      </c>
      <c r="AM387" s="50">
        <v>10</v>
      </c>
      <c r="AN387" s="50">
        <v>10</v>
      </c>
      <c r="AO387" s="50">
        <v>10</v>
      </c>
      <c r="AP387" s="50">
        <v>10</v>
      </c>
      <c r="AQ387" s="2" t="e">
        <f t="shared" ca="1" si="128"/>
        <v>#NAME?</v>
      </c>
      <c r="AR387" s="2">
        <v>10</v>
      </c>
      <c r="AS387" s="2">
        <v>10</v>
      </c>
      <c r="AT387" s="2">
        <v>10</v>
      </c>
      <c r="AU387" s="2">
        <v>10</v>
      </c>
      <c r="AV387" s="2">
        <v>10</v>
      </c>
      <c r="AW387" s="54">
        <f t="shared" si="114"/>
        <v>10</v>
      </c>
      <c r="AX387" s="48">
        <v>7</v>
      </c>
      <c r="AY387" s="2">
        <v>7</v>
      </c>
      <c r="AZ387" s="2">
        <v>10</v>
      </c>
      <c r="BA387" s="2">
        <v>10</v>
      </c>
      <c r="BB387" s="2">
        <v>9</v>
      </c>
      <c r="BC387" s="2">
        <v>9</v>
      </c>
      <c r="BD387" s="2">
        <v>9</v>
      </c>
      <c r="BE387" s="2">
        <v>10</v>
      </c>
      <c r="BF387" s="2">
        <v>10</v>
      </c>
      <c r="BG387" s="2">
        <v>9</v>
      </c>
      <c r="BH387" s="2">
        <v>10</v>
      </c>
      <c r="BI387" s="57">
        <v>9</v>
      </c>
      <c r="BJ387" s="2" t="e">
        <f t="shared" ca="1" si="129"/>
        <v>#NAME?</v>
      </c>
      <c r="BK387" s="5">
        <v>10</v>
      </c>
      <c r="BL387" s="5">
        <v>9</v>
      </c>
      <c r="BM387" s="5">
        <v>9</v>
      </c>
      <c r="BN387" s="5">
        <v>9</v>
      </c>
      <c r="BO387" s="5">
        <v>9</v>
      </c>
      <c r="BP387" s="54">
        <f t="shared" si="115"/>
        <v>10</v>
      </c>
      <c r="BQ387" s="5"/>
      <c r="BR387" s="5"/>
      <c r="BS387" s="6">
        <v>8</v>
      </c>
      <c r="BT387" s="6">
        <v>8</v>
      </c>
      <c r="BU387" s="6">
        <v>8</v>
      </c>
      <c r="BV387" s="6">
        <v>8</v>
      </c>
      <c r="BW387" s="6">
        <v>8</v>
      </c>
      <c r="BX387" s="6">
        <v>8</v>
      </c>
      <c r="BY387" s="6">
        <v>8</v>
      </c>
      <c r="BZ387" s="6">
        <v>8</v>
      </c>
      <c r="CA387" s="6">
        <v>8</v>
      </c>
      <c r="CB387" s="6">
        <v>8</v>
      </c>
      <c r="CC387" s="2" t="e">
        <f t="shared" ca="1" si="130"/>
        <v>#NAME?</v>
      </c>
      <c r="CD387" s="55"/>
      <c r="CE387" s="2"/>
      <c r="CF387" s="2">
        <v>8</v>
      </c>
      <c r="CG387" s="2">
        <v>8</v>
      </c>
      <c r="CH387" s="8">
        <v>8</v>
      </c>
      <c r="CI387" s="8">
        <v>8</v>
      </c>
      <c r="CJ387" s="2">
        <v>8</v>
      </c>
      <c r="CK387" s="2">
        <v>8</v>
      </c>
      <c r="CL387" s="2">
        <v>8</v>
      </c>
      <c r="CM387" s="2">
        <v>8</v>
      </c>
      <c r="CN387" s="2">
        <v>8</v>
      </c>
      <c r="CO387" s="2">
        <v>8</v>
      </c>
      <c r="CP387" s="2" t="e">
        <f t="shared" ca="1" si="131"/>
        <v>#NAME?</v>
      </c>
      <c r="CQ387" s="2">
        <v>8</v>
      </c>
      <c r="CR387" s="2">
        <v>8</v>
      </c>
      <c r="CS387" s="2">
        <v>8</v>
      </c>
      <c r="CT387" s="2">
        <v>8</v>
      </c>
      <c r="CU387" s="2">
        <v>8</v>
      </c>
      <c r="CV387" s="54">
        <f t="shared" si="116"/>
        <v>8</v>
      </c>
      <c r="CW387" s="55"/>
      <c r="CX387" s="3"/>
    </row>
    <row r="388" spans="1:102" ht="16.5" x14ac:dyDescent="0.55000000000000004">
      <c r="A388" s="17">
        <v>3</v>
      </c>
      <c r="B388" s="17" t="s">
        <v>7</v>
      </c>
      <c r="C388" s="23" t="s">
        <v>816</v>
      </c>
      <c r="D388" s="24" t="s">
        <v>817</v>
      </c>
      <c r="E388" s="48" t="s">
        <v>31</v>
      </c>
      <c r="F388" s="2" t="s">
        <v>31</v>
      </c>
      <c r="G388" s="2">
        <v>8</v>
      </c>
      <c r="H388" s="2">
        <v>10</v>
      </c>
      <c r="I388" s="2">
        <v>6</v>
      </c>
      <c r="J388" s="2">
        <v>6</v>
      </c>
      <c r="K388" s="2">
        <v>6</v>
      </c>
      <c r="L388" s="2"/>
      <c r="M388" s="2"/>
      <c r="N388" s="2"/>
      <c r="O388" s="2"/>
      <c r="P388" s="2"/>
      <c r="Q388" s="2" t="e">
        <f t="shared" ca="1" si="127"/>
        <v>#NAME?</v>
      </c>
      <c r="R388" s="2">
        <v>10</v>
      </c>
      <c r="S388" s="2">
        <v>5</v>
      </c>
      <c r="T388" s="2">
        <v>10</v>
      </c>
      <c r="U388" s="2">
        <v>10</v>
      </c>
      <c r="V388" s="2">
        <v>10</v>
      </c>
      <c r="W388" s="54">
        <f t="shared" si="113"/>
        <v>9</v>
      </c>
      <c r="X388" s="48">
        <v>0</v>
      </c>
      <c r="Y388" s="48">
        <v>0</v>
      </c>
      <c r="Z388" s="2"/>
      <c r="AA388" s="50">
        <v>7</v>
      </c>
      <c r="AB388" s="50">
        <v>7</v>
      </c>
      <c r="AC388" s="50">
        <v>7</v>
      </c>
      <c r="AD388" s="50">
        <v>7</v>
      </c>
      <c r="AE388" s="50">
        <v>7</v>
      </c>
      <c r="AF388" s="50">
        <v>7</v>
      </c>
      <c r="AG388" s="50">
        <v>10</v>
      </c>
      <c r="AH388" s="50">
        <v>10</v>
      </c>
      <c r="AI388" s="50">
        <v>10</v>
      </c>
      <c r="AJ388" s="50">
        <v>10</v>
      </c>
      <c r="AK388" s="50">
        <v>7</v>
      </c>
      <c r="AL388" s="50">
        <v>7</v>
      </c>
      <c r="AM388" s="50">
        <v>10</v>
      </c>
      <c r="AN388" s="50">
        <v>10</v>
      </c>
      <c r="AO388" s="50">
        <v>10</v>
      </c>
      <c r="AP388" s="50">
        <v>10</v>
      </c>
      <c r="AQ388" s="2" t="e">
        <f t="shared" ca="1" si="128"/>
        <v>#NAME?</v>
      </c>
      <c r="AR388" s="2">
        <v>10</v>
      </c>
      <c r="AS388" s="2">
        <v>10</v>
      </c>
      <c r="AT388" s="2">
        <v>10</v>
      </c>
      <c r="AU388" s="2">
        <v>10</v>
      </c>
      <c r="AV388" s="2">
        <v>10</v>
      </c>
      <c r="AW388" s="54">
        <f t="shared" si="114"/>
        <v>10</v>
      </c>
      <c r="AX388" s="48">
        <v>7</v>
      </c>
      <c r="AY388" s="2">
        <v>8</v>
      </c>
      <c r="AZ388" s="2">
        <v>9</v>
      </c>
      <c r="BA388" s="2">
        <v>9</v>
      </c>
      <c r="BB388" s="2">
        <v>9</v>
      </c>
      <c r="BC388" s="2">
        <v>10</v>
      </c>
      <c r="BD388" s="2">
        <v>10</v>
      </c>
      <c r="BE388" s="2">
        <v>10</v>
      </c>
      <c r="BF388" s="2">
        <v>10</v>
      </c>
      <c r="BG388" s="2">
        <v>10</v>
      </c>
      <c r="BH388" s="2">
        <v>10</v>
      </c>
      <c r="BI388" s="57">
        <v>10</v>
      </c>
      <c r="BJ388" s="2" t="e">
        <f t="shared" ca="1" si="129"/>
        <v>#NAME?</v>
      </c>
      <c r="BK388" s="5">
        <v>10</v>
      </c>
      <c r="BL388" s="5">
        <v>10</v>
      </c>
      <c r="BM388" s="5">
        <v>10</v>
      </c>
      <c r="BN388" s="5">
        <v>10</v>
      </c>
      <c r="BO388" s="5">
        <v>10</v>
      </c>
      <c r="BP388" s="54">
        <f t="shared" si="115"/>
        <v>10</v>
      </c>
      <c r="BQ388" s="5"/>
      <c r="BR388" s="5"/>
      <c r="BS388" s="5">
        <v>10</v>
      </c>
      <c r="BT388" s="5">
        <v>10</v>
      </c>
      <c r="BU388" s="5">
        <v>10</v>
      </c>
      <c r="BV388" s="5">
        <v>10</v>
      </c>
      <c r="BW388" s="5">
        <v>10</v>
      </c>
      <c r="BX388" s="5">
        <v>10</v>
      </c>
      <c r="BY388" s="5">
        <v>10</v>
      </c>
      <c r="BZ388" s="5">
        <v>10</v>
      </c>
      <c r="CA388" s="5">
        <v>10</v>
      </c>
      <c r="CB388" s="5">
        <v>10</v>
      </c>
      <c r="CC388" s="2" t="e">
        <f t="shared" ca="1" si="130"/>
        <v>#NAME?</v>
      </c>
      <c r="CD388" s="55"/>
      <c r="CE388" s="2"/>
      <c r="CF388" s="2">
        <v>10</v>
      </c>
      <c r="CG388" s="2">
        <v>7</v>
      </c>
      <c r="CH388" s="2">
        <v>10</v>
      </c>
      <c r="CI388" s="2">
        <v>10</v>
      </c>
      <c r="CJ388" s="2">
        <v>10</v>
      </c>
      <c r="CK388" s="2">
        <v>7</v>
      </c>
      <c r="CL388" s="2">
        <v>7</v>
      </c>
      <c r="CM388" s="2">
        <v>10</v>
      </c>
      <c r="CN388" s="2">
        <v>7</v>
      </c>
      <c r="CO388" s="2">
        <v>7</v>
      </c>
      <c r="CP388" s="2" t="e">
        <f t="shared" ca="1" si="131"/>
        <v>#NAME?</v>
      </c>
      <c r="CQ388" s="2">
        <v>10</v>
      </c>
      <c r="CR388" s="2">
        <v>10</v>
      </c>
      <c r="CS388" s="2">
        <v>10</v>
      </c>
      <c r="CT388" s="2">
        <v>10</v>
      </c>
      <c r="CU388" s="2">
        <v>10</v>
      </c>
      <c r="CV388" s="54">
        <f t="shared" si="116"/>
        <v>10</v>
      </c>
      <c r="CW388" s="55"/>
      <c r="CX388" s="3"/>
    </row>
    <row r="389" spans="1:102" ht="16.5" x14ac:dyDescent="0.55000000000000004">
      <c r="A389" s="17">
        <v>3</v>
      </c>
      <c r="B389" s="17" t="s">
        <v>7</v>
      </c>
      <c r="C389" s="23" t="s">
        <v>818</v>
      </c>
      <c r="D389" s="24" t="s">
        <v>819</v>
      </c>
      <c r="E389" s="48">
        <v>8</v>
      </c>
      <c r="F389" s="2">
        <v>8</v>
      </c>
      <c r="G389" s="2">
        <v>10</v>
      </c>
      <c r="H389" s="2">
        <v>10</v>
      </c>
      <c r="I389" s="2">
        <v>10</v>
      </c>
      <c r="J389" s="2">
        <v>10</v>
      </c>
      <c r="K389" s="2">
        <v>10</v>
      </c>
      <c r="L389" s="2"/>
      <c r="M389" s="2"/>
      <c r="N389" s="2"/>
      <c r="O389" s="2"/>
      <c r="P389" s="2"/>
      <c r="Q389" s="2" t="e">
        <f t="shared" ca="1" si="127"/>
        <v>#NAME?</v>
      </c>
      <c r="R389" s="2">
        <v>10</v>
      </c>
      <c r="S389" s="2">
        <v>10</v>
      </c>
      <c r="T389" s="2">
        <v>10</v>
      </c>
      <c r="U389" s="2">
        <v>10</v>
      </c>
      <c r="V389" s="2">
        <v>10</v>
      </c>
      <c r="W389" s="54">
        <f t="shared" si="113"/>
        <v>10</v>
      </c>
      <c r="X389" s="48">
        <v>0</v>
      </c>
      <c r="Y389" s="48">
        <v>0</v>
      </c>
      <c r="Z389" s="2"/>
      <c r="AA389" s="50">
        <v>7</v>
      </c>
      <c r="AB389" s="50">
        <v>7</v>
      </c>
      <c r="AC389" s="50">
        <v>7</v>
      </c>
      <c r="AD389" s="50">
        <v>7</v>
      </c>
      <c r="AE389" s="50">
        <v>7</v>
      </c>
      <c r="AF389" s="50">
        <v>7</v>
      </c>
      <c r="AG389" s="50">
        <v>10</v>
      </c>
      <c r="AH389" s="50">
        <v>10</v>
      </c>
      <c r="AI389" s="50">
        <v>10</v>
      </c>
      <c r="AJ389" s="50">
        <v>10</v>
      </c>
      <c r="AK389" s="50">
        <v>7</v>
      </c>
      <c r="AL389" s="50">
        <v>7</v>
      </c>
      <c r="AM389" s="50">
        <v>10</v>
      </c>
      <c r="AN389" s="50">
        <v>10</v>
      </c>
      <c r="AO389" s="50">
        <v>10</v>
      </c>
      <c r="AP389" s="50">
        <v>10</v>
      </c>
      <c r="AQ389" s="2" t="e">
        <f t="shared" ca="1" si="128"/>
        <v>#NAME?</v>
      </c>
      <c r="AR389" s="2">
        <v>10</v>
      </c>
      <c r="AS389" s="2">
        <v>10</v>
      </c>
      <c r="AT389" s="2">
        <v>10</v>
      </c>
      <c r="AU389" s="2">
        <v>10</v>
      </c>
      <c r="AV389" s="2">
        <v>10</v>
      </c>
      <c r="AW389" s="54">
        <f t="shared" si="114"/>
        <v>10</v>
      </c>
      <c r="AX389" s="48">
        <v>8</v>
      </c>
      <c r="AY389" s="2">
        <v>8</v>
      </c>
      <c r="AZ389" s="2">
        <v>10</v>
      </c>
      <c r="BA389" s="2">
        <v>10</v>
      </c>
      <c r="BB389" s="2">
        <v>10</v>
      </c>
      <c r="BC389" s="2">
        <v>10</v>
      </c>
      <c r="BD389" s="2">
        <v>10</v>
      </c>
      <c r="BE389" s="2">
        <v>10</v>
      </c>
      <c r="BF389" s="2">
        <v>10</v>
      </c>
      <c r="BG389" s="2">
        <v>10</v>
      </c>
      <c r="BH389" s="2">
        <v>10</v>
      </c>
      <c r="BI389" s="57">
        <v>10</v>
      </c>
      <c r="BJ389" s="2" t="e">
        <f t="shared" ca="1" si="129"/>
        <v>#NAME?</v>
      </c>
      <c r="BK389" s="5">
        <v>10</v>
      </c>
      <c r="BL389" s="5">
        <v>10</v>
      </c>
      <c r="BM389" s="5">
        <v>10</v>
      </c>
      <c r="BN389" s="5">
        <v>10</v>
      </c>
      <c r="BO389" s="5">
        <v>10</v>
      </c>
      <c r="BP389" s="54">
        <f t="shared" si="115"/>
        <v>10</v>
      </c>
      <c r="BQ389" s="5"/>
      <c r="BR389" s="5"/>
      <c r="BS389" s="5">
        <v>10</v>
      </c>
      <c r="BT389" s="5">
        <v>10</v>
      </c>
      <c r="BU389" s="5">
        <v>10</v>
      </c>
      <c r="BV389" s="5">
        <v>10</v>
      </c>
      <c r="BW389" s="5">
        <v>10</v>
      </c>
      <c r="BX389" s="5">
        <v>10</v>
      </c>
      <c r="BY389" s="5">
        <v>10</v>
      </c>
      <c r="BZ389" s="5">
        <v>10</v>
      </c>
      <c r="CA389" s="5">
        <v>10</v>
      </c>
      <c r="CB389" s="5">
        <v>10</v>
      </c>
      <c r="CC389" s="2" t="e">
        <f t="shared" ca="1" si="130"/>
        <v>#NAME?</v>
      </c>
      <c r="CD389" s="55"/>
      <c r="CE389" s="2"/>
      <c r="CF389" s="2">
        <v>10</v>
      </c>
      <c r="CG389" s="2">
        <v>10</v>
      </c>
      <c r="CH389" s="2">
        <v>10</v>
      </c>
      <c r="CI389" s="2">
        <v>10</v>
      </c>
      <c r="CJ389" s="2">
        <v>10</v>
      </c>
      <c r="CK389" s="2">
        <v>10</v>
      </c>
      <c r="CL389" s="2">
        <v>10</v>
      </c>
      <c r="CM389" s="2">
        <v>10</v>
      </c>
      <c r="CN389" s="2">
        <v>10</v>
      </c>
      <c r="CO389" s="2">
        <v>10</v>
      </c>
      <c r="CP389" s="2" t="e">
        <f t="shared" ca="1" si="131"/>
        <v>#NAME?</v>
      </c>
      <c r="CQ389" s="2">
        <v>10</v>
      </c>
      <c r="CR389" s="2">
        <v>10</v>
      </c>
      <c r="CS389" s="2">
        <v>10</v>
      </c>
      <c r="CT389" s="2">
        <v>10</v>
      </c>
      <c r="CU389" s="2">
        <v>10</v>
      </c>
      <c r="CV389" s="54">
        <f t="shared" si="116"/>
        <v>10</v>
      </c>
      <c r="CW389" s="55"/>
      <c r="CX389" s="3"/>
    </row>
    <row r="390" spans="1:102" ht="16.5" x14ac:dyDescent="0.55000000000000004">
      <c r="A390" s="17">
        <v>3</v>
      </c>
      <c r="B390" s="17" t="s">
        <v>7</v>
      </c>
      <c r="C390" s="23" t="s">
        <v>820</v>
      </c>
      <c r="D390" s="24" t="s">
        <v>821</v>
      </c>
      <c r="E390" s="48">
        <v>7</v>
      </c>
      <c r="F390" s="2">
        <v>7</v>
      </c>
      <c r="G390" s="2">
        <v>8</v>
      </c>
      <c r="H390" s="2">
        <v>10</v>
      </c>
      <c r="I390" s="2">
        <v>8</v>
      </c>
      <c r="J390" s="2">
        <v>10</v>
      </c>
      <c r="K390" s="2">
        <v>10</v>
      </c>
      <c r="L390" s="2"/>
      <c r="M390" s="2"/>
      <c r="N390" s="2"/>
      <c r="O390" s="2"/>
      <c r="P390" s="2"/>
      <c r="Q390" s="2" t="e">
        <f t="shared" ca="1" si="127"/>
        <v>#NAME?</v>
      </c>
      <c r="R390" s="8">
        <v>10</v>
      </c>
      <c r="S390" s="8">
        <v>10</v>
      </c>
      <c r="T390" s="8">
        <v>10</v>
      </c>
      <c r="U390" s="8">
        <v>10</v>
      </c>
      <c r="V390" s="8">
        <v>10</v>
      </c>
      <c r="W390" s="54">
        <f t="shared" si="113"/>
        <v>10</v>
      </c>
      <c r="X390" s="48">
        <v>10</v>
      </c>
      <c r="Y390" s="48">
        <v>10</v>
      </c>
      <c r="Z390" s="2"/>
      <c r="AA390" s="49">
        <v>10</v>
      </c>
      <c r="AB390" s="49">
        <v>10</v>
      </c>
      <c r="AC390" s="49">
        <v>10</v>
      </c>
      <c r="AD390" s="49">
        <v>10</v>
      </c>
      <c r="AE390" s="49">
        <v>10</v>
      </c>
      <c r="AF390" s="49">
        <v>10</v>
      </c>
      <c r="AG390" s="49">
        <v>10</v>
      </c>
      <c r="AH390" s="49">
        <v>10</v>
      </c>
      <c r="AI390" s="49">
        <v>10</v>
      </c>
      <c r="AJ390" s="49">
        <v>10</v>
      </c>
      <c r="AK390" s="49">
        <v>10</v>
      </c>
      <c r="AL390" s="49">
        <v>10</v>
      </c>
      <c r="AM390" s="49">
        <v>10</v>
      </c>
      <c r="AN390" s="49">
        <v>10</v>
      </c>
      <c r="AO390" s="49">
        <v>10</v>
      </c>
      <c r="AP390" s="49">
        <v>10</v>
      </c>
      <c r="AQ390" s="2" t="e">
        <f t="shared" ca="1" si="128"/>
        <v>#NAME?</v>
      </c>
      <c r="AR390" s="2">
        <v>10</v>
      </c>
      <c r="AS390" s="2">
        <v>10</v>
      </c>
      <c r="AT390" s="2">
        <v>10</v>
      </c>
      <c r="AU390" s="2">
        <v>10</v>
      </c>
      <c r="AV390" s="2">
        <v>10</v>
      </c>
      <c r="AW390" s="54">
        <f t="shared" si="114"/>
        <v>10</v>
      </c>
      <c r="AX390" s="48">
        <v>8</v>
      </c>
      <c r="AY390" s="2">
        <v>7</v>
      </c>
      <c r="AZ390" s="2">
        <v>9</v>
      </c>
      <c r="BA390" s="2">
        <v>10</v>
      </c>
      <c r="BB390" s="2">
        <v>10</v>
      </c>
      <c r="BC390" s="2">
        <v>10</v>
      </c>
      <c r="BD390" s="2">
        <v>10</v>
      </c>
      <c r="BE390" s="2">
        <v>10</v>
      </c>
      <c r="BF390" s="2">
        <v>10</v>
      </c>
      <c r="BG390" s="2">
        <v>10</v>
      </c>
      <c r="BH390" s="2">
        <v>10</v>
      </c>
      <c r="BI390" s="57">
        <v>10</v>
      </c>
      <c r="BJ390" s="2" t="e">
        <f t="shared" ca="1" si="129"/>
        <v>#NAME?</v>
      </c>
      <c r="BK390" s="5">
        <v>10</v>
      </c>
      <c r="BL390" s="5">
        <v>10</v>
      </c>
      <c r="BM390" s="5">
        <v>10</v>
      </c>
      <c r="BN390" s="5">
        <v>10</v>
      </c>
      <c r="BO390" s="5">
        <v>10</v>
      </c>
      <c r="BP390" s="54">
        <f t="shared" si="115"/>
        <v>10</v>
      </c>
      <c r="BQ390" s="5"/>
      <c r="BR390" s="5"/>
      <c r="BS390" s="5">
        <v>10</v>
      </c>
      <c r="BT390" s="5">
        <v>10</v>
      </c>
      <c r="BU390" s="5">
        <v>10</v>
      </c>
      <c r="BV390" s="5">
        <v>10</v>
      </c>
      <c r="BW390" s="5">
        <v>10</v>
      </c>
      <c r="BX390" s="5">
        <v>10</v>
      </c>
      <c r="BY390" s="5">
        <v>10</v>
      </c>
      <c r="BZ390" s="5">
        <v>10</v>
      </c>
      <c r="CA390" s="5">
        <v>10</v>
      </c>
      <c r="CB390" s="5">
        <v>10</v>
      </c>
      <c r="CC390" s="2" t="e">
        <f t="shared" ca="1" si="130"/>
        <v>#NAME?</v>
      </c>
      <c r="CD390" s="55"/>
      <c r="CE390" s="2"/>
      <c r="CF390" s="2">
        <v>10</v>
      </c>
      <c r="CG390" s="2">
        <v>10</v>
      </c>
      <c r="CH390" s="2">
        <v>10</v>
      </c>
      <c r="CI390" s="2">
        <v>10</v>
      </c>
      <c r="CJ390" s="2">
        <v>10</v>
      </c>
      <c r="CK390" s="2">
        <v>10</v>
      </c>
      <c r="CL390" s="2">
        <v>10</v>
      </c>
      <c r="CM390" s="2">
        <v>10</v>
      </c>
      <c r="CN390" s="2">
        <v>10</v>
      </c>
      <c r="CO390" s="2">
        <v>10</v>
      </c>
      <c r="CP390" s="2" t="e">
        <f t="shared" ca="1" si="131"/>
        <v>#NAME?</v>
      </c>
      <c r="CQ390" s="2">
        <v>10</v>
      </c>
      <c r="CR390" s="2">
        <v>10</v>
      </c>
      <c r="CS390" s="2">
        <v>10</v>
      </c>
      <c r="CT390" s="2">
        <v>10</v>
      </c>
      <c r="CU390" s="2">
        <v>10</v>
      </c>
      <c r="CV390" s="54">
        <f t="shared" si="116"/>
        <v>10</v>
      </c>
      <c r="CW390" s="55"/>
      <c r="CX390" s="3"/>
    </row>
    <row r="391" spans="1:102" ht="16.5" x14ac:dyDescent="0.55000000000000004">
      <c r="A391" s="17">
        <v>3</v>
      </c>
      <c r="B391" s="17" t="s">
        <v>7</v>
      </c>
      <c r="C391" s="23" t="s">
        <v>822</v>
      </c>
      <c r="D391" s="24" t="s">
        <v>823</v>
      </c>
      <c r="E391" s="48" t="s">
        <v>31</v>
      </c>
      <c r="F391" s="2" t="s">
        <v>31</v>
      </c>
      <c r="G391" s="2">
        <v>7</v>
      </c>
      <c r="H391" s="2">
        <v>5</v>
      </c>
      <c r="I391" s="2">
        <v>5</v>
      </c>
      <c r="J391" s="2">
        <v>5</v>
      </c>
      <c r="K391" s="2">
        <v>5</v>
      </c>
      <c r="L391" s="2"/>
      <c r="M391" s="2"/>
      <c r="N391" s="2"/>
      <c r="O391" s="2"/>
      <c r="P391" s="2"/>
      <c r="Q391" s="2" t="e">
        <f t="shared" ca="1" si="127"/>
        <v>#NAME?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  <c r="W391" s="54">
        <f t="shared" si="113"/>
        <v>5</v>
      </c>
      <c r="X391" s="48">
        <v>0</v>
      </c>
      <c r="Y391" s="48">
        <v>0</v>
      </c>
      <c r="Z391" s="2"/>
      <c r="AA391" s="49">
        <v>7</v>
      </c>
      <c r="AB391" s="49">
        <v>7</v>
      </c>
      <c r="AC391" s="49">
        <v>7</v>
      </c>
      <c r="AD391" s="49">
        <v>7</v>
      </c>
      <c r="AE391" s="49">
        <v>7</v>
      </c>
      <c r="AF391" s="49">
        <v>7</v>
      </c>
      <c r="AG391" s="50">
        <v>10</v>
      </c>
      <c r="AH391" s="50">
        <v>10</v>
      </c>
      <c r="AI391" s="50">
        <v>10</v>
      </c>
      <c r="AJ391" s="50">
        <v>10</v>
      </c>
      <c r="AK391" s="49">
        <v>7</v>
      </c>
      <c r="AL391" s="49">
        <v>7</v>
      </c>
      <c r="AM391" s="50">
        <v>10</v>
      </c>
      <c r="AN391" s="50">
        <v>10</v>
      </c>
      <c r="AO391" s="50">
        <v>10</v>
      </c>
      <c r="AP391" s="50">
        <v>10</v>
      </c>
      <c r="AQ391" s="2" t="e">
        <f t="shared" ca="1" si="128"/>
        <v>#NAME?</v>
      </c>
      <c r="AR391" s="49">
        <v>7</v>
      </c>
      <c r="AS391" s="49">
        <v>7</v>
      </c>
      <c r="AT391" s="49">
        <v>7</v>
      </c>
      <c r="AU391" s="49">
        <v>10</v>
      </c>
      <c r="AV391" s="49">
        <v>10</v>
      </c>
      <c r="AW391" s="54">
        <f t="shared" si="114"/>
        <v>9</v>
      </c>
      <c r="AX391" s="48">
        <v>9</v>
      </c>
      <c r="AY391" s="2">
        <v>8</v>
      </c>
      <c r="AZ391" s="2">
        <v>9</v>
      </c>
      <c r="BA391" s="2">
        <v>9</v>
      </c>
      <c r="BB391" s="2">
        <v>9</v>
      </c>
      <c r="BC391" s="2">
        <v>10</v>
      </c>
      <c r="BD391" s="2">
        <v>10</v>
      </c>
      <c r="BE391" s="2">
        <v>10</v>
      </c>
      <c r="BF391" s="2">
        <v>10</v>
      </c>
      <c r="BG391" s="2">
        <v>10</v>
      </c>
      <c r="BH391" s="2">
        <v>10</v>
      </c>
      <c r="BI391" s="57">
        <v>10</v>
      </c>
      <c r="BJ391" s="2" t="e">
        <f t="shared" ca="1" si="129"/>
        <v>#NAME?</v>
      </c>
      <c r="BK391" s="5">
        <v>10</v>
      </c>
      <c r="BL391" s="5">
        <v>10</v>
      </c>
      <c r="BM391" s="5">
        <v>10</v>
      </c>
      <c r="BN391" s="5">
        <v>9</v>
      </c>
      <c r="BO391" s="5">
        <v>9</v>
      </c>
      <c r="BP391" s="54">
        <f t="shared" si="115"/>
        <v>10</v>
      </c>
      <c r="BQ391" s="5"/>
      <c r="BR391" s="5"/>
      <c r="BS391" s="5">
        <v>10</v>
      </c>
      <c r="BT391" s="5">
        <v>10</v>
      </c>
      <c r="BU391" s="5">
        <v>10</v>
      </c>
      <c r="BV391" s="5">
        <v>10</v>
      </c>
      <c r="BW391" s="5">
        <v>10</v>
      </c>
      <c r="BX391" s="5">
        <v>10</v>
      </c>
      <c r="BY391" s="5">
        <v>10</v>
      </c>
      <c r="BZ391" s="5">
        <v>10</v>
      </c>
      <c r="CA391" s="5">
        <v>10</v>
      </c>
      <c r="CB391" s="5">
        <v>10</v>
      </c>
      <c r="CC391" s="2" t="e">
        <f t="shared" ca="1" si="130"/>
        <v>#NAME?</v>
      </c>
      <c r="CD391" s="55"/>
      <c r="CE391" s="2"/>
      <c r="CF391" s="2">
        <v>6</v>
      </c>
      <c r="CG391" s="2">
        <v>6</v>
      </c>
      <c r="CH391" s="8">
        <v>6</v>
      </c>
      <c r="CI391" s="8">
        <v>6</v>
      </c>
      <c r="CJ391" s="2">
        <v>6</v>
      </c>
      <c r="CK391" s="2">
        <v>6</v>
      </c>
      <c r="CL391" s="2">
        <v>6</v>
      </c>
      <c r="CM391" s="2">
        <v>6</v>
      </c>
      <c r="CN391" s="2">
        <v>6</v>
      </c>
      <c r="CO391" s="2">
        <v>6</v>
      </c>
      <c r="CP391" s="2" t="e">
        <f t="shared" ca="1" si="131"/>
        <v>#NAME?</v>
      </c>
      <c r="CQ391" s="2">
        <v>6</v>
      </c>
      <c r="CR391" s="2">
        <v>6</v>
      </c>
      <c r="CS391" s="2">
        <v>6</v>
      </c>
      <c r="CT391" s="2">
        <v>6</v>
      </c>
      <c r="CU391" s="2">
        <v>6</v>
      </c>
      <c r="CV391" s="54">
        <f t="shared" si="116"/>
        <v>6</v>
      </c>
      <c r="CW391" s="55"/>
      <c r="CX391" s="3"/>
    </row>
    <row r="392" spans="1:102" ht="16.5" x14ac:dyDescent="0.55000000000000004">
      <c r="A392" s="17">
        <v>3</v>
      </c>
      <c r="B392" s="17" t="s">
        <v>7</v>
      </c>
      <c r="C392" s="23" t="s">
        <v>824</v>
      </c>
      <c r="D392" s="24" t="s">
        <v>825</v>
      </c>
      <c r="E392" s="48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/>
      <c r="M392" s="2"/>
      <c r="N392" s="2"/>
      <c r="O392" s="2"/>
      <c r="P392" s="2"/>
      <c r="Q392" s="2" t="e">
        <f t="shared" ca="1" si="127"/>
        <v>#NAME?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54">
        <f t="shared" si="113"/>
        <v>0</v>
      </c>
      <c r="X392" s="48">
        <v>4</v>
      </c>
      <c r="Y392" s="48">
        <v>4</v>
      </c>
      <c r="Z392" s="2"/>
      <c r="AA392" s="49">
        <v>7</v>
      </c>
      <c r="AB392" s="49">
        <v>7</v>
      </c>
      <c r="AC392" s="49">
        <v>7</v>
      </c>
      <c r="AD392" s="50">
        <v>7</v>
      </c>
      <c r="AE392" s="49">
        <v>7</v>
      </c>
      <c r="AF392" s="49">
        <v>7</v>
      </c>
      <c r="AG392" s="49">
        <v>10</v>
      </c>
      <c r="AH392" s="49">
        <v>10</v>
      </c>
      <c r="AI392" s="49">
        <v>10</v>
      </c>
      <c r="AJ392" s="49">
        <v>10</v>
      </c>
      <c r="AK392" s="49">
        <v>7</v>
      </c>
      <c r="AL392" s="49">
        <v>7</v>
      </c>
      <c r="AM392" s="49">
        <v>10</v>
      </c>
      <c r="AN392" s="49">
        <v>10</v>
      </c>
      <c r="AO392" s="49">
        <v>10</v>
      </c>
      <c r="AP392" s="49">
        <v>10</v>
      </c>
      <c r="AQ392" s="2" t="e">
        <f t="shared" ca="1" si="128"/>
        <v>#NAME?</v>
      </c>
      <c r="AR392" s="49">
        <v>7</v>
      </c>
      <c r="AS392" s="49">
        <v>7</v>
      </c>
      <c r="AT392" s="49">
        <v>7</v>
      </c>
      <c r="AU392" s="50">
        <v>10</v>
      </c>
      <c r="AV392" s="50">
        <v>10</v>
      </c>
      <c r="AW392" s="54">
        <f t="shared" si="114"/>
        <v>9</v>
      </c>
      <c r="AX392" s="48">
        <v>6</v>
      </c>
      <c r="AY392" s="2">
        <v>7</v>
      </c>
      <c r="AZ392" s="2">
        <v>6</v>
      </c>
      <c r="BA392" s="2">
        <v>6</v>
      </c>
      <c r="BB392" s="2">
        <v>6</v>
      </c>
      <c r="BC392" s="2">
        <v>7</v>
      </c>
      <c r="BD392" s="2">
        <v>7</v>
      </c>
      <c r="BE392" s="2">
        <v>7</v>
      </c>
      <c r="BF392" s="2">
        <v>7</v>
      </c>
      <c r="BG392" s="2">
        <v>7</v>
      </c>
      <c r="BH392" s="2">
        <v>7</v>
      </c>
      <c r="BI392" s="57">
        <v>7</v>
      </c>
      <c r="BJ392" s="2" t="e">
        <f t="shared" ca="1" si="129"/>
        <v>#NAME?</v>
      </c>
      <c r="BK392" s="5">
        <v>8</v>
      </c>
      <c r="BL392" s="5">
        <v>8</v>
      </c>
      <c r="BM392" s="5">
        <v>8</v>
      </c>
      <c r="BN392" s="5">
        <v>8</v>
      </c>
      <c r="BO392" s="5">
        <v>8</v>
      </c>
      <c r="BP392" s="54">
        <f t="shared" si="115"/>
        <v>8</v>
      </c>
      <c r="BQ392" s="5"/>
      <c r="BR392" s="5"/>
      <c r="BS392" s="5">
        <v>10</v>
      </c>
      <c r="BT392" s="5">
        <v>10</v>
      </c>
      <c r="BU392" s="5">
        <v>10</v>
      </c>
      <c r="BV392" s="5">
        <v>10</v>
      </c>
      <c r="BW392" s="5">
        <v>10</v>
      </c>
      <c r="BX392" s="5">
        <v>10</v>
      </c>
      <c r="BY392" s="5">
        <v>8</v>
      </c>
      <c r="BZ392" s="5">
        <v>8</v>
      </c>
      <c r="CA392" s="5">
        <v>8</v>
      </c>
      <c r="CB392" s="5">
        <v>8</v>
      </c>
      <c r="CC392" s="2" t="e">
        <f t="shared" ca="1" si="130"/>
        <v>#NAME?</v>
      </c>
      <c r="CD392" s="55"/>
      <c r="CE392" s="2"/>
      <c r="CF392" s="2">
        <v>10</v>
      </c>
      <c r="CG392" s="2">
        <v>10</v>
      </c>
      <c r="CH392" s="2">
        <v>10</v>
      </c>
      <c r="CI392" s="2">
        <v>10</v>
      </c>
      <c r="CJ392" s="2">
        <v>10</v>
      </c>
      <c r="CK392" s="2">
        <v>10</v>
      </c>
      <c r="CL392" s="2">
        <v>10</v>
      </c>
      <c r="CM392" s="2">
        <v>10</v>
      </c>
      <c r="CN392" s="2">
        <v>10</v>
      </c>
      <c r="CO392" s="2">
        <v>10</v>
      </c>
      <c r="CP392" s="2" t="e">
        <f t="shared" ca="1" si="131"/>
        <v>#NAME?</v>
      </c>
      <c r="CQ392" s="2">
        <v>10</v>
      </c>
      <c r="CR392" s="2">
        <v>10</v>
      </c>
      <c r="CS392" s="2">
        <v>10</v>
      </c>
      <c r="CT392" s="2">
        <v>6</v>
      </c>
      <c r="CU392" s="2">
        <v>6</v>
      </c>
      <c r="CV392" s="54">
        <f t="shared" si="116"/>
        <v>9</v>
      </c>
      <c r="CW392" s="55"/>
      <c r="CX392" s="3"/>
    </row>
    <row r="393" spans="1:102" ht="16.5" x14ac:dyDescent="0.55000000000000004">
      <c r="A393" s="17">
        <v>3</v>
      </c>
      <c r="B393" s="17" t="s">
        <v>7</v>
      </c>
      <c r="C393" s="23" t="s">
        <v>826</v>
      </c>
      <c r="D393" s="24" t="s">
        <v>827</v>
      </c>
      <c r="E393" s="48">
        <v>4</v>
      </c>
      <c r="F393" s="2">
        <v>4</v>
      </c>
      <c r="G393" s="2">
        <v>10</v>
      </c>
      <c r="H393" s="2">
        <v>7</v>
      </c>
      <c r="I393" s="2">
        <v>7</v>
      </c>
      <c r="J393" s="2">
        <v>7</v>
      </c>
      <c r="K393" s="2">
        <v>7</v>
      </c>
      <c r="L393" s="2"/>
      <c r="M393" s="2"/>
      <c r="N393" s="2"/>
      <c r="O393" s="2"/>
      <c r="P393" s="2"/>
      <c r="Q393" s="2" t="e">
        <f t="shared" ca="1" si="127"/>
        <v>#NAME?</v>
      </c>
      <c r="R393" s="2">
        <v>5</v>
      </c>
      <c r="S393" s="2">
        <v>5</v>
      </c>
      <c r="T393" s="2">
        <v>10</v>
      </c>
      <c r="U393" s="2">
        <v>10</v>
      </c>
      <c r="V393" s="2">
        <v>10</v>
      </c>
      <c r="W393" s="54">
        <f t="shared" si="113"/>
        <v>8</v>
      </c>
      <c r="X393" s="48">
        <v>0</v>
      </c>
      <c r="Y393" s="48">
        <v>0</v>
      </c>
      <c r="Z393" s="2"/>
      <c r="AA393" s="49">
        <v>7</v>
      </c>
      <c r="AB393" s="49">
        <v>7</v>
      </c>
      <c r="AC393" s="49">
        <v>7</v>
      </c>
      <c r="AD393" s="49">
        <v>7</v>
      </c>
      <c r="AE393" s="49">
        <v>7</v>
      </c>
      <c r="AF393" s="49">
        <v>7</v>
      </c>
      <c r="AG393" s="49">
        <v>10</v>
      </c>
      <c r="AH393" s="49">
        <v>10</v>
      </c>
      <c r="AI393" s="49">
        <v>10</v>
      </c>
      <c r="AJ393" s="49">
        <v>10</v>
      </c>
      <c r="AK393" s="49">
        <v>7</v>
      </c>
      <c r="AL393" s="49">
        <v>7</v>
      </c>
      <c r="AM393" s="49">
        <v>10</v>
      </c>
      <c r="AN393" s="49">
        <v>10</v>
      </c>
      <c r="AO393" s="49">
        <v>10</v>
      </c>
      <c r="AP393" s="49">
        <v>10</v>
      </c>
      <c r="AQ393" s="2" t="e">
        <f t="shared" ca="1" si="128"/>
        <v>#NAME?</v>
      </c>
      <c r="AR393" s="49">
        <v>7</v>
      </c>
      <c r="AS393" s="49">
        <v>7</v>
      </c>
      <c r="AT393" s="49">
        <v>7</v>
      </c>
      <c r="AU393" s="49">
        <v>10</v>
      </c>
      <c r="AV393" s="49">
        <v>10</v>
      </c>
      <c r="AW393" s="54">
        <f t="shared" si="114"/>
        <v>9</v>
      </c>
      <c r="AX393" s="48">
        <v>7</v>
      </c>
      <c r="AY393" s="2">
        <v>8</v>
      </c>
      <c r="AZ393" s="2">
        <v>10</v>
      </c>
      <c r="BA393" s="2">
        <v>10</v>
      </c>
      <c r="BB393" s="2">
        <v>10</v>
      </c>
      <c r="BC393" s="2">
        <v>9</v>
      </c>
      <c r="BD393" s="2">
        <v>10</v>
      </c>
      <c r="BE393" s="2">
        <v>10</v>
      </c>
      <c r="BF393" s="2">
        <v>10</v>
      </c>
      <c r="BG393" s="2">
        <v>10</v>
      </c>
      <c r="BH393" s="2">
        <v>10</v>
      </c>
      <c r="BI393" s="57">
        <v>10</v>
      </c>
      <c r="BJ393" s="2" t="e">
        <f t="shared" ca="1" si="129"/>
        <v>#NAME?</v>
      </c>
      <c r="BK393" s="5">
        <v>10</v>
      </c>
      <c r="BL393" s="5">
        <v>10</v>
      </c>
      <c r="BM393" s="5">
        <v>10</v>
      </c>
      <c r="BN393" s="5">
        <v>10</v>
      </c>
      <c r="BO393" s="5">
        <v>10</v>
      </c>
      <c r="BP393" s="54">
        <f t="shared" si="115"/>
        <v>10</v>
      </c>
      <c r="BQ393" s="5"/>
      <c r="BR393" s="5"/>
      <c r="BS393" s="5">
        <v>10</v>
      </c>
      <c r="BT393" s="5">
        <v>10</v>
      </c>
      <c r="BU393" s="5">
        <v>10</v>
      </c>
      <c r="BV393" s="5">
        <v>10</v>
      </c>
      <c r="BW393" s="5">
        <v>10</v>
      </c>
      <c r="BX393" s="5">
        <v>10</v>
      </c>
      <c r="BY393" s="5">
        <v>10</v>
      </c>
      <c r="BZ393" s="5">
        <v>10</v>
      </c>
      <c r="CA393" s="5">
        <v>10</v>
      </c>
      <c r="CB393" s="5">
        <v>10</v>
      </c>
      <c r="CC393" s="2" t="e">
        <f t="shared" ca="1" si="130"/>
        <v>#NAME?</v>
      </c>
      <c r="CD393" s="55"/>
      <c r="CE393" s="2"/>
      <c r="CF393" s="2">
        <v>10</v>
      </c>
      <c r="CG393" s="2">
        <v>10</v>
      </c>
      <c r="CH393" s="2">
        <v>10</v>
      </c>
      <c r="CI393" s="2">
        <v>10</v>
      </c>
      <c r="CJ393" s="2">
        <v>10</v>
      </c>
      <c r="CK393" s="2">
        <v>10</v>
      </c>
      <c r="CL393" s="2">
        <v>10</v>
      </c>
      <c r="CM393" s="2">
        <v>10</v>
      </c>
      <c r="CN393" s="2">
        <v>10</v>
      </c>
      <c r="CO393" s="2">
        <v>10</v>
      </c>
      <c r="CP393" s="2" t="e">
        <f t="shared" ca="1" si="131"/>
        <v>#NAME?</v>
      </c>
      <c r="CQ393" s="2">
        <v>10</v>
      </c>
      <c r="CR393" s="2">
        <v>10</v>
      </c>
      <c r="CS393" s="2">
        <v>10</v>
      </c>
      <c r="CT393" s="2">
        <v>10</v>
      </c>
      <c r="CU393" s="2">
        <v>10</v>
      </c>
      <c r="CV393" s="54">
        <f t="shared" si="116"/>
        <v>10</v>
      </c>
      <c r="CW393" s="55"/>
      <c r="CX393" s="3"/>
    </row>
    <row r="394" spans="1:102" ht="16.5" x14ac:dyDescent="0.55000000000000004">
      <c r="A394" s="17">
        <v>3</v>
      </c>
      <c r="B394" s="17" t="s">
        <v>7</v>
      </c>
      <c r="C394" s="23" t="s">
        <v>828</v>
      </c>
      <c r="D394" s="24" t="s">
        <v>829</v>
      </c>
      <c r="E394" s="48">
        <v>10</v>
      </c>
      <c r="F394" s="2">
        <v>10</v>
      </c>
      <c r="G394" s="2">
        <v>10</v>
      </c>
      <c r="H394" s="2">
        <v>10</v>
      </c>
      <c r="I394" s="2">
        <v>9</v>
      </c>
      <c r="J394" s="2">
        <v>10</v>
      </c>
      <c r="K394" s="2">
        <v>10</v>
      </c>
      <c r="L394" s="2"/>
      <c r="M394" s="2"/>
      <c r="N394" s="2"/>
      <c r="O394" s="2"/>
      <c r="P394" s="2"/>
      <c r="Q394" s="2" t="e">
        <f t="shared" ca="1" si="127"/>
        <v>#NAME?</v>
      </c>
      <c r="R394" s="2">
        <v>8</v>
      </c>
      <c r="S394" s="2">
        <v>8</v>
      </c>
      <c r="T394" s="2">
        <v>10</v>
      </c>
      <c r="U394" s="2">
        <v>10</v>
      </c>
      <c r="V394" s="2">
        <v>10</v>
      </c>
      <c r="W394" s="54">
        <f t="shared" si="113"/>
        <v>10</v>
      </c>
      <c r="X394" s="48">
        <v>8</v>
      </c>
      <c r="Y394" s="48">
        <v>8</v>
      </c>
      <c r="Z394" s="2"/>
      <c r="AA394" s="50">
        <v>7</v>
      </c>
      <c r="AB394" s="50">
        <v>7</v>
      </c>
      <c r="AC394" s="50">
        <v>7</v>
      </c>
      <c r="AD394" s="50">
        <v>7</v>
      </c>
      <c r="AE394" s="50">
        <v>7</v>
      </c>
      <c r="AF394" s="50">
        <v>7</v>
      </c>
      <c r="AG394" s="50">
        <v>10</v>
      </c>
      <c r="AH394" s="50">
        <v>10</v>
      </c>
      <c r="AI394" s="50">
        <v>10</v>
      </c>
      <c r="AJ394" s="50">
        <v>10</v>
      </c>
      <c r="AK394" s="50">
        <v>7</v>
      </c>
      <c r="AL394" s="50">
        <v>7</v>
      </c>
      <c r="AM394" s="50">
        <v>10</v>
      </c>
      <c r="AN394" s="50">
        <v>10</v>
      </c>
      <c r="AO394" s="50">
        <v>10</v>
      </c>
      <c r="AP394" s="50">
        <v>10</v>
      </c>
      <c r="AQ394" s="2" t="e">
        <f t="shared" ca="1" si="128"/>
        <v>#NAME?</v>
      </c>
      <c r="AR394" s="2">
        <v>10</v>
      </c>
      <c r="AS394" s="2">
        <v>10</v>
      </c>
      <c r="AT394" s="2">
        <v>10</v>
      </c>
      <c r="AU394" s="2">
        <v>10</v>
      </c>
      <c r="AV394" s="2">
        <v>10</v>
      </c>
      <c r="AW394" s="54">
        <f t="shared" si="114"/>
        <v>10</v>
      </c>
      <c r="AX394" s="48">
        <v>6</v>
      </c>
      <c r="AY394" s="2">
        <v>6</v>
      </c>
      <c r="AZ394" s="2">
        <v>10</v>
      </c>
      <c r="BA394" s="2">
        <v>10</v>
      </c>
      <c r="BB394" s="2">
        <v>10</v>
      </c>
      <c r="BC394" s="2">
        <v>10</v>
      </c>
      <c r="BD394" s="2">
        <v>10</v>
      </c>
      <c r="BE394" s="2">
        <v>10</v>
      </c>
      <c r="BF394" s="2">
        <v>10</v>
      </c>
      <c r="BG394" s="2">
        <v>10</v>
      </c>
      <c r="BH394" s="2">
        <v>10</v>
      </c>
      <c r="BI394" s="57">
        <v>10</v>
      </c>
      <c r="BJ394" s="2" t="e">
        <f t="shared" ca="1" si="129"/>
        <v>#NAME?</v>
      </c>
      <c r="BK394" s="5">
        <v>10</v>
      </c>
      <c r="BL394" s="5">
        <v>10</v>
      </c>
      <c r="BM394" s="5">
        <v>10</v>
      </c>
      <c r="BN394" s="5">
        <v>10</v>
      </c>
      <c r="BO394" s="5">
        <v>10</v>
      </c>
      <c r="BP394" s="54">
        <f t="shared" si="115"/>
        <v>10</v>
      </c>
      <c r="BQ394" s="5"/>
      <c r="BR394" s="5"/>
      <c r="BS394" s="5">
        <v>10</v>
      </c>
      <c r="BT394" s="5">
        <v>10</v>
      </c>
      <c r="BU394" s="5">
        <v>10</v>
      </c>
      <c r="BV394" s="5">
        <v>10</v>
      </c>
      <c r="BW394" s="5">
        <v>10</v>
      </c>
      <c r="BX394" s="5">
        <v>10</v>
      </c>
      <c r="BY394" s="5">
        <v>10</v>
      </c>
      <c r="BZ394" s="5">
        <v>10</v>
      </c>
      <c r="CA394" s="5">
        <v>10</v>
      </c>
      <c r="CB394" s="5">
        <v>10</v>
      </c>
      <c r="CC394" s="2" t="e">
        <f t="shared" ca="1" si="130"/>
        <v>#NAME?</v>
      </c>
      <c r="CD394" s="55">
        <v>10</v>
      </c>
      <c r="CE394" s="2">
        <v>10</v>
      </c>
      <c r="CF394" s="2">
        <v>10</v>
      </c>
      <c r="CG394" s="2">
        <v>10</v>
      </c>
      <c r="CH394" s="2">
        <v>10</v>
      </c>
      <c r="CI394" s="2">
        <v>10</v>
      </c>
      <c r="CJ394" s="2">
        <v>10</v>
      </c>
      <c r="CK394" s="2">
        <v>10</v>
      </c>
      <c r="CL394" s="2">
        <v>10</v>
      </c>
      <c r="CM394" s="2">
        <v>10</v>
      </c>
      <c r="CN394" s="2">
        <v>10</v>
      </c>
      <c r="CO394" s="2">
        <v>10</v>
      </c>
      <c r="CP394" s="2" t="e">
        <f t="shared" ca="1" si="131"/>
        <v>#NAME?</v>
      </c>
      <c r="CQ394" s="2">
        <v>10</v>
      </c>
      <c r="CR394" s="2">
        <v>10</v>
      </c>
      <c r="CS394" s="2">
        <v>10</v>
      </c>
      <c r="CT394" s="2">
        <v>10</v>
      </c>
      <c r="CU394" s="2">
        <v>10</v>
      </c>
      <c r="CV394" s="54">
        <f t="shared" si="116"/>
        <v>10</v>
      </c>
      <c r="CW394" s="55"/>
      <c r="CX394" s="3"/>
    </row>
    <row r="395" spans="1:102" ht="16.5" x14ac:dyDescent="0.55000000000000004">
      <c r="A395" s="17">
        <v>3</v>
      </c>
      <c r="B395" s="17" t="s">
        <v>7</v>
      </c>
      <c r="C395" s="23" t="s">
        <v>830</v>
      </c>
      <c r="D395" s="24" t="s">
        <v>831</v>
      </c>
      <c r="E395" s="48">
        <v>5</v>
      </c>
      <c r="F395" s="2">
        <v>5</v>
      </c>
      <c r="G395" s="2">
        <v>10</v>
      </c>
      <c r="H395" s="2">
        <v>10</v>
      </c>
      <c r="I395" s="2">
        <v>10</v>
      </c>
      <c r="J395" s="2">
        <v>10</v>
      </c>
      <c r="K395" s="2">
        <v>10</v>
      </c>
      <c r="L395" s="2"/>
      <c r="M395" s="2"/>
      <c r="N395" s="2"/>
      <c r="O395" s="2"/>
      <c r="P395" s="2"/>
      <c r="Q395" s="2" t="e">
        <f t="shared" ca="1" si="127"/>
        <v>#NAME?</v>
      </c>
      <c r="R395" s="2">
        <v>10</v>
      </c>
      <c r="S395" s="2">
        <v>10</v>
      </c>
      <c r="T395" s="2">
        <v>10</v>
      </c>
      <c r="U395" s="2">
        <v>10</v>
      </c>
      <c r="V395" s="2">
        <v>10</v>
      </c>
      <c r="W395" s="54">
        <f t="shared" si="113"/>
        <v>10</v>
      </c>
      <c r="X395" s="48">
        <v>10</v>
      </c>
      <c r="Y395" s="48">
        <v>10</v>
      </c>
      <c r="Z395" s="2"/>
      <c r="AA395" s="49">
        <v>10</v>
      </c>
      <c r="AB395" s="49">
        <v>7</v>
      </c>
      <c r="AC395" s="49">
        <v>7</v>
      </c>
      <c r="AD395" s="49">
        <v>7</v>
      </c>
      <c r="AE395" s="49">
        <v>7</v>
      </c>
      <c r="AF395" s="49">
        <v>7</v>
      </c>
      <c r="AG395" s="49">
        <v>10</v>
      </c>
      <c r="AH395" s="49">
        <v>10</v>
      </c>
      <c r="AI395" s="49">
        <v>10</v>
      </c>
      <c r="AJ395" s="49">
        <v>10</v>
      </c>
      <c r="AK395" s="49">
        <v>7</v>
      </c>
      <c r="AL395" s="49">
        <v>7</v>
      </c>
      <c r="AM395" s="49">
        <v>10</v>
      </c>
      <c r="AN395" s="49">
        <v>10</v>
      </c>
      <c r="AO395" s="49">
        <v>10</v>
      </c>
      <c r="AP395" s="49">
        <v>10</v>
      </c>
      <c r="AQ395" s="2" t="e">
        <f t="shared" ca="1" si="128"/>
        <v>#NAME?</v>
      </c>
      <c r="AR395" s="49">
        <v>7</v>
      </c>
      <c r="AS395" s="49">
        <v>7</v>
      </c>
      <c r="AT395" s="49">
        <v>7</v>
      </c>
      <c r="AU395" s="49">
        <v>10</v>
      </c>
      <c r="AV395" s="49">
        <v>10</v>
      </c>
      <c r="AW395" s="54">
        <f t="shared" si="114"/>
        <v>9</v>
      </c>
      <c r="AX395" s="48">
        <v>9</v>
      </c>
      <c r="AY395" s="2">
        <v>9</v>
      </c>
      <c r="AZ395" s="2">
        <v>10</v>
      </c>
      <c r="BA395" s="2">
        <v>10</v>
      </c>
      <c r="BB395" s="2">
        <v>10</v>
      </c>
      <c r="BC395" s="2">
        <v>10</v>
      </c>
      <c r="BD395" s="2">
        <v>10</v>
      </c>
      <c r="BE395" s="2">
        <v>10</v>
      </c>
      <c r="BF395" s="2">
        <v>10</v>
      </c>
      <c r="BG395" s="2">
        <v>10</v>
      </c>
      <c r="BH395" s="2">
        <v>10</v>
      </c>
      <c r="BI395" s="57">
        <v>10</v>
      </c>
      <c r="BJ395" s="2" t="e">
        <f t="shared" ca="1" si="129"/>
        <v>#NAME?</v>
      </c>
      <c r="BK395" s="5">
        <v>10</v>
      </c>
      <c r="BL395" s="5">
        <v>10</v>
      </c>
      <c r="BM395" s="5">
        <v>10</v>
      </c>
      <c r="BN395" s="5">
        <v>10</v>
      </c>
      <c r="BO395" s="5">
        <v>10</v>
      </c>
      <c r="BP395" s="54">
        <f t="shared" si="115"/>
        <v>10</v>
      </c>
      <c r="BQ395" s="5"/>
      <c r="BR395" s="5"/>
      <c r="BS395" s="5">
        <v>10</v>
      </c>
      <c r="BT395" s="5">
        <v>10</v>
      </c>
      <c r="BU395" s="5">
        <v>10</v>
      </c>
      <c r="BV395" s="5">
        <v>10</v>
      </c>
      <c r="BW395" s="5">
        <v>10</v>
      </c>
      <c r="BX395" s="5">
        <v>10</v>
      </c>
      <c r="BY395" s="5">
        <v>10</v>
      </c>
      <c r="BZ395" s="5">
        <v>10</v>
      </c>
      <c r="CA395" s="5">
        <v>10</v>
      </c>
      <c r="CB395" s="5">
        <v>10</v>
      </c>
      <c r="CC395" s="2" t="e">
        <f t="shared" ca="1" si="130"/>
        <v>#NAME?</v>
      </c>
      <c r="CD395" s="55"/>
      <c r="CE395" s="2"/>
      <c r="CF395" s="2">
        <v>10</v>
      </c>
      <c r="CG395" s="2">
        <v>10</v>
      </c>
      <c r="CH395" s="8">
        <v>10</v>
      </c>
      <c r="CI395" s="8">
        <v>10</v>
      </c>
      <c r="CJ395" s="2">
        <v>10</v>
      </c>
      <c r="CK395" s="2">
        <v>10</v>
      </c>
      <c r="CL395" s="2">
        <v>10</v>
      </c>
      <c r="CM395" s="2">
        <v>10</v>
      </c>
      <c r="CN395" s="2">
        <v>10</v>
      </c>
      <c r="CO395" s="2">
        <v>10</v>
      </c>
      <c r="CP395" s="2" t="e">
        <f t="shared" ca="1" si="131"/>
        <v>#NAME?</v>
      </c>
      <c r="CQ395" s="2">
        <v>10</v>
      </c>
      <c r="CR395" s="2">
        <v>10</v>
      </c>
      <c r="CS395" s="2">
        <v>10</v>
      </c>
      <c r="CT395" s="2">
        <v>10</v>
      </c>
      <c r="CU395" s="2">
        <v>10</v>
      </c>
      <c r="CV395" s="54">
        <f t="shared" si="116"/>
        <v>10</v>
      </c>
      <c r="CW395" s="55"/>
      <c r="CX395" s="3"/>
    </row>
    <row r="396" spans="1:102" ht="16.5" x14ac:dyDescent="0.55000000000000004">
      <c r="A396" s="17">
        <v>3</v>
      </c>
      <c r="B396" s="17" t="s">
        <v>7</v>
      </c>
      <c r="C396" s="23" t="s">
        <v>832</v>
      </c>
      <c r="D396" s="24" t="s">
        <v>833</v>
      </c>
      <c r="E396" s="48">
        <v>6</v>
      </c>
      <c r="F396" s="2" t="s">
        <v>31</v>
      </c>
      <c r="G396" s="2">
        <v>10</v>
      </c>
      <c r="H396" s="2">
        <v>10</v>
      </c>
      <c r="I396" s="2">
        <v>10</v>
      </c>
      <c r="J396" s="2">
        <v>8</v>
      </c>
      <c r="K396" s="2">
        <v>7</v>
      </c>
      <c r="L396" s="2"/>
      <c r="M396" s="2"/>
      <c r="N396" s="2"/>
      <c r="O396" s="2"/>
      <c r="P396" s="2"/>
      <c r="Q396" s="2" t="e">
        <f t="shared" ca="1" si="127"/>
        <v>#NAME?</v>
      </c>
      <c r="R396" s="2">
        <v>10</v>
      </c>
      <c r="S396" s="2">
        <v>10</v>
      </c>
      <c r="T396" s="2">
        <v>10</v>
      </c>
      <c r="U396" s="2">
        <v>10</v>
      </c>
      <c r="V396" s="2">
        <v>10</v>
      </c>
      <c r="W396" s="54">
        <f t="shared" si="113"/>
        <v>10</v>
      </c>
      <c r="X396" s="48">
        <v>6</v>
      </c>
      <c r="Y396" s="48">
        <v>6</v>
      </c>
      <c r="Z396" s="2"/>
      <c r="AA396" s="49">
        <v>10</v>
      </c>
      <c r="AB396" s="49">
        <v>10</v>
      </c>
      <c r="AC396" s="49">
        <v>10</v>
      </c>
      <c r="AD396" s="49">
        <v>10</v>
      </c>
      <c r="AE396" s="49">
        <v>10</v>
      </c>
      <c r="AF396" s="49">
        <v>10</v>
      </c>
      <c r="AG396" s="50">
        <v>10</v>
      </c>
      <c r="AH396" s="50">
        <v>10</v>
      </c>
      <c r="AI396" s="50">
        <v>10</v>
      </c>
      <c r="AJ396" s="50">
        <v>10</v>
      </c>
      <c r="AK396" s="49">
        <v>10</v>
      </c>
      <c r="AL396" s="49">
        <v>10</v>
      </c>
      <c r="AM396" s="50">
        <v>10</v>
      </c>
      <c r="AN396" s="50">
        <v>10</v>
      </c>
      <c r="AO396" s="50">
        <v>10</v>
      </c>
      <c r="AP396" s="50">
        <v>10</v>
      </c>
      <c r="AQ396" s="2" t="e">
        <f t="shared" ca="1" si="128"/>
        <v>#NAME?</v>
      </c>
      <c r="AR396" s="49">
        <v>10</v>
      </c>
      <c r="AS396" s="49">
        <v>10</v>
      </c>
      <c r="AT396" s="49">
        <v>10</v>
      </c>
      <c r="AU396" s="49">
        <v>10</v>
      </c>
      <c r="AV396" s="49">
        <v>10</v>
      </c>
      <c r="AW396" s="54">
        <f t="shared" si="114"/>
        <v>10</v>
      </c>
      <c r="AX396" s="48">
        <v>9</v>
      </c>
      <c r="AY396" s="2">
        <v>9</v>
      </c>
      <c r="AZ396" s="2">
        <v>10</v>
      </c>
      <c r="BA396" s="2">
        <v>10</v>
      </c>
      <c r="BB396" s="2">
        <v>10</v>
      </c>
      <c r="BC396" s="2">
        <v>10</v>
      </c>
      <c r="BD396" s="2">
        <v>10</v>
      </c>
      <c r="BE396" s="2">
        <v>10</v>
      </c>
      <c r="BF396" s="2">
        <v>10</v>
      </c>
      <c r="BG396" s="2">
        <v>10</v>
      </c>
      <c r="BH396" s="2">
        <v>10</v>
      </c>
      <c r="BI396" s="2">
        <v>10</v>
      </c>
      <c r="BJ396" s="2" t="e">
        <f t="shared" ca="1" si="129"/>
        <v>#NAME?</v>
      </c>
      <c r="BK396" s="2">
        <v>10</v>
      </c>
      <c r="BL396" s="5">
        <v>10</v>
      </c>
      <c r="BM396" s="5">
        <v>10</v>
      </c>
      <c r="BN396" s="5">
        <v>10</v>
      </c>
      <c r="BO396" s="5">
        <v>10</v>
      </c>
      <c r="BP396" s="54">
        <f t="shared" si="115"/>
        <v>10</v>
      </c>
      <c r="BQ396" s="5"/>
      <c r="BR396" s="5"/>
      <c r="BS396" s="5">
        <v>10</v>
      </c>
      <c r="BT396" s="5">
        <v>10</v>
      </c>
      <c r="BU396" s="5">
        <v>10</v>
      </c>
      <c r="BV396" s="5">
        <v>10</v>
      </c>
      <c r="BW396" s="5">
        <v>10</v>
      </c>
      <c r="BX396" s="5">
        <v>10</v>
      </c>
      <c r="BY396" s="5">
        <v>10</v>
      </c>
      <c r="BZ396" s="5">
        <v>10</v>
      </c>
      <c r="CA396" s="5">
        <v>10</v>
      </c>
      <c r="CB396" s="5">
        <v>10</v>
      </c>
      <c r="CC396" s="2" t="e">
        <f t="shared" ca="1" si="130"/>
        <v>#NAME?</v>
      </c>
      <c r="CD396" s="55"/>
      <c r="CE396" s="2"/>
      <c r="CF396" s="2">
        <v>10</v>
      </c>
      <c r="CG396" s="2">
        <v>10</v>
      </c>
      <c r="CH396" s="2">
        <v>10</v>
      </c>
      <c r="CI396" s="2">
        <v>10</v>
      </c>
      <c r="CJ396" s="2">
        <v>10</v>
      </c>
      <c r="CK396" s="2">
        <v>10</v>
      </c>
      <c r="CL396" s="2">
        <v>10</v>
      </c>
      <c r="CM396" s="2">
        <v>10</v>
      </c>
      <c r="CN396" s="2">
        <v>10</v>
      </c>
      <c r="CO396" s="2">
        <v>10</v>
      </c>
      <c r="CP396" s="2" t="e">
        <f t="shared" ca="1" si="131"/>
        <v>#NAME?</v>
      </c>
      <c r="CQ396" s="2">
        <v>10</v>
      </c>
      <c r="CR396" s="2">
        <v>10</v>
      </c>
      <c r="CS396" s="2">
        <v>10</v>
      </c>
      <c r="CT396" s="2">
        <v>10</v>
      </c>
      <c r="CU396" s="2">
        <v>10</v>
      </c>
      <c r="CV396" s="54">
        <f t="shared" si="116"/>
        <v>10</v>
      </c>
      <c r="CW396" s="55"/>
      <c r="CX396" s="3"/>
    </row>
    <row r="397" spans="1:102" ht="16.5" x14ac:dyDescent="0.55000000000000004">
      <c r="A397" s="17">
        <v>3</v>
      </c>
      <c r="B397" s="17" t="s">
        <v>7</v>
      </c>
      <c r="C397" s="23" t="s">
        <v>834</v>
      </c>
      <c r="D397" s="24" t="s">
        <v>835</v>
      </c>
      <c r="E397" s="48">
        <v>6</v>
      </c>
      <c r="F397" s="2">
        <v>6</v>
      </c>
      <c r="G397" s="2">
        <v>10</v>
      </c>
      <c r="H397" s="2">
        <v>8</v>
      </c>
      <c r="I397" s="2">
        <v>6</v>
      </c>
      <c r="J397" s="2">
        <v>5</v>
      </c>
      <c r="K397" s="2">
        <v>5</v>
      </c>
      <c r="L397" s="2"/>
      <c r="M397" s="2"/>
      <c r="N397" s="2"/>
      <c r="O397" s="2"/>
      <c r="P397" s="2"/>
      <c r="Q397" s="2" t="e">
        <f t="shared" ca="1" si="127"/>
        <v>#NAME?</v>
      </c>
      <c r="R397" s="2">
        <v>10</v>
      </c>
      <c r="S397" s="2">
        <v>5</v>
      </c>
      <c r="T397" s="2">
        <v>5</v>
      </c>
      <c r="U397" s="2">
        <v>10</v>
      </c>
      <c r="V397" s="2">
        <v>10</v>
      </c>
      <c r="W397" s="54">
        <f t="shared" si="113"/>
        <v>8</v>
      </c>
      <c r="X397" s="48">
        <v>6</v>
      </c>
      <c r="Y397" s="48">
        <v>6</v>
      </c>
      <c r="Z397" s="2"/>
      <c r="AA397" s="49">
        <v>7</v>
      </c>
      <c r="AB397" s="49">
        <v>7</v>
      </c>
      <c r="AC397" s="49">
        <v>7</v>
      </c>
      <c r="AD397" s="49">
        <v>7</v>
      </c>
      <c r="AE397" s="49">
        <v>7</v>
      </c>
      <c r="AF397" s="49">
        <v>7</v>
      </c>
      <c r="AG397" s="49">
        <v>10</v>
      </c>
      <c r="AH397" s="49">
        <v>10</v>
      </c>
      <c r="AI397" s="49">
        <v>10</v>
      </c>
      <c r="AJ397" s="49">
        <v>10</v>
      </c>
      <c r="AK397" s="49">
        <v>7</v>
      </c>
      <c r="AL397" s="49">
        <v>7</v>
      </c>
      <c r="AM397" s="49">
        <v>10</v>
      </c>
      <c r="AN397" s="49">
        <v>10</v>
      </c>
      <c r="AO397" s="49">
        <v>10</v>
      </c>
      <c r="AP397" s="49">
        <v>10</v>
      </c>
      <c r="AQ397" s="2" t="e">
        <f t="shared" ca="1" si="128"/>
        <v>#NAME?</v>
      </c>
      <c r="AR397" s="49">
        <v>7</v>
      </c>
      <c r="AS397" s="49">
        <v>7</v>
      </c>
      <c r="AT397" s="49">
        <v>7</v>
      </c>
      <c r="AU397" s="49">
        <v>10</v>
      </c>
      <c r="AV397" s="49">
        <v>10</v>
      </c>
      <c r="AW397" s="54">
        <f t="shared" si="114"/>
        <v>9</v>
      </c>
      <c r="AX397" s="48">
        <v>9</v>
      </c>
      <c r="AY397" s="2">
        <v>9</v>
      </c>
      <c r="AZ397" s="2">
        <v>10</v>
      </c>
      <c r="BA397" s="2">
        <v>10</v>
      </c>
      <c r="BB397" s="2">
        <v>10</v>
      </c>
      <c r="BC397" s="2">
        <v>10</v>
      </c>
      <c r="BD397" s="2">
        <v>10</v>
      </c>
      <c r="BE397" s="2">
        <v>10</v>
      </c>
      <c r="BF397" s="2">
        <v>10</v>
      </c>
      <c r="BG397" s="2">
        <v>10</v>
      </c>
      <c r="BH397" s="2">
        <v>10</v>
      </c>
      <c r="BI397" s="57">
        <v>10</v>
      </c>
      <c r="BJ397" s="2" t="e">
        <f t="shared" ca="1" si="129"/>
        <v>#NAME?</v>
      </c>
      <c r="BK397" s="5">
        <v>10</v>
      </c>
      <c r="BL397" s="5">
        <v>10</v>
      </c>
      <c r="BM397" s="5">
        <v>10</v>
      </c>
      <c r="BN397" s="5">
        <v>10</v>
      </c>
      <c r="BO397" s="5">
        <v>10</v>
      </c>
      <c r="BP397" s="54">
        <f t="shared" si="115"/>
        <v>10</v>
      </c>
      <c r="BQ397" s="5"/>
      <c r="BR397" s="5"/>
      <c r="BS397" s="5">
        <v>10</v>
      </c>
      <c r="BT397" s="5">
        <v>10</v>
      </c>
      <c r="BU397" s="5">
        <v>10</v>
      </c>
      <c r="BV397" s="5">
        <v>10</v>
      </c>
      <c r="BW397" s="5">
        <v>10</v>
      </c>
      <c r="BX397" s="5">
        <v>10</v>
      </c>
      <c r="BY397" s="5">
        <v>10</v>
      </c>
      <c r="BZ397" s="5">
        <v>10</v>
      </c>
      <c r="CA397" s="5">
        <v>10</v>
      </c>
      <c r="CB397" s="5">
        <v>10</v>
      </c>
      <c r="CC397" s="2" t="e">
        <f t="shared" ca="1" si="130"/>
        <v>#NAME?</v>
      </c>
      <c r="CD397" s="55"/>
      <c r="CE397" s="2"/>
      <c r="CF397" s="2">
        <v>10</v>
      </c>
      <c r="CG397" s="2">
        <v>10</v>
      </c>
      <c r="CH397" s="8">
        <v>10</v>
      </c>
      <c r="CI397" s="8">
        <v>10</v>
      </c>
      <c r="CJ397" s="2">
        <v>10</v>
      </c>
      <c r="CK397" s="2">
        <v>10</v>
      </c>
      <c r="CL397" s="2">
        <v>10</v>
      </c>
      <c r="CM397" s="2">
        <v>10</v>
      </c>
      <c r="CN397" s="2">
        <v>10</v>
      </c>
      <c r="CO397" s="2">
        <v>10</v>
      </c>
      <c r="CP397" s="2" t="e">
        <f t="shared" ca="1" si="131"/>
        <v>#NAME?</v>
      </c>
      <c r="CQ397" s="2">
        <v>10</v>
      </c>
      <c r="CR397" s="2">
        <v>10</v>
      </c>
      <c r="CS397" s="2">
        <v>10</v>
      </c>
      <c r="CT397" s="2">
        <v>10</v>
      </c>
      <c r="CU397" s="2">
        <v>10</v>
      </c>
      <c r="CV397" s="54">
        <f t="shared" si="116"/>
        <v>10</v>
      </c>
      <c r="CW397" s="55"/>
      <c r="CX397" s="3"/>
    </row>
    <row r="398" spans="1:102" ht="16.5" x14ac:dyDescent="0.55000000000000004">
      <c r="A398" s="17">
        <v>3</v>
      </c>
      <c r="B398" s="17" t="s">
        <v>7</v>
      </c>
      <c r="C398" s="23" t="s">
        <v>836</v>
      </c>
      <c r="D398" s="24" t="s">
        <v>837</v>
      </c>
      <c r="E398" s="48" t="s">
        <v>31</v>
      </c>
      <c r="F398" s="2" t="s">
        <v>31</v>
      </c>
      <c r="G398" s="2">
        <v>5</v>
      </c>
      <c r="H398" s="2">
        <v>5</v>
      </c>
      <c r="I398" s="2">
        <v>5</v>
      </c>
      <c r="J398" s="2">
        <v>5</v>
      </c>
      <c r="K398" s="2">
        <v>5</v>
      </c>
      <c r="L398" s="2"/>
      <c r="M398" s="2"/>
      <c r="N398" s="2"/>
      <c r="O398" s="2"/>
      <c r="P398" s="2"/>
      <c r="Q398" s="2" t="e">
        <f t="shared" ca="1" si="127"/>
        <v>#NAME?</v>
      </c>
      <c r="R398" s="2">
        <v>10</v>
      </c>
      <c r="S398" s="2">
        <v>5</v>
      </c>
      <c r="T398" s="2">
        <v>5</v>
      </c>
      <c r="U398" s="2">
        <v>10</v>
      </c>
      <c r="V398" s="2">
        <v>10</v>
      </c>
      <c r="W398" s="54">
        <f t="shared" si="113"/>
        <v>8</v>
      </c>
      <c r="X398" s="48">
        <v>0</v>
      </c>
      <c r="Y398" s="48">
        <v>0</v>
      </c>
      <c r="Z398" s="2"/>
      <c r="AA398" s="49">
        <v>7</v>
      </c>
      <c r="AB398" s="49">
        <v>7</v>
      </c>
      <c r="AC398" s="49">
        <v>7</v>
      </c>
      <c r="AD398" s="49">
        <v>7</v>
      </c>
      <c r="AE398" s="49">
        <v>7</v>
      </c>
      <c r="AF398" s="49">
        <v>7</v>
      </c>
      <c r="AG398" s="49">
        <v>10</v>
      </c>
      <c r="AH398" s="49">
        <v>10</v>
      </c>
      <c r="AI398" s="49">
        <v>10</v>
      </c>
      <c r="AJ398" s="49">
        <v>10</v>
      </c>
      <c r="AK398" s="49">
        <v>7</v>
      </c>
      <c r="AL398" s="49">
        <v>7</v>
      </c>
      <c r="AM398" s="49">
        <v>10</v>
      </c>
      <c r="AN398" s="49">
        <v>10</v>
      </c>
      <c r="AO398" s="49">
        <v>10</v>
      </c>
      <c r="AP398" s="49">
        <v>10</v>
      </c>
      <c r="AQ398" s="2" t="e">
        <f t="shared" ca="1" si="128"/>
        <v>#NAME?</v>
      </c>
      <c r="AR398" s="49">
        <v>7</v>
      </c>
      <c r="AS398" s="49">
        <v>7</v>
      </c>
      <c r="AT398" s="49">
        <v>7</v>
      </c>
      <c r="AU398" s="49">
        <v>10</v>
      </c>
      <c r="AV398" s="49">
        <v>10</v>
      </c>
      <c r="AW398" s="54">
        <f t="shared" si="114"/>
        <v>9</v>
      </c>
      <c r="AX398" s="48">
        <v>8</v>
      </c>
      <c r="AY398" s="2">
        <v>7</v>
      </c>
      <c r="AZ398" s="2">
        <v>9</v>
      </c>
      <c r="BA398" s="2">
        <v>9</v>
      </c>
      <c r="BB398" s="2">
        <v>9</v>
      </c>
      <c r="BC398" s="2">
        <v>10</v>
      </c>
      <c r="BD398" s="2">
        <v>10</v>
      </c>
      <c r="BE398" s="2">
        <v>10</v>
      </c>
      <c r="BF398" s="2">
        <v>10</v>
      </c>
      <c r="BG398" s="2">
        <v>10</v>
      </c>
      <c r="BH398" s="2">
        <v>10</v>
      </c>
      <c r="BI398" s="57">
        <v>10</v>
      </c>
      <c r="BJ398" s="2" t="e">
        <f t="shared" ca="1" si="129"/>
        <v>#NAME?</v>
      </c>
      <c r="BK398" s="5">
        <v>10</v>
      </c>
      <c r="BL398" s="5">
        <v>10</v>
      </c>
      <c r="BM398" s="5">
        <v>10</v>
      </c>
      <c r="BN398" s="5">
        <v>10</v>
      </c>
      <c r="BO398" s="5">
        <v>10</v>
      </c>
      <c r="BP398" s="54">
        <f t="shared" si="115"/>
        <v>10</v>
      </c>
      <c r="BQ398" s="5"/>
      <c r="BR398" s="5"/>
      <c r="BS398" s="5">
        <v>10</v>
      </c>
      <c r="BT398" s="5">
        <v>10</v>
      </c>
      <c r="BU398" s="5">
        <v>10</v>
      </c>
      <c r="BV398" s="5">
        <v>10</v>
      </c>
      <c r="BW398" s="5">
        <v>10</v>
      </c>
      <c r="BX398" s="5">
        <v>10</v>
      </c>
      <c r="BY398" s="5">
        <v>10</v>
      </c>
      <c r="BZ398" s="5">
        <v>10</v>
      </c>
      <c r="CA398" s="5">
        <v>10</v>
      </c>
      <c r="CB398" s="5">
        <v>10</v>
      </c>
      <c r="CC398" s="2" t="e">
        <f t="shared" ca="1" si="130"/>
        <v>#NAME?</v>
      </c>
      <c r="CD398" s="55"/>
      <c r="CE398" s="2"/>
      <c r="CF398" s="2">
        <v>10</v>
      </c>
      <c r="CG398" s="2">
        <v>6</v>
      </c>
      <c r="CH398" s="8">
        <v>10</v>
      </c>
      <c r="CI398" s="8">
        <v>10</v>
      </c>
      <c r="CJ398" s="2">
        <v>10</v>
      </c>
      <c r="CK398" s="2">
        <v>6</v>
      </c>
      <c r="CL398" s="2">
        <v>6</v>
      </c>
      <c r="CM398" s="2">
        <v>10</v>
      </c>
      <c r="CN398" s="2">
        <v>6</v>
      </c>
      <c r="CO398" s="2">
        <v>6</v>
      </c>
      <c r="CP398" s="2" t="e">
        <f t="shared" ca="1" si="131"/>
        <v>#NAME?</v>
      </c>
      <c r="CQ398" s="2">
        <v>6</v>
      </c>
      <c r="CR398" s="2">
        <v>10</v>
      </c>
      <c r="CS398" s="2">
        <v>6</v>
      </c>
      <c r="CT398" s="2">
        <v>6</v>
      </c>
      <c r="CU398" s="2">
        <v>6</v>
      </c>
      <c r="CV398" s="54">
        <f t="shared" si="116"/>
        <v>7</v>
      </c>
      <c r="CW398" s="55"/>
      <c r="CX398" s="3"/>
    </row>
    <row r="399" spans="1:102" ht="16.5" x14ac:dyDescent="0.55000000000000004">
      <c r="A399" s="17">
        <v>3</v>
      </c>
      <c r="B399" s="17" t="s">
        <v>7</v>
      </c>
      <c r="C399" s="23" t="s">
        <v>838</v>
      </c>
      <c r="D399" s="24" t="s">
        <v>839</v>
      </c>
      <c r="E399" s="48" t="s">
        <v>31</v>
      </c>
      <c r="F399" s="2" t="s">
        <v>31</v>
      </c>
      <c r="G399" s="2">
        <v>7</v>
      </c>
      <c r="H399" s="2">
        <v>6</v>
      </c>
      <c r="I399" s="2">
        <v>6</v>
      </c>
      <c r="J399" s="2">
        <v>6</v>
      </c>
      <c r="K399" s="2">
        <v>6</v>
      </c>
      <c r="L399" s="2"/>
      <c r="M399" s="2"/>
      <c r="N399" s="2"/>
      <c r="O399" s="2"/>
      <c r="P399" s="2"/>
      <c r="Q399" s="2" t="e">
        <f t="shared" ca="1" si="127"/>
        <v>#NAME?</v>
      </c>
      <c r="R399" s="2">
        <v>5</v>
      </c>
      <c r="S399" s="2">
        <v>5</v>
      </c>
      <c r="T399" s="2">
        <v>10</v>
      </c>
      <c r="U399" s="2">
        <v>10</v>
      </c>
      <c r="V399" s="2">
        <v>10</v>
      </c>
      <c r="W399" s="54">
        <f t="shared" si="113"/>
        <v>8</v>
      </c>
      <c r="X399" s="48">
        <v>3</v>
      </c>
      <c r="Y399" s="48">
        <v>3</v>
      </c>
      <c r="Z399" s="2"/>
      <c r="AA399" s="49">
        <v>10</v>
      </c>
      <c r="AB399" s="49">
        <v>10</v>
      </c>
      <c r="AC399" s="49">
        <v>10</v>
      </c>
      <c r="AD399" s="49">
        <v>7</v>
      </c>
      <c r="AE399" s="49">
        <v>7</v>
      </c>
      <c r="AF399" s="49">
        <v>7</v>
      </c>
      <c r="AG399" s="49">
        <v>10</v>
      </c>
      <c r="AH399" s="49">
        <v>10</v>
      </c>
      <c r="AI399" s="49">
        <v>10</v>
      </c>
      <c r="AJ399" s="49">
        <v>10</v>
      </c>
      <c r="AK399" s="49">
        <v>7</v>
      </c>
      <c r="AL399" s="49">
        <v>7</v>
      </c>
      <c r="AM399" s="49">
        <v>10</v>
      </c>
      <c r="AN399" s="49">
        <v>10</v>
      </c>
      <c r="AO399" s="49">
        <v>10</v>
      </c>
      <c r="AP399" s="49">
        <v>10</v>
      </c>
      <c r="AQ399" s="2" t="e">
        <f t="shared" ca="1" si="128"/>
        <v>#NAME?</v>
      </c>
      <c r="AR399" s="49">
        <v>10</v>
      </c>
      <c r="AS399" s="49">
        <v>10</v>
      </c>
      <c r="AT399" s="49">
        <v>10</v>
      </c>
      <c r="AU399" s="49">
        <v>10</v>
      </c>
      <c r="AV399" s="49">
        <v>10</v>
      </c>
      <c r="AW399" s="54">
        <f t="shared" si="114"/>
        <v>10</v>
      </c>
      <c r="AX399" s="48">
        <v>8</v>
      </c>
      <c r="AY399" s="2">
        <v>7</v>
      </c>
      <c r="AZ399" s="2">
        <v>9</v>
      </c>
      <c r="BA399" s="2">
        <v>10</v>
      </c>
      <c r="BB399" s="2">
        <v>10</v>
      </c>
      <c r="BC399" s="2">
        <v>10</v>
      </c>
      <c r="BD399" s="2">
        <v>10</v>
      </c>
      <c r="BE399" s="2">
        <v>10</v>
      </c>
      <c r="BF399" s="2">
        <v>10</v>
      </c>
      <c r="BG399" s="2">
        <v>10</v>
      </c>
      <c r="BH399" s="2">
        <v>10</v>
      </c>
      <c r="BI399" s="57">
        <v>10</v>
      </c>
      <c r="BJ399" s="2" t="e">
        <f t="shared" ca="1" si="129"/>
        <v>#NAME?</v>
      </c>
      <c r="BK399" s="5">
        <v>10</v>
      </c>
      <c r="BL399" s="5">
        <v>10</v>
      </c>
      <c r="BM399" s="5">
        <v>10</v>
      </c>
      <c r="BN399" s="5">
        <v>10</v>
      </c>
      <c r="BO399" s="5">
        <v>10</v>
      </c>
      <c r="BP399" s="54">
        <f t="shared" si="115"/>
        <v>10</v>
      </c>
      <c r="BQ399" s="5"/>
      <c r="BR399" s="5"/>
      <c r="BS399" s="5">
        <v>10</v>
      </c>
      <c r="BT399" s="5">
        <v>10</v>
      </c>
      <c r="BU399" s="5">
        <v>10</v>
      </c>
      <c r="BV399" s="5">
        <v>10</v>
      </c>
      <c r="BW399" s="5">
        <v>10</v>
      </c>
      <c r="BX399" s="5">
        <v>10</v>
      </c>
      <c r="BY399" s="5">
        <v>10</v>
      </c>
      <c r="BZ399" s="5">
        <v>10</v>
      </c>
      <c r="CA399" s="5">
        <v>10</v>
      </c>
      <c r="CB399" s="5">
        <v>10</v>
      </c>
      <c r="CC399" s="2" t="e">
        <f t="shared" ca="1" si="130"/>
        <v>#NAME?</v>
      </c>
      <c r="CD399" s="55"/>
      <c r="CE399" s="2"/>
      <c r="CF399" s="2">
        <v>10</v>
      </c>
      <c r="CG399" s="2">
        <v>10</v>
      </c>
      <c r="CH399" s="8">
        <v>10</v>
      </c>
      <c r="CI399" s="8">
        <v>10</v>
      </c>
      <c r="CJ399" s="2">
        <v>10</v>
      </c>
      <c r="CK399" s="2">
        <v>10</v>
      </c>
      <c r="CL399" s="2">
        <v>10</v>
      </c>
      <c r="CM399" s="2">
        <v>10</v>
      </c>
      <c r="CN399" s="2">
        <v>10</v>
      </c>
      <c r="CO399" s="2">
        <v>10</v>
      </c>
      <c r="CP399" s="2" t="e">
        <f t="shared" ca="1" si="131"/>
        <v>#NAME?</v>
      </c>
      <c r="CQ399" s="2">
        <v>10</v>
      </c>
      <c r="CR399" s="2">
        <v>10</v>
      </c>
      <c r="CS399" s="2">
        <v>10</v>
      </c>
      <c r="CT399" s="2">
        <v>10</v>
      </c>
      <c r="CU399" s="2">
        <v>10</v>
      </c>
      <c r="CV399" s="54">
        <f t="shared" si="116"/>
        <v>10</v>
      </c>
      <c r="CW399" s="55"/>
      <c r="CX399" s="3"/>
    </row>
    <row r="400" spans="1:102" ht="16.5" x14ac:dyDescent="0.55000000000000004">
      <c r="A400" s="17">
        <v>3</v>
      </c>
      <c r="B400" s="17" t="s">
        <v>7</v>
      </c>
      <c r="C400" s="23" t="s">
        <v>840</v>
      </c>
      <c r="D400" s="24" t="s">
        <v>841</v>
      </c>
      <c r="E400" s="48">
        <v>3</v>
      </c>
      <c r="F400" s="2">
        <v>3</v>
      </c>
      <c r="G400" s="2">
        <v>10</v>
      </c>
      <c r="H400" s="2">
        <v>10</v>
      </c>
      <c r="I400" s="2">
        <v>6</v>
      </c>
      <c r="J400" s="2">
        <v>8</v>
      </c>
      <c r="K400" s="2">
        <v>8</v>
      </c>
      <c r="L400" s="2"/>
      <c r="M400" s="2"/>
      <c r="N400" s="2"/>
      <c r="O400" s="2"/>
      <c r="P400" s="2"/>
      <c r="Q400" s="2" t="e">
        <f t="shared" ca="1" si="127"/>
        <v>#NAME?</v>
      </c>
      <c r="R400" s="2">
        <v>10</v>
      </c>
      <c r="S400" s="2">
        <v>8</v>
      </c>
      <c r="T400" s="2">
        <v>10</v>
      </c>
      <c r="U400" s="2">
        <v>10</v>
      </c>
      <c r="V400" s="2">
        <v>10</v>
      </c>
      <c r="W400" s="54">
        <f t="shared" si="113"/>
        <v>10</v>
      </c>
      <c r="X400" s="48">
        <v>10</v>
      </c>
      <c r="Y400" s="48">
        <v>10</v>
      </c>
      <c r="Z400" s="2"/>
      <c r="AA400" s="49">
        <v>7</v>
      </c>
      <c r="AB400" s="49">
        <v>7</v>
      </c>
      <c r="AC400" s="49">
        <v>7</v>
      </c>
      <c r="AD400" s="49">
        <v>7</v>
      </c>
      <c r="AE400" s="49">
        <v>7</v>
      </c>
      <c r="AF400" s="49">
        <v>7</v>
      </c>
      <c r="AG400" s="49">
        <v>10</v>
      </c>
      <c r="AH400" s="49">
        <v>10</v>
      </c>
      <c r="AI400" s="49">
        <v>10</v>
      </c>
      <c r="AJ400" s="49">
        <v>10</v>
      </c>
      <c r="AK400" s="49">
        <v>7</v>
      </c>
      <c r="AL400" s="49">
        <v>7</v>
      </c>
      <c r="AM400" s="49">
        <v>10</v>
      </c>
      <c r="AN400" s="49">
        <v>10</v>
      </c>
      <c r="AO400" s="49">
        <v>10</v>
      </c>
      <c r="AP400" s="49">
        <v>10</v>
      </c>
      <c r="AQ400" s="2" t="e">
        <f t="shared" ca="1" si="128"/>
        <v>#NAME?</v>
      </c>
      <c r="AR400" s="49">
        <v>7</v>
      </c>
      <c r="AS400" s="49">
        <v>7</v>
      </c>
      <c r="AT400" s="49">
        <v>7</v>
      </c>
      <c r="AU400" s="49">
        <v>10</v>
      </c>
      <c r="AV400" s="49">
        <v>10</v>
      </c>
      <c r="AW400" s="54">
        <f t="shared" si="114"/>
        <v>9</v>
      </c>
      <c r="AX400" s="48">
        <v>8</v>
      </c>
      <c r="AY400" s="2">
        <v>7</v>
      </c>
      <c r="AZ400" s="2">
        <v>10</v>
      </c>
      <c r="BA400" s="2">
        <v>10</v>
      </c>
      <c r="BB400" s="2">
        <v>10</v>
      </c>
      <c r="BC400" s="2">
        <v>9</v>
      </c>
      <c r="BD400" s="2">
        <v>10</v>
      </c>
      <c r="BE400" s="2">
        <v>10</v>
      </c>
      <c r="BF400" s="2">
        <v>10</v>
      </c>
      <c r="BG400" s="2">
        <v>10</v>
      </c>
      <c r="BH400" s="2">
        <v>10</v>
      </c>
      <c r="BI400" s="57">
        <v>10</v>
      </c>
      <c r="BJ400" s="2" t="e">
        <f t="shared" ca="1" si="129"/>
        <v>#NAME?</v>
      </c>
      <c r="BK400" s="5">
        <v>10</v>
      </c>
      <c r="BL400" s="5">
        <v>10</v>
      </c>
      <c r="BM400" s="5">
        <v>10</v>
      </c>
      <c r="BN400" s="5">
        <v>10</v>
      </c>
      <c r="BO400" s="5">
        <v>10</v>
      </c>
      <c r="BP400" s="54">
        <f t="shared" si="115"/>
        <v>10</v>
      </c>
      <c r="BQ400" s="5"/>
      <c r="BR400" s="5"/>
      <c r="BS400" s="5">
        <v>10</v>
      </c>
      <c r="BT400" s="5">
        <v>10</v>
      </c>
      <c r="BU400" s="5">
        <v>10</v>
      </c>
      <c r="BV400" s="5">
        <v>10</v>
      </c>
      <c r="BW400" s="5">
        <v>10</v>
      </c>
      <c r="BX400" s="5">
        <v>10</v>
      </c>
      <c r="BY400" s="5">
        <v>10</v>
      </c>
      <c r="BZ400" s="5">
        <v>10</v>
      </c>
      <c r="CA400" s="5">
        <v>10</v>
      </c>
      <c r="CB400" s="5">
        <v>10</v>
      </c>
      <c r="CC400" s="2" t="e">
        <f t="shared" ca="1" si="130"/>
        <v>#NAME?</v>
      </c>
      <c r="CD400" s="55"/>
      <c r="CE400" s="2"/>
      <c r="CF400" s="2">
        <v>10</v>
      </c>
      <c r="CG400" s="2">
        <v>10</v>
      </c>
      <c r="CH400" s="2">
        <v>10</v>
      </c>
      <c r="CI400" s="2">
        <v>10</v>
      </c>
      <c r="CJ400" s="2">
        <v>10</v>
      </c>
      <c r="CK400" s="2">
        <v>10</v>
      </c>
      <c r="CL400" s="2">
        <v>10</v>
      </c>
      <c r="CM400" s="2">
        <v>10</v>
      </c>
      <c r="CN400" s="2">
        <v>10</v>
      </c>
      <c r="CO400" s="2">
        <v>10</v>
      </c>
      <c r="CP400" s="2" t="e">
        <f t="shared" ca="1" si="131"/>
        <v>#NAME?</v>
      </c>
      <c r="CQ400" s="2">
        <v>10</v>
      </c>
      <c r="CR400" s="2">
        <v>10</v>
      </c>
      <c r="CS400" s="2">
        <v>10</v>
      </c>
      <c r="CT400" s="2">
        <v>10</v>
      </c>
      <c r="CU400" s="2">
        <v>10</v>
      </c>
      <c r="CV400" s="54">
        <f t="shared" si="116"/>
        <v>10</v>
      </c>
      <c r="CW400" s="55"/>
      <c r="CX400" s="3"/>
    </row>
    <row r="401" spans="1:102" ht="16.5" x14ac:dyDescent="0.55000000000000004">
      <c r="A401" s="17">
        <v>3</v>
      </c>
      <c r="B401" s="17" t="s">
        <v>7</v>
      </c>
      <c r="C401" s="23" t="s">
        <v>842</v>
      </c>
      <c r="D401" s="24" t="s">
        <v>843</v>
      </c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 t="e">
        <f t="shared" ca="1" si="127"/>
        <v>#NAME?</v>
      </c>
      <c r="R401" s="2"/>
      <c r="S401" s="2"/>
      <c r="T401" s="2"/>
      <c r="U401" s="2"/>
      <c r="V401" s="2"/>
      <c r="W401" s="54">
        <f t="shared" si="113"/>
        <v>0</v>
      </c>
      <c r="X401" s="48">
        <v>8</v>
      </c>
      <c r="Y401" s="48">
        <v>8</v>
      </c>
      <c r="Z401" s="2"/>
      <c r="AA401" s="50">
        <v>7</v>
      </c>
      <c r="AB401" s="50">
        <v>7</v>
      </c>
      <c r="AC401" s="50">
        <v>7</v>
      </c>
      <c r="AD401" s="50">
        <v>7</v>
      </c>
      <c r="AE401" s="50">
        <v>7</v>
      </c>
      <c r="AF401" s="50">
        <v>7</v>
      </c>
      <c r="AG401" s="49">
        <v>10</v>
      </c>
      <c r="AH401" s="49">
        <v>10</v>
      </c>
      <c r="AI401" s="49">
        <v>10</v>
      </c>
      <c r="AJ401" s="49">
        <v>10</v>
      </c>
      <c r="AK401" s="50">
        <v>7</v>
      </c>
      <c r="AL401" s="50">
        <v>7</v>
      </c>
      <c r="AM401" s="49">
        <v>10</v>
      </c>
      <c r="AN401" s="49">
        <v>10</v>
      </c>
      <c r="AO401" s="49">
        <v>10</v>
      </c>
      <c r="AP401" s="49">
        <v>10</v>
      </c>
      <c r="AQ401" s="2" t="e">
        <f t="shared" ca="1" si="128"/>
        <v>#NAME?</v>
      </c>
      <c r="AR401" s="2">
        <v>10</v>
      </c>
      <c r="AS401" s="2">
        <v>10</v>
      </c>
      <c r="AT401" s="2">
        <v>10</v>
      </c>
      <c r="AU401" s="2">
        <v>10</v>
      </c>
      <c r="AV401" s="2">
        <v>10</v>
      </c>
      <c r="AW401" s="54">
        <f t="shared" si="114"/>
        <v>10</v>
      </c>
      <c r="AX401" s="48">
        <v>6</v>
      </c>
      <c r="AY401" s="2">
        <v>5</v>
      </c>
      <c r="AZ401" s="2">
        <v>7</v>
      </c>
      <c r="BA401" s="2">
        <v>8</v>
      </c>
      <c r="BB401" s="2">
        <v>8</v>
      </c>
      <c r="BC401" s="2">
        <v>8</v>
      </c>
      <c r="BD401" s="2">
        <v>8</v>
      </c>
      <c r="BE401" s="2">
        <v>7</v>
      </c>
      <c r="BF401" s="2">
        <v>7</v>
      </c>
      <c r="BG401" s="2">
        <v>7</v>
      </c>
      <c r="BH401" s="2">
        <v>7</v>
      </c>
      <c r="BI401" s="57">
        <v>7</v>
      </c>
      <c r="BJ401" s="2" t="e">
        <f t="shared" ca="1" si="129"/>
        <v>#NAME?</v>
      </c>
      <c r="BK401" s="5">
        <v>6</v>
      </c>
      <c r="BL401" s="5">
        <v>6</v>
      </c>
      <c r="BM401" s="5">
        <v>6</v>
      </c>
      <c r="BN401" s="5">
        <v>6</v>
      </c>
      <c r="BO401" s="5">
        <v>6</v>
      </c>
      <c r="BP401" s="54">
        <f t="shared" si="115"/>
        <v>6</v>
      </c>
      <c r="BQ401" s="5"/>
      <c r="BR401" s="5"/>
      <c r="BS401" s="5">
        <v>10</v>
      </c>
      <c r="BT401" s="5">
        <v>8</v>
      </c>
      <c r="BU401" s="5">
        <v>7</v>
      </c>
      <c r="BV401" s="5">
        <v>7</v>
      </c>
      <c r="BW401" s="5">
        <v>5</v>
      </c>
      <c r="BX401" s="5">
        <v>5</v>
      </c>
      <c r="BY401" s="5">
        <v>7</v>
      </c>
      <c r="BZ401" s="5">
        <v>8</v>
      </c>
      <c r="CA401" s="5">
        <v>8</v>
      </c>
      <c r="CB401" s="5">
        <v>8</v>
      </c>
      <c r="CC401" s="2" t="e">
        <f t="shared" ca="1" si="130"/>
        <v>#NAME?</v>
      </c>
      <c r="CD401" s="55"/>
      <c r="CE401" s="2"/>
      <c r="CF401" s="2">
        <v>10</v>
      </c>
      <c r="CG401" s="2">
        <v>10</v>
      </c>
      <c r="CH401" s="2">
        <v>10</v>
      </c>
      <c r="CI401" s="2">
        <v>10</v>
      </c>
      <c r="CJ401" s="2">
        <v>10</v>
      </c>
      <c r="CK401" s="2">
        <v>10</v>
      </c>
      <c r="CL401" s="2">
        <v>10</v>
      </c>
      <c r="CM401" s="2">
        <v>10</v>
      </c>
      <c r="CN401" s="2">
        <v>10</v>
      </c>
      <c r="CO401" s="2">
        <v>10</v>
      </c>
      <c r="CP401" s="2" t="e">
        <f t="shared" ca="1" si="131"/>
        <v>#NAME?</v>
      </c>
      <c r="CQ401" s="2">
        <v>6</v>
      </c>
      <c r="CR401" s="2">
        <v>6</v>
      </c>
      <c r="CS401" s="2">
        <v>6</v>
      </c>
      <c r="CT401" s="2">
        <v>6</v>
      </c>
      <c r="CU401" s="2">
        <v>6</v>
      </c>
      <c r="CV401" s="54">
        <f t="shared" si="116"/>
        <v>6</v>
      </c>
      <c r="CW401" s="55"/>
      <c r="CX401" s="3"/>
    </row>
    <row r="402" spans="1:102" ht="16.5" x14ac:dyDescent="0.55000000000000004">
      <c r="A402" s="17">
        <v>3</v>
      </c>
      <c r="B402" s="17" t="s">
        <v>7</v>
      </c>
      <c r="C402" s="23" t="s">
        <v>844</v>
      </c>
      <c r="D402" s="24" t="s">
        <v>845</v>
      </c>
      <c r="E402" s="48">
        <v>7</v>
      </c>
      <c r="F402" s="2">
        <v>7</v>
      </c>
      <c r="G402" s="2">
        <v>10</v>
      </c>
      <c r="H402" s="2">
        <v>10</v>
      </c>
      <c r="I402" s="2">
        <v>10</v>
      </c>
      <c r="J402" s="2">
        <v>10</v>
      </c>
      <c r="K402" s="2">
        <v>10</v>
      </c>
      <c r="L402" s="2"/>
      <c r="M402" s="2"/>
      <c r="N402" s="2"/>
      <c r="O402" s="2"/>
      <c r="P402" s="2"/>
      <c r="Q402" s="2" t="e">
        <f t="shared" ca="1" si="127"/>
        <v>#NAME?</v>
      </c>
      <c r="R402" s="2">
        <v>10</v>
      </c>
      <c r="S402" s="2">
        <v>10</v>
      </c>
      <c r="T402" s="2">
        <v>10</v>
      </c>
      <c r="U402" s="2">
        <v>10</v>
      </c>
      <c r="V402" s="2">
        <v>10</v>
      </c>
      <c r="W402" s="54">
        <f t="shared" si="113"/>
        <v>10</v>
      </c>
      <c r="X402" s="48">
        <v>0</v>
      </c>
      <c r="Y402" s="48">
        <v>0</v>
      </c>
      <c r="Z402" s="2"/>
      <c r="AA402" s="49">
        <v>10</v>
      </c>
      <c r="AB402" s="49">
        <v>10</v>
      </c>
      <c r="AC402" s="49">
        <v>10</v>
      </c>
      <c r="AD402" s="49">
        <v>10</v>
      </c>
      <c r="AE402" s="49">
        <v>10</v>
      </c>
      <c r="AF402" s="49">
        <v>10</v>
      </c>
      <c r="AG402" s="50">
        <v>10</v>
      </c>
      <c r="AH402" s="50">
        <v>10</v>
      </c>
      <c r="AI402" s="50">
        <v>10</v>
      </c>
      <c r="AJ402" s="50">
        <v>10</v>
      </c>
      <c r="AK402" s="49">
        <v>10</v>
      </c>
      <c r="AL402" s="49">
        <v>10</v>
      </c>
      <c r="AM402" s="50">
        <v>10</v>
      </c>
      <c r="AN402" s="50">
        <v>10</v>
      </c>
      <c r="AO402" s="50">
        <v>10</v>
      </c>
      <c r="AP402" s="50">
        <v>10</v>
      </c>
      <c r="AQ402" s="2" t="e">
        <f t="shared" ca="1" si="128"/>
        <v>#NAME?</v>
      </c>
      <c r="AR402" s="49">
        <v>10</v>
      </c>
      <c r="AS402" s="49">
        <v>10</v>
      </c>
      <c r="AT402" s="49">
        <v>10</v>
      </c>
      <c r="AU402" s="49">
        <v>10</v>
      </c>
      <c r="AV402" s="49">
        <v>10</v>
      </c>
      <c r="AW402" s="54">
        <f t="shared" si="114"/>
        <v>10</v>
      </c>
      <c r="AX402" s="48">
        <v>8</v>
      </c>
      <c r="AY402" s="2">
        <v>7</v>
      </c>
      <c r="AZ402" s="2">
        <v>10</v>
      </c>
      <c r="BA402" s="2">
        <v>10</v>
      </c>
      <c r="BB402" s="2">
        <v>10</v>
      </c>
      <c r="BC402" s="2">
        <v>10</v>
      </c>
      <c r="BD402" s="2">
        <v>10</v>
      </c>
      <c r="BE402" s="2">
        <v>10</v>
      </c>
      <c r="BF402" s="2">
        <v>10</v>
      </c>
      <c r="BG402" s="2">
        <v>10</v>
      </c>
      <c r="BH402" s="2">
        <v>10</v>
      </c>
      <c r="BI402" s="57">
        <v>10</v>
      </c>
      <c r="BJ402" s="2" t="e">
        <f t="shared" ca="1" si="129"/>
        <v>#NAME?</v>
      </c>
      <c r="BK402" s="5">
        <v>10</v>
      </c>
      <c r="BL402" s="5">
        <v>10</v>
      </c>
      <c r="BM402" s="5">
        <v>10</v>
      </c>
      <c r="BN402" s="5">
        <v>10</v>
      </c>
      <c r="BO402" s="5">
        <v>10</v>
      </c>
      <c r="BP402" s="54">
        <f t="shared" si="115"/>
        <v>10</v>
      </c>
      <c r="BQ402" s="5"/>
      <c r="BR402" s="5"/>
      <c r="BS402" s="5">
        <v>10</v>
      </c>
      <c r="BT402" s="5">
        <v>10</v>
      </c>
      <c r="BU402" s="5">
        <v>10</v>
      </c>
      <c r="BV402" s="5">
        <v>10</v>
      </c>
      <c r="BW402" s="5">
        <v>10</v>
      </c>
      <c r="BX402" s="5">
        <v>10</v>
      </c>
      <c r="BY402" s="5">
        <v>10</v>
      </c>
      <c r="BZ402" s="5">
        <v>10</v>
      </c>
      <c r="CA402" s="5">
        <v>10</v>
      </c>
      <c r="CB402" s="5">
        <v>10</v>
      </c>
      <c r="CC402" s="2" t="e">
        <f t="shared" ca="1" si="130"/>
        <v>#NAME?</v>
      </c>
      <c r="CD402" s="55"/>
      <c r="CE402" s="2"/>
      <c r="CF402" s="2">
        <v>10</v>
      </c>
      <c r="CG402" s="2">
        <v>10</v>
      </c>
      <c r="CH402" s="2">
        <v>10</v>
      </c>
      <c r="CI402" s="2">
        <v>10</v>
      </c>
      <c r="CJ402" s="2">
        <v>10</v>
      </c>
      <c r="CK402" s="2">
        <v>10</v>
      </c>
      <c r="CL402" s="2">
        <v>10</v>
      </c>
      <c r="CM402" s="2">
        <v>10</v>
      </c>
      <c r="CN402" s="2">
        <v>10</v>
      </c>
      <c r="CO402" s="2">
        <v>10</v>
      </c>
      <c r="CP402" s="2" t="e">
        <f t="shared" ca="1" si="131"/>
        <v>#NAME?</v>
      </c>
      <c r="CQ402" s="2">
        <v>10</v>
      </c>
      <c r="CR402" s="2">
        <v>10</v>
      </c>
      <c r="CS402" s="2">
        <v>10</v>
      </c>
      <c r="CT402" s="2">
        <v>10</v>
      </c>
      <c r="CU402" s="2">
        <v>10</v>
      </c>
      <c r="CV402" s="54">
        <f t="shared" si="116"/>
        <v>10</v>
      </c>
      <c r="CW402" s="55"/>
      <c r="CX402" s="3"/>
    </row>
    <row r="403" spans="1:102" ht="16.5" x14ac:dyDescent="0.55000000000000004">
      <c r="A403" s="17">
        <v>3</v>
      </c>
      <c r="B403" s="17" t="s">
        <v>7</v>
      </c>
      <c r="C403" s="23" t="s">
        <v>846</v>
      </c>
      <c r="D403" s="24" t="s">
        <v>847</v>
      </c>
      <c r="E403" s="48" t="s">
        <v>31</v>
      </c>
      <c r="F403" s="2" t="s">
        <v>31</v>
      </c>
      <c r="G403" s="2">
        <v>5</v>
      </c>
      <c r="H403" s="2">
        <v>5</v>
      </c>
      <c r="I403" s="2">
        <v>5</v>
      </c>
      <c r="J403" s="2">
        <v>5</v>
      </c>
      <c r="K403" s="2">
        <v>5</v>
      </c>
      <c r="L403" s="2"/>
      <c r="M403" s="2"/>
      <c r="N403" s="2"/>
      <c r="O403" s="2"/>
      <c r="P403" s="2"/>
      <c r="Q403" s="2" t="e">
        <f t="shared" ca="1" si="127"/>
        <v>#NAME?</v>
      </c>
      <c r="R403" s="2">
        <v>5</v>
      </c>
      <c r="S403" s="2">
        <v>5</v>
      </c>
      <c r="T403" s="2">
        <v>5</v>
      </c>
      <c r="U403" s="2">
        <v>5</v>
      </c>
      <c r="V403" s="2">
        <v>5</v>
      </c>
      <c r="W403" s="54">
        <f t="shared" si="113"/>
        <v>5</v>
      </c>
      <c r="X403" s="48">
        <v>0</v>
      </c>
      <c r="Y403" s="48">
        <v>0</v>
      </c>
      <c r="Z403" s="2"/>
      <c r="AA403" s="49">
        <v>7</v>
      </c>
      <c r="AB403" s="49">
        <v>7</v>
      </c>
      <c r="AC403" s="49">
        <v>7</v>
      </c>
      <c r="AD403" s="49">
        <v>7</v>
      </c>
      <c r="AE403" s="49">
        <v>7</v>
      </c>
      <c r="AF403" s="49">
        <v>7</v>
      </c>
      <c r="AG403" s="50">
        <v>10</v>
      </c>
      <c r="AH403" s="50">
        <v>10</v>
      </c>
      <c r="AI403" s="50">
        <v>10</v>
      </c>
      <c r="AJ403" s="50">
        <v>10</v>
      </c>
      <c r="AK403" s="49">
        <v>7</v>
      </c>
      <c r="AL403" s="49">
        <v>7</v>
      </c>
      <c r="AM403" s="50">
        <v>10</v>
      </c>
      <c r="AN403" s="50">
        <v>10</v>
      </c>
      <c r="AO403" s="50">
        <v>10</v>
      </c>
      <c r="AP403" s="50">
        <v>10</v>
      </c>
      <c r="AQ403" s="2" t="e">
        <f t="shared" ca="1" si="128"/>
        <v>#NAME?</v>
      </c>
      <c r="AR403" s="49">
        <v>7</v>
      </c>
      <c r="AS403" s="49">
        <v>7</v>
      </c>
      <c r="AT403" s="49">
        <v>7</v>
      </c>
      <c r="AU403" s="49">
        <v>10</v>
      </c>
      <c r="AV403" s="49">
        <v>10</v>
      </c>
      <c r="AW403" s="54">
        <f t="shared" si="114"/>
        <v>9</v>
      </c>
      <c r="AX403" s="48">
        <v>8</v>
      </c>
      <c r="AY403" s="2">
        <v>7</v>
      </c>
      <c r="AZ403" s="2">
        <v>9</v>
      </c>
      <c r="BA403" s="2">
        <v>9</v>
      </c>
      <c r="BB403" s="2">
        <v>9</v>
      </c>
      <c r="BC403" s="2">
        <v>9</v>
      </c>
      <c r="BD403" s="2">
        <v>10</v>
      </c>
      <c r="BE403" s="2">
        <v>10</v>
      </c>
      <c r="BF403" s="2">
        <v>10</v>
      </c>
      <c r="BG403" s="2">
        <v>10</v>
      </c>
      <c r="BH403" s="2">
        <v>10</v>
      </c>
      <c r="BI403" s="57">
        <v>10</v>
      </c>
      <c r="BJ403" s="2" t="e">
        <f t="shared" ca="1" si="129"/>
        <v>#NAME?</v>
      </c>
      <c r="BK403" s="5">
        <v>10</v>
      </c>
      <c r="BL403" s="5">
        <v>9</v>
      </c>
      <c r="BM403" s="5">
        <v>9</v>
      </c>
      <c r="BN403" s="5">
        <v>9</v>
      </c>
      <c r="BO403" s="5">
        <v>9</v>
      </c>
      <c r="BP403" s="54">
        <f t="shared" si="115"/>
        <v>10</v>
      </c>
      <c r="BQ403" s="5"/>
      <c r="BR403" s="5"/>
      <c r="BS403" s="5">
        <v>8</v>
      </c>
      <c r="BT403" s="5">
        <v>8</v>
      </c>
      <c r="BU403" s="5">
        <v>9</v>
      </c>
      <c r="BV403" s="5">
        <v>9</v>
      </c>
      <c r="BW403" s="5">
        <v>7</v>
      </c>
      <c r="BX403" s="5">
        <v>8</v>
      </c>
      <c r="BY403" s="5">
        <v>9</v>
      </c>
      <c r="BZ403" s="5">
        <v>10</v>
      </c>
      <c r="CA403" s="5">
        <v>10</v>
      </c>
      <c r="CB403" s="5">
        <v>10</v>
      </c>
      <c r="CC403" s="2" t="e">
        <f t="shared" ca="1" si="130"/>
        <v>#NAME?</v>
      </c>
      <c r="CD403" s="55"/>
      <c r="CE403" s="2"/>
      <c r="CF403" s="2">
        <v>10</v>
      </c>
      <c r="CG403" s="2">
        <v>10</v>
      </c>
      <c r="CH403" s="8">
        <v>10</v>
      </c>
      <c r="CI403" s="8">
        <v>10</v>
      </c>
      <c r="CJ403" s="2">
        <v>10</v>
      </c>
      <c r="CK403" s="2">
        <v>10</v>
      </c>
      <c r="CL403" s="2">
        <v>10</v>
      </c>
      <c r="CM403" s="2">
        <v>10</v>
      </c>
      <c r="CN403" s="2">
        <v>10</v>
      </c>
      <c r="CO403" s="2">
        <v>10</v>
      </c>
      <c r="CP403" s="2" t="e">
        <f t="shared" ca="1" si="131"/>
        <v>#NAME?</v>
      </c>
      <c r="CQ403" s="2">
        <v>10</v>
      </c>
      <c r="CR403" s="2">
        <v>10</v>
      </c>
      <c r="CS403" s="2">
        <v>10</v>
      </c>
      <c r="CT403" s="2">
        <v>10</v>
      </c>
      <c r="CU403" s="2">
        <v>6</v>
      </c>
      <c r="CV403" s="54">
        <f t="shared" si="116"/>
        <v>10</v>
      </c>
      <c r="CW403" s="55"/>
      <c r="CX403" s="3"/>
    </row>
    <row r="404" spans="1:102" ht="16.5" x14ac:dyDescent="0.55000000000000004">
      <c r="A404" s="17">
        <v>3</v>
      </c>
      <c r="B404" s="17" t="s">
        <v>7</v>
      </c>
      <c r="C404" s="23" t="s">
        <v>848</v>
      </c>
      <c r="D404" s="24" t="s">
        <v>849</v>
      </c>
      <c r="E404" s="48">
        <v>7</v>
      </c>
      <c r="F404" s="2">
        <v>6</v>
      </c>
      <c r="G404" s="2">
        <v>10</v>
      </c>
      <c r="H404" s="2">
        <v>10</v>
      </c>
      <c r="I404" s="2">
        <v>10</v>
      </c>
      <c r="J404" s="2">
        <v>10</v>
      </c>
      <c r="K404" s="2">
        <v>10</v>
      </c>
      <c r="L404" s="2"/>
      <c r="M404" s="2"/>
      <c r="N404" s="2"/>
      <c r="O404" s="2"/>
      <c r="P404" s="2"/>
      <c r="Q404" s="2" t="e">
        <f t="shared" ca="1" si="127"/>
        <v>#NAME?</v>
      </c>
      <c r="R404" s="2">
        <v>10</v>
      </c>
      <c r="S404" s="2">
        <v>10</v>
      </c>
      <c r="T404" s="2">
        <v>10</v>
      </c>
      <c r="U404" s="2">
        <v>10</v>
      </c>
      <c r="V404" s="2">
        <v>10</v>
      </c>
      <c r="W404" s="54">
        <f t="shared" si="113"/>
        <v>10</v>
      </c>
      <c r="X404" s="48">
        <v>0</v>
      </c>
      <c r="Y404" s="48">
        <v>0</v>
      </c>
      <c r="Z404" s="2"/>
      <c r="AA404" s="49">
        <v>10</v>
      </c>
      <c r="AB404" s="49">
        <v>10</v>
      </c>
      <c r="AC404" s="49">
        <v>10</v>
      </c>
      <c r="AD404" s="49">
        <v>7</v>
      </c>
      <c r="AE404" s="49">
        <v>7</v>
      </c>
      <c r="AF404" s="49">
        <v>7</v>
      </c>
      <c r="AG404" s="49">
        <v>10</v>
      </c>
      <c r="AH404" s="49">
        <v>10</v>
      </c>
      <c r="AI404" s="49">
        <v>10</v>
      </c>
      <c r="AJ404" s="49">
        <v>10</v>
      </c>
      <c r="AK404" s="49">
        <v>7</v>
      </c>
      <c r="AL404" s="49">
        <v>7</v>
      </c>
      <c r="AM404" s="49">
        <v>10</v>
      </c>
      <c r="AN404" s="49">
        <v>10</v>
      </c>
      <c r="AO404" s="49">
        <v>10</v>
      </c>
      <c r="AP404" s="49">
        <v>10</v>
      </c>
      <c r="AQ404" s="2" t="e">
        <f t="shared" ca="1" si="128"/>
        <v>#NAME?</v>
      </c>
      <c r="AR404" s="49">
        <v>10</v>
      </c>
      <c r="AS404" s="49">
        <v>10</v>
      </c>
      <c r="AT404" s="49">
        <v>7</v>
      </c>
      <c r="AU404" s="49">
        <v>10</v>
      </c>
      <c r="AV404" s="49">
        <v>10</v>
      </c>
      <c r="AW404" s="54">
        <f t="shared" si="114"/>
        <v>10</v>
      </c>
      <c r="AX404" s="48">
        <v>9</v>
      </c>
      <c r="AY404" s="2">
        <v>9</v>
      </c>
      <c r="AZ404" s="2">
        <v>10</v>
      </c>
      <c r="BA404" s="2">
        <v>10</v>
      </c>
      <c r="BB404" s="2">
        <v>10</v>
      </c>
      <c r="BC404" s="2">
        <v>10</v>
      </c>
      <c r="BD404" s="2">
        <v>10</v>
      </c>
      <c r="BE404" s="2">
        <v>10</v>
      </c>
      <c r="BF404" s="2">
        <v>10</v>
      </c>
      <c r="BG404" s="2">
        <v>10</v>
      </c>
      <c r="BH404" s="2">
        <v>10</v>
      </c>
      <c r="BI404" s="57">
        <v>10</v>
      </c>
      <c r="BJ404" s="2" t="e">
        <f t="shared" ca="1" si="129"/>
        <v>#NAME?</v>
      </c>
      <c r="BK404" s="5">
        <v>10</v>
      </c>
      <c r="BL404" s="5">
        <v>10</v>
      </c>
      <c r="BM404" s="5">
        <v>10</v>
      </c>
      <c r="BN404" s="5">
        <v>10</v>
      </c>
      <c r="BO404" s="5">
        <v>10</v>
      </c>
      <c r="BP404" s="54">
        <f t="shared" si="115"/>
        <v>10</v>
      </c>
      <c r="BQ404" s="5"/>
      <c r="BR404" s="5"/>
      <c r="BS404" s="5">
        <v>10</v>
      </c>
      <c r="BT404" s="5">
        <v>10</v>
      </c>
      <c r="BU404" s="5">
        <v>10</v>
      </c>
      <c r="BV404" s="5">
        <v>10</v>
      </c>
      <c r="BW404" s="5">
        <v>10</v>
      </c>
      <c r="BX404" s="5">
        <v>10</v>
      </c>
      <c r="BY404" s="5">
        <v>10</v>
      </c>
      <c r="BZ404" s="5">
        <v>10</v>
      </c>
      <c r="CA404" s="5">
        <v>10</v>
      </c>
      <c r="CB404" s="5">
        <v>10</v>
      </c>
      <c r="CC404" s="2" t="e">
        <f t="shared" ca="1" si="130"/>
        <v>#NAME?</v>
      </c>
      <c r="CD404" s="55"/>
      <c r="CE404" s="2"/>
      <c r="CF404" s="2">
        <v>10</v>
      </c>
      <c r="CG404" s="2">
        <v>10</v>
      </c>
      <c r="CH404" s="2">
        <v>10</v>
      </c>
      <c r="CI404" s="2">
        <v>10</v>
      </c>
      <c r="CJ404" s="2">
        <v>10</v>
      </c>
      <c r="CK404" s="2">
        <v>10</v>
      </c>
      <c r="CL404" s="2">
        <v>10</v>
      </c>
      <c r="CM404" s="2">
        <v>10</v>
      </c>
      <c r="CN404" s="2">
        <v>10</v>
      </c>
      <c r="CO404" s="2">
        <v>10</v>
      </c>
      <c r="CP404" s="2" t="e">
        <f t="shared" ca="1" si="131"/>
        <v>#NAME?</v>
      </c>
      <c r="CQ404" s="2">
        <v>10</v>
      </c>
      <c r="CR404" s="2">
        <v>10</v>
      </c>
      <c r="CS404" s="2">
        <v>10</v>
      </c>
      <c r="CT404" s="2">
        <v>10</v>
      </c>
      <c r="CU404" s="2">
        <v>10</v>
      </c>
      <c r="CV404" s="54">
        <f t="shared" si="116"/>
        <v>10</v>
      </c>
      <c r="CW404" s="55"/>
      <c r="CX404" s="3"/>
    </row>
    <row r="405" spans="1:102" ht="16.5" x14ac:dyDescent="0.55000000000000004">
      <c r="A405" s="17">
        <v>3</v>
      </c>
      <c r="B405" s="17" t="s">
        <v>7</v>
      </c>
      <c r="C405" s="23" t="s">
        <v>850</v>
      </c>
      <c r="D405" s="24" t="s">
        <v>851</v>
      </c>
      <c r="E405" s="48">
        <v>4</v>
      </c>
      <c r="F405" s="2">
        <v>4</v>
      </c>
      <c r="G405" s="2">
        <v>10</v>
      </c>
      <c r="H405" s="2">
        <v>8</v>
      </c>
      <c r="I405" s="2">
        <v>10</v>
      </c>
      <c r="J405" s="2">
        <v>7</v>
      </c>
      <c r="K405" s="2">
        <v>6</v>
      </c>
      <c r="L405" s="2"/>
      <c r="M405" s="2"/>
      <c r="N405" s="2"/>
      <c r="O405" s="2"/>
      <c r="P405" s="2"/>
      <c r="Q405" s="2" t="e">
        <f t="shared" ca="1" si="127"/>
        <v>#NAME?</v>
      </c>
      <c r="R405" s="2">
        <v>10</v>
      </c>
      <c r="S405" s="2">
        <v>10</v>
      </c>
      <c r="T405" s="2">
        <v>10</v>
      </c>
      <c r="U405" s="2">
        <v>10</v>
      </c>
      <c r="V405" s="2">
        <v>10</v>
      </c>
      <c r="W405" s="54">
        <f t="shared" si="113"/>
        <v>10</v>
      </c>
      <c r="X405" s="48">
        <v>0</v>
      </c>
      <c r="Y405" s="48">
        <v>0</v>
      </c>
      <c r="Z405" s="2"/>
      <c r="AA405" s="49">
        <v>7</v>
      </c>
      <c r="AB405" s="49">
        <v>7</v>
      </c>
      <c r="AC405" s="49">
        <v>7</v>
      </c>
      <c r="AD405" s="49">
        <v>7</v>
      </c>
      <c r="AE405" s="49">
        <v>7</v>
      </c>
      <c r="AF405" s="49">
        <v>7</v>
      </c>
      <c r="AG405" s="49">
        <v>10</v>
      </c>
      <c r="AH405" s="49">
        <v>10</v>
      </c>
      <c r="AI405" s="49">
        <v>10</v>
      </c>
      <c r="AJ405" s="49">
        <v>10</v>
      </c>
      <c r="AK405" s="49">
        <v>7</v>
      </c>
      <c r="AL405" s="49">
        <v>7</v>
      </c>
      <c r="AM405" s="49">
        <v>10</v>
      </c>
      <c r="AN405" s="49">
        <v>10</v>
      </c>
      <c r="AO405" s="49">
        <v>10</v>
      </c>
      <c r="AP405" s="49">
        <v>10</v>
      </c>
      <c r="AQ405" s="2" t="e">
        <f t="shared" ca="1" si="128"/>
        <v>#NAME?</v>
      </c>
      <c r="AR405" s="49">
        <v>7</v>
      </c>
      <c r="AS405" s="49">
        <v>7</v>
      </c>
      <c r="AT405" s="49">
        <v>7</v>
      </c>
      <c r="AU405" s="49">
        <v>10</v>
      </c>
      <c r="AV405" s="49">
        <v>10</v>
      </c>
      <c r="AW405" s="54">
        <f t="shared" si="114"/>
        <v>9</v>
      </c>
      <c r="AX405" s="48">
        <v>7</v>
      </c>
      <c r="AY405" s="2">
        <v>8</v>
      </c>
      <c r="AZ405" s="2">
        <v>10</v>
      </c>
      <c r="BA405" s="2">
        <v>10</v>
      </c>
      <c r="BB405" s="2">
        <v>10</v>
      </c>
      <c r="BC405" s="2">
        <v>10</v>
      </c>
      <c r="BD405" s="2">
        <v>10</v>
      </c>
      <c r="BE405" s="2">
        <v>9</v>
      </c>
      <c r="BF405" s="2">
        <v>10</v>
      </c>
      <c r="BG405" s="2">
        <v>10</v>
      </c>
      <c r="BH405" s="2">
        <v>10</v>
      </c>
      <c r="BI405" s="57">
        <v>10</v>
      </c>
      <c r="BJ405" s="2" t="e">
        <f t="shared" ca="1" si="129"/>
        <v>#NAME?</v>
      </c>
      <c r="BK405" s="5">
        <v>10</v>
      </c>
      <c r="BL405" s="5">
        <v>10</v>
      </c>
      <c r="BM405" s="5">
        <v>10</v>
      </c>
      <c r="BN405" s="5">
        <v>10</v>
      </c>
      <c r="BO405" s="5">
        <v>10</v>
      </c>
      <c r="BP405" s="54">
        <f t="shared" si="115"/>
        <v>10</v>
      </c>
      <c r="BQ405" s="5"/>
      <c r="BR405" s="5"/>
      <c r="BS405" s="5">
        <v>10</v>
      </c>
      <c r="BT405" s="5">
        <v>10</v>
      </c>
      <c r="BU405" s="5">
        <v>10</v>
      </c>
      <c r="BV405" s="5">
        <v>10</v>
      </c>
      <c r="BW405" s="5">
        <v>10</v>
      </c>
      <c r="BX405" s="5">
        <v>10</v>
      </c>
      <c r="BY405" s="5">
        <v>10</v>
      </c>
      <c r="BZ405" s="5">
        <v>10</v>
      </c>
      <c r="CA405" s="5">
        <v>10</v>
      </c>
      <c r="CB405" s="5">
        <v>10</v>
      </c>
      <c r="CC405" s="2" t="e">
        <f t="shared" ca="1" si="130"/>
        <v>#NAME?</v>
      </c>
      <c r="CD405" s="55"/>
      <c r="CE405" s="2"/>
      <c r="CF405" s="2">
        <v>10</v>
      </c>
      <c r="CG405" s="2">
        <v>10</v>
      </c>
      <c r="CH405" s="2">
        <v>10</v>
      </c>
      <c r="CI405" s="2">
        <v>10</v>
      </c>
      <c r="CJ405" s="2">
        <v>10</v>
      </c>
      <c r="CK405" s="2">
        <v>10</v>
      </c>
      <c r="CL405" s="2">
        <v>10</v>
      </c>
      <c r="CM405" s="2">
        <v>10</v>
      </c>
      <c r="CN405" s="2">
        <v>10</v>
      </c>
      <c r="CO405" s="2">
        <v>10</v>
      </c>
      <c r="CP405" s="2" t="e">
        <f t="shared" ca="1" si="131"/>
        <v>#NAME?</v>
      </c>
      <c r="CQ405" s="2">
        <v>10</v>
      </c>
      <c r="CR405" s="2">
        <v>10</v>
      </c>
      <c r="CS405" s="2">
        <v>10</v>
      </c>
      <c r="CT405" s="2">
        <v>10</v>
      </c>
      <c r="CU405" s="2">
        <v>10</v>
      </c>
      <c r="CV405" s="54">
        <f t="shared" si="116"/>
        <v>10</v>
      </c>
      <c r="CW405" s="55"/>
      <c r="CX405" s="3"/>
    </row>
    <row r="406" spans="1:102" ht="16.5" x14ac:dyDescent="0.55000000000000004">
      <c r="A406" s="17">
        <v>3</v>
      </c>
      <c r="B406" s="17" t="s">
        <v>7</v>
      </c>
      <c r="C406" s="23" t="s">
        <v>852</v>
      </c>
      <c r="D406" s="24" t="s">
        <v>853</v>
      </c>
      <c r="E406" s="48">
        <v>7</v>
      </c>
      <c r="F406" s="2">
        <v>7</v>
      </c>
      <c r="G406" s="2">
        <v>10</v>
      </c>
      <c r="H406" s="2">
        <v>10</v>
      </c>
      <c r="I406" s="2">
        <v>10</v>
      </c>
      <c r="J406" s="2">
        <v>10</v>
      </c>
      <c r="K406" s="2">
        <v>10</v>
      </c>
      <c r="L406" s="2"/>
      <c r="M406" s="2"/>
      <c r="N406" s="2"/>
      <c r="O406" s="2"/>
      <c r="P406" s="2"/>
      <c r="Q406" s="2" t="e">
        <f t="shared" ca="1" si="127"/>
        <v>#NAME?</v>
      </c>
      <c r="R406" s="2">
        <v>10</v>
      </c>
      <c r="S406" s="2">
        <v>10</v>
      </c>
      <c r="T406" s="2">
        <v>10</v>
      </c>
      <c r="U406" s="2">
        <v>10</v>
      </c>
      <c r="V406" s="2">
        <v>10</v>
      </c>
      <c r="W406" s="54">
        <f t="shared" si="113"/>
        <v>10</v>
      </c>
      <c r="X406" s="48">
        <v>0</v>
      </c>
      <c r="Y406" s="48">
        <v>0</v>
      </c>
      <c r="Z406" s="2"/>
      <c r="AA406" s="49">
        <v>10</v>
      </c>
      <c r="AB406" s="49">
        <v>10</v>
      </c>
      <c r="AC406" s="49">
        <v>10</v>
      </c>
      <c r="AD406" s="49">
        <v>10</v>
      </c>
      <c r="AE406" s="49">
        <v>10</v>
      </c>
      <c r="AF406" s="49">
        <v>10</v>
      </c>
      <c r="AG406" s="50">
        <v>10</v>
      </c>
      <c r="AH406" s="50">
        <v>10</v>
      </c>
      <c r="AI406" s="50">
        <v>10</v>
      </c>
      <c r="AJ406" s="50">
        <v>10</v>
      </c>
      <c r="AK406" s="49">
        <v>10</v>
      </c>
      <c r="AL406" s="49">
        <v>10</v>
      </c>
      <c r="AM406" s="50">
        <v>10</v>
      </c>
      <c r="AN406" s="50">
        <v>10</v>
      </c>
      <c r="AO406" s="50">
        <v>10</v>
      </c>
      <c r="AP406" s="50">
        <v>10</v>
      </c>
      <c r="AQ406" s="2" t="e">
        <f t="shared" ca="1" si="128"/>
        <v>#NAME?</v>
      </c>
      <c r="AR406" s="49">
        <v>10</v>
      </c>
      <c r="AS406" s="49">
        <v>10</v>
      </c>
      <c r="AT406" s="49">
        <v>10</v>
      </c>
      <c r="AU406" s="49">
        <v>10</v>
      </c>
      <c r="AV406" s="49">
        <v>10</v>
      </c>
      <c r="AW406" s="54">
        <f t="shared" si="114"/>
        <v>10</v>
      </c>
      <c r="AX406" s="48">
        <v>8</v>
      </c>
      <c r="AY406" s="2">
        <v>8</v>
      </c>
      <c r="AZ406" s="91">
        <v>10</v>
      </c>
      <c r="BA406" s="92">
        <v>10</v>
      </c>
      <c r="BB406" s="92">
        <v>10</v>
      </c>
      <c r="BC406" s="92">
        <v>9</v>
      </c>
      <c r="BD406" s="92">
        <v>10</v>
      </c>
      <c r="BE406" s="91">
        <v>10</v>
      </c>
      <c r="BF406" s="92">
        <v>10</v>
      </c>
      <c r="BG406" s="91">
        <v>10</v>
      </c>
      <c r="BH406" s="92">
        <v>10</v>
      </c>
      <c r="BI406" s="57">
        <v>10</v>
      </c>
      <c r="BJ406" s="2" t="e">
        <f t="shared" ca="1" si="129"/>
        <v>#NAME?</v>
      </c>
      <c r="BK406" s="5">
        <v>10</v>
      </c>
      <c r="BL406" s="5">
        <v>10</v>
      </c>
      <c r="BM406" s="5">
        <v>10</v>
      </c>
      <c r="BN406" s="5">
        <v>10</v>
      </c>
      <c r="BO406" s="5">
        <v>10</v>
      </c>
      <c r="BP406" s="54">
        <f t="shared" si="115"/>
        <v>10</v>
      </c>
      <c r="BQ406" s="5"/>
      <c r="BR406" s="5"/>
      <c r="BS406" s="5">
        <v>10</v>
      </c>
      <c r="BT406" s="5">
        <v>10</v>
      </c>
      <c r="BU406" s="5">
        <v>10</v>
      </c>
      <c r="BV406" s="5">
        <v>10</v>
      </c>
      <c r="BW406" s="5">
        <v>10</v>
      </c>
      <c r="BX406" s="5">
        <v>10</v>
      </c>
      <c r="BY406" s="5">
        <v>10</v>
      </c>
      <c r="BZ406" s="5">
        <v>10</v>
      </c>
      <c r="CA406" s="5">
        <v>10</v>
      </c>
      <c r="CB406" s="5">
        <v>10</v>
      </c>
      <c r="CC406" s="2" t="e">
        <f t="shared" ca="1" si="130"/>
        <v>#NAME?</v>
      </c>
      <c r="CD406" s="55"/>
      <c r="CE406" s="2"/>
      <c r="CF406" s="2">
        <v>10</v>
      </c>
      <c r="CG406" s="2">
        <v>10</v>
      </c>
      <c r="CH406" s="2">
        <v>10</v>
      </c>
      <c r="CI406" s="2">
        <v>10</v>
      </c>
      <c r="CJ406" s="2">
        <v>10</v>
      </c>
      <c r="CK406" s="2">
        <v>10</v>
      </c>
      <c r="CL406" s="2">
        <v>10</v>
      </c>
      <c r="CM406" s="2">
        <v>10</v>
      </c>
      <c r="CN406" s="2">
        <v>10</v>
      </c>
      <c r="CO406" s="2">
        <v>10</v>
      </c>
      <c r="CP406" s="2" t="e">
        <f t="shared" ca="1" si="131"/>
        <v>#NAME?</v>
      </c>
      <c r="CQ406" s="2">
        <v>10</v>
      </c>
      <c r="CR406" s="2">
        <v>10</v>
      </c>
      <c r="CS406" s="2">
        <v>10</v>
      </c>
      <c r="CT406" s="2">
        <v>10</v>
      </c>
      <c r="CU406" s="2">
        <v>10</v>
      </c>
      <c r="CV406" s="54">
        <f t="shared" si="116"/>
        <v>10</v>
      </c>
      <c r="CW406" s="55"/>
      <c r="CX406" s="3"/>
    </row>
    <row r="407" spans="1:102" ht="16.5" x14ac:dyDescent="0.55000000000000004">
      <c r="A407" s="17">
        <v>3</v>
      </c>
      <c r="B407" s="17" t="s">
        <v>7</v>
      </c>
      <c r="C407" s="23" t="s">
        <v>854</v>
      </c>
      <c r="D407" s="24" t="s">
        <v>855</v>
      </c>
      <c r="E407" s="48">
        <v>0</v>
      </c>
      <c r="F407" s="2">
        <v>0</v>
      </c>
      <c r="G407" s="2">
        <v>5</v>
      </c>
      <c r="H407" s="2">
        <v>5</v>
      </c>
      <c r="I407" s="2">
        <v>5</v>
      </c>
      <c r="J407" s="2">
        <v>5</v>
      </c>
      <c r="K407" s="2">
        <v>5</v>
      </c>
      <c r="L407" s="2"/>
      <c r="M407" s="2"/>
      <c r="N407" s="2"/>
      <c r="O407" s="2"/>
      <c r="P407" s="2"/>
      <c r="Q407" s="2" t="e">
        <f t="shared" ca="1" si="127"/>
        <v>#NAME?</v>
      </c>
      <c r="R407" s="2">
        <v>5</v>
      </c>
      <c r="S407" s="2">
        <v>5</v>
      </c>
      <c r="T407" s="2">
        <v>5</v>
      </c>
      <c r="U407" s="2">
        <v>5</v>
      </c>
      <c r="V407" s="2">
        <v>5</v>
      </c>
      <c r="W407" s="54">
        <f t="shared" si="113"/>
        <v>5</v>
      </c>
      <c r="X407" s="48">
        <v>0</v>
      </c>
      <c r="Y407" s="48">
        <v>0</v>
      </c>
      <c r="Z407" s="2"/>
      <c r="AA407" s="50">
        <v>7</v>
      </c>
      <c r="AB407" s="50">
        <v>7</v>
      </c>
      <c r="AC407" s="50">
        <v>7</v>
      </c>
      <c r="AD407" s="50">
        <v>7</v>
      </c>
      <c r="AE407" s="50">
        <v>7</v>
      </c>
      <c r="AF407" s="50">
        <v>7</v>
      </c>
      <c r="AG407" s="49">
        <v>10</v>
      </c>
      <c r="AH407" s="49">
        <v>10</v>
      </c>
      <c r="AI407" s="49">
        <v>10</v>
      </c>
      <c r="AJ407" s="49">
        <v>10</v>
      </c>
      <c r="AK407" s="50">
        <v>7</v>
      </c>
      <c r="AL407" s="50">
        <v>7</v>
      </c>
      <c r="AM407" s="49">
        <v>10</v>
      </c>
      <c r="AN407" s="49">
        <v>10</v>
      </c>
      <c r="AO407" s="49">
        <v>10</v>
      </c>
      <c r="AP407" s="49">
        <v>10</v>
      </c>
      <c r="AQ407" s="2" t="e">
        <f t="shared" ca="1" si="128"/>
        <v>#NAME?</v>
      </c>
      <c r="AR407" s="2">
        <v>7</v>
      </c>
      <c r="AS407" s="2">
        <v>7</v>
      </c>
      <c r="AT407" s="2">
        <v>7</v>
      </c>
      <c r="AU407" s="2">
        <v>10</v>
      </c>
      <c r="AV407" s="2">
        <v>10</v>
      </c>
      <c r="AW407" s="54">
        <f t="shared" si="114"/>
        <v>9</v>
      </c>
      <c r="AX407" s="48">
        <v>8</v>
      </c>
      <c r="AY407" s="2">
        <v>7</v>
      </c>
      <c r="AZ407" s="2">
        <v>9</v>
      </c>
      <c r="BA407" s="2">
        <v>9</v>
      </c>
      <c r="BB407" s="2">
        <v>9</v>
      </c>
      <c r="BC407" s="2">
        <v>9</v>
      </c>
      <c r="BD407" s="2">
        <v>10</v>
      </c>
      <c r="BE407" s="2">
        <v>10</v>
      </c>
      <c r="BF407" s="2">
        <v>10</v>
      </c>
      <c r="BG407" s="2">
        <v>10</v>
      </c>
      <c r="BH407" s="2">
        <v>10</v>
      </c>
      <c r="BI407" s="57">
        <v>10</v>
      </c>
      <c r="BJ407" s="2" t="e">
        <f t="shared" ca="1" si="129"/>
        <v>#NAME?</v>
      </c>
      <c r="BK407" s="5">
        <v>10</v>
      </c>
      <c r="BL407" s="5">
        <v>9</v>
      </c>
      <c r="BM407" s="5">
        <v>9</v>
      </c>
      <c r="BN407" s="5">
        <v>9</v>
      </c>
      <c r="BO407" s="5">
        <v>9</v>
      </c>
      <c r="BP407" s="54">
        <f t="shared" si="115"/>
        <v>10</v>
      </c>
      <c r="BQ407" s="5"/>
      <c r="BR407" s="5"/>
      <c r="BS407" s="5">
        <v>10</v>
      </c>
      <c r="BT407" s="5">
        <v>10</v>
      </c>
      <c r="BU407" s="5">
        <v>10</v>
      </c>
      <c r="BV407" s="5">
        <v>10</v>
      </c>
      <c r="BW407" s="5">
        <v>10</v>
      </c>
      <c r="BX407" s="5">
        <v>10</v>
      </c>
      <c r="BY407" s="5">
        <v>10</v>
      </c>
      <c r="BZ407" s="5">
        <v>10</v>
      </c>
      <c r="CA407" s="5">
        <v>10</v>
      </c>
      <c r="CB407" s="5">
        <v>10</v>
      </c>
      <c r="CC407" s="2" t="e">
        <f t="shared" ca="1" si="130"/>
        <v>#NAME?</v>
      </c>
      <c r="CD407" s="55"/>
      <c r="CE407" s="2"/>
      <c r="CF407" s="2">
        <v>10</v>
      </c>
      <c r="CG407" s="2">
        <v>10</v>
      </c>
      <c r="CH407" s="8">
        <v>10</v>
      </c>
      <c r="CI407" s="8">
        <v>10</v>
      </c>
      <c r="CJ407" s="2">
        <v>10</v>
      </c>
      <c r="CK407" s="2">
        <v>10</v>
      </c>
      <c r="CL407" s="2">
        <v>10</v>
      </c>
      <c r="CM407" s="2">
        <v>10</v>
      </c>
      <c r="CN407" s="2">
        <v>10</v>
      </c>
      <c r="CO407" s="2">
        <v>10</v>
      </c>
      <c r="CP407" s="2" t="e">
        <f t="shared" ca="1" si="131"/>
        <v>#NAME?</v>
      </c>
      <c r="CQ407" s="2">
        <v>10</v>
      </c>
      <c r="CR407" s="2">
        <v>7</v>
      </c>
      <c r="CS407" s="2">
        <v>7</v>
      </c>
      <c r="CT407" s="2">
        <v>7</v>
      </c>
      <c r="CU407" s="2">
        <v>7</v>
      </c>
      <c r="CV407" s="54">
        <f t="shared" si="116"/>
        <v>8</v>
      </c>
      <c r="CW407" s="55"/>
      <c r="CX407" s="3"/>
    </row>
    <row r="408" spans="1:102" ht="16.5" x14ac:dyDescent="0.55000000000000004">
      <c r="A408" s="17">
        <v>3</v>
      </c>
      <c r="B408" s="17" t="s">
        <v>7</v>
      </c>
      <c r="C408" s="23" t="s">
        <v>856</v>
      </c>
      <c r="D408" s="24" t="s">
        <v>857</v>
      </c>
      <c r="E408" s="48">
        <v>8</v>
      </c>
      <c r="F408" s="2">
        <v>8</v>
      </c>
      <c r="G408" s="2">
        <v>10</v>
      </c>
      <c r="H408" s="2">
        <v>10</v>
      </c>
      <c r="I408" s="2">
        <v>10</v>
      </c>
      <c r="J408" s="2">
        <v>10</v>
      </c>
      <c r="K408" s="2">
        <v>10</v>
      </c>
      <c r="L408" s="2"/>
      <c r="M408" s="2"/>
      <c r="N408" s="2"/>
      <c r="O408" s="2"/>
      <c r="P408" s="2"/>
      <c r="Q408" s="2" t="e">
        <f t="shared" ca="1" si="127"/>
        <v>#NAME?</v>
      </c>
      <c r="R408" s="2">
        <v>10</v>
      </c>
      <c r="S408" s="2">
        <v>10</v>
      </c>
      <c r="T408" s="2">
        <v>10</v>
      </c>
      <c r="U408" s="2">
        <v>10</v>
      </c>
      <c r="V408" s="2">
        <v>10</v>
      </c>
      <c r="W408" s="54">
        <f t="shared" si="113"/>
        <v>10</v>
      </c>
      <c r="X408" s="48">
        <v>10</v>
      </c>
      <c r="Y408" s="48">
        <v>10</v>
      </c>
      <c r="Z408" s="2"/>
      <c r="AA408" s="50">
        <v>7</v>
      </c>
      <c r="AB408" s="50">
        <v>7</v>
      </c>
      <c r="AC408" s="50">
        <v>7</v>
      </c>
      <c r="AD408" s="50">
        <v>7</v>
      </c>
      <c r="AE408" s="50">
        <v>7</v>
      </c>
      <c r="AF408" s="50">
        <v>7</v>
      </c>
      <c r="AG408" s="49">
        <v>10</v>
      </c>
      <c r="AH408" s="49">
        <v>10</v>
      </c>
      <c r="AI408" s="49">
        <v>10</v>
      </c>
      <c r="AJ408" s="49">
        <v>10</v>
      </c>
      <c r="AK408" s="50">
        <v>7</v>
      </c>
      <c r="AL408" s="50">
        <v>7</v>
      </c>
      <c r="AM408" s="49">
        <v>10</v>
      </c>
      <c r="AN408" s="49">
        <v>10</v>
      </c>
      <c r="AO408" s="49">
        <v>10</v>
      </c>
      <c r="AP408" s="49">
        <v>10</v>
      </c>
      <c r="AQ408" s="2" t="e">
        <f t="shared" ca="1" si="128"/>
        <v>#NAME?</v>
      </c>
      <c r="AR408" s="49">
        <v>7</v>
      </c>
      <c r="AS408" s="49">
        <v>7</v>
      </c>
      <c r="AT408" s="49">
        <v>7</v>
      </c>
      <c r="AU408" s="49">
        <v>10</v>
      </c>
      <c r="AV408" s="49">
        <v>10</v>
      </c>
      <c r="AW408" s="54">
        <f t="shared" si="114"/>
        <v>9</v>
      </c>
      <c r="AX408" s="48">
        <v>8</v>
      </c>
      <c r="AY408" s="2">
        <v>7</v>
      </c>
      <c r="AZ408" s="91">
        <v>10</v>
      </c>
      <c r="BA408" s="92">
        <v>9</v>
      </c>
      <c r="BB408" s="92">
        <v>10</v>
      </c>
      <c r="BC408" s="92">
        <v>9</v>
      </c>
      <c r="BD408" s="92">
        <v>9</v>
      </c>
      <c r="BE408" s="91">
        <v>10</v>
      </c>
      <c r="BF408" s="92">
        <v>10</v>
      </c>
      <c r="BG408" s="91">
        <v>9</v>
      </c>
      <c r="BH408" s="92">
        <v>9</v>
      </c>
      <c r="BI408" s="57">
        <v>9</v>
      </c>
      <c r="BJ408" s="2" t="e">
        <f t="shared" ca="1" si="129"/>
        <v>#NAME?</v>
      </c>
      <c r="BK408" s="5">
        <v>9</v>
      </c>
      <c r="BL408" s="5">
        <v>9</v>
      </c>
      <c r="BM408" s="5">
        <v>9</v>
      </c>
      <c r="BN408" s="5">
        <v>9</v>
      </c>
      <c r="BO408" s="5">
        <v>9</v>
      </c>
      <c r="BP408" s="54">
        <f t="shared" si="115"/>
        <v>9</v>
      </c>
      <c r="BQ408" s="5"/>
      <c r="BR408" s="5"/>
      <c r="BS408" s="5">
        <v>10</v>
      </c>
      <c r="BT408" s="5">
        <v>10</v>
      </c>
      <c r="BU408" s="5">
        <v>10</v>
      </c>
      <c r="BV408" s="5">
        <v>10</v>
      </c>
      <c r="BW408" s="5">
        <v>10</v>
      </c>
      <c r="BX408" s="5">
        <v>10</v>
      </c>
      <c r="BY408" s="5">
        <v>10</v>
      </c>
      <c r="BZ408" s="5">
        <v>10</v>
      </c>
      <c r="CA408" s="5">
        <v>10</v>
      </c>
      <c r="CB408" s="5">
        <v>10</v>
      </c>
      <c r="CC408" s="2" t="e">
        <f t="shared" ca="1" si="130"/>
        <v>#NAME?</v>
      </c>
      <c r="CD408" s="55"/>
      <c r="CE408" s="2"/>
      <c r="CF408" s="2">
        <v>10</v>
      </c>
      <c r="CG408" s="2">
        <v>6</v>
      </c>
      <c r="CH408" s="2">
        <v>10</v>
      </c>
      <c r="CI408" s="2">
        <v>10</v>
      </c>
      <c r="CJ408" s="2">
        <v>10</v>
      </c>
      <c r="CK408" s="2">
        <v>6</v>
      </c>
      <c r="CL408" s="2">
        <v>6</v>
      </c>
      <c r="CM408" s="2">
        <v>10</v>
      </c>
      <c r="CN408" s="2">
        <v>6</v>
      </c>
      <c r="CO408" s="2">
        <v>6</v>
      </c>
      <c r="CP408" s="2" t="e">
        <f t="shared" ca="1" si="131"/>
        <v>#NAME?</v>
      </c>
      <c r="CQ408" s="2">
        <v>10</v>
      </c>
      <c r="CR408" s="2">
        <v>10</v>
      </c>
      <c r="CS408" s="2">
        <v>10</v>
      </c>
      <c r="CT408" s="2">
        <v>10</v>
      </c>
      <c r="CU408" s="2">
        <v>10</v>
      </c>
      <c r="CV408" s="54">
        <f t="shared" si="116"/>
        <v>10</v>
      </c>
      <c r="CW408" s="55"/>
      <c r="CX408" s="3"/>
    </row>
    <row r="409" spans="1:102" ht="16.5" x14ac:dyDescent="0.55000000000000004">
      <c r="A409" s="17">
        <v>3</v>
      </c>
      <c r="B409" s="17" t="s">
        <v>7</v>
      </c>
      <c r="C409" s="23" t="s">
        <v>858</v>
      </c>
      <c r="D409" s="24" t="s">
        <v>859</v>
      </c>
      <c r="E409" s="48">
        <v>0</v>
      </c>
      <c r="F409" s="2" t="s">
        <v>31</v>
      </c>
      <c r="G409" s="2">
        <v>7</v>
      </c>
      <c r="H409" s="2">
        <v>5</v>
      </c>
      <c r="I409" s="2">
        <v>5</v>
      </c>
      <c r="J409" s="2">
        <v>5</v>
      </c>
      <c r="K409" s="2">
        <v>5</v>
      </c>
      <c r="L409" s="2"/>
      <c r="M409" s="2"/>
      <c r="N409" s="2"/>
      <c r="O409" s="2"/>
      <c r="P409" s="2"/>
      <c r="Q409" s="2" t="e">
        <f t="shared" ca="1" si="127"/>
        <v>#NAME?</v>
      </c>
      <c r="R409" s="2">
        <v>5</v>
      </c>
      <c r="S409" s="2">
        <v>5</v>
      </c>
      <c r="T409" s="2">
        <v>5</v>
      </c>
      <c r="U409" s="2">
        <v>5</v>
      </c>
      <c r="V409" s="2">
        <v>5</v>
      </c>
      <c r="W409" s="54">
        <f t="shared" si="113"/>
        <v>5</v>
      </c>
      <c r="X409" s="48">
        <v>3</v>
      </c>
      <c r="Y409" s="48">
        <v>3</v>
      </c>
      <c r="Z409" s="2"/>
      <c r="AA409" s="49">
        <v>10</v>
      </c>
      <c r="AB409" s="49">
        <v>10</v>
      </c>
      <c r="AC409" s="49">
        <v>10</v>
      </c>
      <c r="AD409" s="49">
        <v>10</v>
      </c>
      <c r="AE409" s="49">
        <v>10</v>
      </c>
      <c r="AF409" s="49">
        <v>10</v>
      </c>
      <c r="AG409" s="50">
        <v>10</v>
      </c>
      <c r="AH409" s="50">
        <v>10</v>
      </c>
      <c r="AI409" s="50">
        <v>10</v>
      </c>
      <c r="AJ409" s="50">
        <v>10</v>
      </c>
      <c r="AK409" s="49">
        <v>10</v>
      </c>
      <c r="AL409" s="49">
        <v>10</v>
      </c>
      <c r="AM409" s="50">
        <v>10</v>
      </c>
      <c r="AN409" s="50">
        <v>10</v>
      </c>
      <c r="AO409" s="50">
        <v>10</v>
      </c>
      <c r="AP409" s="50">
        <v>10</v>
      </c>
      <c r="AQ409" s="2" t="e">
        <f t="shared" ca="1" si="128"/>
        <v>#NAME?</v>
      </c>
      <c r="AR409" s="49">
        <v>10</v>
      </c>
      <c r="AS409" s="49">
        <v>10</v>
      </c>
      <c r="AT409" s="49">
        <v>10</v>
      </c>
      <c r="AU409" s="49">
        <v>10</v>
      </c>
      <c r="AV409" s="49">
        <v>10</v>
      </c>
      <c r="AW409" s="54">
        <f t="shared" si="114"/>
        <v>10</v>
      </c>
      <c r="AX409" s="48">
        <v>7</v>
      </c>
      <c r="AY409" s="2">
        <v>7</v>
      </c>
      <c r="AZ409" s="2">
        <v>9</v>
      </c>
      <c r="BA409" s="2">
        <v>9</v>
      </c>
      <c r="BB409" s="2">
        <v>9</v>
      </c>
      <c r="BC409" s="2">
        <v>9</v>
      </c>
      <c r="BD409" s="2">
        <v>9</v>
      </c>
      <c r="BE409" s="2">
        <v>10</v>
      </c>
      <c r="BF409" s="2">
        <v>10</v>
      </c>
      <c r="BG409" s="2">
        <v>10</v>
      </c>
      <c r="BH409" s="2">
        <v>10</v>
      </c>
      <c r="BI409" s="57">
        <v>10</v>
      </c>
      <c r="BJ409" s="2" t="e">
        <f t="shared" ca="1" si="129"/>
        <v>#NAME?</v>
      </c>
      <c r="BK409" s="5">
        <v>10</v>
      </c>
      <c r="BL409" s="5">
        <v>10</v>
      </c>
      <c r="BM409" s="5">
        <v>10</v>
      </c>
      <c r="BN409" s="5">
        <v>9</v>
      </c>
      <c r="BO409" s="5">
        <v>9</v>
      </c>
      <c r="BP409" s="54">
        <f t="shared" si="115"/>
        <v>10</v>
      </c>
      <c r="BQ409" s="5"/>
      <c r="BR409" s="5"/>
      <c r="BS409" s="5">
        <v>10</v>
      </c>
      <c r="BT409" s="5">
        <v>10</v>
      </c>
      <c r="BU409" s="5">
        <v>10</v>
      </c>
      <c r="BV409" s="5">
        <v>10</v>
      </c>
      <c r="BW409" s="5">
        <v>10</v>
      </c>
      <c r="BX409" s="5">
        <v>10</v>
      </c>
      <c r="BY409" s="5">
        <v>10</v>
      </c>
      <c r="BZ409" s="5">
        <v>10</v>
      </c>
      <c r="CA409" s="5">
        <v>10</v>
      </c>
      <c r="CB409" s="5">
        <v>10</v>
      </c>
      <c r="CC409" s="2" t="e">
        <f t="shared" ca="1" si="130"/>
        <v>#NAME?</v>
      </c>
      <c r="CD409" s="55"/>
      <c r="CE409" s="2"/>
      <c r="CF409" s="2">
        <v>10</v>
      </c>
      <c r="CG409" s="2">
        <v>10</v>
      </c>
      <c r="CH409" s="8">
        <v>10</v>
      </c>
      <c r="CI409" s="8">
        <v>10</v>
      </c>
      <c r="CJ409" s="2">
        <v>10</v>
      </c>
      <c r="CK409" s="2">
        <v>10</v>
      </c>
      <c r="CL409" s="2">
        <v>10</v>
      </c>
      <c r="CM409" s="2">
        <v>10</v>
      </c>
      <c r="CN409" s="2">
        <v>10</v>
      </c>
      <c r="CO409" s="2">
        <v>10</v>
      </c>
      <c r="CP409" s="2" t="e">
        <f t="shared" ca="1" si="131"/>
        <v>#NAME?</v>
      </c>
      <c r="CQ409" s="2">
        <v>10</v>
      </c>
      <c r="CR409" s="2">
        <v>10</v>
      </c>
      <c r="CS409" s="2">
        <v>10</v>
      </c>
      <c r="CT409" s="2">
        <v>10</v>
      </c>
      <c r="CU409" s="2">
        <v>10</v>
      </c>
      <c r="CV409" s="54">
        <f t="shared" si="116"/>
        <v>10</v>
      </c>
      <c r="CW409" s="55"/>
      <c r="CX409" s="3"/>
    </row>
    <row r="410" spans="1:102" ht="16.5" x14ac:dyDescent="0.55000000000000004">
      <c r="A410" s="17">
        <v>3</v>
      </c>
      <c r="B410" s="17" t="s">
        <v>7</v>
      </c>
      <c r="C410" s="23" t="s">
        <v>860</v>
      </c>
      <c r="D410" s="24" t="s">
        <v>861</v>
      </c>
      <c r="E410" s="48" t="s">
        <v>31</v>
      </c>
      <c r="F410" s="2" t="s">
        <v>31</v>
      </c>
      <c r="G410" s="2">
        <v>5</v>
      </c>
      <c r="H410" s="2">
        <v>5</v>
      </c>
      <c r="I410" s="2">
        <v>5</v>
      </c>
      <c r="J410" s="2">
        <v>5</v>
      </c>
      <c r="K410" s="2">
        <v>5</v>
      </c>
      <c r="L410" s="2"/>
      <c r="M410" s="2"/>
      <c r="N410" s="2"/>
      <c r="O410" s="2"/>
      <c r="P410" s="2"/>
      <c r="Q410" s="2" t="e">
        <f t="shared" ca="1" si="127"/>
        <v>#NAME?</v>
      </c>
      <c r="R410" s="2">
        <v>5</v>
      </c>
      <c r="S410" s="2">
        <v>5</v>
      </c>
      <c r="T410" s="2">
        <v>5</v>
      </c>
      <c r="U410" s="2">
        <v>10</v>
      </c>
      <c r="V410" s="2">
        <v>10</v>
      </c>
      <c r="W410" s="54">
        <f t="shared" si="113"/>
        <v>7</v>
      </c>
      <c r="X410" s="48">
        <v>0</v>
      </c>
      <c r="Y410" s="48">
        <v>0</v>
      </c>
      <c r="Z410" s="2"/>
      <c r="AA410" s="49">
        <v>7</v>
      </c>
      <c r="AB410" s="49">
        <v>7</v>
      </c>
      <c r="AC410" s="49">
        <v>7</v>
      </c>
      <c r="AD410" s="49">
        <v>7</v>
      </c>
      <c r="AE410" s="49">
        <v>7</v>
      </c>
      <c r="AF410" s="49">
        <v>7</v>
      </c>
      <c r="AG410" s="50">
        <v>10</v>
      </c>
      <c r="AH410" s="50">
        <v>10</v>
      </c>
      <c r="AI410" s="50">
        <v>10</v>
      </c>
      <c r="AJ410" s="50">
        <v>10</v>
      </c>
      <c r="AK410" s="49">
        <v>7</v>
      </c>
      <c r="AL410" s="49">
        <v>7</v>
      </c>
      <c r="AM410" s="50">
        <v>10</v>
      </c>
      <c r="AN410" s="50">
        <v>10</v>
      </c>
      <c r="AO410" s="50">
        <v>10</v>
      </c>
      <c r="AP410" s="50">
        <v>10</v>
      </c>
      <c r="AQ410" s="2" t="e">
        <f t="shared" ca="1" si="128"/>
        <v>#NAME?</v>
      </c>
      <c r="AR410" s="49">
        <v>7</v>
      </c>
      <c r="AS410" s="49">
        <v>7</v>
      </c>
      <c r="AT410" s="49">
        <v>7</v>
      </c>
      <c r="AU410" s="49">
        <v>10</v>
      </c>
      <c r="AV410" s="49">
        <v>10</v>
      </c>
      <c r="AW410" s="54">
        <f t="shared" si="114"/>
        <v>9</v>
      </c>
      <c r="AX410" s="48">
        <v>7</v>
      </c>
      <c r="AY410" s="2">
        <v>7</v>
      </c>
      <c r="AZ410" s="2">
        <v>9</v>
      </c>
      <c r="BA410" s="2">
        <v>9</v>
      </c>
      <c r="BB410" s="2">
        <v>9</v>
      </c>
      <c r="BC410" s="2">
        <v>9</v>
      </c>
      <c r="BD410" s="2">
        <v>9</v>
      </c>
      <c r="BE410" s="2">
        <v>10</v>
      </c>
      <c r="BF410" s="2">
        <v>10</v>
      </c>
      <c r="BG410" s="2">
        <v>10</v>
      </c>
      <c r="BH410" s="2">
        <v>10</v>
      </c>
      <c r="BI410" s="57">
        <v>10</v>
      </c>
      <c r="BJ410" s="2" t="e">
        <f t="shared" ca="1" si="129"/>
        <v>#NAME?</v>
      </c>
      <c r="BK410" s="5">
        <v>10</v>
      </c>
      <c r="BL410" s="5">
        <v>10</v>
      </c>
      <c r="BM410" s="5">
        <v>9</v>
      </c>
      <c r="BN410" s="5">
        <v>9</v>
      </c>
      <c r="BO410" s="5">
        <v>9</v>
      </c>
      <c r="BP410" s="54">
        <f t="shared" si="115"/>
        <v>10</v>
      </c>
      <c r="BQ410" s="5"/>
      <c r="BR410" s="5"/>
      <c r="BS410" s="5">
        <v>10</v>
      </c>
      <c r="BT410" s="5">
        <v>10</v>
      </c>
      <c r="BU410" s="5">
        <v>10</v>
      </c>
      <c r="BV410" s="5">
        <v>10</v>
      </c>
      <c r="BW410" s="5">
        <v>10</v>
      </c>
      <c r="BX410" s="5">
        <v>10</v>
      </c>
      <c r="BY410" s="5">
        <v>10</v>
      </c>
      <c r="BZ410" s="5">
        <v>10</v>
      </c>
      <c r="CA410" s="5">
        <v>10</v>
      </c>
      <c r="CB410" s="5">
        <v>10</v>
      </c>
      <c r="CC410" s="2" t="e">
        <f t="shared" ca="1" si="130"/>
        <v>#NAME?</v>
      </c>
      <c r="CD410" s="55"/>
      <c r="CE410" s="2"/>
      <c r="CF410" s="2">
        <v>10</v>
      </c>
      <c r="CG410" s="2">
        <v>10</v>
      </c>
      <c r="CH410" s="8">
        <v>10</v>
      </c>
      <c r="CI410" s="8">
        <v>10</v>
      </c>
      <c r="CJ410" s="2">
        <v>10</v>
      </c>
      <c r="CK410" s="2">
        <v>10</v>
      </c>
      <c r="CL410" s="2">
        <v>10</v>
      </c>
      <c r="CM410" s="2">
        <v>10</v>
      </c>
      <c r="CN410" s="2">
        <v>10</v>
      </c>
      <c r="CO410" s="2">
        <v>10</v>
      </c>
      <c r="CP410" s="2" t="e">
        <f t="shared" ca="1" si="131"/>
        <v>#NAME?</v>
      </c>
      <c r="CQ410" s="2">
        <v>8</v>
      </c>
      <c r="CR410" s="2">
        <v>10</v>
      </c>
      <c r="CS410" s="2">
        <v>10</v>
      </c>
      <c r="CT410" s="2">
        <v>10</v>
      </c>
      <c r="CU410" s="2">
        <v>10</v>
      </c>
      <c r="CV410" s="54">
        <f t="shared" si="116"/>
        <v>10</v>
      </c>
      <c r="CW410" s="55"/>
      <c r="CX410" s="3"/>
    </row>
    <row r="411" spans="1:102" ht="16.5" x14ac:dyDescent="0.55000000000000004">
      <c r="A411" s="17">
        <v>3</v>
      </c>
      <c r="B411" s="17" t="s">
        <v>7</v>
      </c>
      <c r="C411" s="23" t="s">
        <v>862</v>
      </c>
      <c r="D411" s="24" t="s">
        <v>863</v>
      </c>
      <c r="E411" s="48">
        <v>7</v>
      </c>
      <c r="F411" s="2">
        <v>7</v>
      </c>
      <c r="G411" s="2">
        <v>10</v>
      </c>
      <c r="H411" s="2">
        <v>10</v>
      </c>
      <c r="I411" s="2">
        <v>8</v>
      </c>
      <c r="J411" s="2">
        <v>10</v>
      </c>
      <c r="K411" s="2">
        <v>10</v>
      </c>
      <c r="L411" s="2"/>
      <c r="M411" s="2"/>
      <c r="N411" s="2"/>
      <c r="O411" s="2"/>
      <c r="P411" s="2"/>
      <c r="Q411" s="2" t="e">
        <f t="shared" ca="1" si="127"/>
        <v>#NAME?</v>
      </c>
      <c r="R411" s="2">
        <v>10</v>
      </c>
      <c r="S411" s="2">
        <v>10</v>
      </c>
      <c r="T411" s="2">
        <v>10</v>
      </c>
      <c r="U411" s="2">
        <v>10</v>
      </c>
      <c r="V411" s="2">
        <v>10</v>
      </c>
      <c r="W411" s="54">
        <f t="shared" si="113"/>
        <v>10</v>
      </c>
      <c r="X411" s="48">
        <v>10</v>
      </c>
      <c r="Y411" s="48">
        <v>10</v>
      </c>
      <c r="Z411" s="2"/>
      <c r="AA411" s="49">
        <v>10</v>
      </c>
      <c r="AB411" s="49">
        <v>10</v>
      </c>
      <c r="AC411" s="49">
        <v>10</v>
      </c>
      <c r="AD411" s="49">
        <v>10</v>
      </c>
      <c r="AE411" s="49">
        <v>10</v>
      </c>
      <c r="AF411" s="49">
        <v>10</v>
      </c>
      <c r="AG411" s="49">
        <v>10</v>
      </c>
      <c r="AH411" s="49">
        <v>10</v>
      </c>
      <c r="AI411" s="49">
        <v>10</v>
      </c>
      <c r="AJ411" s="49">
        <v>10</v>
      </c>
      <c r="AK411" s="49">
        <v>10</v>
      </c>
      <c r="AL411" s="49">
        <v>10</v>
      </c>
      <c r="AM411" s="49">
        <v>10</v>
      </c>
      <c r="AN411" s="49">
        <v>10</v>
      </c>
      <c r="AO411" s="49">
        <v>10</v>
      </c>
      <c r="AP411" s="49">
        <v>10</v>
      </c>
      <c r="AQ411" s="2" t="e">
        <f t="shared" ca="1" si="128"/>
        <v>#NAME?</v>
      </c>
      <c r="AR411" s="49">
        <v>7</v>
      </c>
      <c r="AS411" s="49">
        <v>7</v>
      </c>
      <c r="AT411" s="49">
        <v>7</v>
      </c>
      <c r="AU411" s="49">
        <v>10</v>
      </c>
      <c r="AV411" s="49">
        <v>10</v>
      </c>
      <c r="AW411" s="54">
        <f t="shared" si="114"/>
        <v>9</v>
      </c>
      <c r="AX411" s="48">
        <v>9</v>
      </c>
      <c r="AY411" s="2">
        <v>9</v>
      </c>
      <c r="AZ411" s="91">
        <v>10</v>
      </c>
      <c r="BA411" s="92">
        <v>10</v>
      </c>
      <c r="BB411" s="92">
        <v>10</v>
      </c>
      <c r="BC411" s="92">
        <v>10</v>
      </c>
      <c r="BD411" s="92">
        <v>10</v>
      </c>
      <c r="BE411" s="91">
        <v>10</v>
      </c>
      <c r="BF411" s="92">
        <v>10</v>
      </c>
      <c r="BG411" s="91">
        <v>10</v>
      </c>
      <c r="BH411" s="92">
        <v>10</v>
      </c>
      <c r="BI411" s="57">
        <v>10</v>
      </c>
      <c r="BJ411" s="2" t="e">
        <f t="shared" ca="1" si="129"/>
        <v>#NAME?</v>
      </c>
      <c r="BK411" s="5">
        <v>10</v>
      </c>
      <c r="BL411" s="5">
        <v>10</v>
      </c>
      <c r="BM411" s="5">
        <v>10</v>
      </c>
      <c r="BN411" s="5">
        <v>10</v>
      </c>
      <c r="BO411" s="5">
        <v>10</v>
      </c>
      <c r="BP411" s="54">
        <f t="shared" si="115"/>
        <v>10</v>
      </c>
      <c r="BQ411" s="5"/>
      <c r="BR411" s="5"/>
      <c r="BS411" s="5">
        <v>10</v>
      </c>
      <c r="BT411" s="5">
        <v>10</v>
      </c>
      <c r="BU411" s="5">
        <v>10</v>
      </c>
      <c r="BV411" s="5">
        <v>10</v>
      </c>
      <c r="BW411" s="5">
        <v>10</v>
      </c>
      <c r="BX411" s="5">
        <v>10</v>
      </c>
      <c r="BY411" s="5">
        <v>10</v>
      </c>
      <c r="BZ411" s="5">
        <v>10</v>
      </c>
      <c r="CA411" s="5">
        <v>10</v>
      </c>
      <c r="CB411" s="5">
        <v>10</v>
      </c>
      <c r="CC411" s="2" t="e">
        <f t="shared" ca="1" si="130"/>
        <v>#NAME?</v>
      </c>
      <c r="CD411" s="55"/>
      <c r="CE411" s="2"/>
      <c r="CF411" s="2">
        <v>10</v>
      </c>
      <c r="CG411" s="2">
        <v>10</v>
      </c>
      <c r="CH411" s="2">
        <v>10</v>
      </c>
      <c r="CI411" s="2">
        <v>10</v>
      </c>
      <c r="CJ411" s="2">
        <v>10</v>
      </c>
      <c r="CK411" s="2">
        <v>10</v>
      </c>
      <c r="CL411" s="2">
        <v>10</v>
      </c>
      <c r="CM411" s="2">
        <v>10</v>
      </c>
      <c r="CN411" s="2">
        <v>10</v>
      </c>
      <c r="CO411" s="2">
        <v>10</v>
      </c>
      <c r="CP411" s="2" t="e">
        <f t="shared" ca="1" si="131"/>
        <v>#NAME?</v>
      </c>
      <c r="CQ411" s="2">
        <v>10</v>
      </c>
      <c r="CR411" s="2">
        <v>10</v>
      </c>
      <c r="CS411" s="2">
        <v>10</v>
      </c>
      <c r="CT411" s="2">
        <v>10</v>
      </c>
      <c r="CU411" s="2">
        <v>10</v>
      </c>
      <c r="CV411" s="54">
        <f t="shared" si="116"/>
        <v>10</v>
      </c>
      <c r="CW411" s="55"/>
      <c r="CX411" s="3"/>
    </row>
    <row r="412" spans="1:102" ht="16.5" x14ac:dyDescent="0.55000000000000004">
      <c r="A412" s="17">
        <v>3</v>
      </c>
      <c r="B412" s="17" t="s">
        <v>7</v>
      </c>
      <c r="C412" s="23" t="s">
        <v>864</v>
      </c>
      <c r="D412" s="24" t="s">
        <v>865</v>
      </c>
      <c r="E412" s="48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/>
      <c r="M412" s="2"/>
      <c r="N412" s="2"/>
      <c r="O412" s="2"/>
      <c r="P412" s="2"/>
      <c r="Q412" s="2" t="e">
        <f t="shared" ca="1" si="127"/>
        <v>#NAME?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54">
        <f t="shared" si="113"/>
        <v>0</v>
      </c>
      <c r="X412" s="48">
        <v>0</v>
      </c>
      <c r="Y412" s="48">
        <v>0</v>
      </c>
      <c r="Z412" s="2"/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49">
        <v>0</v>
      </c>
      <c r="AH412" s="49">
        <v>0</v>
      </c>
      <c r="AI412" s="49">
        <v>0</v>
      </c>
      <c r="AJ412" s="49">
        <v>0</v>
      </c>
      <c r="AK412" s="2">
        <v>0</v>
      </c>
      <c r="AL412" s="2">
        <v>0</v>
      </c>
      <c r="AM412" s="49">
        <v>0</v>
      </c>
      <c r="AN412" s="49">
        <v>0</v>
      </c>
      <c r="AO412" s="49">
        <v>0</v>
      </c>
      <c r="AP412" s="49">
        <v>0</v>
      </c>
      <c r="AQ412" s="2" t="e">
        <f t="shared" ca="1" si="128"/>
        <v>#NAME?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54">
        <f t="shared" si="114"/>
        <v>0</v>
      </c>
      <c r="AX412" s="48">
        <v>0</v>
      </c>
      <c r="AY412" s="2">
        <v>0</v>
      </c>
      <c r="AZ412" s="91">
        <v>0</v>
      </c>
      <c r="BA412" s="92">
        <v>0</v>
      </c>
      <c r="BB412" s="92">
        <v>0</v>
      </c>
      <c r="BC412" s="92">
        <v>0</v>
      </c>
      <c r="BD412" s="92">
        <v>0</v>
      </c>
      <c r="BE412" s="91">
        <v>0</v>
      </c>
      <c r="BF412" s="92">
        <v>0</v>
      </c>
      <c r="BG412" s="91">
        <v>0</v>
      </c>
      <c r="BH412" s="92">
        <v>0</v>
      </c>
      <c r="BI412" s="57">
        <v>0</v>
      </c>
      <c r="BJ412" s="2" t="e">
        <f t="shared" ca="1" si="129"/>
        <v>#NAME?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4">
        <f t="shared" si="115"/>
        <v>0</v>
      </c>
      <c r="BQ412" s="5"/>
      <c r="BR412" s="5"/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2" t="e">
        <f t="shared" ca="1" si="130"/>
        <v>#NAME?</v>
      </c>
      <c r="CD412" s="55"/>
      <c r="CE412" s="2"/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 t="e">
        <f t="shared" ca="1" si="131"/>
        <v>#NAME?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54">
        <f t="shared" si="116"/>
        <v>0</v>
      </c>
      <c r="CW412" s="55"/>
      <c r="CX412" s="3"/>
    </row>
    <row r="413" spans="1:102" ht="16.5" x14ac:dyDescent="0.55000000000000004">
      <c r="A413" s="17">
        <v>3</v>
      </c>
      <c r="B413" s="17" t="s">
        <v>7</v>
      </c>
      <c r="C413" s="23" t="s">
        <v>866</v>
      </c>
      <c r="D413" s="24" t="s">
        <v>867</v>
      </c>
      <c r="E413" s="48">
        <v>8</v>
      </c>
      <c r="F413" s="2">
        <v>8</v>
      </c>
      <c r="G413" s="2">
        <v>10</v>
      </c>
      <c r="H413" s="2">
        <v>10</v>
      </c>
      <c r="I413" s="2">
        <v>10</v>
      </c>
      <c r="J413" s="2">
        <v>10</v>
      </c>
      <c r="K413" s="2">
        <v>10</v>
      </c>
      <c r="L413" s="2"/>
      <c r="M413" s="2"/>
      <c r="N413" s="2"/>
      <c r="O413" s="2"/>
      <c r="P413" s="2"/>
      <c r="Q413" s="2" t="e">
        <f t="shared" ca="1" si="127"/>
        <v>#NAME?</v>
      </c>
      <c r="R413" s="2">
        <v>10</v>
      </c>
      <c r="S413" s="2">
        <v>10</v>
      </c>
      <c r="T413" s="2">
        <v>10</v>
      </c>
      <c r="U413" s="2">
        <v>10</v>
      </c>
      <c r="V413" s="2">
        <v>10</v>
      </c>
      <c r="W413" s="54">
        <f t="shared" si="113"/>
        <v>10</v>
      </c>
      <c r="X413" s="48">
        <v>7</v>
      </c>
      <c r="Y413" s="48">
        <v>7</v>
      </c>
      <c r="Z413" s="2"/>
      <c r="AA413" s="49">
        <v>7</v>
      </c>
      <c r="AB413" s="49">
        <v>7</v>
      </c>
      <c r="AC413" s="49">
        <v>7</v>
      </c>
      <c r="AD413" s="49">
        <v>7</v>
      </c>
      <c r="AE413" s="49">
        <v>7</v>
      </c>
      <c r="AF413" s="49">
        <v>7</v>
      </c>
      <c r="AG413" s="49">
        <v>7</v>
      </c>
      <c r="AH413" s="49">
        <v>7</v>
      </c>
      <c r="AI413" s="49">
        <v>10</v>
      </c>
      <c r="AJ413" s="49">
        <v>10</v>
      </c>
      <c r="AK413" s="49">
        <v>7</v>
      </c>
      <c r="AL413" s="49">
        <v>7</v>
      </c>
      <c r="AM413" s="49">
        <v>7</v>
      </c>
      <c r="AN413" s="49">
        <v>7</v>
      </c>
      <c r="AO413" s="49">
        <v>10</v>
      </c>
      <c r="AP413" s="49">
        <v>10</v>
      </c>
      <c r="AQ413" s="2" t="e">
        <f t="shared" ca="1" si="128"/>
        <v>#NAME?</v>
      </c>
      <c r="AR413" s="49">
        <v>7</v>
      </c>
      <c r="AS413" s="49">
        <v>7</v>
      </c>
      <c r="AT413" s="49">
        <v>7</v>
      </c>
      <c r="AU413" s="49">
        <v>10</v>
      </c>
      <c r="AV413" s="49">
        <v>10</v>
      </c>
      <c r="AW413" s="54">
        <f t="shared" si="114"/>
        <v>9</v>
      </c>
      <c r="AX413" s="48">
        <v>9</v>
      </c>
      <c r="AY413" s="2">
        <v>9</v>
      </c>
      <c r="AZ413" s="2">
        <v>10</v>
      </c>
      <c r="BA413" s="2">
        <v>10</v>
      </c>
      <c r="BB413" s="2">
        <v>10</v>
      </c>
      <c r="BC413" s="2">
        <v>10</v>
      </c>
      <c r="BD413" s="2">
        <v>10</v>
      </c>
      <c r="BE413" s="2">
        <v>10</v>
      </c>
      <c r="BF413" s="2">
        <v>10</v>
      </c>
      <c r="BG413" s="2">
        <v>10</v>
      </c>
      <c r="BH413" s="2">
        <v>10</v>
      </c>
      <c r="BI413" s="57">
        <v>10</v>
      </c>
      <c r="BJ413" s="2" t="e">
        <f t="shared" ca="1" si="129"/>
        <v>#NAME?</v>
      </c>
      <c r="BK413" s="5">
        <v>10</v>
      </c>
      <c r="BL413" s="5">
        <v>10</v>
      </c>
      <c r="BM413" s="5">
        <v>10</v>
      </c>
      <c r="BN413" s="5">
        <v>10</v>
      </c>
      <c r="BO413" s="5">
        <v>10</v>
      </c>
      <c r="BP413" s="54">
        <f t="shared" si="115"/>
        <v>10</v>
      </c>
      <c r="BQ413" s="5"/>
      <c r="BR413" s="5"/>
      <c r="BS413" s="5">
        <v>10</v>
      </c>
      <c r="BT413" s="5">
        <v>10</v>
      </c>
      <c r="BU413" s="5">
        <v>10</v>
      </c>
      <c r="BV413" s="5">
        <v>10</v>
      </c>
      <c r="BW413" s="5">
        <v>10</v>
      </c>
      <c r="BX413" s="5">
        <v>10</v>
      </c>
      <c r="BY413" s="5">
        <v>10</v>
      </c>
      <c r="BZ413" s="5">
        <v>10</v>
      </c>
      <c r="CA413" s="5">
        <v>10</v>
      </c>
      <c r="CB413" s="5">
        <v>10</v>
      </c>
      <c r="CC413" s="2" t="e">
        <f t="shared" ca="1" si="130"/>
        <v>#NAME?</v>
      </c>
      <c r="CD413" s="55"/>
      <c r="CE413" s="2"/>
      <c r="CF413" s="2">
        <v>10</v>
      </c>
      <c r="CG413" s="2">
        <v>10</v>
      </c>
      <c r="CH413" s="2">
        <v>10</v>
      </c>
      <c r="CI413" s="2">
        <v>10</v>
      </c>
      <c r="CJ413" s="2">
        <v>10</v>
      </c>
      <c r="CK413" s="2">
        <v>10</v>
      </c>
      <c r="CL413" s="2">
        <v>10</v>
      </c>
      <c r="CM413" s="2">
        <v>10</v>
      </c>
      <c r="CN413" s="2">
        <v>10</v>
      </c>
      <c r="CO413" s="2">
        <v>10</v>
      </c>
      <c r="CP413" s="2" t="e">
        <f t="shared" ca="1" si="131"/>
        <v>#NAME?</v>
      </c>
      <c r="CQ413" s="2">
        <v>10</v>
      </c>
      <c r="CR413" s="2">
        <v>10</v>
      </c>
      <c r="CS413" s="2">
        <v>10</v>
      </c>
      <c r="CT413" s="2">
        <v>10</v>
      </c>
      <c r="CU413" s="2">
        <v>10</v>
      </c>
      <c r="CV413" s="54">
        <f t="shared" si="116"/>
        <v>10</v>
      </c>
      <c r="CW413" s="55"/>
      <c r="CX413" s="3"/>
    </row>
    <row r="414" spans="1:102" ht="16.5" x14ac:dyDescent="0.55000000000000004">
      <c r="A414" s="17">
        <v>3</v>
      </c>
      <c r="B414" s="17" t="s">
        <v>7</v>
      </c>
      <c r="C414" s="23" t="s">
        <v>868</v>
      </c>
      <c r="D414" s="24" t="s">
        <v>869</v>
      </c>
      <c r="E414" s="48" t="s">
        <v>31</v>
      </c>
      <c r="F414" s="2" t="s">
        <v>31</v>
      </c>
      <c r="G414" s="2">
        <v>7</v>
      </c>
      <c r="H414" s="2">
        <v>5</v>
      </c>
      <c r="I414" s="2">
        <v>5</v>
      </c>
      <c r="J414" s="2">
        <v>8</v>
      </c>
      <c r="K414" s="2">
        <v>8</v>
      </c>
      <c r="L414" s="2"/>
      <c r="M414" s="2"/>
      <c r="N414" s="2"/>
      <c r="O414" s="2"/>
      <c r="P414" s="2"/>
      <c r="Q414" s="2" t="e">
        <f t="shared" ca="1" si="127"/>
        <v>#NAME?</v>
      </c>
      <c r="R414" s="2">
        <v>10</v>
      </c>
      <c r="S414" s="2">
        <v>5</v>
      </c>
      <c r="T414" s="2">
        <v>5</v>
      </c>
      <c r="U414" s="2">
        <v>10</v>
      </c>
      <c r="V414" s="2">
        <v>10</v>
      </c>
      <c r="W414" s="54">
        <f t="shared" si="113"/>
        <v>8</v>
      </c>
      <c r="X414" s="48">
        <v>0</v>
      </c>
      <c r="Y414" s="48">
        <v>0</v>
      </c>
      <c r="Z414" s="2"/>
      <c r="AA414" s="50">
        <v>10</v>
      </c>
      <c r="AB414" s="50">
        <v>10</v>
      </c>
      <c r="AC414" s="50">
        <v>10</v>
      </c>
      <c r="AD414" s="50">
        <v>10</v>
      </c>
      <c r="AE414" s="50">
        <v>10</v>
      </c>
      <c r="AF414" s="50">
        <v>10</v>
      </c>
      <c r="AG414" s="50">
        <v>10</v>
      </c>
      <c r="AH414" s="50">
        <v>10</v>
      </c>
      <c r="AI414" s="50">
        <v>10</v>
      </c>
      <c r="AJ414" s="50">
        <v>10</v>
      </c>
      <c r="AK414" s="50">
        <v>10</v>
      </c>
      <c r="AL414" s="50">
        <v>10</v>
      </c>
      <c r="AM414" s="50">
        <v>10</v>
      </c>
      <c r="AN414" s="50">
        <v>10</v>
      </c>
      <c r="AO414" s="50">
        <v>10</v>
      </c>
      <c r="AP414" s="50">
        <v>10</v>
      </c>
      <c r="AQ414" s="2" t="e">
        <f t="shared" ca="1" si="128"/>
        <v>#NAME?</v>
      </c>
      <c r="AR414" s="49">
        <v>10</v>
      </c>
      <c r="AS414" s="49">
        <v>10</v>
      </c>
      <c r="AT414" s="49">
        <v>10</v>
      </c>
      <c r="AU414" s="49">
        <v>10</v>
      </c>
      <c r="AV414" s="49">
        <v>10</v>
      </c>
      <c r="AW414" s="54">
        <f t="shared" si="114"/>
        <v>10</v>
      </c>
      <c r="AX414" s="48">
        <v>9</v>
      </c>
      <c r="AY414" s="2">
        <v>9</v>
      </c>
      <c r="AZ414" s="91">
        <v>10</v>
      </c>
      <c r="BA414" s="92">
        <v>10</v>
      </c>
      <c r="BB414" s="92">
        <v>10</v>
      </c>
      <c r="BC414" s="92">
        <v>10</v>
      </c>
      <c r="BD414" s="92">
        <v>10</v>
      </c>
      <c r="BE414" s="91">
        <v>10</v>
      </c>
      <c r="BF414" s="92">
        <v>10</v>
      </c>
      <c r="BG414" s="91">
        <v>10</v>
      </c>
      <c r="BH414" s="92">
        <v>10</v>
      </c>
      <c r="BI414" s="57">
        <v>10</v>
      </c>
      <c r="BJ414" s="2" t="e">
        <f t="shared" ca="1" si="129"/>
        <v>#NAME?</v>
      </c>
      <c r="BK414" s="5">
        <v>10</v>
      </c>
      <c r="BL414" s="5">
        <v>10</v>
      </c>
      <c r="BM414" s="5">
        <v>10</v>
      </c>
      <c r="BN414" s="5">
        <v>10</v>
      </c>
      <c r="BO414" s="5">
        <v>10</v>
      </c>
      <c r="BP414" s="54">
        <f t="shared" si="115"/>
        <v>10</v>
      </c>
      <c r="BQ414" s="5"/>
      <c r="BR414" s="5"/>
      <c r="BS414" s="5">
        <v>10</v>
      </c>
      <c r="BT414" s="5">
        <v>10</v>
      </c>
      <c r="BU414" s="5">
        <v>10</v>
      </c>
      <c r="BV414" s="5">
        <v>10</v>
      </c>
      <c r="BW414" s="5">
        <v>10</v>
      </c>
      <c r="BX414" s="5">
        <v>10</v>
      </c>
      <c r="BY414" s="5">
        <v>10</v>
      </c>
      <c r="BZ414" s="5">
        <v>10</v>
      </c>
      <c r="CA414" s="5">
        <v>10</v>
      </c>
      <c r="CB414" s="5">
        <v>10</v>
      </c>
      <c r="CC414" s="2" t="e">
        <f t="shared" ca="1" si="130"/>
        <v>#NAME?</v>
      </c>
      <c r="CD414" s="55"/>
      <c r="CE414" s="2"/>
      <c r="CF414" s="2">
        <v>10</v>
      </c>
      <c r="CG414" s="2">
        <v>10</v>
      </c>
      <c r="CH414" s="2">
        <v>10</v>
      </c>
      <c r="CI414" s="2">
        <v>10</v>
      </c>
      <c r="CJ414" s="2">
        <v>10</v>
      </c>
      <c r="CK414" s="2">
        <v>10</v>
      </c>
      <c r="CL414" s="2">
        <v>10</v>
      </c>
      <c r="CM414" s="2">
        <v>10</v>
      </c>
      <c r="CN414" s="2">
        <v>10</v>
      </c>
      <c r="CO414" s="2">
        <v>10</v>
      </c>
      <c r="CP414" s="2" t="e">
        <f t="shared" ca="1" si="131"/>
        <v>#NAME?</v>
      </c>
      <c r="CQ414" s="2">
        <v>10</v>
      </c>
      <c r="CR414" s="2">
        <v>10</v>
      </c>
      <c r="CS414" s="2">
        <v>10</v>
      </c>
      <c r="CT414" s="2">
        <v>10</v>
      </c>
      <c r="CU414" s="2">
        <v>10</v>
      </c>
      <c r="CV414" s="54">
        <f t="shared" si="116"/>
        <v>10</v>
      </c>
      <c r="CW414" s="55"/>
      <c r="CX414" s="3"/>
    </row>
    <row r="415" spans="1:102" ht="16.5" x14ac:dyDescent="0.55000000000000004">
      <c r="A415" s="17">
        <v>3</v>
      </c>
      <c r="B415" s="17" t="s">
        <v>7</v>
      </c>
      <c r="C415" s="23" t="s">
        <v>870</v>
      </c>
      <c r="D415" s="24" t="s">
        <v>871</v>
      </c>
      <c r="E415" s="48" t="s">
        <v>31</v>
      </c>
      <c r="F415" s="2" t="s">
        <v>31</v>
      </c>
      <c r="G415" s="2">
        <v>5</v>
      </c>
      <c r="H415" s="2">
        <v>5</v>
      </c>
      <c r="I415" s="2">
        <v>5</v>
      </c>
      <c r="J415" s="2">
        <v>5</v>
      </c>
      <c r="K415" s="2">
        <v>5</v>
      </c>
      <c r="L415" s="2"/>
      <c r="M415" s="2"/>
      <c r="N415" s="2"/>
      <c r="O415" s="2"/>
      <c r="P415" s="2"/>
      <c r="Q415" s="2" t="e">
        <f t="shared" ca="1" si="127"/>
        <v>#NAME?</v>
      </c>
      <c r="R415" s="2">
        <v>5</v>
      </c>
      <c r="S415" s="2">
        <v>5</v>
      </c>
      <c r="T415" s="2">
        <v>10</v>
      </c>
      <c r="U415" s="2">
        <v>10</v>
      </c>
      <c r="V415" s="2">
        <v>10</v>
      </c>
      <c r="W415" s="54">
        <f t="shared" si="113"/>
        <v>8</v>
      </c>
      <c r="X415" s="48">
        <v>4</v>
      </c>
      <c r="Y415" s="48">
        <v>4</v>
      </c>
      <c r="Z415" s="2"/>
      <c r="AA415" s="49">
        <v>7</v>
      </c>
      <c r="AB415" s="49">
        <v>7</v>
      </c>
      <c r="AC415" s="49">
        <v>7</v>
      </c>
      <c r="AD415" s="49">
        <v>7</v>
      </c>
      <c r="AE415" s="49">
        <v>7</v>
      </c>
      <c r="AF415" s="49">
        <v>7</v>
      </c>
      <c r="AG415" s="50">
        <v>10</v>
      </c>
      <c r="AH415" s="50">
        <v>10</v>
      </c>
      <c r="AI415" s="50">
        <v>10</v>
      </c>
      <c r="AJ415" s="50">
        <v>10</v>
      </c>
      <c r="AK415" s="49">
        <v>7</v>
      </c>
      <c r="AL415" s="49">
        <v>7</v>
      </c>
      <c r="AM415" s="50">
        <v>10</v>
      </c>
      <c r="AN415" s="50">
        <v>10</v>
      </c>
      <c r="AO415" s="50">
        <v>10</v>
      </c>
      <c r="AP415" s="50">
        <v>10</v>
      </c>
      <c r="AQ415" s="2" t="e">
        <f t="shared" ca="1" si="128"/>
        <v>#NAME?</v>
      </c>
      <c r="AR415" s="2">
        <v>7</v>
      </c>
      <c r="AS415" s="2">
        <v>7</v>
      </c>
      <c r="AT415" s="2">
        <v>7</v>
      </c>
      <c r="AU415" s="2">
        <v>10</v>
      </c>
      <c r="AV415" s="2">
        <v>10</v>
      </c>
      <c r="AW415" s="54">
        <f t="shared" si="114"/>
        <v>9</v>
      </c>
      <c r="AX415" s="48">
        <v>9</v>
      </c>
      <c r="AY415" s="2">
        <v>8</v>
      </c>
      <c r="AZ415" s="91">
        <v>10</v>
      </c>
      <c r="BA415" s="92">
        <v>10</v>
      </c>
      <c r="BB415" s="92">
        <v>10</v>
      </c>
      <c r="BC415" s="92">
        <v>9</v>
      </c>
      <c r="BD415" s="92">
        <v>9</v>
      </c>
      <c r="BE415" s="91">
        <v>10</v>
      </c>
      <c r="BF415" s="92">
        <v>10</v>
      </c>
      <c r="BG415" s="91">
        <v>9</v>
      </c>
      <c r="BH415" s="92">
        <v>10</v>
      </c>
      <c r="BI415" s="57">
        <v>10</v>
      </c>
      <c r="BJ415" s="2" t="e">
        <f t="shared" ca="1" si="129"/>
        <v>#NAME?</v>
      </c>
      <c r="BK415" s="5">
        <v>10</v>
      </c>
      <c r="BL415" s="5">
        <v>9</v>
      </c>
      <c r="BM415" s="5">
        <v>9</v>
      </c>
      <c r="BN415" s="5">
        <v>9</v>
      </c>
      <c r="BO415" s="5">
        <v>10</v>
      </c>
      <c r="BP415" s="54">
        <f t="shared" si="115"/>
        <v>10</v>
      </c>
      <c r="BQ415" s="5"/>
      <c r="BR415" s="5"/>
      <c r="BS415" s="5">
        <v>10</v>
      </c>
      <c r="BT415" s="5">
        <v>8</v>
      </c>
      <c r="BU415" s="5">
        <v>7</v>
      </c>
      <c r="BV415" s="5">
        <v>9</v>
      </c>
      <c r="BW415" s="5">
        <v>10</v>
      </c>
      <c r="BX415" s="5">
        <v>10</v>
      </c>
      <c r="BY415" s="5">
        <v>10</v>
      </c>
      <c r="BZ415" s="5">
        <v>10</v>
      </c>
      <c r="CA415" s="5">
        <v>10</v>
      </c>
      <c r="CB415" s="5">
        <v>10</v>
      </c>
      <c r="CC415" s="2" t="e">
        <f t="shared" ca="1" si="130"/>
        <v>#NAME?</v>
      </c>
      <c r="CD415" s="55"/>
      <c r="CE415" s="2"/>
      <c r="CF415" s="2">
        <v>10</v>
      </c>
      <c r="CG415" s="2">
        <v>8</v>
      </c>
      <c r="CH415" s="2">
        <v>10</v>
      </c>
      <c r="CI415" s="2">
        <v>10</v>
      </c>
      <c r="CJ415" s="2">
        <v>10</v>
      </c>
      <c r="CK415" s="2">
        <v>8</v>
      </c>
      <c r="CL415" s="2">
        <v>8</v>
      </c>
      <c r="CM415" s="2">
        <v>10</v>
      </c>
      <c r="CN415" s="2">
        <v>8</v>
      </c>
      <c r="CO415" s="2">
        <v>8</v>
      </c>
      <c r="CP415" s="2" t="e">
        <f t="shared" ca="1" si="131"/>
        <v>#NAME?</v>
      </c>
      <c r="CQ415" s="2">
        <v>8</v>
      </c>
      <c r="CR415" s="2">
        <v>8</v>
      </c>
      <c r="CS415" s="2">
        <v>10</v>
      </c>
      <c r="CT415" s="2">
        <v>10</v>
      </c>
      <c r="CU415" s="2">
        <v>10</v>
      </c>
      <c r="CV415" s="54">
        <f t="shared" si="116"/>
        <v>10</v>
      </c>
      <c r="CW415" s="55"/>
      <c r="CX415" s="3"/>
    </row>
    <row r="416" spans="1:102" ht="16.5" x14ac:dyDescent="0.55000000000000004">
      <c r="A416" s="17">
        <v>3</v>
      </c>
      <c r="B416" s="17" t="s">
        <v>7</v>
      </c>
      <c r="C416" s="23" t="s">
        <v>872</v>
      </c>
      <c r="D416" s="24" t="s">
        <v>873</v>
      </c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 t="e">
        <f t="shared" ca="1" si="127"/>
        <v>#NAME?</v>
      </c>
      <c r="R416" s="2"/>
      <c r="S416" s="2"/>
      <c r="T416" s="2"/>
      <c r="U416" s="2"/>
      <c r="V416" s="2"/>
      <c r="W416" s="54">
        <f t="shared" si="113"/>
        <v>0</v>
      </c>
      <c r="X416" s="48">
        <v>0</v>
      </c>
      <c r="Y416" s="48">
        <v>0</v>
      </c>
      <c r="Z416" s="2"/>
      <c r="AA416" s="49">
        <v>7</v>
      </c>
      <c r="AB416" s="49">
        <v>7</v>
      </c>
      <c r="AC416" s="49">
        <v>7</v>
      </c>
      <c r="AD416" s="49">
        <v>7</v>
      </c>
      <c r="AE416" s="49">
        <v>7</v>
      </c>
      <c r="AF416" s="49">
        <v>7</v>
      </c>
      <c r="AG416" s="49">
        <v>10</v>
      </c>
      <c r="AH416" s="49">
        <v>10</v>
      </c>
      <c r="AI416" s="49">
        <v>10</v>
      </c>
      <c r="AJ416" s="49">
        <v>10</v>
      </c>
      <c r="AK416" s="49">
        <v>7</v>
      </c>
      <c r="AL416" s="49">
        <v>7</v>
      </c>
      <c r="AM416" s="49">
        <v>10</v>
      </c>
      <c r="AN416" s="49">
        <v>10</v>
      </c>
      <c r="AO416" s="49">
        <v>10</v>
      </c>
      <c r="AP416" s="49">
        <v>10</v>
      </c>
      <c r="AQ416" s="2" t="e">
        <f t="shared" ca="1" si="128"/>
        <v>#NAME?</v>
      </c>
      <c r="AR416" s="49">
        <v>7</v>
      </c>
      <c r="AS416" s="49">
        <v>7</v>
      </c>
      <c r="AT416" s="49">
        <v>7</v>
      </c>
      <c r="AU416" s="49">
        <v>10</v>
      </c>
      <c r="AV416" s="49">
        <v>10</v>
      </c>
      <c r="AW416" s="54">
        <f t="shared" si="114"/>
        <v>9</v>
      </c>
      <c r="AX416" s="48">
        <v>6</v>
      </c>
      <c r="AY416" s="2">
        <v>6</v>
      </c>
      <c r="AZ416" s="91">
        <v>6</v>
      </c>
      <c r="BA416" s="92">
        <v>6</v>
      </c>
      <c r="BB416" s="92">
        <v>6</v>
      </c>
      <c r="BC416" s="92">
        <v>6</v>
      </c>
      <c r="BD416" s="92">
        <v>6</v>
      </c>
      <c r="BE416" s="91">
        <v>6</v>
      </c>
      <c r="BF416" s="92">
        <v>6</v>
      </c>
      <c r="BG416" s="91">
        <v>6</v>
      </c>
      <c r="BH416" s="92">
        <v>6</v>
      </c>
      <c r="BI416" s="57">
        <v>6</v>
      </c>
      <c r="BJ416" s="2" t="e">
        <f t="shared" ca="1" si="129"/>
        <v>#NAME?</v>
      </c>
      <c r="BK416" s="5">
        <v>7</v>
      </c>
      <c r="BL416" s="5">
        <v>7</v>
      </c>
      <c r="BM416" s="5">
        <v>7</v>
      </c>
      <c r="BN416" s="5">
        <v>7</v>
      </c>
      <c r="BO416" s="5">
        <v>7</v>
      </c>
      <c r="BP416" s="54">
        <f t="shared" si="115"/>
        <v>7</v>
      </c>
      <c r="BQ416" s="5"/>
      <c r="BR416" s="5"/>
      <c r="BS416" s="5">
        <v>8</v>
      </c>
      <c r="BT416" s="5">
        <v>9</v>
      </c>
      <c r="BU416" s="5">
        <v>8</v>
      </c>
      <c r="BV416" s="5">
        <v>9</v>
      </c>
      <c r="BW416" s="5">
        <v>10</v>
      </c>
      <c r="BX416" s="5">
        <v>10</v>
      </c>
      <c r="BY416" s="5">
        <v>10</v>
      </c>
      <c r="BZ416" s="5">
        <v>10</v>
      </c>
      <c r="CA416" s="5">
        <v>10</v>
      </c>
      <c r="CB416" s="5">
        <v>10</v>
      </c>
      <c r="CC416" s="2" t="e">
        <f t="shared" ca="1" si="130"/>
        <v>#NAME?</v>
      </c>
      <c r="CD416" s="55"/>
      <c r="CE416" s="2"/>
      <c r="CF416" s="2">
        <v>10</v>
      </c>
      <c r="CG416" s="2">
        <v>10</v>
      </c>
      <c r="CH416" s="2">
        <v>10</v>
      </c>
      <c r="CI416" s="2">
        <v>10</v>
      </c>
      <c r="CJ416" s="2">
        <v>10</v>
      </c>
      <c r="CK416" s="2">
        <v>10</v>
      </c>
      <c r="CL416" s="2">
        <v>10</v>
      </c>
      <c r="CM416" s="2">
        <v>10</v>
      </c>
      <c r="CN416" s="2">
        <v>10</v>
      </c>
      <c r="CO416" s="2">
        <v>10</v>
      </c>
      <c r="CP416" s="2" t="e">
        <f t="shared" ca="1" si="131"/>
        <v>#NAME?</v>
      </c>
      <c r="CQ416" s="2">
        <v>7</v>
      </c>
      <c r="CR416" s="2">
        <v>10</v>
      </c>
      <c r="CS416" s="2">
        <v>7</v>
      </c>
      <c r="CT416" s="2">
        <v>7</v>
      </c>
      <c r="CU416" s="2">
        <v>7</v>
      </c>
      <c r="CV416" s="54">
        <f t="shared" si="116"/>
        <v>8</v>
      </c>
      <c r="CW416" s="55"/>
      <c r="CX416" s="3"/>
    </row>
    <row r="417" spans="1:102" ht="16.5" x14ac:dyDescent="0.55000000000000004">
      <c r="A417" s="17">
        <v>3</v>
      </c>
      <c r="B417" s="17" t="s">
        <v>7</v>
      </c>
      <c r="C417" s="23" t="s">
        <v>874</v>
      </c>
      <c r="D417" s="24" t="s">
        <v>875</v>
      </c>
      <c r="E417" s="48" t="s">
        <v>31</v>
      </c>
      <c r="F417" s="2" t="s">
        <v>31</v>
      </c>
      <c r="G417" s="2">
        <v>10</v>
      </c>
      <c r="H417" s="2">
        <v>10</v>
      </c>
      <c r="I417" s="2">
        <v>7</v>
      </c>
      <c r="J417" s="2">
        <v>7</v>
      </c>
      <c r="K417" s="2">
        <v>7</v>
      </c>
      <c r="L417" s="2"/>
      <c r="M417" s="2"/>
      <c r="N417" s="2"/>
      <c r="O417" s="2"/>
      <c r="P417" s="2"/>
      <c r="Q417" s="2" t="e">
        <f t="shared" ca="1" si="127"/>
        <v>#NAME?</v>
      </c>
      <c r="R417" s="2">
        <v>5</v>
      </c>
      <c r="S417" s="2">
        <v>5</v>
      </c>
      <c r="T417" s="2">
        <v>5</v>
      </c>
      <c r="U417" s="2">
        <v>10</v>
      </c>
      <c r="V417" s="2">
        <v>10</v>
      </c>
      <c r="W417" s="54">
        <f t="shared" si="113"/>
        <v>7</v>
      </c>
      <c r="X417" s="48">
        <v>0</v>
      </c>
      <c r="Y417" s="48">
        <v>0</v>
      </c>
      <c r="Z417" s="2"/>
      <c r="AA417" s="49">
        <v>7</v>
      </c>
      <c r="AB417" s="49">
        <v>7</v>
      </c>
      <c r="AC417" s="49">
        <v>7</v>
      </c>
      <c r="AD417" s="49">
        <v>7</v>
      </c>
      <c r="AE417" s="49">
        <v>7</v>
      </c>
      <c r="AF417" s="49">
        <v>7</v>
      </c>
      <c r="AG417" s="49">
        <v>10</v>
      </c>
      <c r="AH417" s="49">
        <v>10</v>
      </c>
      <c r="AI417" s="49">
        <v>10</v>
      </c>
      <c r="AJ417" s="49">
        <v>10</v>
      </c>
      <c r="AK417" s="49">
        <v>7</v>
      </c>
      <c r="AL417" s="49">
        <v>7</v>
      </c>
      <c r="AM417" s="49">
        <v>10</v>
      </c>
      <c r="AN417" s="49">
        <v>10</v>
      </c>
      <c r="AO417" s="49">
        <v>10</v>
      </c>
      <c r="AP417" s="49">
        <v>10</v>
      </c>
      <c r="AQ417" s="2" t="e">
        <f t="shared" ca="1" si="128"/>
        <v>#NAME?</v>
      </c>
      <c r="AR417" s="49">
        <v>7</v>
      </c>
      <c r="AS417" s="49">
        <v>7</v>
      </c>
      <c r="AT417" s="49">
        <v>7</v>
      </c>
      <c r="AU417" s="49">
        <v>10</v>
      </c>
      <c r="AV417" s="49">
        <v>10</v>
      </c>
      <c r="AW417" s="54">
        <f t="shared" si="114"/>
        <v>9</v>
      </c>
      <c r="AX417" s="48">
        <v>8</v>
      </c>
      <c r="AY417" s="2">
        <v>8</v>
      </c>
      <c r="AZ417" s="2">
        <v>9</v>
      </c>
      <c r="BA417" s="2">
        <v>9</v>
      </c>
      <c r="BB417" s="2">
        <v>9</v>
      </c>
      <c r="BC417" s="2">
        <v>9</v>
      </c>
      <c r="BD417" s="2">
        <v>10</v>
      </c>
      <c r="BE417" s="2">
        <v>10</v>
      </c>
      <c r="BF417" s="2">
        <v>10</v>
      </c>
      <c r="BG417" s="2">
        <v>10</v>
      </c>
      <c r="BH417" s="2">
        <v>10</v>
      </c>
      <c r="BI417" s="57">
        <v>10</v>
      </c>
      <c r="BJ417" s="2" t="e">
        <f t="shared" ca="1" si="129"/>
        <v>#NAME?</v>
      </c>
      <c r="BK417" s="5">
        <v>10</v>
      </c>
      <c r="BL417" s="5">
        <v>10</v>
      </c>
      <c r="BM417" s="5">
        <v>10</v>
      </c>
      <c r="BN417" s="5">
        <v>10</v>
      </c>
      <c r="BO417" s="5">
        <v>10</v>
      </c>
      <c r="BP417" s="54">
        <f t="shared" si="115"/>
        <v>10</v>
      </c>
      <c r="BQ417" s="5"/>
      <c r="BR417" s="5"/>
      <c r="BS417" s="5">
        <v>10</v>
      </c>
      <c r="BT417" s="5">
        <v>10</v>
      </c>
      <c r="BU417" s="5">
        <v>10</v>
      </c>
      <c r="BV417" s="5">
        <v>10</v>
      </c>
      <c r="BW417" s="5">
        <v>10</v>
      </c>
      <c r="BX417" s="5">
        <v>10</v>
      </c>
      <c r="BY417" s="5">
        <v>10</v>
      </c>
      <c r="BZ417" s="5">
        <v>10</v>
      </c>
      <c r="CA417" s="5">
        <v>10</v>
      </c>
      <c r="CB417" s="5">
        <v>10</v>
      </c>
      <c r="CC417" s="2" t="e">
        <f t="shared" ca="1" si="130"/>
        <v>#NAME?</v>
      </c>
      <c r="CD417" s="55"/>
      <c r="CE417" s="2"/>
      <c r="CF417" s="2">
        <v>10</v>
      </c>
      <c r="CG417" s="2">
        <v>10</v>
      </c>
      <c r="CH417" s="2">
        <v>10</v>
      </c>
      <c r="CI417" s="2">
        <v>10</v>
      </c>
      <c r="CJ417" s="2">
        <v>10</v>
      </c>
      <c r="CK417" s="2">
        <v>10</v>
      </c>
      <c r="CL417" s="2">
        <v>10</v>
      </c>
      <c r="CM417" s="2">
        <v>10</v>
      </c>
      <c r="CN417" s="2">
        <v>10</v>
      </c>
      <c r="CO417" s="2">
        <v>10</v>
      </c>
      <c r="CP417" s="2" t="e">
        <f t="shared" ca="1" si="131"/>
        <v>#NAME?</v>
      </c>
      <c r="CQ417" s="2">
        <v>10</v>
      </c>
      <c r="CR417" s="2">
        <v>10</v>
      </c>
      <c r="CS417" s="2">
        <v>10</v>
      </c>
      <c r="CT417" s="2">
        <v>10</v>
      </c>
      <c r="CU417" s="2">
        <v>10</v>
      </c>
      <c r="CV417" s="54">
        <f t="shared" si="116"/>
        <v>10</v>
      </c>
      <c r="CW417" s="55"/>
      <c r="CX417" s="3"/>
    </row>
    <row r="418" spans="1:102" ht="16.5" x14ac:dyDescent="0.55000000000000004">
      <c r="A418" s="17">
        <v>3</v>
      </c>
      <c r="B418" s="17" t="s">
        <v>7</v>
      </c>
      <c r="C418" s="23" t="s">
        <v>876</v>
      </c>
      <c r="D418" s="24" t="s">
        <v>877</v>
      </c>
      <c r="E418" s="48" t="s">
        <v>31</v>
      </c>
      <c r="F418" s="2" t="s">
        <v>31</v>
      </c>
      <c r="G418" s="2">
        <v>5</v>
      </c>
      <c r="H418" s="2">
        <v>5</v>
      </c>
      <c r="I418" s="2">
        <v>5</v>
      </c>
      <c r="J418" s="2">
        <v>5</v>
      </c>
      <c r="K418" s="2">
        <v>5</v>
      </c>
      <c r="L418" s="2"/>
      <c r="M418" s="2"/>
      <c r="N418" s="2"/>
      <c r="O418" s="2"/>
      <c r="P418" s="2"/>
      <c r="Q418" s="2" t="e">
        <f t="shared" ca="1" si="127"/>
        <v>#NAME?</v>
      </c>
      <c r="R418" s="2">
        <v>5</v>
      </c>
      <c r="S418" s="2">
        <v>5</v>
      </c>
      <c r="T418" s="2">
        <v>5</v>
      </c>
      <c r="U418" s="2">
        <v>5</v>
      </c>
      <c r="V418" s="2">
        <v>5</v>
      </c>
      <c r="W418" s="54">
        <f t="shared" si="113"/>
        <v>5</v>
      </c>
      <c r="X418" s="48">
        <v>0</v>
      </c>
      <c r="Y418" s="48">
        <v>0</v>
      </c>
      <c r="Z418" s="2"/>
      <c r="AA418" s="50">
        <v>7</v>
      </c>
      <c r="AB418" s="50">
        <v>7</v>
      </c>
      <c r="AC418" s="50">
        <v>7</v>
      </c>
      <c r="AD418" s="50">
        <v>7</v>
      </c>
      <c r="AE418" s="50">
        <v>7</v>
      </c>
      <c r="AF418" s="50">
        <v>7</v>
      </c>
      <c r="AG418" s="2">
        <v>10</v>
      </c>
      <c r="AH418" s="2">
        <v>10</v>
      </c>
      <c r="AI418" s="2">
        <v>10</v>
      </c>
      <c r="AJ418" s="2">
        <v>10</v>
      </c>
      <c r="AK418" s="50">
        <v>7</v>
      </c>
      <c r="AL418" s="50">
        <v>7</v>
      </c>
      <c r="AM418" s="2">
        <v>10</v>
      </c>
      <c r="AN418" s="2">
        <v>10</v>
      </c>
      <c r="AO418" s="2">
        <v>10</v>
      </c>
      <c r="AP418" s="2">
        <v>10</v>
      </c>
      <c r="AQ418" s="2" t="e">
        <f t="shared" ca="1" si="128"/>
        <v>#NAME?</v>
      </c>
      <c r="AR418" s="49">
        <v>7</v>
      </c>
      <c r="AS418" s="49">
        <v>7</v>
      </c>
      <c r="AT418" s="49">
        <v>7</v>
      </c>
      <c r="AU418" s="49">
        <v>10</v>
      </c>
      <c r="AV418" s="49">
        <v>10</v>
      </c>
      <c r="AW418" s="54">
        <f t="shared" si="114"/>
        <v>9</v>
      </c>
      <c r="AX418" s="48">
        <v>7</v>
      </c>
      <c r="AY418" s="2">
        <v>8</v>
      </c>
      <c r="AZ418" s="91">
        <v>10</v>
      </c>
      <c r="BA418" s="92">
        <v>10</v>
      </c>
      <c r="BB418" s="92">
        <v>10</v>
      </c>
      <c r="BC418" s="92">
        <v>9</v>
      </c>
      <c r="BD418" s="92">
        <v>9</v>
      </c>
      <c r="BE418" s="91">
        <v>9</v>
      </c>
      <c r="BF418" s="92">
        <v>9</v>
      </c>
      <c r="BG418" s="91">
        <v>9</v>
      </c>
      <c r="BH418" s="92">
        <v>9</v>
      </c>
      <c r="BI418" s="57">
        <v>9</v>
      </c>
      <c r="BJ418" s="2" t="e">
        <f t="shared" ca="1" si="129"/>
        <v>#NAME?</v>
      </c>
      <c r="BK418" s="5">
        <v>10</v>
      </c>
      <c r="BL418" s="5">
        <v>9</v>
      </c>
      <c r="BM418" s="5">
        <v>9</v>
      </c>
      <c r="BN418" s="5">
        <v>9</v>
      </c>
      <c r="BO418" s="5">
        <v>10</v>
      </c>
      <c r="BP418" s="54">
        <f t="shared" si="115"/>
        <v>10</v>
      </c>
      <c r="BQ418" s="5"/>
      <c r="BR418" s="5"/>
      <c r="BS418" s="5">
        <v>10</v>
      </c>
      <c r="BT418" s="5">
        <v>10</v>
      </c>
      <c r="BU418" s="5">
        <v>10</v>
      </c>
      <c r="BV418" s="5">
        <v>10</v>
      </c>
      <c r="BW418" s="5">
        <v>10</v>
      </c>
      <c r="BX418" s="5">
        <v>10</v>
      </c>
      <c r="BY418" s="5">
        <v>10</v>
      </c>
      <c r="BZ418" s="5">
        <v>10</v>
      </c>
      <c r="CA418" s="5">
        <v>10</v>
      </c>
      <c r="CB418" s="5">
        <v>10</v>
      </c>
      <c r="CC418" s="2" t="e">
        <f t="shared" ca="1" si="130"/>
        <v>#NAME?</v>
      </c>
      <c r="CD418" s="55"/>
      <c r="CE418" s="2"/>
      <c r="CF418" s="2">
        <v>10</v>
      </c>
      <c r="CG418" s="2">
        <v>7</v>
      </c>
      <c r="CH418" s="2">
        <v>10</v>
      </c>
      <c r="CI418" s="2">
        <v>10</v>
      </c>
      <c r="CJ418" s="2">
        <v>10</v>
      </c>
      <c r="CK418" s="2">
        <v>7</v>
      </c>
      <c r="CL418" s="2">
        <v>7</v>
      </c>
      <c r="CM418" s="2">
        <v>10</v>
      </c>
      <c r="CN418" s="2">
        <v>7</v>
      </c>
      <c r="CO418" s="2">
        <v>7</v>
      </c>
      <c r="CP418" s="2" t="e">
        <f t="shared" ca="1" si="131"/>
        <v>#NAME?</v>
      </c>
      <c r="CQ418" s="2">
        <v>7</v>
      </c>
      <c r="CR418" s="2">
        <v>7</v>
      </c>
      <c r="CS418" s="2">
        <v>7</v>
      </c>
      <c r="CT418" s="2">
        <v>7</v>
      </c>
      <c r="CU418" s="2">
        <v>7</v>
      </c>
      <c r="CV418" s="54">
        <f t="shared" si="116"/>
        <v>7</v>
      </c>
      <c r="CW418" s="55"/>
      <c r="CX418" s="3"/>
    </row>
    <row r="419" spans="1:102" ht="16.5" x14ac:dyDescent="0.55000000000000004">
      <c r="A419" s="17">
        <v>1</v>
      </c>
      <c r="B419" s="17" t="s">
        <v>8</v>
      </c>
      <c r="C419" s="23" t="s">
        <v>878</v>
      </c>
      <c r="D419" s="24" t="s">
        <v>879</v>
      </c>
      <c r="E419" s="48"/>
      <c r="F419" s="2"/>
      <c r="G419" s="2">
        <v>5</v>
      </c>
      <c r="H419" s="2">
        <v>5</v>
      </c>
      <c r="I419" s="2">
        <v>5</v>
      </c>
      <c r="J419" s="2">
        <v>5</v>
      </c>
      <c r="K419" s="2">
        <v>5</v>
      </c>
      <c r="L419" s="2">
        <v>5</v>
      </c>
      <c r="M419" s="2">
        <v>5</v>
      </c>
      <c r="N419" s="2">
        <v>5</v>
      </c>
      <c r="O419" s="2">
        <v>5</v>
      </c>
      <c r="P419" s="2">
        <v>5</v>
      </c>
      <c r="Q419" s="2" t="e">
        <f t="shared" ca="1" si="127"/>
        <v>#NAME?</v>
      </c>
      <c r="R419" s="2">
        <v>10</v>
      </c>
      <c r="S419" s="2">
        <v>10</v>
      </c>
      <c r="T419" s="2">
        <v>5</v>
      </c>
      <c r="U419" s="2">
        <v>5</v>
      </c>
      <c r="V419" s="2">
        <v>5</v>
      </c>
      <c r="W419" s="54">
        <f t="shared" si="113"/>
        <v>7</v>
      </c>
      <c r="X419" s="48">
        <v>7</v>
      </c>
      <c r="Y419" s="2">
        <v>8</v>
      </c>
      <c r="Z419" s="2"/>
      <c r="AA419" s="2">
        <v>8</v>
      </c>
      <c r="AB419" s="2">
        <v>8</v>
      </c>
      <c r="AC419" s="2">
        <v>8</v>
      </c>
      <c r="AD419" s="2">
        <v>9</v>
      </c>
      <c r="AE419" s="2">
        <v>8</v>
      </c>
      <c r="AF419" s="2">
        <v>9</v>
      </c>
      <c r="AG419" s="2">
        <v>8</v>
      </c>
      <c r="AH419" s="2">
        <v>8</v>
      </c>
      <c r="AI419" s="2">
        <v>8</v>
      </c>
      <c r="AJ419" s="2">
        <v>9</v>
      </c>
      <c r="AK419" s="2">
        <v>8</v>
      </c>
      <c r="AL419" s="2">
        <v>9</v>
      </c>
      <c r="AM419" s="2">
        <v>8</v>
      </c>
      <c r="AN419" s="2">
        <v>8</v>
      </c>
      <c r="AO419" s="2">
        <v>8</v>
      </c>
      <c r="AP419" s="2">
        <v>9</v>
      </c>
      <c r="AQ419" s="2" t="e">
        <f t="shared" ca="1" si="128"/>
        <v>#NAME?</v>
      </c>
      <c r="AR419" s="2">
        <v>8</v>
      </c>
      <c r="AS419" s="2">
        <v>8</v>
      </c>
      <c r="AT419" s="2">
        <v>8</v>
      </c>
      <c r="AU419" s="2">
        <v>9</v>
      </c>
      <c r="AV419" s="2">
        <v>8</v>
      </c>
      <c r="AW419" s="54">
        <f t="shared" si="114"/>
        <v>9</v>
      </c>
      <c r="AX419" s="48">
        <v>9</v>
      </c>
      <c r="AY419" s="2">
        <v>9</v>
      </c>
      <c r="AZ419" s="1">
        <v>9</v>
      </c>
      <c r="BA419" s="71">
        <v>9</v>
      </c>
      <c r="BB419" s="71">
        <v>9</v>
      </c>
      <c r="BC419" s="71">
        <v>9</v>
      </c>
      <c r="BD419" s="71">
        <v>10</v>
      </c>
      <c r="BE419" s="70">
        <v>10</v>
      </c>
      <c r="BF419" s="71">
        <v>10</v>
      </c>
      <c r="BG419" s="70">
        <v>10</v>
      </c>
      <c r="BH419" s="71">
        <v>10</v>
      </c>
      <c r="BI419" s="89">
        <v>10</v>
      </c>
      <c r="BJ419" s="2" t="e">
        <f t="shared" ca="1" si="129"/>
        <v>#NAME?</v>
      </c>
      <c r="BK419" s="5">
        <v>9</v>
      </c>
      <c r="BL419" s="5">
        <v>9</v>
      </c>
      <c r="BM419" s="5">
        <v>9</v>
      </c>
      <c r="BN419" s="5">
        <v>9</v>
      </c>
      <c r="BO419" s="5">
        <v>9</v>
      </c>
      <c r="BP419" s="54">
        <f t="shared" si="115"/>
        <v>9</v>
      </c>
      <c r="BQ419" s="5"/>
      <c r="BR419" s="5"/>
      <c r="BS419" s="5">
        <v>10</v>
      </c>
      <c r="BT419" s="5">
        <v>10</v>
      </c>
      <c r="BU419" s="5">
        <v>10</v>
      </c>
      <c r="BV419" s="5">
        <v>10</v>
      </c>
      <c r="BW419" s="5">
        <v>5</v>
      </c>
      <c r="BX419" s="5">
        <v>5</v>
      </c>
      <c r="BY419" s="5">
        <v>5</v>
      </c>
      <c r="BZ419" s="5">
        <v>5</v>
      </c>
      <c r="CA419" s="5">
        <v>5</v>
      </c>
      <c r="CB419" s="5">
        <v>5</v>
      </c>
      <c r="CC419" s="2" t="e">
        <f t="shared" ca="1" si="130"/>
        <v>#NAME?</v>
      </c>
      <c r="CD419" s="96">
        <v>9</v>
      </c>
      <c r="CE419" s="2">
        <v>9</v>
      </c>
      <c r="CF419" s="2">
        <v>10</v>
      </c>
      <c r="CG419" s="2">
        <v>10</v>
      </c>
      <c r="CH419" s="2">
        <v>9</v>
      </c>
      <c r="CI419" s="2">
        <v>10</v>
      </c>
      <c r="CJ419" s="2">
        <v>10</v>
      </c>
      <c r="CK419" s="2">
        <v>10</v>
      </c>
      <c r="CL419" s="2">
        <v>10</v>
      </c>
      <c r="CM419" s="2">
        <v>10</v>
      </c>
      <c r="CN419" s="2">
        <v>10</v>
      </c>
      <c r="CO419" s="2">
        <v>10</v>
      </c>
      <c r="CP419" s="2" t="e">
        <f t="shared" ca="1" si="131"/>
        <v>#NAME?</v>
      </c>
      <c r="CQ419" s="2">
        <v>10</v>
      </c>
      <c r="CR419" s="2">
        <v>10</v>
      </c>
      <c r="CS419" s="2">
        <v>9</v>
      </c>
      <c r="CT419" s="2">
        <v>10</v>
      </c>
      <c r="CU419" s="2">
        <v>9</v>
      </c>
      <c r="CV419" s="54">
        <f t="shared" si="116"/>
        <v>10</v>
      </c>
      <c r="CW419" s="96">
        <v>16</v>
      </c>
      <c r="CX419" s="3"/>
    </row>
    <row r="420" spans="1:102" ht="16.5" x14ac:dyDescent="0.55000000000000004">
      <c r="A420" s="17">
        <v>1</v>
      </c>
      <c r="B420" s="17" t="s">
        <v>8</v>
      </c>
      <c r="C420" s="23" t="s">
        <v>880</v>
      </c>
      <c r="D420" s="24" t="s">
        <v>881</v>
      </c>
      <c r="E420" s="48"/>
      <c r="F420" s="2"/>
      <c r="G420" s="2">
        <v>5</v>
      </c>
      <c r="H420" s="2">
        <v>5</v>
      </c>
      <c r="I420" s="2">
        <v>5</v>
      </c>
      <c r="J420" s="2">
        <v>5</v>
      </c>
      <c r="K420" s="2">
        <v>5</v>
      </c>
      <c r="L420" s="2">
        <v>5</v>
      </c>
      <c r="M420" s="2">
        <v>5</v>
      </c>
      <c r="N420" s="2">
        <v>5</v>
      </c>
      <c r="O420" s="2">
        <v>5</v>
      </c>
      <c r="P420" s="2">
        <v>5</v>
      </c>
      <c r="Q420" s="2" t="e">
        <f t="shared" ca="1" si="127"/>
        <v>#NAME?</v>
      </c>
      <c r="R420" s="2">
        <v>5</v>
      </c>
      <c r="S420" s="2">
        <v>5</v>
      </c>
      <c r="T420" s="2">
        <v>5</v>
      </c>
      <c r="U420" s="2">
        <v>5</v>
      </c>
      <c r="V420" s="2">
        <v>5</v>
      </c>
      <c r="W420" s="54">
        <f t="shared" si="113"/>
        <v>5</v>
      </c>
      <c r="X420" s="48">
        <v>7</v>
      </c>
      <c r="Y420" s="2">
        <v>8</v>
      </c>
      <c r="Z420" s="2"/>
      <c r="AA420" s="2">
        <v>8</v>
      </c>
      <c r="AB420" s="2">
        <v>8</v>
      </c>
      <c r="AC420" s="2">
        <v>8</v>
      </c>
      <c r="AD420" s="2">
        <v>9</v>
      </c>
      <c r="AE420" s="2">
        <v>8</v>
      </c>
      <c r="AF420" s="2">
        <v>9</v>
      </c>
      <c r="AG420" s="2">
        <v>8</v>
      </c>
      <c r="AH420" s="2">
        <v>8</v>
      </c>
      <c r="AI420" s="2">
        <v>8</v>
      </c>
      <c r="AJ420" s="2">
        <v>9</v>
      </c>
      <c r="AK420" s="2">
        <v>8</v>
      </c>
      <c r="AL420" s="2">
        <v>9</v>
      </c>
      <c r="AM420" s="2">
        <v>8</v>
      </c>
      <c r="AN420" s="2">
        <v>8</v>
      </c>
      <c r="AO420" s="2">
        <v>8</v>
      </c>
      <c r="AP420" s="2">
        <v>9</v>
      </c>
      <c r="AQ420" s="2" t="e">
        <f t="shared" ca="1" si="128"/>
        <v>#NAME?</v>
      </c>
      <c r="AR420" s="2">
        <v>8</v>
      </c>
      <c r="AS420" s="2">
        <v>8</v>
      </c>
      <c r="AT420" s="2">
        <v>8</v>
      </c>
      <c r="AU420" s="2">
        <v>9</v>
      </c>
      <c r="AV420" s="2">
        <v>8</v>
      </c>
      <c r="AW420" s="54">
        <f t="shared" si="114"/>
        <v>9</v>
      </c>
      <c r="AX420" s="48">
        <v>8</v>
      </c>
      <c r="AY420" s="2">
        <v>7</v>
      </c>
      <c r="AZ420" s="1">
        <v>8</v>
      </c>
      <c r="BA420" s="71">
        <v>8</v>
      </c>
      <c r="BB420" s="78">
        <v>8</v>
      </c>
      <c r="BC420" s="71">
        <v>8</v>
      </c>
      <c r="BD420" s="71">
        <v>7</v>
      </c>
      <c r="BE420" s="70">
        <v>7</v>
      </c>
      <c r="BF420" s="71">
        <v>9</v>
      </c>
      <c r="BG420" s="70">
        <v>9</v>
      </c>
      <c r="BH420" s="71">
        <v>9</v>
      </c>
      <c r="BI420" s="89">
        <v>9</v>
      </c>
      <c r="BJ420" s="2" t="e">
        <f t="shared" ca="1" si="129"/>
        <v>#NAME?</v>
      </c>
      <c r="BK420" s="5">
        <v>9</v>
      </c>
      <c r="BL420" s="5">
        <v>9</v>
      </c>
      <c r="BM420" s="5">
        <v>9</v>
      </c>
      <c r="BN420" s="5">
        <v>9</v>
      </c>
      <c r="BO420" s="5">
        <v>9</v>
      </c>
      <c r="BP420" s="54">
        <f t="shared" si="115"/>
        <v>9</v>
      </c>
      <c r="BQ420" s="5"/>
      <c r="BR420" s="5"/>
      <c r="BS420" s="5">
        <v>5</v>
      </c>
      <c r="BT420" s="5">
        <v>5</v>
      </c>
      <c r="BU420" s="5">
        <v>5</v>
      </c>
      <c r="BV420" s="5">
        <v>5</v>
      </c>
      <c r="BW420" s="5">
        <v>5</v>
      </c>
      <c r="BX420" s="5">
        <v>5</v>
      </c>
      <c r="BY420" s="5">
        <v>5</v>
      </c>
      <c r="BZ420" s="5">
        <v>5</v>
      </c>
      <c r="CA420" s="5">
        <v>5</v>
      </c>
      <c r="CB420" s="5">
        <v>5</v>
      </c>
      <c r="CC420" s="2" t="e">
        <f t="shared" ca="1" si="130"/>
        <v>#NAME?</v>
      </c>
      <c r="CD420" s="96">
        <v>6</v>
      </c>
      <c r="CE420" s="2">
        <v>7</v>
      </c>
      <c r="CF420" s="2">
        <v>10</v>
      </c>
      <c r="CG420" s="2">
        <v>10</v>
      </c>
      <c r="CH420" s="2">
        <v>8</v>
      </c>
      <c r="CI420" s="2">
        <v>10</v>
      </c>
      <c r="CJ420" s="2">
        <v>9</v>
      </c>
      <c r="CK420" s="2">
        <v>10</v>
      </c>
      <c r="CL420" s="2">
        <v>9</v>
      </c>
      <c r="CM420" s="2">
        <v>9</v>
      </c>
      <c r="CN420" s="2">
        <v>10</v>
      </c>
      <c r="CO420" s="2">
        <v>8</v>
      </c>
      <c r="CP420" s="2" t="e">
        <f t="shared" ca="1" si="131"/>
        <v>#NAME?</v>
      </c>
      <c r="CQ420" s="2">
        <v>8</v>
      </c>
      <c r="CR420" s="2">
        <v>9</v>
      </c>
      <c r="CS420" s="2">
        <v>10</v>
      </c>
      <c r="CT420" s="2">
        <v>8</v>
      </c>
      <c r="CU420" s="2">
        <v>9</v>
      </c>
      <c r="CV420" s="54">
        <f t="shared" si="116"/>
        <v>9</v>
      </c>
      <c r="CW420" s="96">
        <v>8</v>
      </c>
      <c r="CX420" s="3"/>
    </row>
    <row r="421" spans="1:102" ht="16.5" x14ac:dyDescent="0.55000000000000004">
      <c r="A421" s="17">
        <v>1</v>
      </c>
      <c r="B421" s="17" t="s">
        <v>8</v>
      </c>
      <c r="C421" s="23" t="s">
        <v>882</v>
      </c>
      <c r="D421" s="24" t="s">
        <v>883</v>
      </c>
      <c r="E421" s="48"/>
      <c r="F421" s="2"/>
      <c r="G421" s="2">
        <v>10</v>
      </c>
      <c r="H421" s="2">
        <v>10</v>
      </c>
      <c r="I421" s="2">
        <v>8</v>
      </c>
      <c r="J421" s="2">
        <v>8</v>
      </c>
      <c r="K421" s="2">
        <v>10</v>
      </c>
      <c r="L421" s="2">
        <v>10</v>
      </c>
      <c r="M421" s="2">
        <v>10</v>
      </c>
      <c r="N421" s="2">
        <v>10</v>
      </c>
      <c r="O421" s="2">
        <v>8</v>
      </c>
      <c r="P421" s="2">
        <v>8</v>
      </c>
      <c r="Q421" s="2" t="e">
        <f t="shared" ca="1" si="127"/>
        <v>#NAME?</v>
      </c>
      <c r="R421" s="2">
        <v>10</v>
      </c>
      <c r="S421" s="2">
        <v>10</v>
      </c>
      <c r="T421" s="2">
        <v>10</v>
      </c>
      <c r="U421" s="2">
        <v>9</v>
      </c>
      <c r="V421" s="2">
        <v>9</v>
      </c>
      <c r="W421" s="54">
        <f t="shared" si="113"/>
        <v>10</v>
      </c>
      <c r="X421" s="48">
        <v>8</v>
      </c>
      <c r="Y421" s="2">
        <v>8</v>
      </c>
      <c r="Z421" s="2"/>
      <c r="AA421" s="2">
        <v>8</v>
      </c>
      <c r="AB421" s="2">
        <v>7</v>
      </c>
      <c r="AC421" s="2">
        <v>8</v>
      </c>
      <c r="AD421" s="2">
        <v>8</v>
      </c>
      <c r="AE421" s="2">
        <v>8</v>
      </c>
      <c r="AF421" s="2">
        <v>9</v>
      </c>
      <c r="AG421" s="2">
        <v>9</v>
      </c>
      <c r="AH421" s="2">
        <v>9</v>
      </c>
      <c r="AI421" s="2">
        <v>9</v>
      </c>
      <c r="AJ421" s="2">
        <v>9</v>
      </c>
      <c r="AK421" s="2">
        <v>8</v>
      </c>
      <c r="AL421" s="2">
        <v>9</v>
      </c>
      <c r="AM421" s="2">
        <v>9</v>
      </c>
      <c r="AN421" s="2">
        <v>9</v>
      </c>
      <c r="AO421" s="2">
        <v>9</v>
      </c>
      <c r="AP421" s="2">
        <v>9</v>
      </c>
      <c r="AQ421" s="2" t="e">
        <f t="shared" ca="1" si="128"/>
        <v>#NAME?</v>
      </c>
      <c r="AR421" s="2">
        <v>8</v>
      </c>
      <c r="AS421" s="2">
        <v>8</v>
      </c>
      <c r="AT421" s="2">
        <v>9</v>
      </c>
      <c r="AU421" s="2">
        <v>10</v>
      </c>
      <c r="AV421" s="2">
        <v>10</v>
      </c>
      <c r="AW421" s="54">
        <f t="shared" si="114"/>
        <v>9</v>
      </c>
      <c r="AX421" s="48">
        <v>10</v>
      </c>
      <c r="AY421" s="2">
        <v>9</v>
      </c>
      <c r="AZ421" s="70">
        <v>10</v>
      </c>
      <c r="BA421" s="71">
        <v>10</v>
      </c>
      <c r="BB421" s="78">
        <v>10</v>
      </c>
      <c r="BC421" s="71">
        <v>10</v>
      </c>
      <c r="BD421" s="71">
        <v>10</v>
      </c>
      <c r="BE421" s="70">
        <v>10</v>
      </c>
      <c r="BF421" s="78">
        <v>9</v>
      </c>
      <c r="BG421" s="70">
        <v>10</v>
      </c>
      <c r="BH421" s="71">
        <v>10</v>
      </c>
      <c r="BI421" s="89">
        <v>10</v>
      </c>
      <c r="BJ421" s="2" t="e">
        <f t="shared" ca="1" si="129"/>
        <v>#NAME?</v>
      </c>
      <c r="BK421" s="5">
        <v>10</v>
      </c>
      <c r="BL421" s="5">
        <v>10</v>
      </c>
      <c r="BM421" s="5">
        <v>10</v>
      </c>
      <c r="BN421" s="5">
        <v>10</v>
      </c>
      <c r="BO421" s="5">
        <v>10</v>
      </c>
      <c r="BP421" s="54">
        <f t="shared" si="115"/>
        <v>10</v>
      </c>
      <c r="BQ421" s="5"/>
      <c r="BR421" s="5"/>
      <c r="BS421" s="5">
        <v>10</v>
      </c>
      <c r="BT421" s="5">
        <v>10</v>
      </c>
      <c r="BU421" s="5">
        <v>10</v>
      </c>
      <c r="BV421" s="5">
        <v>10</v>
      </c>
      <c r="BW421" s="5">
        <v>10</v>
      </c>
      <c r="BX421" s="5">
        <v>10</v>
      </c>
      <c r="BY421" s="5">
        <v>10</v>
      </c>
      <c r="BZ421" s="5">
        <v>10</v>
      </c>
      <c r="CA421" s="5">
        <v>10</v>
      </c>
      <c r="CB421" s="5">
        <v>10</v>
      </c>
      <c r="CC421" s="2" t="e">
        <f t="shared" ca="1" si="130"/>
        <v>#NAME?</v>
      </c>
      <c r="CD421" s="96">
        <v>7</v>
      </c>
      <c r="CE421" s="2">
        <v>7</v>
      </c>
      <c r="CF421" s="2">
        <v>10</v>
      </c>
      <c r="CG421" s="2">
        <v>10</v>
      </c>
      <c r="CH421" s="2">
        <v>10</v>
      </c>
      <c r="CI421" s="2">
        <v>10</v>
      </c>
      <c r="CJ421" s="2">
        <v>10</v>
      </c>
      <c r="CK421" s="2">
        <v>9</v>
      </c>
      <c r="CL421" s="2">
        <v>10</v>
      </c>
      <c r="CM421" s="2">
        <v>10</v>
      </c>
      <c r="CN421" s="2">
        <v>9</v>
      </c>
      <c r="CO421" s="2">
        <v>10</v>
      </c>
      <c r="CP421" s="2" t="e">
        <f t="shared" ca="1" si="131"/>
        <v>#NAME?</v>
      </c>
      <c r="CQ421" s="2">
        <v>9</v>
      </c>
      <c r="CR421" s="2">
        <v>10</v>
      </c>
      <c r="CS421" s="2">
        <v>9</v>
      </c>
      <c r="CT421" s="2">
        <v>10</v>
      </c>
      <c r="CU421" s="2">
        <v>8</v>
      </c>
      <c r="CV421" s="54">
        <f t="shared" si="116"/>
        <v>10</v>
      </c>
      <c r="CW421" s="96">
        <v>12</v>
      </c>
      <c r="CX421" s="3"/>
    </row>
    <row r="422" spans="1:102" ht="16.5" x14ac:dyDescent="0.55000000000000004">
      <c r="A422" s="17">
        <v>1</v>
      </c>
      <c r="B422" s="17" t="s">
        <v>8</v>
      </c>
      <c r="C422" s="23" t="s">
        <v>884</v>
      </c>
      <c r="D422" s="24" t="s">
        <v>885</v>
      </c>
      <c r="E422" s="48"/>
      <c r="F422" s="2"/>
      <c r="G422" s="2">
        <v>10</v>
      </c>
      <c r="H422" s="2">
        <v>10</v>
      </c>
      <c r="I422" s="2">
        <v>7</v>
      </c>
      <c r="J422" s="2">
        <v>7</v>
      </c>
      <c r="K422" s="2">
        <v>8</v>
      </c>
      <c r="L422" s="2">
        <v>8</v>
      </c>
      <c r="M422" s="2">
        <v>5</v>
      </c>
      <c r="N422" s="2">
        <v>5</v>
      </c>
      <c r="O422" s="2">
        <v>5</v>
      </c>
      <c r="P422" s="2">
        <v>5</v>
      </c>
      <c r="Q422" s="2" t="e">
        <f t="shared" ca="1" si="127"/>
        <v>#NAME?</v>
      </c>
      <c r="R422" s="2">
        <v>10</v>
      </c>
      <c r="S422" s="2">
        <v>7</v>
      </c>
      <c r="T422" s="2">
        <v>5</v>
      </c>
      <c r="U422" s="2">
        <v>5</v>
      </c>
      <c r="V422" s="2">
        <v>5</v>
      </c>
      <c r="W422" s="54">
        <f t="shared" si="113"/>
        <v>7</v>
      </c>
      <c r="X422" s="48">
        <v>5</v>
      </c>
      <c r="Y422" s="2">
        <v>5</v>
      </c>
      <c r="Z422" s="2"/>
      <c r="AA422" s="2">
        <v>8</v>
      </c>
      <c r="AB422" s="2">
        <v>8</v>
      </c>
      <c r="AC422" s="2">
        <v>7</v>
      </c>
      <c r="AD422" s="2">
        <v>8</v>
      </c>
      <c r="AE422" s="2">
        <v>8</v>
      </c>
      <c r="AF422" s="2">
        <v>8</v>
      </c>
      <c r="AG422" s="2">
        <v>8</v>
      </c>
      <c r="AH422" s="2">
        <v>7</v>
      </c>
      <c r="AI422" s="2">
        <v>8</v>
      </c>
      <c r="AJ422" s="2">
        <v>8</v>
      </c>
      <c r="AK422" s="2">
        <v>8</v>
      </c>
      <c r="AL422" s="2">
        <v>8</v>
      </c>
      <c r="AM422" s="2">
        <v>8</v>
      </c>
      <c r="AN422" s="2">
        <v>7</v>
      </c>
      <c r="AO422" s="2">
        <v>8</v>
      </c>
      <c r="AP422" s="2">
        <v>8</v>
      </c>
      <c r="AQ422" s="2" t="e">
        <f t="shared" ca="1" si="128"/>
        <v>#NAME?</v>
      </c>
      <c r="AR422" s="2">
        <v>8</v>
      </c>
      <c r="AS422" s="2">
        <v>9</v>
      </c>
      <c r="AT422" s="2">
        <v>10</v>
      </c>
      <c r="AU422" s="2">
        <v>7</v>
      </c>
      <c r="AV422" s="2">
        <v>8</v>
      </c>
      <c r="AW422" s="54">
        <f t="shared" si="114"/>
        <v>9</v>
      </c>
      <c r="AX422" s="48">
        <v>9</v>
      </c>
      <c r="AY422" s="2">
        <v>8</v>
      </c>
      <c r="AZ422" s="8">
        <v>9</v>
      </c>
      <c r="BA422" s="97">
        <v>9</v>
      </c>
      <c r="BB422" s="97">
        <v>10</v>
      </c>
      <c r="BC422" s="88">
        <v>10</v>
      </c>
      <c r="BD422" s="97">
        <v>10</v>
      </c>
      <c r="BE422" s="98">
        <v>9</v>
      </c>
      <c r="BF422" s="8">
        <v>9</v>
      </c>
      <c r="BG422" s="97">
        <v>9</v>
      </c>
      <c r="BH422" s="98">
        <v>10</v>
      </c>
      <c r="BI422" s="99">
        <v>10</v>
      </c>
      <c r="BJ422" s="2" t="e">
        <f t="shared" ca="1" si="129"/>
        <v>#NAME?</v>
      </c>
      <c r="BK422" s="5">
        <v>10</v>
      </c>
      <c r="BL422" s="5">
        <v>10</v>
      </c>
      <c r="BM422" s="5">
        <v>10</v>
      </c>
      <c r="BN422" s="5">
        <v>10</v>
      </c>
      <c r="BO422" s="5">
        <v>10</v>
      </c>
      <c r="BP422" s="54">
        <f t="shared" si="115"/>
        <v>10</v>
      </c>
      <c r="BQ422" s="5"/>
      <c r="BR422" s="5"/>
      <c r="BS422" s="5">
        <v>10</v>
      </c>
      <c r="BT422" s="5">
        <v>10</v>
      </c>
      <c r="BU422" s="5">
        <v>10</v>
      </c>
      <c r="BV422" s="5">
        <v>5</v>
      </c>
      <c r="BW422" s="5">
        <v>5</v>
      </c>
      <c r="BX422" s="5">
        <v>5</v>
      </c>
      <c r="BY422" s="5">
        <v>5</v>
      </c>
      <c r="BZ422" s="5">
        <v>5</v>
      </c>
      <c r="CA422" s="5">
        <v>5</v>
      </c>
      <c r="CB422" s="5">
        <v>5</v>
      </c>
      <c r="CC422" s="2" t="e">
        <f t="shared" ca="1" si="130"/>
        <v>#NAME?</v>
      </c>
      <c r="CD422" s="96" t="s">
        <v>886</v>
      </c>
      <c r="CE422" s="2">
        <v>6</v>
      </c>
      <c r="CF422" s="2">
        <v>10</v>
      </c>
      <c r="CG422" s="2">
        <v>10</v>
      </c>
      <c r="CH422" s="2">
        <v>8</v>
      </c>
      <c r="CI422" s="2">
        <v>10</v>
      </c>
      <c r="CJ422" s="2">
        <v>10</v>
      </c>
      <c r="CK422" s="2">
        <v>10</v>
      </c>
      <c r="CL422" s="2">
        <v>9</v>
      </c>
      <c r="CM422" s="2">
        <v>10</v>
      </c>
      <c r="CN422" s="2">
        <v>9</v>
      </c>
      <c r="CO422" s="2">
        <v>10</v>
      </c>
      <c r="CP422" s="2" t="e">
        <f t="shared" ca="1" si="131"/>
        <v>#NAME?</v>
      </c>
      <c r="CQ422" s="2">
        <v>10</v>
      </c>
      <c r="CR422" s="2">
        <v>8</v>
      </c>
      <c r="CS422" s="2">
        <v>10</v>
      </c>
      <c r="CT422" s="2">
        <v>9</v>
      </c>
      <c r="CU422" s="2">
        <v>8</v>
      </c>
      <c r="CV422" s="54">
        <f t="shared" si="116"/>
        <v>9</v>
      </c>
      <c r="CW422" s="96" t="s">
        <v>886</v>
      </c>
      <c r="CX422" s="3"/>
    </row>
    <row r="423" spans="1:102" ht="16.5" x14ac:dyDescent="0.55000000000000004">
      <c r="A423" s="17">
        <v>1</v>
      </c>
      <c r="B423" s="17" t="s">
        <v>8</v>
      </c>
      <c r="C423" s="23" t="s">
        <v>887</v>
      </c>
      <c r="D423" s="24" t="s">
        <v>888</v>
      </c>
      <c r="E423" s="48"/>
      <c r="F423" s="2"/>
      <c r="G423" s="48">
        <v>5</v>
      </c>
      <c r="H423" s="48">
        <v>5</v>
      </c>
      <c r="I423" s="48">
        <v>5</v>
      </c>
      <c r="J423" s="48">
        <v>5</v>
      </c>
      <c r="K423" s="48">
        <v>5</v>
      </c>
      <c r="L423" s="48">
        <v>5</v>
      </c>
      <c r="M423" s="48">
        <v>5</v>
      </c>
      <c r="N423" s="48">
        <v>5</v>
      </c>
      <c r="O423" s="48">
        <v>5</v>
      </c>
      <c r="P423" s="48">
        <v>5</v>
      </c>
      <c r="Q423" s="2" t="e">
        <f t="shared" ca="1" si="127"/>
        <v>#NAME?</v>
      </c>
      <c r="R423" s="2">
        <v>5</v>
      </c>
      <c r="S423" s="2">
        <v>5</v>
      </c>
      <c r="T423" s="2">
        <v>5</v>
      </c>
      <c r="U423" s="2">
        <v>5</v>
      </c>
      <c r="V423" s="2">
        <v>5</v>
      </c>
      <c r="W423" s="54">
        <f t="shared" si="113"/>
        <v>5</v>
      </c>
      <c r="X423" s="48">
        <v>5</v>
      </c>
      <c r="Y423" s="2">
        <v>5</v>
      </c>
      <c r="Z423" s="2"/>
      <c r="AA423" s="2">
        <v>6</v>
      </c>
      <c r="AB423" s="2">
        <v>6</v>
      </c>
      <c r="AC423" s="2">
        <v>6</v>
      </c>
      <c r="AD423" s="2">
        <v>6</v>
      </c>
      <c r="AE423" s="2">
        <v>6</v>
      </c>
      <c r="AF423" s="2">
        <v>6</v>
      </c>
      <c r="AG423" s="2">
        <v>6</v>
      </c>
      <c r="AH423" s="2">
        <v>6</v>
      </c>
      <c r="AI423" s="2">
        <v>6</v>
      </c>
      <c r="AJ423" s="2">
        <v>6</v>
      </c>
      <c r="AK423" s="2">
        <v>6</v>
      </c>
      <c r="AL423" s="2">
        <v>6</v>
      </c>
      <c r="AM423" s="2">
        <v>6</v>
      </c>
      <c r="AN423" s="2">
        <v>6</v>
      </c>
      <c r="AO423" s="2">
        <v>6</v>
      </c>
      <c r="AP423" s="2">
        <v>6</v>
      </c>
      <c r="AQ423" s="2" t="e">
        <f t="shared" ca="1" si="128"/>
        <v>#NAME?</v>
      </c>
      <c r="AR423" s="2">
        <v>6</v>
      </c>
      <c r="AS423" s="2">
        <v>6</v>
      </c>
      <c r="AT423" s="2">
        <v>7</v>
      </c>
      <c r="AU423" s="2">
        <v>7</v>
      </c>
      <c r="AV423" s="2">
        <v>6</v>
      </c>
      <c r="AW423" s="54">
        <f t="shared" si="114"/>
        <v>7</v>
      </c>
      <c r="AX423" s="48">
        <v>8</v>
      </c>
      <c r="AY423" s="2">
        <v>9</v>
      </c>
      <c r="AZ423" s="1">
        <v>10</v>
      </c>
      <c r="BA423" s="78">
        <v>10</v>
      </c>
      <c r="BB423" s="71">
        <v>10</v>
      </c>
      <c r="BC423" s="70">
        <v>10</v>
      </c>
      <c r="BD423" s="71">
        <v>10</v>
      </c>
      <c r="BE423" s="78">
        <v>10</v>
      </c>
      <c r="BF423" s="1">
        <v>10</v>
      </c>
      <c r="BG423" s="78">
        <v>9</v>
      </c>
      <c r="BH423" s="78">
        <v>9</v>
      </c>
      <c r="BI423" s="79">
        <v>10</v>
      </c>
      <c r="BJ423" s="2" t="e">
        <f t="shared" ca="1" si="129"/>
        <v>#NAME?</v>
      </c>
      <c r="BK423" s="5">
        <v>10</v>
      </c>
      <c r="BL423" s="5">
        <v>10</v>
      </c>
      <c r="BM423" s="5">
        <v>10</v>
      </c>
      <c r="BN423" s="5">
        <v>10</v>
      </c>
      <c r="BO423" s="5">
        <v>10</v>
      </c>
      <c r="BP423" s="54">
        <f t="shared" si="115"/>
        <v>10</v>
      </c>
      <c r="BQ423" s="5"/>
      <c r="BR423" s="5"/>
      <c r="BS423" s="5">
        <v>5</v>
      </c>
      <c r="BT423" s="5">
        <v>5</v>
      </c>
      <c r="BU423" s="5">
        <v>5</v>
      </c>
      <c r="BV423" s="5">
        <v>5</v>
      </c>
      <c r="BW423" s="5">
        <v>5</v>
      </c>
      <c r="BX423" s="5">
        <v>5</v>
      </c>
      <c r="BY423" s="5">
        <v>5</v>
      </c>
      <c r="BZ423" s="5">
        <v>5</v>
      </c>
      <c r="CA423" s="5">
        <v>5</v>
      </c>
      <c r="CB423" s="5">
        <v>5</v>
      </c>
      <c r="CC423" s="2" t="e">
        <f t="shared" ca="1" si="130"/>
        <v>#NAME?</v>
      </c>
      <c r="CD423" s="96" t="s">
        <v>886</v>
      </c>
      <c r="CE423" s="2">
        <v>7</v>
      </c>
      <c r="CF423" s="2">
        <v>7</v>
      </c>
      <c r="CG423" s="2">
        <v>7</v>
      </c>
      <c r="CH423" s="2">
        <v>7</v>
      </c>
      <c r="CI423" s="2">
        <v>7</v>
      </c>
      <c r="CJ423" s="2">
        <v>7</v>
      </c>
      <c r="CK423" s="2">
        <v>7</v>
      </c>
      <c r="CL423" s="2">
        <v>7</v>
      </c>
      <c r="CM423" s="2">
        <v>7</v>
      </c>
      <c r="CN423" s="2">
        <v>7</v>
      </c>
      <c r="CO423" s="2">
        <v>7</v>
      </c>
      <c r="CP423" s="2" t="e">
        <f t="shared" ca="1" si="131"/>
        <v>#NAME?</v>
      </c>
      <c r="CQ423" s="2">
        <v>6</v>
      </c>
      <c r="CR423" s="2">
        <v>6</v>
      </c>
      <c r="CS423" s="2">
        <v>6</v>
      </c>
      <c r="CT423" s="2">
        <v>6</v>
      </c>
      <c r="CU423" s="2">
        <v>6</v>
      </c>
      <c r="CV423" s="54">
        <f t="shared" si="116"/>
        <v>6</v>
      </c>
      <c r="CW423" s="96" t="s">
        <v>886</v>
      </c>
      <c r="CX423" s="3"/>
    </row>
    <row r="424" spans="1:102" ht="16.5" x14ac:dyDescent="0.55000000000000004">
      <c r="A424" s="17">
        <v>1</v>
      </c>
      <c r="B424" s="17" t="s">
        <v>8</v>
      </c>
      <c r="C424" s="23" t="s">
        <v>889</v>
      </c>
      <c r="D424" s="24" t="s">
        <v>890</v>
      </c>
      <c r="E424" s="48"/>
      <c r="F424" s="2"/>
      <c r="G424" s="2" t="s">
        <v>50</v>
      </c>
      <c r="H424" s="2" t="s">
        <v>50</v>
      </c>
      <c r="I424" s="2" t="s">
        <v>50</v>
      </c>
      <c r="J424" s="2" t="s">
        <v>50</v>
      </c>
      <c r="K424" s="2" t="s">
        <v>50</v>
      </c>
      <c r="L424" s="2" t="s">
        <v>50</v>
      </c>
      <c r="M424" s="2" t="s">
        <v>50</v>
      </c>
      <c r="N424" s="2" t="s">
        <v>50</v>
      </c>
      <c r="O424" s="2" t="s">
        <v>50</v>
      </c>
      <c r="P424" s="2" t="s">
        <v>50</v>
      </c>
      <c r="Q424" s="2" t="e">
        <f t="shared" ca="1" si="127"/>
        <v>#NAME?</v>
      </c>
      <c r="R424" s="2" t="s">
        <v>50</v>
      </c>
      <c r="S424" s="2" t="s">
        <v>50</v>
      </c>
      <c r="T424" s="2" t="s">
        <v>50</v>
      </c>
      <c r="U424" s="2" t="s">
        <v>50</v>
      </c>
      <c r="V424" s="2" t="s">
        <v>50</v>
      </c>
      <c r="W424" s="54">
        <f t="shared" si="113"/>
        <v>0</v>
      </c>
      <c r="X424" s="2" t="s">
        <v>50</v>
      </c>
      <c r="Y424" s="2" t="s">
        <v>50</v>
      </c>
      <c r="Z424" s="2"/>
      <c r="AA424" s="2" t="s">
        <v>50</v>
      </c>
      <c r="AB424" s="2" t="s">
        <v>50</v>
      </c>
      <c r="AC424" s="2" t="s">
        <v>50</v>
      </c>
      <c r="AD424" s="2" t="s">
        <v>50</v>
      </c>
      <c r="AE424" s="2" t="s">
        <v>50</v>
      </c>
      <c r="AF424" s="2" t="s">
        <v>50</v>
      </c>
      <c r="AG424" s="2" t="s">
        <v>50</v>
      </c>
      <c r="AH424" s="2" t="s">
        <v>50</v>
      </c>
      <c r="AI424" s="2" t="s">
        <v>50</v>
      </c>
      <c r="AJ424" s="2" t="s">
        <v>50</v>
      </c>
      <c r="AK424" s="3" t="s">
        <v>50</v>
      </c>
      <c r="AL424" s="3" t="s">
        <v>50</v>
      </c>
      <c r="AM424" s="3" t="s">
        <v>50</v>
      </c>
      <c r="AN424" s="3" t="s">
        <v>50</v>
      </c>
      <c r="AO424" s="79" t="s">
        <v>50</v>
      </c>
      <c r="AP424" s="3" t="s">
        <v>50</v>
      </c>
      <c r="AQ424" s="2" t="e">
        <f t="shared" ca="1" si="128"/>
        <v>#NAME?</v>
      </c>
      <c r="AR424" s="2" t="s">
        <v>50</v>
      </c>
      <c r="AS424" s="2" t="s">
        <v>50</v>
      </c>
      <c r="AT424" s="2" t="s">
        <v>50</v>
      </c>
      <c r="AU424" s="2" t="s">
        <v>50</v>
      </c>
      <c r="AV424" s="2" t="s">
        <v>50</v>
      </c>
      <c r="AW424" s="54">
        <f t="shared" si="114"/>
        <v>0</v>
      </c>
      <c r="AX424" s="2" t="s">
        <v>50</v>
      </c>
      <c r="AY424" s="2" t="s">
        <v>50</v>
      </c>
      <c r="AZ424" s="2" t="s">
        <v>50</v>
      </c>
      <c r="BA424" s="2" t="s">
        <v>50</v>
      </c>
      <c r="BB424" s="2" t="s">
        <v>50</v>
      </c>
      <c r="BC424" s="2" t="s">
        <v>50</v>
      </c>
      <c r="BD424" s="2" t="s">
        <v>50</v>
      </c>
      <c r="BE424" s="2" t="s">
        <v>50</v>
      </c>
      <c r="BF424" s="2" t="s">
        <v>50</v>
      </c>
      <c r="BG424" s="2" t="s">
        <v>50</v>
      </c>
      <c r="BH424" s="2" t="s">
        <v>50</v>
      </c>
      <c r="BI424" s="2" t="s">
        <v>50</v>
      </c>
      <c r="BJ424" s="2" t="e">
        <f t="shared" ca="1" si="129"/>
        <v>#NAME?</v>
      </c>
      <c r="BK424" s="2" t="s">
        <v>50</v>
      </c>
      <c r="BL424" s="2" t="s">
        <v>50</v>
      </c>
      <c r="BM424" s="2" t="s">
        <v>50</v>
      </c>
      <c r="BN424" s="2" t="s">
        <v>50</v>
      </c>
      <c r="BO424" s="2" t="s">
        <v>50</v>
      </c>
      <c r="BP424" s="54">
        <f t="shared" si="115"/>
        <v>0</v>
      </c>
      <c r="BQ424" s="5"/>
      <c r="BR424" s="5"/>
      <c r="BS424" s="2" t="s">
        <v>50</v>
      </c>
      <c r="BT424" s="2" t="s">
        <v>50</v>
      </c>
      <c r="BU424" s="2" t="s">
        <v>50</v>
      </c>
      <c r="BV424" s="2" t="s">
        <v>50</v>
      </c>
      <c r="BW424" s="2" t="s">
        <v>50</v>
      </c>
      <c r="BX424" s="2" t="s">
        <v>50</v>
      </c>
      <c r="BY424" s="2" t="s">
        <v>50</v>
      </c>
      <c r="BZ424" s="2" t="s">
        <v>50</v>
      </c>
      <c r="CA424" s="2" t="s">
        <v>50</v>
      </c>
      <c r="CB424" s="2" t="s">
        <v>50</v>
      </c>
      <c r="CC424" s="2" t="e">
        <f t="shared" ca="1" si="130"/>
        <v>#NAME?</v>
      </c>
      <c r="CD424" s="2" t="s">
        <v>50</v>
      </c>
      <c r="CE424" s="2" t="s">
        <v>50</v>
      </c>
      <c r="CF424" s="2" t="s">
        <v>50</v>
      </c>
      <c r="CG424" s="2" t="s">
        <v>50</v>
      </c>
      <c r="CH424" s="2" t="s">
        <v>50</v>
      </c>
      <c r="CI424" s="2" t="s">
        <v>50</v>
      </c>
      <c r="CJ424" s="2" t="s">
        <v>50</v>
      </c>
      <c r="CK424" s="2" t="s">
        <v>50</v>
      </c>
      <c r="CL424" s="2" t="s">
        <v>50</v>
      </c>
      <c r="CM424" s="2" t="s">
        <v>50</v>
      </c>
      <c r="CN424" s="2" t="s">
        <v>50</v>
      </c>
      <c r="CO424" s="2" t="s">
        <v>50</v>
      </c>
      <c r="CP424" s="2" t="e">
        <f t="shared" ca="1" si="131"/>
        <v>#NAME?</v>
      </c>
      <c r="CQ424" s="2" t="s">
        <v>50</v>
      </c>
      <c r="CR424" s="2" t="s">
        <v>50</v>
      </c>
      <c r="CS424" s="2" t="s">
        <v>50</v>
      </c>
      <c r="CT424" s="2" t="s">
        <v>50</v>
      </c>
      <c r="CU424" s="2" t="s">
        <v>50</v>
      </c>
      <c r="CV424" s="54">
        <f t="shared" si="116"/>
        <v>0</v>
      </c>
      <c r="CW424" s="2" t="s">
        <v>50</v>
      </c>
      <c r="CX424" s="3"/>
    </row>
    <row r="425" spans="1:102" ht="16.5" x14ac:dyDescent="0.55000000000000004">
      <c r="A425" s="17">
        <v>1</v>
      </c>
      <c r="B425" s="17" t="s">
        <v>8</v>
      </c>
      <c r="C425" s="23" t="s">
        <v>891</v>
      </c>
      <c r="D425" s="24" t="s">
        <v>892</v>
      </c>
      <c r="E425" s="48"/>
      <c r="F425" s="2"/>
      <c r="G425" s="2">
        <v>10</v>
      </c>
      <c r="H425" s="2">
        <v>10</v>
      </c>
      <c r="I425" s="2">
        <v>10</v>
      </c>
      <c r="J425" s="2">
        <v>10</v>
      </c>
      <c r="K425" s="2">
        <v>10</v>
      </c>
      <c r="L425" s="2">
        <v>10</v>
      </c>
      <c r="M425" s="2">
        <v>10</v>
      </c>
      <c r="N425" s="2">
        <v>10</v>
      </c>
      <c r="O425" s="2">
        <v>10</v>
      </c>
      <c r="P425" s="2">
        <v>10</v>
      </c>
      <c r="Q425" s="2" t="e">
        <f t="shared" ca="1" si="127"/>
        <v>#NAME?</v>
      </c>
      <c r="R425" s="2">
        <v>10</v>
      </c>
      <c r="S425" s="2">
        <v>10</v>
      </c>
      <c r="T425" s="2">
        <v>10</v>
      </c>
      <c r="U425" s="2">
        <v>10</v>
      </c>
      <c r="V425" s="2">
        <v>10</v>
      </c>
      <c r="W425" s="54">
        <f t="shared" si="113"/>
        <v>10</v>
      </c>
      <c r="X425" s="48">
        <v>8</v>
      </c>
      <c r="Y425" s="2">
        <v>9</v>
      </c>
      <c r="Z425" s="2"/>
      <c r="AA425" s="2">
        <v>9</v>
      </c>
      <c r="AB425" s="2">
        <v>10</v>
      </c>
      <c r="AC425" s="2">
        <v>10</v>
      </c>
      <c r="AD425" s="2">
        <v>10</v>
      </c>
      <c r="AE425" s="2">
        <v>10</v>
      </c>
      <c r="AF425" s="2">
        <v>10</v>
      </c>
      <c r="AG425" s="2">
        <v>10</v>
      </c>
      <c r="AH425" s="2">
        <v>10</v>
      </c>
      <c r="AI425" s="2">
        <v>10</v>
      </c>
      <c r="AJ425" s="2">
        <v>9</v>
      </c>
      <c r="AK425" s="2">
        <v>10</v>
      </c>
      <c r="AL425" s="2">
        <v>10</v>
      </c>
      <c r="AM425" s="2">
        <v>10</v>
      </c>
      <c r="AN425" s="2">
        <v>10</v>
      </c>
      <c r="AO425" s="2">
        <v>10</v>
      </c>
      <c r="AP425" s="2">
        <v>9</v>
      </c>
      <c r="AQ425" s="2" t="e">
        <f t="shared" ca="1" si="128"/>
        <v>#NAME?</v>
      </c>
      <c r="AR425" s="2">
        <v>9</v>
      </c>
      <c r="AS425" s="2">
        <v>9</v>
      </c>
      <c r="AT425" s="2">
        <v>10</v>
      </c>
      <c r="AU425" s="2">
        <v>10</v>
      </c>
      <c r="AV425" s="2">
        <v>10</v>
      </c>
      <c r="AW425" s="54">
        <f t="shared" si="114"/>
        <v>10</v>
      </c>
      <c r="AX425" s="48">
        <v>8</v>
      </c>
      <c r="AY425" s="2">
        <v>8</v>
      </c>
      <c r="AZ425" s="70">
        <v>10</v>
      </c>
      <c r="BA425" s="71">
        <v>10</v>
      </c>
      <c r="BB425" s="71">
        <v>9</v>
      </c>
      <c r="BC425" s="70">
        <v>10</v>
      </c>
      <c r="BD425" s="71">
        <v>10</v>
      </c>
      <c r="BE425" s="71">
        <v>10</v>
      </c>
      <c r="BF425" s="70">
        <v>9</v>
      </c>
      <c r="BG425" s="71">
        <v>10</v>
      </c>
      <c r="BH425" s="71">
        <v>10</v>
      </c>
      <c r="BI425" s="79">
        <v>10</v>
      </c>
      <c r="BJ425" s="2" t="e">
        <f t="shared" ca="1" si="129"/>
        <v>#NAME?</v>
      </c>
      <c r="BK425" s="5">
        <v>10</v>
      </c>
      <c r="BL425" s="5">
        <v>10</v>
      </c>
      <c r="BM425" s="5">
        <v>10</v>
      </c>
      <c r="BN425" s="5">
        <v>10</v>
      </c>
      <c r="BO425" s="5">
        <v>10</v>
      </c>
      <c r="BP425" s="54">
        <f t="shared" si="115"/>
        <v>10</v>
      </c>
      <c r="BQ425" s="5"/>
      <c r="BR425" s="5"/>
      <c r="BS425" s="5">
        <v>10</v>
      </c>
      <c r="BT425" s="5">
        <v>10</v>
      </c>
      <c r="BU425" s="5">
        <v>10</v>
      </c>
      <c r="BV425" s="5">
        <v>10</v>
      </c>
      <c r="BW425" s="5">
        <v>10</v>
      </c>
      <c r="BX425" s="5">
        <v>10</v>
      </c>
      <c r="BY425" s="5">
        <v>10</v>
      </c>
      <c r="BZ425" s="5">
        <v>10</v>
      </c>
      <c r="CA425" s="5">
        <v>10</v>
      </c>
      <c r="CB425" s="5">
        <v>10</v>
      </c>
      <c r="CC425" s="2" t="e">
        <f t="shared" ca="1" si="130"/>
        <v>#NAME?</v>
      </c>
      <c r="CD425" s="96">
        <v>8</v>
      </c>
      <c r="CE425" s="2">
        <v>8</v>
      </c>
      <c r="CF425" s="2">
        <v>10</v>
      </c>
      <c r="CG425" s="2">
        <v>10</v>
      </c>
      <c r="CH425" s="2">
        <v>10</v>
      </c>
      <c r="CI425" s="2">
        <v>9</v>
      </c>
      <c r="CJ425" s="2">
        <v>10</v>
      </c>
      <c r="CK425" s="2">
        <v>10</v>
      </c>
      <c r="CL425" s="2">
        <v>10</v>
      </c>
      <c r="CM425" s="2">
        <v>9</v>
      </c>
      <c r="CN425" s="2">
        <v>10</v>
      </c>
      <c r="CO425" s="2">
        <v>10</v>
      </c>
      <c r="CP425" s="2" t="e">
        <f t="shared" ca="1" si="131"/>
        <v>#NAME?</v>
      </c>
      <c r="CQ425" s="2">
        <v>10</v>
      </c>
      <c r="CR425" s="2">
        <v>8</v>
      </c>
      <c r="CS425" s="2">
        <v>9</v>
      </c>
      <c r="CT425" s="2">
        <v>10</v>
      </c>
      <c r="CU425" s="2">
        <v>9</v>
      </c>
      <c r="CV425" s="54">
        <f t="shared" si="116"/>
        <v>10</v>
      </c>
      <c r="CW425" s="96">
        <v>13</v>
      </c>
      <c r="CX425" s="3"/>
    </row>
    <row r="426" spans="1:102" ht="16.5" x14ac:dyDescent="0.55000000000000004">
      <c r="A426" s="17">
        <v>1</v>
      </c>
      <c r="B426" s="17" t="s">
        <v>8</v>
      </c>
      <c r="C426" s="23" t="s">
        <v>893</v>
      </c>
      <c r="D426" s="24" t="s">
        <v>894</v>
      </c>
      <c r="E426" s="48"/>
      <c r="F426" s="2"/>
      <c r="G426" s="2">
        <v>5</v>
      </c>
      <c r="H426" s="2">
        <v>5</v>
      </c>
      <c r="I426" s="2">
        <v>5</v>
      </c>
      <c r="J426" s="2">
        <v>5</v>
      </c>
      <c r="K426" s="2">
        <v>5</v>
      </c>
      <c r="L426" s="2">
        <v>5</v>
      </c>
      <c r="M426" s="2">
        <v>5</v>
      </c>
      <c r="N426" s="2">
        <v>5</v>
      </c>
      <c r="O426" s="2">
        <v>5</v>
      </c>
      <c r="P426" s="2">
        <v>5</v>
      </c>
      <c r="Q426" s="2" t="e">
        <f t="shared" ca="1" si="127"/>
        <v>#NAME?</v>
      </c>
      <c r="R426" s="2">
        <v>5</v>
      </c>
      <c r="S426" s="2">
        <v>5</v>
      </c>
      <c r="T426" s="2">
        <v>5</v>
      </c>
      <c r="U426" s="2">
        <v>5</v>
      </c>
      <c r="V426" s="2">
        <v>5</v>
      </c>
      <c r="W426" s="54">
        <f t="shared" si="113"/>
        <v>5</v>
      </c>
      <c r="X426" s="48">
        <v>5</v>
      </c>
      <c r="Y426" s="2">
        <v>5</v>
      </c>
      <c r="Z426" s="2"/>
      <c r="AA426" s="2">
        <v>5</v>
      </c>
      <c r="AB426" s="2">
        <v>5</v>
      </c>
      <c r="AC426" s="2">
        <v>5</v>
      </c>
      <c r="AD426" s="2">
        <v>5</v>
      </c>
      <c r="AE426" s="2">
        <v>5</v>
      </c>
      <c r="AF426" s="2">
        <v>5</v>
      </c>
      <c r="AG426" s="2">
        <v>5</v>
      </c>
      <c r="AH426" s="2">
        <v>5</v>
      </c>
      <c r="AI426" s="2">
        <v>5</v>
      </c>
      <c r="AJ426" s="2">
        <v>5</v>
      </c>
      <c r="AK426" s="2">
        <v>5</v>
      </c>
      <c r="AL426" s="2">
        <v>5</v>
      </c>
      <c r="AM426" s="2">
        <v>5</v>
      </c>
      <c r="AN426" s="2">
        <v>5</v>
      </c>
      <c r="AO426" s="2">
        <v>5</v>
      </c>
      <c r="AP426" s="2">
        <v>5</v>
      </c>
      <c r="AQ426" s="2" t="e">
        <f t="shared" ca="1" si="128"/>
        <v>#NAME?</v>
      </c>
      <c r="AR426" s="2">
        <v>5</v>
      </c>
      <c r="AS426" s="2">
        <v>5</v>
      </c>
      <c r="AT426" s="2">
        <v>5</v>
      </c>
      <c r="AU426" s="2">
        <v>5</v>
      </c>
      <c r="AV426" s="2">
        <v>5</v>
      </c>
      <c r="AW426" s="54">
        <f t="shared" si="114"/>
        <v>5</v>
      </c>
      <c r="AX426" s="100">
        <v>5</v>
      </c>
      <c r="AY426" s="101">
        <v>5</v>
      </c>
      <c r="AZ426" s="70">
        <v>5</v>
      </c>
      <c r="BA426" s="71">
        <v>5</v>
      </c>
      <c r="BB426" s="71">
        <v>5</v>
      </c>
      <c r="BC426" s="70">
        <v>5</v>
      </c>
      <c r="BD426" s="71">
        <v>5</v>
      </c>
      <c r="BE426" s="71">
        <v>5</v>
      </c>
      <c r="BF426" s="70">
        <v>5</v>
      </c>
      <c r="BG426" s="71">
        <v>5</v>
      </c>
      <c r="BH426" s="71">
        <v>5</v>
      </c>
      <c r="BI426" s="79">
        <v>5</v>
      </c>
      <c r="BJ426" s="2" t="e">
        <f t="shared" ca="1" si="129"/>
        <v>#NAME?</v>
      </c>
      <c r="BK426" s="102">
        <v>5</v>
      </c>
      <c r="BL426" s="102">
        <v>5</v>
      </c>
      <c r="BM426" s="102">
        <v>5</v>
      </c>
      <c r="BN426" s="102">
        <v>5</v>
      </c>
      <c r="BO426" s="102">
        <v>5</v>
      </c>
      <c r="BP426" s="54">
        <f t="shared" si="115"/>
        <v>5</v>
      </c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2" t="e">
        <f t="shared" ca="1" si="130"/>
        <v>#NAME?</v>
      </c>
      <c r="CD426" s="96">
        <v>7</v>
      </c>
      <c r="CE426" s="2">
        <v>7</v>
      </c>
      <c r="CF426" s="2">
        <v>10</v>
      </c>
      <c r="CG426" s="2">
        <v>10</v>
      </c>
      <c r="CH426" s="2">
        <v>9</v>
      </c>
      <c r="CI426" s="2">
        <v>10</v>
      </c>
      <c r="CJ426" s="2">
        <v>10</v>
      </c>
      <c r="CK426" s="2">
        <v>9</v>
      </c>
      <c r="CL426" s="2">
        <v>10</v>
      </c>
      <c r="CM426" s="2">
        <v>9</v>
      </c>
      <c r="CN426" s="2">
        <v>10</v>
      </c>
      <c r="CO426" s="2">
        <v>9</v>
      </c>
      <c r="CP426" s="2" t="e">
        <f t="shared" ca="1" si="131"/>
        <v>#NAME?</v>
      </c>
      <c r="CQ426" s="2">
        <v>9</v>
      </c>
      <c r="CR426" s="2">
        <v>8</v>
      </c>
      <c r="CS426" s="2">
        <v>10</v>
      </c>
      <c r="CT426" s="2">
        <v>9</v>
      </c>
      <c r="CU426" s="2">
        <v>9</v>
      </c>
      <c r="CV426" s="54">
        <f t="shared" si="116"/>
        <v>9</v>
      </c>
      <c r="CW426" s="96">
        <v>11</v>
      </c>
      <c r="CX426" s="3"/>
    </row>
    <row r="427" spans="1:102" ht="16.5" x14ac:dyDescent="0.55000000000000004">
      <c r="A427" s="17">
        <v>1</v>
      </c>
      <c r="B427" s="17" t="s">
        <v>8</v>
      </c>
      <c r="C427" s="23" t="s">
        <v>895</v>
      </c>
      <c r="D427" s="24" t="s">
        <v>896</v>
      </c>
      <c r="E427" s="48"/>
      <c r="F427" s="2"/>
      <c r="G427" s="2">
        <v>10</v>
      </c>
      <c r="H427" s="2">
        <v>10</v>
      </c>
      <c r="I427" s="2">
        <v>10</v>
      </c>
      <c r="J427" s="2">
        <v>10</v>
      </c>
      <c r="K427" s="2">
        <v>10</v>
      </c>
      <c r="L427" s="2">
        <v>10</v>
      </c>
      <c r="M427" s="2">
        <v>10</v>
      </c>
      <c r="N427" s="2">
        <v>10</v>
      </c>
      <c r="O427" s="2">
        <v>10</v>
      </c>
      <c r="P427" s="2">
        <v>10</v>
      </c>
      <c r="Q427" s="2" t="e">
        <f t="shared" ca="1" si="127"/>
        <v>#NAME?</v>
      </c>
      <c r="R427" s="2">
        <v>10</v>
      </c>
      <c r="S427" s="2">
        <v>10</v>
      </c>
      <c r="T427" s="2">
        <v>10</v>
      </c>
      <c r="U427" s="2">
        <v>10</v>
      </c>
      <c r="V427" s="2">
        <v>10</v>
      </c>
      <c r="W427" s="54">
        <f t="shared" si="113"/>
        <v>10</v>
      </c>
      <c r="X427" s="48">
        <v>9</v>
      </c>
      <c r="Y427" s="2">
        <v>10</v>
      </c>
      <c r="Z427" s="2"/>
      <c r="AA427" s="2">
        <v>8</v>
      </c>
      <c r="AB427" s="2">
        <v>8</v>
      </c>
      <c r="AC427" s="2">
        <v>8</v>
      </c>
      <c r="AD427" s="2">
        <v>8</v>
      </c>
      <c r="AE427" s="2">
        <v>10</v>
      </c>
      <c r="AF427" s="2">
        <v>10</v>
      </c>
      <c r="AG427" s="2">
        <v>10</v>
      </c>
      <c r="AH427" s="2">
        <v>10</v>
      </c>
      <c r="AI427" s="2">
        <v>10</v>
      </c>
      <c r="AJ427" s="2">
        <v>10</v>
      </c>
      <c r="AK427" s="2">
        <v>10</v>
      </c>
      <c r="AL427" s="2">
        <v>10</v>
      </c>
      <c r="AM427" s="2">
        <v>10</v>
      </c>
      <c r="AN427" s="2">
        <v>10</v>
      </c>
      <c r="AO427" s="2">
        <v>10</v>
      </c>
      <c r="AP427" s="2">
        <v>10</v>
      </c>
      <c r="AQ427" s="2" t="e">
        <f t="shared" ca="1" si="128"/>
        <v>#NAME?</v>
      </c>
      <c r="AR427" s="2">
        <v>10</v>
      </c>
      <c r="AS427" s="2">
        <v>10</v>
      </c>
      <c r="AT427" s="2">
        <v>10</v>
      </c>
      <c r="AU427" s="2">
        <v>10</v>
      </c>
      <c r="AV427" s="2">
        <v>10</v>
      </c>
      <c r="AW427" s="54">
        <f t="shared" si="114"/>
        <v>10</v>
      </c>
      <c r="AX427" s="48">
        <v>10</v>
      </c>
      <c r="AY427" s="2">
        <v>10</v>
      </c>
      <c r="AZ427" s="70">
        <v>10</v>
      </c>
      <c r="BA427" s="71">
        <v>10</v>
      </c>
      <c r="BB427" s="78">
        <v>10</v>
      </c>
      <c r="BC427" s="1">
        <v>10</v>
      </c>
      <c r="BD427" s="78">
        <v>10</v>
      </c>
      <c r="BE427" s="78">
        <v>10</v>
      </c>
      <c r="BF427" s="70">
        <v>10</v>
      </c>
      <c r="BG427" s="71">
        <v>10</v>
      </c>
      <c r="BH427" s="71">
        <v>10</v>
      </c>
      <c r="BI427" s="79">
        <v>10</v>
      </c>
      <c r="BJ427" s="2" t="e">
        <f t="shared" ca="1" si="129"/>
        <v>#NAME?</v>
      </c>
      <c r="BK427" s="5">
        <v>10</v>
      </c>
      <c r="BL427" s="5">
        <v>10</v>
      </c>
      <c r="BM427" s="5">
        <v>10</v>
      </c>
      <c r="BN427" s="5">
        <v>10</v>
      </c>
      <c r="BO427" s="5">
        <v>10</v>
      </c>
      <c r="BP427" s="54">
        <f t="shared" si="115"/>
        <v>10</v>
      </c>
      <c r="BQ427" s="5"/>
      <c r="BR427" s="5"/>
      <c r="BS427" s="5">
        <v>10</v>
      </c>
      <c r="BT427" s="5">
        <v>10</v>
      </c>
      <c r="BU427" s="5">
        <v>10</v>
      </c>
      <c r="BV427" s="5">
        <v>10</v>
      </c>
      <c r="BW427" s="5">
        <v>10</v>
      </c>
      <c r="BX427" s="5">
        <v>10</v>
      </c>
      <c r="BY427" s="5">
        <v>10</v>
      </c>
      <c r="BZ427" s="5">
        <v>10</v>
      </c>
      <c r="CA427" s="5">
        <v>10</v>
      </c>
      <c r="CB427" s="5">
        <v>10</v>
      </c>
      <c r="CC427" s="2" t="e">
        <f t="shared" ca="1" si="130"/>
        <v>#NAME?</v>
      </c>
      <c r="CD427" s="96">
        <v>10</v>
      </c>
      <c r="CE427" s="2">
        <v>9</v>
      </c>
      <c r="CF427" s="2">
        <v>10</v>
      </c>
      <c r="CG427" s="2">
        <v>10</v>
      </c>
      <c r="CH427" s="2">
        <v>10</v>
      </c>
      <c r="CI427" s="2">
        <v>10</v>
      </c>
      <c r="CJ427" s="2">
        <v>10</v>
      </c>
      <c r="CK427" s="2">
        <v>10</v>
      </c>
      <c r="CL427" s="2">
        <v>10</v>
      </c>
      <c r="CM427" s="2">
        <v>10</v>
      </c>
      <c r="CN427" s="2">
        <v>10</v>
      </c>
      <c r="CO427" s="2">
        <v>10</v>
      </c>
      <c r="CP427" s="2" t="e">
        <f t="shared" ca="1" si="131"/>
        <v>#NAME?</v>
      </c>
      <c r="CQ427" s="2">
        <v>10</v>
      </c>
      <c r="CR427" s="2">
        <v>10</v>
      </c>
      <c r="CS427" s="2">
        <v>10</v>
      </c>
      <c r="CT427" s="2">
        <v>10</v>
      </c>
      <c r="CU427" s="2">
        <v>10</v>
      </c>
      <c r="CV427" s="54">
        <f t="shared" si="116"/>
        <v>10</v>
      </c>
      <c r="CW427" s="96">
        <v>20</v>
      </c>
      <c r="CX427" s="3"/>
    </row>
    <row r="428" spans="1:102" ht="16.5" x14ac:dyDescent="0.55000000000000004">
      <c r="A428" s="17">
        <v>1</v>
      </c>
      <c r="B428" s="17" t="s">
        <v>8</v>
      </c>
      <c r="C428" s="23" t="s">
        <v>897</v>
      </c>
      <c r="D428" s="24" t="s">
        <v>898</v>
      </c>
      <c r="E428" s="48"/>
      <c r="F428" s="2"/>
      <c r="G428" s="2">
        <v>10</v>
      </c>
      <c r="H428" s="2">
        <v>10</v>
      </c>
      <c r="I428" s="2">
        <v>10</v>
      </c>
      <c r="J428" s="2">
        <v>10</v>
      </c>
      <c r="K428" s="2">
        <v>10</v>
      </c>
      <c r="L428" s="2">
        <v>10</v>
      </c>
      <c r="M428" s="2">
        <v>10</v>
      </c>
      <c r="N428" s="2">
        <v>10</v>
      </c>
      <c r="O428" s="2">
        <v>10</v>
      </c>
      <c r="P428" s="2">
        <v>10</v>
      </c>
      <c r="Q428" s="2" t="e">
        <f t="shared" ca="1" si="127"/>
        <v>#NAME?</v>
      </c>
      <c r="R428" s="2">
        <v>10</v>
      </c>
      <c r="S428" s="2">
        <v>10</v>
      </c>
      <c r="T428" s="2">
        <v>10</v>
      </c>
      <c r="U428" s="2">
        <v>10</v>
      </c>
      <c r="V428" s="2">
        <v>10</v>
      </c>
      <c r="W428" s="54">
        <f t="shared" si="113"/>
        <v>10</v>
      </c>
      <c r="X428" s="48">
        <v>8</v>
      </c>
      <c r="Y428" s="2">
        <v>9</v>
      </c>
      <c r="Z428" s="2"/>
      <c r="AA428" s="2">
        <v>8</v>
      </c>
      <c r="AB428" s="2">
        <v>9</v>
      </c>
      <c r="AC428" s="2">
        <v>8</v>
      </c>
      <c r="AD428" s="2">
        <v>10</v>
      </c>
      <c r="AE428" s="2">
        <v>10</v>
      </c>
      <c r="AF428" s="2">
        <v>10</v>
      </c>
      <c r="AG428" s="2">
        <v>10</v>
      </c>
      <c r="AH428" s="2">
        <v>10</v>
      </c>
      <c r="AI428" s="2">
        <v>10</v>
      </c>
      <c r="AJ428" s="2">
        <v>10</v>
      </c>
      <c r="AK428" s="2">
        <v>10</v>
      </c>
      <c r="AL428" s="2">
        <v>10</v>
      </c>
      <c r="AM428" s="2">
        <v>10</v>
      </c>
      <c r="AN428" s="2">
        <v>10</v>
      </c>
      <c r="AO428" s="2">
        <v>10</v>
      </c>
      <c r="AP428" s="2">
        <v>10</v>
      </c>
      <c r="AQ428" s="2" t="e">
        <f t="shared" ca="1" si="128"/>
        <v>#NAME?</v>
      </c>
      <c r="AR428" s="2">
        <v>10</v>
      </c>
      <c r="AS428" s="2">
        <v>10</v>
      </c>
      <c r="AT428" s="2">
        <v>10</v>
      </c>
      <c r="AU428" s="2">
        <v>10</v>
      </c>
      <c r="AV428" s="2">
        <v>10</v>
      </c>
      <c r="AW428" s="54">
        <f t="shared" si="114"/>
        <v>10</v>
      </c>
      <c r="AX428" s="48">
        <v>10</v>
      </c>
      <c r="AY428" s="2">
        <v>10</v>
      </c>
      <c r="AZ428" s="70">
        <v>10</v>
      </c>
      <c r="BA428" s="71">
        <v>10</v>
      </c>
      <c r="BB428" s="71">
        <v>10</v>
      </c>
      <c r="BC428" s="70">
        <v>10</v>
      </c>
      <c r="BD428" s="71">
        <v>10</v>
      </c>
      <c r="BE428" s="71">
        <v>10</v>
      </c>
      <c r="BF428" s="70">
        <v>10</v>
      </c>
      <c r="BG428" s="78">
        <v>10</v>
      </c>
      <c r="BH428" s="78">
        <v>10</v>
      </c>
      <c r="BI428" s="79">
        <v>10</v>
      </c>
      <c r="BJ428" s="2" t="e">
        <f t="shared" ca="1" si="129"/>
        <v>#NAME?</v>
      </c>
      <c r="BK428" s="5">
        <v>10</v>
      </c>
      <c r="BL428" s="5">
        <v>10</v>
      </c>
      <c r="BM428" s="5">
        <v>10</v>
      </c>
      <c r="BN428" s="5">
        <v>10</v>
      </c>
      <c r="BO428" s="5">
        <v>10</v>
      </c>
      <c r="BP428" s="54">
        <f t="shared" si="115"/>
        <v>10</v>
      </c>
      <c r="BQ428" s="5"/>
      <c r="BR428" s="5"/>
      <c r="BS428" s="5">
        <v>10</v>
      </c>
      <c r="BT428" s="5">
        <v>10</v>
      </c>
      <c r="BU428" s="5">
        <v>10</v>
      </c>
      <c r="BV428" s="5">
        <v>10</v>
      </c>
      <c r="BW428" s="5">
        <v>10</v>
      </c>
      <c r="BX428" s="5">
        <v>10</v>
      </c>
      <c r="BY428" s="5">
        <v>10</v>
      </c>
      <c r="BZ428" s="5">
        <v>10</v>
      </c>
      <c r="CA428" s="5">
        <v>10</v>
      </c>
      <c r="CB428" s="5">
        <v>10</v>
      </c>
      <c r="CC428" s="2" t="e">
        <f t="shared" ca="1" si="130"/>
        <v>#NAME?</v>
      </c>
      <c r="CD428" s="96">
        <v>10</v>
      </c>
      <c r="CE428" s="2">
        <v>9</v>
      </c>
      <c r="CF428" s="2">
        <v>10</v>
      </c>
      <c r="CG428" s="2">
        <v>10</v>
      </c>
      <c r="CH428" s="2">
        <v>10</v>
      </c>
      <c r="CI428" s="2">
        <v>10</v>
      </c>
      <c r="CJ428" s="2">
        <v>10</v>
      </c>
      <c r="CK428" s="2">
        <v>10</v>
      </c>
      <c r="CL428" s="2">
        <v>10</v>
      </c>
      <c r="CM428" s="2">
        <v>10</v>
      </c>
      <c r="CN428" s="2">
        <v>10</v>
      </c>
      <c r="CO428" s="2">
        <v>10</v>
      </c>
      <c r="CP428" s="2" t="e">
        <f t="shared" ca="1" si="131"/>
        <v>#NAME?</v>
      </c>
      <c r="CQ428" s="2">
        <v>10</v>
      </c>
      <c r="CR428" s="2">
        <v>10</v>
      </c>
      <c r="CS428" s="2">
        <v>10</v>
      </c>
      <c r="CT428" s="2">
        <v>10</v>
      </c>
      <c r="CU428" s="2">
        <v>10</v>
      </c>
      <c r="CV428" s="54">
        <f t="shared" si="116"/>
        <v>10</v>
      </c>
      <c r="CW428" s="96">
        <v>20</v>
      </c>
      <c r="CX428" s="3"/>
    </row>
    <row r="429" spans="1:102" ht="16.5" x14ac:dyDescent="0.55000000000000004">
      <c r="A429" s="17">
        <v>1</v>
      </c>
      <c r="B429" s="17" t="s">
        <v>8</v>
      </c>
      <c r="C429" s="23" t="s">
        <v>899</v>
      </c>
      <c r="D429" s="24" t="s">
        <v>900</v>
      </c>
      <c r="E429" s="48"/>
      <c r="F429" s="2"/>
      <c r="G429" s="2">
        <v>10</v>
      </c>
      <c r="H429" s="2">
        <v>10</v>
      </c>
      <c r="I429" s="2">
        <v>10</v>
      </c>
      <c r="J429" s="2">
        <v>10</v>
      </c>
      <c r="K429" s="2">
        <v>10</v>
      </c>
      <c r="L429" s="2">
        <v>10</v>
      </c>
      <c r="M429" s="2">
        <v>10</v>
      </c>
      <c r="N429" s="2">
        <v>10</v>
      </c>
      <c r="O429" s="2">
        <v>10</v>
      </c>
      <c r="P429" s="2">
        <v>10</v>
      </c>
      <c r="Q429" s="2" t="e">
        <f t="shared" ca="1" si="127"/>
        <v>#NAME?</v>
      </c>
      <c r="R429" s="2">
        <v>10</v>
      </c>
      <c r="S429" s="2">
        <v>10</v>
      </c>
      <c r="T429" s="2">
        <v>10</v>
      </c>
      <c r="U429" s="2">
        <v>10</v>
      </c>
      <c r="V429" s="2">
        <v>10</v>
      </c>
      <c r="W429" s="54">
        <f t="shared" si="113"/>
        <v>10</v>
      </c>
      <c r="X429" s="48">
        <v>9</v>
      </c>
      <c r="Y429" s="2">
        <v>9</v>
      </c>
      <c r="Z429" s="2"/>
      <c r="AA429" s="2">
        <v>9</v>
      </c>
      <c r="AB429" s="2">
        <v>10</v>
      </c>
      <c r="AC429" s="4">
        <v>9</v>
      </c>
      <c r="AD429" s="2">
        <v>10</v>
      </c>
      <c r="AE429" s="2">
        <v>10</v>
      </c>
      <c r="AF429" s="2">
        <v>10</v>
      </c>
      <c r="AG429" s="2">
        <v>10</v>
      </c>
      <c r="AH429" s="2">
        <v>10</v>
      </c>
      <c r="AI429" s="2">
        <v>10</v>
      </c>
      <c r="AJ429" s="2">
        <v>10</v>
      </c>
      <c r="AK429" s="2">
        <v>10</v>
      </c>
      <c r="AL429" s="2">
        <v>10</v>
      </c>
      <c r="AM429" s="2">
        <v>10</v>
      </c>
      <c r="AN429" s="2">
        <v>10</v>
      </c>
      <c r="AO429" s="2">
        <v>10</v>
      </c>
      <c r="AP429" s="2">
        <v>10</v>
      </c>
      <c r="AQ429" s="2" t="e">
        <f t="shared" ca="1" si="128"/>
        <v>#NAME?</v>
      </c>
      <c r="AR429" s="2">
        <v>10</v>
      </c>
      <c r="AS429" s="2">
        <v>10</v>
      </c>
      <c r="AT429" s="2">
        <v>10</v>
      </c>
      <c r="AU429" s="2">
        <v>10</v>
      </c>
      <c r="AV429" s="2">
        <v>10</v>
      </c>
      <c r="AW429" s="54">
        <f t="shared" si="114"/>
        <v>10</v>
      </c>
      <c r="AX429" s="48">
        <v>10</v>
      </c>
      <c r="AY429" s="2">
        <v>10</v>
      </c>
      <c r="AZ429" s="70">
        <v>10</v>
      </c>
      <c r="BA429" s="71">
        <v>10</v>
      </c>
      <c r="BB429" s="71">
        <v>10</v>
      </c>
      <c r="BC429" s="70">
        <v>10</v>
      </c>
      <c r="BD429" s="71">
        <v>10</v>
      </c>
      <c r="BE429" s="71">
        <v>10</v>
      </c>
      <c r="BF429" s="70">
        <v>10</v>
      </c>
      <c r="BG429" s="71">
        <v>10</v>
      </c>
      <c r="BH429" s="71">
        <v>10</v>
      </c>
      <c r="BI429" s="79">
        <v>10</v>
      </c>
      <c r="BJ429" s="2" t="e">
        <f t="shared" ca="1" si="129"/>
        <v>#NAME?</v>
      </c>
      <c r="BK429" s="5">
        <v>10</v>
      </c>
      <c r="BL429" s="5">
        <v>10</v>
      </c>
      <c r="BM429" s="5">
        <v>10</v>
      </c>
      <c r="BN429" s="5">
        <v>10</v>
      </c>
      <c r="BO429" s="5">
        <v>10</v>
      </c>
      <c r="BP429" s="54">
        <f t="shared" si="115"/>
        <v>10</v>
      </c>
      <c r="BQ429" s="5"/>
      <c r="BR429" s="5"/>
      <c r="BS429" s="5">
        <v>10</v>
      </c>
      <c r="BT429" s="5">
        <v>10</v>
      </c>
      <c r="BU429" s="5">
        <v>10</v>
      </c>
      <c r="BV429" s="5">
        <v>10</v>
      </c>
      <c r="BW429" s="5">
        <v>10</v>
      </c>
      <c r="BX429" s="5">
        <v>10</v>
      </c>
      <c r="BY429" s="5">
        <v>10</v>
      </c>
      <c r="BZ429" s="5">
        <v>10</v>
      </c>
      <c r="CA429" s="5">
        <v>10</v>
      </c>
      <c r="CB429" s="5">
        <v>10</v>
      </c>
      <c r="CC429" s="2" t="e">
        <f t="shared" ca="1" si="130"/>
        <v>#NAME?</v>
      </c>
      <c r="CD429" s="96">
        <v>10</v>
      </c>
      <c r="CE429" s="2">
        <v>10</v>
      </c>
      <c r="CF429" s="2">
        <v>10</v>
      </c>
      <c r="CG429" s="2">
        <v>10</v>
      </c>
      <c r="CH429" s="2">
        <v>10</v>
      </c>
      <c r="CI429" s="2">
        <v>10</v>
      </c>
      <c r="CJ429" s="2">
        <v>10</v>
      </c>
      <c r="CK429" s="2">
        <v>10</v>
      </c>
      <c r="CL429" s="2">
        <v>10</v>
      </c>
      <c r="CM429" s="2">
        <v>10</v>
      </c>
      <c r="CN429" s="2">
        <v>10</v>
      </c>
      <c r="CO429" s="2">
        <v>10</v>
      </c>
      <c r="CP429" s="2" t="e">
        <f t="shared" ca="1" si="131"/>
        <v>#NAME?</v>
      </c>
      <c r="CQ429" s="2">
        <v>10</v>
      </c>
      <c r="CR429" s="2">
        <v>10</v>
      </c>
      <c r="CS429" s="2">
        <v>10</v>
      </c>
      <c r="CT429" s="2">
        <v>10</v>
      </c>
      <c r="CU429" s="2">
        <v>10</v>
      </c>
      <c r="CV429" s="54">
        <f t="shared" si="116"/>
        <v>10</v>
      </c>
      <c r="CW429" s="96">
        <v>20</v>
      </c>
      <c r="CX429" s="3"/>
    </row>
    <row r="430" spans="1:102" ht="16.5" x14ac:dyDescent="0.55000000000000004">
      <c r="A430" s="17">
        <v>1</v>
      </c>
      <c r="B430" s="17" t="s">
        <v>8</v>
      </c>
      <c r="C430" s="23" t="s">
        <v>901</v>
      </c>
      <c r="D430" s="24" t="s">
        <v>902</v>
      </c>
      <c r="E430" s="48"/>
      <c r="F430" s="2"/>
      <c r="G430" s="2">
        <v>10</v>
      </c>
      <c r="H430" s="2">
        <v>10</v>
      </c>
      <c r="I430" s="2">
        <v>10</v>
      </c>
      <c r="J430" s="2">
        <v>10</v>
      </c>
      <c r="K430" s="2">
        <v>10</v>
      </c>
      <c r="L430" s="2">
        <v>10</v>
      </c>
      <c r="M430" s="2">
        <v>10</v>
      </c>
      <c r="N430" s="2">
        <v>10</v>
      </c>
      <c r="O430" s="2">
        <v>10</v>
      </c>
      <c r="P430" s="2">
        <v>10</v>
      </c>
      <c r="Q430" s="2" t="e">
        <f t="shared" ca="1" si="127"/>
        <v>#NAME?</v>
      </c>
      <c r="R430" s="2">
        <v>10</v>
      </c>
      <c r="S430" s="2">
        <v>10</v>
      </c>
      <c r="T430" s="2">
        <v>10</v>
      </c>
      <c r="U430" s="2">
        <v>10</v>
      </c>
      <c r="V430" s="2">
        <v>10</v>
      </c>
      <c r="W430" s="54">
        <f t="shared" si="113"/>
        <v>10</v>
      </c>
      <c r="X430" s="48">
        <v>8</v>
      </c>
      <c r="Y430" s="2">
        <v>9</v>
      </c>
      <c r="Z430" s="2"/>
      <c r="AA430" s="2">
        <v>9</v>
      </c>
      <c r="AB430" s="2">
        <v>9</v>
      </c>
      <c r="AC430" s="2">
        <v>10</v>
      </c>
      <c r="AD430" s="2">
        <v>10</v>
      </c>
      <c r="AE430" s="2">
        <v>10</v>
      </c>
      <c r="AF430" s="2">
        <v>10</v>
      </c>
      <c r="AG430" s="2">
        <v>10</v>
      </c>
      <c r="AH430" s="2">
        <v>10</v>
      </c>
      <c r="AI430" s="2">
        <v>10</v>
      </c>
      <c r="AJ430" s="2">
        <v>9</v>
      </c>
      <c r="AK430" s="2">
        <v>10</v>
      </c>
      <c r="AL430" s="2">
        <v>10</v>
      </c>
      <c r="AM430" s="2">
        <v>10</v>
      </c>
      <c r="AN430" s="2">
        <v>10</v>
      </c>
      <c r="AO430" s="2">
        <v>10</v>
      </c>
      <c r="AP430" s="2">
        <v>9</v>
      </c>
      <c r="AQ430" s="2" t="e">
        <f t="shared" ca="1" si="128"/>
        <v>#NAME?</v>
      </c>
      <c r="AR430" s="2">
        <v>9</v>
      </c>
      <c r="AS430" s="2">
        <v>9</v>
      </c>
      <c r="AT430" s="2">
        <v>10</v>
      </c>
      <c r="AU430" s="2">
        <v>10</v>
      </c>
      <c r="AV430" s="2">
        <v>10</v>
      </c>
      <c r="AW430" s="54">
        <f t="shared" si="114"/>
        <v>10</v>
      </c>
      <c r="AX430" s="48">
        <v>9</v>
      </c>
      <c r="AY430" s="2">
        <v>8</v>
      </c>
      <c r="AZ430" s="70">
        <v>9</v>
      </c>
      <c r="BA430" s="71">
        <v>9</v>
      </c>
      <c r="BB430" s="78">
        <v>10</v>
      </c>
      <c r="BC430" s="70">
        <v>10</v>
      </c>
      <c r="BD430" s="71">
        <v>10</v>
      </c>
      <c r="BE430" s="71">
        <v>10</v>
      </c>
      <c r="BF430" s="70">
        <v>10</v>
      </c>
      <c r="BG430" s="71">
        <v>10</v>
      </c>
      <c r="BH430" s="71">
        <v>10</v>
      </c>
      <c r="BI430" s="79">
        <v>10</v>
      </c>
      <c r="BJ430" s="2" t="e">
        <f t="shared" ca="1" si="129"/>
        <v>#NAME?</v>
      </c>
      <c r="BK430" s="5">
        <v>10</v>
      </c>
      <c r="BL430" s="5">
        <v>10</v>
      </c>
      <c r="BM430" s="5">
        <v>10</v>
      </c>
      <c r="BN430" s="5">
        <v>10</v>
      </c>
      <c r="BO430" s="5">
        <v>10</v>
      </c>
      <c r="BP430" s="54">
        <f t="shared" si="115"/>
        <v>10</v>
      </c>
      <c r="BQ430" s="5"/>
      <c r="BR430" s="5"/>
      <c r="BS430" s="5">
        <v>10</v>
      </c>
      <c r="BT430" s="5">
        <v>10</v>
      </c>
      <c r="BU430" s="5">
        <v>10</v>
      </c>
      <c r="BV430" s="5">
        <v>10</v>
      </c>
      <c r="BW430" s="5">
        <v>10</v>
      </c>
      <c r="BX430" s="5">
        <v>10</v>
      </c>
      <c r="BY430" s="5">
        <v>10</v>
      </c>
      <c r="BZ430" s="5">
        <v>10</v>
      </c>
      <c r="CA430" s="5">
        <v>10</v>
      </c>
      <c r="CB430" s="5">
        <v>10</v>
      </c>
      <c r="CC430" s="2" t="e">
        <f t="shared" ca="1" si="130"/>
        <v>#NAME?</v>
      </c>
      <c r="CD430" s="96">
        <v>8</v>
      </c>
      <c r="CE430" s="2">
        <v>7</v>
      </c>
      <c r="CF430" s="2">
        <v>10</v>
      </c>
      <c r="CG430" s="2">
        <v>10</v>
      </c>
      <c r="CH430" s="2">
        <v>10</v>
      </c>
      <c r="CI430" s="2">
        <v>9</v>
      </c>
      <c r="CJ430" s="2">
        <v>10</v>
      </c>
      <c r="CK430" s="2">
        <v>10</v>
      </c>
      <c r="CL430" s="2">
        <v>10</v>
      </c>
      <c r="CM430" s="2">
        <v>10</v>
      </c>
      <c r="CN430" s="2">
        <v>9</v>
      </c>
      <c r="CO430" s="2">
        <v>10</v>
      </c>
      <c r="CP430" s="2" t="e">
        <f t="shared" ca="1" si="131"/>
        <v>#NAME?</v>
      </c>
      <c r="CQ430" s="2">
        <v>9</v>
      </c>
      <c r="CR430" s="2">
        <v>10</v>
      </c>
      <c r="CS430" s="2">
        <v>10</v>
      </c>
      <c r="CT430" s="2">
        <v>9</v>
      </c>
      <c r="CU430" s="2">
        <v>9</v>
      </c>
      <c r="CV430" s="54">
        <f t="shared" si="116"/>
        <v>10</v>
      </c>
      <c r="CW430" s="96">
        <v>14</v>
      </c>
      <c r="CX430" s="3"/>
    </row>
    <row r="431" spans="1:102" ht="16.5" x14ac:dyDescent="0.55000000000000004">
      <c r="A431" s="17">
        <v>1</v>
      </c>
      <c r="B431" s="17" t="s">
        <v>8</v>
      </c>
      <c r="C431" s="23" t="s">
        <v>903</v>
      </c>
      <c r="D431" s="24" t="s">
        <v>904</v>
      </c>
      <c r="E431" s="48"/>
      <c r="F431" s="2"/>
      <c r="G431" s="2">
        <v>5</v>
      </c>
      <c r="H431" s="2">
        <v>5</v>
      </c>
      <c r="I431" s="2">
        <v>5</v>
      </c>
      <c r="J431" s="2">
        <v>5</v>
      </c>
      <c r="K431" s="2">
        <v>5</v>
      </c>
      <c r="L431" s="2">
        <v>5</v>
      </c>
      <c r="M431" s="2">
        <v>5</v>
      </c>
      <c r="N431" s="2">
        <v>5</v>
      </c>
      <c r="O431" s="2">
        <v>5</v>
      </c>
      <c r="P431" s="2">
        <v>5</v>
      </c>
      <c r="Q431" s="2" t="e">
        <f t="shared" ca="1" si="127"/>
        <v>#NAME?</v>
      </c>
      <c r="R431" s="2">
        <v>5</v>
      </c>
      <c r="S431" s="2">
        <v>5</v>
      </c>
      <c r="T431" s="2">
        <v>5</v>
      </c>
      <c r="U431" s="2">
        <v>5</v>
      </c>
      <c r="V431" s="2">
        <v>5</v>
      </c>
      <c r="W431" s="54">
        <f t="shared" si="113"/>
        <v>5</v>
      </c>
      <c r="X431" s="48">
        <v>8</v>
      </c>
      <c r="Y431" s="2">
        <v>8</v>
      </c>
      <c r="Z431" s="2"/>
      <c r="AA431" s="2">
        <v>9</v>
      </c>
      <c r="AB431" s="2">
        <v>9</v>
      </c>
      <c r="AC431" s="2">
        <v>8</v>
      </c>
      <c r="AD431" s="2">
        <v>8</v>
      </c>
      <c r="AE431" s="2">
        <v>8</v>
      </c>
      <c r="AF431" s="2">
        <v>10</v>
      </c>
      <c r="AG431" s="2">
        <v>10</v>
      </c>
      <c r="AH431" s="2">
        <v>10</v>
      </c>
      <c r="AI431" s="2">
        <v>10</v>
      </c>
      <c r="AJ431" s="2">
        <v>9</v>
      </c>
      <c r="AK431" s="2">
        <v>8</v>
      </c>
      <c r="AL431" s="2">
        <v>10</v>
      </c>
      <c r="AM431" s="2">
        <v>10</v>
      </c>
      <c r="AN431" s="2">
        <v>10</v>
      </c>
      <c r="AO431" s="2">
        <v>10</v>
      </c>
      <c r="AP431" s="2">
        <v>9</v>
      </c>
      <c r="AQ431" s="2" t="e">
        <f t="shared" ca="1" si="128"/>
        <v>#NAME?</v>
      </c>
      <c r="AR431" s="2">
        <v>9</v>
      </c>
      <c r="AS431" s="2">
        <v>8</v>
      </c>
      <c r="AT431" s="2">
        <v>8</v>
      </c>
      <c r="AU431" s="2">
        <v>8</v>
      </c>
      <c r="AV431" s="2">
        <v>9</v>
      </c>
      <c r="AW431" s="54">
        <f t="shared" si="114"/>
        <v>9</v>
      </c>
      <c r="AX431" s="48">
        <v>9</v>
      </c>
      <c r="AY431" s="2">
        <v>7</v>
      </c>
      <c r="AZ431" s="70">
        <v>7</v>
      </c>
      <c r="BA431" s="71">
        <v>8</v>
      </c>
      <c r="BB431" s="78">
        <v>8</v>
      </c>
      <c r="BC431" s="1">
        <v>8</v>
      </c>
      <c r="BD431" s="78">
        <v>7</v>
      </c>
      <c r="BE431" s="78">
        <v>7</v>
      </c>
      <c r="BF431" s="70">
        <v>8</v>
      </c>
      <c r="BG431" s="71">
        <v>7</v>
      </c>
      <c r="BH431" s="78">
        <v>7</v>
      </c>
      <c r="BI431" s="79">
        <v>8</v>
      </c>
      <c r="BJ431" s="2" t="e">
        <f t="shared" ca="1" si="129"/>
        <v>#NAME?</v>
      </c>
      <c r="BK431" s="5">
        <v>9</v>
      </c>
      <c r="BL431" s="5">
        <v>7</v>
      </c>
      <c r="BM431" s="5">
        <v>8</v>
      </c>
      <c r="BN431" s="5">
        <v>7</v>
      </c>
      <c r="BO431" s="5">
        <v>8</v>
      </c>
      <c r="BP431" s="54">
        <f t="shared" si="115"/>
        <v>8</v>
      </c>
      <c r="BQ431" s="5"/>
      <c r="BR431" s="5"/>
      <c r="BS431" s="5">
        <v>5</v>
      </c>
      <c r="BT431" s="5">
        <v>10</v>
      </c>
      <c r="BU431" s="5">
        <v>10</v>
      </c>
      <c r="BV431" s="5">
        <v>5</v>
      </c>
      <c r="BW431" s="5">
        <v>5</v>
      </c>
      <c r="BX431" s="5">
        <v>5</v>
      </c>
      <c r="BY431" s="5">
        <v>5</v>
      </c>
      <c r="BZ431" s="5">
        <v>5</v>
      </c>
      <c r="CA431" s="5">
        <v>5</v>
      </c>
      <c r="CB431" s="5">
        <v>5</v>
      </c>
      <c r="CC431" s="2" t="e">
        <f t="shared" ca="1" si="130"/>
        <v>#NAME?</v>
      </c>
      <c r="CD431" s="96">
        <v>7</v>
      </c>
      <c r="CE431" s="2">
        <v>6</v>
      </c>
      <c r="CF431" s="2">
        <v>10</v>
      </c>
      <c r="CG431" s="2">
        <v>10</v>
      </c>
      <c r="CH431" s="2">
        <v>9</v>
      </c>
      <c r="CI431" s="2">
        <v>10</v>
      </c>
      <c r="CJ431" s="2">
        <v>10</v>
      </c>
      <c r="CK431" s="2">
        <v>9</v>
      </c>
      <c r="CL431" s="2">
        <v>10</v>
      </c>
      <c r="CM431" s="2">
        <v>10</v>
      </c>
      <c r="CN431" s="2">
        <v>10</v>
      </c>
      <c r="CO431" s="2">
        <v>10</v>
      </c>
      <c r="CP431" s="2" t="e">
        <f t="shared" ca="1" si="131"/>
        <v>#NAME?</v>
      </c>
      <c r="CQ431" s="2">
        <v>10</v>
      </c>
      <c r="CR431" s="2">
        <v>9</v>
      </c>
      <c r="CS431" s="2">
        <v>9</v>
      </c>
      <c r="CT431" s="2">
        <v>10</v>
      </c>
      <c r="CU431" s="2">
        <v>9</v>
      </c>
      <c r="CV431" s="54">
        <f t="shared" si="116"/>
        <v>10</v>
      </c>
      <c r="CW431" s="96">
        <v>13</v>
      </c>
      <c r="CX431" s="3"/>
    </row>
    <row r="432" spans="1:102" ht="16.5" x14ac:dyDescent="0.55000000000000004">
      <c r="A432" s="17">
        <v>1</v>
      </c>
      <c r="B432" s="17" t="s">
        <v>8</v>
      </c>
      <c r="C432" s="23" t="s">
        <v>905</v>
      </c>
      <c r="D432" s="24" t="s">
        <v>906</v>
      </c>
      <c r="E432" s="48"/>
      <c r="F432" s="2"/>
      <c r="G432" s="2">
        <v>10</v>
      </c>
      <c r="H432" s="2">
        <v>10</v>
      </c>
      <c r="I432" s="2">
        <v>10</v>
      </c>
      <c r="J432" s="2">
        <v>10</v>
      </c>
      <c r="K432" s="2">
        <v>10</v>
      </c>
      <c r="L432" s="2">
        <v>10</v>
      </c>
      <c r="M432" s="2">
        <v>10</v>
      </c>
      <c r="N432" s="2">
        <v>10</v>
      </c>
      <c r="O432" s="2">
        <v>10</v>
      </c>
      <c r="P432" s="2">
        <v>10</v>
      </c>
      <c r="Q432" s="2" t="e">
        <f t="shared" ca="1" si="127"/>
        <v>#NAME?</v>
      </c>
      <c r="R432" s="2">
        <v>10</v>
      </c>
      <c r="S432" s="2">
        <v>10</v>
      </c>
      <c r="T432" s="2">
        <v>10</v>
      </c>
      <c r="U432" s="2">
        <v>10</v>
      </c>
      <c r="V432" s="2">
        <v>10</v>
      </c>
      <c r="W432" s="54">
        <f t="shared" si="113"/>
        <v>10</v>
      </c>
      <c r="X432" s="48">
        <v>7</v>
      </c>
      <c r="Y432" s="2">
        <v>7</v>
      </c>
      <c r="Z432" s="2"/>
      <c r="AA432" s="2">
        <v>8</v>
      </c>
      <c r="AB432" s="2">
        <v>8</v>
      </c>
      <c r="AC432" s="2">
        <v>8</v>
      </c>
      <c r="AD432" s="2">
        <v>8</v>
      </c>
      <c r="AE432" s="2">
        <v>8</v>
      </c>
      <c r="AF432" s="2">
        <v>8</v>
      </c>
      <c r="AG432" s="2">
        <v>8</v>
      </c>
      <c r="AH432" s="2">
        <v>8</v>
      </c>
      <c r="AI432" s="2">
        <v>8</v>
      </c>
      <c r="AJ432" s="2">
        <v>8</v>
      </c>
      <c r="AK432" s="2">
        <v>8</v>
      </c>
      <c r="AL432" s="2">
        <v>8</v>
      </c>
      <c r="AM432" s="2">
        <v>8</v>
      </c>
      <c r="AN432" s="2">
        <v>8</v>
      </c>
      <c r="AO432" s="2">
        <v>8</v>
      </c>
      <c r="AP432" s="2">
        <v>8</v>
      </c>
      <c r="AQ432" s="2" t="e">
        <f t="shared" ca="1" si="128"/>
        <v>#NAME?</v>
      </c>
      <c r="AR432" s="2">
        <v>8</v>
      </c>
      <c r="AS432" s="2">
        <v>8</v>
      </c>
      <c r="AT432" s="2">
        <v>8</v>
      </c>
      <c r="AU432" s="2">
        <v>8</v>
      </c>
      <c r="AV432" s="2">
        <v>8</v>
      </c>
      <c r="AW432" s="54">
        <f t="shared" si="114"/>
        <v>8</v>
      </c>
      <c r="AX432" s="48">
        <v>10</v>
      </c>
      <c r="AY432" s="2">
        <v>10</v>
      </c>
      <c r="AZ432" s="70">
        <v>10</v>
      </c>
      <c r="BA432" s="71">
        <v>10</v>
      </c>
      <c r="BB432" s="71">
        <v>10</v>
      </c>
      <c r="BC432" s="70">
        <v>10</v>
      </c>
      <c r="BD432" s="71">
        <v>10</v>
      </c>
      <c r="BE432" s="71">
        <v>10</v>
      </c>
      <c r="BF432" s="70">
        <v>10</v>
      </c>
      <c r="BG432" s="71">
        <v>10</v>
      </c>
      <c r="BH432" s="71">
        <v>10</v>
      </c>
      <c r="BI432" s="79">
        <v>10</v>
      </c>
      <c r="BJ432" s="2" t="e">
        <f t="shared" ca="1" si="129"/>
        <v>#NAME?</v>
      </c>
      <c r="BK432" s="5">
        <v>10</v>
      </c>
      <c r="BL432" s="5">
        <v>10</v>
      </c>
      <c r="BM432" s="5">
        <v>10</v>
      </c>
      <c r="BN432" s="5">
        <v>10</v>
      </c>
      <c r="BO432" s="5">
        <v>10</v>
      </c>
      <c r="BP432" s="54">
        <f t="shared" si="115"/>
        <v>10</v>
      </c>
      <c r="BQ432" s="5"/>
      <c r="BR432" s="5"/>
      <c r="BS432" s="5">
        <v>10</v>
      </c>
      <c r="BT432" s="5">
        <v>10</v>
      </c>
      <c r="BU432" s="5">
        <v>10</v>
      </c>
      <c r="BV432" s="5">
        <v>10</v>
      </c>
      <c r="BW432" s="5">
        <v>10</v>
      </c>
      <c r="BX432" s="5">
        <v>10</v>
      </c>
      <c r="BY432" s="5">
        <v>10</v>
      </c>
      <c r="BZ432" s="5">
        <v>10</v>
      </c>
      <c r="CA432" s="5">
        <v>10</v>
      </c>
      <c r="CB432" s="5">
        <v>10</v>
      </c>
      <c r="CC432" s="2" t="e">
        <f t="shared" ca="1" si="130"/>
        <v>#NAME?</v>
      </c>
      <c r="CD432" s="96">
        <v>9</v>
      </c>
      <c r="CE432" s="2">
        <v>8</v>
      </c>
      <c r="CF432" s="2">
        <v>10</v>
      </c>
      <c r="CG432" s="2">
        <v>10</v>
      </c>
      <c r="CH432" s="2">
        <v>10</v>
      </c>
      <c r="CI432" s="2">
        <v>10</v>
      </c>
      <c r="CJ432" s="2">
        <v>10</v>
      </c>
      <c r="CK432" s="2">
        <v>10</v>
      </c>
      <c r="CL432" s="2">
        <v>10</v>
      </c>
      <c r="CM432" s="2">
        <v>10</v>
      </c>
      <c r="CN432" s="2">
        <v>10</v>
      </c>
      <c r="CO432" s="2">
        <v>10</v>
      </c>
      <c r="CP432" s="2" t="e">
        <f t="shared" ca="1" si="131"/>
        <v>#NAME?</v>
      </c>
      <c r="CQ432" s="2">
        <v>10</v>
      </c>
      <c r="CR432" s="2">
        <v>10</v>
      </c>
      <c r="CS432" s="2">
        <v>10</v>
      </c>
      <c r="CT432" s="2">
        <v>10</v>
      </c>
      <c r="CU432" s="2">
        <v>10</v>
      </c>
      <c r="CV432" s="54">
        <f t="shared" si="116"/>
        <v>10</v>
      </c>
      <c r="CW432" s="96">
        <v>17</v>
      </c>
      <c r="CX432" s="3"/>
    </row>
    <row r="433" spans="1:102" ht="16.5" x14ac:dyDescent="0.55000000000000004">
      <c r="A433" s="17">
        <v>1</v>
      </c>
      <c r="B433" s="17" t="s">
        <v>8</v>
      </c>
      <c r="C433" s="23" t="s">
        <v>907</v>
      </c>
      <c r="D433" s="24" t="s">
        <v>908</v>
      </c>
      <c r="E433" s="48"/>
      <c r="F433" s="2"/>
      <c r="G433" s="2">
        <v>10</v>
      </c>
      <c r="H433" s="2">
        <v>10</v>
      </c>
      <c r="I433" s="2">
        <v>10</v>
      </c>
      <c r="J433" s="2">
        <v>10</v>
      </c>
      <c r="K433" s="2">
        <v>10</v>
      </c>
      <c r="L433" s="2">
        <v>10</v>
      </c>
      <c r="M433" s="2">
        <v>10</v>
      </c>
      <c r="N433" s="2">
        <v>10</v>
      </c>
      <c r="O433" s="2">
        <v>10</v>
      </c>
      <c r="P433" s="2">
        <v>10</v>
      </c>
      <c r="Q433" s="2" t="e">
        <f t="shared" ca="1" si="127"/>
        <v>#NAME?</v>
      </c>
      <c r="R433" s="2">
        <v>10</v>
      </c>
      <c r="S433" s="2">
        <v>10</v>
      </c>
      <c r="T433" s="2">
        <v>10</v>
      </c>
      <c r="U433" s="2">
        <v>10</v>
      </c>
      <c r="V433" s="2">
        <v>10</v>
      </c>
      <c r="W433" s="54">
        <f t="shared" si="113"/>
        <v>10</v>
      </c>
      <c r="X433" s="48">
        <v>7</v>
      </c>
      <c r="Y433" s="2">
        <v>8</v>
      </c>
      <c r="Z433" s="2"/>
      <c r="AA433" s="2">
        <v>8</v>
      </c>
      <c r="AB433" s="2">
        <v>7</v>
      </c>
      <c r="AC433" s="2">
        <v>8</v>
      </c>
      <c r="AD433" s="2">
        <v>8</v>
      </c>
      <c r="AE433" s="2">
        <v>8</v>
      </c>
      <c r="AF433" s="2">
        <v>10</v>
      </c>
      <c r="AG433" s="2">
        <v>10</v>
      </c>
      <c r="AH433" s="2">
        <v>10</v>
      </c>
      <c r="AI433" s="2">
        <v>10</v>
      </c>
      <c r="AJ433" s="2">
        <v>10</v>
      </c>
      <c r="AK433" s="2">
        <v>8</v>
      </c>
      <c r="AL433" s="2">
        <v>10</v>
      </c>
      <c r="AM433" s="2">
        <v>10</v>
      </c>
      <c r="AN433" s="2">
        <v>10</v>
      </c>
      <c r="AO433" s="2">
        <v>10</v>
      </c>
      <c r="AP433" s="2">
        <v>10</v>
      </c>
      <c r="AQ433" s="2" t="e">
        <f t="shared" ca="1" si="128"/>
        <v>#NAME?</v>
      </c>
      <c r="AR433" s="2">
        <v>8</v>
      </c>
      <c r="AS433" s="2">
        <v>8</v>
      </c>
      <c r="AT433" s="2">
        <v>9</v>
      </c>
      <c r="AU433" s="2">
        <v>10</v>
      </c>
      <c r="AV433" s="2">
        <v>10</v>
      </c>
      <c r="AW433" s="54">
        <f t="shared" si="114"/>
        <v>9</v>
      </c>
      <c r="AX433" s="48">
        <v>9</v>
      </c>
      <c r="AY433" s="2">
        <v>9</v>
      </c>
      <c r="AZ433" s="70">
        <v>9</v>
      </c>
      <c r="BA433" s="71">
        <v>9</v>
      </c>
      <c r="BB433" s="71">
        <v>9</v>
      </c>
      <c r="BC433" s="70">
        <v>10</v>
      </c>
      <c r="BD433" s="71">
        <v>10</v>
      </c>
      <c r="BE433" s="71">
        <v>10</v>
      </c>
      <c r="BF433" s="70">
        <v>10</v>
      </c>
      <c r="BG433" s="71">
        <v>10</v>
      </c>
      <c r="BH433" s="78">
        <v>9</v>
      </c>
      <c r="BI433" s="79">
        <v>9</v>
      </c>
      <c r="BJ433" s="2" t="e">
        <f t="shared" ca="1" si="129"/>
        <v>#NAME?</v>
      </c>
      <c r="BK433" s="5">
        <v>10</v>
      </c>
      <c r="BL433" s="5">
        <v>10</v>
      </c>
      <c r="BM433" s="5">
        <v>10</v>
      </c>
      <c r="BN433" s="5">
        <v>10</v>
      </c>
      <c r="BO433" s="5">
        <v>10</v>
      </c>
      <c r="BP433" s="54">
        <f t="shared" si="115"/>
        <v>10</v>
      </c>
      <c r="BQ433" s="5"/>
      <c r="BR433" s="5"/>
      <c r="BS433" s="5">
        <v>10</v>
      </c>
      <c r="BT433" s="5">
        <v>10</v>
      </c>
      <c r="BU433" s="5">
        <v>10</v>
      </c>
      <c r="BV433" s="5">
        <v>10</v>
      </c>
      <c r="BW433" s="5">
        <v>10</v>
      </c>
      <c r="BX433" s="5">
        <v>10</v>
      </c>
      <c r="BY433" s="5">
        <v>10</v>
      </c>
      <c r="BZ433" s="5">
        <v>10</v>
      </c>
      <c r="CA433" s="5">
        <v>10</v>
      </c>
      <c r="CB433" s="5">
        <v>10</v>
      </c>
      <c r="CC433" s="2" t="e">
        <f t="shared" ca="1" si="130"/>
        <v>#NAME?</v>
      </c>
      <c r="CD433" s="96">
        <v>9</v>
      </c>
      <c r="CE433" s="2">
        <v>9</v>
      </c>
      <c r="CF433" s="2">
        <v>10</v>
      </c>
      <c r="CG433" s="2">
        <v>10</v>
      </c>
      <c r="CH433" s="2">
        <v>10</v>
      </c>
      <c r="CI433" s="2">
        <v>10</v>
      </c>
      <c r="CJ433" s="2">
        <v>10</v>
      </c>
      <c r="CK433" s="2">
        <v>10</v>
      </c>
      <c r="CL433" s="2">
        <v>10</v>
      </c>
      <c r="CM433" s="2">
        <v>10</v>
      </c>
      <c r="CN433" s="2">
        <v>10</v>
      </c>
      <c r="CO433" s="2">
        <v>10</v>
      </c>
      <c r="CP433" s="2" t="e">
        <f t="shared" ca="1" si="131"/>
        <v>#NAME?</v>
      </c>
      <c r="CQ433" s="2">
        <v>9</v>
      </c>
      <c r="CR433" s="2">
        <v>10</v>
      </c>
      <c r="CS433" s="2">
        <v>10</v>
      </c>
      <c r="CT433" s="2">
        <v>9</v>
      </c>
      <c r="CU433" s="2">
        <v>10</v>
      </c>
      <c r="CV433" s="54">
        <f t="shared" si="116"/>
        <v>10</v>
      </c>
      <c r="CW433" s="96">
        <v>18</v>
      </c>
      <c r="CX433" s="3"/>
    </row>
    <row r="434" spans="1:102" ht="16.5" x14ac:dyDescent="0.55000000000000004">
      <c r="A434" s="17">
        <v>2</v>
      </c>
      <c r="B434" s="17" t="s">
        <v>8</v>
      </c>
      <c r="C434" s="23" t="s">
        <v>909</v>
      </c>
      <c r="D434" s="24" t="s">
        <v>910</v>
      </c>
      <c r="E434" s="48"/>
      <c r="F434" s="2"/>
      <c r="G434" s="2">
        <v>10</v>
      </c>
      <c r="H434" s="2">
        <v>10</v>
      </c>
      <c r="I434" s="2">
        <v>6</v>
      </c>
      <c r="J434" s="2">
        <v>6</v>
      </c>
      <c r="K434" s="2">
        <v>6</v>
      </c>
      <c r="L434" s="2">
        <v>6</v>
      </c>
      <c r="M434" s="2">
        <v>9</v>
      </c>
      <c r="N434" s="2">
        <v>9</v>
      </c>
      <c r="O434" s="2">
        <v>10</v>
      </c>
      <c r="P434" s="2">
        <v>10</v>
      </c>
      <c r="Q434" s="2" t="e">
        <f t="shared" ca="1" si="127"/>
        <v>#NAME?</v>
      </c>
      <c r="R434" s="2">
        <v>6</v>
      </c>
      <c r="S434" s="2">
        <v>6</v>
      </c>
      <c r="T434" s="2">
        <v>6</v>
      </c>
      <c r="U434" s="2">
        <v>10</v>
      </c>
      <c r="V434" s="2">
        <v>10</v>
      </c>
      <c r="W434" s="54">
        <f t="shared" si="113"/>
        <v>8</v>
      </c>
      <c r="X434" s="48">
        <v>7</v>
      </c>
      <c r="Y434" s="2">
        <v>7</v>
      </c>
      <c r="Z434" s="2"/>
      <c r="AA434" s="2">
        <v>8</v>
      </c>
      <c r="AB434" s="2">
        <v>9</v>
      </c>
      <c r="AC434" s="2">
        <v>8</v>
      </c>
      <c r="AD434" s="2">
        <v>8</v>
      </c>
      <c r="AE434" s="2">
        <v>9</v>
      </c>
      <c r="AF434" s="2">
        <v>10</v>
      </c>
      <c r="AG434" s="2">
        <v>9</v>
      </c>
      <c r="AH434" s="2">
        <v>10</v>
      </c>
      <c r="AI434" s="2">
        <v>9</v>
      </c>
      <c r="AJ434" s="2">
        <v>10</v>
      </c>
      <c r="AK434" s="2">
        <v>9</v>
      </c>
      <c r="AL434" s="2">
        <v>10</v>
      </c>
      <c r="AM434" s="2">
        <v>9</v>
      </c>
      <c r="AN434" s="2">
        <v>10</v>
      </c>
      <c r="AO434" s="2">
        <v>9</v>
      </c>
      <c r="AP434" s="2">
        <v>10</v>
      </c>
      <c r="AQ434" s="2" t="e">
        <f t="shared" ca="1" si="128"/>
        <v>#NAME?</v>
      </c>
      <c r="AR434" s="2">
        <v>8</v>
      </c>
      <c r="AS434" s="2">
        <v>8</v>
      </c>
      <c r="AT434" s="2">
        <v>8</v>
      </c>
      <c r="AU434" s="2">
        <v>10</v>
      </c>
      <c r="AV434" s="2">
        <v>10</v>
      </c>
      <c r="AW434" s="54">
        <f t="shared" si="114"/>
        <v>9</v>
      </c>
      <c r="AX434" s="48">
        <v>7</v>
      </c>
      <c r="AY434" s="2">
        <v>8</v>
      </c>
      <c r="AZ434" s="70">
        <v>9</v>
      </c>
      <c r="BA434" s="71">
        <v>9</v>
      </c>
      <c r="BB434" s="71">
        <v>9</v>
      </c>
      <c r="BC434" s="70">
        <v>9</v>
      </c>
      <c r="BD434" s="71">
        <v>10</v>
      </c>
      <c r="BE434" s="71">
        <v>10</v>
      </c>
      <c r="BF434" s="70">
        <v>10</v>
      </c>
      <c r="BG434" s="78">
        <v>10</v>
      </c>
      <c r="BH434" s="71">
        <v>9</v>
      </c>
      <c r="BI434" s="79">
        <v>9</v>
      </c>
      <c r="BJ434" s="2" t="e">
        <f t="shared" ca="1" si="129"/>
        <v>#NAME?</v>
      </c>
      <c r="BK434" s="5">
        <v>9</v>
      </c>
      <c r="BL434" s="5">
        <v>10</v>
      </c>
      <c r="BM434" s="5">
        <v>9</v>
      </c>
      <c r="BN434" s="5">
        <v>10</v>
      </c>
      <c r="BO434" s="5">
        <v>9</v>
      </c>
      <c r="BP434" s="54">
        <f t="shared" si="115"/>
        <v>10</v>
      </c>
      <c r="BQ434" s="5"/>
      <c r="BR434" s="5"/>
      <c r="BS434" s="5">
        <v>10</v>
      </c>
      <c r="BT434" s="5">
        <v>10</v>
      </c>
      <c r="BU434" s="5">
        <v>10</v>
      </c>
      <c r="BV434" s="5">
        <v>10</v>
      </c>
      <c r="BW434" s="5">
        <v>10</v>
      </c>
      <c r="BX434" s="5">
        <v>10</v>
      </c>
      <c r="BY434" s="5">
        <v>10</v>
      </c>
      <c r="BZ434" s="5">
        <v>10</v>
      </c>
      <c r="CA434" s="5">
        <v>10</v>
      </c>
      <c r="CB434" s="5">
        <v>10</v>
      </c>
      <c r="CC434" s="2" t="e">
        <f t="shared" ca="1" si="130"/>
        <v>#NAME?</v>
      </c>
      <c r="CD434" s="96">
        <v>6</v>
      </c>
      <c r="CE434" s="2">
        <v>8</v>
      </c>
      <c r="CF434" s="2">
        <v>10</v>
      </c>
      <c r="CG434" s="2">
        <v>10</v>
      </c>
      <c r="CH434" s="2">
        <v>9</v>
      </c>
      <c r="CI434" s="2">
        <v>10</v>
      </c>
      <c r="CJ434" s="2">
        <v>9</v>
      </c>
      <c r="CK434" s="2">
        <v>10</v>
      </c>
      <c r="CL434" s="2">
        <v>9</v>
      </c>
      <c r="CM434" s="2">
        <v>10</v>
      </c>
      <c r="CN434" s="2">
        <v>9</v>
      </c>
      <c r="CO434" s="2">
        <v>10</v>
      </c>
      <c r="CP434" s="2" t="e">
        <f t="shared" ca="1" si="131"/>
        <v>#NAME?</v>
      </c>
      <c r="CQ434" s="2">
        <v>10</v>
      </c>
      <c r="CR434" s="2">
        <v>10</v>
      </c>
      <c r="CS434" s="2">
        <v>9</v>
      </c>
      <c r="CT434" s="2">
        <v>10</v>
      </c>
      <c r="CU434" s="2">
        <v>10</v>
      </c>
      <c r="CV434" s="54">
        <f t="shared" si="116"/>
        <v>10</v>
      </c>
      <c r="CW434" s="96">
        <v>8</v>
      </c>
      <c r="CX434" s="3"/>
    </row>
    <row r="435" spans="1:102" ht="16.5" x14ac:dyDescent="0.55000000000000004">
      <c r="A435" s="17">
        <v>2</v>
      </c>
      <c r="B435" s="17" t="s">
        <v>8</v>
      </c>
      <c r="C435" s="23" t="s">
        <v>911</v>
      </c>
      <c r="D435" s="24" t="s">
        <v>912</v>
      </c>
      <c r="E435" s="48"/>
      <c r="F435" s="2"/>
      <c r="G435" s="2">
        <v>10</v>
      </c>
      <c r="H435" s="2">
        <v>10</v>
      </c>
      <c r="I435" s="2">
        <v>10</v>
      </c>
      <c r="J435" s="2">
        <v>10</v>
      </c>
      <c r="K435" s="2">
        <v>10</v>
      </c>
      <c r="L435" s="2">
        <v>10</v>
      </c>
      <c r="M435" s="2">
        <v>10</v>
      </c>
      <c r="N435" s="2">
        <v>10</v>
      </c>
      <c r="O435" s="2">
        <v>10</v>
      </c>
      <c r="P435" s="2">
        <v>10</v>
      </c>
      <c r="Q435" s="2" t="e">
        <f t="shared" ca="1" si="127"/>
        <v>#NAME?</v>
      </c>
      <c r="R435" s="2">
        <v>10</v>
      </c>
      <c r="S435" s="2">
        <v>10</v>
      </c>
      <c r="T435" s="2">
        <v>10</v>
      </c>
      <c r="U435" s="2">
        <v>10</v>
      </c>
      <c r="V435" s="2">
        <v>10</v>
      </c>
      <c r="W435" s="54">
        <f t="shared" si="113"/>
        <v>10</v>
      </c>
      <c r="X435" s="48">
        <v>10</v>
      </c>
      <c r="Y435" s="2">
        <v>9</v>
      </c>
      <c r="Z435" s="2"/>
      <c r="AA435" s="2">
        <v>8</v>
      </c>
      <c r="AB435" s="2">
        <v>9</v>
      </c>
      <c r="AC435" s="2">
        <v>8</v>
      </c>
      <c r="AD435" s="2">
        <v>8</v>
      </c>
      <c r="AE435" s="2">
        <v>8</v>
      </c>
      <c r="AF435" s="2">
        <v>9</v>
      </c>
      <c r="AG435" s="2">
        <v>9</v>
      </c>
      <c r="AH435" s="2">
        <v>10</v>
      </c>
      <c r="AI435" s="2">
        <v>10</v>
      </c>
      <c r="AJ435" s="2">
        <v>10</v>
      </c>
      <c r="AK435" s="2">
        <v>8</v>
      </c>
      <c r="AL435" s="2">
        <v>9</v>
      </c>
      <c r="AM435" s="2">
        <v>9</v>
      </c>
      <c r="AN435" s="2">
        <v>10</v>
      </c>
      <c r="AO435" s="2">
        <v>10</v>
      </c>
      <c r="AP435" s="2">
        <v>10</v>
      </c>
      <c r="AQ435" s="2" t="e">
        <f t="shared" ca="1" si="128"/>
        <v>#NAME?</v>
      </c>
      <c r="AR435" s="2">
        <v>8</v>
      </c>
      <c r="AS435" s="2">
        <v>9</v>
      </c>
      <c r="AT435" s="2">
        <v>9</v>
      </c>
      <c r="AU435" s="2">
        <v>8</v>
      </c>
      <c r="AV435" s="2">
        <v>9</v>
      </c>
      <c r="AW435" s="54">
        <f t="shared" si="114"/>
        <v>9</v>
      </c>
      <c r="AX435" s="48">
        <v>10</v>
      </c>
      <c r="AY435" s="2">
        <v>10</v>
      </c>
      <c r="AZ435" s="70">
        <v>10</v>
      </c>
      <c r="BA435" s="71">
        <v>10</v>
      </c>
      <c r="BB435" s="78">
        <v>10</v>
      </c>
      <c r="BC435" s="70">
        <v>10</v>
      </c>
      <c r="BD435" s="71">
        <v>10</v>
      </c>
      <c r="BE435" s="71">
        <v>9</v>
      </c>
      <c r="BF435" s="1">
        <v>10</v>
      </c>
      <c r="BG435" s="71">
        <v>10</v>
      </c>
      <c r="BH435" s="71">
        <v>10</v>
      </c>
      <c r="BI435" s="79">
        <v>9</v>
      </c>
      <c r="BJ435" s="2" t="e">
        <f t="shared" ca="1" si="129"/>
        <v>#NAME?</v>
      </c>
      <c r="BK435" s="5">
        <v>9</v>
      </c>
      <c r="BL435" s="5">
        <v>10</v>
      </c>
      <c r="BM435" s="5">
        <v>10</v>
      </c>
      <c r="BN435" s="5">
        <v>10</v>
      </c>
      <c r="BO435" s="5">
        <v>10</v>
      </c>
      <c r="BP435" s="54">
        <f t="shared" si="115"/>
        <v>10</v>
      </c>
      <c r="BQ435" s="5"/>
      <c r="BR435" s="5"/>
      <c r="BS435" s="5">
        <v>10</v>
      </c>
      <c r="BT435" s="5">
        <v>10</v>
      </c>
      <c r="BU435" s="5">
        <v>10</v>
      </c>
      <c r="BV435" s="5">
        <v>10</v>
      </c>
      <c r="BW435" s="5">
        <v>10</v>
      </c>
      <c r="BX435" s="5">
        <v>10</v>
      </c>
      <c r="BY435" s="5">
        <v>10</v>
      </c>
      <c r="BZ435" s="5">
        <v>10</v>
      </c>
      <c r="CA435" s="5">
        <v>10</v>
      </c>
      <c r="CB435" s="5">
        <v>10</v>
      </c>
      <c r="CC435" s="2" t="e">
        <f t="shared" ca="1" si="130"/>
        <v>#NAME?</v>
      </c>
      <c r="CD435" s="96">
        <v>10</v>
      </c>
      <c r="CE435" s="2">
        <v>10</v>
      </c>
      <c r="CF435" s="2">
        <v>10</v>
      </c>
      <c r="CG435" s="2">
        <v>10</v>
      </c>
      <c r="CH435" s="2">
        <v>10</v>
      </c>
      <c r="CI435" s="2">
        <v>10</v>
      </c>
      <c r="CJ435" s="2">
        <v>9</v>
      </c>
      <c r="CK435" s="2">
        <v>10</v>
      </c>
      <c r="CL435" s="2">
        <v>10</v>
      </c>
      <c r="CM435" s="2">
        <v>9</v>
      </c>
      <c r="CN435" s="2">
        <v>10</v>
      </c>
      <c r="CO435" s="2">
        <v>10</v>
      </c>
      <c r="CP435" s="2" t="e">
        <f t="shared" ca="1" si="131"/>
        <v>#NAME?</v>
      </c>
      <c r="CQ435" s="2">
        <v>10</v>
      </c>
      <c r="CR435" s="2">
        <v>10</v>
      </c>
      <c r="CS435" s="2">
        <v>10</v>
      </c>
      <c r="CT435" s="2">
        <v>10</v>
      </c>
      <c r="CU435" s="2">
        <v>10</v>
      </c>
      <c r="CV435" s="54">
        <f t="shared" si="116"/>
        <v>10</v>
      </c>
      <c r="CW435" s="96">
        <v>20</v>
      </c>
      <c r="CX435" s="3"/>
    </row>
    <row r="436" spans="1:102" ht="16.5" x14ac:dyDescent="0.55000000000000004">
      <c r="A436" s="17">
        <v>2</v>
      </c>
      <c r="B436" s="17" t="s">
        <v>8</v>
      </c>
      <c r="C436" s="23" t="s">
        <v>913</v>
      </c>
      <c r="D436" s="24" t="s">
        <v>914</v>
      </c>
      <c r="E436" s="48"/>
      <c r="F436" s="2"/>
      <c r="G436" s="2">
        <v>5</v>
      </c>
      <c r="H436" s="2">
        <v>5</v>
      </c>
      <c r="I436" s="2">
        <v>5</v>
      </c>
      <c r="J436" s="2">
        <v>5</v>
      </c>
      <c r="K436" s="2">
        <v>5</v>
      </c>
      <c r="L436" s="2">
        <v>5</v>
      </c>
      <c r="M436" s="2">
        <v>5</v>
      </c>
      <c r="N436" s="2">
        <v>5</v>
      </c>
      <c r="O436" s="2">
        <v>5</v>
      </c>
      <c r="P436" s="2">
        <v>5</v>
      </c>
      <c r="Q436" s="2" t="e">
        <f t="shared" ca="1" si="127"/>
        <v>#NAME?</v>
      </c>
      <c r="R436" s="2">
        <v>5</v>
      </c>
      <c r="S436" s="2">
        <v>5</v>
      </c>
      <c r="T436" s="2">
        <v>5</v>
      </c>
      <c r="U436" s="2">
        <v>5</v>
      </c>
      <c r="V436" s="2">
        <v>5</v>
      </c>
      <c r="W436" s="54">
        <f t="shared" si="113"/>
        <v>5</v>
      </c>
      <c r="X436" s="48">
        <v>7</v>
      </c>
      <c r="Y436" s="2">
        <v>7</v>
      </c>
      <c r="Z436" s="2"/>
      <c r="AA436" s="2">
        <v>6</v>
      </c>
      <c r="AB436" s="2">
        <v>7</v>
      </c>
      <c r="AC436" s="2">
        <v>6</v>
      </c>
      <c r="AD436" s="2">
        <v>6</v>
      </c>
      <c r="AE436" s="2">
        <v>7</v>
      </c>
      <c r="AF436" s="2">
        <v>6</v>
      </c>
      <c r="AG436" s="2">
        <v>6</v>
      </c>
      <c r="AH436" s="2">
        <v>7</v>
      </c>
      <c r="AI436" s="2">
        <v>7</v>
      </c>
      <c r="AJ436" s="2">
        <v>7</v>
      </c>
      <c r="AK436" s="2">
        <v>7</v>
      </c>
      <c r="AL436" s="2">
        <v>6</v>
      </c>
      <c r="AM436" s="2">
        <v>6</v>
      </c>
      <c r="AN436" s="2">
        <v>7</v>
      </c>
      <c r="AO436" s="2">
        <v>7</v>
      </c>
      <c r="AP436" s="2">
        <v>7</v>
      </c>
      <c r="AQ436" s="2" t="e">
        <f t="shared" ca="1" si="128"/>
        <v>#NAME?</v>
      </c>
      <c r="AR436" s="2">
        <v>7</v>
      </c>
      <c r="AS436" s="2">
        <v>7</v>
      </c>
      <c r="AT436" s="2">
        <v>7</v>
      </c>
      <c r="AU436" s="2">
        <v>7</v>
      </c>
      <c r="AV436" s="2">
        <v>7</v>
      </c>
      <c r="AW436" s="54">
        <f t="shared" si="114"/>
        <v>7</v>
      </c>
      <c r="AX436" s="48">
        <v>9</v>
      </c>
      <c r="AY436" s="2">
        <v>9</v>
      </c>
      <c r="AZ436" s="70">
        <v>8</v>
      </c>
      <c r="BA436" s="71">
        <v>8</v>
      </c>
      <c r="BB436" s="71">
        <v>9</v>
      </c>
      <c r="BC436" s="70">
        <v>9</v>
      </c>
      <c r="BD436" s="71">
        <v>10</v>
      </c>
      <c r="BE436" s="71">
        <v>10</v>
      </c>
      <c r="BF436" s="1">
        <v>10</v>
      </c>
      <c r="BG436" s="71">
        <v>10</v>
      </c>
      <c r="BH436" s="78">
        <v>10</v>
      </c>
      <c r="BI436" s="79">
        <v>10</v>
      </c>
      <c r="BJ436" s="2" t="e">
        <f t="shared" ca="1" si="129"/>
        <v>#NAME?</v>
      </c>
      <c r="BK436" s="5">
        <v>10</v>
      </c>
      <c r="BL436" s="5">
        <v>10</v>
      </c>
      <c r="BM436" s="5">
        <v>10</v>
      </c>
      <c r="BN436" s="5">
        <v>9</v>
      </c>
      <c r="BO436" s="5">
        <v>9</v>
      </c>
      <c r="BP436" s="54">
        <f t="shared" si="115"/>
        <v>10</v>
      </c>
      <c r="BQ436" s="5"/>
      <c r="BR436" s="5"/>
      <c r="BS436" s="5">
        <v>8</v>
      </c>
      <c r="BT436" s="5">
        <v>9</v>
      </c>
      <c r="BU436" s="5">
        <v>8</v>
      </c>
      <c r="BV436" s="5">
        <v>9</v>
      </c>
      <c r="BW436" s="5">
        <v>8</v>
      </c>
      <c r="BX436" s="5">
        <v>8</v>
      </c>
      <c r="BY436" s="5">
        <v>8</v>
      </c>
      <c r="BZ436" s="5">
        <v>8</v>
      </c>
      <c r="CA436" s="5">
        <v>9</v>
      </c>
      <c r="CB436" s="5">
        <v>9</v>
      </c>
      <c r="CC436" s="2" t="e">
        <f t="shared" ca="1" si="130"/>
        <v>#NAME?</v>
      </c>
      <c r="CD436" s="96">
        <v>6</v>
      </c>
      <c r="CE436" s="2">
        <v>7</v>
      </c>
      <c r="CF436" s="2">
        <v>10</v>
      </c>
      <c r="CG436" s="2">
        <v>10</v>
      </c>
      <c r="CH436" s="2">
        <v>10</v>
      </c>
      <c r="CI436" s="2">
        <v>10</v>
      </c>
      <c r="CJ436" s="2">
        <v>10</v>
      </c>
      <c r="CK436" s="2">
        <v>10</v>
      </c>
      <c r="CL436" s="2">
        <v>10</v>
      </c>
      <c r="CM436" s="2">
        <v>10</v>
      </c>
      <c r="CN436" s="2">
        <v>10</v>
      </c>
      <c r="CO436" s="2">
        <v>10</v>
      </c>
      <c r="CP436" s="2" t="e">
        <f t="shared" ca="1" si="131"/>
        <v>#NAME?</v>
      </c>
      <c r="CQ436" s="2">
        <v>10</v>
      </c>
      <c r="CR436" s="2">
        <v>10</v>
      </c>
      <c r="CS436" s="2">
        <v>10</v>
      </c>
      <c r="CT436" s="2">
        <v>9</v>
      </c>
      <c r="CU436" s="2">
        <v>10</v>
      </c>
      <c r="CV436" s="54">
        <f t="shared" si="116"/>
        <v>10</v>
      </c>
      <c r="CW436" s="96">
        <v>8</v>
      </c>
      <c r="CX436" s="3"/>
    </row>
    <row r="437" spans="1:102" ht="16.5" x14ac:dyDescent="0.55000000000000004">
      <c r="A437" s="17">
        <v>2</v>
      </c>
      <c r="B437" s="17" t="s">
        <v>8</v>
      </c>
      <c r="C437" s="23" t="s">
        <v>915</v>
      </c>
      <c r="D437" s="24" t="s">
        <v>916</v>
      </c>
      <c r="E437" s="48"/>
      <c r="F437" s="2"/>
      <c r="G437" s="2">
        <v>10</v>
      </c>
      <c r="H437" s="2">
        <v>10</v>
      </c>
      <c r="I437" s="2">
        <v>10</v>
      </c>
      <c r="J437" s="2">
        <v>10</v>
      </c>
      <c r="K437" s="2">
        <v>10</v>
      </c>
      <c r="L437" s="2">
        <v>10</v>
      </c>
      <c r="M437" s="2">
        <v>10</v>
      </c>
      <c r="N437" s="2">
        <v>10</v>
      </c>
      <c r="O437" s="2">
        <v>10</v>
      </c>
      <c r="P437" s="2">
        <v>10</v>
      </c>
      <c r="Q437" s="2" t="e">
        <f t="shared" ca="1" si="127"/>
        <v>#NAME?</v>
      </c>
      <c r="R437" s="2">
        <v>10</v>
      </c>
      <c r="S437" s="2">
        <v>10</v>
      </c>
      <c r="T437" s="2">
        <v>8</v>
      </c>
      <c r="U437" s="2">
        <v>10</v>
      </c>
      <c r="V437" s="2">
        <v>10</v>
      </c>
      <c r="W437" s="54">
        <f t="shared" si="113"/>
        <v>10</v>
      </c>
      <c r="X437" s="48">
        <v>9</v>
      </c>
      <c r="Y437" s="2">
        <v>9</v>
      </c>
      <c r="Z437" s="2"/>
      <c r="AA437" s="2">
        <v>9</v>
      </c>
      <c r="AB437" s="2">
        <v>10</v>
      </c>
      <c r="AC437" s="2">
        <v>9</v>
      </c>
      <c r="AD437" s="2">
        <v>9</v>
      </c>
      <c r="AE437" s="2">
        <v>10</v>
      </c>
      <c r="AF437" s="2">
        <v>10</v>
      </c>
      <c r="AG437" s="2">
        <v>9</v>
      </c>
      <c r="AH437" s="2">
        <v>10</v>
      </c>
      <c r="AI437" s="2">
        <v>10</v>
      </c>
      <c r="AJ437" s="2">
        <v>10</v>
      </c>
      <c r="AK437" s="2">
        <v>10</v>
      </c>
      <c r="AL437" s="2">
        <v>10</v>
      </c>
      <c r="AM437" s="2">
        <v>9</v>
      </c>
      <c r="AN437" s="2">
        <v>10</v>
      </c>
      <c r="AO437" s="2">
        <v>10</v>
      </c>
      <c r="AP437" s="2">
        <v>10</v>
      </c>
      <c r="AQ437" s="2" t="e">
        <f t="shared" ca="1" si="128"/>
        <v>#NAME?</v>
      </c>
      <c r="AR437" s="2">
        <v>8</v>
      </c>
      <c r="AS437" s="2">
        <v>8</v>
      </c>
      <c r="AT437" s="2">
        <v>9</v>
      </c>
      <c r="AU437" s="2">
        <v>10</v>
      </c>
      <c r="AV437" s="2">
        <v>10</v>
      </c>
      <c r="AW437" s="54">
        <f t="shared" si="114"/>
        <v>9</v>
      </c>
      <c r="AX437" s="48">
        <v>9</v>
      </c>
      <c r="AY437" s="2">
        <v>10</v>
      </c>
      <c r="AZ437" s="70">
        <v>9</v>
      </c>
      <c r="BA437" s="71">
        <v>10</v>
      </c>
      <c r="BB437" s="71">
        <v>10</v>
      </c>
      <c r="BC437" s="70">
        <v>10</v>
      </c>
      <c r="BD437" s="71">
        <v>10</v>
      </c>
      <c r="BE437" s="71">
        <v>10</v>
      </c>
      <c r="BF437" s="70">
        <v>10</v>
      </c>
      <c r="BG437" s="71">
        <v>10</v>
      </c>
      <c r="BH437" s="71">
        <v>10</v>
      </c>
      <c r="BI437" s="79">
        <v>10</v>
      </c>
      <c r="BJ437" s="2" t="e">
        <f t="shared" ca="1" si="129"/>
        <v>#NAME?</v>
      </c>
      <c r="BK437" s="5">
        <v>10</v>
      </c>
      <c r="BL437" s="5">
        <v>10</v>
      </c>
      <c r="BM437" s="5">
        <v>10</v>
      </c>
      <c r="BN437" s="5">
        <v>10</v>
      </c>
      <c r="BO437" s="5">
        <v>10</v>
      </c>
      <c r="BP437" s="54">
        <f t="shared" si="115"/>
        <v>10</v>
      </c>
      <c r="BQ437" s="5"/>
      <c r="BR437" s="5"/>
      <c r="BS437" s="5">
        <v>10</v>
      </c>
      <c r="BT437" s="5">
        <v>10</v>
      </c>
      <c r="BU437" s="5">
        <v>10</v>
      </c>
      <c r="BV437" s="5">
        <v>10</v>
      </c>
      <c r="BW437" s="5">
        <v>10</v>
      </c>
      <c r="BX437" s="5">
        <v>10</v>
      </c>
      <c r="BY437" s="5">
        <v>10</v>
      </c>
      <c r="BZ437" s="5">
        <v>10</v>
      </c>
      <c r="CA437" s="5">
        <v>10</v>
      </c>
      <c r="CB437" s="5">
        <v>10</v>
      </c>
      <c r="CC437" s="2" t="e">
        <f t="shared" ca="1" si="130"/>
        <v>#NAME?</v>
      </c>
      <c r="CD437" s="96">
        <v>10</v>
      </c>
      <c r="CE437" s="2">
        <v>8</v>
      </c>
      <c r="CF437" s="2">
        <v>10</v>
      </c>
      <c r="CG437" s="2">
        <v>10</v>
      </c>
      <c r="CH437" s="2">
        <v>9</v>
      </c>
      <c r="CI437" s="2">
        <v>10</v>
      </c>
      <c r="CJ437" s="2">
        <v>10</v>
      </c>
      <c r="CK437" s="2">
        <v>9</v>
      </c>
      <c r="CL437" s="2">
        <v>10</v>
      </c>
      <c r="CM437" s="2">
        <v>9</v>
      </c>
      <c r="CN437" s="2">
        <v>9</v>
      </c>
      <c r="CO437" s="2">
        <v>10</v>
      </c>
      <c r="CP437" s="2" t="e">
        <f t="shared" ca="1" si="131"/>
        <v>#NAME?</v>
      </c>
      <c r="CQ437" s="2">
        <v>10</v>
      </c>
      <c r="CR437" s="2">
        <v>10</v>
      </c>
      <c r="CS437" s="2">
        <v>10</v>
      </c>
      <c r="CT437" s="2">
        <v>10</v>
      </c>
      <c r="CU437" s="2">
        <v>10</v>
      </c>
      <c r="CV437" s="54">
        <f t="shared" si="116"/>
        <v>10</v>
      </c>
      <c r="CW437" s="96">
        <v>19</v>
      </c>
      <c r="CX437" s="3"/>
    </row>
    <row r="438" spans="1:102" ht="16.5" x14ac:dyDescent="0.55000000000000004">
      <c r="A438" s="17">
        <v>2</v>
      </c>
      <c r="B438" s="17" t="s">
        <v>8</v>
      </c>
      <c r="C438" s="23" t="s">
        <v>917</v>
      </c>
      <c r="D438" s="24" t="s">
        <v>918</v>
      </c>
      <c r="E438" s="48"/>
      <c r="F438" s="2"/>
      <c r="G438" s="2">
        <v>5</v>
      </c>
      <c r="H438" s="2">
        <v>5</v>
      </c>
      <c r="I438" s="2">
        <v>5</v>
      </c>
      <c r="J438" s="2">
        <v>5</v>
      </c>
      <c r="K438" s="2">
        <v>5</v>
      </c>
      <c r="L438" s="2">
        <v>5</v>
      </c>
      <c r="M438" s="2">
        <v>5</v>
      </c>
      <c r="N438" s="2">
        <v>5</v>
      </c>
      <c r="O438" s="2">
        <v>5</v>
      </c>
      <c r="P438" s="2">
        <v>5</v>
      </c>
      <c r="Q438" s="2" t="e">
        <f t="shared" ca="1" si="127"/>
        <v>#NAME?</v>
      </c>
      <c r="R438" s="2">
        <v>5</v>
      </c>
      <c r="S438" s="2">
        <v>5</v>
      </c>
      <c r="T438" s="2">
        <v>5</v>
      </c>
      <c r="U438" s="2">
        <v>5</v>
      </c>
      <c r="V438" s="2">
        <v>5</v>
      </c>
      <c r="W438" s="54">
        <f t="shared" si="113"/>
        <v>5</v>
      </c>
      <c r="X438" s="48">
        <v>7</v>
      </c>
      <c r="Y438" s="2">
        <v>8</v>
      </c>
      <c r="Z438" s="2"/>
      <c r="AA438" s="2">
        <v>7</v>
      </c>
      <c r="AB438" s="2">
        <v>7</v>
      </c>
      <c r="AC438" s="2">
        <v>7</v>
      </c>
      <c r="AD438" s="2">
        <v>7</v>
      </c>
      <c r="AE438" s="2">
        <v>7</v>
      </c>
      <c r="AF438" s="2">
        <v>7</v>
      </c>
      <c r="AG438" s="2">
        <v>7</v>
      </c>
      <c r="AH438" s="2">
        <v>7</v>
      </c>
      <c r="AI438" s="2">
        <v>7</v>
      </c>
      <c r="AJ438" s="2">
        <v>7</v>
      </c>
      <c r="AK438" s="2">
        <v>7</v>
      </c>
      <c r="AL438" s="2">
        <v>7</v>
      </c>
      <c r="AM438" s="2">
        <v>7</v>
      </c>
      <c r="AN438" s="2">
        <v>7</v>
      </c>
      <c r="AO438" s="2">
        <v>7</v>
      </c>
      <c r="AP438" s="2">
        <v>7</v>
      </c>
      <c r="AQ438" s="2" t="e">
        <f t="shared" ca="1" si="128"/>
        <v>#NAME?</v>
      </c>
      <c r="AR438" s="2">
        <v>7</v>
      </c>
      <c r="AS438" s="2">
        <v>7</v>
      </c>
      <c r="AT438" s="2">
        <v>7</v>
      </c>
      <c r="AU438" s="2">
        <v>7</v>
      </c>
      <c r="AV438" s="2">
        <v>7</v>
      </c>
      <c r="AW438" s="54">
        <f t="shared" si="114"/>
        <v>7</v>
      </c>
      <c r="AX438" s="48">
        <v>9</v>
      </c>
      <c r="AY438" s="2">
        <v>9</v>
      </c>
      <c r="AZ438" s="70">
        <v>9</v>
      </c>
      <c r="BA438" s="71">
        <v>9</v>
      </c>
      <c r="BB438" s="78">
        <v>9</v>
      </c>
      <c r="BC438" s="70">
        <v>9</v>
      </c>
      <c r="BD438" s="78">
        <v>9</v>
      </c>
      <c r="BE438" s="71">
        <v>10</v>
      </c>
      <c r="BF438" s="1">
        <v>10</v>
      </c>
      <c r="BG438" s="71">
        <v>10</v>
      </c>
      <c r="BH438" s="71">
        <v>10</v>
      </c>
      <c r="BI438" s="79">
        <v>10</v>
      </c>
      <c r="BJ438" s="2" t="e">
        <f t="shared" ca="1" si="129"/>
        <v>#NAME?</v>
      </c>
      <c r="BK438" s="5">
        <v>10</v>
      </c>
      <c r="BL438" s="5">
        <v>10</v>
      </c>
      <c r="BM438" s="5">
        <v>10</v>
      </c>
      <c r="BN438" s="5">
        <v>10</v>
      </c>
      <c r="BO438" s="5">
        <v>10</v>
      </c>
      <c r="BP438" s="54">
        <f t="shared" si="115"/>
        <v>10</v>
      </c>
      <c r="BQ438" s="5"/>
      <c r="BR438" s="5"/>
      <c r="BS438" s="5">
        <v>8</v>
      </c>
      <c r="BT438" s="5">
        <v>9</v>
      </c>
      <c r="BU438" s="5">
        <v>8</v>
      </c>
      <c r="BV438" s="5">
        <v>8</v>
      </c>
      <c r="BW438" s="5">
        <v>8</v>
      </c>
      <c r="BX438" s="5">
        <v>8</v>
      </c>
      <c r="BY438" s="5">
        <v>8</v>
      </c>
      <c r="BZ438" s="5">
        <v>9</v>
      </c>
      <c r="CA438" s="5">
        <v>9</v>
      </c>
      <c r="CB438" s="5">
        <v>9</v>
      </c>
      <c r="CC438" s="2" t="e">
        <f t="shared" ca="1" si="130"/>
        <v>#NAME?</v>
      </c>
      <c r="CD438" s="96" t="s">
        <v>886</v>
      </c>
      <c r="CE438" s="2">
        <v>7</v>
      </c>
      <c r="CF438" s="2">
        <v>8</v>
      </c>
      <c r="CG438" s="2">
        <v>8</v>
      </c>
      <c r="CH438" s="2">
        <v>7</v>
      </c>
      <c r="CI438" s="2">
        <v>8</v>
      </c>
      <c r="CJ438" s="2">
        <v>8</v>
      </c>
      <c r="CK438" s="2">
        <v>8</v>
      </c>
      <c r="CL438" s="2">
        <v>7</v>
      </c>
      <c r="CM438" s="2">
        <v>8</v>
      </c>
      <c r="CN438" s="2">
        <v>8</v>
      </c>
      <c r="CO438" s="2">
        <v>8</v>
      </c>
      <c r="CP438" s="2" t="e">
        <f t="shared" ca="1" si="131"/>
        <v>#NAME?</v>
      </c>
      <c r="CQ438" s="2">
        <v>9</v>
      </c>
      <c r="CR438" s="2">
        <v>8</v>
      </c>
      <c r="CS438" s="2">
        <v>10</v>
      </c>
      <c r="CT438" s="2">
        <v>9</v>
      </c>
      <c r="CU438" s="2">
        <v>9</v>
      </c>
      <c r="CV438" s="54">
        <f t="shared" si="116"/>
        <v>9</v>
      </c>
      <c r="CW438" s="96" t="s">
        <v>886</v>
      </c>
      <c r="CX438" s="3"/>
    </row>
    <row r="439" spans="1:102" ht="16.5" x14ac:dyDescent="0.55000000000000004">
      <c r="A439" s="17">
        <v>2</v>
      </c>
      <c r="B439" s="17" t="s">
        <v>8</v>
      </c>
      <c r="C439" s="23" t="s">
        <v>919</v>
      </c>
      <c r="D439" s="24" t="s">
        <v>920</v>
      </c>
      <c r="E439" s="48"/>
      <c r="F439" s="2"/>
      <c r="G439" s="2">
        <v>10</v>
      </c>
      <c r="H439" s="2">
        <v>10</v>
      </c>
      <c r="I439" s="2">
        <v>10</v>
      </c>
      <c r="J439" s="2">
        <v>10</v>
      </c>
      <c r="K439" s="2">
        <v>10</v>
      </c>
      <c r="L439" s="2">
        <v>10</v>
      </c>
      <c r="M439" s="2">
        <v>10</v>
      </c>
      <c r="N439" s="2">
        <v>10</v>
      </c>
      <c r="O439" s="2">
        <v>10</v>
      </c>
      <c r="P439" s="2">
        <v>10</v>
      </c>
      <c r="Q439" s="2" t="e">
        <f t="shared" ca="1" si="127"/>
        <v>#NAME?</v>
      </c>
      <c r="R439" s="2">
        <v>8</v>
      </c>
      <c r="S439" s="2">
        <v>10</v>
      </c>
      <c r="T439" s="2">
        <v>10</v>
      </c>
      <c r="U439" s="2">
        <v>10</v>
      </c>
      <c r="V439" s="2">
        <v>10</v>
      </c>
      <c r="W439" s="54">
        <f t="shared" si="113"/>
        <v>10</v>
      </c>
      <c r="X439" s="48">
        <v>7</v>
      </c>
      <c r="Y439" s="2">
        <v>8</v>
      </c>
      <c r="Z439" s="2"/>
      <c r="AA439" s="2">
        <v>8</v>
      </c>
      <c r="AB439" s="2">
        <v>8</v>
      </c>
      <c r="AC439" s="2">
        <v>8</v>
      </c>
      <c r="AD439" s="2">
        <v>9</v>
      </c>
      <c r="AE439" s="2">
        <v>10</v>
      </c>
      <c r="AF439" s="2">
        <v>10</v>
      </c>
      <c r="AG439" s="2">
        <v>10</v>
      </c>
      <c r="AH439" s="2">
        <v>10</v>
      </c>
      <c r="AI439" s="2">
        <v>10</v>
      </c>
      <c r="AJ439" s="2">
        <v>10</v>
      </c>
      <c r="AK439" s="2">
        <v>10</v>
      </c>
      <c r="AL439" s="2">
        <v>10</v>
      </c>
      <c r="AM439" s="2">
        <v>10</v>
      </c>
      <c r="AN439" s="2">
        <v>10</v>
      </c>
      <c r="AO439" s="2">
        <v>10</v>
      </c>
      <c r="AP439" s="2">
        <v>10</v>
      </c>
      <c r="AQ439" s="2" t="e">
        <f t="shared" ca="1" si="128"/>
        <v>#NAME?</v>
      </c>
      <c r="AR439" s="2">
        <v>8</v>
      </c>
      <c r="AS439" s="2">
        <v>8</v>
      </c>
      <c r="AT439" s="2">
        <v>9</v>
      </c>
      <c r="AU439" s="2">
        <v>10</v>
      </c>
      <c r="AV439" s="2">
        <v>10</v>
      </c>
      <c r="AW439" s="54">
        <f t="shared" si="114"/>
        <v>9</v>
      </c>
      <c r="AX439" s="48">
        <v>9</v>
      </c>
      <c r="AY439" s="2">
        <v>8</v>
      </c>
      <c r="AZ439" s="70">
        <v>9</v>
      </c>
      <c r="BA439" s="71">
        <v>9</v>
      </c>
      <c r="BB439" s="71">
        <v>8</v>
      </c>
      <c r="BC439" s="70">
        <v>8</v>
      </c>
      <c r="BD439" s="71">
        <v>10</v>
      </c>
      <c r="BE439" s="71">
        <v>10</v>
      </c>
      <c r="BF439" s="1">
        <v>10</v>
      </c>
      <c r="BG439" s="71">
        <v>10</v>
      </c>
      <c r="BH439" s="71">
        <v>9</v>
      </c>
      <c r="BI439" s="79">
        <v>9</v>
      </c>
      <c r="BJ439" s="2" t="e">
        <f t="shared" ca="1" si="129"/>
        <v>#NAME?</v>
      </c>
      <c r="BK439" s="5">
        <v>8</v>
      </c>
      <c r="BL439" s="5">
        <v>9</v>
      </c>
      <c r="BM439" s="5">
        <v>9</v>
      </c>
      <c r="BN439" s="5">
        <v>9</v>
      </c>
      <c r="BO439" s="5">
        <v>9</v>
      </c>
      <c r="BP439" s="54">
        <f t="shared" si="115"/>
        <v>9</v>
      </c>
      <c r="BQ439" s="5"/>
      <c r="BR439" s="5"/>
      <c r="BS439" s="5">
        <v>10</v>
      </c>
      <c r="BT439" s="5">
        <v>10</v>
      </c>
      <c r="BU439" s="5">
        <v>10</v>
      </c>
      <c r="BV439" s="5">
        <v>10</v>
      </c>
      <c r="BW439" s="5">
        <v>10</v>
      </c>
      <c r="BX439" s="5">
        <v>10</v>
      </c>
      <c r="BY439" s="5">
        <v>10</v>
      </c>
      <c r="BZ439" s="5">
        <v>10</v>
      </c>
      <c r="CA439" s="5">
        <v>10</v>
      </c>
      <c r="CB439" s="5">
        <v>10</v>
      </c>
      <c r="CC439" s="2" t="e">
        <f t="shared" ca="1" si="130"/>
        <v>#NAME?</v>
      </c>
      <c r="CD439" s="96">
        <v>5</v>
      </c>
      <c r="CE439" s="2">
        <v>7</v>
      </c>
      <c r="CF439" s="2">
        <v>10</v>
      </c>
      <c r="CG439" s="2">
        <v>10</v>
      </c>
      <c r="CH439" s="2">
        <v>9</v>
      </c>
      <c r="CI439" s="2">
        <v>10</v>
      </c>
      <c r="CJ439" s="2">
        <v>8</v>
      </c>
      <c r="CK439" s="2">
        <v>10</v>
      </c>
      <c r="CL439" s="2">
        <v>8</v>
      </c>
      <c r="CM439" s="2">
        <v>10</v>
      </c>
      <c r="CN439" s="2">
        <v>8</v>
      </c>
      <c r="CO439" s="2">
        <v>10</v>
      </c>
      <c r="CP439" s="2" t="e">
        <f t="shared" ca="1" si="131"/>
        <v>#NAME?</v>
      </c>
      <c r="CQ439" s="2">
        <v>9</v>
      </c>
      <c r="CR439" s="2">
        <v>10</v>
      </c>
      <c r="CS439" s="2">
        <v>10</v>
      </c>
      <c r="CT439" s="2">
        <v>10</v>
      </c>
      <c r="CU439" s="2">
        <v>9</v>
      </c>
      <c r="CV439" s="54">
        <f t="shared" si="116"/>
        <v>10</v>
      </c>
      <c r="CW439" s="96">
        <v>10</v>
      </c>
      <c r="CX439" s="3"/>
    </row>
    <row r="440" spans="1:102" ht="16.5" x14ac:dyDescent="0.55000000000000004">
      <c r="A440" s="17">
        <v>2</v>
      </c>
      <c r="B440" s="17" t="s">
        <v>8</v>
      </c>
      <c r="C440" s="23" t="s">
        <v>921</v>
      </c>
      <c r="D440" s="24" t="s">
        <v>922</v>
      </c>
      <c r="E440" s="48"/>
      <c r="F440" s="2"/>
      <c r="G440" s="2">
        <v>10</v>
      </c>
      <c r="H440" s="2">
        <v>10</v>
      </c>
      <c r="I440" s="2">
        <v>10</v>
      </c>
      <c r="J440" s="2">
        <v>10</v>
      </c>
      <c r="K440" s="2">
        <v>10</v>
      </c>
      <c r="L440" s="2">
        <v>10</v>
      </c>
      <c r="M440" s="2">
        <v>10</v>
      </c>
      <c r="N440" s="2">
        <v>10</v>
      </c>
      <c r="O440" s="2">
        <v>10</v>
      </c>
      <c r="P440" s="2">
        <v>10</v>
      </c>
      <c r="Q440" s="2" t="e">
        <f t="shared" ca="1" si="127"/>
        <v>#NAME?</v>
      </c>
      <c r="R440" s="2">
        <v>10</v>
      </c>
      <c r="S440" s="2">
        <v>10</v>
      </c>
      <c r="T440" s="2">
        <v>10</v>
      </c>
      <c r="U440" s="2">
        <v>10</v>
      </c>
      <c r="V440" s="2">
        <v>10</v>
      </c>
      <c r="W440" s="54">
        <f t="shared" si="113"/>
        <v>10</v>
      </c>
      <c r="X440" s="48">
        <v>10</v>
      </c>
      <c r="Y440" s="2">
        <v>10</v>
      </c>
      <c r="Z440" s="2"/>
      <c r="AA440" s="2">
        <v>8</v>
      </c>
      <c r="AB440" s="2">
        <v>9</v>
      </c>
      <c r="AC440" s="2">
        <v>8</v>
      </c>
      <c r="AD440" s="2">
        <v>9</v>
      </c>
      <c r="AE440" s="2">
        <v>9</v>
      </c>
      <c r="AF440" s="2">
        <v>10</v>
      </c>
      <c r="AG440" s="2">
        <v>10</v>
      </c>
      <c r="AH440" s="2">
        <v>9</v>
      </c>
      <c r="AI440" s="2">
        <v>10</v>
      </c>
      <c r="AJ440" s="2">
        <v>10</v>
      </c>
      <c r="AK440" s="2">
        <v>9</v>
      </c>
      <c r="AL440" s="2">
        <v>10</v>
      </c>
      <c r="AM440" s="2">
        <v>10</v>
      </c>
      <c r="AN440" s="2">
        <v>9</v>
      </c>
      <c r="AO440" s="2">
        <v>10</v>
      </c>
      <c r="AP440" s="2">
        <v>10</v>
      </c>
      <c r="AQ440" s="2" t="e">
        <f t="shared" ca="1" si="128"/>
        <v>#NAME?</v>
      </c>
      <c r="AR440" s="2">
        <v>8</v>
      </c>
      <c r="AS440" s="2">
        <v>9</v>
      </c>
      <c r="AT440" s="2">
        <v>9</v>
      </c>
      <c r="AU440" s="2">
        <v>10</v>
      </c>
      <c r="AV440" s="2">
        <v>10</v>
      </c>
      <c r="AW440" s="54">
        <f t="shared" si="114"/>
        <v>10</v>
      </c>
      <c r="AX440" s="48">
        <v>9</v>
      </c>
      <c r="AY440" s="2">
        <v>10</v>
      </c>
      <c r="AZ440" s="88">
        <v>10</v>
      </c>
      <c r="BA440" s="88">
        <v>10</v>
      </c>
      <c r="BB440" s="88">
        <v>10</v>
      </c>
      <c r="BC440" s="88">
        <v>10</v>
      </c>
      <c r="BD440" s="88">
        <v>10</v>
      </c>
      <c r="BE440" s="88">
        <v>9</v>
      </c>
      <c r="BF440" s="88">
        <v>9</v>
      </c>
      <c r="BG440" s="88">
        <v>9</v>
      </c>
      <c r="BH440" s="88">
        <v>9</v>
      </c>
      <c r="BI440" s="89">
        <v>10</v>
      </c>
      <c r="BJ440" s="2" t="e">
        <f t="shared" ca="1" si="129"/>
        <v>#NAME?</v>
      </c>
      <c r="BK440" s="5">
        <v>10</v>
      </c>
      <c r="BL440" s="5">
        <v>10</v>
      </c>
      <c r="BM440" s="5">
        <v>10</v>
      </c>
      <c r="BN440" s="5">
        <v>10</v>
      </c>
      <c r="BO440" s="5">
        <v>10</v>
      </c>
      <c r="BP440" s="54">
        <f t="shared" si="115"/>
        <v>10</v>
      </c>
      <c r="BQ440" s="5"/>
      <c r="BR440" s="5"/>
      <c r="BS440" s="5">
        <v>10</v>
      </c>
      <c r="BT440" s="5">
        <v>10</v>
      </c>
      <c r="BU440" s="5">
        <v>10</v>
      </c>
      <c r="BV440" s="5">
        <v>10</v>
      </c>
      <c r="BW440" s="5">
        <v>10</v>
      </c>
      <c r="BX440" s="5">
        <v>10</v>
      </c>
      <c r="BY440" s="5">
        <v>10</v>
      </c>
      <c r="BZ440" s="5">
        <v>10</v>
      </c>
      <c r="CA440" s="5">
        <v>10</v>
      </c>
      <c r="CB440" s="5">
        <v>10</v>
      </c>
      <c r="CC440" s="2" t="e">
        <f t="shared" ca="1" si="130"/>
        <v>#NAME?</v>
      </c>
      <c r="CD440" s="96">
        <v>10</v>
      </c>
      <c r="CE440" s="2">
        <v>10</v>
      </c>
      <c r="CF440" s="2">
        <v>10</v>
      </c>
      <c r="CG440" s="2">
        <v>10</v>
      </c>
      <c r="CH440" s="2">
        <v>10</v>
      </c>
      <c r="CI440" s="2">
        <v>10</v>
      </c>
      <c r="CJ440" s="2">
        <v>9</v>
      </c>
      <c r="CK440" s="2">
        <v>10</v>
      </c>
      <c r="CL440" s="2">
        <v>9</v>
      </c>
      <c r="CM440" s="2">
        <v>10</v>
      </c>
      <c r="CN440" s="2">
        <v>10</v>
      </c>
      <c r="CO440" s="2">
        <v>10</v>
      </c>
      <c r="CP440" s="2" t="e">
        <f t="shared" ca="1" si="131"/>
        <v>#NAME?</v>
      </c>
      <c r="CQ440" s="2">
        <v>10</v>
      </c>
      <c r="CR440" s="2">
        <v>10</v>
      </c>
      <c r="CS440" s="2">
        <v>10</v>
      </c>
      <c r="CT440" s="2">
        <v>10</v>
      </c>
      <c r="CU440" s="2">
        <v>10</v>
      </c>
      <c r="CV440" s="54">
        <f t="shared" si="116"/>
        <v>10</v>
      </c>
      <c r="CW440" s="96">
        <v>19</v>
      </c>
      <c r="CX440" s="3"/>
    </row>
    <row r="441" spans="1:102" ht="16.5" x14ac:dyDescent="0.55000000000000004">
      <c r="A441" s="17">
        <v>2</v>
      </c>
      <c r="B441" s="17" t="s">
        <v>8</v>
      </c>
      <c r="C441" s="23" t="s">
        <v>923</v>
      </c>
      <c r="D441" s="24" t="s">
        <v>924</v>
      </c>
      <c r="E441" s="48"/>
      <c r="F441" s="2"/>
      <c r="G441" s="2">
        <v>10</v>
      </c>
      <c r="H441" s="2">
        <v>10</v>
      </c>
      <c r="I441" s="2">
        <v>10</v>
      </c>
      <c r="J441" s="2">
        <v>10</v>
      </c>
      <c r="K441" s="2">
        <v>10</v>
      </c>
      <c r="L441" s="2">
        <v>10</v>
      </c>
      <c r="M441" s="2">
        <v>10</v>
      </c>
      <c r="N441" s="2">
        <v>10</v>
      </c>
      <c r="O441" s="2">
        <v>10</v>
      </c>
      <c r="P441" s="2">
        <v>10</v>
      </c>
      <c r="Q441" s="2" t="e">
        <f t="shared" ca="1" si="127"/>
        <v>#NAME?</v>
      </c>
      <c r="R441" s="2">
        <v>10</v>
      </c>
      <c r="S441" s="2">
        <v>10</v>
      </c>
      <c r="T441" s="2">
        <v>10</v>
      </c>
      <c r="U441" s="2">
        <v>10</v>
      </c>
      <c r="V441" s="2">
        <v>10</v>
      </c>
      <c r="W441" s="54">
        <f t="shared" si="113"/>
        <v>10</v>
      </c>
      <c r="X441" s="48">
        <v>9</v>
      </c>
      <c r="Y441" s="2">
        <v>10</v>
      </c>
      <c r="Z441" s="2"/>
      <c r="AA441" s="2">
        <v>8</v>
      </c>
      <c r="AB441" s="2">
        <v>9</v>
      </c>
      <c r="AC441" s="2">
        <v>9</v>
      </c>
      <c r="AD441" s="2">
        <v>9</v>
      </c>
      <c r="AE441" s="2">
        <v>9</v>
      </c>
      <c r="AF441" s="2">
        <v>10</v>
      </c>
      <c r="AG441" s="2">
        <v>10</v>
      </c>
      <c r="AH441" s="2">
        <v>10</v>
      </c>
      <c r="AI441" s="2">
        <v>10</v>
      </c>
      <c r="AJ441" s="2">
        <v>10</v>
      </c>
      <c r="AK441" s="2">
        <v>9</v>
      </c>
      <c r="AL441" s="2">
        <v>10</v>
      </c>
      <c r="AM441" s="2">
        <v>10</v>
      </c>
      <c r="AN441" s="2">
        <v>10</v>
      </c>
      <c r="AO441" s="2">
        <v>10</v>
      </c>
      <c r="AP441" s="2">
        <v>10</v>
      </c>
      <c r="AQ441" s="2" t="e">
        <f t="shared" ca="1" si="128"/>
        <v>#NAME?</v>
      </c>
      <c r="AR441" s="2">
        <v>8</v>
      </c>
      <c r="AS441" s="2">
        <v>8</v>
      </c>
      <c r="AT441" s="2">
        <v>9</v>
      </c>
      <c r="AU441" s="2">
        <v>10</v>
      </c>
      <c r="AV441" s="2">
        <v>10</v>
      </c>
      <c r="AW441" s="54">
        <f t="shared" si="114"/>
        <v>9</v>
      </c>
      <c r="AX441" s="48">
        <v>8</v>
      </c>
      <c r="AY441" s="2">
        <v>9</v>
      </c>
      <c r="AZ441" s="88">
        <v>10</v>
      </c>
      <c r="BA441" s="88">
        <v>10</v>
      </c>
      <c r="BB441" s="88">
        <v>9</v>
      </c>
      <c r="BC441" s="88">
        <v>9</v>
      </c>
      <c r="BD441" s="88">
        <v>10</v>
      </c>
      <c r="BE441" s="88">
        <v>10</v>
      </c>
      <c r="BF441" s="8">
        <v>10</v>
      </c>
      <c r="BG441" s="88">
        <v>10</v>
      </c>
      <c r="BH441" s="88">
        <v>10</v>
      </c>
      <c r="BI441" s="89">
        <v>10</v>
      </c>
      <c r="BJ441" s="2" t="e">
        <f t="shared" ca="1" si="129"/>
        <v>#NAME?</v>
      </c>
      <c r="BK441" s="5">
        <v>10</v>
      </c>
      <c r="BL441" s="5">
        <v>10</v>
      </c>
      <c r="BM441" s="5">
        <v>10</v>
      </c>
      <c r="BN441" s="5">
        <v>10</v>
      </c>
      <c r="BO441" s="5">
        <v>10</v>
      </c>
      <c r="BP441" s="54">
        <f t="shared" si="115"/>
        <v>10</v>
      </c>
      <c r="BQ441" s="5"/>
      <c r="BR441" s="5"/>
      <c r="BS441" s="5">
        <v>10</v>
      </c>
      <c r="BT441" s="5">
        <v>10</v>
      </c>
      <c r="BU441" s="5">
        <v>10</v>
      </c>
      <c r="BV441" s="5">
        <v>10</v>
      </c>
      <c r="BW441" s="5">
        <v>10</v>
      </c>
      <c r="BX441" s="5">
        <v>10</v>
      </c>
      <c r="BY441" s="5">
        <v>10</v>
      </c>
      <c r="BZ441" s="5">
        <v>10</v>
      </c>
      <c r="CA441" s="5">
        <v>10</v>
      </c>
      <c r="CB441" s="5">
        <v>10</v>
      </c>
      <c r="CC441" s="2" t="e">
        <f t="shared" ca="1" si="130"/>
        <v>#NAME?</v>
      </c>
      <c r="CD441" s="96">
        <v>9</v>
      </c>
      <c r="CE441" s="2">
        <v>9</v>
      </c>
      <c r="CF441" s="2">
        <v>10</v>
      </c>
      <c r="CG441" s="2">
        <v>10</v>
      </c>
      <c r="CH441" s="2">
        <v>9</v>
      </c>
      <c r="CI441" s="2">
        <v>10</v>
      </c>
      <c r="CJ441" s="2">
        <v>10</v>
      </c>
      <c r="CK441" s="2">
        <v>10</v>
      </c>
      <c r="CL441" s="2">
        <v>10</v>
      </c>
      <c r="CM441" s="2">
        <v>10</v>
      </c>
      <c r="CN441" s="2">
        <v>10</v>
      </c>
      <c r="CO441" s="2">
        <v>10</v>
      </c>
      <c r="CP441" s="2" t="e">
        <f t="shared" ca="1" si="131"/>
        <v>#NAME?</v>
      </c>
      <c r="CQ441" s="2">
        <v>10</v>
      </c>
      <c r="CR441" s="2">
        <v>9</v>
      </c>
      <c r="CS441" s="2">
        <v>10</v>
      </c>
      <c r="CT441" s="2">
        <v>10</v>
      </c>
      <c r="CU441" s="2">
        <v>10</v>
      </c>
      <c r="CV441" s="54">
        <f t="shared" si="116"/>
        <v>10</v>
      </c>
      <c r="CW441" s="96">
        <v>16</v>
      </c>
      <c r="CX441" s="3"/>
    </row>
    <row r="442" spans="1:102" ht="16.5" x14ac:dyDescent="0.55000000000000004">
      <c r="A442" s="17">
        <v>2</v>
      </c>
      <c r="B442" s="17" t="s">
        <v>8</v>
      </c>
      <c r="C442" s="23" t="s">
        <v>925</v>
      </c>
      <c r="D442" s="24" t="s">
        <v>926</v>
      </c>
      <c r="E442" s="48"/>
      <c r="F442" s="2"/>
      <c r="G442" s="2">
        <v>5</v>
      </c>
      <c r="H442" s="2">
        <v>5</v>
      </c>
      <c r="I442" s="2">
        <v>5</v>
      </c>
      <c r="J442" s="2">
        <v>5</v>
      </c>
      <c r="K442" s="2">
        <v>5</v>
      </c>
      <c r="L442" s="2">
        <v>5</v>
      </c>
      <c r="M442" s="2">
        <v>5</v>
      </c>
      <c r="N442" s="2">
        <v>5</v>
      </c>
      <c r="O442" s="2">
        <v>5</v>
      </c>
      <c r="P442" s="2">
        <v>5</v>
      </c>
      <c r="Q442" s="2" t="e">
        <f t="shared" ca="1" si="127"/>
        <v>#NAME?</v>
      </c>
      <c r="R442" s="2">
        <v>5</v>
      </c>
      <c r="S442" s="2">
        <v>5</v>
      </c>
      <c r="T442" s="2">
        <v>5</v>
      </c>
      <c r="U442" s="2">
        <v>5</v>
      </c>
      <c r="V442" s="2">
        <v>5</v>
      </c>
      <c r="W442" s="54">
        <f t="shared" si="113"/>
        <v>5</v>
      </c>
      <c r="X442" s="48">
        <v>7</v>
      </c>
      <c r="Y442" s="2">
        <v>8</v>
      </c>
      <c r="Z442" s="2"/>
      <c r="AA442" s="2">
        <v>10</v>
      </c>
      <c r="AB442" s="2">
        <v>9</v>
      </c>
      <c r="AC442" s="2">
        <v>10</v>
      </c>
      <c r="AD442" s="2">
        <v>9</v>
      </c>
      <c r="AE442" s="2">
        <v>10</v>
      </c>
      <c r="AF442" s="2">
        <v>9</v>
      </c>
      <c r="AG442" s="2">
        <v>9</v>
      </c>
      <c r="AH442" s="2">
        <v>9</v>
      </c>
      <c r="AI442" s="2">
        <v>10</v>
      </c>
      <c r="AJ442" s="2">
        <v>10</v>
      </c>
      <c r="AK442" s="2">
        <v>10</v>
      </c>
      <c r="AL442" s="2">
        <v>9</v>
      </c>
      <c r="AM442" s="2">
        <v>9</v>
      </c>
      <c r="AN442" s="2">
        <v>9</v>
      </c>
      <c r="AO442" s="2">
        <v>10</v>
      </c>
      <c r="AP442" s="2">
        <v>10</v>
      </c>
      <c r="AQ442" s="2" t="e">
        <f t="shared" ca="1" si="128"/>
        <v>#NAME?</v>
      </c>
      <c r="AR442" s="2">
        <v>10</v>
      </c>
      <c r="AS442" s="2">
        <v>10</v>
      </c>
      <c r="AT442" s="2">
        <v>10</v>
      </c>
      <c r="AU442" s="2">
        <v>10</v>
      </c>
      <c r="AV442" s="2">
        <v>9</v>
      </c>
      <c r="AW442" s="54">
        <f t="shared" si="114"/>
        <v>10</v>
      </c>
      <c r="AX442" s="100">
        <v>8</v>
      </c>
      <c r="AY442" s="101">
        <v>8</v>
      </c>
      <c r="AZ442" s="88">
        <v>8</v>
      </c>
      <c r="BA442" s="88">
        <v>8</v>
      </c>
      <c r="BB442" s="88">
        <v>8</v>
      </c>
      <c r="BC442" s="88">
        <v>8</v>
      </c>
      <c r="BD442" s="88">
        <v>8</v>
      </c>
      <c r="BE442" s="88">
        <v>8</v>
      </c>
      <c r="BF442" s="88">
        <v>8</v>
      </c>
      <c r="BG442" s="88">
        <v>8</v>
      </c>
      <c r="BH442" s="88">
        <v>8</v>
      </c>
      <c r="BI442" s="89">
        <v>8</v>
      </c>
      <c r="BJ442" s="2" t="e">
        <f t="shared" ca="1" si="129"/>
        <v>#NAME?</v>
      </c>
      <c r="BK442" s="102">
        <v>8</v>
      </c>
      <c r="BL442" s="102">
        <v>8</v>
      </c>
      <c r="BM442" s="102">
        <v>8</v>
      </c>
      <c r="BN442" s="102">
        <v>8</v>
      </c>
      <c r="BO442" s="102">
        <v>8</v>
      </c>
      <c r="BP442" s="54">
        <f t="shared" si="115"/>
        <v>8</v>
      </c>
      <c r="BQ442" s="5"/>
      <c r="BR442" s="5"/>
      <c r="BS442" s="5">
        <v>10</v>
      </c>
      <c r="BT442" s="5">
        <v>10</v>
      </c>
      <c r="BU442" s="5">
        <v>10</v>
      </c>
      <c r="BV442" s="5">
        <v>10</v>
      </c>
      <c r="BW442" s="5">
        <v>9</v>
      </c>
      <c r="BX442" s="5">
        <v>10</v>
      </c>
      <c r="BY442" s="5">
        <v>10</v>
      </c>
      <c r="BZ442" s="5">
        <v>10</v>
      </c>
      <c r="CA442" s="5">
        <v>10</v>
      </c>
      <c r="CB442" s="5">
        <v>10</v>
      </c>
      <c r="CC442" s="2" t="e">
        <f t="shared" ca="1" si="130"/>
        <v>#NAME?</v>
      </c>
      <c r="CD442" s="96">
        <v>10</v>
      </c>
      <c r="CE442" s="2">
        <v>10</v>
      </c>
      <c r="CF442" s="2">
        <v>10</v>
      </c>
      <c r="CG442" s="2">
        <v>10</v>
      </c>
      <c r="CH442" s="2">
        <v>10</v>
      </c>
      <c r="CI442" s="2">
        <v>9</v>
      </c>
      <c r="CJ442" s="2">
        <v>10</v>
      </c>
      <c r="CK442" s="2">
        <v>10</v>
      </c>
      <c r="CL442" s="2">
        <v>9</v>
      </c>
      <c r="CM442" s="2">
        <v>10</v>
      </c>
      <c r="CN442" s="2">
        <v>10</v>
      </c>
      <c r="CO442" s="2">
        <v>10</v>
      </c>
      <c r="CP442" s="2" t="e">
        <f t="shared" ca="1" si="131"/>
        <v>#NAME?</v>
      </c>
      <c r="CQ442" s="2">
        <v>10</v>
      </c>
      <c r="CR442" s="2">
        <v>10</v>
      </c>
      <c r="CS442" s="2">
        <v>10</v>
      </c>
      <c r="CT442" s="2">
        <v>10</v>
      </c>
      <c r="CU442" s="2">
        <v>10</v>
      </c>
      <c r="CV442" s="54">
        <f t="shared" si="116"/>
        <v>10</v>
      </c>
      <c r="CW442" s="96">
        <v>20</v>
      </c>
      <c r="CX442" s="3"/>
    </row>
    <row r="443" spans="1:102" ht="16.5" x14ac:dyDescent="0.55000000000000004">
      <c r="A443" s="17">
        <v>2</v>
      </c>
      <c r="B443" s="17" t="s">
        <v>8</v>
      </c>
      <c r="C443" s="23" t="s">
        <v>927</v>
      </c>
      <c r="D443" s="24" t="s">
        <v>928</v>
      </c>
      <c r="E443" s="48"/>
      <c r="F443" s="2"/>
      <c r="G443" s="2">
        <v>5</v>
      </c>
      <c r="H443" s="2">
        <v>5</v>
      </c>
      <c r="I443" s="2">
        <v>5</v>
      </c>
      <c r="J443" s="2">
        <v>5</v>
      </c>
      <c r="K443" s="2">
        <v>5</v>
      </c>
      <c r="L443" s="2">
        <v>5</v>
      </c>
      <c r="M443" s="2">
        <v>5</v>
      </c>
      <c r="N443" s="2">
        <v>5</v>
      </c>
      <c r="O443" s="2">
        <v>5</v>
      </c>
      <c r="P443" s="2">
        <v>5</v>
      </c>
      <c r="Q443" s="2" t="e">
        <f t="shared" ca="1" si="127"/>
        <v>#NAME?</v>
      </c>
      <c r="R443" s="2">
        <v>5</v>
      </c>
      <c r="S443" s="2">
        <v>5</v>
      </c>
      <c r="T443" s="2">
        <v>5</v>
      </c>
      <c r="U443" s="2">
        <v>5</v>
      </c>
      <c r="V443" s="2">
        <v>5</v>
      </c>
      <c r="W443" s="54">
        <f t="shared" si="113"/>
        <v>5</v>
      </c>
      <c r="X443" s="48">
        <v>7</v>
      </c>
      <c r="Y443" s="2">
        <v>7</v>
      </c>
      <c r="Z443" s="2"/>
      <c r="AA443" s="2">
        <v>8</v>
      </c>
      <c r="AB443" s="2">
        <v>9</v>
      </c>
      <c r="AC443" s="2">
        <v>9</v>
      </c>
      <c r="AD443" s="2">
        <v>10</v>
      </c>
      <c r="AE443" s="2">
        <v>9</v>
      </c>
      <c r="AF443" s="2">
        <v>10</v>
      </c>
      <c r="AG443" s="2">
        <v>10</v>
      </c>
      <c r="AH443" s="2">
        <v>10</v>
      </c>
      <c r="AI443" s="2">
        <v>10</v>
      </c>
      <c r="AJ443" s="2">
        <v>10</v>
      </c>
      <c r="AK443" s="2">
        <v>9</v>
      </c>
      <c r="AL443" s="2">
        <v>10</v>
      </c>
      <c r="AM443" s="2">
        <v>10</v>
      </c>
      <c r="AN443" s="2">
        <v>10</v>
      </c>
      <c r="AO443" s="2">
        <v>10</v>
      </c>
      <c r="AP443" s="2">
        <v>10</v>
      </c>
      <c r="AQ443" s="2" t="e">
        <f t="shared" ca="1" si="128"/>
        <v>#NAME?</v>
      </c>
      <c r="AR443" s="2">
        <v>8</v>
      </c>
      <c r="AS443" s="2">
        <v>8</v>
      </c>
      <c r="AT443" s="2">
        <v>9</v>
      </c>
      <c r="AU443" s="2">
        <v>10</v>
      </c>
      <c r="AV443" s="2">
        <v>10</v>
      </c>
      <c r="AW443" s="54">
        <f t="shared" si="114"/>
        <v>9</v>
      </c>
      <c r="AX443" s="48">
        <v>9</v>
      </c>
      <c r="AY443" s="2">
        <v>8</v>
      </c>
      <c r="AZ443" s="88">
        <v>9</v>
      </c>
      <c r="BA443" s="88">
        <v>9</v>
      </c>
      <c r="BB443" s="88">
        <v>9</v>
      </c>
      <c r="BC443" s="88">
        <v>9</v>
      </c>
      <c r="BD443" s="88">
        <v>9</v>
      </c>
      <c r="BE443" s="88">
        <v>9</v>
      </c>
      <c r="BF443" s="8">
        <v>10</v>
      </c>
      <c r="BG443" s="88">
        <v>10</v>
      </c>
      <c r="BH443" s="8">
        <v>10</v>
      </c>
      <c r="BI443" s="89">
        <v>10</v>
      </c>
      <c r="BJ443" s="2" t="e">
        <f t="shared" ca="1" si="129"/>
        <v>#NAME?</v>
      </c>
      <c r="BK443" s="5">
        <v>9</v>
      </c>
      <c r="BL443" s="5">
        <v>9</v>
      </c>
      <c r="BM443" s="5">
        <v>9</v>
      </c>
      <c r="BN443" s="5">
        <v>9</v>
      </c>
      <c r="BO443" s="5">
        <v>9</v>
      </c>
      <c r="BP443" s="54">
        <f t="shared" si="115"/>
        <v>9</v>
      </c>
      <c r="BQ443" s="5"/>
      <c r="BR443" s="5"/>
      <c r="BS443" s="5">
        <v>8</v>
      </c>
      <c r="BT443" s="5">
        <v>9</v>
      </c>
      <c r="BU443" s="5">
        <v>8</v>
      </c>
      <c r="BV443" s="5">
        <v>9</v>
      </c>
      <c r="BW443" s="5">
        <v>7</v>
      </c>
      <c r="BX443" s="5">
        <v>7</v>
      </c>
      <c r="BY443" s="5">
        <v>8</v>
      </c>
      <c r="BZ443" s="5">
        <v>9</v>
      </c>
      <c r="CA443" s="5">
        <v>9</v>
      </c>
      <c r="CB443" s="5">
        <v>9</v>
      </c>
      <c r="CC443" s="2" t="e">
        <f t="shared" ca="1" si="130"/>
        <v>#NAME?</v>
      </c>
      <c r="CD443" s="96">
        <v>5</v>
      </c>
      <c r="CE443" s="2">
        <v>7</v>
      </c>
      <c r="CF443" s="2">
        <v>10</v>
      </c>
      <c r="CG443" s="2">
        <v>10</v>
      </c>
      <c r="CH443" s="2">
        <v>9</v>
      </c>
      <c r="CI443" s="2">
        <v>10</v>
      </c>
      <c r="CJ443" s="2">
        <v>8</v>
      </c>
      <c r="CK443" s="2">
        <v>10</v>
      </c>
      <c r="CL443" s="2">
        <v>8</v>
      </c>
      <c r="CM443" s="2">
        <v>10</v>
      </c>
      <c r="CN443" s="2">
        <v>8</v>
      </c>
      <c r="CO443" s="2">
        <v>10</v>
      </c>
      <c r="CP443" s="2" t="e">
        <f t="shared" ca="1" si="131"/>
        <v>#NAME?</v>
      </c>
      <c r="CQ443" s="2">
        <v>8</v>
      </c>
      <c r="CR443" s="2">
        <v>9</v>
      </c>
      <c r="CS443" s="2">
        <v>10</v>
      </c>
      <c r="CT443" s="2">
        <v>9</v>
      </c>
      <c r="CU443" s="2">
        <v>10</v>
      </c>
      <c r="CV443" s="54">
        <f t="shared" si="116"/>
        <v>10</v>
      </c>
      <c r="CW443" s="96">
        <v>6</v>
      </c>
      <c r="CX443" s="3"/>
    </row>
    <row r="444" spans="1:102" ht="16.5" x14ac:dyDescent="0.55000000000000004">
      <c r="A444" s="17">
        <v>2</v>
      </c>
      <c r="B444" s="17" t="s">
        <v>8</v>
      </c>
      <c r="C444" s="23" t="s">
        <v>929</v>
      </c>
      <c r="D444" s="24" t="s">
        <v>930</v>
      </c>
      <c r="E444" s="48"/>
      <c r="F444" s="2"/>
      <c r="G444" s="2">
        <v>10</v>
      </c>
      <c r="H444" s="2">
        <v>10</v>
      </c>
      <c r="I444" s="2">
        <v>10</v>
      </c>
      <c r="J444" s="2">
        <v>10</v>
      </c>
      <c r="K444" s="2">
        <v>10</v>
      </c>
      <c r="L444" s="2">
        <v>10</v>
      </c>
      <c r="M444" s="2">
        <v>10</v>
      </c>
      <c r="N444" s="2">
        <v>10</v>
      </c>
      <c r="O444" s="2">
        <v>10</v>
      </c>
      <c r="P444" s="2">
        <v>10</v>
      </c>
      <c r="Q444" s="2" t="e">
        <f t="shared" ca="1" si="127"/>
        <v>#NAME?</v>
      </c>
      <c r="R444" s="2">
        <v>10</v>
      </c>
      <c r="S444" s="2">
        <v>10</v>
      </c>
      <c r="T444" s="2">
        <v>10</v>
      </c>
      <c r="U444" s="2">
        <v>10</v>
      </c>
      <c r="V444" s="2">
        <v>10</v>
      </c>
      <c r="W444" s="54">
        <f t="shared" si="113"/>
        <v>10</v>
      </c>
      <c r="X444" s="48">
        <v>9</v>
      </c>
      <c r="Y444" s="2">
        <v>10</v>
      </c>
      <c r="Z444" s="2"/>
      <c r="AA444" s="2">
        <v>8</v>
      </c>
      <c r="AB444" s="2">
        <v>9</v>
      </c>
      <c r="AC444" s="2">
        <v>9</v>
      </c>
      <c r="AD444" s="2">
        <v>8</v>
      </c>
      <c r="AE444" s="2">
        <v>10</v>
      </c>
      <c r="AF444" s="2">
        <v>9</v>
      </c>
      <c r="AG444" s="2">
        <v>10</v>
      </c>
      <c r="AH444" s="2">
        <v>9</v>
      </c>
      <c r="AI444" s="2">
        <v>10</v>
      </c>
      <c r="AJ444" s="2">
        <v>10</v>
      </c>
      <c r="AK444" s="2">
        <v>10</v>
      </c>
      <c r="AL444" s="2">
        <v>9</v>
      </c>
      <c r="AM444" s="2">
        <v>10</v>
      </c>
      <c r="AN444" s="2">
        <v>9</v>
      </c>
      <c r="AO444" s="2">
        <v>10</v>
      </c>
      <c r="AP444" s="2">
        <v>10</v>
      </c>
      <c r="AQ444" s="2" t="e">
        <f t="shared" ca="1" si="128"/>
        <v>#NAME?</v>
      </c>
      <c r="AR444" s="2">
        <v>8</v>
      </c>
      <c r="AS444" s="2">
        <v>7</v>
      </c>
      <c r="AT444" s="2">
        <v>8</v>
      </c>
      <c r="AU444" s="2">
        <v>10</v>
      </c>
      <c r="AV444" s="2">
        <v>10</v>
      </c>
      <c r="AW444" s="54">
        <f t="shared" si="114"/>
        <v>9</v>
      </c>
      <c r="AX444" s="48">
        <v>8</v>
      </c>
      <c r="AY444" s="2">
        <v>9</v>
      </c>
      <c r="AZ444" s="88">
        <v>9</v>
      </c>
      <c r="BA444" s="88">
        <v>9</v>
      </c>
      <c r="BB444" s="88">
        <v>9</v>
      </c>
      <c r="BC444" s="88">
        <v>9</v>
      </c>
      <c r="BD444" s="88">
        <v>10</v>
      </c>
      <c r="BE444" s="88">
        <v>10</v>
      </c>
      <c r="BF444" s="8">
        <v>10</v>
      </c>
      <c r="BG444" s="88">
        <v>10</v>
      </c>
      <c r="BH444" s="88">
        <v>10</v>
      </c>
      <c r="BI444" s="89">
        <v>10</v>
      </c>
      <c r="BJ444" s="2" t="e">
        <f t="shared" ca="1" si="129"/>
        <v>#NAME?</v>
      </c>
      <c r="BK444" s="5">
        <v>9</v>
      </c>
      <c r="BL444" s="5">
        <v>10</v>
      </c>
      <c r="BM444" s="5">
        <v>9</v>
      </c>
      <c r="BN444" s="5">
        <v>9</v>
      </c>
      <c r="BO444" s="5">
        <v>9</v>
      </c>
      <c r="BP444" s="54">
        <f t="shared" si="115"/>
        <v>10</v>
      </c>
      <c r="BQ444" s="5"/>
      <c r="BR444" s="5"/>
      <c r="BS444" s="5">
        <v>10</v>
      </c>
      <c r="BT444" s="5">
        <v>10</v>
      </c>
      <c r="BU444" s="5">
        <v>10</v>
      </c>
      <c r="BV444" s="5">
        <v>10</v>
      </c>
      <c r="BW444" s="5">
        <v>10</v>
      </c>
      <c r="BX444" s="5">
        <v>10</v>
      </c>
      <c r="BY444" s="5">
        <v>10</v>
      </c>
      <c r="BZ444" s="5">
        <v>10</v>
      </c>
      <c r="CA444" s="5">
        <v>10</v>
      </c>
      <c r="CB444" s="5">
        <v>10</v>
      </c>
      <c r="CC444" s="2" t="e">
        <f t="shared" ca="1" si="130"/>
        <v>#NAME?</v>
      </c>
      <c r="CD444" s="96">
        <v>6</v>
      </c>
      <c r="CE444" s="2">
        <v>8</v>
      </c>
      <c r="CF444" s="2">
        <v>10</v>
      </c>
      <c r="CG444" s="2">
        <v>10</v>
      </c>
      <c r="CH444" s="2">
        <v>10</v>
      </c>
      <c r="CI444" s="2">
        <v>8</v>
      </c>
      <c r="CJ444" s="2">
        <v>10</v>
      </c>
      <c r="CK444" s="2">
        <v>8</v>
      </c>
      <c r="CL444" s="2">
        <v>10</v>
      </c>
      <c r="CM444" s="2">
        <v>9</v>
      </c>
      <c r="CN444" s="2">
        <v>10</v>
      </c>
      <c r="CO444" s="2">
        <v>10</v>
      </c>
      <c r="CP444" s="2" t="e">
        <f t="shared" ca="1" si="131"/>
        <v>#NAME?</v>
      </c>
      <c r="CQ444" s="2">
        <v>9</v>
      </c>
      <c r="CR444" s="2">
        <v>9</v>
      </c>
      <c r="CS444" s="2">
        <v>10</v>
      </c>
      <c r="CT444" s="2">
        <v>8</v>
      </c>
      <c r="CU444" s="2">
        <v>9</v>
      </c>
      <c r="CV444" s="54">
        <f t="shared" si="116"/>
        <v>9</v>
      </c>
      <c r="CW444" s="96">
        <v>11</v>
      </c>
      <c r="CX444" s="3"/>
    </row>
    <row r="445" spans="1:102" ht="16.5" x14ac:dyDescent="0.55000000000000004">
      <c r="A445" s="17">
        <v>2</v>
      </c>
      <c r="B445" s="17" t="s">
        <v>8</v>
      </c>
      <c r="C445" s="23" t="s">
        <v>931</v>
      </c>
      <c r="D445" s="24" t="s">
        <v>932</v>
      </c>
      <c r="E445" s="48"/>
      <c r="F445" s="2"/>
      <c r="G445" s="2">
        <v>5</v>
      </c>
      <c r="H445" s="2">
        <v>5</v>
      </c>
      <c r="I445" s="2">
        <v>5</v>
      </c>
      <c r="J445" s="2">
        <v>5</v>
      </c>
      <c r="K445" s="2">
        <v>5</v>
      </c>
      <c r="L445" s="2">
        <v>5</v>
      </c>
      <c r="M445" s="2">
        <v>5</v>
      </c>
      <c r="N445" s="2">
        <v>5</v>
      </c>
      <c r="O445" s="2">
        <v>5</v>
      </c>
      <c r="P445" s="2">
        <v>5</v>
      </c>
      <c r="Q445" s="2" t="e">
        <f t="shared" ca="1" si="127"/>
        <v>#NAME?</v>
      </c>
      <c r="R445" s="2">
        <v>5</v>
      </c>
      <c r="S445" s="2">
        <v>5</v>
      </c>
      <c r="T445" s="2">
        <v>5</v>
      </c>
      <c r="U445" s="2">
        <v>5</v>
      </c>
      <c r="V445" s="2">
        <v>5</v>
      </c>
      <c r="W445" s="54">
        <f t="shared" si="113"/>
        <v>5</v>
      </c>
      <c r="X445" s="48">
        <v>5</v>
      </c>
      <c r="Y445" s="2">
        <v>5</v>
      </c>
      <c r="Z445" s="2"/>
      <c r="AA445" s="2">
        <v>5</v>
      </c>
      <c r="AB445" s="2">
        <v>5</v>
      </c>
      <c r="AC445" s="2">
        <v>5</v>
      </c>
      <c r="AD445" s="2">
        <v>5</v>
      </c>
      <c r="AE445" s="2">
        <v>5</v>
      </c>
      <c r="AF445" s="2">
        <v>5</v>
      </c>
      <c r="AG445" s="2">
        <v>5</v>
      </c>
      <c r="AH445" s="2">
        <v>5</v>
      </c>
      <c r="AI445" s="2">
        <v>5</v>
      </c>
      <c r="AJ445" s="2">
        <v>5</v>
      </c>
      <c r="AK445" s="2">
        <v>5</v>
      </c>
      <c r="AL445" s="2">
        <v>5</v>
      </c>
      <c r="AM445" s="2">
        <v>5</v>
      </c>
      <c r="AN445" s="2">
        <v>5</v>
      </c>
      <c r="AO445" s="2">
        <v>5</v>
      </c>
      <c r="AP445" s="2">
        <v>5</v>
      </c>
      <c r="AQ445" s="2" t="e">
        <f t="shared" ca="1" si="128"/>
        <v>#NAME?</v>
      </c>
      <c r="AR445" s="2">
        <v>5</v>
      </c>
      <c r="AS445" s="2">
        <v>5</v>
      </c>
      <c r="AT445" s="2">
        <v>5</v>
      </c>
      <c r="AU445" s="2">
        <v>5</v>
      </c>
      <c r="AV445" s="2">
        <v>5</v>
      </c>
      <c r="AW445" s="54">
        <f t="shared" si="114"/>
        <v>5</v>
      </c>
      <c r="AX445" s="100">
        <v>5</v>
      </c>
      <c r="AY445" s="101">
        <v>10</v>
      </c>
      <c r="AZ445" s="88">
        <v>10</v>
      </c>
      <c r="BA445" s="88">
        <v>5</v>
      </c>
      <c r="BB445" s="88">
        <v>5</v>
      </c>
      <c r="BC445" s="88">
        <v>5</v>
      </c>
      <c r="BD445" s="88">
        <v>5</v>
      </c>
      <c r="BE445" s="88">
        <v>5</v>
      </c>
      <c r="BF445" s="88">
        <v>5</v>
      </c>
      <c r="BG445" s="88">
        <v>5</v>
      </c>
      <c r="BH445" s="88">
        <v>5</v>
      </c>
      <c r="BI445" s="89">
        <v>5</v>
      </c>
      <c r="BJ445" s="2" t="e">
        <f t="shared" ca="1" si="129"/>
        <v>#NAME?</v>
      </c>
      <c r="BK445" s="102">
        <v>5</v>
      </c>
      <c r="BL445" s="102">
        <v>5</v>
      </c>
      <c r="BM445" s="102">
        <v>5</v>
      </c>
      <c r="BN445" s="102">
        <v>5</v>
      </c>
      <c r="BO445" s="102">
        <v>5</v>
      </c>
      <c r="BP445" s="54">
        <f t="shared" si="115"/>
        <v>5</v>
      </c>
      <c r="BQ445" s="5"/>
      <c r="BR445" s="5"/>
      <c r="BS445" s="5">
        <v>7</v>
      </c>
      <c r="BT445" s="5">
        <v>7</v>
      </c>
      <c r="BU445" s="5">
        <v>7</v>
      </c>
      <c r="BV445" s="5">
        <v>7</v>
      </c>
      <c r="BW445" s="5">
        <v>7</v>
      </c>
      <c r="BX445" s="5">
        <v>7</v>
      </c>
      <c r="BY445" s="5">
        <v>7</v>
      </c>
      <c r="BZ445" s="5">
        <v>7</v>
      </c>
      <c r="CA445" s="5">
        <v>7</v>
      </c>
      <c r="CB445" s="5">
        <v>7</v>
      </c>
      <c r="CC445" s="2" t="e">
        <f t="shared" ca="1" si="130"/>
        <v>#NAME?</v>
      </c>
      <c r="CD445" s="96" t="s">
        <v>886</v>
      </c>
      <c r="CE445" s="2">
        <v>7</v>
      </c>
      <c r="CF445" s="2">
        <v>8</v>
      </c>
      <c r="CG445" s="2">
        <v>8</v>
      </c>
      <c r="CH445" s="2">
        <v>8</v>
      </c>
      <c r="CI445" s="2">
        <v>8</v>
      </c>
      <c r="CJ445" s="2">
        <v>8</v>
      </c>
      <c r="CK445" s="2">
        <v>9</v>
      </c>
      <c r="CL445" s="2">
        <v>8</v>
      </c>
      <c r="CM445" s="2">
        <v>8</v>
      </c>
      <c r="CN445" s="2">
        <v>8</v>
      </c>
      <c r="CO445" s="2">
        <v>8</v>
      </c>
      <c r="CP445" s="2" t="e">
        <f t="shared" ca="1" si="131"/>
        <v>#NAME?</v>
      </c>
      <c r="CQ445" s="2">
        <v>8</v>
      </c>
      <c r="CR445" s="2">
        <v>10</v>
      </c>
      <c r="CS445" s="2">
        <v>9</v>
      </c>
      <c r="CT445" s="2">
        <v>10</v>
      </c>
      <c r="CU445" s="2">
        <v>9</v>
      </c>
      <c r="CV445" s="54">
        <f t="shared" si="116"/>
        <v>10</v>
      </c>
      <c r="CW445" s="96" t="s">
        <v>886</v>
      </c>
      <c r="CX445" s="3"/>
    </row>
    <row r="446" spans="1:102" ht="16.5" x14ac:dyDescent="0.55000000000000004">
      <c r="A446" s="17">
        <v>2</v>
      </c>
      <c r="B446" s="17" t="s">
        <v>8</v>
      </c>
      <c r="C446" s="23" t="s">
        <v>933</v>
      </c>
      <c r="D446" s="24" t="s">
        <v>934</v>
      </c>
      <c r="E446" s="48"/>
      <c r="F446" s="2"/>
      <c r="G446" s="2">
        <v>10</v>
      </c>
      <c r="H446" s="2">
        <v>10</v>
      </c>
      <c r="I446" s="2">
        <v>10</v>
      </c>
      <c r="J446" s="2">
        <v>10</v>
      </c>
      <c r="K446" s="2">
        <v>10</v>
      </c>
      <c r="L446" s="2">
        <v>10</v>
      </c>
      <c r="M446" s="2">
        <v>10</v>
      </c>
      <c r="N446" s="2">
        <v>10</v>
      </c>
      <c r="O446" s="2">
        <v>5</v>
      </c>
      <c r="P446" s="2">
        <v>5</v>
      </c>
      <c r="Q446" s="2" t="e">
        <f t="shared" ca="1" si="127"/>
        <v>#NAME?</v>
      </c>
      <c r="R446" s="2">
        <v>10</v>
      </c>
      <c r="S446" s="2">
        <v>10</v>
      </c>
      <c r="T446" s="2">
        <v>10</v>
      </c>
      <c r="U446" s="2">
        <v>10</v>
      </c>
      <c r="V446" s="2">
        <v>10</v>
      </c>
      <c r="W446" s="54">
        <f t="shared" si="113"/>
        <v>10</v>
      </c>
      <c r="X446" s="48">
        <v>8</v>
      </c>
      <c r="Y446" s="2">
        <v>7</v>
      </c>
      <c r="Z446" s="2"/>
      <c r="AA446" s="2">
        <v>8</v>
      </c>
      <c r="AB446" s="2">
        <v>9</v>
      </c>
      <c r="AC446" s="2">
        <v>9</v>
      </c>
      <c r="AD446" s="2">
        <v>10</v>
      </c>
      <c r="AE446" s="2">
        <v>9</v>
      </c>
      <c r="AF446" s="2">
        <v>10</v>
      </c>
      <c r="AG446" s="2">
        <v>9</v>
      </c>
      <c r="AH446" s="2">
        <v>10</v>
      </c>
      <c r="AI446" s="2">
        <v>10</v>
      </c>
      <c r="AJ446" s="2">
        <v>10</v>
      </c>
      <c r="AK446" s="2">
        <v>9</v>
      </c>
      <c r="AL446" s="2">
        <v>10</v>
      </c>
      <c r="AM446" s="2">
        <v>9</v>
      </c>
      <c r="AN446" s="2">
        <v>10</v>
      </c>
      <c r="AO446" s="2">
        <v>10</v>
      </c>
      <c r="AP446" s="2">
        <v>10</v>
      </c>
      <c r="AQ446" s="2" t="e">
        <f t="shared" ca="1" si="128"/>
        <v>#NAME?</v>
      </c>
      <c r="AR446" s="2">
        <v>8</v>
      </c>
      <c r="AS446" s="2">
        <v>8</v>
      </c>
      <c r="AT446" s="2">
        <v>9</v>
      </c>
      <c r="AU446" s="2">
        <v>10</v>
      </c>
      <c r="AV446" s="2">
        <v>10</v>
      </c>
      <c r="AW446" s="54">
        <f t="shared" si="114"/>
        <v>9</v>
      </c>
      <c r="AX446" s="48">
        <v>9</v>
      </c>
      <c r="AY446" s="2">
        <v>9</v>
      </c>
      <c r="AZ446" s="88">
        <v>10</v>
      </c>
      <c r="BA446" s="88">
        <v>10</v>
      </c>
      <c r="BB446" s="88">
        <v>9</v>
      </c>
      <c r="BC446" s="8">
        <v>9</v>
      </c>
      <c r="BD446" s="88">
        <v>9</v>
      </c>
      <c r="BE446" s="88">
        <v>10</v>
      </c>
      <c r="BF446" s="8">
        <v>10</v>
      </c>
      <c r="BG446" s="88">
        <v>10</v>
      </c>
      <c r="BH446" s="8">
        <v>10</v>
      </c>
      <c r="BI446" s="89">
        <v>10</v>
      </c>
      <c r="BJ446" s="2" t="e">
        <f t="shared" ca="1" si="129"/>
        <v>#NAME?</v>
      </c>
      <c r="BK446" s="5">
        <v>9</v>
      </c>
      <c r="BL446" s="5">
        <v>10</v>
      </c>
      <c r="BM446" s="5">
        <v>9</v>
      </c>
      <c r="BN446" s="5">
        <v>10</v>
      </c>
      <c r="BO446" s="5">
        <v>10</v>
      </c>
      <c r="BP446" s="54">
        <f t="shared" si="115"/>
        <v>10</v>
      </c>
      <c r="BQ446" s="5"/>
      <c r="BR446" s="5"/>
      <c r="BS446" s="5">
        <v>10</v>
      </c>
      <c r="BT446" s="5">
        <v>9</v>
      </c>
      <c r="BU446" s="5">
        <v>10</v>
      </c>
      <c r="BV446" s="5">
        <v>10</v>
      </c>
      <c r="BW446" s="5">
        <v>10</v>
      </c>
      <c r="BX446" s="5">
        <v>10</v>
      </c>
      <c r="BY446" s="5">
        <v>10</v>
      </c>
      <c r="BZ446" s="5">
        <v>10</v>
      </c>
      <c r="CA446" s="5">
        <v>10</v>
      </c>
      <c r="CB446" s="5">
        <v>10</v>
      </c>
      <c r="CC446" s="2" t="e">
        <f t="shared" ca="1" si="130"/>
        <v>#NAME?</v>
      </c>
      <c r="CD446" s="96">
        <v>5</v>
      </c>
      <c r="CE446" s="2">
        <v>7</v>
      </c>
      <c r="CF446" s="2">
        <v>10</v>
      </c>
      <c r="CG446" s="2">
        <v>10</v>
      </c>
      <c r="CH446" s="2">
        <v>9</v>
      </c>
      <c r="CI446" s="2">
        <v>10</v>
      </c>
      <c r="CJ446" s="2">
        <v>8</v>
      </c>
      <c r="CK446" s="2">
        <v>10</v>
      </c>
      <c r="CL446" s="2">
        <v>8</v>
      </c>
      <c r="CM446" s="2">
        <v>10</v>
      </c>
      <c r="CN446" s="2">
        <v>9</v>
      </c>
      <c r="CO446" s="2">
        <v>10</v>
      </c>
      <c r="CP446" s="2" t="e">
        <f t="shared" ca="1" si="131"/>
        <v>#NAME?</v>
      </c>
      <c r="CQ446" s="2">
        <v>9</v>
      </c>
      <c r="CR446" s="2">
        <v>8</v>
      </c>
      <c r="CS446" s="2">
        <v>8</v>
      </c>
      <c r="CT446" s="2">
        <v>9</v>
      </c>
      <c r="CU446" s="2">
        <v>10</v>
      </c>
      <c r="CV446" s="54">
        <f t="shared" si="116"/>
        <v>9</v>
      </c>
      <c r="CW446" s="96">
        <v>8</v>
      </c>
      <c r="CX446" s="3"/>
    </row>
    <row r="447" spans="1:102" ht="16.5" x14ac:dyDescent="0.55000000000000004">
      <c r="A447" s="17">
        <v>2</v>
      </c>
      <c r="B447" s="17" t="s">
        <v>8</v>
      </c>
      <c r="C447" s="23" t="s">
        <v>935</v>
      </c>
      <c r="D447" s="24" t="s">
        <v>936</v>
      </c>
      <c r="E447" s="48"/>
      <c r="F447" s="2"/>
      <c r="G447" s="2">
        <v>10</v>
      </c>
      <c r="H447" s="2">
        <v>10</v>
      </c>
      <c r="I447" s="2">
        <v>10</v>
      </c>
      <c r="J447" s="2">
        <v>10</v>
      </c>
      <c r="K447" s="2">
        <v>8</v>
      </c>
      <c r="L447" s="2">
        <v>8</v>
      </c>
      <c r="M447" s="2">
        <v>10</v>
      </c>
      <c r="N447" s="2">
        <v>10</v>
      </c>
      <c r="O447" s="2">
        <v>5</v>
      </c>
      <c r="P447" s="2">
        <v>5</v>
      </c>
      <c r="Q447" s="2" t="e">
        <f t="shared" ca="1" si="127"/>
        <v>#NAME?</v>
      </c>
      <c r="R447" s="2">
        <v>10</v>
      </c>
      <c r="S447" s="2">
        <v>10</v>
      </c>
      <c r="T447" s="2">
        <v>8</v>
      </c>
      <c r="U447" s="2">
        <v>10</v>
      </c>
      <c r="V447" s="2">
        <v>10</v>
      </c>
      <c r="W447" s="54">
        <f t="shared" si="113"/>
        <v>10</v>
      </c>
      <c r="X447" s="48">
        <v>8</v>
      </c>
      <c r="Y447" s="2">
        <v>7</v>
      </c>
      <c r="Z447" s="2"/>
      <c r="AA447" s="2">
        <v>9</v>
      </c>
      <c r="AB447" s="2">
        <v>9</v>
      </c>
      <c r="AC447" s="2">
        <v>9</v>
      </c>
      <c r="AD447" s="2">
        <v>10</v>
      </c>
      <c r="AE447" s="2">
        <v>9</v>
      </c>
      <c r="AF447" s="2">
        <v>10</v>
      </c>
      <c r="AG447" s="2">
        <v>9</v>
      </c>
      <c r="AH447" s="2">
        <v>9</v>
      </c>
      <c r="AI447" s="2">
        <v>10</v>
      </c>
      <c r="AJ447" s="2">
        <v>9</v>
      </c>
      <c r="AK447" s="2">
        <v>9</v>
      </c>
      <c r="AL447" s="2">
        <v>10</v>
      </c>
      <c r="AM447" s="2">
        <v>9</v>
      </c>
      <c r="AN447" s="2">
        <v>9</v>
      </c>
      <c r="AO447" s="2">
        <v>10</v>
      </c>
      <c r="AP447" s="2">
        <v>9</v>
      </c>
      <c r="AQ447" s="2" t="e">
        <f t="shared" ca="1" si="128"/>
        <v>#NAME?</v>
      </c>
      <c r="AR447" s="2">
        <v>10</v>
      </c>
      <c r="AS447" s="2">
        <v>10</v>
      </c>
      <c r="AT447" s="2">
        <v>10</v>
      </c>
      <c r="AU447" s="2">
        <v>9</v>
      </c>
      <c r="AV447" s="2">
        <v>9</v>
      </c>
      <c r="AW447" s="54">
        <f t="shared" si="114"/>
        <v>10</v>
      </c>
      <c r="AX447" s="48">
        <v>9</v>
      </c>
      <c r="AY447" s="2">
        <v>9</v>
      </c>
      <c r="AZ447" s="88">
        <v>10</v>
      </c>
      <c r="BA447" s="88">
        <v>10</v>
      </c>
      <c r="BB447" s="8">
        <v>10</v>
      </c>
      <c r="BC447" s="8">
        <v>10</v>
      </c>
      <c r="BD447" s="8">
        <v>10</v>
      </c>
      <c r="BE447" s="88">
        <v>10</v>
      </c>
      <c r="BF447" s="8">
        <v>10</v>
      </c>
      <c r="BG447" s="88">
        <v>10</v>
      </c>
      <c r="BH447" s="8">
        <v>10</v>
      </c>
      <c r="BI447" s="89">
        <v>9</v>
      </c>
      <c r="BJ447" s="2" t="e">
        <f t="shared" ca="1" si="129"/>
        <v>#NAME?</v>
      </c>
      <c r="BK447" s="5">
        <v>10</v>
      </c>
      <c r="BL447" s="5">
        <v>10</v>
      </c>
      <c r="BM447" s="5">
        <v>10</v>
      </c>
      <c r="BN447" s="5">
        <v>10</v>
      </c>
      <c r="BO447" s="5">
        <v>10</v>
      </c>
      <c r="BP447" s="54">
        <f t="shared" si="115"/>
        <v>10</v>
      </c>
      <c r="BQ447" s="5"/>
      <c r="BR447" s="5"/>
      <c r="BS447" s="5">
        <v>10</v>
      </c>
      <c r="BT447" s="5">
        <v>10</v>
      </c>
      <c r="BU447" s="5">
        <v>10</v>
      </c>
      <c r="BV447" s="5">
        <v>10</v>
      </c>
      <c r="BW447" s="5">
        <v>10</v>
      </c>
      <c r="BX447" s="5">
        <v>10</v>
      </c>
      <c r="BY447" s="5">
        <v>10</v>
      </c>
      <c r="BZ447" s="5">
        <v>10</v>
      </c>
      <c r="CA447" s="5">
        <v>10</v>
      </c>
      <c r="CB447" s="5">
        <v>10</v>
      </c>
      <c r="CC447" s="2" t="e">
        <f t="shared" ca="1" si="130"/>
        <v>#NAME?</v>
      </c>
      <c r="CD447" s="96">
        <v>5</v>
      </c>
      <c r="CE447" s="2">
        <v>7</v>
      </c>
      <c r="CF447" s="2">
        <v>10</v>
      </c>
      <c r="CG447" s="2">
        <v>10</v>
      </c>
      <c r="CH447" s="2">
        <v>8</v>
      </c>
      <c r="CI447" s="2">
        <v>10</v>
      </c>
      <c r="CJ447" s="2">
        <v>8</v>
      </c>
      <c r="CK447" s="2">
        <v>8</v>
      </c>
      <c r="CL447" s="2">
        <v>10</v>
      </c>
      <c r="CM447" s="2">
        <v>8</v>
      </c>
      <c r="CN447" s="2">
        <v>10</v>
      </c>
      <c r="CO447" s="2">
        <v>8</v>
      </c>
      <c r="CP447" s="2" t="e">
        <f t="shared" ca="1" si="131"/>
        <v>#NAME?</v>
      </c>
      <c r="CQ447" s="2">
        <v>9</v>
      </c>
      <c r="CR447" s="2">
        <v>10</v>
      </c>
      <c r="CS447" s="2">
        <v>9</v>
      </c>
      <c r="CT447" s="2">
        <v>8</v>
      </c>
      <c r="CU447" s="2">
        <v>8</v>
      </c>
      <c r="CV447" s="54">
        <f t="shared" si="116"/>
        <v>9</v>
      </c>
      <c r="CW447" s="96">
        <v>3</v>
      </c>
      <c r="CX447" s="3"/>
    </row>
    <row r="448" spans="1:102" ht="16.5" x14ac:dyDescent="0.55000000000000004">
      <c r="A448" s="17">
        <v>2</v>
      </c>
      <c r="B448" s="17" t="s">
        <v>8</v>
      </c>
      <c r="C448" s="23" t="s">
        <v>937</v>
      </c>
      <c r="D448" s="24" t="s">
        <v>938</v>
      </c>
      <c r="E448" s="48"/>
      <c r="F448" s="2"/>
      <c r="G448" s="2">
        <v>5</v>
      </c>
      <c r="H448" s="2">
        <v>5</v>
      </c>
      <c r="I448" s="2">
        <v>5</v>
      </c>
      <c r="J448" s="2">
        <v>5</v>
      </c>
      <c r="K448" s="2">
        <v>5</v>
      </c>
      <c r="L448" s="2">
        <v>5</v>
      </c>
      <c r="M448" s="2">
        <v>5</v>
      </c>
      <c r="N448" s="2">
        <v>5</v>
      </c>
      <c r="O448" s="2">
        <v>5</v>
      </c>
      <c r="P448" s="2">
        <v>5</v>
      </c>
      <c r="Q448" s="2" t="e">
        <f t="shared" ca="1" si="127"/>
        <v>#NAME?</v>
      </c>
      <c r="R448" s="2">
        <v>5</v>
      </c>
      <c r="S448" s="2">
        <v>5</v>
      </c>
      <c r="T448" s="2">
        <v>5</v>
      </c>
      <c r="U448" s="2">
        <v>5</v>
      </c>
      <c r="V448" s="2">
        <v>5</v>
      </c>
      <c r="W448" s="54">
        <f t="shared" si="113"/>
        <v>5</v>
      </c>
      <c r="X448" s="48">
        <v>5</v>
      </c>
      <c r="Y448" s="2">
        <v>5</v>
      </c>
      <c r="Z448" s="2"/>
      <c r="AA448" s="2">
        <v>7</v>
      </c>
      <c r="AB448" s="2">
        <v>7</v>
      </c>
      <c r="AC448" s="2">
        <v>7</v>
      </c>
      <c r="AD448" s="2">
        <v>7</v>
      </c>
      <c r="AE448" s="2">
        <v>7</v>
      </c>
      <c r="AF448" s="2">
        <v>7</v>
      </c>
      <c r="AG448" s="2">
        <v>7</v>
      </c>
      <c r="AH448" s="2">
        <v>7</v>
      </c>
      <c r="AI448" s="2">
        <v>7</v>
      </c>
      <c r="AJ448" s="2">
        <v>7</v>
      </c>
      <c r="AK448" s="2">
        <v>7</v>
      </c>
      <c r="AL448" s="2">
        <v>7</v>
      </c>
      <c r="AM448" s="2">
        <v>7</v>
      </c>
      <c r="AN448" s="2">
        <v>7</v>
      </c>
      <c r="AO448" s="2">
        <v>7</v>
      </c>
      <c r="AP448" s="2">
        <v>7</v>
      </c>
      <c r="AQ448" s="2" t="e">
        <f t="shared" ca="1" si="128"/>
        <v>#NAME?</v>
      </c>
      <c r="AR448" s="2">
        <v>7</v>
      </c>
      <c r="AS448" s="2">
        <v>7</v>
      </c>
      <c r="AT448" s="2">
        <v>7</v>
      </c>
      <c r="AU448" s="2">
        <v>7</v>
      </c>
      <c r="AV448" s="2">
        <v>7</v>
      </c>
      <c r="AW448" s="54">
        <f t="shared" si="114"/>
        <v>7</v>
      </c>
      <c r="AX448" s="48">
        <v>9</v>
      </c>
      <c r="AY448" s="2">
        <v>8</v>
      </c>
      <c r="AZ448" s="88">
        <v>8</v>
      </c>
      <c r="BA448" s="8">
        <v>8</v>
      </c>
      <c r="BB448" s="88">
        <v>9</v>
      </c>
      <c r="BC448" s="8">
        <v>8</v>
      </c>
      <c r="BD448" s="88">
        <v>8</v>
      </c>
      <c r="BE448" s="8">
        <v>8</v>
      </c>
      <c r="BF448" s="8">
        <v>9</v>
      </c>
      <c r="BG448" s="88">
        <v>9</v>
      </c>
      <c r="BH448" s="8">
        <v>9</v>
      </c>
      <c r="BI448" s="89">
        <v>9</v>
      </c>
      <c r="BJ448" s="2" t="e">
        <f t="shared" ca="1" si="129"/>
        <v>#NAME?</v>
      </c>
      <c r="BK448" s="5">
        <v>8</v>
      </c>
      <c r="BL448" s="5">
        <v>8</v>
      </c>
      <c r="BM448" s="5">
        <v>8</v>
      </c>
      <c r="BN448" s="5">
        <v>8</v>
      </c>
      <c r="BO448" s="5">
        <v>9</v>
      </c>
      <c r="BP448" s="54">
        <f t="shared" si="115"/>
        <v>9</v>
      </c>
      <c r="BQ448" s="5"/>
      <c r="BR448" s="5"/>
      <c r="BS448" s="5">
        <v>8</v>
      </c>
      <c r="BT448" s="5">
        <v>9</v>
      </c>
      <c r="BU448" s="5">
        <v>9</v>
      </c>
      <c r="BV448" s="5">
        <v>8</v>
      </c>
      <c r="BW448" s="5">
        <v>8</v>
      </c>
      <c r="BX448" s="5">
        <v>8</v>
      </c>
      <c r="BY448" s="5">
        <v>8</v>
      </c>
      <c r="BZ448" s="5">
        <v>9</v>
      </c>
      <c r="CA448" s="5">
        <v>9</v>
      </c>
      <c r="CB448" s="5">
        <v>9</v>
      </c>
      <c r="CC448" s="2" t="e">
        <f t="shared" ca="1" si="130"/>
        <v>#NAME?</v>
      </c>
      <c r="CD448" s="96">
        <v>6</v>
      </c>
      <c r="CE448" s="2">
        <v>7</v>
      </c>
      <c r="CF448" s="2">
        <v>10</v>
      </c>
      <c r="CG448" s="2">
        <v>8</v>
      </c>
      <c r="CH448" s="2">
        <v>10</v>
      </c>
      <c r="CI448" s="2">
        <v>10</v>
      </c>
      <c r="CJ448" s="2">
        <v>8</v>
      </c>
      <c r="CK448" s="2">
        <v>10</v>
      </c>
      <c r="CL448" s="2">
        <v>8</v>
      </c>
      <c r="CM448" s="2">
        <v>10</v>
      </c>
      <c r="CN448" s="2">
        <v>8</v>
      </c>
      <c r="CO448" s="2">
        <v>8</v>
      </c>
      <c r="CP448" s="2" t="e">
        <f t="shared" ca="1" si="131"/>
        <v>#NAME?</v>
      </c>
      <c r="CQ448" s="2">
        <v>9</v>
      </c>
      <c r="CR448" s="2">
        <v>9</v>
      </c>
      <c r="CS448" s="2">
        <v>10</v>
      </c>
      <c r="CT448" s="2">
        <v>8</v>
      </c>
      <c r="CU448" s="2">
        <v>9</v>
      </c>
      <c r="CV448" s="54">
        <f t="shared" si="116"/>
        <v>9</v>
      </c>
      <c r="CW448" s="96">
        <v>10</v>
      </c>
      <c r="CX448" s="3"/>
    </row>
    <row r="449" spans="1:102" ht="16.5" x14ac:dyDescent="0.55000000000000004">
      <c r="A449" s="17">
        <v>2</v>
      </c>
      <c r="B449" s="17" t="s">
        <v>8</v>
      </c>
      <c r="C449" s="23" t="s">
        <v>939</v>
      </c>
      <c r="D449" s="24" t="s">
        <v>940</v>
      </c>
      <c r="E449" s="48"/>
      <c r="F449" s="2"/>
      <c r="G449" s="2">
        <v>9</v>
      </c>
      <c r="H449" s="2">
        <v>9</v>
      </c>
      <c r="I449" s="2">
        <v>9</v>
      </c>
      <c r="J449" s="2">
        <v>9</v>
      </c>
      <c r="K449" s="2">
        <v>10</v>
      </c>
      <c r="L449" s="2">
        <v>10</v>
      </c>
      <c r="M449" s="2">
        <v>10</v>
      </c>
      <c r="N449" s="2">
        <v>10</v>
      </c>
      <c r="O449" s="2">
        <v>7</v>
      </c>
      <c r="P449" s="2">
        <v>7</v>
      </c>
      <c r="Q449" s="2" t="e">
        <f t="shared" ca="1" si="127"/>
        <v>#NAME?</v>
      </c>
      <c r="R449" s="2">
        <v>10</v>
      </c>
      <c r="S449" s="2">
        <v>10</v>
      </c>
      <c r="T449" s="2">
        <v>10</v>
      </c>
      <c r="U449" s="2">
        <v>10</v>
      </c>
      <c r="V449" s="2">
        <v>10</v>
      </c>
      <c r="W449" s="54">
        <f t="shared" si="113"/>
        <v>10</v>
      </c>
      <c r="X449" s="48">
        <v>10</v>
      </c>
      <c r="Y449" s="2">
        <v>10</v>
      </c>
      <c r="Z449" s="2"/>
      <c r="AA449" s="2">
        <v>9</v>
      </c>
      <c r="AB449" s="2">
        <v>9</v>
      </c>
      <c r="AC449" s="2">
        <v>8</v>
      </c>
      <c r="AD449" s="2">
        <v>10</v>
      </c>
      <c r="AE449" s="2">
        <v>9</v>
      </c>
      <c r="AF449" s="2">
        <v>10</v>
      </c>
      <c r="AG449" s="2">
        <v>9</v>
      </c>
      <c r="AH449" s="2">
        <v>10</v>
      </c>
      <c r="AI449" s="2">
        <v>10</v>
      </c>
      <c r="AJ449" s="2">
        <v>10</v>
      </c>
      <c r="AK449" s="2">
        <v>9</v>
      </c>
      <c r="AL449" s="2">
        <v>10</v>
      </c>
      <c r="AM449" s="2">
        <v>9</v>
      </c>
      <c r="AN449" s="2">
        <v>10</v>
      </c>
      <c r="AO449" s="2">
        <v>10</v>
      </c>
      <c r="AP449" s="2">
        <v>10</v>
      </c>
      <c r="AQ449" s="2" t="e">
        <f t="shared" ca="1" si="128"/>
        <v>#NAME?</v>
      </c>
      <c r="AR449" s="2">
        <v>8</v>
      </c>
      <c r="AS449" s="2">
        <v>8</v>
      </c>
      <c r="AT449" s="2">
        <v>9</v>
      </c>
      <c r="AU449" s="2">
        <v>10</v>
      </c>
      <c r="AV449" s="2">
        <v>10</v>
      </c>
      <c r="AW449" s="54">
        <f t="shared" si="114"/>
        <v>9</v>
      </c>
      <c r="AX449" s="48">
        <v>9</v>
      </c>
      <c r="AY449" s="2">
        <v>8</v>
      </c>
      <c r="AZ449" s="88">
        <v>10</v>
      </c>
      <c r="BA449" s="88">
        <v>10</v>
      </c>
      <c r="BB449" s="88">
        <v>10</v>
      </c>
      <c r="BC449" s="88">
        <v>10</v>
      </c>
      <c r="BD449" s="88">
        <v>10</v>
      </c>
      <c r="BE449" s="88">
        <v>10</v>
      </c>
      <c r="BF449" s="8">
        <v>10</v>
      </c>
      <c r="BG449" s="88">
        <v>10</v>
      </c>
      <c r="BH449" s="88">
        <v>10</v>
      </c>
      <c r="BI449" s="89">
        <v>10</v>
      </c>
      <c r="BJ449" s="2" t="e">
        <f t="shared" ca="1" si="129"/>
        <v>#NAME?</v>
      </c>
      <c r="BK449" s="5">
        <v>10</v>
      </c>
      <c r="BL449" s="5">
        <v>10</v>
      </c>
      <c r="BM449" s="5">
        <v>10</v>
      </c>
      <c r="BN449" s="5">
        <v>10</v>
      </c>
      <c r="BO449" s="5">
        <v>10</v>
      </c>
      <c r="BP449" s="54">
        <f t="shared" si="115"/>
        <v>10</v>
      </c>
      <c r="BQ449" s="5"/>
      <c r="BR449" s="5"/>
      <c r="BS449" s="5">
        <v>10</v>
      </c>
      <c r="BT449" s="5">
        <v>10</v>
      </c>
      <c r="BU449" s="5">
        <v>10</v>
      </c>
      <c r="BV449" s="5">
        <v>10</v>
      </c>
      <c r="BW449" s="5">
        <v>10</v>
      </c>
      <c r="BX449" s="5">
        <v>10</v>
      </c>
      <c r="BY449" s="5">
        <v>10</v>
      </c>
      <c r="BZ449" s="5">
        <v>10</v>
      </c>
      <c r="CA449" s="5">
        <v>10</v>
      </c>
      <c r="CB449" s="5">
        <v>10</v>
      </c>
      <c r="CC449" s="2" t="e">
        <f t="shared" ca="1" si="130"/>
        <v>#NAME?</v>
      </c>
      <c r="CD449" s="96">
        <v>10</v>
      </c>
      <c r="CE449" s="2">
        <v>9</v>
      </c>
      <c r="CF449" s="2">
        <v>10</v>
      </c>
      <c r="CG449" s="2">
        <v>10</v>
      </c>
      <c r="CH449" s="2">
        <v>10</v>
      </c>
      <c r="CI449" s="2">
        <v>9</v>
      </c>
      <c r="CJ449" s="2">
        <v>10</v>
      </c>
      <c r="CK449" s="2">
        <v>10</v>
      </c>
      <c r="CL449" s="2">
        <v>9</v>
      </c>
      <c r="CM449" s="2">
        <v>10</v>
      </c>
      <c r="CN449" s="2">
        <v>10</v>
      </c>
      <c r="CO449" s="2">
        <v>10</v>
      </c>
      <c r="CP449" s="2" t="e">
        <f t="shared" ca="1" si="131"/>
        <v>#NAME?</v>
      </c>
      <c r="CQ449" s="2">
        <v>10</v>
      </c>
      <c r="CR449" s="2">
        <v>10</v>
      </c>
      <c r="CS449" s="2">
        <v>10</v>
      </c>
      <c r="CT449" s="2">
        <v>10</v>
      </c>
      <c r="CU449" s="2">
        <v>10</v>
      </c>
      <c r="CV449" s="54">
        <f t="shared" si="116"/>
        <v>10</v>
      </c>
      <c r="CW449" s="96">
        <v>19</v>
      </c>
      <c r="CX449" s="3"/>
    </row>
    <row r="450" spans="1:102" ht="16.5" x14ac:dyDescent="0.55000000000000004">
      <c r="A450" s="17">
        <v>3</v>
      </c>
      <c r="B450" s="17" t="s">
        <v>8</v>
      </c>
      <c r="C450" s="23" t="s">
        <v>941</v>
      </c>
      <c r="D450" s="24" t="s">
        <v>942</v>
      </c>
      <c r="E450" s="48"/>
      <c r="F450" s="2"/>
      <c r="G450" s="2">
        <v>10</v>
      </c>
      <c r="H450" s="2">
        <v>10</v>
      </c>
      <c r="I450" s="2">
        <v>10</v>
      </c>
      <c r="J450" s="2">
        <v>10</v>
      </c>
      <c r="K450" s="2">
        <v>7</v>
      </c>
      <c r="L450" s="2">
        <v>7</v>
      </c>
      <c r="M450" s="2">
        <v>7</v>
      </c>
      <c r="N450" s="2">
        <v>7</v>
      </c>
      <c r="O450" s="2">
        <v>7</v>
      </c>
      <c r="P450" s="2">
        <v>7</v>
      </c>
      <c r="Q450" s="2" t="e">
        <f t="shared" ca="1" si="127"/>
        <v>#NAME?</v>
      </c>
      <c r="R450" s="2">
        <v>10</v>
      </c>
      <c r="S450" s="2">
        <v>10</v>
      </c>
      <c r="T450" s="2">
        <v>9</v>
      </c>
      <c r="U450" s="2">
        <v>9</v>
      </c>
      <c r="V450" s="2">
        <v>10</v>
      </c>
      <c r="W450" s="54">
        <f t="shared" si="113"/>
        <v>10</v>
      </c>
      <c r="X450" s="48">
        <v>9</v>
      </c>
      <c r="Y450" s="2">
        <v>10</v>
      </c>
      <c r="Z450" s="2"/>
      <c r="AA450" s="2">
        <v>10</v>
      </c>
      <c r="AB450" s="2">
        <v>10</v>
      </c>
      <c r="AC450" s="2">
        <v>10</v>
      </c>
      <c r="AD450" s="2">
        <v>9</v>
      </c>
      <c r="AE450" s="2">
        <v>10</v>
      </c>
      <c r="AF450" s="2">
        <v>9</v>
      </c>
      <c r="AG450" s="2">
        <v>10</v>
      </c>
      <c r="AH450" s="2">
        <v>10</v>
      </c>
      <c r="AI450" s="2">
        <v>10</v>
      </c>
      <c r="AJ450" s="2">
        <v>10</v>
      </c>
      <c r="AK450" s="2">
        <v>10</v>
      </c>
      <c r="AL450" s="2">
        <v>9</v>
      </c>
      <c r="AM450" s="2">
        <v>10</v>
      </c>
      <c r="AN450" s="2">
        <v>10</v>
      </c>
      <c r="AO450" s="2">
        <v>10</v>
      </c>
      <c r="AP450" s="2">
        <v>10</v>
      </c>
      <c r="AQ450" s="2" t="e">
        <f t="shared" ca="1" si="128"/>
        <v>#NAME?</v>
      </c>
      <c r="AR450" s="2">
        <v>10</v>
      </c>
      <c r="AS450" s="2">
        <v>10</v>
      </c>
      <c r="AT450" s="2">
        <v>10</v>
      </c>
      <c r="AU450" s="2">
        <v>9</v>
      </c>
      <c r="AV450" s="2">
        <v>9</v>
      </c>
      <c r="AW450" s="54">
        <f t="shared" si="114"/>
        <v>10</v>
      </c>
      <c r="AX450" s="48">
        <v>10</v>
      </c>
      <c r="AY450" s="2">
        <v>10</v>
      </c>
      <c r="AZ450" s="2">
        <v>10</v>
      </c>
      <c r="BA450" s="2">
        <v>10</v>
      </c>
      <c r="BB450" s="2">
        <v>10</v>
      </c>
      <c r="BC450" s="2">
        <v>10</v>
      </c>
      <c r="BD450" s="2">
        <v>10</v>
      </c>
      <c r="BE450" s="2">
        <v>10</v>
      </c>
      <c r="BF450" s="2">
        <v>10</v>
      </c>
      <c r="BG450" s="2">
        <v>10</v>
      </c>
      <c r="BH450" s="2">
        <v>10</v>
      </c>
      <c r="BI450" s="57">
        <v>10</v>
      </c>
      <c r="BJ450" s="2" t="e">
        <f t="shared" ca="1" si="129"/>
        <v>#NAME?</v>
      </c>
      <c r="BK450" s="5">
        <v>10</v>
      </c>
      <c r="BL450" s="5">
        <v>10</v>
      </c>
      <c r="BM450" s="5">
        <v>10</v>
      </c>
      <c r="BN450" s="5">
        <v>10</v>
      </c>
      <c r="BO450" s="5">
        <v>10</v>
      </c>
      <c r="BP450" s="54">
        <f t="shared" si="115"/>
        <v>10</v>
      </c>
      <c r="BQ450" s="5"/>
      <c r="BR450" s="5"/>
      <c r="BS450" s="5">
        <v>10</v>
      </c>
      <c r="BT450" s="5">
        <v>10</v>
      </c>
      <c r="BU450" s="5">
        <v>10</v>
      </c>
      <c r="BV450" s="5">
        <v>10</v>
      </c>
      <c r="BW450" s="5">
        <v>10</v>
      </c>
      <c r="BX450" s="5">
        <v>10</v>
      </c>
      <c r="BY450" s="5">
        <v>10</v>
      </c>
      <c r="BZ450" s="5">
        <v>10</v>
      </c>
      <c r="CA450" s="5">
        <v>10</v>
      </c>
      <c r="CB450" s="5">
        <v>10</v>
      </c>
      <c r="CC450" s="2" t="e">
        <f t="shared" ca="1" si="130"/>
        <v>#NAME?</v>
      </c>
      <c r="CD450" s="96">
        <v>9</v>
      </c>
      <c r="CE450" s="2">
        <v>9</v>
      </c>
      <c r="CF450" s="2">
        <v>10</v>
      </c>
      <c r="CG450" s="2">
        <v>10</v>
      </c>
      <c r="CH450" s="2">
        <v>9</v>
      </c>
      <c r="CI450" s="2">
        <v>10</v>
      </c>
      <c r="CJ450" s="2">
        <v>10</v>
      </c>
      <c r="CK450" s="2">
        <v>9</v>
      </c>
      <c r="CL450" s="2">
        <v>10</v>
      </c>
      <c r="CM450" s="2">
        <v>10</v>
      </c>
      <c r="CN450" s="2">
        <v>9</v>
      </c>
      <c r="CO450" s="2">
        <v>10</v>
      </c>
      <c r="CP450" s="2" t="e">
        <f t="shared" ca="1" si="131"/>
        <v>#NAME?</v>
      </c>
      <c r="CQ450" s="2">
        <v>10</v>
      </c>
      <c r="CR450" s="2">
        <v>10</v>
      </c>
      <c r="CS450" s="2">
        <v>9</v>
      </c>
      <c r="CT450" s="2">
        <v>10</v>
      </c>
      <c r="CU450" s="2">
        <v>10</v>
      </c>
      <c r="CV450" s="54">
        <f t="shared" si="116"/>
        <v>10</v>
      </c>
      <c r="CW450" s="96">
        <v>16</v>
      </c>
      <c r="CX450" s="3"/>
    </row>
    <row r="451" spans="1:102" ht="16.5" x14ac:dyDescent="0.55000000000000004">
      <c r="A451" s="17">
        <v>3</v>
      </c>
      <c r="B451" s="17" t="s">
        <v>8</v>
      </c>
      <c r="C451" s="23" t="s">
        <v>943</v>
      </c>
      <c r="D451" s="24" t="s">
        <v>944</v>
      </c>
      <c r="E451" s="48"/>
      <c r="F451" s="2"/>
      <c r="G451" s="2">
        <v>10</v>
      </c>
      <c r="H451" s="2">
        <v>10</v>
      </c>
      <c r="I451" s="2">
        <v>10</v>
      </c>
      <c r="J451" s="2">
        <v>10</v>
      </c>
      <c r="K451" s="2">
        <v>10</v>
      </c>
      <c r="L451" s="2">
        <v>10</v>
      </c>
      <c r="M451" s="2">
        <v>10</v>
      </c>
      <c r="N451" s="2">
        <v>10</v>
      </c>
      <c r="O451" s="2">
        <v>10</v>
      </c>
      <c r="P451" s="2">
        <v>10</v>
      </c>
      <c r="Q451" s="2" t="e">
        <f t="shared" ca="1" si="127"/>
        <v>#NAME?</v>
      </c>
      <c r="R451" s="2">
        <v>10</v>
      </c>
      <c r="S451" s="2">
        <v>10</v>
      </c>
      <c r="T451" s="2">
        <v>10</v>
      </c>
      <c r="U451" s="2">
        <v>10</v>
      </c>
      <c r="V451" s="2">
        <v>10</v>
      </c>
      <c r="W451" s="54">
        <f t="shared" si="113"/>
        <v>10</v>
      </c>
      <c r="X451" s="48">
        <v>10</v>
      </c>
      <c r="Y451" s="2">
        <v>9</v>
      </c>
      <c r="Z451" s="2"/>
      <c r="AA451" s="2">
        <v>9</v>
      </c>
      <c r="AB451" s="2">
        <v>10</v>
      </c>
      <c r="AC451" s="2">
        <v>9</v>
      </c>
      <c r="AD451" s="2">
        <v>10</v>
      </c>
      <c r="AE451" s="2">
        <v>10</v>
      </c>
      <c r="AF451" s="2">
        <v>10</v>
      </c>
      <c r="AG451" s="2">
        <v>10</v>
      </c>
      <c r="AH451" s="2">
        <v>10</v>
      </c>
      <c r="AI451" s="2">
        <v>10</v>
      </c>
      <c r="AJ451" s="2">
        <v>10</v>
      </c>
      <c r="AK451" s="2">
        <v>10</v>
      </c>
      <c r="AL451" s="2">
        <v>10</v>
      </c>
      <c r="AM451" s="2">
        <v>10</v>
      </c>
      <c r="AN451" s="2">
        <v>10</v>
      </c>
      <c r="AO451" s="2">
        <v>10</v>
      </c>
      <c r="AP451" s="2">
        <v>10</v>
      </c>
      <c r="AQ451" s="2" t="e">
        <f t="shared" ca="1" si="128"/>
        <v>#NAME?</v>
      </c>
      <c r="AR451" s="2">
        <v>10</v>
      </c>
      <c r="AS451" s="2">
        <v>10</v>
      </c>
      <c r="AT451" s="2">
        <v>10</v>
      </c>
      <c r="AU451" s="2">
        <v>10</v>
      </c>
      <c r="AV451" s="2">
        <v>10</v>
      </c>
      <c r="AW451" s="54">
        <f t="shared" si="114"/>
        <v>10</v>
      </c>
      <c r="AX451" s="48">
        <v>10</v>
      </c>
      <c r="AY451" s="2">
        <v>10</v>
      </c>
      <c r="AZ451" s="2">
        <v>10</v>
      </c>
      <c r="BA451" s="2">
        <v>10</v>
      </c>
      <c r="BB451" s="2">
        <v>10</v>
      </c>
      <c r="BC451" s="2">
        <v>10</v>
      </c>
      <c r="BD451" s="2">
        <v>10</v>
      </c>
      <c r="BE451" s="2">
        <v>10</v>
      </c>
      <c r="BF451" s="2">
        <v>10</v>
      </c>
      <c r="BG451" s="2">
        <v>10</v>
      </c>
      <c r="BH451" s="2">
        <v>10</v>
      </c>
      <c r="BI451" s="57">
        <v>10</v>
      </c>
      <c r="BJ451" s="2" t="e">
        <f t="shared" ca="1" si="129"/>
        <v>#NAME?</v>
      </c>
      <c r="BK451" s="5">
        <v>10</v>
      </c>
      <c r="BL451" s="5">
        <v>10</v>
      </c>
      <c r="BM451" s="5">
        <v>10</v>
      </c>
      <c r="BN451" s="5">
        <v>10</v>
      </c>
      <c r="BO451" s="5">
        <v>10</v>
      </c>
      <c r="BP451" s="54">
        <f t="shared" si="115"/>
        <v>10</v>
      </c>
      <c r="BQ451" s="5"/>
      <c r="BR451" s="5"/>
      <c r="BS451" s="5">
        <v>7</v>
      </c>
      <c r="BT451" s="5">
        <v>8</v>
      </c>
      <c r="BU451" s="5">
        <v>7</v>
      </c>
      <c r="BV451" s="5">
        <v>10</v>
      </c>
      <c r="BW451" s="5">
        <v>10</v>
      </c>
      <c r="BX451" s="5">
        <v>10</v>
      </c>
      <c r="BY451" s="5">
        <v>10</v>
      </c>
      <c r="BZ451" s="5">
        <v>10</v>
      </c>
      <c r="CA451" s="5">
        <v>10</v>
      </c>
      <c r="CB451" s="5">
        <v>10</v>
      </c>
      <c r="CC451" s="2" t="e">
        <f t="shared" ca="1" si="130"/>
        <v>#NAME?</v>
      </c>
      <c r="CD451" s="96">
        <v>8</v>
      </c>
      <c r="CE451" s="2">
        <v>8</v>
      </c>
      <c r="CF451" s="2">
        <v>10</v>
      </c>
      <c r="CG451" s="2">
        <v>10</v>
      </c>
      <c r="CH451" s="2">
        <v>9</v>
      </c>
      <c r="CI451" s="2">
        <v>10</v>
      </c>
      <c r="CJ451" s="2">
        <v>10</v>
      </c>
      <c r="CK451" s="2">
        <v>9</v>
      </c>
      <c r="CL451" s="2">
        <v>10</v>
      </c>
      <c r="CM451" s="2">
        <v>10</v>
      </c>
      <c r="CN451" s="2">
        <v>8</v>
      </c>
      <c r="CO451" s="2">
        <v>10</v>
      </c>
      <c r="CP451" s="2" t="e">
        <f t="shared" ca="1" si="131"/>
        <v>#NAME?</v>
      </c>
      <c r="CQ451" s="2">
        <v>9</v>
      </c>
      <c r="CR451" s="2">
        <v>10</v>
      </c>
      <c r="CS451" s="2">
        <v>9</v>
      </c>
      <c r="CT451" s="2">
        <v>10</v>
      </c>
      <c r="CU451" s="2">
        <v>9</v>
      </c>
      <c r="CV451" s="54">
        <f t="shared" si="116"/>
        <v>10</v>
      </c>
      <c r="CW451" s="96">
        <v>14</v>
      </c>
      <c r="CX451" s="3"/>
    </row>
    <row r="452" spans="1:102" ht="16.5" x14ac:dyDescent="0.55000000000000004">
      <c r="A452" s="16">
        <v>3</v>
      </c>
      <c r="B452" s="16" t="s">
        <v>8</v>
      </c>
      <c r="C452" s="60" t="s">
        <v>945</v>
      </c>
      <c r="D452" s="18" t="s">
        <v>946</v>
      </c>
      <c r="E452" s="62"/>
      <c r="F452" s="10"/>
      <c r="G452" s="10" t="s">
        <v>50</v>
      </c>
      <c r="H452" s="10" t="s">
        <v>50</v>
      </c>
      <c r="I452" s="10" t="s">
        <v>50</v>
      </c>
      <c r="J452" s="10" t="s">
        <v>50</v>
      </c>
      <c r="K452" s="10" t="s">
        <v>50</v>
      </c>
      <c r="L452" s="10" t="s">
        <v>50</v>
      </c>
      <c r="M452" s="10" t="s">
        <v>50</v>
      </c>
      <c r="N452" s="10" t="s">
        <v>50</v>
      </c>
      <c r="O452" s="10" t="s">
        <v>50</v>
      </c>
      <c r="P452" s="10" t="s">
        <v>50</v>
      </c>
      <c r="Q452" s="10">
        <f>IFERROR(ROUNDUP(AVERAGE(G452:P452),0),0)</f>
        <v>0</v>
      </c>
      <c r="R452" s="10" t="s">
        <v>50</v>
      </c>
      <c r="S452" s="10" t="s">
        <v>50</v>
      </c>
      <c r="T452" s="10" t="s">
        <v>50</v>
      </c>
      <c r="U452" s="10" t="s">
        <v>50</v>
      </c>
      <c r="V452" s="10" t="s">
        <v>50</v>
      </c>
      <c r="W452" s="63">
        <f t="shared" si="113"/>
        <v>0</v>
      </c>
      <c r="X452" s="10" t="s">
        <v>50</v>
      </c>
      <c r="Y452" s="10" t="s">
        <v>50</v>
      </c>
      <c r="Z452" s="10"/>
      <c r="AA452" s="10" t="s">
        <v>50</v>
      </c>
      <c r="AB452" s="10" t="s">
        <v>50</v>
      </c>
      <c r="AC452" s="10" t="s">
        <v>50</v>
      </c>
      <c r="AD452" s="10" t="s">
        <v>50</v>
      </c>
      <c r="AE452" s="10" t="s">
        <v>50</v>
      </c>
      <c r="AF452" s="10" t="s">
        <v>50</v>
      </c>
      <c r="AG452" s="10" t="s">
        <v>50</v>
      </c>
      <c r="AH452" s="10" t="s">
        <v>50</v>
      </c>
      <c r="AI452" s="10" t="s">
        <v>50</v>
      </c>
      <c r="AJ452" s="10" t="s">
        <v>50</v>
      </c>
      <c r="AK452" s="10" t="s">
        <v>50</v>
      </c>
      <c r="AL452" s="10" t="s">
        <v>50</v>
      </c>
      <c r="AM452" s="10" t="s">
        <v>50</v>
      </c>
      <c r="AN452" s="10" t="s">
        <v>50</v>
      </c>
      <c r="AO452" s="10" t="s">
        <v>50</v>
      </c>
      <c r="AP452" s="10" t="s">
        <v>50</v>
      </c>
      <c r="AQ452" s="10">
        <f>IFERROR(ROUNDUP(AVERAGE(AA452:AP452),0),0)</f>
        <v>0</v>
      </c>
      <c r="AR452" s="10" t="s">
        <v>50</v>
      </c>
      <c r="AS452" s="10" t="s">
        <v>50</v>
      </c>
      <c r="AT452" s="10" t="s">
        <v>50</v>
      </c>
      <c r="AU452" s="10" t="s">
        <v>50</v>
      </c>
      <c r="AV452" s="10" t="s">
        <v>50</v>
      </c>
      <c r="AW452" s="63">
        <f t="shared" si="114"/>
        <v>0</v>
      </c>
      <c r="AX452" s="10" t="s">
        <v>50</v>
      </c>
      <c r="AY452" s="10" t="s">
        <v>50</v>
      </c>
      <c r="AZ452" s="10" t="s">
        <v>50</v>
      </c>
      <c r="BA452" s="10" t="s">
        <v>50</v>
      </c>
      <c r="BB452" s="10" t="s">
        <v>50</v>
      </c>
      <c r="BC452" s="10" t="s">
        <v>50</v>
      </c>
      <c r="BD452" s="10" t="s">
        <v>50</v>
      </c>
      <c r="BE452" s="10" t="s">
        <v>50</v>
      </c>
      <c r="BF452" s="10" t="s">
        <v>50</v>
      </c>
      <c r="BG452" s="10" t="s">
        <v>50</v>
      </c>
      <c r="BH452" s="10" t="s">
        <v>50</v>
      </c>
      <c r="BI452" s="10" t="s">
        <v>50</v>
      </c>
      <c r="BJ452" s="10">
        <f>IFERROR(ROUNDUP(AVERAGE(AZ452:BI452),0),0)</f>
        <v>0</v>
      </c>
      <c r="BK452" s="10" t="s">
        <v>50</v>
      </c>
      <c r="BL452" s="10" t="s">
        <v>50</v>
      </c>
      <c r="BM452" s="10" t="s">
        <v>50</v>
      </c>
      <c r="BN452" s="10" t="s">
        <v>50</v>
      </c>
      <c r="BO452" s="10" t="s">
        <v>50</v>
      </c>
      <c r="BP452" s="63">
        <f t="shared" si="115"/>
        <v>0</v>
      </c>
      <c r="BQ452" s="12"/>
      <c r="BR452" s="12"/>
      <c r="BS452" s="10" t="s">
        <v>50</v>
      </c>
      <c r="BT452" s="10" t="s">
        <v>50</v>
      </c>
      <c r="BU452" s="10" t="s">
        <v>50</v>
      </c>
      <c r="BV452" s="10" t="s">
        <v>50</v>
      </c>
      <c r="BW452" s="10" t="s">
        <v>50</v>
      </c>
      <c r="BX452" s="10" t="s">
        <v>50</v>
      </c>
      <c r="BY452" s="10" t="s">
        <v>50</v>
      </c>
      <c r="BZ452" s="10" t="s">
        <v>50</v>
      </c>
      <c r="CA452" s="10" t="s">
        <v>50</v>
      </c>
      <c r="CB452" s="10" t="s">
        <v>50</v>
      </c>
      <c r="CC452" s="10">
        <f>IFERROR(ROUNDUP(AVERAGE(BS452:CB452),0),0)</f>
        <v>0</v>
      </c>
      <c r="CD452" s="10" t="s">
        <v>50</v>
      </c>
      <c r="CE452" s="10" t="s">
        <v>50</v>
      </c>
      <c r="CF452" s="10" t="s">
        <v>50</v>
      </c>
      <c r="CG452" s="10" t="s">
        <v>50</v>
      </c>
      <c r="CH452" s="10" t="s">
        <v>50</v>
      </c>
      <c r="CI452" s="10" t="s">
        <v>50</v>
      </c>
      <c r="CJ452" s="10" t="s">
        <v>50</v>
      </c>
      <c r="CK452" s="10" t="s">
        <v>50</v>
      </c>
      <c r="CL452" s="10" t="s">
        <v>50</v>
      </c>
      <c r="CM452" s="10" t="s">
        <v>50</v>
      </c>
      <c r="CN452" s="10" t="s">
        <v>50</v>
      </c>
      <c r="CO452" s="10" t="s">
        <v>50</v>
      </c>
      <c r="CP452" s="10">
        <f>IFERROR(ROUNDUP(AVERAGE(CF452:CO452),0),0)</f>
        <v>0</v>
      </c>
      <c r="CQ452" s="10" t="s">
        <v>50</v>
      </c>
      <c r="CR452" s="10" t="s">
        <v>50</v>
      </c>
      <c r="CS452" s="10" t="s">
        <v>50</v>
      </c>
      <c r="CT452" s="10" t="s">
        <v>50</v>
      </c>
      <c r="CU452" s="10" t="s">
        <v>50</v>
      </c>
      <c r="CV452" s="63">
        <f t="shared" si="116"/>
        <v>0</v>
      </c>
      <c r="CW452" s="10" t="s">
        <v>50</v>
      </c>
      <c r="CX452" s="11"/>
    </row>
    <row r="453" spans="1:102" ht="16.5" x14ac:dyDescent="0.55000000000000004">
      <c r="A453" s="17">
        <v>3</v>
      </c>
      <c r="B453" s="17" t="s">
        <v>8</v>
      </c>
      <c r="C453" s="23" t="s">
        <v>947</v>
      </c>
      <c r="D453" s="24" t="s">
        <v>948</v>
      </c>
      <c r="E453" s="48"/>
      <c r="F453" s="2"/>
      <c r="G453" s="2">
        <v>10</v>
      </c>
      <c r="H453" s="2">
        <v>10</v>
      </c>
      <c r="I453" s="2">
        <v>10</v>
      </c>
      <c r="J453" s="2">
        <v>10</v>
      </c>
      <c r="K453" s="2">
        <v>10</v>
      </c>
      <c r="L453" s="2">
        <v>10</v>
      </c>
      <c r="M453" s="2">
        <v>10</v>
      </c>
      <c r="N453" s="2">
        <v>10</v>
      </c>
      <c r="O453" s="2">
        <v>10</v>
      </c>
      <c r="P453" s="2">
        <v>10</v>
      </c>
      <c r="Q453" s="2" t="e">
        <f t="shared" ref="Q453:Q475" ca="1" si="132">_xludf.let(a,IFERROR(AVERAGE(G453:P453),0),ROUND(MAP(a, LAMBDA(x, 5 + (x * 0.5))),0))</f>
        <v>#NAME?</v>
      </c>
      <c r="R453" s="2">
        <v>10</v>
      </c>
      <c r="S453" s="2">
        <v>10</v>
      </c>
      <c r="T453" s="2">
        <v>10</v>
      </c>
      <c r="U453" s="2">
        <v>10</v>
      </c>
      <c r="V453" s="2">
        <v>10</v>
      </c>
      <c r="W453" s="54">
        <f t="shared" si="113"/>
        <v>10</v>
      </c>
      <c r="X453" s="48">
        <v>8</v>
      </c>
      <c r="Y453" s="2">
        <v>8</v>
      </c>
      <c r="Z453" s="2"/>
      <c r="AA453" s="2">
        <v>10</v>
      </c>
      <c r="AB453" s="2">
        <v>10</v>
      </c>
      <c r="AC453" s="2">
        <v>10</v>
      </c>
      <c r="AD453" s="2">
        <v>10</v>
      </c>
      <c r="AE453" s="2">
        <v>9</v>
      </c>
      <c r="AF453" s="2">
        <v>10</v>
      </c>
      <c r="AG453" s="2">
        <v>9</v>
      </c>
      <c r="AH453" s="2">
        <v>10</v>
      </c>
      <c r="AI453" s="2">
        <v>9</v>
      </c>
      <c r="AJ453" s="2">
        <v>10</v>
      </c>
      <c r="AK453" s="2">
        <v>9</v>
      </c>
      <c r="AL453" s="2">
        <v>10</v>
      </c>
      <c r="AM453" s="2">
        <v>9</v>
      </c>
      <c r="AN453" s="2">
        <v>10</v>
      </c>
      <c r="AO453" s="2">
        <v>9</v>
      </c>
      <c r="AP453" s="2">
        <v>10</v>
      </c>
      <c r="AQ453" s="2" t="e">
        <f t="shared" ref="AQ453:AQ475" ca="1" si="133">_xludf.let(a,IFERROR(AVERAGE(AA453:AP453),0),ROUND(MAP(a, LAMBDA(x, 5 + (x * 0.5))),0))</f>
        <v>#NAME?</v>
      </c>
      <c r="AR453" s="2">
        <v>10</v>
      </c>
      <c r="AS453" s="2">
        <v>10</v>
      </c>
      <c r="AT453" s="2">
        <v>10</v>
      </c>
      <c r="AU453" s="2">
        <v>9</v>
      </c>
      <c r="AV453" s="2">
        <v>10</v>
      </c>
      <c r="AW453" s="54">
        <f t="shared" si="114"/>
        <v>10</v>
      </c>
      <c r="AX453" s="48">
        <v>9</v>
      </c>
      <c r="AY453" s="2">
        <v>9</v>
      </c>
      <c r="AZ453" s="2">
        <v>9</v>
      </c>
      <c r="BA453" s="2">
        <v>10</v>
      </c>
      <c r="BB453" s="2">
        <v>10</v>
      </c>
      <c r="BC453" s="2">
        <v>10</v>
      </c>
      <c r="BD453" s="2">
        <v>10</v>
      </c>
      <c r="BE453" s="2">
        <v>10</v>
      </c>
      <c r="BF453" s="2">
        <v>10</v>
      </c>
      <c r="BG453" s="2">
        <v>9</v>
      </c>
      <c r="BH453" s="2">
        <v>9</v>
      </c>
      <c r="BI453" s="57">
        <v>10</v>
      </c>
      <c r="BJ453" s="2" t="e">
        <f t="shared" ref="BJ453:BJ475" ca="1" si="134">_xludf.let(a,IFERROR(AVERAGE(AZ453:BI453),0),ROUND(MAP(a, LAMBDA(x, 5 + (x * 0.5))),0))</f>
        <v>#NAME?</v>
      </c>
      <c r="BK453" s="5">
        <v>10</v>
      </c>
      <c r="BL453" s="5">
        <v>10</v>
      </c>
      <c r="BM453" s="5">
        <v>10</v>
      </c>
      <c r="BN453" s="5">
        <v>10</v>
      </c>
      <c r="BO453" s="5">
        <v>10</v>
      </c>
      <c r="BP453" s="54">
        <f t="shared" si="115"/>
        <v>10</v>
      </c>
      <c r="BQ453" s="5"/>
      <c r="BR453" s="5"/>
      <c r="BS453" s="5">
        <v>10</v>
      </c>
      <c r="BT453" s="5">
        <v>10</v>
      </c>
      <c r="BU453" s="5">
        <v>9</v>
      </c>
      <c r="BV453" s="5">
        <v>10</v>
      </c>
      <c r="BW453" s="5">
        <v>10</v>
      </c>
      <c r="BX453" s="5">
        <v>10</v>
      </c>
      <c r="BY453" s="5">
        <v>10</v>
      </c>
      <c r="BZ453" s="5">
        <v>10</v>
      </c>
      <c r="CA453" s="5">
        <v>10</v>
      </c>
      <c r="CB453" s="5">
        <v>10</v>
      </c>
      <c r="CC453" s="2" t="e">
        <f t="shared" ref="CC453:CC475" ca="1" si="135">_xludf.let(a,IFERROR(AVERAGE(BS453:CB453),0),ROUND(MAP(a, LAMBDA(x, 5 + (x * 0.5))),0))</f>
        <v>#NAME?</v>
      </c>
      <c r="CD453" s="96">
        <v>9</v>
      </c>
      <c r="CE453" s="2">
        <v>9</v>
      </c>
      <c r="CF453" s="2">
        <v>10</v>
      </c>
      <c r="CG453" s="2">
        <v>10</v>
      </c>
      <c r="CH453" s="2">
        <v>10</v>
      </c>
      <c r="CI453" s="2">
        <v>9</v>
      </c>
      <c r="CJ453" s="2">
        <v>10</v>
      </c>
      <c r="CK453" s="2">
        <v>9</v>
      </c>
      <c r="CL453" s="2">
        <v>10</v>
      </c>
      <c r="CM453" s="2">
        <v>9</v>
      </c>
      <c r="CN453" s="2">
        <v>9</v>
      </c>
      <c r="CO453" s="2">
        <v>10</v>
      </c>
      <c r="CP453" s="2" t="e">
        <f t="shared" ref="CP453:CP475" ca="1" si="136">_xludf.let(a,IFERROR(AVERAGE(CF453:CO453),0),ROUND(MAP(a, LAMBDA(x, 5 + (x * 0.5))),0))</f>
        <v>#NAME?</v>
      </c>
      <c r="CQ453" s="2">
        <v>10</v>
      </c>
      <c r="CR453" s="2">
        <v>10</v>
      </c>
      <c r="CS453" s="2">
        <v>10</v>
      </c>
      <c r="CT453" s="2">
        <v>10</v>
      </c>
      <c r="CU453" s="2">
        <v>10</v>
      </c>
      <c r="CV453" s="54">
        <f t="shared" si="116"/>
        <v>10</v>
      </c>
      <c r="CW453" s="96">
        <v>17</v>
      </c>
      <c r="CX453" s="3"/>
    </row>
    <row r="454" spans="1:102" ht="16.5" x14ac:dyDescent="0.55000000000000004">
      <c r="A454" s="17">
        <v>3</v>
      </c>
      <c r="B454" s="17" t="s">
        <v>8</v>
      </c>
      <c r="C454" s="23" t="s">
        <v>949</v>
      </c>
      <c r="D454" s="24" t="s">
        <v>950</v>
      </c>
      <c r="E454" s="48"/>
      <c r="F454" s="2"/>
      <c r="G454" s="2">
        <v>5</v>
      </c>
      <c r="H454" s="2">
        <v>5</v>
      </c>
      <c r="I454" s="2">
        <v>5</v>
      </c>
      <c r="J454" s="2">
        <v>5</v>
      </c>
      <c r="K454" s="2">
        <v>5</v>
      </c>
      <c r="L454" s="2">
        <v>5</v>
      </c>
      <c r="M454" s="2">
        <v>5</v>
      </c>
      <c r="N454" s="2">
        <v>5</v>
      </c>
      <c r="O454" s="2">
        <v>5</v>
      </c>
      <c r="P454" s="2">
        <v>5</v>
      </c>
      <c r="Q454" s="2" t="e">
        <f t="shared" ca="1" si="132"/>
        <v>#NAME?</v>
      </c>
      <c r="R454" s="2">
        <v>5</v>
      </c>
      <c r="S454" s="2">
        <v>5</v>
      </c>
      <c r="T454" s="2">
        <v>5</v>
      </c>
      <c r="U454" s="2">
        <v>5</v>
      </c>
      <c r="V454" s="2">
        <v>5</v>
      </c>
      <c r="W454" s="54">
        <f t="shared" si="113"/>
        <v>5</v>
      </c>
      <c r="X454" s="48">
        <v>5</v>
      </c>
      <c r="Y454" s="2">
        <v>5</v>
      </c>
      <c r="Z454" s="2"/>
      <c r="AA454" s="2">
        <v>5</v>
      </c>
      <c r="AB454" s="2">
        <v>5</v>
      </c>
      <c r="AC454" s="2">
        <v>5</v>
      </c>
      <c r="AD454" s="2">
        <v>5</v>
      </c>
      <c r="AE454" s="2">
        <v>5</v>
      </c>
      <c r="AF454" s="2">
        <v>5</v>
      </c>
      <c r="AG454" s="2">
        <v>5</v>
      </c>
      <c r="AH454" s="2">
        <v>5</v>
      </c>
      <c r="AI454" s="2">
        <v>5</v>
      </c>
      <c r="AJ454" s="2">
        <v>5</v>
      </c>
      <c r="AK454" s="2">
        <v>5</v>
      </c>
      <c r="AL454" s="2">
        <v>5</v>
      </c>
      <c r="AM454" s="2">
        <v>5</v>
      </c>
      <c r="AN454" s="2">
        <v>5</v>
      </c>
      <c r="AO454" s="2">
        <v>5</v>
      </c>
      <c r="AP454" s="2">
        <v>5</v>
      </c>
      <c r="AQ454" s="2" t="e">
        <f t="shared" ca="1" si="133"/>
        <v>#NAME?</v>
      </c>
      <c r="AR454" s="2">
        <v>5</v>
      </c>
      <c r="AS454" s="2">
        <v>5</v>
      </c>
      <c r="AT454" s="2">
        <v>5</v>
      </c>
      <c r="AU454" s="2">
        <v>5</v>
      </c>
      <c r="AV454" s="2">
        <v>5</v>
      </c>
      <c r="AW454" s="54">
        <f t="shared" si="114"/>
        <v>5</v>
      </c>
      <c r="AX454" s="100">
        <v>5</v>
      </c>
      <c r="AY454" s="101">
        <v>5</v>
      </c>
      <c r="AZ454" s="101">
        <v>5</v>
      </c>
      <c r="BA454" s="101">
        <v>5</v>
      </c>
      <c r="BB454" s="101">
        <v>5</v>
      </c>
      <c r="BC454" s="101">
        <v>5</v>
      </c>
      <c r="BD454" s="101">
        <v>5</v>
      </c>
      <c r="BE454" s="101">
        <v>5</v>
      </c>
      <c r="BF454" s="101">
        <v>5</v>
      </c>
      <c r="BG454" s="101">
        <v>5</v>
      </c>
      <c r="BH454" s="101">
        <v>5</v>
      </c>
      <c r="BI454" s="103">
        <v>5</v>
      </c>
      <c r="BJ454" s="2" t="e">
        <f t="shared" ca="1" si="134"/>
        <v>#NAME?</v>
      </c>
      <c r="BK454" s="102">
        <v>5</v>
      </c>
      <c r="BL454" s="102">
        <v>5</v>
      </c>
      <c r="BM454" s="102">
        <v>5</v>
      </c>
      <c r="BN454" s="102">
        <v>5</v>
      </c>
      <c r="BO454" s="102">
        <v>5</v>
      </c>
      <c r="BP454" s="54">
        <f t="shared" si="115"/>
        <v>5</v>
      </c>
      <c r="BQ454" s="5"/>
      <c r="BR454" s="5"/>
      <c r="BS454" s="5">
        <v>5</v>
      </c>
      <c r="BT454" s="5">
        <v>5</v>
      </c>
      <c r="BU454" s="5">
        <v>5</v>
      </c>
      <c r="BV454" s="5">
        <v>5</v>
      </c>
      <c r="BW454" s="5">
        <v>5</v>
      </c>
      <c r="BX454" s="5">
        <v>5</v>
      </c>
      <c r="BY454" s="5">
        <v>5</v>
      </c>
      <c r="BZ454" s="5">
        <v>5</v>
      </c>
      <c r="CA454" s="5">
        <v>5</v>
      </c>
      <c r="CB454" s="5">
        <v>5</v>
      </c>
      <c r="CC454" s="2" t="e">
        <f t="shared" ca="1" si="135"/>
        <v>#NAME?</v>
      </c>
      <c r="CD454" s="96">
        <v>5</v>
      </c>
      <c r="CE454" s="2">
        <v>7</v>
      </c>
      <c r="CF454" s="2">
        <v>10</v>
      </c>
      <c r="CG454" s="2">
        <v>8</v>
      </c>
      <c r="CH454" s="2">
        <v>10</v>
      </c>
      <c r="CI454" s="2">
        <v>7</v>
      </c>
      <c r="CJ454" s="2">
        <v>10</v>
      </c>
      <c r="CK454" s="2">
        <v>8</v>
      </c>
      <c r="CL454" s="2">
        <v>10</v>
      </c>
      <c r="CM454" s="2">
        <v>8</v>
      </c>
      <c r="CN454" s="2">
        <v>9</v>
      </c>
      <c r="CO454" s="2">
        <v>8</v>
      </c>
      <c r="CP454" s="2" t="e">
        <f t="shared" ca="1" si="136"/>
        <v>#NAME?</v>
      </c>
      <c r="CQ454" s="2">
        <v>10</v>
      </c>
      <c r="CR454" s="2">
        <v>9</v>
      </c>
      <c r="CS454" s="2">
        <v>10</v>
      </c>
      <c r="CT454" s="2">
        <v>10</v>
      </c>
      <c r="CU454" s="2">
        <v>9</v>
      </c>
      <c r="CV454" s="54">
        <f t="shared" si="116"/>
        <v>10</v>
      </c>
      <c r="CW454" s="96">
        <v>3</v>
      </c>
      <c r="CX454" s="3"/>
    </row>
    <row r="455" spans="1:102" ht="16.5" x14ac:dyDescent="0.55000000000000004">
      <c r="A455" s="17">
        <v>3</v>
      </c>
      <c r="B455" s="17" t="s">
        <v>8</v>
      </c>
      <c r="C455" s="23" t="s">
        <v>951</v>
      </c>
      <c r="D455" s="24" t="s">
        <v>952</v>
      </c>
      <c r="E455" s="48"/>
      <c r="F455" s="2"/>
      <c r="G455" s="2">
        <v>10</v>
      </c>
      <c r="H455" s="2">
        <v>10</v>
      </c>
      <c r="I455" s="2">
        <v>10</v>
      </c>
      <c r="J455" s="2">
        <v>10</v>
      </c>
      <c r="K455" s="2">
        <v>10</v>
      </c>
      <c r="L455" s="2">
        <v>10</v>
      </c>
      <c r="M455" s="2">
        <v>9</v>
      </c>
      <c r="N455" s="2">
        <v>9</v>
      </c>
      <c r="O455" s="2">
        <v>10</v>
      </c>
      <c r="P455" s="2">
        <v>10</v>
      </c>
      <c r="Q455" s="2" t="e">
        <f t="shared" ca="1" si="132"/>
        <v>#NAME?</v>
      </c>
      <c r="R455" s="2">
        <v>10</v>
      </c>
      <c r="S455" s="2">
        <v>10</v>
      </c>
      <c r="T455" s="2">
        <v>8</v>
      </c>
      <c r="U455" s="2">
        <v>8</v>
      </c>
      <c r="V455" s="2">
        <v>9</v>
      </c>
      <c r="W455" s="54">
        <f t="shared" si="113"/>
        <v>9</v>
      </c>
      <c r="X455" s="48">
        <v>8</v>
      </c>
      <c r="Y455" s="2">
        <v>7</v>
      </c>
      <c r="Z455" s="2"/>
      <c r="AA455" s="2">
        <v>9</v>
      </c>
      <c r="AB455" s="2">
        <v>9</v>
      </c>
      <c r="AC455" s="2">
        <v>10</v>
      </c>
      <c r="AD455" s="2">
        <v>9</v>
      </c>
      <c r="AE455" s="2">
        <v>10</v>
      </c>
      <c r="AF455" s="2">
        <v>10</v>
      </c>
      <c r="AG455" s="2">
        <v>10</v>
      </c>
      <c r="AH455" s="2">
        <v>9</v>
      </c>
      <c r="AI455" s="2">
        <v>10</v>
      </c>
      <c r="AJ455" s="2">
        <v>9</v>
      </c>
      <c r="AK455" s="2">
        <v>10</v>
      </c>
      <c r="AL455" s="2">
        <v>10</v>
      </c>
      <c r="AM455" s="2">
        <v>10</v>
      </c>
      <c r="AN455" s="2">
        <v>9</v>
      </c>
      <c r="AO455" s="2">
        <v>10</v>
      </c>
      <c r="AP455" s="2">
        <v>9</v>
      </c>
      <c r="AQ455" s="2" t="e">
        <f t="shared" ca="1" si="133"/>
        <v>#NAME?</v>
      </c>
      <c r="AR455" s="2">
        <v>10</v>
      </c>
      <c r="AS455" s="2">
        <v>10</v>
      </c>
      <c r="AT455" s="2">
        <v>9</v>
      </c>
      <c r="AU455" s="2">
        <v>10</v>
      </c>
      <c r="AV455" s="2">
        <v>9</v>
      </c>
      <c r="AW455" s="54">
        <f t="shared" si="114"/>
        <v>10</v>
      </c>
      <c r="AX455" s="48">
        <v>9</v>
      </c>
      <c r="AY455" s="2">
        <v>8</v>
      </c>
      <c r="AZ455" s="2">
        <v>9</v>
      </c>
      <c r="BA455" s="2">
        <v>9</v>
      </c>
      <c r="BB455" s="2">
        <v>8</v>
      </c>
      <c r="BC455" s="2">
        <v>9</v>
      </c>
      <c r="BD455" s="2">
        <v>8</v>
      </c>
      <c r="BE455" s="2">
        <v>10</v>
      </c>
      <c r="BF455" s="2">
        <v>10</v>
      </c>
      <c r="BG455" s="2">
        <v>8</v>
      </c>
      <c r="BH455" s="2">
        <v>10</v>
      </c>
      <c r="BI455" s="57">
        <v>8</v>
      </c>
      <c r="BJ455" s="2" t="e">
        <f t="shared" ca="1" si="134"/>
        <v>#NAME?</v>
      </c>
      <c r="BK455" s="5">
        <v>9</v>
      </c>
      <c r="BL455" s="5">
        <v>9</v>
      </c>
      <c r="BM455" s="5">
        <v>10</v>
      </c>
      <c r="BN455" s="5">
        <v>10</v>
      </c>
      <c r="BO455" s="5">
        <v>10</v>
      </c>
      <c r="BP455" s="54">
        <f t="shared" si="115"/>
        <v>10</v>
      </c>
      <c r="BQ455" s="5"/>
      <c r="BR455" s="5"/>
      <c r="BS455" s="5">
        <v>8</v>
      </c>
      <c r="BT455" s="5">
        <v>7</v>
      </c>
      <c r="BU455" s="5">
        <v>9</v>
      </c>
      <c r="BV455" s="5">
        <v>10</v>
      </c>
      <c r="BW455" s="5">
        <v>10</v>
      </c>
      <c r="BX455" s="5">
        <v>10</v>
      </c>
      <c r="BY455" s="5">
        <v>10</v>
      </c>
      <c r="BZ455" s="5"/>
      <c r="CA455" s="5"/>
      <c r="CB455" s="5"/>
      <c r="CC455" s="2" t="e">
        <f t="shared" ca="1" si="135"/>
        <v>#NAME?</v>
      </c>
      <c r="CD455" s="96">
        <v>9</v>
      </c>
      <c r="CE455" s="2">
        <v>9</v>
      </c>
      <c r="CF455" s="2">
        <v>10</v>
      </c>
      <c r="CG455" s="2">
        <v>10</v>
      </c>
      <c r="CH455" s="2">
        <v>9</v>
      </c>
      <c r="CI455" s="2">
        <v>10</v>
      </c>
      <c r="CJ455" s="2">
        <v>9</v>
      </c>
      <c r="CK455" s="2">
        <v>10</v>
      </c>
      <c r="CL455" s="2">
        <v>8</v>
      </c>
      <c r="CM455" s="2">
        <v>10</v>
      </c>
      <c r="CN455" s="2">
        <v>9</v>
      </c>
      <c r="CO455" s="2">
        <v>10</v>
      </c>
      <c r="CP455" s="2" t="e">
        <f t="shared" ca="1" si="136"/>
        <v>#NAME?</v>
      </c>
      <c r="CQ455" s="2">
        <v>10</v>
      </c>
      <c r="CR455" s="2">
        <v>10</v>
      </c>
      <c r="CS455" s="2">
        <v>10</v>
      </c>
      <c r="CT455" s="2">
        <v>10</v>
      </c>
      <c r="CU455" s="2">
        <v>10</v>
      </c>
      <c r="CV455" s="54">
        <f t="shared" si="116"/>
        <v>10</v>
      </c>
      <c r="CW455" s="96">
        <v>17</v>
      </c>
      <c r="CX455" s="3"/>
    </row>
    <row r="456" spans="1:102" ht="16.5" x14ac:dyDescent="0.55000000000000004">
      <c r="A456" s="17">
        <v>3</v>
      </c>
      <c r="B456" s="17" t="s">
        <v>8</v>
      </c>
      <c r="C456" s="23" t="s">
        <v>953</v>
      </c>
      <c r="D456" s="24" t="s">
        <v>954</v>
      </c>
      <c r="E456" s="48"/>
      <c r="F456" s="2"/>
      <c r="G456" s="2">
        <v>10</v>
      </c>
      <c r="H456" s="2">
        <v>10</v>
      </c>
      <c r="I456" s="2">
        <v>10</v>
      </c>
      <c r="J456" s="2">
        <v>10</v>
      </c>
      <c r="K456" s="2">
        <v>10</v>
      </c>
      <c r="L456" s="2">
        <v>10</v>
      </c>
      <c r="M456" s="2">
        <v>10</v>
      </c>
      <c r="N456" s="2">
        <v>10</v>
      </c>
      <c r="O456" s="2">
        <v>10</v>
      </c>
      <c r="P456" s="2">
        <v>10</v>
      </c>
      <c r="Q456" s="2" t="e">
        <f t="shared" ca="1" si="132"/>
        <v>#NAME?</v>
      </c>
      <c r="R456" s="2">
        <v>10</v>
      </c>
      <c r="S456" s="2">
        <v>10</v>
      </c>
      <c r="T456" s="2">
        <v>9</v>
      </c>
      <c r="U456" s="2">
        <v>10</v>
      </c>
      <c r="V456" s="2">
        <v>10</v>
      </c>
      <c r="W456" s="54">
        <f t="shared" si="113"/>
        <v>10</v>
      </c>
      <c r="X456" s="48">
        <v>8</v>
      </c>
      <c r="Y456" s="2">
        <v>8</v>
      </c>
      <c r="Z456" s="2"/>
      <c r="AA456" s="2">
        <v>9</v>
      </c>
      <c r="AB456" s="2">
        <v>9</v>
      </c>
      <c r="AC456" s="2">
        <v>10</v>
      </c>
      <c r="AD456" s="2">
        <v>9</v>
      </c>
      <c r="AE456" s="2">
        <v>10</v>
      </c>
      <c r="AF456" s="2">
        <v>10</v>
      </c>
      <c r="AG456" s="2">
        <v>10</v>
      </c>
      <c r="AH456" s="2">
        <v>9</v>
      </c>
      <c r="AI456" s="2">
        <v>10</v>
      </c>
      <c r="AJ456" s="2">
        <v>9</v>
      </c>
      <c r="AK456" s="2">
        <v>10</v>
      </c>
      <c r="AL456" s="2">
        <v>10</v>
      </c>
      <c r="AM456" s="2">
        <v>10</v>
      </c>
      <c r="AN456" s="2">
        <v>9</v>
      </c>
      <c r="AO456" s="2">
        <v>10</v>
      </c>
      <c r="AP456" s="2">
        <v>9</v>
      </c>
      <c r="AQ456" s="2" t="e">
        <f t="shared" ca="1" si="133"/>
        <v>#NAME?</v>
      </c>
      <c r="AR456" s="2">
        <v>10</v>
      </c>
      <c r="AS456" s="2">
        <v>10</v>
      </c>
      <c r="AT456" s="2">
        <v>9</v>
      </c>
      <c r="AU456" s="2">
        <v>10</v>
      </c>
      <c r="AV456" s="2">
        <v>9</v>
      </c>
      <c r="AW456" s="54">
        <f t="shared" si="114"/>
        <v>10</v>
      </c>
      <c r="AX456" s="48">
        <v>9</v>
      </c>
      <c r="AY456" s="2">
        <v>8</v>
      </c>
      <c r="AZ456" s="2">
        <v>9</v>
      </c>
      <c r="BA456" s="2">
        <v>9</v>
      </c>
      <c r="BB456" s="2">
        <v>10</v>
      </c>
      <c r="BC456" s="2">
        <v>10</v>
      </c>
      <c r="BD456" s="2">
        <v>10</v>
      </c>
      <c r="BE456" s="2">
        <v>10</v>
      </c>
      <c r="BF456" s="2">
        <v>9</v>
      </c>
      <c r="BG456" s="2">
        <v>9</v>
      </c>
      <c r="BH456" s="2">
        <v>10</v>
      </c>
      <c r="BI456" s="57">
        <v>10</v>
      </c>
      <c r="BJ456" s="2" t="e">
        <f t="shared" ca="1" si="134"/>
        <v>#NAME?</v>
      </c>
      <c r="BK456" s="5">
        <v>9</v>
      </c>
      <c r="BL456" s="5">
        <v>9</v>
      </c>
      <c r="BM456" s="5">
        <v>9</v>
      </c>
      <c r="BN456" s="5">
        <v>10</v>
      </c>
      <c r="BO456" s="5">
        <v>10</v>
      </c>
      <c r="BP456" s="54">
        <f t="shared" si="115"/>
        <v>10</v>
      </c>
      <c r="BQ456" s="5"/>
      <c r="BR456" s="5"/>
      <c r="BS456" s="5">
        <v>7</v>
      </c>
      <c r="BT456" s="5">
        <v>7</v>
      </c>
      <c r="BU456" s="5">
        <v>10</v>
      </c>
      <c r="BV456" s="5">
        <v>10</v>
      </c>
      <c r="BW456" s="5">
        <v>10</v>
      </c>
      <c r="BX456" s="5">
        <v>10</v>
      </c>
      <c r="BY456" s="5">
        <v>10</v>
      </c>
      <c r="BZ456" s="5">
        <v>10</v>
      </c>
      <c r="CA456" s="5"/>
      <c r="CB456" s="5"/>
      <c r="CC456" s="2" t="e">
        <f t="shared" ca="1" si="135"/>
        <v>#NAME?</v>
      </c>
      <c r="CD456" s="96">
        <v>9</v>
      </c>
      <c r="CE456" s="2">
        <v>9</v>
      </c>
      <c r="CF456" s="2">
        <v>10</v>
      </c>
      <c r="CG456" s="2">
        <v>10</v>
      </c>
      <c r="CH456" s="2">
        <v>9</v>
      </c>
      <c r="CI456" s="2">
        <v>10</v>
      </c>
      <c r="CJ456" s="2">
        <v>9</v>
      </c>
      <c r="CK456" s="2">
        <v>10</v>
      </c>
      <c r="CL456" s="2">
        <v>9</v>
      </c>
      <c r="CM456" s="2">
        <v>10</v>
      </c>
      <c r="CN456" s="2">
        <v>9</v>
      </c>
      <c r="CO456" s="2">
        <v>10</v>
      </c>
      <c r="CP456" s="2" t="e">
        <f t="shared" ca="1" si="136"/>
        <v>#NAME?</v>
      </c>
      <c r="CQ456" s="2">
        <v>10</v>
      </c>
      <c r="CR456" s="2">
        <v>10</v>
      </c>
      <c r="CS456" s="2">
        <v>10</v>
      </c>
      <c r="CT456" s="2">
        <v>10</v>
      </c>
      <c r="CU456" s="2">
        <v>10</v>
      </c>
      <c r="CV456" s="54">
        <f t="shared" si="116"/>
        <v>10</v>
      </c>
      <c r="CW456" s="96">
        <v>18</v>
      </c>
      <c r="CX456" s="3"/>
    </row>
    <row r="457" spans="1:102" ht="16.5" x14ac:dyDescent="0.55000000000000004">
      <c r="A457" s="17">
        <v>3</v>
      </c>
      <c r="B457" s="17" t="s">
        <v>8</v>
      </c>
      <c r="C457" s="23" t="s">
        <v>955</v>
      </c>
      <c r="D457" s="24" t="s">
        <v>956</v>
      </c>
      <c r="E457" s="48"/>
      <c r="F457" s="2"/>
      <c r="G457" s="2">
        <v>10</v>
      </c>
      <c r="H457" s="2">
        <v>10</v>
      </c>
      <c r="I457" s="2">
        <v>10</v>
      </c>
      <c r="J457" s="2">
        <v>10</v>
      </c>
      <c r="K457" s="2">
        <v>9</v>
      </c>
      <c r="L457" s="2">
        <v>9</v>
      </c>
      <c r="M457" s="2">
        <v>10</v>
      </c>
      <c r="N457" s="2">
        <v>10</v>
      </c>
      <c r="O457" s="2">
        <v>9</v>
      </c>
      <c r="P457" s="2">
        <v>9</v>
      </c>
      <c r="Q457" s="2" t="e">
        <f t="shared" ca="1" si="132"/>
        <v>#NAME?</v>
      </c>
      <c r="R457" s="2">
        <v>10</v>
      </c>
      <c r="S457" s="2">
        <v>10</v>
      </c>
      <c r="T457" s="2">
        <v>9</v>
      </c>
      <c r="U457" s="2">
        <v>9</v>
      </c>
      <c r="V457" s="2">
        <v>10</v>
      </c>
      <c r="W457" s="54">
        <f t="shared" si="113"/>
        <v>10</v>
      </c>
      <c r="X457" s="48">
        <v>9</v>
      </c>
      <c r="Y457" s="2">
        <v>8</v>
      </c>
      <c r="Z457" s="2"/>
      <c r="AA457" s="2">
        <v>9</v>
      </c>
      <c r="AB457" s="2">
        <v>9</v>
      </c>
      <c r="AC457" s="2">
        <v>8</v>
      </c>
      <c r="AD457" s="2">
        <v>9</v>
      </c>
      <c r="AE457" s="2">
        <v>10</v>
      </c>
      <c r="AF457" s="2">
        <v>9</v>
      </c>
      <c r="AG457" s="2">
        <v>10</v>
      </c>
      <c r="AH457" s="2">
        <v>10</v>
      </c>
      <c r="AI457" s="2">
        <v>10</v>
      </c>
      <c r="AJ457" s="2">
        <v>10</v>
      </c>
      <c r="AK457" s="2">
        <v>10</v>
      </c>
      <c r="AL457" s="2">
        <v>9</v>
      </c>
      <c r="AM457" s="2">
        <v>10</v>
      </c>
      <c r="AN457" s="2">
        <v>10</v>
      </c>
      <c r="AO457" s="2">
        <v>10</v>
      </c>
      <c r="AP457" s="2">
        <v>10</v>
      </c>
      <c r="AQ457" s="2" t="e">
        <f t="shared" ca="1" si="133"/>
        <v>#NAME?</v>
      </c>
      <c r="AR457" s="2">
        <v>8</v>
      </c>
      <c r="AS457" s="2">
        <v>8</v>
      </c>
      <c r="AT457" s="2">
        <v>9</v>
      </c>
      <c r="AU457" s="2">
        <v>10</v>
      </c>
      <c r="AV457" s="2">
        <v>10</v>
      </c>
      <c r="AW457" s="54">
        <f t="shared" si="114"/>
        <v>9</v>
      </c>
      <c r="AX457" s="48">
        <v>10</v>
      </c>
      <c r="AY457" s="2">
        <v>9</v>
      </c>
      <c r="AZ457" s="2">
        <v>10</v>
      </c>
      <c r="BA457" s="2">
        <v>10</v>
      </c>
      <c r="BB457" s="2">
        <v>10</v>
      </c>
      <c r="BC457" s="2">
        <v>10</v>
      </c>
      <c r="BD457" s="2">
        <v>10</v>
      </c>
      <c r="BE457" s="2">
        <v>10</v>
      </c>
      <c r="BF457" s="2">
        <v>10</v>
      </c>
      <c r="BG457" s="2">
        <v>9</v>
      </c>
      <c r="BH457" s="2">
        <v>9</v>
      </c>
      <c r="BI457" s="57">
        <v>9</v>
      </c>
      <c r="BJ457" s="2" t="e">
        <f t="shared" ca="1" si="134"/>
        <v>#NAME?</v>
      </c>
      <c r="BK457" s="5">
        <v>10</v>
      </c>
      <c r="BL457" s="5">
        <v>10</v>
      </c>
      <c r="BM457" s="5">
        <v>10</v>
      </c>
      <c r="BN457" s="5">
        <v>10</v>
      </c>
      <c r="BO457" s="5">
        <v>10</v>
      </c>
      <c r="BP457" s="54">
        <f t="shared" si="115"/>
        <v>10</v>
      </c>
      <c r="BQ457" s="5"/>
      <c r="BR457" s="5"/>
      <c r="BS457" s="5">
        <v>8</v>
      </c>
      <c r="BT457" s="5">
        <v>9</v>
      </c>
      <c r="BU457" s="5">
        <v>10</v>
      </c>
      <c r="BV457" s="5">
        <v>10</v>
      </c>
      <c r="BW457" s="5">
        <v>10</v>
      </c>
      <c r="BX457" s="5">
        <v>10</v>
      </c>
      <c r="BY457" s="5">
        <v>10</v>
      </c>
      <c r="BZ457" s="5">
        <v>10</v>
      </c>
      <c r="CA457" s="5">
        <v>10</v>
      </c>
      <c r="CB457" s="5">
        <v>10</v>
      </c>
      <c r="CC457" s="2" t="e">
        <f t="shared" ca="1" si="135"/>
        <v>#NAME?</v>
      </c>
      <c r="CD457" s="96">
        <v>6</v>
      </c>
      <c r="CE457" s="2">
        <v>7</v>
      </c>
      <c r="CF457" s="2">
        <v>10</v>
      </c>
      <c r="CG457" s="2">
        <v>10</v>
      </c>
      <c r="CH457" s="2">
        <v>8</v>
      </c>
      <c r="CI457" s="2">
        <v>10</v>
      </c>
      <c r="CJ457" s="2">
        <v>8</v>
      </c>
      <c r="CK457" s="2">
        <v>10</v>
      </c>
      <c r="CL457" s="2">
        <v>8</v>
      </c>
      <c r="CM457" s="2">
        <v>10</v>
      </c>
      <c r="CN457" s="2">
        <v>8</v>
      </c>
      <c r="CO457" s="2">
        <v>10</v>
      </c>
      <c r="CP457" s="2" t="e">
        <f t="shared" ca="1" si="136"/>
        <v>#NAME?</v>
      </c>
      <c r="CQ457" s="2">
        <v>10</v>
      </c>
      <c r="CR457" s="2">
        <v>9</v>
      </c>
      <c r="CS457" s="2">
        <v>9</v>
      </c>
      <c r="CT457" s="2">
        <v>10</v>
      </c>
      <c r="CU457" s="2">
        <v>9</v>
      </c>
      <c r="CV457" s="54">
        <f t="shared" si="116"/>
        <v>10</v>
      </c>
      <c r="CW457" s="96">
        <v>11</v>
      </c>
      <c r="CX457" s="3"/>
    </row>
    <row r="458" spans="1:102" ht="16.5" x14ac:dyDescent="0.55000000000000004">
      <c r="A458" s="17">
        <v>3</v>
      </c>
      <c r="B458" s="17" t="s">
        <v>8</v>
      </c>
      <c r="C458" s="23" t="s">
        <v>957</v>
      </c>
      <c r="D458" s="24" t="s">
        <v>958</v>
      </c>
      <c r="E458" s="48"/>
      <c r="F458" s="2"/>
      <c r="G458" s="2">
        <v>10</v>
      </c>
      <c r="H458" s="2">
        <v>10</v>
      </c>
      <c r="I458" s="2">
        <v>10</v>
      </c>
      <c r="J458" s="2">
        <v>10</v>
      </c>
      <c r="K458" s="2">
        <v>10</v>
      </c>
      <c r="L458" s="2">
        <v>10</v>
      </c>
      <c r="M458" s="2">
        <v>10</v>
      </c>
      <c r="N458" s="2">
        <v>10</v>
      </c>
      <c r="O458" s="2">
        <v>10</v>
      </c>
      <c r="P458" s="2">
        <v>10</v>
      </c>
      <c r="Q458" s="2" t="e">
        <f t="shared" ca="1" si="132"/>
        <v>#NAME?</v>
      </c>
      <c r="R458" s="2">
        <v>10</v>
      </c>
      <c r="S458" s="2">
        <v>10</v>
      </c>
      <c r="T458" s="2">
        <v>10</v>
      </c>
      <c r="U458" s="2">
        <v>10</v>
      </c>
      <c r="V458" s="2">
        <v>10</v>
      </c>
      <c r="W458" s="54">
        <f t="shared" si="113"/>
        <v>10</v>
      </c>
      <c r="X458" s="48">
        <v>9</v>
      </c>
      <c r="Y458" s="2">
        <v>9</v>
      </c>
      <c r="Z458" s="2"/>
      <c r="AA458" s="2">
        <v>10</v>
      </c>
      <c r="AB458" s="2">
        <v>9</v>
      </c>
      <c r="AC458" s="2">
        <v>10</v>
      </c>
      <c r="AD458" s="2">
        <v>10</v>
      </c>
      <c r="AE458" s="2">
        <v>10</v>
      </c>
      <c r="AF458" s="2">
        <v>10</v>
      </c>
      <c r="AG458" s="2">
        <v>10</v>
      </c>
      <c r="AH458" s="2">
        <v>9</v>
      </c>
      <c r="AI458" s="2">
        <v>10</v>
      </c>
      <c r="AJ458" s="2">
        <v>10</v>
      </c>
      <c r="AK458" s="2">
        <v>10</v>
      </c>
      <c r="AL458" s="2">
        <v>10</v>
      </c>
      <c r="AM458" s="2">
        <v>10</v>
      </c>
      <c r="AN458" s="2">
        <v>9</v>
      </c>
      <c r="AO458" s="2">
        <v>10</v>
      </c>
      <c r="AP458" s="2">
        <v>10</v>
      </c>
      <c r="AQ458" s="2" t="e">
        <f t="shared" ca="1" si="133"/>
        <v>#NAME?</v>
      </c>
      <c r="AR458" s="2">
        <v>8</v>
      </c>
      <c r="AS458" s="2">
        <v>9</v>
      </c>
      <c r="AT458" s="2">
        <v>9</v>
      </c>
      <c r="AU458" s="2">
        <v>10</v>
      </c>
      <c r="AV458" s="2">
        <v>10</v>
      </c>
      <c r="AW458" s="54">
        <f t="shared" si="114"/>
        <v>10</v>
      </c>
      <c r="AX458" s="48">
        <v>9</v>
      </c>
      <c r="AY458" s="2">
        <v>9</v>
      </c>
      <c r="AZ458" s="2">
        <v>10</v>
      </c>
      <c r="BA458" s="2">
        <v>10</v>
      </c>
      <c r="BB458" s="2">
        <v>10</v>
      </c>
      <c r="BC458" s="2">
        <v>10</v>
      </c>
      <c r="BD458" s="2">
        <v>10</v>
      </c>
      <c r="BE458" s="2">
        <v>9</v>
      </c>
      <c r="BF458" s="2">
        <v>9</v>
      </c>
      <c r="BG458" s="2">
        <v>9</v>
      </c>
      <c r="BH458" s="2">
        <v>10</v>
      </c>
      <c r="BI458" s="57">
        <v>10</v>
      </c>
      <c r="BJ458" s="2" t="e">
        <f t="shared" ca="1" si="134"/>
        <v>#NAME?</v>
      </c>
      <c r="BK458" s="5">
        <v>10</v>
      </c>
      <c r="BL458" s="5">
        <v>10</v>
      </c>
      <c r="BM458" s="5">
        <v>10</v>
      </c>
      <c r="BN458" s="5">
        <v>10</v>
      </c>
      <c r="BO458" s="5">
        <v>10</v>
      </c>
      <c r="BP458" s="54">
        <f t="shared" si="115"/>
        <v>10</v>
      </c>
      <c r="BQ458" s="5"/>
      <c r="BR458" s="5"/>
      <c r="BS458" s="5">
        <v>10</v>
      </c>
      <c r="BT458" s="5">
        <v>10</v>
      </c>
      <c r="BU458" s="5">
        <v>10</v>
      </c>
      <c r="BV458" s="5">
        <v>10</v>
      </c>
      <c r="BW458" s="5">
        <v>10</v>
      </c>
      <c r="BX458" s="5">
        <v>10</v>
      </c>
      <c r="BY458" s="5">
        <v>10</v>
      </c>
      <c r="BZ458" s="5">
        <v>10</v>
      </c>
      <c r="CA458" s="5">
        <v>10</v>
      </c>
      <c r="CB458" s="5">
        <v>10</v>
      </c>
      <c r="CC458" s="2" t="e">
        <f t="shared" ca="1" si="135"/>
        <v>#NAME?</v>
      </c>
      <c r="CD458" s="96">
        <v>5</v>
      </c>
      <c r="CE458" s="2">
        <v>7</v>
      </c>
      <c r="CF458" s="2">
        <v>10</v>
      </c>
      <c r="CG458" s="2">
        <v>8</v>
      </c>
      <c r="CH458" s="2">
        <v>10</v>
      </c>
      <c r="CI458" s="2">
        <v>7</v>
      </c>
      <c r="CJ458" s="2">
        <v>8</v>
      </c>
      <c r="CK458" s="2">
        <v>10</v>
      </c>
      <c r="CL458" s="2">
        <v>8</v>
      </c>
      <c r="CM458" s="2">
        <v>9</v>
      </c>
      <c r="CN458" s="2">
        <v>8</v>
      </c>
      <c r="CO458" s="2">
        <v>8</v>
      </c>
      <c r="CP458" s="2" t="e">
        <f t="shared" ca="1" si="136"/>
        <v>#NAME?</v>
      </c>
      <c r="CQ458" s="2">
        <v>10</v>
      </c>
      <c r="CR458" s="2">
        <v>9</v>
      </c>
      <c r="CS458" s="2">
        <v>10</v>
      </c>
      <c r="CT458" s="2">
        <v>8</v>
      </c>
      <c r="CU458" s="2">
        <v>8</v>
      </c>
      <c r="CV458" s="54">
        <f t="shared" si="116"/>
        <v>9</v>
      </c>
      <c r="CW458" s="96">
        <v>5</v>
      </c>
      <c r="CX458" s="3"/>
    </row>
    <row r="459" spans="1:102" ht="16.5" x14ac:dyDescent="0.55000000000000004">
      <c r="A459" s="17">
        <v>3</v>
      </c>
      <c r="B459" s="17" t="s">
        <v>8</v>
      </c>
      <c r="C459" s="23" t="s">
        <v>959</v>
      </c>
      <c r="D459" s="24" t="s">
        <v>960</v>
      </c>
      <c r="E459" s="48"/>
      <c r="F459" s="2"/>
      <c r="G459" s="2">
        <v>10</v>
      </c>
      <c r="H459" s="2">
        <v>10</v>
      </c>
      <c r="I459" s="2">
        <v>8</v>
      </c>
      <c r="J459" s="2">
        <v>8</v>
      </c>
      <c r="K459" s="2">
        <v>8</v>
      </c>
      <c r="L459" s="2">
        <v>8</v>
      </c>
      <c r="M459" s="2">
        <v>5</v>
      </c>
      <c r="N459" s="2">
        <v>5</v>
      </c>
      <c r="O459" s="2">
        <v>5</v>
      </c>
      <c r="P459" s="2">
        <v>5</v>
      </c>
      <c r="Q459" s="2" t="e">
        <f t="shared" ca="1" si="132"/>
        <v>#NAME?</v>
      </c>
      <c r="R459" s="2">
        <v>10</v>
      </c>
      <c r="S459" s="2">
        <v>10</v>
      </c>
      <c r="T459" s="2">
        <v>8</v>
      </c>
      <c r="U459" s="2">
        <v>10</v>
      </c>
      <c r="V459" s="2">
        <v>10</v>
      </c>
      <c r="W459" s="54">
        <f t="shared" si="113"/>
        <v>10</v>
      </c>
      <c r="X459" s="48">
        <v>5</v>
      </c>
      <c r="Y459" s="2">
        <v>5</v>
      </c>
      <c r="Z459" s="2"/>
      <c r="AA459" s="2">
        <v>7</v>
      </c>
      <c r="AB459" s="2">
        <v>7</v>
      </c>
      <c r="AC459" s="2">
        <v>7</v>
      </c>
      <c r="AD459" s="2">
        <v>7</v>
      </c>
      <c r="AE459" s="2">
        <v>7</v>
      </c>
      <c r="AF459" s="2">
        <v>7</v>
      </c>
      <c r="AG459" s="2">
        <v>7</v>
      </c>
      <c r="AH459" s="2">
        <v>7</v>
      </c>
      <c r="AI459" s="2">
        <v>7</v>
      </c>
      <c r="AJ459" s="2">
        <v>7</v>
      </c>
      <c r="AK459" s="2">
        <v>7</v>
      </c>
      <c r="AL459" s="2">
        <v>7</v>
      </c>
      <c r="AM459" s="2">
        <v>7</v>
      </c>
      <c r="AN459" s="2">
        <v>7</v>
      </c>
      <c r="AO459" s="2">
        <v>7</v>
      </c>
      <c r="AP459" s="2">
        <v>7</v>
      </c>
      <c r="AQ459" s="2" t="e">
        <f t="shared" ca="1" si="133"/>
        <v>#NAME?</v>
      </c>
      <c r="AR459" s="2">
        <v>7</v>
      </c>
      <c r="AS459" s="2">
        <v>7</v>
      </c>
      <c r="AT459" s="2">
        <v>7</v>
      </c>
      <c r="AU459" s="2">
        <v>7</v>
      </c>
      <c r="AV459" s="2">
        <v>7</v>
      </c>
      <c r="AW459" s="54">
        <f t="shared" si="114"/>
        <v>7</v>
      </c>
      <c r="AX459" s="48">
        <v>7</v>
      </c>
      <c r="AY459" s="2">
        <v>8</v>
      </c>
      <c r="AZ459" s="2">
        <v>9</v>
      </c>
      <c r="BA459" s="2">
        <v>9</v>
      </c>
      <c r="BB459" s="2">
        <v>9</v>
      </c>
      <c r="BC459" s="2">
        <v>9</v>
      </c>
      <c r="BD459" s="2">
        <v>9</v>
      </c>
      <c r="BE459" s="2">
        <v>9</v>
      </c>
      <c r="BF459" s="2">
        <v>8</v>
      </c>
      <c r="BG459" s="2">
        <v>9</v>
      </c>
      <c r="BH459" s="2">
        <v>9</v>
      </c>
      <c r="BI459" s="57">
        <v>9</v>
      </c>
      <c r="BJ459" s="2" t="e">
        <f t="shared" ca="1" si="134"/>
        <v>#NAME?</v>
      </c>
      <c r="BK459" s="5">
        <v>9</v>
      </c>
      <c r="BL459" s="5">
        <v>9</v>
      </c>
      <c r="BM459" s="5">
        <v>8</v>
      </c>
      <c r="BN459" s="5">
        <v>9</v>
      </c>
      <c r="BO459" s="5">
        <v>9</v>
      </c>
      <c r="BP459" s="54">
        <f t="shared" si="115"/>
        <v>9</v>
      </c>
      <c r="BQ459" s="5"/>
      <c r="BR459" s="5"/>
      <c r="BS459" s="5">
        <v>10</v>
      </c>
      <c r="BT459" s="5">
        <v>10</v>
      </c>
      <c r="BU459" s="5">
        <v>10</v>
      </c>
      <c r="BV459" s="5">
        <v>10</v>
      </c>
      <c r="BW459" s="5">
        <v>10</v>
      </c>
      <c r="BX459" s="5">
        <v>10</v>
      </c>
      <c r="BY459" s="5">
        <v>10</v>
      </c>
      <c r="BZ459" s="5">
        <v>10</v>
      </c>
      <c r="CA459" s="5">
        <v>10</v>
      </c>
      <c r="CB459" s="5">
        <v>10</v>
      </c>
      <c r="CC459" s="2" t="e">
        <f t="shared" ca="1" si="135"/>
        <v>#NAME?</v>
      </c>
      <c r="CD459" s="96">
        <v>6</v>
      </c>
      <c r="CE459" s="2">
        <v>8</v>
      </c>
      <c r="CF459" s="2">
        <v>10</v>
      </c>
      <c r="CG459" s="2">
        <v>10</v>
      </c>
      <c r="CH459" s="2">
        <v>8</v>
      </c>
      <c r="CI459" s="2">
        <v>10</v>
      </c>
      <c r="CJ459" s="2">
        <v>10</v>
      </c>
      <c r="CK459" s="2">
        <v>8</v>
      </c>
      <c r="CL459" s="2">
        <v>10</v>
      </c>
      <c r="CM459" s="2">
        <v>8</v>
      </c>
      <c r="CN459" s="2">
        <v>8</v>
      </c>
      <c r="CO459" s="2">
        <v>10</v>
      </c>
      <c r="CP459" s="2" t="e">
        <f t="shared" ca="1" si="136"/>
        <v>#NAME?</v>
      </c>
      <c r="CQ459" s="2">
        <v>9</v>
      </c>
      <c r="CR459" s="2">
        <v>9</v>
      </c>
      <c r="CS459" s="2">
        <v>9</v>
      </c>
      <c r="CT459" s="2">
        <v>8</v>
      </c>
      <c r="CU459" s="2">
        <v>10</v>
      </c>
      <c r="CV459" s="54">
        <f t="shared" si="116"/>
        <v>9</v>
      </c>
      <c r="CW459" s="96">
        <v>12</v>
      </c>
      <c r="CX459" s="3"/>
    </row>
    <row r="460" spans="1:102" ht="16.5" x14ac:dyDescent="0.55000000000000004">
      <c r="A460" s="17">
        <v>3</v>
      </c>
      <c r="B460" s="17" t="s">
        <v>8</v>
      </c>
      <c r="C460" s="23" t="s">
        <v>961</v>
      </c>
      <c r="D460" s="24" t="s">
        <v>962</v>
      </c>
      <c r="E460" s="48"/>
      <c r="F460" s="2"/>
      <c r="G460" s="2">
        <v>10</v>
      </c>
      <c r="H460" s="2">
        <v>10</v>
      </c>
      <c r="I460" s="2">
        <v>10</v>
      </c>
      <c r="J460" s="2">
        <v>10</v>
      </c>
      <c r="K460" s="2">
        <v>10</v>
      </c>
      <c r="L460" s="2">
        <v>10</v>
      </c>
      <c r="M460" s="2">
        <v>10</v>
      </c>
      <c r="N460" s="2">
        <v>10</v>
      </c>
      <c r="O460" s="2">
        <v>10</v>
      </c>
      <c r="P460" s="2">
        <v>10</v>
      </c>
      <c r="Q460" s="2" t="e">
        <f t="shared" ca="1" si="132"/>
        <v>#NAME?</v>
      </c>
      <c r="R460" s="2">
        <v>10</v>
      </c>
      <c r="S460" s="2">
        <v>10</v>
      </c>
      <c r="T460" s="2">
        <v>10</v>
      </c>
      <c r="U460" s="2">
        <v>10</v>
      </c>
      <c r="V460" s="2">
        <v>10</v>
      </c>
      <c r="W460" s="54">
        <f t="shared" si="113"/>
        <v>10</v>
      </c>
      <c r="X460" s="48">
        <v>9</v>
      </c>
      <c r="Y460" s="2">
        <v>9</v>
      </c>
      <c r="Z460" s="2"/>
      <c r="AA460" s="2">
        <v>9</v>
      </c>
      <c r="AB460" s="2">
        <v>10</v>
      </c>
      <c r="AC460" s="2">
        <v>10</v>
      </c>
      <c r="AD460" s="2">
        <v>10</v>
      </c>
      <c r="AE460" s="2">
        <v>9</v>
      </c>
      <c r="AF460" s="2">
        <v>10</v>
      </c>
      <c r="AG460" s="2">
        <v>10</v>
      </c>
      <c r="AH460" s="2">
        <v>9</v>
      </c>
      <c r="AI460" s="2">
        <v>10</v>
      </c>
      <c r="AJ460" s="2">
        <v>10</v>
      </c>
      <c r="AK460" s="2">
        <v>9</v>
      </c>
      <c r="AL460" s="2">
        <v>10</v>
      </c>
      <c r="AM460" s="2">
        <v>10</v>
      </c>
      <c r="AN460" s="2">
        <v>9</v>
      </c>
      <c r="AO460" s="2">
        <v>10</v>
      </c>
      <c r="AP460" s="2">
        <v>10</v>
      </c>
      <c r="AQ460" s="2" t="e">
        <f t="shared" ca="1" si="133"/>
        <v>#NAME?</v>
      </c>
      <c r="AR460" s="2">
        <v>10</v>
      </c>
      <c r="AS460" s="2">
        <v>10</v>
      </c>
      <c r="AT460" s="2">
        <v>10</v>
      </c>
      <c r="AU460" s="2">
        <v>10</v>
      </c>
      <c r="AV460" s="2">
        <v>9</v>
      </c>
      <c r="AW460" s="54">
        <f t="shared" si="114"/>
        <v>10</v>
      </c>
      <c r="AX460" s="48">
        <v>9</v>
      </c>
      <c r="AY460" s="2">
        <v>9</v>
      </c>
      <c r="AZ460" s="2">
        <v>9</v>
      </c>
      <c r="BA460" s="2">
        <v>10</v>
      </c>
      <c r="BB460" s="2">
        <v>10</v>
      </c>
      <c r="BC460" s="2">
        <v>10</v>
      </c>
      <c r="BD460" s="2">
        <v>10</v>
      </c>
      <c r="BE460" s="2">
        <v>9</v>
      </c>
      <c r="BF460" s="2">
        <v>9</v>
      </c>
      <c r="BG460" s="2">
        <v>9</v>
      </c>
      <c r="BH460" s="2">
        <v>10</v>
      </c>
      <c r="BI460" s="57">
        <v>10</v>
      </c>
      <c r="BJ460" s="2" t="e">
        <f t="shared" ca="1" si="134"/>
        <v>#NAME?</v>
      </c>
      <c r="BK460" s="5">
        <v>10</v>
      </c>
      <c r="BL460" s="5">
        <v>10</v>
      </c>
      <c r="BM460" s="5">
        <v>10</v>
      </c>
      <c r="BN460" s="5">
        <v>10</v>
      </c>
      <c r="BO460" s="5">
        <v>10</v>
      </c>
      <c r="BP460" s="54">
        <f t="shared" si="115"/>
        <v>10</v>
      </c>
      <c r="BQ460" s="5"/>
      <c r="BR460" s="5"/>
      <c r="BS460" s="5">
        <v>10</v>
      </c>
      <c r="BT460" s="5">
        <v>10</v>
      </c>
      <c r="BU460" s="5">
        <v>10</v>
      </c>
      <c r="BV460" s="5">
        <v>10</v>
      </c>
      <c r="BW460" s="5">
        <v>10</v>
      </c>
      <c r="BX460" s="5">
        <v>10</v>
      </c>
      <c r="BY460" s="5">
        <v>10</v>
      </c>
      <c r="BZ460" s="5">
        <v>10</v>
      </c>
      <c r="CA460" s="5">
        <v>10</v>
      </c>
      <c r="CB460" s="5">
        <v>10</v>
      </c>
      <c r="CC460" s="2" t="e">
        <f t="shared" ca="1" si="135"/>
        <v>#NAME?</v>
      </c>
      <c r="CD460" s="96">
        <v>7</v>
      </c>
      <c r="CE460" s="2">
        <v>7</v>
      </c>
      <c r="CF460" s="2">
        <v>10</v>
      </c>
      <c r="CG460" s="2">
        <v>10</v>
      </c>
      <c r="CH460" s="2">
        <v>8</v>
      </c>
      <c r="CI460" s="2">
        <v>10</v>
      </c>
      <c r="CJ460" s="2">
        <v>8</v>
      </c>
      <c r="CK460" s="2">
        <v>10</v>
      </c>
      <c r="CL460" s="2">
        <v>8</v>
      </c>
      <c r="CM460" s="2">
        <v>10</v>
      </c>
      <c r="CN460" s="2">
        <v>9</v>
      </c>
      <c r="CO460" s="2">
        <v>10</v>
      </c>
      <c r="CP460" s="2" t="e">
        <f t="shared" ca="1" si="136"/>
        <v>#NAME?</v>
      </c>
      <c r="CQ460" s="2">
        <v>8</v>
      </c>
      <c r="CR460" s="2">
        <v>10</v>
      </c>
      <c r="CS460" s="2">
        <v>8</v>
      </c>
      <c r="CT460" s="2">
        <v>9</v>
      </c>
      <c r="CU460" s="2">
        <v>9</v>
      </c>
      <c r="CV460" s="54">
        <f t="shared" si="116"/>
        <v>9</v>
      </c>
      <c r="CW460" s="96">
        <v>13</v>
      </c>
      <c r="CX460" s="3"/>
    </row>
    <row r="461" spans="1:102" ht="16.5" x14ac:dyDescent="0.55000000000000004">
      <c r="A461" s="17">
        <v>3</v>
      </c>
      <c r="B461" s="17" t="s">
        <v>8</v>
      </c>
      <c r="C461" s="23" t="s">
        <v>963</v>
      </c>
      <c r="D461" s="24" t="s">
        <v>964</v>
      </c>
      <c r="E461" s="48"/>
      <c r="F461" s="2"/>
      <c r="G461" s="2">
        <v>5</v>
      </c>
      <c r="H461" s="2">
        <v>5</v>
      </c>
      <c r="I461" s="2">
        <v>5</v>
      </c>
      <c r="J461" s="2">
        <v>5</v>
      </c>
      <c r="K461" s="2">
        <v>5</v>
      </c>
      <c r="L461" s="2">
        <v>5</v>
      </c>
      <c r="M461" s="2">
        <v>5</v>
      </c>
      <c r="N461" s="2">
        <v>5</v>
      </c>
      <c r="O461" s="2">
        <v>5</v>
      </c>
      <c r="P461" s="2">
        <v>5</v>
      </c>
      <c r="Q461" s="2" t="e">
        <f t="shared" ca="1" si="132"/>
        <v>#NAME?</v>
      </c>
      <c r="R461" s="2">
        <v>7</v>
      </c>
      <c r="S461" s="2">
        <v>7</v>
      </c>
      <c r="T461" s="2">
        <v>7</v>
      </c>
      <c r="U461" s="2">
        <v>10</v>
      </c>
      <c r="V461" s="2">
        <v>10</v>
      </c>
      <c r="W461" s="54">
        <f t="shared" si="113"/>
        <v>9</v>
      </c>
      <c r="X461" s="48">
        <v>7</v>
      </c>
      <c r="Y461" s="2">
        <v>8</v>
      </c>
      <c r="Z461" s="2"/>
      <c r="AA461" s="2">
        <v>8</v>
      </c>
      <c r="AB461" s="2">
        <v>8</v>
      </c>
      <c r="AC461" s="2">
        <v>8</v>
      </c>
      <c r="AD461" s="2">
        <v>9</v>
      </c>
      <c r="AE461" s="2">
        <v>8</v>
      </c>
      <c r="AF461" s="2">
        <v>8</v>
      </c>
      <c r="AG461" s="2">
        <v>9</v>
      </c>
      <c r="AH461" s="2">
        <v>8</v>
      </c>
      <c r="AI461" s="2">
        <v>9</v>
      </c>
      <c r="AJ461" s="2">
        <v>8</v>
      </c>
      <c r="AK461" s="2">
        <v>8</v>
      </c>
      <c r="AL461" s="2">
        <v>8</v>
      </c>
      <c r="AM461" s="2">
        <v>9</v>
      </c>
      <c r="AN461" s="2">
        <v>8</v>
      </c>
      <c r="AO461" s="2">
        <v>9</v>
      </c>
      <c r="AP461" s="2">
        <v>8</v>
      </c>
      <c r="AQ461" s="2" t="e">
        <f t="shared" ca="1" si="133"/>
        <v>#NAME?</v>
      </c>
      <c r="AR461" s="2">
        <v>8</v>
      </c>
      <c r="AS461" s="2">
        <v>8</v>
      </c>
      <c r="AT461" s="2">
        <v>8</v>
      </c>
      <c r="AU461" s="2">
        <v>9</v>
      </c>
      <c r="AV461" s="2">
        <v>8</v>
      </c>
      <c r="AW461" s="54">
        <f t="shared" si="114"/>
        <v>9</v>
      </c>
      <c r="AX461" s="48">
        <v>8</v>
      </c>
      <c r="AY461" s="2">
        <v>7</v>
      </c>
      <c r="AZ461" s="2">
        <v>9</v>
      </c>
      <c r="BA461" s="2">
        <v>9</v>
      </c>
      <c r="BB461" s="2">
        <v>8</v>
      </c>
      <c r="BC461" s="2">
        <v>9</v>
      </c>
      <c r="BD461" s="2">
        <v>9</v>
      </c>
      <c r="BE461" s="2">
        <v>9</v>
      </c>
      <c r="BF461" s="2">
        <v>9</v>
      </c>
      <c r="BG461" s="2">
        <v>9</v>
      </c>
      <c r="BH461" s="2">
        <v>8</v>
      </c>
      <c r="BI461" s="57">
        <v>8</v>
      </c>
      <c r="BJ461" s="2" t="e">
        <f t="shared" ca="1" si="134"/>
        <v>#NAME?</v>
      </c>
      <c r="BK461" s="5">
        <v>9</v>
      </c>
      <c r="BL461" s="5">
        <v>9</v>
      </c>
      <c r="BM461" s="5">
        <v>9</v>
      </c>
      <c r="BN461" s="5">
        <v>9</v>
      </c>
      <c r="BO461" s="5">
        <v>9</v>
      </c>
      <c r="BP461" s="54">
        <f t="shared" si="115"/>
        <v>9</v>
      </c>
      <c r="BQ461" s="5"/>
      <c r="BR461" s="5"/>
      <c r="BS461" s="5">
        <v>8</v>
      </c>
      <c r="BT461" s="5">
        <v>8</v>
      </c>
      <c r="BU461" s="5">
        <v>10</v>
      </c>
      <c r="BV461" s="5">
        <v>10</v>
      </c>
      <c r="BW461" s="5">
        <v>10</v>
      </c>
      <c r="BX461" s="5">
        <v>10</v>
      </c>
      <c r="BY461" s="5">
        <v>10</v>
      </c>
      <c r="BZ461" s="5">
        <v>10</v>
      </c>
      <c r="CA461" s="5">
        <v>10</v>
      </c>
      <c r="CB461" s="5">
        <v>10</v>
      </c>
      <c r="CC461" s="2" t="e">
        <f t="shared" ca="1" si="135"/>
        <v>#NAME?</v>
      </c>
      <c r="CD461" s="96">
        <v>10</v>
      </c>
      <c r="CE461" s="2">
        <v>10</v>
      </c>
      <c r="CF461" s="2">
        <v>10</v>
      </c>
      <c r="CG461" s="2">
        <v>10</v>
      </c>
      <c r="CH461" s="2">
        <v>10</v>
      </c>
      <c r="CI461" s="2">
        <v>10</v>
      </c>
      <c r="CJ461" s="2">
        <v>10</v>
      </c>
      <c r="CK461" s="2">
        <v>10</v>
      </c>
      <c r="CL461" s="2">
        <v>10</v>
      </c>
      <c r="CM461" s="2">
        <v>10</v>
      </c>
      <c r="CN461" s="2">
        <v>10</v>
      </c>
      <c r="CO461" s="2">
        <v>10</v>
      </c>
      <c r="CP461" s="2" t="e">
        <f t="shared" ca="1" si="136"/>
        <v>#NAME?</v>
      </c>
      <c r="CQ461" s="2">
        <v>10</v>
      </c>
      <c r="CR461" s="2">
        <v>10</v>
      </c>
      <c r="CS461" s="2">
        <v>10</v>
      </c>
      <c r="CT461" s="2">
        <v>10</v>
      </c>
      <c r="CU461" s="2">
        <v>10</v>
      </c>
      <c r="CV461" s="54">
        <f t="shared" si="116"/>
        <v>10</v>
      </c>
      <c r="CW461" s="96">
        <v>19</v>
      </c>
      <c r="CX461" s="3"/>
    </row>
    <row r="462" spans="1:102" ht="16.5" x14ac:dyDescent="0.55000000000000004">
      <c r="A462" s="17">
        <v>3</v>
      </c>
      <c r="B462" s="17" t="s">
        <v>8</v>
      </c>
      <c r="C462" s="23" t="s">
        <v>965</v>
      </c>
      <c r="D462" s="24" t="s">
        <v>966</v>
      </c>
      <c r="E462" s="48"/>
      <c r="F462" s="2"/>
      <c r="G462" s="2">
        <v>5</v>
      </c>
      <c r="H462" s="2">
        <v>5</v>
      </c>
      <c r="I462" s="2">
        <v>5</v>
      </c>
      <c r="J462" s="2">
        <v>5</v>
      </c>
      <c r="K462" s="2">
        <v>5</v>
      </c>
      <c r="L462" s="2">
        <v>5</v>
      </c>
      <c r="M462" s="2">
        <v>5</v>
      </c>
      <c r="N462" s="2">
        <v>5</v>
      </c>
      <c r="O462" s="2">
        <v>5</v>
      </c>
      <c r="P462" s="2">
        <v>5</v>
      </c>
      <c r="Q462" s="2" t="e">
        <f t="shared" ca="1" si="132"/>
        <v>#NAME?</v>
      </c>
      <c r="R462" s="2">
        <v>5</v>
      </c>
      <c r="S462" s="2">
        <v>5</v>
      </c>
      <c r="T462" s="2">
        <v>5</v>
      </c>
      <c r="U462" s="2">
        <v>5</v>
      </c>
      <c r="V462" s="2">
        <v>5</v>
      </c>
      <c r="W462" s="54">
        <f t="shared" si="113"/>
        <v>5</v>
      </c>
      <c r="X462" s="48">
        <v>8</v>
      </c>
      <c r="Y462" s="2">
        <v>8</v>
      </c>
      <c r="Z462" s="2"/>
      <c r="AA462" s="2">
        <v>8</v>
      </c>
      <c r="AB462" s="2">
        <v>8</v>
      </c>
      <c r="AC462" s="2">
        <v>8</v>
      </c>
      <c r="AD462" s="2">
        <v>8</v>
      </c>
      <c r="AE462" s="2">
        <v>8</v>
      </c>
      <c r="AF462" s="2">
        <v>8</v>
      </c>
      <c r="AG462" s="2">
        <v>7</v>
      </c>
      <c r="AH462" s="2">
        <v>8</v>
      </c>
      <c r="AI462" s="2">
        <v>9</v>
      </c>
      <c r="AJ462" s="2">
        <v>9</v>
      </c>
      <c r="AK462" s="2">
        <v>8</v>
      </c>
      <c r="AL462" s="2">
        <v>8</v>
      </c>
      <c r="AM462" s="2">
        <v>7</v>
      </c>
      <c r="AN462" s="2">
        <v>8</v>
      </c>
      <c r="AO462" s="2">
        <v>9</v>
      </c>
      <c r="AP462" s="2">
        <v>9</v>
      </c>
      <c r="AQ462" s="2" t="e">
        <f t="shared" ca="1" si="133"/>
        <v>#NAME?</v>
      </c>
      <c r="AR462" s="2">
        <v>8</v>
      </c>
      <c r="AS462" s="2">
        <v>9</v>
      </c>
      <c r="AT462" s="2">
        <v>8</v>
      </c>
      <c r="AU462" s="2">
        <v>8</v>
      </c>
      <c r="AV462" s="2">
        <v>8</v>
      </c>
      <c r="AW462" s="54">
        <f t="shared" si="114"/>
        <v>9</v>
      </c>
      <c r="AX462" s="48">
        <v>9</v>
      </c>
      <c r="AY462" s="2">
        <v>8</v>
      </c>
      <c r="AZ462" s="2">
        <v>9</v>
      </c>
      <c r="BA462" s="2">
        <v>9</v>
      </c>
      <c r="BB462" s="2">
        <v>9</v>
      </c>
      <c r="BC462" s="2">
        <v>10</v>
      </c>
      <c r="BD462" s="2">
        <v>10</v>
      </c>
      <c r="BE462" s="2">
        <v>10</v>
      </c>
      <c r="BF462" s="2">
        <v>10</v>
      </c>
      <c r="BG462" s="2">
        <v>10</v>
      </c>
      <c r="BH462" s="2">
        <v>10</v>
      </c>
      <c r="BI462" s="57">
        <v>10</v>
      </c>
      <c r="BJ462" s="2" t="e">
        <f t="shared" ca="1" si="134"/>
        <v>#NAME?</v>
      </c>
      <c r="BK462" s="5">
        <v>9</v>
      </c>
      <c r="BL462" s="5">
        <v>10</v>
      </c>
      <c r="BM462" s="5">
        <v>10</v>
      </c>
      <c r="BN462" s="5">
        <v>9</v>
      </c>
      <c r="BO462" s="5">
        <v>10</v>
      </c>
      <c r="BP462" s="54">
        <f t="shared" si="115"/>
        <v>10</v>
      </c>
      <c r="BQ462" s="5"/>
      <c r="BR462" s="5"/>
      <c r="BS462" s="5">
        <v>5</v>
      </c>
      <c r="BT462" s="5">
        <v>5</v>
      </c>
      <c r="BU462" s="5">
        <v>5</v>
      </c>
      <c r="BV462" s="5">
        <v>5</v>
      </c>
      <c r="BW462" s="5">
        <v>5</v>
      </c>
      <c r="BX462" s="5">
        <v>5</v>
      </c>
      <c r="BY462" s="5">
        <v>5</v>
      </c>
      <c r="BZ462" s="5">
        <v>5</v>
      </c>
      <c r="CA462" s="5">
        <v>5</v>
      </c>
      <c r="CB462" s="5">
        <v>5</v>
      </c>
      <c r="CC462" s="2" t="e">
        <f t="shared" ca="1" si="135"/>
        <v>#NAME?</v>
      </c>
      <c r="CD462" s="96">
        <v>5</v>
      </c>
      <c r="CE462" s="2">
        <v>7</v>
      </c>
      <c r="CF462" s="2">
        <v>10</v>
      </c>
      <c r="CG462" s="2">
        <v>8</v>
      </c>
      <c r="CH462" s="2">
        <v>10</v>
      </c>
      <c r="CI462" s="2">
        <v>8</v>
      </c>
      <c r="CJ462" s="2">
        <v>8</v>
      </c>
      <c r="CK462" s="2">
        <v>10</v>
      </c>
      <c r="CL462" s="2">
        <v>8</v>
      </c>
      <c r="CM462" s="2">
        <v>8</v>
      </c>
      <c r="CN462" s="2">
        <v>8</v>
      </c>
      <c r="CO462" s="2">
        <v>10</v>
      </c>
      <c r="CP462" s="2" t="e">
        <f t="shared" ca="1" si="136"/>
        <v>#NAME?</v>
      </c>
      <c r="CQ462" s="2">
        <v>10</v>
      </c>
      <c r="CR462" s="2">
        <v>8</v>
      </c>
      <c r="CS462" s="2">
        <v>10</v>
      </c>
      <c r="CT462" s="2">
        <v>8</v>
      </c>
      <c r="CU462" s="2">
        <v>9</v>
      </c>
      <c r="CV462" s="54">
        <f t="shared" si="116"/>
        <v>9</v>
      </c>
      <c r="CW462" s="96">
        <v>5</v>
      </c>
      <c r="CX462" s="3"/>
    </row>
    <row r="463" spans="1:102" ht="16.5" x14ac:dyDescent="0.55000000000000004">
      <c r="A463" s="17">
        <v>3</v>
      </c>
      <c r="B463" s="17" t="s">
        <v>8</v>
      </c>
      <c r="C463" s="23" t="s">
        <v>967</v>
      </c>
      <c r="D463" s="24" t="s">
        <v>968</v>
      </c>
      <c r="E463" s="48"/>
      <c r="F463" s="2"/>
      <c r="G463" s="2">
        <v>10</v>
      </c>
      <c r="H463" s="2">
        <v>10</v>
      </c>
      <c r="I463" s="2">
        <v>5</v>
      </c>
      <c r="J463" s="2">
        <v>5</v>
      </c>
      <c r="K463" s="2">
        <v>5</v>
      </c>
      <c r="L463" s="2">
        <v>5</v>
      </c>
      <c r="M463" s="2">
        <v>8</v>
      </c>
      <c r="N463" s="2">
        <v>8</v>
      </c>
      <c r="O463" s="2">
        <v>8</v>
      </c>
      <c r="P463" s="2">
        <v>8</v>
      </c>
      <c r="Q463" s="2" t="e">
        <f t="shared" ca="1" si="132"/>
        <v>#NAME?</v>
      </c>
      <c r="R463" s="2">
        <v>5</v>
      </c>
      <c r="S463" s="2">
        <v>5</v>
      </c>
      <c r="T463" s="2">
        <v>5</v>
      </c>
      <c r="U463" s="2">
        <v>8</v>
      </c>
      <c r="V463" s="2">
        <v>8</v>
      </c>
      <c r="W463" s="54">
        <f t="shared" si="113"/>
        <v>7</v>
      </c>
      <c r="X463" s="48">
        <v>8</v>
      </c>
      <c r="Y463" s="2">
        <v>9</v>
      </c>
      <c r="Z463" s="2"/>
      <c r="AA463" s="2">
        <v>8</v>
      </c>
      <c r="AB463" s="2">
        <v>9</v>
      </c>
      <c r="AC463" s="2">
        <v>9</v>
      </c>
      <c r="AD463" s="2">
        <v>8</v>
      </c>
      <c r="AE463" s="2">
        <v>9</v>
      </c>
      <c r="AF463" s="2">
        <v>9</v>
      </c>
      <c r="AG463" s="2">
        <v>9</v>
      </c>
      <c r="AH463" s="2">
        <v>9</v>
      </c>
      <c r="AI463" s="2">
        <v>9</v>
      </c>
      <c r="AJ463" s="2">
        <v>9</v>
      </c>
      <c r="AK463" s="2">
        <v>9</v>
      </c>
      <c r="AL463" s="2">
        <v>9</v>
      </c>
      <c r="AM463" s="2">
        <v>9</v>
      </c>
      <c r="AN463" s="2">
        <v>9</v>
      </c>
      <c r="AO463" s="2">
        <v>9</v>
      </c>
      <c r="AP463" s="2">
        <v>9</v>
      </c>
      <c r="AQ463" s="2" t="e">
        <f t="shared" ca="1" si="133"/>
        <v>#NAME?</v>
      </c>
      <c r="AR463" s="2">
        <v>8</v>
      </c>
      <c r="AS463" s="2">
        <v>8</v>
      </c>
      <c r="AT463" s="2">
        <v>8</v>
      </c>
      <c r="AU463" s="2">
        <v>8</v>
      </c>
      <c r="AV463" s="2">
        <v>8</v>
      </c>
      <c r="AW463" s="54">
        <f t="shared" si="114"/>
        <v>8</v>
      </c>
      <c r="AX463" s="48">
        <v>8</v>
      </c>
      <c r="AY463" s="2">
        <v>8</v>
      </c>
      <c r="AZ463" s="2">
        <v>9</v>
      </c>
      <c r="BA463" s="2">
        <v>9</v>
      </c>
      <c r="BB463" s="2">
        <v>9</v>
      </c>
      <c r="BC463" s="2">
        <v>9</v>
      </c>
      <c r="BD463" s="2">
        <v>9</v>
      </c>
      <c r="BE463" s="2">
        <v>9</v>
      </c>
      <c r="BF463" s="2">
        <v>9</v>
      </c>
      <c r="BG463" s="2">
        <v>8</v>
      </c>
      <c r="BH463" s="2">
        <v>8</v>
      </c>
      <c r="BI463" s="57">
        <v>8</v>
      </c>
      <c r="BJ463" s="2" t="e">
        <f t="shared" ca="1" si="134"/>
        <v>#NAME?</v>
      </c>
      <c r="BK463" s="5">
        <v>9</v>
      </c>
      <c r="BL463" s="5">
        <v>8</v>
      </c>
      <c r="BM463" s="5">
        <v>8</v>
      </c>
      <c r="BN463" s="5">
        <v>8</v>
      </c>
      <c r="BO463" s="5">
        <v>9</v>
      </c>
      <c r="BP463" s="54">
        <f t="shared" si="115"/>
        <v>9</v>
      </c>
      <c r="BQ463" s="5"/>
      <c r="BR463" s="5"/>
      <c r="BS463" s="5">
        <v>7</v>
      </c>
      <c r="BT463" s="5">
        <v>8</v>
      </c>
      <c r="BU463" s="5"/>
      <c r="BV463" s="5"/>
      <c r="BW463" s="5"/>
      <c r="BX463" s="5"/>
      <c r="BY463" s="5"/>
      <c r="BZ463" s="5"/>
      <c r="CA463" s="5"/>
      <c r="CB463" s="5"/>
      <c r="CC463" s="2" t="e">
        <f t="shared" ca="1" si="135"/>
        <v>#NAME?</v>
      </c>
      <c r="CD463" s="96">
        <v>5</v>
      </c>
      <c r="CE463" s="2">
        <v>6</v>
      </c>
      <c r="CF463" s="2">
        <v>10</v>
      </c>
      <c r="CG463" s="2">
        <v>10</v>
      </c>
      <c r="CH463" s="2">
        <v>8</v>
      </c>
      <c r="CI463" s="2">
        <v>10</v>
      </c>
      <c r="CJ463" s="2">
        <v>7</v>
      </c>
      <c r="CK463" s="2">
        <v>8</v>
      </c>
      <c r="CL463" s="2">
        <v>10</v>
      </c>
      <c r="CM463" s="2">
        <v>8</v>
      </c>
      <c r="CN463" s="2">
        <v>8</v>
      </c>
      <c r="CO463" s="2">
        <v>8</v>
      </c>
      <c r="CP463" s="2" t="e">
        <f t="shared" ca="1" si="136"/>
        <v>#NAME?</v>
      </c>
      <c r="CQ463" s="2">
        <v>8</v>
      </c>
      <c r="CR463" s="2">
        <v>8</v>
      </c>
      <c r="CS463" s="2">
        <v>10</v>
      </c>
      <c r="CT463" s="2">
        <v>9</v>
      </c>
      <c r="CU463" s="2">
        <v>10</v>
      </c>
      <c r="CV463" s="54">
        <f t="shared" si="116"/>
        <v>9</v>
      </c>
      <c r="CW463" s="96">
        <v>3</v>
      </c>
      <c r="CX463" s="3"/>
    </row>
    <row r="464" spans="1:102" ht="16.5" x14ac:dyDescent="0.55000000000000004">
      <c r="A464" s="17">
        <v>3</v>
      </c>
      <c r="B464" s="17" t="s">
        <v>8</v>
      </c>
      <c r="C464" s="23" t="s">
        <v>969</v>
      </c>
      <c r="D464" s="24" t="s">
        <v>970</v>
      </c>
      <c r="E464" s="48"/>
      <c r="F464" s="2"/>
      <c r="G464" s="2">
        <v>5</v>
      </c>
      <c r="H464" s="2">
        <v>5</v>
      </c>
      <c r="I464" s="2">
        <v>5</v>
      </c>
      <c r="J464" s="2">
        <v>5</v>
      </c>
      <c r="K464" s="2">
        <v>5</v>
      </c>
      <c r="L464" s="2">
        <v>5</v>
      </c>
      <c r="M464" s="2">
        <v>5</v>
      </c>
      <c r="N464" s="2">
        <v>5</v>
      </c>
      <c r="O464" s="2">
        <v>5</v>
      </c>
      <c r="P464" s="2">
        <v>5</v>
      </c>
      <c r="Q464" s="2" t="e">
        <f t="shared" ca="1" si="132"/>
        <v>#NAME?</v>
      </c>
      <c r="R464" s="2">
        <v>10</v>
      </c>
      <c r="S464" s="2">
        <v>10</v>
      </c>
      <c r="T464" s="2">
        <v>5</v>
      </c>
      <c r="U464" s="2">
        <v>5</v>
      </c>
      <c r="V464" s="2">
        <v>5</v>
      </c>
      <c r="W464" s="54">
        <f t="shared" si="113"/>
        <v>7</v>
      </c>
      <c r="X464" s="48">
        <v>7</v>
      </c>
      <c r="Y464" s="2">
        <v>8</v>
      </c>
      <c r="Z464" s="2"/>
      <c r="AA464" s="2">
        <v>8</v>
      </c>
      <c r="AB464" s="2">
        <v>8</v>
      </c>
      <c r="AC464" s="2">
        <v>8</v>
      </c>
      <c r="AD464" s="2">
        <v>8</v>
      </c>
      <c r="AE464" s="2">
        <v>8</v>
      </c>
      <c r="AF464" s="2">
        <v>9</v>
      </c>
      <c r="AG464" s="2">
        <v>9</v>
      </c>
      <c r="AH464" s="2">
        <v>9</v>
      </c>
      <c r="AI464" s="2">
        <v>9</v>
      </c>
      <c r="AJ464" s="2">
        <v>9</v>
      </c>
      <c r="AK464" s="2">
        <v>8</v>
      </c>
      <c r="AL464" s="2">
        <v>9</v>
      </c>
      <c r="AM464" s="2">
        <v>9</v>
      </c>
      <c r="AN464" s="2">
        <v>9</v>
      </c>
      <c r="AO464" s="2">
        <v>9</v>
      </c>
      <c r="AP464" s="2">
        <v>9</v>
      </c>
      <c r="AQ464" s="2" t="e">
        <f t="shared" ca="1" si="133"/>
        <v>#NAME?</v>
      </c>
      <c r="AR464" s="2">
        <v>8</v>
      </c>
      <c r="AS464" s="2">
        <v>8</v>
      </c>
      <c r="AT464" s="2">
        <v>8</v>
      </c>
      <c r="AU464" s="2">
        <v>8</v>
      </c>
      <c r="AV464" s="2">
        <v>8</v>
      </c>
      <c r="AW464" s="54">
        <f t="shared" si="114"/>
        <v>8</v>
      </c>
      <c r="AX464" s="48">
        <v>9</v>
      </c>
      <c r="AY464" s="2">
        <v>8</v>
      </c>
      <c r="AZ464" s="2">
        <v>10</v>
      </c>
      <c r="BA464" s="2">
        <v>10</v>
      </c>
      <c r="BB464" s="2">
        <v>10</v>
      </c>
      <c r="BC464" s="2">
        <v>10</v>
      </c>
      <c r="BD464" s="2">
        <v>10</v>
      </c>
      <c r="BE464" s="2">
        <v>10</v>
      </c>
      <c r="BF464" s="2">
        <v>10</v>
      </c>
      <c r="BG464" s="2">
        <v>10</v>
      </c>
      <c r="BH464" s="2">
        <v>10</v>
      </c>
      <c r="BI464" s="57">
        <v>10</v>
      </c>
      <c r="BJ464" s="2" t="e">
        <f t="shared" ca="1" si="134"/>
        <v>#NAME?</v>
      </c>
      <c r="BK464" s="5">
        <v>10</v>
      </c>
      <c r="BL464" s="5">
        <v>10</v>
      </c>
      <c r="BM464" s="5">
        <v>10</v>
      </c>
      <c r="BN464" s="5">
        <v>10</v>
      </c>
      <c r="BO464" s="5">
        <v>10</v>
      </c>
      <c r="BP464" s="54">
        <f t="shared" si="115"/>
        <v>10</v>
      </c>
      <c r="BQ464" s="5"/>
      <c r="BR464" s="5"/>
      <c r="BS464" s="5">
        <v>5</v>
      </c>
      <c r="BT464" s="5">
        <v>5</v>
      </c>
      <c r="BU464" s="5">
        <v>5</v>
      </c>
      <c r="BV464" s="5">
        <v>5</v>
      </c>
      <c r="BW464" s="5">
        <v>5</v>
      </c>
      <c r="BX464" s="5">
        <v>5</v>
      </c>
      <c r="BY464" s="5">
        <v>5</v>
      </c>
      <c r="BZ464" s="5">
        <v>5</v>
      </c>
      <c r="CA464" s="5">
        <v>5</v>
      </c>
      <c r="CB464" s="5">
        <v>5</v>
      </c>
      <c r="CC464" s="2" t="e">
        <f t="shared" ca="1" si="135"/>
        <v>#NAME?</v>
      </c>
      <c r="CD464" s="96">
        <v>5</v>
      </c>
      <c r="CE464" s="2">
        <v>7</v>
      </c>
      <c r="CF464" s="2">
        <v>10</v>
      </c>
      <c r="CG464" s="2">
        <v>8</v>
      </c>
      <c r="CH464" s="2">
        <v>7</v>
      </c>
      <c r="CI464" s="2">
        <v>8</v>
      </c>
      <c r="CJ464" s="2">
        <v>8</v>
      </c>
      <c r="CK464" s="2">
        <v>9</v>
      </c>
      <c r="CL464" s="2">
        <v>10</v>
      </c>
      <c r="CM464" s="2">
        <v>8</v>
      </c>
      <c r="CN464" s="2">
        <v>8</v>
      </c>
      <c r="CO464" s="2">
        <v>8</v>
      </c>
      <c r="CP464" s="2" t="e">
        <f t="shared" ca="1" si="136"/>
        <v>#NAME?</v>
      </c>
      <c r="CQ464" s="2">
        <v>8</v>
      </c>
      <c r="CR464" s="2">
        <v>10</v>
      </c>
      <c r="CS464" s="2">
        <v>8</v>
      </c>
      <c r="CT464" s="2">
        <v>8</v>
      </c>
      <c r="CU464" s="2">
        <v>10</v>
      </c>
      <c r="CV464" s="54">
        <f t="shared" si="116"/>
        <v>9</v>
      </c>
      <c r="CW464" s="96">
        <v>3</v>
      </c>
      <c r="CX464" s="3"/>
    </row>
    <row r="465" spans="1:102" ht="16.5" x14ac:dyDescent="0.55000000000000004">
      <c r="A465" s="3">
        <v>1</v>
      </c>
      <c r="B465" s="32" t="s">
        <v>9</v>
      </c>
      <c r="C465" s="32" t="s">
        <v>971</v>
      </c>
      <c r="D465" s="4" t="s">
        <v>972</v>
      </c>
      <c r="E465" s="48">
        <v>7</v>
      </c>
      <c r="F465" s="2">
        <v>8</v>
      </c>
      <c r="G465" s="2">
        <v>10</v>
      </c>
      <c r="H465" s="2">
        <v>10</v>
      </c>
      <c r="I465" s="2">
        <v>9</v>
      </c>
      <c r="J465" s="2">
        <v>9</v>
      </c>
      <c r="K465" s="2">
        <v>9</v>
      </c>
      <c r="L465" s="2">
        <v>9</v>
      </c>
      <c r="M465" s="2">
        <v>9</v>
      </c>
      <c r="N465" s="2">
        <v>9</v>
      </c>
      <c r="O465" s="2">
        <v>10</v>
      </c>
      <c r="P465" s="2">
        <v>10</v>
      </c>
      <c r="Q465" s="2" t="e">
        <f t="shared" ca="1" si="132"/>
        <v>#NAME?</v>
      </c>
      <c r="R465" s="2">
        <v>10</v>
      </c>
      <c r="S465" s="2">
        <v>10</v>
      </c>
      <c r="T465" s="2">
        <v>9</v>
      </c>
      <c r="U465" s="2">
        <v>9</v>
      </c>
      <c r="V465" s="2">
        <v>9</v>
      </c>
      <c r="W465" s="54">
        <f t="shared" si="113"/>
        <v>10</v>
      </c>
      <c r="X465" s="48">
        <v>5</v>
      </c>
      <c r="Y465" s="2">
        <v>4</v>
      </c>
      <c r="Z465" s="2" t="s">
        <v>31</v>
      </c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 t="e">
        <f t="shared" ca="1" si="133"/>
        <v>#NAME?</v>
      </c>
      <c r="AR465" s="2"/>
      <c r="AS465" s="2"/>
      <c r="AT465" s="2"/>
      <c r="AU465" s="2"/>
      <c r="AV465" s="2"/>
      <c r="AW465" s="54">
        <f t="shared" si="114"/>
        <v>0</v>
      </c>
      <c r="AX465" s="48"/>
      <c r="AY465" s="2"/>
      <c r="AZ465" s="2">
        <v>2</v>
      </c>
      <c r="BA465" s="2">
        <v>3</v>
      </c>
      <c r="BB465" s="2">
        <v>4</v>
      </c>
      <c r="BC465" s="2">
        <v>4</v>
      </c>
      <c r="BD465" s="2">
        <v>4</v>
      </c>
      <c r="BE465" s="2">
        <v>5</v>
      </c>
      <c r="BF465" s="2">
        <v>5</v>
      </c>
      <c r="BG465" s="2">
        <v>5</v>
      </c>
      <c r="BH465" s="2">
        <v>5</v>
      </c>
      <c r="BI465" s="2">
        <v>4</v>
      </c>
      <c r="BJ465" s="2" t="e">
        <f t="shared" ca="1" si="134"/>
        <v>#NAME?</v>
      </c>
      <c r="BK465" s="2">
        <v>2</v>
      </c>
      <c r="BL465" s="2">
        <v>3</v>
      </c>
      <c r="BM465" s="2">
        <v>4</v>
      </c>
      <c r="BN465" s="2">
        <v>4</v>
      </c>
      <c r="BO465" s="2">
        <v>4</v>
      </c>
      <c r="BP465" s="54">
        <f t="shared" si="115"/>
        <v>4</v>
      </c>
      <c r="BQ465" s="5"/>
      <c r="BR465" s="5"/>
      <c r="BS465" s="5">
        <v>6</v>
      </c>
      <c r="BT465" s="5">
        <v>6</v>
      </c>
      <c r="BU465" s="5">
        <v>5</v>
      </c>
      <c r="BV465" s="5">
        <v>5</v>
      </c>
      <c r="BW465" s="5">
        <v>5</v>
      </c>
      <c r="BX465" s="5">
        <v>5</v>
      </c>
      <c r="BY465" s="5">
        <v>5</v>
      </c>
      <c r="BZ465" s="5">
        <v>5</v>
      </c>
      <c r="CA465" s="5">
        <v>5</v>
      </c>
      <c r="CB465" s="5">
        <v>5</v>
      </c>
      <c r="CC465" s="2" t="e">
        <f t="shared" ca="1" si="135"/>
        <v>#NAME?</v>
      </c>
      <c r="CD465" s="55"/>
      <c r="CE465" s="2"/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 t="e">
        <f t="shared" ca="1" si="136"/>
        <v>#NAME?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54">
        <f t="shared" si="116"/>
        <v>0</v>
      </c>
      <c r="CW465" s="55" t="s">
        <v>31</v>
      </c>
      <c r="CX465" s="3"/>
    </row>
    <row r="466" spans="1:102" ht="16.5" x14ac:dyDescent="0.55000000000000004">
      <c r="A466" s="17">
        <v>1</v>
      </c>
      <c r="B466" s="17" t="s">
        <v>9</v>
      </c>
      <c r="C466" s="23" t="s">
        <v>973</v>
      </c>
      <c r="D466" s="24" t="s">
        <v>974</v>
      </c>
      <c r="E466" s="48">
        <v>9</v>
      </c>
      <c r="F466" s="2">
        <v>8</v>
      </c>
      <c r="G466" s="2">
        <v>10</v>
      </c>
      <c r="H466" s="2">
        <v>10</v>
      </c>
      <c r="I466" s="2">
        <v>10</v>
      </c>
      <c r="J466" s="2">
        <v>10</v>
      </c>
      <c r="K466" s="2">
        <v>10</v>
      </c>
      <c r="L466" s="2">
        <v>10</v>
      </c>
      <c r="M466" s="2">
        <v>10</v>
      </c>
      <c r="N466" s="2">
        <v>10</v>
      </c>
      <c r="O466" s="2">
        <v>10</v>
      </c>
      <c r="P466" s="2">
        <v>10</v>
      </c>
      <c r="Q466" s="2" t="e">
        <f t="shared" ca="1" si="132"/>
        <v>#NAME?</v>
      </c>
      <c r="R466" s="2">
        <v>10</v>
      </c>
      <c r="S466" s="2">
        <v>10</v>
      </c>
      <c r="T466" s="2">
        <v>10</v>
      </c>
      <c r="U466" s="2">
        <v>9</v>
      </c>
      <c r="V466" s="2">
        <v>9</v>
      </c>
      <c r="W466" s="54">
        <f t="shared" si="113"/>
        <v>10</v>
      </c>
      <c r="X466" s="48">
        <v>2</v>
      </c>
      <c r="Y466" s="2">
        <v>3</v>
      </c>
      <c r="Z466" s="2">
        <v>8</v>
      </c>
      <c r="AA466" s="2">
        <v>7</v>
      </c>
      <c r="AB466" s="2">
        <v>7</v>
      </c>
      <c r="AC466" s="2">
        <v>8</v>
      </c>
      <c r="AD466" s="2">
        <v>9</v>
      </c>
      <c r="AE466" s="2">
        <v>7</v>
      </c>
      <c r="AF466" s="2">
        <v>7</v>
      </c>
      <c r="AG466" s="2">
        <v>7</v>
      </c>
      <c r="AH466" s="2">
        <v>7</v>
      </c>
      <c r="AI466" s="2">
        <v>7</v>
      </c>
      <c r="AJ466" s="2">
        <v>7</v>
      </c>
      <c r="AK466" s="2">
        <v>7</v>
      </c>
      <c r="AL466" s="2">
        <v>7</v>
      </c>
      <c r="AM466" s="2">
        <v>7</v>
      </c>
      <c r="AN466" s="2">
        <v>7</v>
      </c>
      <c r="AO466" s="2">
        <v>7</v>
      </c>
      <c r="AP466" s="2">
        <v>7</v>
      </c>
      <c r="AQ466" s="2" t="e">
        <f t="shared" ca="1" si="133"/>
        <v>#NAME?</v>
      </c>
      <c r="AR466" s="2">
        <v>7</v>
      </c>
      <c r="AS466" s="2">
        <v>8</v>
      </c>
      <c r="AT466" s="2">
        <v>6</v>
      </c>
      <c r="AU466" s="2">
        <v>6</v>
      </c>
      <c r="AV466" s="2">
        <v>6</v>
      </c>
      <c r="AW466" s="54">
        <f t="shared" si="114"/>
        <v>7</v>
      </c>
      <c r="AX466" s="48"/>
      <c r="AY466" s="2"/>
      <c r="AZ466" s="2">
        <v>2</v>
      </c>
      <c r="BA466" s="2">
        <v>3</v>
      </c>
      <c r="BB466" s="2">
        <v>4</v>
      </c>
      <c r="BC466" s="2">
        <v>4</v>
      </c>
      <c r="BD466" s="2">
        <v>4</v>
      </c>
      <c r="BE466" s="2">
        <v>5</v>
      </c>
      <c r="BF466" s="2">
        <v>5</v>
      </c>
      <c r="BG466" s="2">
        <v>5</v>
      </c>
      <c r="BH466" s="2">
        <v>5</v>
      </c>
      <c r="BI466" s="2">
        <v>4</v>
      </c>
      <c r="BJ466" s="2" t="e">
        <f t="shared" ca="1" si="134"/>
        <v>#NAME?</v>
      </c>
      <c r="BK466" s="5">
        <v>10</v>
      </c>
      <c r="BL466" s="2">
        <v>2</v>
      </c>
      <c r="BM466" s="2">
        <v>3</v>
      </c>
      <c r="BN466" s="2">
        <v>4</v>
      </c>
      <c r="BO466" s="2">
        <v>5</v>
      </c>
      <c r="BP466" s="54">
        <f t="shared" si="115"/>
        <v>5</v>
      </c>
      <c r="BQ466" s="5"/>
      <c r="BR466" s="5"/>
      <c r="BS466" s="5">
        <v>6</v>
      </c>
      <c r="BT466" s="5">
        <v>7</v>
      </c>
      <c r="BU466" s="5">
        <v>7</v>
      </c>
      <c r="BV466" s="5">
        <v>7</v>
      </c>
      <c r="BW466" s="5">
        <v>6</v>
      </c>
      <c r="BX466" s="5">
        <v>7</v>
      </c>
      <c r="BY466" s="5">
        <v>8</v>
      </c>
      <c r="BZ466" s="5">
        <v>8</v>
      </c>
      <c r="CA466" s="5">
        <v>8</v>
      </c>
      <c r="CB466" s="5">
        <v>7</v>
      </c>
      <c r="CC466" s="2" t="e">
        <f t="shared" ca="1" si="135"/>
        <v>#NAME?</v>
      </c>
      <c r="CD466" s="55"/>
      <c r="CE466" s="2"/>
      <c r="CF466" s="2">
        <v>10</v>
      </c>
      <c r="CG466" s="2">
        <v>10</v>
      </c>
      <c r="CH466" s="2">
        <v>10</v>
      </c>
      <c r="CI466" s="2">
        <v>10</v>
      </c>
      <c r="CJ466" s="2">
        <v>10</v>
      </c>
      <c r="CK466" s="2">
        <v>10</v>
      </c>
      <c r="CL466" s="2">
        <v>10</v>
      </c>
      <c r="CM466" s="2">
        <v>10</v>
      </c>
      <c r="CN466" s="2">
        <v>10</v>
      </c>
      <c r="CO466" s="2">
        <v>10</v>
      </c>
      <c r="CP466" s="2" t="e">
        <f t="shared" ca="1" si="136"/>
        <v>#NAME?</v>
      </c>
      <c r="CQ466" s="2">
        <v>10</v>
      </c>
      <c r="CR466" s="2">
        <v>10</v>
      </c>
      <c r="CS466" s="2">
        <v>10</v>
      </c>
      <c r="CT466" s="2">
        <v>10</v>
      </c>
      <c r="CU466" s="2">
        <v>10</v>
      </c>
      <c r="CV466" s="54">
        <f t="shared" si="116"/>
        <v>10</v>
      </c>
      <c r="CW466" s="55">
        <v>9</v>
      </c>
      <c r="CX466" s="3"/>
    </row>
    <row r="467" spans="1:102" ht="16.5" x14ac:dyDescent="0.55000000000000004">
      <c r="A467" s="17">
        <v>1</v>
      </c>
      <c r="B467" s="17" t="s">
        <v>9</v>
      </c>
      <c r="C467" s="23" t="s">
        <v>975</v>
      </c>
      <c r="D467" s="24" t="s">
        <v>976</v>
      </c>
      <c r="E467" s="48">
        <v>5</v>
      </c>
      <c r="F467" s="2">
        <v>5</v>
      </c>
      <c r="G467" s="2">
        <v>7</v>
      </c>
      <c r="H467" s="2">
        <v>7</v>
      </c>
      <c r="I467" s="2">
        <v>7</v>
      </c>
      <c r="J467" s="2">
        <v>7</v>
      </c>
      <c r="K467" s="2">
        <v>7</v>
      </c>
      <c r="L467" s="2">
        <v>7</v>
      </c>
      <c r="M467" s="2">
        <v>7</v>
      </c>
      <c r="N467" s="2">
        <v>7</v>
      </c>
      <c r="O467" s="2">
        <v>7</v>
      </c>
      <c r="P467" s="2">
        <v>7</v>
      </c>
      <c r="Q467" s="2" t="e">
        <f t="shared" ca="1" si="132"/>
        <v>#NAME?</v>
      </c>
      <c r="R467" s="2">
        <v>10</v>
      </c>
      <c r="S467" s="2">
        <v>7</v>
      </c>
      <c r="T467" s="2">
        <v>7</v>
      </c>
      <c r="U467" s="2">
        <v>7</v>
      </c>
      <c r="V467" s="2">
        <v>7</v>
      </c>
      <c r="W467" s="54">
        <f t="shared" si="113"/>
        <v>8</v>
      </c>
      <c r="X467" s="48">
        <v>4</v>
      </c>
      <c r="Y467" s="2">
        <v>2</v>
      </c>
      <c r="Z467" s="2">
        <v>3</v>
      </c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 t="e">
        <f t="shared" ca="1" si="133"/>
        <v>#NAME?</v>
      </c>
      <c r="AR467" s="2"/>
      <c r="AS467" s="2"/>
      <c r="AT467" s="2"/>
      <c r="AU467" s="2"/>
      <c r="AV467" s="2"/>
      <c r="AW467" s="54">
        <f t="shared" si="114"/>
        <v>0</v>
      </c>
      <c r="AX467" s="48"/>
      <c r="AY467" s="2"/>
      <c r="AZ467" s="2">
        <v>10</v>
      </c>
      <c r="BA467" s="2">
        <v>10</v>
      </c>
      <c r="BB467" s="2">
        <v>5</v>
      </c>
      <c r="BC467" s="2">
        <v>5</v>
      </c>
      <c r="BD467" s="2">
        <v>5</v>
      </c>
      <c r="BE467" s="2">
        <v>5</v>
      </c>
      <c r="BF467" s="2">
        <v>5</v>
      </c>
      <c r="BG467" s="2">
        <v>5</v>
      </c>
      <c r="BH467" s="2">
        <v>5</v>
      </c>
      <c r="BI467" s="2">
        <v>5</v>
      </c>
      <c r="BJ467" s="2" t="e">
        <f t="shared" ca="1" si="134"/>
        <v>#NAME?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54">
        <f t="shared" si="115"/>
        <v>0</v>
      </c>
      <c r="BQ467" s="5"/>
      <c r="BR467" s="5"/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2" t="e">
        <f t="shared" ca="1" si="135"/>
        <v>#NAME?</v>
      </c>
      <c r="CD467" s="55"/>
      <c r="CE467" s="2"/>
      <c r="CF467" s="2">
        <v>7</v>
      </c>
      <c r="CG467" s="2">
        <v>7</v>
      </c>
      <c r="CH467" s="2">
        <v>7</v>
      </c>
      <c r="CI467" s="2">
        <v>5</v>
      </c>
      <c r="CJ467" s="2">
        <v>5</v>
      </c>
      <c r="CK467" s="2">
        <v>5</v>
      </c>
      <c r="CL467" s="2">
        <v>5</v>
      </c>
      <c r="CM467" s="2">
        <v>5</v>
      </c>
      <c r="CN467" s="2">
        <v>5</v>
      </c>
      <c r="CO467" s="2">
        <v>5</v>
      </c>
      <c r="CP467" s="2" t="e">
        <f t="shared" ca="1" si="136"/>
        <v>#NAME?</v>
      </c>
      <c r="CQ467" s="2">
        <v>5</v>
      </c>
      <c r="CR467" s="2">
        <v>5</v>
      </c>
      <c r="CS467" s="2">
        <v>5</v>
      </c>
      <c r="CT467" s="2">
        <v>5</v>
      </c>
      <c r="CU467" s="2">
        <v>5</v>
      </c>
      <c r="CV467" s="54">
        <f t="shared" si="116"/>
        <v>5</v>
      </c>
      <c r="CW467" s="55">
        <v>7</v>
      </c>
      <c r="CX467" s="3"/>
    </row>
    <row r="468" spans="1:102" ht="16.5" x14ac:dyDescent="0.55000000000000004">
      <c r="A468" s="17">
        <v>1</v>
      </c>
      <c r="B468" s="17" t="s">
        <v>9</v>
      </c>
      <c r="C468" s="23" t="s">
        <v>977</v>
      </c>
      <c r="D468" s="24" t="s">
        <v>978</v>
      </c>
      <c r="E468" s="48">
        <v>6</v>
      </c>
      <c r="F468" s="2">
        <v>6</v>
      </c>
      <c r="G468" s="2">
        <v>10</v>
      </c>
      <c r="H468" s="2">
        <v>9</v>
      </c>
      <c r="I468" s="2">
        <v>9</v>
      </c>
      <c r="J468" s="2">
        <v>9</v>
      </c>
      <c r="K468" s="2">
        <v>9</v>
      </c>
      <c r="L468" s="2">
        <v>8</v>
      </c>
      <c r="M468" s="2">
        <v>8</v>
      </c>
      <c r="N468" s="2">
        <v>8</v>
      </c>
      <c r="O468" s="2">
        <v>8</v>
      </c>
      <c r="P468" s="2">
        <v>8</v>
      </c>
      <c r="Q468" s="2" t="e">
        <f t="shared" ca="1" si="132"/>
        <v>#NAME?</v>
      </c>
      <c r="R468" s="2">
        <v>9</v>
      </c>
      <c r="S468" s="2">
        <v>9</v>
      </c>
      <c r="T468" s="2">
        <v>9</v>
      </c>
      <c r="U468" s="2">
        <v>8</v>
      </c>
      <c r="V468" s="2">
        <v>8</v>
      </c>
      <c r="W468" s="54">
        <f t="shared" si="113"/>
        <v>9</v>
      </c>
      <c r="X468" s="48">
        <v>5</v>
      </c>
      <c r="Y468" s="2">
        <v>4</v>
      </c>
      <c r="Z468" s="2" t="s">
        <v>31</v>
      </c>
      <c r="AA468" s="2">
        <v>4</v>
      </c>
      <c r="AB468" s="2">
        <v>4</v>
      </c>
      <c r="AC468" s="2">
        <v>4</v>
      </c>
      <c r="AD468" s="2">
        <v>4</v>
      </c>
      <c r="AE468" s="2">
        <v>4</v>
      </c>
      <c r="AF468" s="2">
        <v>4</v>
      </c>
      <c r="AG468" s="2">
        <v>4</v>
      </c>
      <c r="AH468" s="2">
        <v>4</v>
      </c>
      <c r="AI468" s="2">
        <v>4</v>
      </c>
      <c r="AJ468" s="2">
        <v>4</v>
      </c>
      <c r="AK468" s="2">
        <v>4</v>
      </c>
      <c r="AL468" s="2">
        <v>4</v>
      </c>
      <c r="AM468" s="2">
        <v>4</v>
      </c>
      <c r="AN468" s="2">
        <v>4</v>
      </c>
      <c r="AO468" s="2">
        <v>4</v>
      </c>
      <c r="AP468" s="2">
        <v>4</v>
      </c>
      <c r="AQ468" s="2" t="e">
        <f t="shared" ca="1" si="133"/>
        <v>#NAME?</v>
      </c>
      <c r="AR468" s="2">
        <v>4</v>
      </c>
      <c r="AS468" s="2">
        <v>4</v>
      </c>
      <c r="AT468" s="2">
        <v>4</v>
      </c>
      <c r="AU468" s="2">
        <v>4</v>
      </c>
      <c r="AV468" s="2">
        <v>4</v>
      </c>
      <c r="AW468" s="54">
        <f t="shared" si="114"/>
        <v>4</v>
      </c>
      <c r="AX468" s="48"/>
      <c r="AY468" s="2"/>
      <c r="AZ468" s="2">
        <v>10</v>
      </c>
      <c r="BA468" s="2">
        <v>10</v>
      </c>
      <c r="BB468" s="2">
        <v>5</v>
      </c>
      <c r="BC468" s="2">
        <v>5</v>
      </c>
      <c r="BD468" s="2">
        <v>5</v>
      </c>
      <c r="BE468" s="2">
        <v>5</v>
      </c>
      <c r="BF468" s="2">
        <v>5</v>
      </c>
      <c r="BG468" s="2">
        <v>5</v>
      </c>
      <c r="BH468" s="2">
        <v>5</v>
      </c>
      <c r="BI468" s="2">
        <v>5</v>
      </c>
      <c r="BJ468" s="2" t="e">
        <f t="shared" ca="1" si="134"/>
        <v>#NAME?</v>
      </c>
      <c r="BK468" s="2">
        <v>1</v>
      </c>
      <c r="BL468" s="2">
        <v>2</v>
      </c>
      <c r="BM468" s="2">
        <v>4</v>
      </c>
      <c r="BN468" s="2">
        <v>5</v>
      </c>
      <c r="BO468" s="2">
        <v>5</v>
      </c>
      <c r="BP468" s="54">
        <f t="shared" si="115"/>
        <v>4</v>
      </c>
      <c r="BQ468" s="5"/>
      <c r="BR468" s="5"/>
      <c r="BS468" s="5">
        <v>10</v>
      </c>
      <c r="BT468" s="5">
        <v>10</v>
      </c>
      <c r="BU468" s="5">
        <v>6</v>
      </c>
      <c r="BV468" s="5">
        <v>6</v>
      </c>
      <c r="BW468" s="5">
        <v>6</v>
      </c>
      <c r="BX468" s="5">
        <v>6</v>
      </c>
      <c r="BY468" s="5">
        <v>5</v>
      </c>
      <c r="BZ468" s="5">
        <v>5</v>
      </c>
      <c r="CA468" s="5">
        <v>5</v>
      </c>
      <c r="CB468" s="5">
        <v>5</v>
      </c>
      <c r="CC468" s="2" t="e">
        <f t="shared" ca="1" si="135"/>
        <v>#NAME?</v>
      </c>
      <c r="CD468" s="55"/>
      <c r="CE468" s="2"/>
      <c r="CF468" s="2">
        <v>8</v>
      </c>
      <c r="CG468" s="2">
        <v>9</v>
      </c>
      <c r="CH468" s="2">
        <v>10</v>
      </c>
      <c r="CI468" s="2">
        <v>8</v>
      </c>
      <c r="CJ468" s="2">
        <v>7</v>
      </c>
      <c r="CK468" s="2">
        <v>5</v>
      </c>
      <c r="CL468" s="2">
        <v>9</v>
      </c>
      <c r="CM468" s="2">
        <v>5</v>
      </c>
      <c r="CN468" s="2">
        <v>5</v>
      </c>
      <c r="CO468" s="2">
        <v>10</v>
      </c>
      <c r="CP468" s="2" t="e">
        <f t="shared" ca="1" si="136"/>
        <v>#NAME?</v>
      </c>
      <c r="CQ468" s="2">
        <v>9</v>
      </c>
      <c r="CR468" s="2">
        <v>5</v>
      </c>
      <c r="CS468" s="2">
        <v>5</v>
      </c>
      <c r="CT468" s="2">
        <v>5</v>
      </c>
      <c r="CU468" s="2">
        <v>5</v>
      </c>
      <c r="CV468" s="54">
        <f t="shared" si="116"/>
        <v>6</v>
      </c>
      <c r="CW468" s="55">
        <v>4</v>
      </c>
      <c r="CX468" s="3"/>
    </row>
    <row r="469" spans="1:102" ht="16.5" x14ac:dyDescent="0.55000000000000004">
      <c r="A469" s="17">
        <v>1</v>
      </c>
      <c r="B469" s="17" t="s">
        <v>9</v>
      </c>
      <c r="C469" s="23" t="s">
        <v>979</v>
      </c>
      <c r="D469" s="24" t="s">
        <v>980</v>
      </c>
      <c r="E469" s="48">
        <v>7</v>
      </c>
      <c r="F469" s="2">
        <v>8</v>
      </c>
      <c r="G469" s="2">
        <v>10</v>
      </c>
      <c r="H469" s="2">
        <v>10</v>
      </c>
      <c r="I469" s="2">
        <v>9</v>
      </c>
      <c r="J469" s="2">
        <v>9</v>
      </c>
      <c r="K469" s="2">
        <v>10</v>
      </c>
      <c r="L469" s="2">
        <v>10</v>
      </c>
      <c r="M469" s="2">
        <v>10</v>
      </c>
      <c r="N469" s="2">
        <v>10</v>
      </c>
      <c r="O469" s="2">
        <v>10</v>
      </c>
      <c r="P469" s="2">
        <v>10</v>
      </c>
      <c r="Q469" s="2" t="e">
        <f t="shared" ca="1" si="132"/>
        <v>#NAME?</v>
      </c>
      <c r="R469" s="2">
        <v>9</v>
      </c>
      <c r="S469" s="2">
        <v>10</v>
      </c>
      <c r="T469" s="2">
        <v>10</v>
      </c>
      <c r="U469" s="2">
        <v>10</v>
      </c>
      <c r="V469" s="2">
        <v>10</v>
      </c>
      <c r="W469" s="54">
        <f t="shared" si="113"/>
        <v>10</v>
      </c>
      <c r="X469" s="48">
        <v>3</v>
      </c>
      <c r="Y469" s="2">
        <v>4</v>
      </c>
      <c r="Z469" s="2" t="s">
        <v>31</v>
      </c>
      <c r="AA469" s="2">
        <v>5</v>
      </c>
      <c r="AB469" s="2">
        <v>5</v>
      </c>
      <c r="AC469" s="2">
        <v>5</v>
      </c>
      <c r="AD469" s="2">
        <v>5</v>
      </c>
      <c r="AE469" s="2">
        <v>5</v>
      </c>
      <c r="AF469" s="2">
        <v>5</v>
      </c>
      <c r="AG469" s="2">
        <v>5</v>
      </c>
      <c r="AH469" s="2">
        <v>5</v>
      </c>
      <c r="AI469" s="2">
        <v>5</v>
      </c>
      <c r="AJ469" s="2">
        <v>5</v>
      </c>
      <c r="AK469" s="2">
        <v>5</v>
      </c>
      <c r="AL469" s="2">
        <v>5</v>
      </c>
      <c r="AM469" s="2">
        <v>5</v>
      </c>
      <c r="AN469" s="2">
        <v>5</v>
      </c>
      <c r="AO469" s="2">
        <v>5</v>
      </c>
      <c r="AP469" s="2">
        <v>5</v>
      </c>
      <c r="AQ469" s="2" t="e">
        <f t="shared" ca="1" si="133"/>
        <v>#NAME?</v>
      </c>
      <c r="AR469" s="2">
        <v>5</v>
      </c>
      <c r="AS469" s="2">
        <v>5</v>
      </c>
      <c r="AT469" s="2">
        <v>5</v>
      </c>
      <c r="AU469" s="2">
        <v>5</v>
      </c>
      <c r="AV469" s="2">
        <v>5</v>
      </c>
      <c r="AW469" s="54">
        <f t="shared" si="114"/>
        <v>5</v>
      </c>
      <c r="AX469" s="48"/>
      <c r="AY469" s="2"/>
      <c r="AZ469" s="2">
        <v>3</v>
      </c>
      <c r="BA469" s="2">
        <v>3</v>
      </c>
      <c r="BB469" s="2">
        <v>4</v>
      </c>
      <c r="BC469" s="2">
        <v>4</v>
      </c>
      <c r="BD469" s="2">
        <v>4</v>
      </c>
      <c r="BE469" s="2">
        <v>4</v>
      </c>
      <c r="BF469" s="2">
        <v>4</v>
      </c>
      <c r="BG469" s="2">
        <v>5</v>
      </c>
      <c r="BH469" s="2">
        <v>5</v>
      </c>
      <c r="BI469" s="2">
        <v>5</v>
      </c>
      <c r="BJ469" s="2" t="e">
        <f t="shared" ca="1" si="134"/>
        <v>#NAME?</v>
      </c>
      <c r="BK469" s="5">
        <v>4</v>
      </c>
      <c r="BL469" s="5">
        <v>5</v>
      </c>
      <c r="BM469" s="5">
        <v>9</v>
      </c>
      <c r="BN469" s="5">
        <v>10</v>
      </c>
      <c r="BO469" s="5">
        <v>5</v>
      </c>
      <c r="BP469" s="54">
        <f t="shared" si="115"/>
        <v>7</v>
      </c>
      <c r="BQ469" s="5"/>
      <c r="BR469" s="5"/>
      <c r="BS469" s="5">
        <v>8</v>
      </c>
      <c r="BT469" s="5">
        <v>10</v>
      </c>
      <c r="BU469" s="5">
        <v>10</v>
      </c>
      <c r="BV469" s="5">
        <v>5</v>
      </c>
      <c r="BW469" s="5">
        <v>6</v>
      </c>
      <c r="BX469" s="5">
        <v>8</v>
      </c>
      <c r="BY469" s="5">
        <v>6</v>
      </c>
      <c r="BZ469" s="5">
        <v>8</v>
      </c>
      <c r="CA469" s="5">
        <v>8</v>
      </c>
      <c r="CB469" s="5">
        <v>10</v>
      </c>
      <c r="CC469" s="2" t="e">
        <f t="shared" ca="1" si="135"/>
        <v>#NAME?</v>
      </c>
      <c r="CD469" s="55"/>
      <c r="CE469" s="2"/>
      <c r="CF469" s="2">
        <v>7</v>
      </c>
      <c r="CG469" s="2">
        <v>7</v>
      </c>
      <c r="CH469" s="2">
        <v>7</v>
      </c>
      <c r="CI469" s="2">
        <v>8</v>
      </c>
      <c r="CJ469" s="2">
        <v>7</v>
      </c>
      <c r="CK469" s="2">
        <v>7</v>
      </c>
      <c r="CL469" s="2">
        <v>9</v>
      </c>
      <c r="CM469" s="2">
        <v>10</v>
      </c>
      <c r="CN469" s="2">
        <v>10</v>
      </c>
      <c r="CO469" s="2">
        <v>10</v>
      </c>
      <c r="CP469" s="2" t="e">
        <f t="shared" ca="1" si="136"/>
        <v>#NAME?</v>
      </c>
      <c r="CQ469" s="2">
        <v>10</v>
      </c>
      <c r="CR469" s="2">
        <v>10</v>
      </c>
      <c r="CS469" s="2">
        <v>10</v>
      </c>
      <c r="CT469" s="2">
        <v>10</v>
      </c>
      <c r="CU469" s="2">
        <v>10</v>
      </c>
      <c r="CV469" s="54">
        <f t="shared" si="116"/>
        <v>10</v>
      </c>
      <c r="CW469" s="55" t="s">
        <v>31</v>
      </c>
      <c r="CX469" s="3"/>
    </row>
    <row r="470" spans="1:102" ht="16.5" x14ac:dyDescent="0.55000000000000004">
      <c r="A470" s="17">
        <v>1</v>
      </c>
      <c r="B470" s="17" t="s">
        <v>9</v>
      </c>
      <c r="C470" s="23" t="s">
        <v>981</v>
      </c>
      <c r="D470" s="24" t="s">
        <v>982</v>
      </c>
      <c r="E470" s="48">
        <v>8</v>
      </c>
      <c r="F470" s="2">
        <v>8</v>
      </c>
      <c r="G470" s="2">
        <v>10</v>
      </c>
      <c r="H470" s="2">
        <v>10</v>
      </c>
      <c r="I470" s="2">
        <v>10</v>
      </c>
      <c r="J470" s="2">
        <v>10</v>
      </c>
      <c r="K470" s="2">
        <v>10</v>
      </c>
      <c r="L470" s="2">
        <v>10</v>
      </c>
      <c r="M470" s="2">
        <v>10</v>
      </c>
      <c r="N470" s="2">
        <v>10</v>
      </c>
      <c r="O470" s="2">
        <v>10</v>
      </c>
      <c r="P470" s="2">
        <v>10</v>
      </c>
      <c r="Q470" s="2" t="e">
        <f t="shared" ca="1" si="132"/>
        <v>#NAME?</v>
      </c>
      <c r="R470" s="2">
        <v>10</v>
      </c>
      <c r="S470" s="2">
        <v>10</v>
      </c>
      <c r="T470" s="2">
        <v>10</v>
      </c>
      <c r="U470" s="2">
        <v>10</v>
      </c>
      <c r="V470" s="2">
        <v>10</v>
      </c>
      <c r="W470" s="54">
        <f t="shared" si="113"/>
        <v>10</v>
      </c>
      <c r="X470" s="48" t="s">
        <v>31</v>
      </c>
      <c r="Y470" s="2">
        <v>9</v>
      </c>
      <c r="Z470" s="2">
        <v>7</v>
      </c>
      <c r="AA470" s="2">
        <v>1</v>
      </c>
      <c r="AB470" s="2">
        <v>2</v>
      </c>
      <c r="AC470" s="2">
        <v>3</v>
      </c>
      <c r="AD470" s="2">
        <v>4</v>
      </c>
      <c r="AE470" s="2">
        <v>5</v>
      </c>
      <c r="AF470" s="2">
        <v>6</v>
      </c>
      <c r="AG470" s="2">
        <v>7</v>
      </c>
      <c r="AH470" s="2">
        <v>8</v>
      </c>
      <c r="AI470" s="2">
        <v>4</v>
      </c>
      <c r="AJ470" s="2">
        <v>4</v>
      </c>
      <c r="AK470" s="2">
        <v>4</v>
      </c>
      <c r="AL470" s="2">
        <v>4</v>
      </c>
      <c r="AM470" s="2">
        <v>4</v>
      </c>
      <c r="AN470" s="2">
        <v>4</v>
      </c>
      <c r="AO470" s="2">
        <v>4</v>
      </c>
      <c r="AP470" s="2">
        <v>4</v>
      </c>
      <c r="AQ470" s="2" t="e">
        <f t="shared" ca="1" si="133"/>
        <v>#NAME?</v>
      </c>
      <c r="AR470" s="2">
        <v>6</v>
      </c>
      <c r="AS470" s="2">
        <v>7</v>
      </c>
      <c r="AT470" s="2">
        <v>8</v>
      </c>
      <c r="AU470" s="2">
        <v>9</v>
      </c>
      <c r="AV470" s="2">
        <v>10</v>
      </c>
      <c r="AW470" s="54">
        <f t="shared" si="114"/>
        <v>8</v>
      </c>
      <c r="AX470" s="48"/>
      <c r="AY470" s="2"/>
      <c r="AZ470" s="2">
        <v>8</v>
      </c>
      <c r="BA470" s="2">
        <v>8</v>
      </c>
      <c r="BB470" s="2">
        <v>10</v>
      </c>
      <c r="BC470" s="2">
        <v>10</v>
      </c>
      <c r="BD470" s="2">
        <v>10</v>
      </c>
      <c r="BE470" s="2">
        <v>10</v>
      </c>
      <c r="BF470" s="2">
        <v>10</v>
      </c>
      <c r="BG470" s="2">
        <v>10</v>
      </c>
      <c r="BH470" s="2">
        <v>10</v>
      </c>
      <c r="BI470" s="2">
        <v>10</v>
      </c>
      <c r="BJ470" s="2" t="e">
        <f t="shared" ca="1" si="134"/>
        <v>#NAME?</v>
      </c>
      <c r="BK470" s="2">
        <v>3</v>
      </c>
      <c r="BL470" s="2">
        <v>5</v>
      </c>
      <c r="BM470" s="2">
        <v>10</v>
      </c>
      <c r="BN470" s="2">
        <v>10</v>
      </c>
      <c r="BO470" s="2">
        <v>10</v>
      </c>
      <c r="BP470" s="54">
        <f t="shared" si="115"/>
        <v>8</v>
      </c>
      <c r="BQ470" s="5"/>
      <c r="BR470" s="5"/>
      <c r="BS470" s="5">
        <v>7</v>
      </c>
      <c r="BT470" s="5">
        <v>8</v>
      </c>
      <c r="BU470" s="5">
        <v>7</v>
      </c>
      <c r="BV470" s="5">
        <v>7</v>
      </c>
      <c r="BW470" s="5">
        <v>7</v>
      </c>
      <c r="BX470" s="5">
        <v>8</v>
      </c>
      <c r="BY470" s="5">
        <v>8</v>
      </c>
      <c r="BZ470" s="5">
        <v>8</v>
      </c>
      <c r="CA470" s="5">
        <v>8</v>
      </c>
      <c r="CB470" s="5">
        <v>7</v>
      </c>
      <c r="CC470" s="2" t="e">
        <f t="shared" ca="1" si="135"/>
        <v>#NAME?</v>
      </c>
      <c r="CD470" s="55"/>
      <c r="CE470" s="2"/>
      <c r="CF470" s="2">
        <v>10</v>
      </c>
      <c r="CG470" s="2">
        <v>10</v>
      </c>
      <c r="CH470" s="2">
        <v>10</v>
      </c>
      <c r="CI470" s="2">
        <v>10</v>
      </c>
      <c r="CJ470" s="2">
        <v>10</v>
      </c>
      <c r="CK470" s="2">
        <v>10</v>
      </c>
      <c r="CL470" s="2">
        <v>10</v>
      </c>
      <c r="CM470" s="2">
        <v>10</v>
      </c>
      <c r="CN470" s="2">
        <v>10</v>
      </c>
      <c r="CO470" s="2">
        <v>10</v>
      </c>
      <c r="CP470" s="2" t="e">
        <f t="shared" ca="1" si="136"/>
        <v>#NAME?</v>
      </c>
      <c r="CQ470" s="2">
        <v>10</v>
      </c>
      <c r="CR470" s="2">
        <v>10</v>
      </c>
      <c r="CS470" s="2">
        <v>10</v>
      </c>
      <c r="CT470" s="2">
        <v>10</v>
      </c>
      <c r="CU470" s="2">
        <v>10</v>
      </c>
      <c r="CV470" s="54">
        <f t="shared" si="116"/>
        <v>10</v>
      </c>
      <c r="CW470" s="55">
        <v>18</v>
      </c>
      <c r="CX470" s="3"/>
    </row>
    <row r="471" spans="1:102" ht="16.5" x14ac:dyDescent="0.55000000000000004">
      <c r="A471" s="17">
        <v>1</v>
      </c>
      <c r="B471" s="17" t="s">
        <v>9</v>
      </c>
      <c r="C471" s="23" t="s">
        <v>983</v>
      </c>
      <c r="D471" s="24" t="s">
        <v>984</v>
      </c>
      <c r="E471" s="48">
        <v>8</v>
      </c>
      <c r="F471" s="2">
        <v>8</v>
      </c>
      <c r="G471" s="2">
        <v>10</v>
      </c>
      <c r="H471" s="2">
        <v>10</v>
      </c>
      <c r="I471" s="2">
        <v>10</v>
      </c>
      <c r="J471" s="2">
        <v>9</v>
      </c>
      <c r="K471" s="2">
        <v>9</v>
      </c>
      <c r="L471" s="2">
        <v>10</v>
      </c>
      <c r="M471" s="2">
        <v>10</v>
      </c>
      <c r="N471" s="2">
        <v>10</v>
      </c>
      <c r="O471" s="2">
        <v>10</v>
      </c>
      <c r="P471" s="2">
        <v>10</v>
      </c>
      <c r="Q471" s="2" t="e">
        <f t="shared" ca="1" si="132"/>
        <v>#NAME?</v>
      </c>
      <c r="R471" s="2">
        <v>10</v>
      </c>
      <c r="S471" s="2">
        <v>10</v>
      </c>
      <c r="T471" s="2">
        <v>10</v>
      </c>
      <c r="U471" s="2">
        <v>10</v>
      </c>
      <c r="V471" s="2">
        <v>10</v>
      </c>
      <c r="W471" s="54">
        <f t="shared" si="113"/>
        <v>10</v>
      </c>
      <c r="X471" s="48">
        <v>5</v>
      </c>
      <c r="Y471" s="2">
        <v>6</v>
      </c>
      <c r="Z471" s="2">
        <v>8</v>
      </c>
      <c r="AA471" s="2">
        <v>10</v>
      </c>
      <c r="AB471" s="2">
        <v>10</v>
      </c>
      <c r="AC471" s="2">
        <v>10</v>
      </c>
      <c r="AD471" s="2">
        <v>8</v>
      </c>
      <c r="AE471" s="2">
        <v>10</v>
      </c>
      <c r="AF471" s="2">
        <v>10</v>
      </c>
      <c r="AG471" s="2">
        <v>10</v>
      </c>
      <c r="AH471" s="2">
        <v>10</v>
      </c>
      <c r="AI471" s="2">
        <v>10</v>
      </c>
      <c r="AJ471" s="2">
        <v>8</v>
      </c>
      <c r="AK471" s="2">
        <v>8</v>
      </c>
      <c r="AL471" s="2">
        <v>8</v>
      </c>
      <c r="AM471" s="2">
        <v>8</v>
      </c>
      <c r="AN471" s="2">
        <v>8</v>
      </c>
      <c r="AO471" s="2">
        <v>8</v>
      </c>
      <c r="AP471" s="2">
        <v>8</v>
      </c>
      <c r="AQ471" s="2" t="e">
        <f t="shared" ca="1" si="133"/>
        <v>#NAME?</v>
      </c>
      <c r="AR471" s="2">
        <v>10</v>
      </c>
      <c r="AS471" s="2">
        <v>9</v>
      </c>
      <c r="AT471" s="2">
        <v>8</v>
      </c>
      <c r="AU471" s="2">
        <v>8</v>
      </c>
      <c r="AV471" s="2">
        <v>8</v>
      </c>
      <c r="AW471" s="54">
        <f t="shared" si="114"/>
        <v>9</v>
      </c>
      <c r="AX471" s="48"/>
      <c r="AY471" s="2"/>
      <c r="AZ471" s="2">
        <v>10</v>
      </c>
      <c r="BA471" s="2">
        <v>10</v>
      </c>
      <c r="BB471" s="2">
        <v>10</v>
      </c>
      <c r="BC471" s="2">
        <v>10</v>
      </c>
      <c r="BD471" s="2">
        <v>10</v>
      </c>
      <c r="BE471" s="2">
        <v>10</v>
      </c>
      <c r="BF471" s="2">
        <v>10</v>
      </c>
      <c r="BG471" s="2">
        <v>10</v>
      </c>
      <c r="BH471" s="2">
        <v>10</v>
      </c>
      <c r="BI471" s="2">
        <v>10</v>
      </c>
      <c r="BJ471" s="2" t="e">
        <f t="shared" ca="1" si="134"/>
        <v>#NAME?</v>
      </c>
      <c r="BK471" s="5">
        <v>10</v>
      </c>
      <c r="BL471" s="5">
        <v>10</v>
      </c>
      <c r="BM471" s="5">
        <v>7</v>
      </c>
      <c r="BN471" s="2">
        <v>10</v>
      </c>
      <c r="BO471" s="2">
        <v>10</v>
      </c>
      <c r="BP471" s="54">
        <f t="shared" si="115"/>
        <v>10</v>
      </c>
      <c r="BQ471" s="5"/>
      <c r="BR471" s="5"/>
      <c r="BS471" s="5">
        <v>10</v>
      </c>
      <c r="BT471" s="5">
        <v>10</v>
      </c>
      <c r="BU471" s="5">
        <v>10</v>
      </c>
      <c r="BV471" s="5">
        <v>10</v>
      </c>
      <c r="BW471" s="5">
        <v>10</v>
      </c>
      <c r="BX471" s="5">
        <v>10</v>
      </c>
      <c r="BY471" s="5">
        <v>10</v>
      </c>
      <c r="BZ471" s="5">
        <v>10</v>
      </c>
      <c r="CA471" s="5">
        <v>10</v>
      </c>
      <c r="CB471" s="5">
        <v>10</v>
      </c>
      <c r="CC471" s="2" t="e">
        <f t="shared" ca="1" si="135"/>
        <v>#NAME?</v>
      </c>
      <c r="CD471" s="55"/>
      <c r="CE471" s="2"/>
      <c r="CF471" s="2">
        <v>9</v>
      </c>
      <c r="CG471" s="2">
        <v>9</v>
      </c>
      <c r="CH471" s="2">
        <v>10</v>
      </c>
      <c r="CI471" s="2">
        <v>10</v>
      </c>
      <c r="CJ471" s="2">
        <v>10</v>
      </c>
      <c r="CK471" s="2">
        <v>10</v>
      </c>
      <c r="CL471" s="2">
        <v>10</v>
      </c>
      <c r="CM471" s="2">
        <v>10</v>
      </c>
      <c r="CN471" s="2">
        <v>10</v>
      </c>
      <c r="CO471" s="2">
        <v>10</v>
      </c>
      <c r="CP471" s="2" t="e">
        <f t="shared" ca="1" si="136"/>
        <v>#NAME?</v>
      </c>
      <c r="CQ471" s="2">
        <v>10</v>
      </c>
      <c r="CR471" s="2">
        <v>10</v>
      </c>
      <c r="CS471" s="2">
        <v>10</v>
      </c>
      <c r="CT471" s="2">
        <v>10</v>
      </c>
      <c r="CU471" s="2">
        <v>10</v>
      </c>
      <c r="CV471" s="54">
        <f t="shared" si="116"/>
        <v>10</v>
      </c>
      <c r="CW471" s="55">
        <v>15</v>
      </c>
      <c r="CX471" s="3"/>
    </row>
    <row r="472" spans="1:102" ht="16.5" x14ac:dyDescent="0.55000000000000004">
      <c r="A472" s="17">
        <v>1</v>
      </c>
      <c r="B472" s="17" t="s">
        <v>9</v>
      </c>
      <c r="C472" s="23" t="s">
        <v>985</v>
      </c>
      <c r="D472" s="24" t="s">
        <v>986</v>
      </c>
      <c r="E472" s="48">
        <v>7</v>
      </c>
      <c r="F472" s="2">
        <v>8</v>
      </c>
      <c r="G472" s="2">
        <v>9</v>
      </c>
      <c r="H472" s="2">
        <v>9</v>
      </c>
      <c r="I472" s="2">
        <v>9</v>
      </c>
      <c r="J472" s="2">
        <v>9</v>
      </c>
      <c r="K472" s="2">
        <v>9</v>
      </c>
      <c r="L472" s="24">
        <v>10</v>
      </c>
      <c r="M472" s="2">
        <v>10</v>
      </c>
      <c r="N472" s="2">
        <v>10</v>
      </c>
      <c r="O472" s="2">
        <v>10</v>
      </c>
      <c r="P472" s="2">
        <v>10</v>
      </c>
      <c r="Q472" s="2" t="e">
        <f t="shared" ca="1" si="132"/>
        <v>#NAME?</v>
      </c>
      <c r="R472" s="2">
        <v>9</v>
      </c>
      <c r="S472" s="2">
        <v>9</v>
      </c>
      <c r="T472" s="2">
        <v>9</v>
      </c>
      <c r="U472" s="2">
        <v>9</v>
      </c>
      <c r="V472" s="2">
        <v>9</v>
      </c>
      <c r="W472" s="54">
        <f t="shared" si="113"/>
        <v>9</v>
      </c>
      <c r="X472" s="48" t="s">
        <v>31</v>
      </c>
      <c r="Y472" s="2" t="s">
        <v>31</v>
      </c>
      <c r="Z472" s="2" t="s">
        <v>31</v>
      </c>
      <c r="AA472" s="2">
        <v>3</v>
      </c>
      <c r="AB472" s="2">
        <v>4</v>
      </c>
      <c r="AC472" s="2">
        <v>5</v>
      </c>
      <c r="AD472" s="2">
        <v>6</v>
      </c>
      <c r="AE472" s="2">
        <v>6</v>
      </c>
      <c r="AF472" s="2">
        <v>7</v>
      </c>
      <c r="AG472" s="2">
        <v>7</v>
      </c>
      <c r="AH472" s="2">
        <v>9</v>
      </c>
      <c r="AI472" s="2">
        <v>9</v>
      </c>
      <c r="AJ472" s="2">
        <v>8</v>
      </c>
      <c r="AK472" s="2">
        <v>8</v>
      </c>
      <c r="AL472" s="2">
        <v>8</v>
      </c>
      <c r="AM472" s="2">
        <v>8</v>
      </c>
      <c r="AN472" s="2">
        <v>8</v>
      </c>
      <c r="AO472" s="2">
        <v>8</v>
      </c>
      <c r="AP472" s="2">
        <v>8</v>
      </c>
      <c r="AQ472" s="2" t="e">
        <f t="shared" ca="1" si="133"/>
        <v>#NAME?</v>
      </c>
      <c r="AR472" s="2">
        <v>7</v>
      </c>
      <c r="AS472" s="2">
        <v>8</v>
      </c>
      <c r="AT472" s="2">
        <v>9</v>
      </c>
      <c r="AU472" s="2">
        <v>10</v>
      </c>
      <c r="AV472" s="2">
        <v>10</v>
      </c>
      <c r="AW472" s="54">
        <f t="shared" si="114"/>
        <v>9</v>
      </c>
      <c r="AX472" s="48"/>
      <c r="AY472" s="2"/>
      <c r="AZ472" s="2">
        <v>4</v>
      </c>
      <c r="BA472" s="2">
        <v>5</v>
      </c>
      <c r="BB472" s="2">
        <v>10</v>
      </c>
      <c r="BC472" s="2">
        <v>10</v>
      </c>
      <c r="BD472" s="2">
        <v>10</v>
      </c>
      <c r="BE472" s="2">
        <v>10</v>
      </c>
      <c r="BF472" s="2">
        <v>10</v>
      </c>
      <c r="BG472" s="2">
        <v>10</v>
      </c>
      <c r="BH472" s="2">
        <v>10</v>
      </c>
      <c r="BI472" s="2">
        <v>10</v>
      </c>
      <c r="BJ472" s="2" t="e">
        <f t="shared" ca="1" si="134"/>
        <v>#NAME?</v>
      </c>
      <c r="BK472" s="2">
        <v>10</v>
      </c>
      <c r="BL472" s="2">
        <v>10</v>
      </c>
      <c r="BM472" s="2">
        <v>10</v>
      </c>
      <c r="BN472" s="2">
        <v>10</v>
      </c>
      <c r="BO472" s="2">
        <v>10</v>
      </c>
      <c r="BP472" s="54">
        <f t="shared" si="115"/>
        <v>10</v>
      </c>
      <c r="BQ472" s="5"/>
      <c r="BR472" s="5"/>
      <c r="BS472" s="5">
        <v>6</v>
      </c>
      <c r="BT472" s="5">
        <v>6</v>
      </c>
      <c r="BU472" s="5">
        <v>6</v>
      </c>
      <c r="BV472" s="5">
        <v>6</v>
      </c>
      <c r="BW472" s="5">
        <v>6</v>
      </c>
      <c r="BX472" s="5">
        <v>6</v>
      </c>
      <c r="BY472" s="5">
        <v>6</v>
      </c>
      <c r="BZ472" s="5">
        <v>6</v>
      </c>
      <c r="CA472" s="5">
        <v>6</v>
      </c>
      <c r="CB472" s="5">
        <v>10</v>
      </c>
      <c r="CC472" s="2" t="e">
        <f t="shared" ca="1" si="135"/>
        <v>#NAME?</v>
      </c>
      <c r="CD472" s="55"/>
      <c r="CE472" s="2"/>
      <c r="CF472" s="2">
        <v>10</v>
      </c>
      <c r="CG472" s="2">
        <v>10</v>
      </c>
      <c r="CH472" s="2">
        <v>10</v>
      </c>
      <c r="CI472" s="2">
        <v>10</v>
      </c>
      <c r="CJ472" s="2">
        <v>10</v>
      </c>
      <c r="CK472" s="2">
        <v>10</v>
      </c>
      <c r="CL472" s="2">
        <v>10</v>
      </c>
      <c r="CM472" s="2">
        <v>10</v>
      </c>
      <c r="CN472" s="2">
        <v>10</v>
      </c>
      <c r="CO472" s="2">
        <v>10</v>
      </c>
      <c r="CP472" s="2" t="e">
        <f t="shared" ca="1" si="136"/>
        <v>#NAME?</v>
      </c>
      <c r="CQ472" s="2">
        <v>10</v>
      </c>
      <c r="CR472" s="2">
        <v>10</v>
      </c>
      <c r="CS472" s="2">
        <v>10</v>
      </c>
      <c r="CT472" s="2">
        <v>10</v>
      </c>
      <c r="CU472" s="2">
        <v>10</v>
      </c>
      <c r="CV472" s="54">
        <f t="shared" si="116"/>
        <v>10</v>
      </c>
      <c r="CW472" s="55" t="s">
        <v>31</v>
      </c>
      <c r="CX472" s="3"/>
    </row>
    <row r="473" spans="1:102" ht="16.5" x14ac:dyDescent="0.55000000000000004">
      <c r="A473" s="17">
        <v>1</v>
      </c>
      <c r="B473" s="17" t="s">
        <v>9</v>
      </c>
      <c r="C473" s="23" t="s">
        <v>987</v>
      </c>
      <c r="D473" s="24" t="s">
        <v>988</v>
      </c>
      <c r="E473" s="48">
        <v>8</v>
      </c>
      <c r="F473" s="2">
        <v>7</v>
      </c>
      <c r="G473" s="2">
        <v>10</v>
      </c>
      <c r="H473" s="2">
        <v>10</v>
      </c>
      <c r="I473" s="2">
        <v>10</v>
      </c>
      <c r="J473" s="2">
        <v>10</v>
      </c>
      <c r="K473" s="2">
        <v>10</v>
      </c>
      <c r="L473" s="2">
        <v>10</v>
      </c>
      <c r="M473" s="2">
        <v>10</v>
      </c>
      <c r="N473" s="2">
        <v>9</v>
      </c>
      <c r="O473" s="2">
        <v>9</v>
      </c>
      <c r="P473" s="2">
        <v>9</v>
      </c>
      <c r="Q473" s="2" t="e">
        <f t="shared" ca="1" si="132"/>
        <v>#NAME?</v>
      </c>
      <c r="R473" s="2">
        <v>10</v>
      </c>
      <c r="S473" s="2">
        <v>10</v>
      </c>
      <c r="T473" s="2">
        <v>10</v>
      </c>
      <c r="U473" s="2">
        <v>9</v>
      </c>
      <c r="V473" s="2">
        <v>9</v>
      </c>
      <c r="W473" s="54">
        <f t="shared" si="113"/>
        <v>10</v>
      </c>
      <c r="X473" s="48" t="s">
        <v>31</v>
      </c>
      <c r="Y473" s="2" t="s">
        <v>31</v>
      </c>
      <c r="Z473" s="2">
        <v>10</v>
      </c>
      <c r="AA473" s="2">
        <v>9</v>
      </c>
      <c r="AB473" s="2">
        <v>9</v>
      </c>
      <c r="AC473" s="2">
        <v>10</v>
      </c>
      <c r="AD473" s="2">
        <v>9</v>
      </c>
      <c r="AE473" s="2">
        <v>10</v>
      </c>
      <c r="AF473" s="2">
        <v>10</v>
      </c>
      <c r="AG473" s="2">
        <v>7</v>
      </c>
      <c r="AH473" s="2">
        <v>7</v>
      </c>
      <c r="AI473" s="2">
        <v>7</v>
      </c>
      <c r="AJ473" s="2">
        <v>7</v>
      </c>
      <c r="AK473" s="2">
        <v>7</v>
      </c>
      <c r="AL473" s="2">
        <v>7</v>
      </c>
      <c r="AM473" s="2">
        <v>7</v>
      </c>
      <c r="AN473" s="2">
        <v>7</v>
      </c>
      <c r="AO473" s="2">
        <v>7</v>
      </c>
      <c r="AP473" s="2">
        <v>7</v>
      </c>
      <c r="AQ473" s="2" t="e">
        <f t="shared" ca="1" si="133"/>
        <v>#NAME?</v>
      </c>
      <c r="AR473" s="2">
        <v>9</v>
      </c>
      <c r="AS473" s="2">
        <v>9</v>
      </c>
      <c r="AT473" s="2">
        <v>9</v>
      </c>
      <c r="AU473" s="2">
        <v>6</v>
      </c>
      <c r="AV473" s="2">
        <v>6</v>
      </c>
      <c r="AW473" s="54">
        <f t="shared" si="114"/>
        <v>8</v>
      </c>
      <c r="AX473" s="48"/>
      <c r="AY473" s="2"/>
      <c r="AZ473" s="2">
        <v>10</v>
      </c>
      <c r="BA473" s="2">
        <v>10</v>
      </c>
      <c r="BB473" s="2">
        <v>8</v>
      </c>
      <c r="BC473" s="2">
        <v>4</v>
      </c>
      <c r="BD473" s="2">
        <v>5</v>
      </c>
      <c r="BE473" s="2">
        <v>5</v>
      </c>
      <c r="BF473" s="2">
        <v>6</v>
      </c>
      <c r="BG473" s="2">
        <v>5</v>
      </c>
      <c r="BH473" s="2">
        <v>5</v>
      </c>
      <c r="BI473" s="2">
        <v>7</v>
      </c>
      <c r="BJ473" s="2" t="e">
        <f t="shared" ca="1" si="134"/>
        <v>#NAME?</v>
      </c>
      <c r="BK473" s="5">
        <v>10</v>
      </c>
      <c r="BL473" s="5">
        <v>10</v>
      </c>
      <c r="BM473" s="5">
        <v>10</v>
      </c>
      <c r="BN473" s="5">
        <v>10</v>
      </c>
      <c r="BO473" s="5">
        <v>5</v>
      </c>
      <c r="BP473" s="54">
        <f t="shared" si="115"/>
        <v>9</v>
      </c>
      <c r="BQ473" s="5"/>
      <c r="BR473" s="5"/>
      <c r="BS473" s="5">
        <v>7</v>
      </c>
      <c r="BT473" s="5">
        <v>7</v>
      </c>
      <c r="BU473" s="5">
        <v>7</v>
      </c>
      <c r="BV473" s="5">
        <v>7</v>
      </c>
      <c r="BW473" s="5">
        <v>7</v>
      </c>
      <c r="BX473" s="5">
        <v>8</v>
      </c>
      <c r="BY473" s="5">
        <v>8</v>
      </c>
      <c r="BZ473" s="5">
        <v>8</v>
      </c>
      <c r="CA473" s="5">
        <v>10</v>
      </c>
      <c r="CB473" s="5">
        <v>10</v>
      </c>
      <c r="CC473" s="2" t="e">
        <f t="shared" ca="1" si="135"/>
        <v>#NAME?</v>
      </c>
      <c r="CD473" s="55"/>
      <c r="CE473" s="2"/>
      <c r="CF473" s="2">
        <v>10</v>
      </c>
      <c r="CG473" s="2">
        <v>10</v>
      </c>
      <c r="CH473" s="2">
        <v>10</v>
      </c>
      <c r="CI473" s="2">
        <v>10</v>
      </c>
      <c r="CJ473" s="2">
        <v>10</v>
      </c>
      <c r="CK473" s="2">
        <v>10</v>
      </c>
      <c r="CL473" s="2">
        <v>10</v>
      </c>
      <c r="CM473" s="2">
        <v>10</v>
      </c>
      <c r="CN473" s="2">
        <v>10</v>
      </c>
      <c r="CO473" s="2">
        <v>10</v>
      </c>
      <c r="CP473" s="2" t="e">
        <f t="shared" ca="1" si="136"/>
        <v>#NAME?</v>
      </c>
      <c r="CQ473" s="2">
        <v>10</v>
      </c>
      <c r="CR473" s="2">
        <v>10</v>
      </c>
      <c r="CS473" s="2">
        <v>10</v>
      </c>
      <c r="CT473" s="2">
        <v>10</v>
      </c>
      <c r="CU473" s="2">
        <v>10</v>
      </c>
      <c r="CV473" s="54">
        <f t="shared" si="116"/>
        <v>10</v>
      </c>
      <c r="CW473" s="55">
        <v>15</v>
      </c>
      <c r="CX473" s="3"/>
    </row>
    <row r="474" spans="1:102" ht="16.5" x14ac:dyDescent="0.55000000000000004">
      <c r="A474" s="17">
        <v>1</v>
      </c>
      <c r="B474" s="17" t="s">
        <v>9</v>
      </c>
      <c r="C474" s="23" t="s">
        <v>989</v>
      </c>
      <c r="D474" s="24" t="s">
        <v>990</v>
      </c>
      <c r="E474" s="48">
        <v>8</v>
      </c>
      <c r="F474" s="2">
        <v>8</v>
      </c>
      <c r="G474" s="2">
        <v>10</v>
      </c>
      <c r="H474" s="2">
        <v>10</v>
      </c>
      <c r="I474" s="2">
        <v>10</v>
      </c>
      <c r="J474" s="2">
        <v>9</v>
      </c>
      <c r="K474" s="2">
        <v>9</v>
      </c>
      <c r="L474" s="2">
        <v>10</v>
      </c>
      <c r="M474" s="2">
        <v>9</v>
      </c>
      <c r="N474" s="2">
        <v>10</v>
      </c>
      <c r="O474" s="2">
        <v>10</v>
      </c>
      <c r="P474" s="2">
        <v>10</v>
      </c>
      <c r="Q474" s="2" t="e">
        <f t="shared" ca="1" si="132"/>
        <v>#NAME?</v>
      </c>
      <c r="R474" s="2">
        <v>10</v>
      </c>
      <c r="S474" s="2">
        <v>10</v>
      </c>
      <c r="T474" s="2">
        <v>10</v>
      </c>
      <c r="U474" s="2">
        <v>10</v>
      </c>
      <c r="V474" s="2">
        <v>10</v>
      </c>
      <c r="W474" s="54">
        <f t="shared" si="113"/>
        <v>10</v>
      </c>
      <c r="X474" s="48">
        <v>3</v>
      </c>
      <c r="Y474" s="2" t="s">
        <v>31</v>
      </c>
      <c r="Z474" s="2">
        <v>9</v>
      </c>
      <c r="AA474" s="2">
        <v>8</v>
      </c>
      <c r="AB474" s="2">
        <v>8</v>
      </c>
      <c r="AC474" s="2">
        <v>9</v>
      </c>
      <c r="AD474" s="2">
        <v>10</v>
      </c>
      <c r="AE474" s="2">
        <v>10</v>
      </c>
      <c r="AF474" s="2">
        <v>9</v>
      </c>
      <c r="AG474" s="2">
        <v>9</v>
      </c>
      <c r="AH474" s="2">
        <v>9</v>
      </c>
      <c r="AI474" s="2">
        <v>9</v>
      </c>
      <c r="AJ474" s="2">
        <v>8</v>
      </c>
      <c r="AK474" s="2">
        <v>8</v>
      </c>
      <c r="AL474" s="2">
        <v>8</v>
      </c>
      <c r="AM474" s="2">
        <v>8</v>
      </c>
      <c r="AN474" s="2">
        <v>8</v>
      </c>
      <c r="AO474" s="2">
        <v>8</v>
      </c>
      <c r="AP474" s="2">
        <v>8</v>
      </c>
      <c r="AQ474" s="2" t="e">
        <f t="shared" ca="1" si="133"/>
        <v>#NAME?</v>
      </c>
      <c r="AR474" s="2">
        <v>9</v>
      </c>
      <c r="AS474" s="2">
        <v>9</v>
      </c>
      <c r="AT474" s="2">
        <v>9</v>
      </c>
      <c r="AU474" s="2">
        <v>10</v>
      </c>
      <c r="AV474" s="2">
        <v>8</v>
      </c>
      <c r="AW474" s="54">
        <f t="shared" si="114"/>
        <v>9</v>
      </c>
      <c r="AX474" s="48"/>
      <c r="AY474" s="2"/>
      <c r="AZ474" s="2">
        <v>5</v>
      </c>
      <c r="BA474" s="2">
        <v>5</v>
      </c>
      <c r="BB474" s="2">
        <v>7</v>
      </c>
      <c r="BC474" s="5">
        <v>10</v>
      </c>
      <c r="BD474" s="5">
        <v>10</v>
      </c>
      <c r="BE474" s="5">
        <v>10</v>
      </c>
      <c r="BF474" s="5">
        <v>10</v>
      </c>
      <c r="BG474" s="5">
        <v>10</v>
      </c>
      <c r="BH474" s="5">
        <v>10</v>
      </c>
      <c r="BI474" s="5">
        <v>10</v>
      </c>
      <c r="BJ474" s="2" t="e">
        <f t="shared" ca="1" si="134"/>
        <v>#NAME?</v>
      </c>
      <c r="BK474" s="5">
        <v>10</v>
      </c>
      <c r="BL474" s="5">
        <v>10</v>
      </c>
      <c r="BM474" s="5">
        <v>7</v>
      </c>
      <c r="BN474" s="5">
        <v>10</v>
      </c>
      <c r="BO474" s="5">
        <v>10</v>
      </c>
      <c r="BP474" s="54">
        <f t="shared" si="115"/>
        <v>10</v>
      </c>
      <c r="BQ474" s="5"/>
      <c r="BR474" s="5"/>
      <c r="BS474" s="5">
        <v>10</v>
      </c>
      <c r="BT474" s="5">
        <v>10</v>
      </c>
      <c r="BU474" s="5">
        <v>10</v>
      </c>
      <c r="BV474" s="5">
        <v>8</v>
      </c>
      <c r="BW474" s="5">
        <v>10</v>
      </c>
      <c r="BX474" s="5">
        <v>10</v>
      </c>
      <c r="BY474" s="5">
        <v>10</v>
      </c>
      <c r="BZ474" s="5">
        <v>10</v>
      </c>
      <c r="CA474" s="5">
        <v>10</v>
      </c>
      <c r="CB474" s="5">
        <v>10</v>
      </c>
      <c r="CC474" s="2" t="e">
        <f t="shared" ca="1" si="135"/>
        <v>#NAME?</v>
      </c>
      <c r="CD474" s="55"/>
      <c r="CE474" s="2"/>
      <c r="CF474" s="2">
        <v>7</v>
      </c>
      <c r="CG474" s="2">
        <v>7</v>
      </c>
      <c r="CH474" s="2">
        <v>5</v>
      </c>
      <c r="CI474" s="2">
        <v>7</v>
      </c>
      <c r="CJ474" s="2">
        <v>7</v>
      </c>
      <c r="CK474" s="2">
        <v>9</v>
      </c>
      <c r="CL474" s="2">
        <v>10</v>
      </c>
      <c r="CM474" s="2">
        <v>10</v>
      </c>
      <c r="CN474" s="2">
        <v>10</v>
      </c>
      <c r="CO474" s="2">
        <v>10</v>
      </c>
      <c r="CP474" s="2" t="e">
        <f t="shared" ca="1" si="136"/>
        <v>#NAME?</v>
      </c>
      <c r="CQ474" s="2">
        <v>5</v>
      </c>
      <c r="CR474" s="2">
        <v>5</v>
      </c>
      <c r="CS474" s="2">
        <v>7</v>
      </c>
      <c r="CT474" s="2">
        <v>10</v>
      </c>
      <c r="CU474" s="2">
        <v>10</v>
      </c>
      <c r="CV474" s="54">
        <f t="shared" si="116"/>
        <v>8</v>
      </c>
      <c r="CW474" s="55">
        <v>5</v>
      </c>
      <c r="CX474" s="3"/>
    </row>
    <row r="475" spans="1:102" ht="16.5" x14ac:dyDescent="0.55000000000000004">
      <c r="A475" s="17">
        <v>1</v>
      </c>
      <c r="B475" s="17" t="s">
        <v>9</v>
      </c>
      <c r="C475" s="23" t="s">
        <v>991</v>
      </c>
      <c r="D475" s="24" t="s">
        <v>992</v>
      </c>
      <c r="E475" s="48">
        <v>7</v>
      </c>
      <c r="F475" s="2">
        <v>7</v>
      </c>
      <c r="G475" s="2">
        <v>10</v>
      </c>
      <c r="H475" s="2">
        <v>10</v>
      </c>
      <c r="I475" s="2">
        <v>10</v>
      </c>
      <c r="J475" s="2">
        <v>10</v>
      </c>
      <c r="K475" s="2">
        <v>9</v>
      </c>
      <c r="L475" s="2">
        <v>9</v>
      </c>
      <c r="M475" s="2">
        <v>9</v>
      </c>
      <c r="N475" s="2">
        <v>9</v>
      </c>
      <c r="O475" s="2">
        <v>9</v>
      </c>
      <c r="P475" s="2">
        <v>9</v>
      </c>
      <c r="Q475" s="2" t="e">
        <f t="shared" ca="1" si="132"/>
        <v>#NAME?</v>
      </c>
      <c r="R475" s="2">
        <v>10</v>
      </c>
      <c r="S475" s="2">
        <v>9</v>
      </c>
      <c r="T475" s="2">
        <v>9</v>
      </c>
      <c r="U475" s="2">
        <v>9</v>
      </c>
      <c r="V475" s="2">
        <v>9</v>
      </c>
      <c r="W475" s="54">
        <f t="shared" si="113"/>
        <v>10</v>
      </c>
      <c r="X475" s="48">
        <v>2</v>
      </c>
      <c r="Y475" s="2">
        <v>5</v>
      </c>
      <c r="Z475" s="2">
        <v>4</v>
      </c>
      <c r="AA475" s="2">
        <v>7</v>
      </c>
      <c r="AB475" s="2">
        <v>7</v>
      </c>
      <c r="AC475" s="2">
        <v>8</v>
      </c>
      <c r="AD475" s="2">
        <v>8</v>
      </c>
      <c r="AE475" s="2">
        <v>9</v>
      </c>
      <c r="AF475" s="2">
        <v>3</v>
      </c>
      <c r="AG475" s="2">
        <v>3</v>
      </c>
      <c r="AH475" s="2">
        <v>3</v>
      </c>
      <c r="AI475" s="2">
        <v>3</v>
      </c>
      <c r="AJ475" s="2">
        <v>3</v>
      </c>
      <c r="AK475" s="2">
        <v>3</v>
      </c>
      <c r="AL475" s="2">
        <v>3</v>
      </c>
      <c r="AM475" s="2">
        <v>3</v>
      </c>
      <c r="AN475" s="2">
        <v>3</v>
      </c>
      <c r="AO475" s="2">
        <v>3</v>
      </c>
      <c r="AP475" s="2">
        <v>3</v>
      </c>
      <c r="AQ475" s="2" t="e">
        <f t="shared" ca="1" si="133"/>
        <v>#NAME?</v>
      </c>
      <c r="AR475" s="2">
        <v>7</v>
      </c>
      <c r="AS475" s="2">
        <v>8</v>
      </c>
      <c r="AT475" s="2">
        <v>3</v>
      </c>
      <c r="AU475" s="2">
        <v>3</v>
      </c>
      <c r="AV475" s="2">
        <v>3</v>
      </c>
      <c r="AW475" s="54">
        <f t="shared" si="114"/>
        <v>5</v>
      </c>
      <c r="AX475" s="48"/>
      <c r="AY475" s="2"/>
      <c r="AZ475" s="2">
        <v>10</v>
      </c>
      <c r="BA475" s="2">
        <v>10</v>
      </c>
      <c r="BB475" s="2">
        <v>4</v>
      </c>
      <c r="BC475" s="2">
        <v>5</v>
      </c>
      <c r="BD475" s="2">
        <v>5</v>
      </c>
      <c r="BE475" s="2">
        <v>5</v>
      </c>
      <c r="BF475" s="2">
        <v>5</v>
      </c>
      <c r="BG475" s="2">
        <v>5</v>
      </c>
      <c r="BH475" s="2">
        <v>5</v>
      </c>
      <c r="BI475" s="2">
        <v>5</v>
      </c>
      <c r="BJ475" s="2" t="e">
        <f t="shared" ca="1" si="134"/>
        <v>#NAME?</v>
      </c>
      <c r="BK475" s="5">
        <v>10</v>
      </c>
      <c r="BL475" s="5">
        <v>5</v>
      </c>
      <c r="BM475" s="5">
        <v>7</v>
      </c>
      <c r="BN475" s="5">
        <v>5</v>
      </c>
      <c r="BO475" s="5">
        <v>5</v>
      </c>
      <c r="BP475" s="54">
        <f t="shared" si="115"/>
        <v>7</v>
      </c>
      <c r="BQ475" s="5"/>
      <c r="BR475" s="5"/>
      <c r="BS475" s="5">
        <v>10</v>
      </c>
      <c r="BT475" s="5">
        <v>8</v>
      </c>
      <c r="BU475" s="5">
        <v>5</v>
      </c>
      <c r="BV475" s="5">
        <v>6</v>
      </c>
      <c r="BW475" s="5">
        <v>6</v>
      </c>
      <c r="BX475" s="5">
        <v>6</v>
      </c>
      <c r="BY475" s="5">
        <v>7</v>
      </c>
      <c r="BZ475" s="5">
        <v>7</v>
      </c>
      <c r="CA475" s="5">
        <v>6</v>
      </c>
      <c r="CB475" s="5">
        <v>6</v>
      </c>
      <c r="CC475" s="2" t="e">
        <f t="shared" ca="1" si="135"/>
        <v>#NAME?</v>
      </c>
      <c r="CD475" s="55"/>
      <c r="CE475" s="2"/>
      <c r="CF475" s="2">
        <v>8</v>
      </c>
      <c r="CG475" s="2">
        <v>8</v>
      </c>
      <c r="CH475" s="2">
        <v>9</v>
      </c>
      <c r="CI475" s="2">
        <v>5</v>
      </c>
      <c r="CJ475" s="2">
        <v>5</v>
      </c>
      <c r="CK475" s="2">
        <v>5</v>
      </c>
      <c r="CL475" s="2">
        <v>7</v>
      </c>
      <c r="CM475" s="2">
        <v>8</v>
      </c>
      <c r="CN475" s="2">
        <v>10</v>
      </c>
      <c r="CO475" s="2">
        <v>10</v>
      </c>
      <c r="CP475" s="2" t="e">
        <f t="shared" ca="1" si="136"/>
        <v>#NAME?</v>
      </c>
      <c r="CQ475" s="2">
        <v>7</v>
      </c>
      <c r="CR475" s="2">
        <v>8</v>
      </c>
      <c r="CS475" s="2">
        <v>10</v>
      </c>
      <c r="CT475" s="2">
        <v>10</v>
      </c>
      <c r="CU475" s="2">
        <v>5</v>
      </c>
      <c r="CV475" s="54">
        <f t="shared" si="116"/>
        <v>8</v>
      </c>
      <c r="CW475" s="55">
        <v>12</v>
      </c>
      <c r="CX475" s="3"/>
    </row>
    <row r="476" spans="1:102" ht="16.5" x14ac:dyDescent="0.55000000000000004">
      <c r="A476" s="16">
        <v>1</v>
      </c>
      <c r="B476" s="16" t="s">
        <v>9</v>
      </c>
      <c r="C476" s="60" t="s">
        <v>993</v>
      </c>
      <c r="D476" s="18" t="s">
        <v>994</v>
      </c>
      <c r="E476" s="62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>
        <f>IFERROR(ROUNDUP(AVERAGE(G476:P476),0),0)</f>
        <v>0</v>
      </c>
      <c r="R476" s="10"/>
      <c r="S476" s="10"/>
      <c r="T476" s="10"/>
      <c r="U476" s="10"/>
      <c r="V476" s="10"/>
      <c r="W476" s="63">
        <f t="shared" si="113"/>
        <v>0</v>
      </c>
      <c r="X476" s="62" t="s">
        <v>31</v>
      </c>
      <c r="Y476" s="10">
        <v>3</v>
      </c>
      <c r="Z476" s="10">
        <v>5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>
        <f>IFERROR(ROUNDUP(AVERAGE(AA476:AP476),0),0)</f>
        <v>0</v>
      </c>
      <c r="AR476" s="10"/>
      <c r="AS476" s="10"/>
      <c r="AT476" s="10"/>
      <c r="AU476" s="10"/>
      <c r="AV476" s="10"/>
      <c r="AW476" s="63">
        <f t="shared" si="114"/>
        <v>0</v>
      </c>
      <c r="AX476" s="62"/>
      <c r="AY476" s="10"/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f>IFERROR(ROUNDUP(AVERAGE(AZ476:BI476),0),0)</f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  <c r="BP476" s="63">
        <f t="shared" si="115"/>
        <v>0</v>
      </c>
      <c r="BQ476" s="12"/>
      <c r="BR476" s="12"/>
      <c r="BS476" s="12">
        <v>0</v>
      </c>
      <c r="BT476" s="12">
        <v>0</v>
      </c>
      <c r="BU476" s="12">
        <v>0</v>
      </c>
      <c r="BV476" s="12">
        <v>0</v>
      </c>
      <c r="BW476" s="12">
        <v>0</v>
      </c>
      <c r="BX476" s="12">
        <v>0</v>
      </c>
      <c r="BY476" s="12">
        <v>0</v>
      </c>
      <c r="BZ476" s="12">
        <v>0</v>
      </c>
      <c r="CA476" s="12">
        <v>0</v>
      </c>
      <c r="CB476" s="12">
        <v>0</v>
      </c>
      <c r="CC476" s="10">
        <f>IFERROR(ROUNDUP(AVERAGE(BS476:CB476),0),0)</f>
        <v>0</v>
      </c>
      <c r="CD476" s="65"/>
      <c r="CE476" s="10"/>
      <c r="CF476" s="10">
        <v>0</v>
      </c>
      <c r="CG476" s="10">
        <v>0</v>
      </c>
      <c r="CH476" s="10">
        <v>0</v>
      </c>
      <c r="CI476" s="10">
        <v>0</v>
      </c>
      <c r="CJ476" s="10">
        <v>0</v>
      </c>
      <c r="CK476" s="10">
        <v>0</v>
      </c>
      <c r="CL476" s="10">
        <v>0</v>
      </c>
      <c r="CM476" s="10">
        <v>0</v>
      </c>
      <c r="CN476" s="10">
        <v>0</v>
      </c>
      <c r="CO476" s="10">
        <v>0</v>
      </c>
      <c r="CP476" s="10">
        <f>IFERROR(ROUNDUP(AVERAGE(CF476:CO476),0),0)</f>
        <v>0</v>
      </c>
      <c r="CQ476" s="10">
        <v>0</v>
      </c>
      <c r="CR476" s="10">
        <v>0</v>
      </c>
      <c r="CS476" s="10">
        <v>0</v>
      </c>
      <c r="CT476" s="10">
        <v>0</v>
      </c>
      <c r="CU476" s="10">
        <v>0</v>
      </c>
      <c r="CV476" s="63">
        <f t="shared" si="116"/>
        <v>0</v>
      </c>
      <c r="CW476" s="65">
        <v>3</v>
      </c>
      <c r="CX476" s="11"/>
    </row>
    <row r="477" spans="1:102" ht="16.5" x14ac:dyDescent="0.55000000000000004">
      <c r="A477" s="17">
        <v>1</v>
      </c>
      <c r="B477" s="17" t="s">
        <v>9</v>
      </c>
      <c r="C477" s="23" t="s">
        <v>995</v>
      </c>
      <c r="D477" s="24" t="s">
        <v>996</v>
      </c>
      <c r="E477" s="48">
        <v>7</v>
      </c>
      <c r="F477" s="2">
        <v>7</v>
      </c>
      <c r="G477" s="2">
        <v>8</v>
      </c>
      <c r="H477" s="2">
        <v>8</v>
      </c>
      <c r="I477" s="2">
        <v>8</v>
      </c>
      <c r="J477" s="2">
        <v>8</v>
      </c>
      <c r="K477" s="2">
        <v>8</v>
      </c>
      <c r="L477" s="2">
        <v>8</v>
      </c>
      <c r="M477" s="2">
        <v>8</v>
      </c>
      <c r="N477" s="2">
        <v>8</v>
      </c>
      <c r="O477" s="2">
        <v>8</v>
      </c>
      <c r="P477" s="2">
        <v>8</v>
      </c>
      <c r="Q477" s="2" t="e">
        <f t="shared" ref="Q477:Q625" ca="1" si="137">_xludf.let(a,IFERROR(AVERAGE(G477:P477),0),ROUND(MAP(a, LAMBDA(x, 5 + (x * 0.5))),0))</f>
        <v>#NAME?</v>
      </c>
      <c r="R477" s="2">
        <v>8</v>
      </c>
      <c r="S477" s="2">
        <v>8</v>
      </c>
      <c r="T477" s="2">
        <v>8</v>
      </c>
      <c r="U477" s="2">
        <v>8</v>
      </c>
      <c r="V477" s="2">
        <v>8</v>
      </c>
      <c r="W477" s="54">
        <f t="shared" si="113"/>
        <v>8</v>
      </c>
      <c r="X477" s="48">
        <v>2</v>
      </c>
      <c r="Y477" s="2">
        <v>6</v>
      </c>
      <c r="Z477" s="2">
        <v>9</v>
      </c>
      <c r="AA477" s="2">
        <v>3</v>
      </c>
      <c r="AB477" s="2">
        <v>3</v>
      </c>
      <c r="AC477" s="2">
        <v>3</v>
      </c>
      <c r="AD477" s="2">
        <v>3</v>
      </c>
      <c r="AE477" s="2">
        <v>3</v>
      </c>
      <c r="AF477" s="2">
        <v>3</v>
      </c>
      <c r="AG477" s="2">
        <v>3</v>
      </c>
      <c r="AH477" s="2">
        <v>3</v>
      </c>
      <c r="AI477" s="2">
        <v>3</v>
      </c>
      <c r="AJ477" s="2">
        <v>3</v>
      </c>
      <c r="AK477" s="2">
        <v>3</v>
      </c>
      <c r="AL477" s="2">
        <v>3</v>
      </c>
      <c r="AM477" s="2">
        <v>3</v>
      </c>
      <c r="AN477" s="2">
        <v>3</v>
      </c>
      <c r="AO477" s="2">
        <v>3</v>
      </c>
      <c r="AP477" s="2">
        <v>3</v>
      </c>
      <c r="AQ477" s="2" t="e">
        <f t="shared" ref="AQ477:AQ625" ca="1" si="138">_xludf.let(a,IFERROR(AVERAGE(AA477:AP477),0),ROUND(MAP(a, LAMBDA(x, 5 + (x * 0.5))),0))</f>
        <v>#NAME?</v>
      </c>
      <c r="AR477" s="2"/>
      <c r="AS477" s="2"/>
      <c r="AT477" s="2"/>
      <c r="AU477" s="2"/>
      <c r="AV477" s="2"/>
      <c r="AW477" s="54">
        <f t="shared" si="114"/>
        <v>0</v>
      </c>
      <c r="AX477" s="48"/>
      <c r="AY477" s="2"/>
      <c r="AZ477" s="2">
        <v>10</v>
      </c>
      <c r="BA477" s="2">
        <v>10</v>
      </c>
      <c r="BB477" s="2">
        <v>5</v>
      </c>
      <c r="BC477" s="2">
        <v>5</v>
      </c>
      <c r="BD477" s="2">
        <v>5</v>
      </c>
      <c r="BE477" s="2">
        <v>5</v>
      </c>
      <c r="BF477" s="2">
        <v>5</v>
      </c>
      <c r="BG477" s="2">
        <v>5</v>
      </c>
      <c r="BH477" s="2">
        <v>5</v>
      </c>
      <c r="BI477" s="2">
        <v>5</v>
      </c>
      <c r="BJ477" s="2" t="e">
        <f t="shared" ref="BJ477:BJ625" ca="1" si="139">_xludf.let(a,IFERROR(AVERAGE(AZ477:BI477),0),ROUND(MAP(a, LAMBDA(x, 5 + (x * 0.5))),0))</f>
        <v>#NAME?</v>
      </c>
      <c r="BK477" s="2">
        <v>3</v>
      </c>
      <c r="BL477" s="2">
        <v>3</v>
      </c>
      <c r="BM477" s="2">
        <v>3</v>
      </c>
      <c r="BN477" s="2">
        <v>3</v>
      </c>
      <c r="BO477" s="2">
        <v>3</v>
      </c>
      <c r="BP477" s="54">
        <f t="shared" si="115"/>
        <v>3</v>
      </c>
      <c r="BQ477" s="5"/>
      <c r="BR477" s="5"/>
      <c r="BS477" s="5">
        <v>6</v>
      </c>
      <c r="BT477" s="5">
        <v>6</v>
      </c>
      <c r="BU477" s="5">
        <v>6</v>
      </c>
      <c r="BV477" s="5">
        <v>6</v>
      </c>
      <c r="BW477" s="5">
        <v>6</v>
      </c>
      <c r="BX477" s="5">
        <v>6</v>
      </c>
      <c r="BY477" s="5">
        <v>7</v>
      </c>
      <c r="BZ477" s="5">
        <v>7</v>
      </c>
      <c r="CA477" s="5">
        <v>7</v>
      </c>
      <c r="CB477" s="5">
        <v>7</v>
      </c>
      <c r="CC477" s="2" t="e">
        <f t="shared" ref="CC477:CC625" ca="1" si="140">_xludf.let(a,IFERROR(AVERAGE(BS477:CB477),0),ROUND(MAP(a, LAMBDA(x, 5 + (x * 0.5))),0))</f>
        <v>#NAME?</v>
      </c>
      <c r="CD477" s="55"/>
      <c r="CE477" s="2"/>
      <c r="CF477" s="2">
        <v>9</v>
      </c>
      <c r="CG477" s="2">
        <v>9</v>
      </c>
      <c r="CH477" s="2">
        <v>9</v>
      </c>
      <c r="CI477" s="2">
        <v>8</v>
      </c>
      <c r="CJ477" s="2">
        <v>8</v>
      </c>
      <c r="CK477" s="2">
        <v>8</v>
      </c>
      <c r="CL477" s="2">
        <v>8</v>
      </c>
      <c r="CM477" s="2">
        <v>8</v>
      </c>
      <c r="CN477" s="2">
        <v>8</v>
      </c>
      <c r="CO477" s="2">
        <v>8</v>
      </c>
      <c r="CP477" s="2" t="e">
        <f t="shared" ref="CP477:CP625" ca="1" si="141">_xludf.let(a,IFERROR(AVERAGE(CF477:CO477),0),ROUND(MAP(a, LAMBDA(x, 5 + (x * 0.5))),0))</f>
        <v>#NAME?</v>
      </c>
      <c r="CQ477" s="2">
        <v>9</v>
      </c>
      <c r="CR477" s="2">
        <v>8</v>
      </c>
      <c r="CS477" s="2">
        <v>8</v>
      </c>
      <c r="CT477" s="2">
        <v>9</v>
      </c>
      <c r="CU477" s="2">
        <v>9</v>
      </c>
      <c r="CV477" s="54">
        <f t="shared" si="116"/>
        <v>9</v>
      </c>
      <c r="CW477" s="55">
        <v>4</v>
      </c>
      <c r="CX477" s="3"/>
    </row>
    <row r="478" spans="1:102" ht="16.5" x14ac:dyDescent="0.55000000000000004">
      <c r="A478" s="17">
        <v>1</v>
      </c>
      <c r="B478" s="17" t="s">
        <v>9</v>
      </c>
      <c r="C478" s="23" t="s">
        <v>997</v>
      </c>
      <c r="D478" s="24" t="s">
        <v>998</v>
      </c>
      <c r="E478" s="48">
        <v>9</v>
      </c>
      <c r="F478" s="2">
        <v>9</v>
      </c>
      <c r="G478" s="2">
        <v>10</v>
      </c>
      <c r="H478" s="2">
        <v>10</v>
      </c>
      <c r="I478" s="2">
        <v>10</v>
      </c>
      <c r="J478" s="2">
        <v>10</v>
      </c>
      <c r="K478" s="2">
        <v>10</v>
      </c>
      <c r="L478" s="2">
        <v>10</v>
      </c>
      <c r="M478" s="2">
        <v>9</v>
      </c>
      <c r="N478" s="2">
        <v>10</v>
      </c>
      <c r="O478" s="2">
        <v>10</v>
      </c>
      <c r="P478" s="2">
        <v>10</v>
      </c>
      <c r="Q478" s="2" t="e">
        <f t="shared" ca="1" si="137"/>
        <v>#NAME?</v>
      </c>
      <c r="R478" s="2">
        <v>10</v>
      </c>
      <c r="S478" s="2">
        <v>10</v>
      </c>
      <c r="T478" s="2">
        <v>10</v>
      </c>
      <c r="U478" s="2">
        <v>10</v>
      </c>
      <c r="V478" s="2">
        <v>10</v>
      </c>
      <c r="W478" s="54">
        <f t="shared" si="113"/>
        <v>10</v>
      </c>
      <c r="X478" s="48" t="s">
        <v>31</v>
      </c>
      <c r="Y478" s="2">
        <v>6</v>
      </c>
      <c r="Z478" s="2">
        <v>13</v>
      </c>
      <c r="AA478" s="2">
        <v>10</v>
      </c>
      <c r="AB478" s="2">
        <v>10</v>
      </c>
      <c r="AC478" s="2">
        <v>9</v>
      </c>
      <c r="AD478" s="2">
        <v>10</v>
      </c>
      <c r="AE478" s="2">
        <v>10</v>
      </c>
      <c r="AF478" s="2">
        <v>8</v>
      </c>
      <c r="AG478" s="2">
        <v>9</v>
      </c>
      <c r="AH478" s="2">
        <v>9</v>
      </c>
      <c r="AI478" s="2">
        <v>8</v>
      </c>
      <c r="AJ478" s="2">
        <v>8</v>
      </c>
      <c r="AK478" s="2">
        <v>8</v>
      </c>
      <c r="AL478" s="2">
        <v>8</v>
      </c>
      <c r="AM478" s="2">
        <v>8</v>
      </c>
      <c r="AN478" s="2">
        <v>8</v>
      </c>
      <c r="AO478" s="2">
        <v>8</v>
      </c>
      <c r="AP478" s="2">
        <v>8</v>
      </c>
      <c r="AQ478" s="2" t="e">
        <f t="shared" ca="1" si="138"/>
        <v>#NAME?</v>
      </c>
      <c r="AR478" s="2">
        <v>10</v>
      </c>
      <c r="AS478" s="2">
        <v>10</v>
      </c>
      <c r="AT478" s="2">
        <v>9</v>
      </c>
      <c r="AU478" s="2">
        <v>7</v>
      </c>
      <c r="AV478" s="2">
        <v>10</v>
      </c>
      <c r="AW478" s="54">
        <f t="shared" si="114"/>
        <v>10</v>
      </c>
      <c r="AX478" s="48"/>
      <c r="AY478" s="2"/>
      <c r="AZ478" s="2">
        <v>10</v>
      </c>
      <c r="BA478" s="55">
        <v>10</v>
      </c>
      <c r="BB478" s="55">
        <v>10</v>
      </c>
      <c r="BC478" s="2">
        <v>10</v>
      </c>
      <c r="BD478" s="5">
        <v>10</v>
      </c>
      <c r="BE478" s="5">
        <v>10</v>
      </c>
      <c r="BF478" s="5">
        <v>10</v>
      </c>
      <c r="BG478" s="5">
        <v>10</v>
      </c>
      <c r="BH478" s="5">
        <v>10</v>
      </c>
      <c r="BI478" s="5">
        <v>10</v>
      </c>
      <c r="BJ478" s="2" t="e">
        <f t="shared" ca="1" si="139"/>
        <v>#NAME?</v>
      </c>
      <c r="BK478" s="5">
        <v>10</v>
      </c>
      <c r="BL478" s="5">
        <v>10</v>
      </c>
      <c r="BM478" s="5">
        <v>7</v>
      </c>
      <c r="BN478" s="5">
        <v>10</v>
      </c>
      <c r="BO478" s="5">
        <v>10</v>
      </c>
      <c r="BP478" s="54">
        <f t="shared" si="115"/>
        <v>10</v>
      </c>
      <c r="BQ478" s="5"/>
      <c r="BR478" s="5"/>
      <c r="BS478" s="5">
        <v>10</v>
      </c>
      <c r="BT478" s="5">
        <v>10</v>
      </c>
      <c r="BU478" s="5">
        <v>10</v>
      </c>
      <c r="BV478" s="5">
        <v>10</v>
      </c>
      <c r="BW478" s="5">
        <v>8</v>
      </c>
      <c r="BX478" s="5">
        <v>10</v>
      </c>
      <c r="BY478" s="5">
        <v>10</v>
      </c>
      <c r="BZ478" s="5">
        <v>10</v>
      </c>
      <c r="CA478" s="5">
        <v>10</v>
      </c>
      <c r="CB478" s="5">
        <v>8</v>
      </c>
      <c r="CC478" s="2" t="e">
        <f t="shared" ca="1" si="140"/>
        <v>#NAME?</v>
      </c>
      <c r="CD478" s="55"/>
      <c r="CE478" s="2"/>
      <c r="CF478" s="2">
        <v>10</v>
      </c>
      <c r="CG478" s="2">
        <v>10</v>
      </c>
      <c r="CH478" s="2">
        <v>10</v>
      </c>
      <c r="CI478" s="2">
        <v>10</v>
      </c>
      <c r="CJ478" s="2">
        <v>10</v>
      </c>
      <c r="CK478" s="2">
        <v>10</v>
      </c>
      <c r="CL478" s="2">
        <v>10</v>
      </c>
      <c r="CM478" s="2">
        <v>10</v>
      </c>
      <c r="CN478" s="2">
        <v>10</v>
      </c>
      <c r="CO478" s="2">
        <v>10</v>
      </c>
      <c r="CP478" s="2" t="e">
        <f t="shared" ca="1" si="141"/>
        <v>#NAME?</v>
      </c>
      <c r="CQ478" s="2">
        <v>10</v>
      </c>
      <c r="CR478" s="2">
        <v>10</v>
      </c>
      <c r="CS478" s="2">
        <v>10</v>
      </c>
      <c r="CT478" s="2">
        <v>10</v>
      </c>
      <c r="CU478" s="2">
        <v>10</v>
      </c>
      <c r="CV478" s="54">
        <f t="shared" si="116"/>
        <v>10</v>
      </c>
      <c r="CW478" s="55">
        <v>19</v>
      </c>
      <c r="CX478" s="3"/>
    </row>
    <row r="479" spans="1:102" ht="16.5" x14ac:dyDescent="0.55000000000000004">
      <c r="A479" s="17">
        <v>1</v>
      </c>
      <c r="B479" s="17" t="s">
        <v>9</v>
      </c>
      <c r="C479" s="23" t="s">
        <v>999</v>
      </c>
      <c r="D479" s="24" t="s">
        <v>1000</v>
      </c>
      <c r="E479" s="48">
        <v>9</v>
      </c>
      <c r="F479" s="2">
        <v>8</v>
      </c>
      <c r="G479" s="2">
        <v>10</v>
      </c>
      <c r="H479" s="2">
        <v>10</v>
      </c>
      <c r="I479" s="2">
        <v>9</v>
      </c>
      <c r="J479" s="2">
        <v>9</v>
      </c>
      <c r="K479" s="2">
        <v>9</v>
      </c>
      <c r="L479" s="2">
        <v>9</v>
      </c>
      <c r="M479" s="2">
        <v>10</v>
      </c>
      <c r="N479" s="2">
        <v>10</v>
      </c>
      <c r="O479" s="2">
        <v>10</v>
      </c>
      <c r="P479" s="2">
        <v>9</v>
      </c>
      <c r="Q479" s="2" t="e">
        <f t="shared" ca="1" si="137"/>
        <v>#NAME?</v>
      </c>
      <c r="R479" s="2">
        <v>10</v>
      </c>
      <c r="S479" s="2">
        <v>10</v>
      </c>
      <c r="T479" s="2">
        <v>9</v>
      </c>
      <c r="U479" s="2">
        <v>9</v>
      </c>
      <c r="V479" s="2">
        <v>9</v>
      </c>
      <c r="W479" s="54">
        <f t="shared" si="113"/>
        <v>10</v>
      </c>
      <c r="X479" s="48">
        <v>4</v>
      </c>
      <c r="Y479" s="2">
        <v>5</v>
      </c>
      <c r="Z479" s="2">
        <v>5</v>
      </c>
      <c r="AA479" s="2">
        <v>4</v>
      </c>
      <c r="AB479" s="2">
        <v>4</v>
      </c>
      <c r="AC479" s="2">
        <v>4</v>
      </c>
      <c r="AD479" s="2">
        <v>4</v>
      </c>
      <c r="AE479" s="2">
        <v>4</v>
      </c>
      <c r="AF479" s="2">
        <v>4</v>
      </c>
      <c r="AG479" s="2">
        <v>4</v>
      </c>
      <c r="AH479" s="2">
        <v>4</v>
      </c>
      <c r="AI479" s="2">
        <v>4</v>
      </c>
      <c r="AJ479" s="2">
        <v>4</v>
      </c>
      <c r="AK479" s="2">
        <v>4</v>
      </c>
      <c r="AL479" s="2">
        <v>4</v>
      </c>
      <c r="AM479" s="2">
        <v>4</v>
      </c>
      <c r="AN479" s="2">
        <v>4</v>
      </c>
      <c r="AO479" s="2">
        <v>4</v>
      </c>
      <c r="AP479" s="2">
        <v>4</v>
      </c>
      <c r="AQ479" s="2" t="e">
        <f t="shared" ca="1" si="138"/>
        <v>#NAME?</v>
      </c>
      <c r="AR479" s="2">
        <v>4</v>
      </c>
      <c r="AS479" s="2">
        <v>4</v>
      </c>
      <c r="AT479" s="2">
        <v>4</v>
      </c>
      <c r="AU479" s="2">
        <v>4</v>
      </c>
      <c r="AV479" s="2">
        <v>4</v>
      </c>
      <c r="AW479" s="54">
        <f t="shared" si="114"/>
        <v>4</v>
      </c>
      <c r="AX479" s="48"/>
      <c r="AY479" s="2"/>
      <c r="AZ479" s="2">
        <v>1</v>
      </c>
      <c r="BA479" s="2">
        <v>2</v>
      </c>
      <c r="BB479" s="2">
        <v>3</v>
      </c>
      <c r="BC479" s="2">
        <v>4</v>
      </c>
      <c r="BD479" s="2">
        <v>5</v>
      </c>
      <c r="BE479" s="2">
        <v>6</v>
      </c>
      <c r="BF479" s="2">
        <v>7</v>
      </c>
      <c r="BG479" s="2">
        <v>8</v>
      </c>
      <c r="BH479" s="2">
        <v>9</v>
      </c>
      <c r="BI479" s="2">
        <v>8</v>
      </c>
      <c r="BJ479" s="2" t="e">
        <f t="shared" ca="1" si="139"/>
        <v>#NAME?</v>
      </c>
      <c r="BK479" s="2">
        <v>2</v>
      </c>
      <c r="BL479" s="2">
        <v>3</v>
      </c>
      <c r="BM479" s="2">
        <v>4</v>
      </c>
      <c r="BN479" s="2">
        <v>5</v>
      </c>
      <c r="BO479" s="2">
        <v>5</v>
      </c>
      <c r="BP479" s="54">
        <f t="shared" si="115"/>
        <v>4</v>
      </c>
      <c r="BQ479" s="5"/>
      <c r="BR479" s="5"/>
      <c r="BS479" s="5">
        <v>7</v>
      </c>
      <c r="BT479" s="5">
        <v>7</v>
      </c>
      <c r="BU479" s="5">
        <v>5</v>
      </c>
      <c r="BV479" s="5">
        <v>5</v>
      </c>
      <c r="BW479" s="5">
        <v>9</v>
      </c>
      <c r="BX479" s="5">
        <v>10</v>
      </c>
      <c r="BY479" s="5">
        <v>6</v>
      </c>
      <c r="BZ479" s="5">
        <v>6</v>
      </c>
      <c r="CA479" s="5">
        <v>6</v>
      </c>
      <c r="CB479" s="5">
        <v>10</v>
      </c>
      <c r="CC479" s="2" t="e">
        <f t="shared" ca="1" si="140"/>
        <v>#NAME?</v>
      </c>
      <c r="CD479" s="55"/>
      <c r="CE479" s="2"/>
      <c r="CF479" s="2">
        <v>10</v>
      </c>
      <c r="CG479" s="2">
        <v>10</v>
      </c>
      <c r="CH479" s="2">
        <v>10</v>
      </c>
      <c r="CI479" s="2">
        <v>10</v>
      </c>
      <c r="CJ479" s="2">
        <v>10</v>
      </c>
      <c r="CK479" s="2">
        <v>10</v>
      </c>
      <c r="CL479" s="2">
        <v>10</v>
      </c>
      <c r="CM479" s="2">
        <v>10</v>
      </c>
      <c r="CN479" s="2">
        <v>10</v>
      </c>
      <c r="CO479" s="2">
        <v>10</v>
      </c>
      <c r="CP479" s="2" t="e">
        <f t="shared" ca="1" si="141"/>
        <v>#NAME?</v>
      </c>
      <c r="CQ479" s="2">
        <v>10</v>
      </c>
      <c r="CR479" s="2">
        <v>10</v>
      </c>
      <c r="CS479" s="2">
        <v>10</v>
      </c>
      <c r="CT479" s="2">
        <v>10</v>
      </c>
      <c r="CU479" s="2">
        <v>10</v>
      </c>
      <c r="CV479" s="54">
        <f t="shared" si="116"/>
        <v>10</v>
      </c>
      <c r="CW479" s="55">
        <v>9</v>
      </c>
      <c r="CX479" s="3"/>
    </row>
    <row r="480" spans="1:102" ht="16.5" x14ac:dyDescent="0.55000000000000004">
      <c r="A480" s="17">
        <v>1</v>
      </c>
      <c r="B480" s="17" t="s">
        <v>9</v>
      </c>
      <c r="C480" s="23" t="s">
        <v>1001</v>
      </c>
      <c r="D480" s="24" t="s">
        <v>1002</v>
      </c>
      <c r="E480" s="48">
        <v>7</v>
      </c>
      <c r="F480" s="2">
        <v>7</v>
      </c>
      <c r="G480" s="2">
        <v>8</v>
      </c>
      <c r="H480" s="2">
        <v>8</v>
      </c>
      <c r="I480" s="2">
        <v>7</v>
      </c>
      <c r="J480" s="2">
        <v>7</v>
      </c>
      <c r="K480" s="2">
        <v>7</v>
      </c>
      <c r="L480" s="2">
        <v>7</v>
      </c>
      <c r="M480" s="2">
        <v>8</v>
      </c>
      <c r="N480" s="2">
        <v>8</v>
      </c>
      <c r="O480" s="2">
        <v>8</v>
      </c>
      <c r="P480" s="2">
        <v>7</v>
      </c>
      <c r="Q480" s="2" t="e">
        <f t="shared" ca="1" si="137"/>
        <v>#NAME?</v>
      </c>
      <c r="R480" s="2">
        <v>10</v>
      </c>
      <c r="S480" s="2">
        <v>8</v>
      </c>
      <c r="T480" s="2">
        <v>8</v>
      </c>
      <c r="U480" s="2">
        <v>8</v>
      </c>
      <c r="V480" s="2">
        <v>8</v>
      </c>
      <c r="W480" s="54">
        <f t="shared" si="113"/>
        <v>9</v>
      </c>
      <c r="X480" s="48" t="s">
        <v>31</v>
      </c>
      <c r="Y480" s="2">
        <v>4</v>
      </c>
      <c r="Z480" s="2" t="s">
        <v>31</v>
      </c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 t="e">
        <f t="shared" ca="1" si="138"/>
        <v>#NAME?</v>
      </c>
      <c r="AR480" s="2"/>
      <c r="AS480" s="2"/>
      <c r="AT480" s="2"/>
      <c r="AU480" s="2"/>
      <c r="AV480" s="2"/>
      <c r="AW480" s="54">
        <f t="shared" si="114"/>
        <v>0</v>
      </c>
      <c r="AX480" s="48"/>
      <c r="AY480" s="2"/>
      <c r="AZ480" s="2">
        <v>10</v>
      </c>
      <c r="BA480" s="2">
        <v>10</v>
      </c>
      <c r="BB480" s="2">
        <v>5</v>
      </c>
      <c r="BC480" s="2">
        <v>5</v>
      </c>
      <c r="BD480" s="2">
        <v>5</v>
      </c>
      <c r="BE480" s="2">
        <v>5</v>
      </c>
      <c r="BF480" s="2">
        <v>5</v>
      </c>
      <c r="BG480" s="2">
        <v>5</v>
      </c>
      <c r="BH480" s="2">
        <v>5</v>
      </c>
      <c r="BI480" s="2">
        <v>5</v>
      </c>
      <c r="BJ480" s="2" t="e">
        <f t="shared" ca="1" si="139"/>
        <v>#NAME?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54">
        <f t="shared" si="115"/>
        <v>0</v>
      </c>
      <c r="BQ480" s="5"/>
      <c r="BR480" s="5"/>
      <c r="BS480" s="5">
        <v>5</v>
      </c>
      <c r="BT480" s="5">
        <v>8</v>
      </c>
      <c r="BU480" s="5">
        <v>5</v>
      </c>
      <c r="BV480" s="5">
        <v>8</v>
      </c>
      <c r="BW480" s="5">
        <v>7</v>
      </c>
      <c r="BX480" s="5">
        <v>8</v>
      </c>
      <c r="BY480" s="5">
        <v>8</v>
      </c>
      <c r="BZ480" s="5">
        <v>7</v>
      </c>
      <c r="CA480" s="5">
        <v>8</v>
      </c>
      <c r="CB480" s="5">
        <v>9</v>
      </c>
      <c r="CC480" s="2" t="e">
        <f t="shared" ca="1" si="140"/>
        <v>#NAME?</v>
      </c>
      <c r="CD480" s="55"/>
      <c r="CE480" s="2"/>
      <c r="CF480" s="2">
        <v>5</v>
      </c>
      <c r="CG480" s="2">
        <v>5</v>
      </c>
      <c r="CH480" s="2">
        <v>5</v>
      </c>
      <c r="CI480" s="2">
        <v>5</v>
      </c>
      <c r="CJ480" s="2">
        <v>7</v>
      </c>
      <c r="CK480" s="2">
        <v>8</v>
      </c>
      <c r="CL480" s="2">
        <v>9</v>
      </c>
      <c r="CM480" s="2">
        <v>8</v>
      </c>
      <c r="CN480" s="2">
        <v>10</v>
      </c>
      <c r="CO480" s="2">
        <v>10</v>
      </c>
      <c r="CP480" s="2" t="e">
        <f t="shared" ca="1" si="141"/>
        <v>#NAME?</v>
      </c>
      <c r="CQ480" s="2">
        <v>8</v>
      </c>
      <c r="CR480" s="2">
        <v>7</v>
      </c>
      <c r="CS480" s="2">
        <v>7</v>
      </c>
      <c r="CT480" s="2">
        <v>9</v>
      </c>
      <c r="CU480" s="2">
        <v>10</v>
      </c>
      <c r="CV480" s="54">
        <f t="shared" si="116"/>
        <v>9</v>
      </c>
      <c r="CW480" s="55" t="s">
        <v>31</v>
      </c>
      <c r="CX480" s="3"/>
    </row>
    <row r="481" spans="1:102" ht="16.5" x14ac:dyDescent="0.55000000000000004">
      <c r="A481" s="17">
        <v>1</v>
      </c>
      <c r="B481" s="17" t="s">
        <v>9</v>
      </c>
      <c r="C481" s="23" t="s">
        <v>1003</v>
      </c>
      <c r="D481" s="24" t="s">
        <v>1004</v>
      </c>
      <c r="E481" s="48">
        <v>8</v>
      </c>
      <c r="F481" s="2">
        <v>8</v>
      </c>
      <c r="G481" s="2">
        <v>10</v>
      </c>
      <c r="H481" s="2">
        <v>10</v>
      </c>
      <c r="I481" s="2">
        <v>10</v>
      </c>
      <c r="J481" s="2">
        <v>9</v>
      </c>
      <c r="K481" s="2">
        <v>9</v>
      </c>
      <c r="L481" s="2">
        <v>9</v>
      </c>
      <c r="M481" s="2">
        <v>9</v>
      </c>
      <c r="N481" s="2">
        <v>9</v>
      </c>
      <c r="O481" s="2">
        <v>10</v>
      </c>
      <c r="P481" s="2">
        <v>10</v>
      </c>
      <c r="Q481" s="2" t="e">
        <f t="shared" ca="1" si="137"/>
        <v>#NAME?</v>
      </c>
      <c r="R481" s="2">
        <v>10</v>
      </c>
      <c r="S481" s="2">
        <v>9</v>
      </c>
      <c r="T481" s="2">
        <v>9</v>
      </c>
      <c r="U481" s="2">
        <v>9</v>
      </c>
      <c r="V481" s="2">
        <v>10</v>
      </c>
      <c r="W481" s="54">
        <f t="shared" si="113"/>
        <v>10</v>
      </c>
      <c r="X481" s="48">
        <v>4</v>
      </c>
      <c r="Y481" s="2">
        <v>6</v>
      </c>
      <c r="Z481" s="2" t="s">
        <v>31</v>
      </c>
      <c r="AA481" s="2">
        <v>4</v>
      </c>
      <c r="AB481" s="2">
        <v>4</v>
      </c>
      <c r="AC481" s="2">
        <v>4</v>
      </c>
      <c r="AD481" s="2">
        <v>4</v>
      </c>
      <c r="AE481" s="2">
        <v>4</v>
      </c>
      <c r="AF481" s="2">
        <v>4</v>
      </c>
      <c r="AG481" s="2">
        <v>4</v>
      </c>
      <c r="AH481" s="2">
        <v>4</v>
      </c>
      <c r="AI481" s="2">
        <v>4</v>
      </c>
      <c r="AJ481" s="2">
        <v>4</v>
      </c>
      <c r="AK481" s="2">
        <v>4</v>
      </c>
      <c r="AL481" s="2">
        <v>4</v>
      </c>
      <c r="AM481" s="2">
        <v>4</v>
      </c>
      <c r="AN481" s="2">
        <v>4</v>
      </c>
      <c r="AO481" s="2">
        <v>4</v>
      </c>
      <c r="AP481" s="2">
        <v>4</v>
      </c>
      <c r="AQ481" s="2" t="e">
        <f t="shared" ca="1" si="138"/>
        <v>#NAME?</v>
      </c>
      <c r="AR481" s="2">
        <v>4</v>
      </c>
      <c r="AS481" s="2">
        <v>4</v>
      </c>
      <c r="AT481" s="2">
        <v>4</v>
      </c>
      <c r="AU481" s="2">
        <v>4</v>
      </c>
      <c r="AV481" s="2">
        <v>4</v>
      </c>
      <c r="AW481" s="54">
        <f t="shared" si="114"/>
        <v>4</v>
      </c>
      <c r="AX481" s="48"/>
      <c r="AY481" s="2"/>
      <c r="AZ481" s="91">
        <v>4</v>
      </c>
      <c r="BA481" s="92">
        <v>4</v>
      </c>
      <c r="BB481" s="92">
        <v>5</v>
      </c>
      <c r="BC481" s="2">
        <v>3</v>
      </c>
      <c r="BD481" s="2">
        <v>4</v>
      </c>
      <c r="BE481" s="2">
        <v>5</v>
      </c>
      <c r="BF481" s="2">
        <v>6</v>
      </c>
      <c r="BG481" s="2">
        <v>7</v>
      </c>
      <c r="BH481" s="2">
        <v>8</v>
      </c>
      <c r="BI481" s="2">
        <v>7</v>
      </c>
      <c r="BJ481" s="2" t="e">
        <f t="shared" ca="1" si="139"/>
        <v>#NAME?</v>
      </c>
      <c r="BK481" s="5">
        <v>2</v>
      </c>
      <c r="BL481" s="5">
        <v>4</v>
      </c>
      <c r="BM481" s="5">
        <v>3</v>
      </c>
      <c r="BN481" s="5">
        <v>4</v>
      </c>
      <c r="BO481" s="5">
        <v>5</v>
      </c>
      <c r="BP481" s="54">
        <f t="shared" si="115"/>
        <v>4</v>
      </c>
      <c r="BQ481" s="5"/>
      <c r="BR481" s="5"/>
      <c r="BS481" s="5">
        <v>10</v>
      </c>
      <c r="BT481" s="5">
        <v>10</v>
      </c>
      <c r="BU481" s="5">
        <v>10</v>
      </c>
      <c r="BV481" s="5">
        <v>7</v>
      </c>
      <c r="BW481" s="5">
        <v>8</v>
      </c>
      <c r="BX481" s="5">
        <v>8</v>
      </c>
      <c r="BY481" s="5">
        <v>6</v>
      </c>
      <c r="BZ481" s="5">
        <v>6</v>
      </c>
      <c r="CA481" s="5">
        <v>6</v>
      </c>
      <c r="CB481" s="5">
        <v>5</v>
      </c>
      <c r="CC481" s="2" t="e">
        <f t="shared" ca="1" si="140"/>
        <v>#NAME?</v>
      </c>
      <c r="CD481" s="55"/>
      <c r="CE481" s="2"/>
      <c r="CF481" s="2">
        <v>10</v>
      </c>
      <c r="CG481" s="2">
        <v>10</v>
      </c>
      <c r="CH481" s="2">
        <v>10</v>
      </c>
      <c r="CI481" s="2">
        <v>10</v>
      </c>
      <c r="CJ481" s="2">
        <v>7</v>
      </c>
      <c r="CK481" s="2">
        <v>8</v>
      </c>
      <c r="CL481" s="2">
        <v>8</v>
      </c>
      <c r="CM481" s="2">
        <v>8</v>
      </c>
      <c r="CN481" s="2">
        <v>9</v>
      </c>
      <c r="CO481" s="2">
        <v>10</v>
      </c>
      <c r="CP481" s="2" t="e">
        <f t="shared" ca="1" si="141"/>
        <v>#NAME?</v>
      </c>
      <c r="CQ481" s="2">
        <v>10</v>
      </c>
      <c r="CR481" s="2">
        <v>10</v>
      </c>
      <c r="CS481" s="2">
        <v>10</v>
      </c>
      <c r="CT481" s="2">
        <v>10</v>
      </c>
      <c r="CU481" s="2">
        <v>10</v>
      </c>
      <c r="CV481" s="54">
        <f t="shared" si="116"/>
        <v>10</v>
      </c>
      <c r="CW481" s="55" t="s">
        <v>31</v>
      </c>
      <c r="CX481" s="3"/>
    </row>
    <row r="482" spans="1:102" ht="16.5" x14ac:dyDescent="0.55000000000000004">
      <c r="A482" s="17">
        <v>1</v>
      </c>
      <c r="B482" s="17" t="s">
        <v>9</v>
      </c>
      <c r="C482" s="23" t="s">
        <v>1005</v>
      </c>
      <c r="D482" s="24" t="s">
        <v>1006</v>
      </c>
      <c r="E482" s="48">
        <v>9</v>
      </c>
      <c r="F482" s="2">
        <v>9</v>
      </c>
      <c r="G482" s="2">
        <v>10</v>
      </c>
      <c r="H482" s="2">
        <v>10</v>
      </c>
      <c r="I482" s="2">
        <v>10</v>
      </c>
      <c r="J482" s="2">
        <v>10</v>
      </c>
      <c r="K482" s="2">
        <v>10</v>
      </c>
      <c r="L482" s="2">
        <v>10</v>
      </c>
      <c r="M482" s="2">
        <v>9</v>
      </c>
      <c r="N482" s="2">
        <v>10</v>
      </c>
      <c r="O482" s="2">
        <v>10</v>
      </c>
      <c r="P482" s="2">
        <v>10</v>
      </c>
      <c r="Q482" s="2" t="e">
        <f t="shared" ca="1" si="137"/>
        <v>#NAME?</v>
      </c>
      <c r="R482" s="2">
        <v>10</v>
      </c>
      <c r="S482" s="2">
        <v>10</v>
      </c>
      <c r="T482" s="2">
        <v>10</v>
      </c>
      <c r="U482" s="2">
        <v>10</v>
      </c>
      <c r="V482" s="2">
        <v>10</v>
      </c>
      <c r="W482" s="54">
        <f t="shared" si="113"/>
        <v>10</v>
      </c>
      <c r="X482" s="48" t="s">
        <v>31</v>
      </c>
      <c r="Y482" s="2">
        <v>10</v>
      </c>
      <c r="Z482" s="2">
        <v>6</v>
      </c>
      <c r="AA482" s="2">
        <v>10</v>
      </c>
      <c r="AB482" s="2">
        <v>10</v>
      </c>
      <c r="AC482" s="2">
        <v>10</v>
      </c>
      <c r="AD482" s="2">
        <v>8</v>
      </c>
      <c r="AE482" s="2">
        <v>9</v>
      </c>
      <c r="AF482" s="2">
        <v>9</v>
      </c>
      <c r="AG482" s="2">
        <v>5</v>
      </c>
      <c r="AH482" s="2">
        <v>5</v>
      </c>
      <c r="AI482" s="2">
        <v>5</v>
      </c>
      <c r="AJ482" s="2">
        <v>5</v>
      </c>
      <c r="AK482" s="2">
        <v>5</v>
      </c>
      <c r="AL482" s="2">
        <v>5</v>
      </c>
      <c r="AM482" s="2">
        <v>5</v>
      </c>
      <c r="AN482" s="2">
        <v>5</v>
      </c>
      <c r="AO482" s="2">
        <v>5</v>
      </c>
      <c r="AP482" s="2">
        <v>5</v>
      </c>
      <c r="AQ482" s="2" t="e">
        <f t="shared" ca="1" si="138"/>
        <v>#NAME?</v>
      </c>
      <c r="AR482" s="2">
        <v>10</v>
      </c>
      <c r="AS482" s="2">
        <v>10</v>
      </c>
      <c r="AT482" s="2">
        <v>5</v>
      </c>
      <c r="AU482" s="2">
        <v>5</v>
      </c>
      <c r="AV482" s="2">
        <v>5</v>
      </c>
      <c r="AW482" s="54">
        <f t="shared" si="114"/>
        <v>7</v>
      </c>
      <c r="AX482" s="48"/>
      <c r="AY482" s="2"/>
      <c r="AZ482" s="91">
        <v>10</v>
      </c>
      <c r="BA482" s="92">
        <v>6</v>
      </c>
      <c r="BB482" s="92">
        <v>10</v>
      </c>
      <c r="BC482" s="91">
        <v>10</v>
      </c>
      <c r="BD482" s="2">
        <v>5</v>
      </c>
      <c r="BE482" s="2">
        <v>5</v>
      </c>
      <c r="BF482" s="2">
        <v>4</v>
      </c>
      <c r="BG482" s="2">
        <v>4</v>
      </c>
      <c r="BH482" s="2">
        <v>4</v>
      </c>
      <c r="BI482" s="2">
        <v>4</v>
      </c>
      <c r="BJ482" s="2" t="e">
        <f t="shared" ca="1" si="139"/>
        <v>#NAME?</v>
      </c>
      <c r="BK482" s="5">
        <v>4</v>
      </c>
      <c r="BL482" s="5">
        <v>5</v>
      </c>
      <c r="BM482" s="5">
        <v>5</v>
      </c>
      <c r="BN482" s="5">
        <v>5</v>
      </c>
      <c r="BO482" s="5">
        <v>5</v>
      </c>
      <c r="BP482" s="54">
        <f t="shared" si="115"/>
        <v>5</v>
      </c>
      <c r="BQ482" s="5"/>
      <c r="BR482" s="5"/>
      <c r="BS482" s="5">
        <v>10</v>
      </c>
      <c r="BT482" s="5">
        <v>10</v>
      </c>
      <c r="BU482" s="5">
        <v>10</v>
      </c>
      <c r="BV482" s="5">
        <v>10</v>
      </c>
      <c r="BW482" s="5">
        <v>8</v>
      </c>
      <c r="BX482" s="5">
        <v>8</v>
      </c>
      <c r="BY482" s="5">
        <v>8</v>
      </c>
      <c r="BZ482" s="5">
        <v>9</v>
      </c>
      <c r="CA482" s="5">
        <v>9</v>
      </c>
      <c r="CB482" s="5">
        <v>9</v>
      </c>
      <c r="CC482" s="2" t="e">
        <f t="shared" ca="1" si="140"/>
        <v>#NAME?</v>
      </c>
      <c r="CD482" s="55"/>
      <c r="CE482" s="2"/>
      <c r="CF482" s="2">
        <v>8</v>
      </c>
      <c r="CG482" s="2">
        <v>7</v>
      </c>
      <c r="CH482" s="2">
        <v>9</v>
      </c>
      <c r="CI482" s="2">
        <v>8</v>
      </c>
      <c r="CJ482" s="2">
        <v>10</v>
      </c>
      <c r="CK482" s="2">
        <v>10</v>
      </c>
      <c r="CL482" s="2">
        <v>10</v>
      </c>
      <c r="CM482" s="2">
        <v>10</v>
      </c>
      <c r="CN482" s="2">
        <v>10</v>
      </c>
      <c r="CO482" s="2">
        <v>10</v>
      </c>
      <c r="CP482" s="2" t="e">
        <f t="shared" ca="1" si="141"/>
        <v>#NAME?</v>
      </c>
      <c r="CQ482" s="2">
        <v>10</v>
      </c>
      <c r="CR482" s="2">
        <v>10</v>
      </c>
      <c r="CS482" s="2">
        <v>10</v>
      </c>
      <c r="CT482" s="2">
        <v>10</v>
      </c>
      <c r="CU482" s="2">
        <v>10</v>
      </c>
      <c r="CV482" s="54">
        <f t="shared" si="116"/>
        <v>10</v>
      </c>
      <c r="CW482" s="55">
        <v>12</v>
      </c>
      <c r="CX482" s="3"/>
    </row>
    <row r="483" spans="1:102" ht="16.5" x14ac:dyDescent="0.55000000000000004">
      <c r="A483" s="17">
        <v>1</v>
      </c>
      <c r="B483" s="17" t="s">
        <v>9</v>
      </c>
      <c r="C483" s="23" t="s">
        <v>1007</v>
      </c>
      <c r="D483" s="24" t="s">
        <v>1008</v>
      </c>
      <c r="E483" s="48">
        <v>9</v>
      </c>
      <c r="F483" s="2">
        <v>9</v>
      </c>
      <c r="G483" s="2">
        <v>10</v>
      </c>
      <c r="H483" s="2">
        <v>10</v>
      </c>
      <c r="I483" s="2">
        <v>10</v>
      </c>
      <c r="J483" s="2">
        <v>10</v>
      </c>
      <c r="K483" s="2">
        <v>10</v>
      </c>
      <c r="L483" s="2">
        <v>10</v>
      </c>
      <c r="M483" s="2">
        <v>10</v>
      </c>
      <c r="N483" s="2">
        <v>10</v>
      </c>
      <c r="O483" s="2">
        <v>10</v>
      </c>
      <c r="P483" s="2">
        <v>10</v>
      </c>
      <c r="Q483" s="2" t="e">
        <f t="shared" ca="1" si="137"/>
        <v>#NAME?</v>
      </c>
      <c r="R483" s="2">
        <v>10</v>
      </c>
      <c r="S483" s="2">
        <v>10</v>
      </c>
      <c r="T483" s="2">
        <v>10</v>
      </c>
      <c r="U483" s="2">
        <v>10</v>
      </c>
      <c r="V483" s="2">
        <v>10</v>
      </c>
      <c r="W483" s="54">
        <f t="shared" si="113"/>
        <v>10</v>
      </c>
      <c r="X483" s="48">
        <v>6</v>
      </c>
      <c r="Y483" s="2">
        <v>9</v>
      </c>
      <c r="Z483" s="2">
        <v>9</v>
      </c>
      <c r="AA483" s="2">
        <v>10</v>
      </c>
      <c r="AB483" s="2">
        <v>10</v>
      </c>
      <c r="AC483" s="2">
        <v>10</v>
      </c>
      <c r="AD483" s="2"/>
      <c r="AE483" s="2">
        <v>9</v>
      </c>
      <c r="AF483" s="2">
        <v>10</v>
      </c>
      <c r="AG483" s="2">
        <v>7</v>
      </c>
      <c r="AH483" s="2">
        <v>7</v>
      </c>
      <c r="AI483" s="2">
        <v>7</v>
      </c>
      <c r="AJ483" s="2">
        <v>7</v>
      </c>
      <c r="AK483" s="2">
        <v>7</v>
      </c>
      <c r="AL483" s="2">
        <v>7</v>
      </c>
      <c r="AM483" s="2">
        <v>7</v>
      </c>
      <c r="AN483" s="2">
        <v>7</v>
      </c>
      <c r="AO483" s="2">
        <v>7</v>
      </c>
      <c r="AP483" s="2">
        <v>7</v>
      </c>
      <c r="AQ483" s="2" t="e">
        <f t="shared" ca="1" si="138"/>
        <v>#NAME?</v>
      </c>
      <c r="AR483" s="2">
        <v>10</v>
      </c>
      <c r="AS483" s="2">
        <v>9</v>
      </c>
      <c r="AT483" s="2">
        <v>9</v>
      </c>
      <c r="AU483" s="2">
        <v>10</v>
      </c>
      <c r="AV483" s="2">
        <v>10</v>
      </c>
      <c r="AW483" s="54">
        <f t="shared" si="114"/>
        <v>10</v>
      </c>
      <c r="AX483" s="48"/>
      <c r="AY483" s="2"/>
      <c r="AZ483" s="91">
        <v>10</v>
      </c>
      <c r="BA483" s="92">
        <v>10</v>
      </c>
      <c r="BB483" s="92">
        <v>10</v>
      </c>
      <c r="BC483" s="91">
        <v>10</v>
      </c>
      <c r="BD483" s="2">
        <v>5</v>
      </c>
      <c r="BE483" s="2">
        <v>5</v>
      </c>
      <c r="BF483" s="2">
        <v>5</v>
      </c>
      <c r="BG483" s="2">
        <v>5</v>
      </c>
      <c r="BH483" s="2">
        <v>5</v>
      </c>
      <c r="BI483" s="2">
        <v>5</v>
      </c>
      <c r="BJ483" s="2" t="e">
        <f t="shared" ca="1" si="139"/>
        <v>#NAME?</v>
      </c>
      <c r="BK483" s="5">
        <v>10</v>
      </c>
      <c r="BL483" s="5">
        <v>10</v>
      </c>
      <c r="BM483" s="5">
        <v>10</v>
      </c>
      <c r="BN483" s="5">
        <v>10</v>
      </c>
      <c r="BO483" s="5">
        <v>10</v>
      </c>
      <c r="BP483" s="54">
        <f t="shared" si="115"/>
        <v>10</v>
      </c>
      <c r="BQ483" s="5"/>
      <c r="BR483" s="5"/>
      <c r="BS483" s="5">
        <v>10</v>
      </c>
      <c r="BT483" s="5">
        <v>10</v>
      </c>
      <c r="BU483" s="5">
        <v>10</v>
      </c>
      <c r="BV483" s="5">
        <v>10</v>
      </c>
      <c r="BW483" s="5">
        <v>10</v>
      </c>
      <c r="BX483" s="5">
        <v>10</v>
      </c>
      <c r="BY483" s="5">
        <v>10</v>
      </c>
      <c r="BZ483" s="5">
        <v>10</v>
      </c>
      <c r="CA483" s="5">
        <v>10</v>
      </c>
      <c r="CB483" s="5">
        <v>10</v>
      </c>
      <c r="CC483" s="2" t="e">
        <f t="shared" ca="1" si="140"/>
        <v>#NAME?</v>
      </c>
      <c r="CD483" s="55"/>
      <c r="CE483" s="2"/>
      <c r="CF483" s="2">
        <v>8</v>
      </c>
      <c r="CG483" s="2">
        <v>9</v>
      </c>
      <c r="CH483" s="2">
        <v>10</v>
      </c>
      <c r="CI483" s="2">
        <v>10</v>
      </c>
      <c r="CJ483" s="2">
        <v>10</v>
      </c>
      <c r="CK483" s="2">
        <v>10</v>
      </c>
      <c r="CL483" s="2">
        <v>10</v>
      </c>
      <c r="CM483" s="2">
        <v>10</v>
      </c>
      <c r="CN483" s="2">
        <v>10</v>
      </c>
      <c r="CO483" s="2">
        <v>10</v>
      </c>
      <c r="CP483" s="2" t="e">
        <f t="shared" ca="1" si="141"/>
        <v>#NAME?</v>
      </c>
      <c r="CQ483" s="2">
        <v>10</v>
      </c>
      <c r="CR483" s="2">
        <v>10</v>
      </c>
      <c r="CS483" s="2">
        <v>10</v>
      </c>
      <c r="CT483" s="2">
        <v>10</v>
      </c>
      <c r="CU483" s="2">
        <v>10</v>
      </c>
      <c r="CV483" s="54">
        <f t="shared" si="116"/>
        <v>10</v>
      </c>
      <c r="CW483" s="55">
        <v>17</v>
      </c>
      <c r="CX483" s="3"/>
    </row>
    <row r="484" spans="1:102" ht="16.5" x14ac:dyDescent="0.55000000000000004">
      <c r="A484" s="17">
        <v>1</v>
      </c>
      <c r="B484" s="17" t="s">
        <v>9</v>
      </c>
      <c r="C484" s="23" t="s">
        <v>1009</v>
      </c>
      <c r="D484" s="24" t="s">
        <v>1010</v>
      </c>
      <c r="E484" s="48">
        <v>9</v>
      </c>
      <c r="F484" s="2">
        <v>9</v>
      </c>
      <c r="G484" s="2">
        <v>10</v>
      </c>
      <c r="H484" s="2">
        <v>10</v>
      </c>
      <c r="I484" s="2">
        <v>10</v>
      </c>
      <c r="J484" s="2">
        <v>10</v>
      </c>
      <c r="K484" s="2">
        <v>10</v>
      </c>
      <c r="L484" s="2">
        <v>10</v>
      </c>
      <c r="M484" s="2">
        <v>10</v>
      </c>
      <c r="N484" s="2">
        <v>10</v>
      </c>
      <c r="O484" s="2">
        <v>10</v>
      </c>
      <c r="P484" s="2">
        <v>10</v>
      </c>
      <c r="Q484" s="2" t="e">
        <f t="shared" ca="1" si="137"/>
        <v>#NAME?</v>
      </c>
      <c r="R484" s="2">
        <v>10</v>
      </c>
      <c r="S484" s="2">
        <v>10</v>
      </c>
      <c r="T484" s="2">
        <v>10</v>
      </c>
      <c r="U484" s="2">
        <v>10</v>
      </c>
      <c r="V484" s="2">
        <v>10</v>
      </c>
      <c r="W484" s="54">
        <f t="shared" si="113"/>
        <v>10</v>
      </c>
      <c r="X484" s="48">
        <v>8</v>
      </c>
      <c r="Y484" s="2">
        <v>8</v>
      </c>
      <c r="Z484" s="2">
        <v>17</v>
      </c>
      <c r="AA484" s="2">
        <v>10</v>
      </c>
      <c r="AB484" s="2">
        <v>10</v>
      </c>
      <c r="AC484" s="2">
        <v>10</v>
      </c>
      <c r="AD484" s="2">
        <v>10</v>
      </c>
      <c r="AE484" s="2">
        <v>10</v>
      </c>
      <c r="AF484" s="2">
        <v>10</v>
      </c>
      <c r="AG484" s="2">
        <v>5</v>
      </c>
      <c r="AH484" s="2">
        <v>5</v>
      </c>
      <c r="AI484" s="2">
        <v>5</v>
      </c>
      <c r="AJ484" s="2">
        <v>5</v>
      </c>
      <c r="AK484" s="2">
        <v>5</v>
      </c>
      <c r="AL484" s="2">
        <v>5</v>
      </c>
      <c r="AM484" s="2">
        <v>5</v>
      </c>
      <c r="AN484" s="2">
        <v>5</v>
      </c>
      <c r="AO484" s="2">
        <v>5</v>
      </c>
      <c r="AP484" s="2">
        <v>5</v>
      </c>
      <c r="AQ484" s="2" t="e">
        <f t="shared" ca="1" si="138"/>
        <v>#NAME?</v>
      </c>
      <c r="AR484" s="2">
        <v>10</v>
      </c>
      <c r="AS484" s="2">
        <v>5</v>
      </c>
      <c r="AT484" s="2">
        <v>5</v>
      </c>
      <c r="AU484" s="2">
        <v>5</v>
      </c>
      <c r="AV484" s="2">
        <v>5</v>
      </c>
      <c r="AW484" s="54">
        <f t="shared" si="114"/>
        <v>6</v>
      </c>
      <c r="AX484" s="48"/>
      <c r="AY484" s="2"/>
      <c r="AZ484" s="91">
        <v>5</v>
      </c>
      <c r="BA484" s="92">
        <v>10</v>
      </c>
      <c r="BB484" s="92">
        <v>10</v>
      </c>
      <c r="BC484" s="91">
        <v>10</v>
      </c>
      <c r="BD484" s="2">
        <v>10</v>
      </c>
      <c r="BE484" s="2">
        <v>5</v>
      </c>
      <c r="BF484" s="2">
        <v>4</v>
      </c>
      <c r="BG484" s="2">
        <v>4</v>
      </c>
      <c r="BH484" s="2">
        <v>4</v>
      </c>
      <c r="BI484" s="2">
        <v>4</v>
      </c>
      <c r="BJ484" s="2" t="e">
        <f t="shared" ca="1" si="139"/>
        <v>#NAME?</v>
      </c>
      <c r="BK484" s="5">
        <v>4</v>
      </c>
      <c r="BL484" s="5">
        <v>5</v>
      </c>
      <c r="BM484" s="5">
        <v>5</v>
      </c>
      <c r="BN484" s="5">
        <v>5</v>
      </c>
      <c r="BO484" s="5">
        <v>5</v>
      </c>
      <c r="BP484" s="54">
        <f t="shared" si="115"/>
        <v>5</v>
      </c>
      <c r="BQ484" s="5"/>
      <c r="BR484" s="5"/>
      <c r="BS484" s="5">
        <v>10</v>
      </c>
      <c r="BT484" s="5">
        <v>10</v>
      </c>
      <c r="BU484" s="5">
        <v>10</v>
      </c>
      <c r="BV484" s="5">
        <v>10</v>
      </c>
      <c r="BW484" s="5">
        <v>10</v>
      </c>
      <c r="BX484" s="5">
        <v>10</v>
      </c>
      <c r="BY484" s="5">
        <v>10</v>
      </c>
      <c r="BZ484" s="5">
        <v>10</v>
      </c>
      <c r="CA484" s="5">
        <v>10</v>
      </c>
      <c r="CB484" s="5">
        <v>10</v>
      </c>
      <c r="CC484" s="2" t="e">
        <f t="shared" ca="1" si="140"/>
        <v>#NAME?</v>
      </c>
      <c r="CD484" s="55"/>
      <c r="CE484" s="2"/>
      <c r="CF484" s="2">
        <v>10</v>
      </c>
      <c r="CG484" s="2">
        <v>10</v>
      </c>
      <c r="CH484" s="2">
        <v>10</v>
      </c>
      <c r="CI484" s="2">
        <v>10</v>
      </c>
      <c r="CJ484" s="2">
        <v>10</v>
      </c>
      <c r="CK484" s="2">
        <v>10</v>
      </c>
      <c r="CL484" s="2">
        <v>10</v>
      </c>
      <c r="CM484" s="2">
        <v>10</v>
      </c>
      <c r="CN484" s="2">
        <v>10</v>
      </c>
      <c r="CO484" s="2">
        <v>10</v>
      </c>
      <c r="CP484" s="2" t="e">
        <f t="shared" ca="1" si="141"/>
        <v>#NAME?</v>
      </c>
      <c r="CQ484" s="2">
        <v>10</v>
      </c>
      <c r="CR484" s="2">
        <v>10</v>
      </c>
      <c r="CS484" s="2">
        <v>5</v>
      </c>
      <c r="CT484" s="2">
        <v>5</v>
      </c>
      <c r="CU484" s="2">
        <v>5</v>
      </c>
      <c r="CV484" s="54">
        <f t="shared" si="116"/>
        <v>7</v>
      </c>
      <c r="CW484" s="55">
        <v>18</v>
      </c>
      <c r="CX484" s="3"/>
    </row>
    <row r="485" spans="1:102" ht="16.5" x14ac:dyDescent="0.55000000000000004">
      <c r="A485" s="17">
        <v>1</v>
      </c>
      <c r="B485" s="17" t="s">
        <v>9</v>
      </c>
      <c r="C485" s="23" t="s">
        <v>1011</v>
      </c>
      <c r="D485" s="24" t="s">
        <v>1012</v>
      </c>
      <c r="E485" s="48">
        <v>8</v>
      </c>
      <c r="F485" s="2">
        <v>9</v>
      </c>
      <c r="G485" s="2">
        <v>10</v>
      </c>
      <c r="H485" s="2">
        <v>10</v>
      </c>
      <c r="I485" s="2">
        <v>10</v>
      </c>
      <c r="J485" s="2">
        <v>10</v>
      </c>
      <c r="K485" s="2">
        <v>9</v>
      </c>
      <c r="L485" s="2">
        <v>10</v>
      </c>
      <c r="M485" s="2">
        <v>10</v>
      </c>
      <c r="N485" s="2">
        <v>10</v>
      </c>
      <c r="O485" s="2">
        <v>10</v>
      </c>
      <c r="P485" s="2">
        <v>10</v>
      </c>
      <c r="Q485" s="2" t="e">
        <f t="shared" ca="1" si="137"/>
        <v>#NAME?</v>
      </c>
      <c r="R485" s="2">
        <v>10</v>
      </c>
      <c r="S485" s="2">
        <v>10</v>
      </c>
      <c r="T485" s="2">
        <v>10</v>
      </c>
      <c r="U485" s="2">
        <v>10</v>
      </c>
      <c r="V485" s="2">
        <v>10</v>
      </c>
      <c r="W485" s="54">
        <f t="shared" si="113"/>
        <v>10</v>
      </c>
      <c r="X485" s="48">
        <v>8</v>
      </c>
      <c r="Y485" s="2">
        <v>9</v>
      </c>
      <c r="Z485" s="2">
        <v>13</v>
      </c>
      <c r="AA485" s="2">
        <v>10</v>
      </c>
      <c r="AB485" s="2">
        <v>10</v>
      </c>
      <c r="AC485" s="2">
        <v>10</v>
      </c>
      <c r="AD485" s="2">
        <v>8</v>
      </c>
      <c r="AE485" s="2">
        <v>9</v>
      </c>
      <c r="AF485" s="2">
        <v>10</v>
      </c>
      <c r="AG485" s="2">
        <v>7</v>
      </c>
      <c r="AH485" s="2">
        <v>7</v>
      </c>
      <c r="AI485" s="2">
        <v>7</v>
      </c>
      <c r="AJ485" s="2">
        <v>7</v>
      </c>
      <c r="AK485" s="2">
        <v>7</v>
      </c>
      <c r="AL485" s="2">
        <v>7</v>
      </c>
      <c r="AM485" s="2">
        <v>7</v>
      </c>
      <c r="AN485" s="2">
        <v>7</v>
      </c>
      <c r="AO485" s="2">
        <v>7</v>
      </c>
      <c r="AP485" s="2">
        <v>7</v>
      </c>
      <c r="AQ485" s="2" t="e">
        <f t="shared" ca="1" si="138"/>
        <v>#NAME?</v>
      </c>
      <c r="AR485" s="2">
        <v>4</v>
      </c>
      <c r="AS485" s="2">
        <v>4</v>
      </c>
      <c r="AT485" s="2">
        <v>4</v>
      </c>
      <c r="AU485" s="2">
        <v>4</v>
      </c>
      <c r="AV485" s="2">
        <v>4</v>
      </c>
      <c r="AW485" s="54">
        <f t="shared" si="114"/>
        <v>4</v>
      </c>
      <c r="AX485" s="48"/>
      <c r="AY485" s="2"/>
      <c r="AZ485" s="91">
        <v>10</v>
      </c>
      <c r="BA485" s="92">
        <v>10</v>
      </c>
      <c r="BB485" s="92">
        <v>7</v>
      </c>
      <c r="BC485" s="91">
        <v>10</v>
      </c>
      <c r="BD485" s="2">
        <v>5</v>
      </c>
      <c r="BE485" s="2">
        <v>5</v>
      </c>
      <c r="BF485" s="2">
        <v>5</v>
      </c>
      <c r="BG485" s="2">
        <v>4</v>
      </c>
      <c r="BH485" s="2">
        <v>4</v>
      </c>
      <c r="BI485" s="2">
        <v>4</v>
      </c>
      <c r="BJ485" s="2" t="e">
        <f t="shared" ca="1" si="139"/>
        <v>#NAME?</v>
      </c>
      <c r="BK485" s="5">
        <v>4</v>
      </c>
      <c r="BL485" s="5">
        <v>5</v>
      </c>
      <c r="BM485" s="5">
        <v>5</v>
      </c>
      <c r="BN485" s="5">
        <v>5</v>
      </c>
      <c r="BO485" s="5">
        <v>5</v>
      </c>
      <c r="BP485" s="54">
        <f t="shared" si="115"/>
        <v>5</v>
      </c>
      <c r="BQ485" s="5"/>
      <c r="BR485" s="5"/>
      <c r="BS485" s="5">
        <v>10</v>
      </c>
      <c r="BT485" s="5">
        <v>10</v>
      </c>
      <c r="BU485" s="5">
        <v>10</v>
      </c>
      <c r="BV485" s="5">
        <v>10</v>
      </c>
      <c r="BW485" s="5">
        <v>10</v>
      </c>
      <c r="BX485" s="5">
        <v>8</v>
      </c>
      <c r="BY485" s="5">
        <v>10</v>
      </c>
      <c r="BZ485" s="5">
        <v>10</v>
      </c>
      <c r="CA485" s="5">
        <v>10</v>
      </c>
      <c r="CB485" s="5">
        <v>10</v>
      </c>
      <c r="CC485" s="2" t="e">
        <f t="shared" ca="1" si="140"/>
        <v>#NAME?</v>
      </c>
      <c r="CD485" s="55"/>
      <c r="CE485" s="2"/>
      <c r="CF485" s="2">
        <v>8</v>
      </c>
      <c r="CG485" s="2">
        <v>5</v>
      </c>
      <c r="CH485" s="2">
        <v>7</v>
      </c>
      <c r="CI485" s="2">
        <v>8</v>
      </c>
      <c r="CJ485" s="2">
        <v>9</v>
      </c>
      <c r="CK485" s="2">
        <v>10</v>
      </c>
      <c r="CL485" s="2">
        <v>10</v>
      </c>
      <c r="CM485" s="2">
        <v>10</v>
      </c>
      <c r="CN485" s="2">
        <v>10</v>
      </c>
      <c r="CO485" s="2">
        <v>10</v>
      </c>
      <c r="CP485" s="2" t="e">
        <f t="shared" ca="1" si="141"/>
        <v>#NAME?</v>
      </c>
      <c r="CQ485" s="2">
        <v>10</v>
      </c>
      <c r="CR485" s="2">
        <v>10</v>
      </c>
      <c r="CS485" s="2">
        <v>10</v>
      </c>
      <c r="CT485" s="2">
        <v>10</v>
      </c>
      <c r="CU485" s="2">
        <v>10</v>
      </c>
      <c r="CV485" s="54">
        <f t="shared" si="116"/>
        <v>10</v>
      </c>
      <c r="CW485" s="55">
        <v>14</v>
      </c>
      <c r="CX485" s="3"/>
    </row>
    <row r="486" spans="1:102" ht="16.5" x14ac:dyDescent="0.55000000000000004">
      <c r="A486" s="17">
        <v>1</v>
      </c>
      <c r="B486" s="17" t="s">
        <v>9</v>
      </c>
      <c r="C486" s="23" t="s">
        <v>1013</v>
      </c>
      <c r="D486" s="24" t="s">
        <v>1014</v>
      </c>
      <c r="E486" s="48">
        <v>5</v>
      </c>
      <c r="F486" s="2">
        <v>5</v>
      </c>
      <c r="G486" s="2">
        <v>10</v>
      </c>
      <c r="H486" s="2">
        <v>10</v>
      </c>
      <c r="I486" s="2">
        <v>6</v>
      </c>
      <c r="J486" s="2">
        <v>6</v>
      </c>
      <c r="K486" s="2">
        <v>6</v>
      </c>
      <c r="L486" s="2">
        <v>6</v>
      </c>
      <c r="M486" s="2">
        <v>6</v>
      </c>
      <c r="N486" s="2">
        <v>6</v>
      </c>
      <c r="O486" s="2">
        <v>7</v>
      </c>
      <c r="P486" s="2">
        <v>7</v>
      </c>
      <c r="Q486" s="2" t="e">
        <f t="shared" ca="1" si="137"/>
        <v>#NAME?</v>
      </c>
      <c r="R486" s="2">
        <v>10</v>
      </c>
      <c r="S486" s="2">
        <v>7</v>
      </c>
      <c r="T486" s="2">
        <v>7</v>
      </c>
      <c r="U486" s="2">
        <v>7</v>
      </c>
      <c r="V486" s="2">
        <v>7</v>
      </c>
      <c r="W486" s="54">
        <f t="shared" si="113"/>
        <v>8</v>
      </c>
      <c r="X486" s="48">
        <v>4</v>
      </c>
      <c r="Y486" s="2">
        <v>5</v>
      </c>
      <c r="Z486" s="2">
        <v>5</v>
      </c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 t="e">
        <f t="shared" ca="1" si="138"/>
        <v>#NAME?</v>
      </c>
      <c r="AR486" s="2"/>
      <c r="AS486" s="2"/>
      <c r="AT486" s="2"/>
      <c r="AU486" s="2"/>
      <c r="AV486" s="2"/>
      <c r="AW486" s="54">
        <f t="shared" si="114"/>
        <v>0</v>
      </c>
      <c r="AX486" s="48"/>
      <c r="AY486" s="2"/>
      <c r="AZ486" s="2">
        <v>10</v>
      </c>
      <c r="BA486" s="2">
        <v>10</v>
      </c>
      <c r="BB486" s="2">
        <v>5</v>
      </c>
      <c r="BC486" s="2">
        <v>5</v>
      </c>
      <c r="BD486" s="2">
        <v>5</v>
      </c>
      <c r="BE486" s="2">
        <v>5</v>
      </c>
      <c r="BF486" s="2">
        <v>5</v>
      </c>
      <c r="BG486" s="2">
        <v>5</v>
      </c>
      <c r="BH486" s="2">
        <v>5</v>
      </c>
      <c r="BI486" s="2">
        <v>5</v>
      </c>
      <c r="BJ486" s="2" t="e">
        <f t="shared" ca="1" si="139"/>
        <v>#NAME?</v>
      </c>
      <c r="BK486" s="5">
        <v>10</v>
      </c>
      <c r="BL486" s="5">
        <v>5</v>
      </c>
      <c r="BM486" s="5">
        <v>7</v>
      </c>
      <c r="BN486" s="2">
        <v>0</v>
      </c>
      <c r="BO486" s="2">
        <v>0</v>
      </c>
      <c r="BP486" s="54">
        <f t="shared" si="115"/>
        <v>5</v>
      </c>
      <c r="BQ486" s="5"/>
      <c r="BR486" s="5"/>
      <c r="BS486" s="5">
        <v>6</v>
      </c>
      <c r="BT486" s="5">
        <v>6</v>
      </c>
      <c r="BU486" s="5">
        <v>5</v>
      </c>
      <c r="BV486" s="5">
        <v>5</v>
      </c>
      <c r="BW486" s="5">
        <v>5</v>
      </c>
      <c r="BX486" s="5">
        <v>6</v>
      </c>
      <c r="BY486" s="5">
        <v>6</v>
      </c>
      <c r="BZ486" s="5">
        <v>6</v>
      </c>
      <c r="CA486" s="5">
        <v>6</v>
      </c>
      <c r="CB486" s="5">
        <v>5</v>
      </c>
      <c r="CC486" s="2" t="e">
        <f t="shared" ca="1" si="140"/>
        <v>#NAME?</v>
      </c>
      <c r="CD486" s="55"/>
      <c r="CE486" s="2"/>
      <c r="CF486" s="2">
        <v>7</v>
      </c>
      <c r="CG486" s="2">
        <v>7</v>
      </c>
      <c r="CH486" s="2">
        <v>7</v>
      </c>
      <c r="CI486" s="2">
        <v>5</v>
      </c>
      <c r="CJ486" s="2">
        <v>5</v>
      </c>
      <c r="CK486" s="2">
        <v>5</v>
      </c>
      <c r="CL486" s="2">
        <v>5</v>
      </c>
      <c r="CM486" s="2">
        <v>5</v>
      </c>
      <c r="CN486" s="2">
        <v>5</v>
      </c>
      <c r="CO486" s="2">
        <v>5</v>
      </c>
      <c r="CP486" s="2" t="e">
        <f t="shared" ca="1" si="141"/>
        <v>#NAME?</v>
      </c>
      <c r="CQ486" s="2">
        <v>5</v>
      </c>
      <c r="CR486" s="2">
        <v>5</v>
      </c>
      <c r="CS486" s="2">
        <v>5</v>
      </c>
      <c r="CT486" s="2">
        <v>5</v>
      </c>
      <c r="CU486" s="2">
        <v>5</v>
      </c>
      <c r="CV486" s="54">
        <f t="shared" si="116"/>
        <v>5</v>
      </c>
      <c r="CW486" s="55">
        <v>6</v>
      </c>
      <c r="CX486" s="3"/>
    </row>
    <row r="487" spans="1:102" ht="16.5" x14ac:dyDescent="0.55000000000000004">
      <c r="A487" s="17">
        <v>1</v>
      </c>
      <c r="B487" s="17" t="s">
        <v>9</v>
      </c>
      <c r="C487" s="23" t="s">
        <v>1015</v>
      </c>
      <c r="D487" s="24" t="s">
        <v>1016</v>
      </c>
      <c r="E487" s="48">
        <v>8</v>
      </c>
      <c r="F487" s="2">
        <v>7</v>
      </c>
      <c r="G487" s="2">
        <v>10</v>
      </c>
      <c r="H487" s="2">
        <v>10</v>
      </c>
      <c r="I487" s="2">
        <v>10</v>
      </c>
      <c r="J487" s="2">
        <v>9</v>
      </c>
      <c r="K487" s="2">
        <v>9</v>
      </c>
      <c r="L487" s="2">
        <v>10</v>
      </c>
      <c r="M487" s="2">
        <v>10</v>
      </c>
      <c r="N487" s="2">
        <v>10</v>
      </c>
      <c r="O487" s="2">
        <v>10</v>
      </c>
      <c r="P487" s="2">
        <v>10</v>
      </c>
      <c r="Q487" s="2" t="e">
        <f t="shared" ca="1" si="137"/>
        <v>#NAME?</v>
      </c>
      <c r="R487" s="2">
        <v>10</v>
      </c>
      <c r="S487" s="2">
        <v>9</v>
      </c>
      <c r="T487" s="2">
        <v>9</v>
      </c>
      <c r="U487" s="2">
        <v>9</v>
      </c>
      <c r="V487" s="2">
        <v>9</v>
      </c>
      <c r="W487" s="54">
        <f t="shared" si="113"/>
        <v>10</v>
      </c>
      <c r="X487" s="48">
        <v>6</v>
      </c>
      <c r="Y487" s="2" t="s">
        <v>31</v>
      </c>
      <c r="Z487" s="2">
        <v>7</v>
      </c>
      <c r="AA487" s="2">
        <v>9</v>
      </c>
      <c r="AB487" s="2">
        <v>10</v>
      </c>
      <c r="AC487" s="2">
        <v>10</v>
      </c>
      <c r="AD487" s="2">
        <v>10</v>
      </c>
      <c r="AE487" s="2">
        <v>10</v>
      </c>
      <c r="AF487" s="2">
        <v>6</v>
      </c>
      <c r="AG487" s="2">
        <v>7</v>
      </c>
      <c r="AH487" s="2">
        <v>8</v>
      </c>
      <c r="AI487" s="2">
        <v>9</v>
      </c>
      <c r="AJ487" s="2">
        <v>9</v>
      </c>
      <c r="AK487" s="2">
        <v>9</v>
      </c>
      <c r="AL487" s="2">
        <v>9</v>
      </c>
      <c r="AM487" s="2">
        <v>9</v>
      </c>
      <c r="AN487" s="2">
        <v>9</v>
      </c>
      <c r="AO487" s="2">
        <v>9</v>
      </c>
      <c r="AP487" s="2">
        <v>9</v>
      </c>
      <c r="AQ487" s="2" t="e">
        <f t="shared" ca="1" si="138"/>
        <v>#NAME?</v>
      </c>
      <c r="AR487" s="2">
        <v>10</v>
      </c>
      <c r="AS487" s="2">
        <v>9</v>
      </c>
      <c r="AT487" s="2">
        <v>10</v>
      </c>
      <c r="AU487" s="2">
        <v>9</v>
      </c>
      <c r="AV487" s="2">
        <v>6</v>
      </c>
      <c r="AW487" s="54">
        <f t="shared" si="114"/>
        <v>9</v>
      </c>
      <c r="AX487" s="48"/>
      <c r="AY487" s="2"/>
      <c r="AZ487" s="91">
        <v>10</v>
      </c>
      <c r="BA487" s="92">
        <v>10</v>
      </c>
      <c r="BB487" s="92">
        <v>10</v>
      </c>
      <c r="BC487" s="91">
        <v>10</v>
      </c>
      <c r="BD487" s="2">
        <v>10</v>
      </c>
      <c r="BE487" s="2">
        <v>10</v>
      </c>
      <c r="BF487" s="2">
        <v>10</v>
      </c>
      <c r="BG487" s="2">
        <v>10</v>
      </c>
      <c r="BH487" s="2">
        <v>10</v>
      </c>
      <c r="BI487" s="2">
        <v>10</v>
      </c>
      <c r="BJ487" s="2" t="e">
        <f t="shared" ca="1" si="139"/>
        <v>#NAME?</v>
      </c>
      <c r="BK487" s="5">
        <v>10</v>
      </c>
      <c r="BL487" s="5">
        <v>10</v>
      </c>
      <c r="BM487" s="5">
        <v>10</v>
      </c>
      <c r="BN487" s="5">
        <v>10</v>
      </c>
      <c r="BO487" s="5">
        <v>10</v>
      </c>
      <c r="BP487" s="54">
        <f t="shared" si="115"/>
        <v>10</v>
      </c>
      <c r="BQ487" s="5"/>
      <c r="BR487" s="5"/>
      <c r="BS487" s="5">
        <v>10</v>
      </c>
      <c r="BT487" s="5">
        <v>10</v>
      </c>
      <c r="BU487" s="5">
        <v>10</v>
      </c>
      <c r="BV487" s="5">
        <v>10</v>
      </c>
      <c r="BW487" s="5">
        <v>10</v>
      </c>
      <c r="BX487" s="5">
        <v>10</v>
      </c>
      <c r="BY487" s="5">
        <v>10</v>
      </c>
      <c r="BZ487" s="5">
        <v>10</v>
      </c>
      <c r="CA487" s="5">
        <v>8</v>
      </c>
      <c r="CB487" s="5">
        <v>10</v>
      </c>
      <c r="CC487" s="2" t="e">
        <f t="shared" ca="1" si="140"/>
        <v>#NAME?</v>
      </c>
      <c r="CD487" s="55"/>
      <c r="CE487" s="2"/>
      <c r="CF487" s="2">
        <v>8</v>
      </c>
      <c r="CG487" s="2">
        <v>10</v>
      </c>
      <c r="CH487" s="2">
        <v>10</v>
      </c>
      <c r="CI487" s="2">
        <v>7</v>
      </c>
      <c r="CJ487" s="2">
        <v>8</v>
      </c>
      <c r="CK487" s="2">
        <v>10</v>
      </c>
      <c r="CL487" s="2">
        <v>10</v>
      </c>
      <c r="CM487" s="2">
        <v>10</v>
      </c>
      <c r="CN487" s="2">
        <v>10</v>
      </c>
      <c r="CO487" s="2">
        <v>10</v>
      </c>
      <c r="CP487" s="2" t="e">
        <f t="shared" ca="1" si="141"/>
        <v>#NAME?</v>
      </c>
      <c r="CQ487" s="2">
        <v>8</v>
      </c>
      <c r="CR487" s="2">
        <v>5</v>
      </c>
      <c r="CS487" s="2">
        <v>7</v>
      </c>
      <c r="CT487" s="2">
        <v>9</v>
      </c>
      <c r="CU487" s="2">
        <v>10</v>
      </c>
      <c r="CV487" s="54">
        <f t="shared" si="116"/>
        <v>8</v>
      </c>
      <c r="CW487" s="55">
        <v>8</v>
      </c>
      <c r="CX487" s="3"/>
    </row>
    <row r="488" spans="1:102" ht="16.5" x14ac:dyDescent="0.55000000000000004">
      <c r="A488" s="17">
        <v>1</v>
      </c>
      <c r="B488" s="17" t="s">
        <v>9</v>
      </c>
      <c r="C488" s="23" t="s">
        <v>1017</v>
      </c>
      <c r="D488" s="24" t="s">
        <v>1018</v>
      </c>
      <c r="E488" s="48">
        <v>7</v>
      </c>
      <c r="F488" s="2">
        <v>8</v>
      </c>
      <c r="G488" s="2">
        <v>10</v>
      </c>
      <c r="H488" s="2">
        <v>10</v>
      </c>
      <c r="I488" s="2">
        <v>10</v>
      </c>
      <c r="J488" s="2">
        <v>10</v>
      </c>
      <c r="K488" s="2">
        <v>10</v>
      </c>
      <c r="L488" s="2">
        <v>9</v>
      </c>
      <c r="M488" s="2">
        <v>9</v>
      </c>
      <c r="N488" s="2">
        <v>10</v>
      </c>
      <c r="O488" s="2">
        <v>10</v>
      </c>
      <c r="P488" s="2">
        <v>10</v>
      </c>
      <c r="Q488" s="2" t="e">
        <f t="shared" ca="1" si="137"/>
        <v>#NAME?</v>
      </c>
      <c r="R488" s="2">
        <v>10</v>
      </c>
      <c r="S488" s="2">
        <v>10</v>
      </c>
      <c r="T488" s="2">
        <v>10</v>
      </c>
      <c r="U488" s="2">
        <v>10</v>
      </c>
      <c r="V488" s="2">
        <v>10</v>
      </c>
      <c r="W488" s="54">
        <f t="shared" si="113"/>
        <v>10</v>
      </c>
      <c r="X488" s="48">
        <v>7</v>
      </c>
      <c r="Y488" s="2">
        <v>5</v>
      </c>
      <c r="Z488" s="2">
        <v>13</v>
      </c>
      <c r="AA488" s="2">
        <v>9</v>
      </c>
      <c r="AB488" s="2">
        <v>9</v>
      </c>
      <c r="AC488" s="2">
        <v>10</v>
      </c>
      <c r="AD488" s="2">
        <v>10</v>
      </c>
      <c r="AE488" s="2">
        <v>10</v>
      </c>
      <c r="AF488" s="2">
        <v>10</v>
      </c>
      <c r="AG488" s="2">
        <v>9</v>
      </c>
      <c r="AH488" s="2">
        <v>9</v>
      </c>
      <c r="AI488" s="2">
        <v>9</v>
      </c>
      <c r="AJ488" s="2">
        <v>8</v>
      </c>
      <c r="AK488" s="2">
        <v>8</v>
      </c>
      <c r="AL488" s="2">
        <v>8</v>
      </c>
      <c r="AM488" s="2">
        <v>8</v>
      </c>
      <c r="AN488" s="2">
        <v>8</v>
      </c>
      <c r="AO488" s="2">
        <v>8</v>
      </c>
      <c r="AP488" s="2">
        <v>8</v>
      </c>
      <c r="AQ488" s="2" t="e">
        <f t="shared" ca="1" si="138"/>
        <v>#NAME?</v>
      </c>
      <c r="AR488" s="2">
        <v>10</v>
      </c>
      <c r="AS488" s="2">
        <v>10</v>
      </c>
      <c r="AT488" s="2">
        <v>8</v>
      </c>
      <c r="AU488" s="2">
        <v>9</v>
      </c>
      <c r="AV488" s="2">
        <v>9</v>
      </c>
      <c r="AW488" s="54">
        <f t="shared" si="114"/>
        <v>10</v>
      </c>
      <c r="AX488" s="48"/>
      <c r="AY488" s="2"/>
      <c r="AZ488" s="70">
        <v>10</v>
      </c>
      <c r="BA488" s="71">
        <v>10</v>
      </c>
      <c r="BB488" s="2">
        <v>10</v>
      </c>
      <c r="BC488" s="2">
        <v>10</v>
      </c>
      <c r="BD488" s="2">
        <v>10</v>
      </c>
      <c r="BE488" s="2">
        <v>10</v>
      </c>
      <c r="BF488" s="2">
        <v>10</v>
      </c>
      <c r="BG488" s="2">
        <v>10</v>
      </c>
      <c r="BH488" s="2">
        <v>10</v>
      </c>
      <c r="BI488" s="2">
        <v>10</v>
      </c>
      <c r="BJ488" s="2" t="e">
        <f t="shared" ca="1" si="139"/>
        <v>#NAME?</v>
      </c>
      <c r="BK488" s="5">
        <v>10</v>
      </c>
      <c r="BL488" s="5">
        <v>5</v>
      </c>
      <c r="BM488" s="5">
        <v>7</v>
      </c>
      <c r="BN488" s="2">
        <v>10</v>
      </c>
      <c r="BO488" s="2">
        <v>10</v>
      </c>
      <c r="BP488" s="54">
        <f t="shared" si="115"/>
        <v>9</v>
      </c>
      <c r="BQ488" s="5"/>
      <c r="BR488" s="5"/>
      <c r="BS488" s="5">
        <v>10</v>
      </c>
      <c r="BT488" s="5">
        <v>10</v>
      </c>
      <c r="BU488" s="5">
        <v>10</v>
      </c>
      <c r="BV488" s="5">
        <v>10</v>
      </c>
      <c r="BW488" s="5">
        <v>7</v>
      </c>
      <c r="BX488" s="5">
        <v>7</v>
      </c>
      <c r="BY488" s="5">
        <v>8</v>
      </c>
      <c r="BZ488" s="5">
        <v>8</v>
      </c>
      <c r="CA488" s="5">
        <v>8</v>
      </c>
      <c r="CB488" s="5">
        <v>10</v>
      </c>
      <c r="CC488" s="2" t="e">
        <f t="shared" ca="1" si="140"/>
        <v>#NAME?</v>
      </c>
      <c r="CD488" s="55"/>
      <c r="CE488" s="2"/>
      <c r="CF488" s="2">
        <v>10</v>
      </c>
      <c r="CG488" s="2">
        <v>10</v>
      </c>
      <c r="CH488" s="2">
        <v>10</v>
      </c>
      <c r="CI488" s="2">
        <v>10</v>
      </c>
      <c r="CJ488" s="2">
        <v>10</v>
      </c>
      <c r="CK488" s="2">
        <v>10</v>
      </c>
      <c r="CL488" s="2">
        <v>10</v>
      </c>
      <c r="CM488" s="2">
        <v>10</v>
      </c>
      <c r="CN488" s="2">
        <v>10</v>
      </c>
      <c r="CO488" s="2">
        <v>10</v>
      </c>
      <c r="CP488" s="2" t="e">
        <f t="shared" ca="1" si="141"/>
        <v>#NAME?</v>
      </c>
      <c r="CQ488" s="2">
        <v>10</v>
      </c>
      <c r="CR488" s="2">
        <v>10</v>
      </c>
      <c r="CS488" s="2">
        <v>10</v>
      </c>
      <c r="CT488" s="2">
        <v>10</v>
      </c>
      <c r="CU488" s="2">
        <v>10</v>
      </c>
      <c r="CV488" s="54">
        <f t="shared" si="116"/>
        <v>10</v>
      </c>
      <c r="CW488" s="55">
        <v>15</v>
      </c>
      <c r="CX488" s="3"/>
    </row>
    <row r="489" spans="1:102" ht="16.5" x14ac:dyDescent="0.55000000000000004">
      <c r="A489" s="17">
        <v>1</v>
      </c>
      <c r="B489" s="17" t="s">
        <v>9</v>
      </c>
      <c r="C489" s="23" t="s">
        <v>1019</v>
      </c>
      <c r="D489" s="24" t="s">
        <v>1020</v>
      </c>
      <c r="E489" s="48">
        <v>7</v>
      </c>
      <c r="F489" s="2">
        <v>7</v>
      </c>
      <c r="G489" s="2">
        <v>8</v>
      </c>
      <c r="H489" s="2">
        <v>8</v>
      </c>
      <c r="I489" s="2">
        <v>8</v>
      </c>
      <c r="J489" s="2">
        <v>8</v>
      </c>
      <c r="K489" s="2">
        <v>8</v>
      </c>
      <c r="L489" s="2">
        <v>8</v>
      </c>
      <c r="M489" s="2">
        <v>8</v>
      </c>
      <c r="N489" s="2">
        <v>8</v>
      </c>
      <c r="O489" s="2">
        <v>8</v>
      </c>
      <c r="P489" s="2">
        <v>8</v>
      </c>
      <c r="Q489" s="2" t="e">
        <f t="shared" ca="1" si="137"/>
        <v>#NAME?</v>
      </c>
      <c r="R489" s="2">
        <v>8</v>
      </c>
      <c r="S489" s="2">
        <v>8</v>
      </c>
      <c r="T489" s="2">
        <v>8</v>
      </c>
      <c r="U489" s="2">
        <v>8</v>
      </c>
      <c r="V489" s="2">
        <v>8</v>
      </c>
      <c r="W489" s="54">
        <f t="shared" si="113"/>
        <v>8</v>
      </c>
      <c r="X489" s="48" t="s">
        <v>31</v>
      </c>
      <c r="Y489" s="2">
        <v>4</v>
      </c>
      <c r="Z489" s="2">
        <v>5</v>
      </c>
      <c r="AA489" s="2">
        <v>3</v>
      </c>
      <c r="AB489" s="2">
        <v>3</v>
      </c>
      <c r="AC489" s="2">
        <v>3</v>
      </c>
      <c r="AD489" s="2">
        <v>3</v>
      </c>
      <c r="AE489" s="2">
        <v>3</v>
      </c>
      <c r="AF489" s="2">
        <v>3</v>
      </c>
      <c r="AG489" s="2">
        <v>3</v>
      </c>
      <c r="AH489" s="2">
        <v>3</v>
      </c>
      <c r="AI489" s="2">
        <v>3</v>
      </c>
      <c r="AJ489" s="2">
        <v>3</v>
      </c>
      <c r="AK489" s="2">
        <v>3</v>
      </c>
      <c r="AL489" s="2">
        <v>3</v>
      </c>
      <c r="AM489" s="2">
        <v>3</v>
      </c>
      <c r="AN489" s="2">
        <v>3</v>
      </c>
      <c r="AO489" s="2">
        <v>3</v>
      </c>
      <c r="AP489" s="2">
        <v>3</v>
      </c>
      <c r="AQ489" s="2" t="e">
        <f t="shared" ca="1" si="138"/>
        <v>#NAME?</v>
      </c>
      <c r="AR489" s="2">
        <v>3</v>
      </c>
      <c r="AS489" s="2">
        <v>3</v>
      </c>
      <c r="AT489" s="2">
        <v>3</v>
      </c>
      <c r="AU489" s="2">
        <v>3</v>
      </c>
      <c r="AV489" s="2">
        <v>3</v>
      </c>
      <c r="AW489" s="54">
        <f t="shared" si="114"/>
        <v>3</v>
      </c>
      <c r="AX489" s="48"/>
      <c r="AY489" s="2"/>
      <c r="AZ489" s="2">
        <v>4</v>
      </c>
      <c r="BA489" s="2">
        <v>4</v>
      </c>
      <c r="BB489" s="2">
        <v>4</v>
      </c>
      <c r="BC489" s="2">
        <v>4</v>
      </c>
      <c r="BD489" s="2">
        <v>3</v>
      </c>
      <c r="BE489" s="2">
        <v>3</v>
      </c>
      <c r="BF489" s="2">
        <v>3</v>
      </c>
      <c r="BG489" s="2">
        <v>3</v>
      </c>
      <c r="BH489" s="2">
        <v>3</v>
      </c>
      <c r="BI489" s="2">
        <v>3</v>
      </c>
      <c r="BJ489" s="2" t="e">
        <f t="shared" ca="1" si="139"/>
        <v>#NAME?</v>
      </c>
      <c r="BK489" s="2">
        <v>3</v>
      </c>
      <c r="BL489" s="2">
        <v>3</v>
      </c>
      <c r="BM489" s="2">
        <v>3</v>
      </c>
      <c r="BN489" s="2">
        <v>3</v>
      </c>
      <c r="BO489" s="2">
        <v>3</v>
      </c>
      <c r="BP489" s="54">
        <f t="shared" si="115"/>
        <v>3</v>
      </c>
      <c r="BQ489" s="5"/>
      <c r="BR489" s="5"/>
      <c r="BS489" s="5">
        <v>5</v>
      </c>
      <c r="BT489" s="5">
        <v>5</v>
      </c>
      <c r="BU489" s="5">
        <v>5</v>
      </c>
      <c r="BV489" s="5">
        <v>5</v>
      </c>
      <c r="BW489" s="5">
        <v>5</v>
      </c>
      <c r="BX489" s="5">
        <v>5</v>
      </c>
      <c r="BY489" s="5">
        <v>5</v>
      </c>
      <c r="BZ489" s="5">
        <v>5</v>
      </c>
      <c r="CA489" s="5">
        <v>5</v>
      </c>
      <c r="CB489" s="5">
        <v>5</v>
      </c>
      <c r="CC489" s="2" t="e">
        <f t="shared" ca="1" si="140"/>
        <v>#NAME?</v>
      </c>
      <c r="CD489" s="55"/>
      <c r="CE489" s="2"/>
      <c r="CF489" s="2">
        <v>5</v>
      </c>
      <c r="CG489" s="2">
        <v>5</v>
      </c>
      <c r="CH489" s="2">
        <v>5</v>
      </c>
      <c r="CI489" s="2">
        <v>5</v>
      </c>
      <c r="CJ489" s="2">
        <v>5</v>
      </c>
      <c r="CK489" s="2">
        <v>5</v>
      </c>
      <c r="CL489" s="2">
        <v>5</v>
      </c>
      <c r="CM489" s="2">
        <v>5</v>
      </c>
      <c r="CN489" s="2">
        <v>5</v>
      </c>
      <c r="CO489" s="2">
        <v>5</v>
      </c>
      <c r="CP489" s="2" t="e">
        <f t="shared" ca="1" si="141"/>
        <v>#NAME?</v>
      </c>
      <c r="CQ489" s="2">
        <v>5</v>
      </c>
      <c r="CR489" s="2">
        <v>5</v>
      </c>
      <c r="CS489" s="2">
        <v>5</v>
      </c>
      <c r="CT489" s="2">
        <v>5</v>
      </c>
      <c r="CU489" s="2">
        <v>5</v>
      </c>
      <c r="CV489" s="54">
        <f t="shared" si="116"/>
        <v>5</v>
      </c>
      <c r="CW489" s="55">
        <v>7</v>
      </c>
      <c r="CX489" s="3"/>
    </row>
    <row r="490" spans="1:102" ht="16.5" x14ac:dyDescent="0.55000000000000004">
      <c r="A490" s="17">
        <v>1</v>
      </c>
      <c r="B490" s="17" t="s">
        <v>9</v>
      </c>
      <c r="C490" s="23" t="s">
        <v>1021</v>
      </c>
      <c r="D490" s="24" t="s">
        <v>1022</v>
      </c>
      <c r="E490" s="48">
        <v>7</v>
      </c>
      <c r="F490" s="2">
        <v>8</v>
      </c>
      <c r="G490" s="2">
        <v>10</v>
      </c>
      <c r="H490" s="2">
        <v>10</v>
      </c>
      <c r="I490" s="2">
        <v>9</v>
      </c>
      <c r="J490" s="2">
        <v>10</v>
      </c>
      <c r="K490" s="2">
        <v>10</v>
      </c>
      <c r="L490" s="2">
        <v>9</v>
      </c>
      <c r="M490" s="2">
        <v>10</v>
      </c>
      <c r="N490" s="2">
        <v>10</v>
      </c>
      <c r="O490" s="2">
        <v>10</v>
      </c>
      <c r="P490" s="2">
        <v>10</v>
      </c>
      <c r="Q490" s="2" t="e">
        <f t="shared" ca="1" si="137"/>
        <v>#NAME?</v>
      </c>
      <c r="R490" s="2">
        <v>10</v>
      </c>
      <c r="S490" s="2">
        <v>10</v>
      </c>
      <c r="T490" s="2">
        <v>10</v>
      </c>
      <c r="U490" s="2">
        <v>10</v>
      </c>
      <c r="V490" s="2">
        <v>10</v>
      </c>
      <c r="W490" s="54">
        <f t="shared" si="113"/>
        <v>10</v>
      </c>
      <c r="X490" s="48">
        <v>5</v>
      </c>
      <c r="Y490" s="2">
        <v>9</v>
      </c>
      <c r="Z490" s="2">
        <v>8</v>
      </c>
      <c r="AA490" s="2">
        <v>10</v>
      </c>
      <c r="AB490" s="2">
        <v>7</v>
      </c>
      <c r="AC490" s="2">
        <v>8</v>
      </c>
      <c r="AD490" s="2">
        <v>8</v>
      </c>
      <c r="AE490" s="2">
        <v>9</v>
      </c>
      <c r="AF490" s="2">
        <v>7</v>
      </c>
      <c r="AG490" s="2">
        <v>8</v>
      </c>
      <c r="AH490" s="2">
        <v>9</v>
      </c>
      <c r="AI490" s="2">
        <v>7</v>
      </c>
      <c r="AJ490" s="2">
        <v>7</v>
      </c>
      <c r="AK490" s="2">
        <v>7</v>
      </c>
      <c r="AL490" s="2">
        <v>7</v>
      </c>
      <c r="AM490" s="2">
        <v>7</v>
      </c>
      <c r="AN490" s="2">
        <v>7</v>
      </c>
      <c r="AO490" s="2">
        <v>7</v>
      </c>
      <c r="AP490" s="2">
        <v>7</v>
      </c>
      <c r="AQ490" s="2" t="e">
        <f t="shared" ca="1" si="138"/>
        <v>#NAME?</v>
      </c>
      <c r="AR490" s="2">
        <v>10</v>
      </c>
      <c r="AS490" s="2">
        <v>8</v>
      </c>
      <c r="AT490" s="2">
        <v>9</v>
      </c>
      <c r="AU490" s="2">
        <v>9</v>
      </c>
      <c r="AV490" s="2">
        <v>9</v>
      </c>
      <c r="AW490" s="54">
        <f t="shared" si="114"/>
        <v>9</v>
      </c>
      <c r="AX490" s="48"/>
      <c r="AY490" s="2"/>
      <c r="AZ490" s="2">
        <v>10</v>
      </c>
      <c r="BA490" s="2">
        <v>10</v>
      </c>
      <c r="BB490" s="2">
        <v>10</v>
      </c>
      <c r="BC490" s="2">
        <v>10</v>
      </c>
      <c r="BD490" s="2">
        <v>10</v>
      </c>
      <c r="BE490" s="2">
        <v>10</v>
      </c>
      <c r="BF490" s="2">
        <v>10</v>
      </c>
      <c r="BG490" s="2">
        <v>10</v>
      </c>
      <c r="BH490" s="2">
        <v>10</v>
      </c>
      <c r="BI490" s="2">
        <v>10</v>
      </c>
      <c r="BJ490" s="2" t="e">
        <f t="shared" ca="1" si="139"/>
        <v>#NAME?</v>
      </c>
      <c r="BK490" s="2">
        <v>3</v>
      </c>
      <c r="BL490" s="2">
        <v>5</v>
      </c>
      <c r="BM490" s="2">
        <v>10</v>
      </c>
      <c r="BN490" s="2">
        <v>10</v>
      </c>
      <c r="BO490" s="2">
        <v>10</v>
      </c>
      <c r="BP490" s="54">
        <f t="shared" si="115"/>
        <v>8</v>
      </c>
      <c r="BQ490" s="5"/>
      <c r="BR490" s="5"/>
      <c r="BS490" s="5">
        <v>10</v>
      </c>
      <c r="BT490" s="5">
        <v>10</v>
      </c>
      <c r="BU490" s="5">
        <v>10</v>
      </c>
      <c r="BV490" s="5">
        <v>8</v>
      </c>
      <c r="BW490" s="5">
        <v>7</v>
      </c>
      <c r="BX490" s="5">
        <v>6</v>
      </c>
      <c r="BY490" s="5">
        <v>7</v>
      </c>
      <c r="BZ490" s="5">
        <v>7</v>
      </c>
      <c r="CA490" s="5">
        <v>7</v>
      </c>
      <c r="CB490" s="5">
        <v>5</v>
      </c>
      <c r="CC490" s="2" t="e">
        <f t="shared" ca="1" si="140"/>
        <v>#NAME?</v>
      </c>
      <c r="CD490" s="55"/>
      <c r="CE490" s="2"/>
      <c r="CF490" s="2">
        <v>10</v>
      </c>
      <c r="CG490" s="2">
        <v>10</v>
      </c>
      <c r="CH490" s="2">
        <v>10</v>
      </c>
      <c r="CI490" s="2">
        <v>10</v>
      </c>
      <c r="CJ490" s="2">
        <v>7</v>
      </c>
      <c r="CK490" s="2">
        <v>8</v>
      </c>
      <c r="CL490" s="2">
        <v>9</v>
      </c>
      <c r="CM490" s="2">
        <v>10</v>
      </c>
      <c r="CN490" s="2">
        <v>10</v>
      </c>
      <c r="CO490" s="2">
        <v>10</v>
      </c>
      <c r="CP490" s="2" t="e">
        <f t="shared" ca="1" si="141"/>
        <v>#NAME?</v>
      </c>
      <c r="CQ490" s="2">
        <v>10</v>
      </c>
      <c r="CR490" s="2">
        <v>10</v>
      </c>
      <c r="CS490" s="2">
        <v>5</v>
      </c>
      <c r="CT490" s="2">
        <v>7</v>
      </c>
      <c r="CU490" s="2">
        <v>5</v>
      </c>
      <c r="CV490" s="54">
        <f t="shared" si="116"/>
        <v>8</v>
      </c>
      <c r="CW490" s="55">
        <v>5</v>
      </c>
      <c r="CX490" s="3"/>
    </row>
    <row r="491" spans="1:102" ht="16.5" x14ac:dyDescent="0.55000000000000004">
      <c r="A491" s="17">
        <v>1</v>
      </c>
      <c r="B491" s="17" t="s">
        <v>9</v>
      </c>
      <c r="C491" s="23" t="s">
        <v>1023</v>
      </c>
      <c r="D491" s="24" t="s">
        <v>1024</v>
      </c>
      <c r="E491" s="48">
        <v>7</v>
      </c>
      <c r="F491" s="2">
        <v>8</v>
      </c>
      <c r="G491" s="2">
        <v>10</v>
      </c>
      <c r="H491" s="2">
        <v>10</v>
      </c>
      <c r="I491" s="2">
        <v>9</v>
      </c>
      <c r="J491" s="2">
        <v>9</v>
      </c>
      <c r="K491" s="2">
        <v>9</v>
      </c>
      <c r="L491" s="2">
        <v>9</v>
      </c>
      <c r="M491" s="2">
        <v>10</v>
      </c>
      <c r="N491" s="2">
        <v>10</v>
      </c>
      <c r="O491" s="2">
        <v>10</v>
      </c>
      <c r="P491" s="2">
        <v>10</v>
      </c>
      <c r="Q491" s="2" t="e">
        <f t="shared" ca="1" si="137"/>
        <v>#NAME?</v>
      </c>
      <c r="R491" s="2">
        <v>9</v>
      </c>
      <c r="S491" s="2">
        <v>9</v>
      </c>
      <c r="T491" s="2">
        <v>9</v>
      </c>
      <c r="U491" s="2">
        <v>9</v>
      </c>
      <c r="V491" s="2">
        <v>9</v>
      </c>
      <c r="W491" s="54">
        <f t="shared" si="113"/>
        <v>9</v>
      </c>
      <c r="X491" s="48" t="s">
        <v>31</v>
      </c>
      <c r="Y491" s="2" t="s">
        <v>31</v>
      </c>
      <c r="Z491" s="2">
        <v>5</v>
      </c>
      <c r="AA491" s="2">
        <v>1</v>
      </c>
      <c r="AB491" s="2">
        <v>2</v>
      </c>
      <c r="AC491" s="2">
        <v>3</v>
      </c>
      <c r="AD491" s="2">
        <v>4</v>
      </c>
      <c r="AE491" s="2">
        <v>5</v>
      </c>
      <c r="AF491" s="2">
        <v>6</v>
      </c>
      <c r="AG491" s="2">
        <v>7</v>
      </c>
      <c r="AH491" s="2">
        <v>8</v>
      </c>
      <c r="AI491" s="2">
        <v>7</v>
      </c>
      <c r="AJ491" s="2">
        <v>7</v>
      </c>
      <c r="AK491" s="2">
        <v>7</v>
      </c>
      <c r="AL491" s="2">
        <v>7</v>
      </c>
      <c r="AM491" s="2">
        <v>7</v>
      </c>
      <c r="AN491" s="2">
        <v>7</v>
      </c>
      <c r="AO491" s="2">
        <v>7</v>
      </c>
      <c r="AP491" s="2">
        <v>7</v>
      </c>
      <c r="AQ491" s="2" t="e">
        <f t="shared" ca="1" si="138"/>
        <v>#NAME?</v>
      </c>
      <c r="AR491" s="2">
        <v>7</v>
      </c>
      <c r="AS491" s="2">
        <v>7</v>
      </c>
      <c r="AT491" s="2">
        <v>7</v>
      </c>
      <c r="AU491" s="2">
        <v>8</v>
      </c>
      <c r="AV491" s="2">
        <v>9</v>
      </c>
      <c r="AW491" s="54">
        <f t="shared" si="114"/>
        <v>8</v>
      </c>
      <c r="AX491" s="48"/>
      <c r="AY491" s="2"/>
      <c r="AZ491" s="91">
        <v>10</v>
      </c>
      <c r="BA491" s="92">
        <v>6</v>
      </c>
      <c r="BB491" s="92">
        <v>10</v>
      </c>
      <c r="BC491" s="91">
        <v>10</v>
      </c>
      <c r="BD491" s="2">
        <v>5</v>
      </c>
      <c r="BE491" s="2">
        <v>5</v>
      </c>
      <c r="BF491" s="2">
        <v>4</v>
      </c>
      <c r="BG491" s="2">
        <v>4</v>
      </c>
      <c r="BH491" s="2">
        <v>4</v>
      </c>
      <c r="BI491" s="2">
        <v>4</v>
      </c>
      <c r="BJ491" s="2" t="e">
        <f t="shared" ca="1" si="139"/>
        <v>#NAME?</v>
      </c>
      <c r="BK491" s="5">
        <v>4</v>
      </c>
      <c r="BL491" s="5">
        <v>5</v>
      </c>
      <c r="BM491" s="5">
        <v>5</v>
      </c>
      <c r="BN491" s="5">
        <v>5</v>
      </c>
      <c r="BO491" s="5">
        <v>5</v>
      </c>
      <c r="BP491" s="54">
        <f t="shared" si="115"/>
        <v>5</v>
      </c>
      <c r="BQ491" s="5"/>
      <c r="BR491" s="5"/>
      <c r="BS491" s="5">
        <v>5</v>
      </c>
      <c r="BT491" s="5">
        <v>5</v>
      </c>
      <c r="BU491" s="5">
        <v>5</v>
      </c>
      <c r="BV491" s="5">
        <v>5</v>
      </c>
      <c r="BW491" s="5">
        <v>5</v>
      </c>
      <c r="BX491" s="5">
        <v>5</v>
      </c>
      <c r="BY491" s="5">
        <v>5</v>
      </c>
      <c r="BZ491" s="5">
        <v>5</v>
      </c>
      <c r="CA491" s="5">
        <v>5</v>
      </c>
      <c r="CB491" s="5">
        <v>5</v>
      </c>
      <c r="CC491" s="2" t="e">
        <f t="shared" ca="1" si="140"/>
        <v>#NAME?</v>
      </c>
      <c r="CD491" s="55"/>
      <c r="CE491" s="2"/>
      <c r="CF491" s="2">
        <v>8</v>
      </c>
      <c r="CG491" s="2">
        <v>7</v>
      </c>
      <c r="CH491" s="2">
        <v>5</v>
      </c>
      <c r="CI491" s="2">
        <v>5</v>
      </c>
      <c r="CJ491" s="2">
        <v>7</v>
      </c>
      <c r="CK491" s="2">
        <v>8</v>
      </c>
      <c r="CL491" s="2">
        <v>9</v>
      </c>
      <c r="CM491" s="2">
        <v>10</v>
      </c>
      <c r="CN491" s="2">
        <v>10</v>
      </c>
      <c r="CO491" s="2">
        <v>10</v>
      </c>
      <c r="CP491" s="2" t="e">
        <f t="shared" ca="1" si="141"/>
        <v>#NAME?</v>
      </c>
      <c r="CQ491" s="2">
        <v>8</v>
      </c>
      <c r="CR491" s="2">
        <v>7</v>
      </c>
      <c r="CS491" s="2">
        <v>5</v>
      </c>
      <c r="CT491" s="2">
        <v>9</v>
      </c>
      <c r="CU491" s="2">
        <v>10</v>
      </c>
      <c r="CV491" s="54">
        <f t="shared" si="116"/>
        <v>8</v>
      </c>
      <c r="CW491" s="55">
        <v>4</v>
      </c>
      <c r="CX491" s="3"/>
    </row>
    <row r="492" spans="1:102" ht="16.5" x14ac:dyDescent="0.55000000000000004">
      <c r="A492" s="17">
        <v>2</v>
      </c>
      <c r="B492" s="17" t="s">
        <v>9</v>
      </c>
      <c r="C492" s="23" t="s">
        <v>1025</v>
      </c>
      <c r="D492" s="24" t="s">
        <v>1026</v>
      </c>
      <c r="E492" s="48">
        <v>8</v>
      </c>
      <c r="F492" s="2">
        <v>8</v>
      </c>
      <c r="G492" s="2">
        <v>10</v>
      </c>
      <c r="H492" s="2">
        <v>10</v>
      </c>
      <c r="I492" s="2">
        <v>10</v>
      </c>
      <c r="J492" s="2">
        <v>10</v>
      </c>
      <c r="K492" s="2">
        <v>10</v>
      </c>
      <c r="L492" s="2">
        <v>10</v>
      </c>
      <c r="M492" s="2">
        <v>10</v>
      </c>
      <c r="N492" s="2">
        <v>10</v>
      </c>
      <c r="O492" s="2">
        <v>10</v>
      </c>
      <c r="P492" s="2">
        <v>10</v>
      </c>
      <c r="Q492" s="2" t="e">
        <f t="shared" ca="1" si="137"/>
        <v>#NAME?</v>
      </c>
      <c r="R492" s="2">
        <v>10</v>
      </c>
      <c r="S492" s="2">
        <v>10</v>
      </c>
      <c r="T492" s="2">
        <v>10</v>
      </c>
      <c r="U492" s="2">
        <v>10</v>
      </c>
      <c r="V492" s="2">
        <v>10</v>
      </c>
      <c r="W492" s="54">
        <f t="shared" si="113"/>
        <v>10</v>
      </c>
      <c r="X492" s="48" t="s">
        <v>31</v>
      </c>
      <c r="Y492" s="2">
        <v>7</v>
      </c>
      <c r="Z492" s="2">
        <v>19</v>
      </c>
      <c r="AA492" s="2">
        <v>10</v>
      </c>
      <c r="AB492" s="2">
        <v>10</v>
      </c>
      <c r="AC492" s="2">
        <v>10</v>
      </c>
      <c r="AD492" s="2">
        <v>10</v>
      </c>
      <c r="AE492" s="2">
        <v>10</v>
      </c>
      <c r="AF492" s="2">
        <v>10</v>
      </c>
      <c r="AG492" s="2">
        <v>7</v>
      </c>
      <c r="AH492" s="2">
        <v>8</v>
      </c>
      <c r="AI492" s="2">
        <v>9</v>
      </c>
      <c r="AJ492" s="2">
        <v>8</v>
      </c>
      <c r="AK492" s="2">
        <v>8</v>
      </c>
      <c r="AL492" s="2">
        <v>8</v>
      </c>
      <c r="AM492" s="2">
        <v>8</v>
      </c>
      <c r="AN492" s="2">
        <v>8</v>
      </c>
      <c r="AO492" s="2">
        <v>8</v>
      </c>
      <c r="AP492" s="2">
        <v>8</v>
      </c>
      <c r="AQ492" s="2" t="e">
        <f t="shared" ca="1" si="138"/>
        <v>#NAME?</v>
      </c>
      <c r="AR492" s="2">
        <v>10</v>
      </c>
      <c r="AS492" s="2">
        <v>10</v>
      </c>
      <c r="AT492" s="2">
        <v>10</v>
      </c>
      <c r="AU492" s="2">
        <v>10</v>
      </c>
      <c r="AV492" s="2">
        <v>9</v>
      </c>
      <c r="AW492" s="54">
        <f t="shared" si="114"/>
        <v>10</v>
      </c>
      <c r="AX492" s="48"/>
      <c r="AY492" s="2"/>
      <c r="AZ492" s="5">
        <v>10</v>
      </c>
      <c r="BA492" s="5">
        <v>10</v>
      </c>
      <c r="BB492" s="5">
        <v>10</v>
      </c>
      <c r="BC492" s="5">
        <v>10</v>
      </c>
      <c r="BD492" s="5">
        <v>10</v>
      </c>
      <c r="BE492" s="5">
        <v>10</v>
      </c>
      <c r="BF492" s="5">
        <v>10</v>
      </c>
      <c r="BG492" s="5">
        <v>10</v>
      </c>
      <c r="BH492" s="5">
        <v>10</v>
      </c>
      <c r="BI492" s="5">
        <v>10</v>
      </c>
      <c r="BJ492" s="2" t="e">
        <f t="shared" ca="1" si="139"/>
        <v>#NAME?</v>
      </c>
      <c r="BK492" s="70">
        <v>10</v>
      </c>
      <c r="BL492" s="70">
        <v>10</v>
      </c>
      <c r="BM492" s="70">
        <v>10</v>
      </c>
      <c r="BN492" s="70">
        <v>10</v>
      </c>
      <c r="BO492" s="70">
        <v>10</v>
      </c>
      <c r="BP492" s="54">
        <f t="shared" si="115"/>
        <v>10</v>
      </c>
      <c r="BQ492" s="5"/>
      <c r="BR492" s="5"/>
      <c r="BS492" s="47">
        <v>10</v>
      </c>
      <c r="BT492" s="47">
        <v>10</v>
      </c>
      <c r="BU492" s="47">
        <v>10</v>
      </c>
      <c r="BV492" s="47">
        <v>10</v>
      </c>
      <c r="BW492" s="47">
        <v>10</v>
      </c>
      <c r="BX492" s="47">
        <v>10</v>
      </c>
      <c r="BY492" s="47">
        <v>10</v>
      </c>
      <c r="BZ492" s="47">
        <v>10</v>
      </c>
      <c r="CA492" s="47">
        <v>10</v>
      </c>
      <c r="CB492" s="47">
        <v>10</v>
      </c>
      <c r="CC492" s="2" t="e">
        <f t="shared" ca="1" si="140"/>
        <v>#NAME?</v>
      </c>
      <c r="CD492" s="55"/>
      <c r="CE492" s="2"/>
      <c r="CF492" s="2">
        <v>10</v>
      </c>
      <c r="CG492" s="2">
        <v>10</v>
      </c>
      <c r="CH492" s="2">
        <v>10</v>
      </c>
      <c r="CI492" s="2">
        <v>10</v>
      </c>
      <c r="CJ492" s="2">
        <v>10</v>
      </c>
      <c r="CK492" s="2">
        <v>10</v>
      </c>
      <c r="CL492" s="2">
        <v>10</v>
      </c>
      <c r="CM492" s="2">
        <v>10</v>
      </c>
      <c r="CN492" s="2">
        <v>10</v>
      </c>
      <c r="CO492" s="2">
        <v>10</v>
      </c>
      <c r="CP492" s="2" t="e">
        <f t="shared" ca="1" si="141"/>
        <v>#NAME?</v>
      </c>
      <c r="CQ492" s="2">
        <v>10</v>
      </c>
      <c r="CR492" s="2">
        <v>10</v>
      </c>
      <c r="CS492" s="2">
        <v>10</v>
      </c>
      <c r="CT492" s="2">
        <v>10</v>
      </c>
      <c r="CU492" s="2">
        <v>10</v>
      </c>
      <c r="CV492" s="54">
        <f t="shared" si="116"/>
        <v>10</v>
      </c>
      <c r="CW492" s="55">
        <v>16</v>
      </c>
      <c r="CX492" s="3"/>
    </row>
    <row r="493" spans="1:102" ht="16.5" x14ac:dyDescent="0.55000000000000004">
      <c r="A493" s="17">
        <v>2</v>
      </c>
      <c r="B493" s="17" t="s">
        <v>9</v>
      </c>
      <c r="C493" s="23" t="s">
        <v>1027</v>
      </c>
      <c r="D493" s="24" t="s">
        <v>1028</v>
      </c>
      <c r="E493" s="48">
        <v>8</v>
      </c>
      <c r="F493" s="2">
        <v>8</v>
      </c>
      <c r="G493" s="2">
        <v>10</v>
      </c>
      <c r="H493" s="2">
        <v>10</v>
      </c>
      <c r="I493" s="2">
        <v>10</v>
      </c>
      <c r="J493" s="2">
        <v>10</v>
      </c>
      <c r="K493" s="2">
        <v>10</v>
      </c>
      <c r="L493" s="2">
        <v>10</v>
      </c>
      <c r="M493" s="2">
        <v>10</v>
      </c>
      <c r="N493" s="2">
        <v>9</v>
      </c>
      <c r="O493" s="2">
        <v>10</v>
      </c>
      <c r="P493" s="2">
        <v>10</v>
      </c>
      <c r="Q493" s="2" t="e">
        <f t="shared" ca="1" si="137"/>
        <v>#NAME?</v>
      </c>
      <c r="R493" s="2">
        <v>10</v>
      </c>
      <c r="S493" s="2">
        <v>10</v>
      </c>
      <c r="T493" s="2">
        <v>10</v>
      </c>
      <c r="U493" s="2">
        <v>10</v>
      </c>
      <c r="V493" s="2">
        <v>10</v>
      </c>
      <c r="W493" s="54">
        <f t="shared" si="113"/>
        <v>10</v>
      </c>
      <c r="X493" s="48">
        <v>5</v>
      </c>
      <c r="Y493" s="2">
        <v>5</v>
      </c>
      <c r="Z493" s="2">
        <v>7</v>
      </c>
      <c r="AA493" s="2">
        <v>9</v>
      </c>
      <c r="AB493" s="2">
        <v>10</v>
      </c>
      <c r="AC493" s="2">
        <v>10</v>
      </c>
      <c r="AD493" s="2">
        <v>10</v>
      </c>
      <c r="AE493" s="2">
        <v>7</v>
      </c>
      <c r="AF493" s="2">
        <v>7</v>
      </c>
      <c r="AG493" s="2">
        <v>7</v>
      </c>
      <c r="AH493" s="2">
        <v>7</v>
      </c>
      <c r="AI493" s="2">
        <v>7</v>
      </c>
      <c r="AJ493" s="2">
        <v>7</v>
      </c>
      <c r="AK493" s="2">
        <v>7</v>
      </c>
      <c r="AL493" s="2">
        <v>7</v>
      </c>
      <c r="AM493" s="2">
        <v>7</v>
      </c>
      <c r="AN493" s="2">
        <v>7</v>
      </c>
      <c r="AO493" s="2">
        <v>7</v>
      </c>
      <c r="AP493" s="2">
        <v>7</v>
      </c>
      <c r="AQ493" s="2" t="e">
        <f t="shared" ca="1" si="138"/>
        <v>#NAME?</v>
      </c>
      <c r="AR493" s="2">
        <v>10</v>
      </c>
      <c r="AS493" s="2">
        <v>10</v>
      </c>
      <c r="AT493" s="2">
        <v>7</v>
      </c>
      <c r="AU493" s="2">
        <v>10</v>
      </c>
      <c r="AV493" s="2">
        <v>10</v>
      </c>
      <c r="AW493" s="54">
        <f t="shared" si="114"/>
        <v>10</v>
      </c>
      <c r="AX493" s="48"/>
      <c r="AY493" s="2"/>
      <c r="AZ493" s="2">
        <v>5</v>
      </c>
      <c r="BA493" s="2">
        <v>4</v>
      </c>
      <c r="BB493" s="2">
        <v>4</v>
      </c>
      <c r="BC493" s="2">
        <v>4</v>
      </c>
      <c r="BD493" s="2">
        <v>5</v>
      </c>
      <c r="BE493" s="2">
        <v>5</v>
      </c>
      <c r="BF493" s="2">
        <v>5</v>
      </c>
      <c r="BG493" s="2">
        <v>4</v>
      </c>
      <c r="BH493" s="2">
        <v>4</v>
      </c>
      <c r="BI493" s="2">
        <v>4</v>
      </c>
      <c r="BJ493" s="2" t="e">
        <f t="shared" ca="1" si="139"/>
        <v>#NAME?</v>
      </c>
      <c r="BK493" s="2">
        <v>3</v>
      </c>
      <c r="BL493" s="2">
        <v>4</v>
      </c>
      <c r="BM493" s="2">
        <v>4</v>
      </c>
      <c r="BN493" s="2">
        <v>4</v>
      </c>
      <c r="BO493" s="2">
        <v>4</v>
      </c>
      <c r="BP493" s="54">
        <f t="shared" si="115"/>
        <v>4</v>
      </c>
      <c r="BQ493" s="5"/>
      <c r="BR493" s="5"/>
      <c r="BS493" s="47">
        <v>8</v>
      </c>
      <c r="BT493" s="47">
        <v>8</v>
      </c>
      <c r="BU493" s="47">
        <v>8</v>
      </c>
      <c r="BV493" s="47">
        <v>8</v>
      </c>
      <c r="BW493" s="47">
        <v>8</v>
      </c>
      <c r="BX493" s="47">
        <v>8</v>
      </c>
      <c r="BY493" s="47">
        <v>8</v>
      </c>
      <c r="BZ493" s="47">
        <v>8</v>
      </c>
      <c r="CA493" s="47">
        <v>8</v>
      </c>
      <c r="CB493" s="47">
        <v>8</v>
      </c>
      <c r="CC493" s="2" t="e">
        <f t="shared" ca="1" si="140"/>
        <v>#NAME?</v>
      </c>
      <c r="CD493" s="55"/>
      <c r="CE493" s="2"/>
      <c r="CF493" s="2">
        <v>7</v>
      </c>
      <c r="CG493" s="2">
        <v>8</v>
      </c>
      <c r="CH493" s="2">
        <v>9</v>
      </c>
      <c r="CI493" s="2">
        <v>7</v>
      </c>
      <c r="CJ493" s="2">
        <v>8</v>
      </c>
      <c r="CK493" s="2">
        <v>9</v>
      </c>
      <c r="CL493" s="2">
        <v>7</v>
      </c>
      <c r="CM493" s="2">
        <v>8</v>
      </c>
      <c r="CN493" s="2">
        <v>9</v>
      </c>
      <c r="CO493" s="2">
        <v>10</v>
      </c>
      <c r="CP493" s="2" t="e">
        <f t="shared" ca="1" si="141"/>
        <v>#NAME?</v>
      </c>
      <c r="CQ493" s="2">
        <v>7</v>
      </c>
      <c r="CR493" s="2">
        <v>8</v>
      </c>
      <c r="CS493" s="2">
        <v>9</v>
      </c>
      <c r="CT493" s="2">
        <v>10</v>
      </c>
      <c r="CU493" s="2">
        <v>10</v>
      </c>
      <c r="CV493" s="54">
        <f t="shared" si="116"/>
        <v>9</v>
      </c>
      <c r="CW493" s="55">
        <v>6</v>
      </c>
      <c r="CX493" s="3"/>
    </row>
    <row r="494" spans="1:102" ht="16.5" x14ac:dyDescent="0.55000000000000004">
      <c r="A494" s="17">
        <v>2</v>
      </c>
      <c r="B494" s="17" t="s">
        <v>9</v>
      </c>
      <c r="C494" s="23" t="s">
        <v>1029</v>
      </c>
      <c r="D494" s="24" t="s">
        <v>1030</v>
      </c>
      <c r="E494" s="48">
        <v>8</v>
      </c>
      <c r="F494" s="2">
        <v>9</v>
      </c>
      <c r="G494" s="2">
        <v>10</v>
      </c>
      <c r="H494" s="2">
        <v>10</v>
      </c>
      <c r="I494" s="2">
        <v>10</v>
      </c>
      <c r="J494" s="2">
        <v>10</v>
      </c>
      <c r="K494" s="2">
        <v>10</v>
      </c>
      <c r="L494" s="2">
        <v>10</v>
      </c>
      <c r="M494" s="2">
        <v>10</v>
      </c>
      <c r="N494" s="2">
        <v>10</v>
      </c>
      <c r="O494" s="2">
        <v>10</v>
      </c>
      <c r="P494" s="2">
        <v>10</v>
      </c>
      <c r="Q494" s="2" t="e">
        <f t="shared" ca="1" si="137"/>
        <v>#NAME?</v>
      </c>
      <c r="R494" s="2">
        <v>10</v>
      </c>
      <c r="S494" s="2">
        <v>10</v>
      </c>
      <c r="T494" s="2">
        <v>10</v>
      </c>
      <c r="U494" s="2">
        <v>10</v>
      </c>
      <c r="V494" s="2">
        <v>10</v>
      </c>
      <c r="W494" s="54">
        <f t="shared" si="113"/>
        <v>10</v>
      </c>
      <c r="X494" s="48">
        <v>1</v>
      </c>
      <c r="Y494" s="2">
        <v>6</v>
      </c>
      <c r="Z494" s="2">
        <v>13</v>
      </c>
      <c r="AA494" s="2">
        <v>9</v>
      </c>
      <c r="AB494" s="2">
        <v>10</v>
      </c>
      <c r="AC494" s="2">
        <v>10</v>
      </c>
      <c r="AD494" s="2">
        <v>10</v>
      </c>
      <c r="AE494" s="2">
        <v>10</v>
      </c>
      <c r="AF494" s="2">
        <v>8</v>
      </c>
      <c r="AG494" s="2">
        <v>8</v>
      </c>
      <c r="AH494" s="2">
        <v>8</v>
      </c>
      <c r="AI494" s="2">
        <v>8</v>
      </c>
      <c r="AJ494" s="2">
        <v>8</v>
      </c>
      <c r="AK494" s="2">
        <v>8</v>
      </c>
      <c r="AL494" s="2">
        <v>8</v>
      </c>
      <c r="AM494" s="2">
        <v>8</v>
      </c>
      <c r="AN494" s="2">
        <v>8</v>
      </c>
      <c r="AO494" s="2">
        <v>8</v>
      </c>
      <c r="AP494" s="2">
        <v>8</v>
      </c>
      <c r="AQ494" s="2" t="e">
        <f t="shared" ca="1" si="138"/>
        <v>#NAME?</v>
      </c>
      <c r="AR494" s="2">
        <v>9</v>
      </c>
      <c r="AS494" s="2">
        <v>9</v>
      </c>
      <c r="AT494" s="2">
        <v>10</v>
      </c>
      <c r="AU494" s="2">
        <v>10</v>
      </c>
      <c r="AV494" s="2">
        <v>10</v>
      </c>
      <c r="AW494" s="54">
        <f t="shared" si="114"/>
        <v>10</v>
      </c>
      <c r="AX494" s="48"/>
      <c r="AY494" s="2"/>
      <c r="AZ494" s="2">
        <v>10</v>
      </c>
      <c r="BA494" s="2">
        <v>10</v>
      </c>
      <c r="BB494" s="2">
        <v>10</v>
      </c>
      <c r="BC494" s="2">
        <v>10</v>
      </c>
      <c r="BD494" s="2">
        <v>10</v>
      </c>
      <c r="BE494" s="2">
        <v>10</v>
      </c>
      <c r="BF494" s="2">
        <v>10</v>
      </c>
      <c r="BG494" s="2">
        <v>10</v>
      </c>
      <c r="BH494" s="2">
        <v>10</v>
      </c>
      <c r="BI494" s="2">
        <v>10</v>
      </c>
      <c r="BJ494" s="2" t="e">
        <f t="shared" ca="1" si="139"/>
        <v>#NAME?</v>
      </c>
      <c r="BK494" s="70">
        <v>10</v>
      </c>
      <c r="BL494" s="70">
        <v>6</v>
      </c>
      <c r="BM494" s="70">
        <v>10</v>
      </c>
      <c r="BN494" s="2">
        <v>10</v>
      </c>
      <c r="BO494" s="2">
        <v>10</v>
      </c>
      <c r="BP494" s="54">
        <f t="shared" si="115"/>
        <v>10</v>
      </c>
      <c r="BQ494" s="5"/>
      <c r="BR494" s="5"/>
      <c r="BS494" s="47">
        <v>9</v>
      </c>
      <c r="BT494" s="47">
        <v>9</v>
      </c>
      <c r="BU494" s="47">
        <v>9</v>
      </c>
      <c r="BV494" s="47">
        <v>9</v>
      </c>
      <c r="BW494" s="47">
        <v>9</v>
      </c>
      <c r="BX494" s="47">
        <v>9</v>
      </c>
      <c r="BY494" s="47">
        <v>9</v>
      </c>
      <c r="BZ494" s="47">
        <v>9</v>
      </c>
      <c r="CA494" s="47">
        <v>9</v>
      </c>
      <c r="CB494" s="47">
        <v>9</v>
      </c>
      <c r="CC494" s="2" t="e">
        <f t="shared" ca="1" si="140"/>
        <v>#NAME?</v>
      </c>
      <c r="CD494" s="55"/>
      <c r="CE494" s="2"/>
      <c r="CF494" s="2">
        <v>10</v>
      </c>
      <c r="CG494" s="2">
        <v>10</v>
      </c>
      <c r="CH494" s="2">
        <v>8</v>
      </c>
      <c r="CI494" s="2">
        <v>9</v>
      </c>
      <c r="CJ494" s="2">
        <v>10</v>
      </c>
      <c r="CK494" s="2">
        <v>10</v>
      </c>
      <c r="CL494" s="2">
        <v>10</v>
      </c>
      <c r="CM494" s="2">
        <v>9</v>
      </c>
      <c r="CN494" s="2">
        <v>10</v>
      </c>
      <c r="CO494" s="2">
        <v>10</v>
      </c>
      <c r="CP494" s="2" t="e">
        <f t="shared" ca="1" si="141"/>
        <v>#NAME?</v>
      </c>
      <c r="CQ494" s="2">
        <v>8</v>
      </c>
      <c r="CR494" s="2">
        <v>7</v>
      </c>
      <c r="CS494" s="2">
        <v>8</v>
      </c>
      <c r="CT494" s="2">
        <v>7</v>
      </c>
      <c r="CU494" s="2">
        <v>7</v>
      </c>
      <c r="CV494" s="54">
        <f t="shared" si="116"/>
        <v>8</v>
      </c>
      <c r="CW494" s="55">
        <v>6</v>
      </c>
      <c r="CX494" s="3"/>
    </row>
    <row r="495" spans="1:102" ht="16.5" x14ac:dyDescent="0.55000000000000004">
      <c r="A495" s="17">
        <v>2</v>
      </c>
      <c r="B495" s="17" t="s">
        <v>9</v>
      </c>
      <c r="C495" s="23" t="s">
        <v>1031</v>
      </c>
      <c r="D495" s="24" t="s">
        <v>1032</v>
      </c>
      <c r="E495" s="48">
        <v>6</v>
      </c>
      <c r="F495" s="2">
        <v>6</v>
      </c>
      <c r="G495" s="2">
        <v>7</v>
      </c>
      <c r="H495" s="2">
        <v>7</v>
      </c>
      <c r="I495" s="2">
        <v>7</v>
      </c>
      <c r="J495" s="2">
        <v>7</v>
      </c>
      <c r="K495" s="2">
        <v>7</v>
      </c>
      <c r="L495" s="2">
        <v>7</v>
      </c>
      <c r="M495" s="2">
        <v>7</v>
      </c>
      <c r="N495" s="2">
        <v>8</v>
      </c>
      <c r="O495" s="2">
        <v>8</v>
      </c>
      <c r="P495" s="2">
        <v>8</v>
      </c>
      <c r="Q495" s="2" t="e">
        <f t="shared" ca="1" si="137"/>
        <v>#NAME?</v>
      </c>
      <c r="R495" s="2">
        <v>7</v>
      </c>
      <c r="S495" s="2">
        <v>7</v>
      </c>
      <c r="T495" s="2">
        <v>7</v>
      </c>
      <c r="U495" s="2">
        <v>7</v>
      </c>
      <c r="V495" s="2">
        <v>7</v>
      </c>
      <c r="W495" s="54">
        <f t="shared" si="113"/>
        <v>7</v>
      </c>
      <c r="X495" s="48" t="s">
        <v>31</v>
      </c>
      <c r="Y495" s="2" t="s">
        <v>31</v>
      </c>
      <c r="Z495" s="2" t="s">
        <v>31</v>
      </c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 t="e">
        <f t="shared" ca="1" si="138"/>
        <v>#NAME?</v>
      </c>
      <c r="AR495" s="2"/>
      <c r="AS495" s="2"/>
      <c r="AT495" s="2"/>
      <c r="AU495" s="2"/>
      <c r="AV495" s="2"/>
      <c r="AW495" s="54">
        <f t="shared" si="114"/>
        <v>0</v>
      </c>
      <c r="AX495" s="48"/>
      <c r="AY495" s="2"/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 t="e">
        <f t="shared" ca="1" si="139"/>
        <v>#NAME?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54">
        <f t="shared" si="115"/>
        <v>0</v>
      </c>
      <c r="BQ495" s="5"/>
      <c r="BR495" s="5"/>
      <c r="BS495" s="47">
        <v>0</v>
      </c>
      <c r="BT495" s="47">
        <v>0</v>
      </c>
      <c r="BU495" s="47">
        <v>0</v>
      </c>
      <c r="BV495" s="47">
        <v>0</v>
      </c>
      <c r="BW495" s="47">
        <v>0</v>
      </c>
      <c r="BX495" s="47">
        <v>0</v>
      </c>
      <c r="BY495" s="47">
        <v>0</v>
      </c>
      <c r="BZ495" s="47">
        <v>0</v>
      </c>
      <c r="CA495" s="47">
        <v>0</v>
      </c>
      <c r="CB495" s="47">
        <v>0</v>
      </c>
      <c r="CC495" s="2" t="e">
        <f t="shared" ca="1" si="140"/>
        <v>#NAME?</v>
      </c>
      <c r="CD495" s="55"/>
      <c r="CE495" s="2"/>
      <c r="CF495" s="2">
        <v>10</v>
      </c>
      <c r="CG495" s="2">
        <v>10</v>
      </c>
      <c r="CH495" s="2">
        <v>10</v>
      </c>
      <c r="CI495" s="2">
        <v>10</v>
      </c>
      <c r="CJ495" s="2">
        <v>3</v>
      </c>
      <c r="CK495" s="2">
        <v>3</v>
      </c>
      <c r="CL495" s="2">
        <v>3</v>
      </c>
      <c r="CM495" s="2">
        <v>10</v>
      </c>
      <c r="CN495" s="2">
        <v>3</v>
      </c>
      <c r="CO495" s="2">
        <v>3</v>
      </c>
      <c r="CP495" s="2" t="e">
        <f t="shared" ca="1" si="141"/>
        <v>#NAME?</v>
      </c>
      <c r="CQ495" s="2">
        <v>4</v>
      </c>
      <c r="CR495" s="2">
        <v>4</v>
      </c>
      <c r="CS495" s="2">
        <v>4</v>
      </c>
      <c r="CT495" s="2">
        <v>4</v>
      </c>
      <c r="CU495" s="2">
        <v>4</v>
      </c>
      <c r="CV495" s="54">
        <f t="shared" si="116"/>
        <v>4</v>
      </c>
      <c r="CW495" s="55">
        <v>3</v>
      </c>
      <c r="CX495" s="3"/>
    </row>
    <row r="496" spans="1:102" ht="16.5" x14ac:dyDescent="0.55000000000000004">
      <c r="A496" s="17">
        <v>2</v>
      </c>
      <c r="B496" s="17" t="s">
        <v>9</v>
      </c>
      <c r="C496" s="23" t="s">
        <v>1033</v>
      </c>
      <c r="D496" s="24" t="s">
        <v>1034</v>
      </c>
      <c r="E496" s="48">
        <v>8</v>
      </c>
      <c r="F496" s="2">
        <v>7</v>
      </c>
      <c r="G496" s="2">
        <v>10</v>
      </c>
      <c r="H496" s="2">
        <v>10</v>
      </c>
      <c r="I496" s="2">
        <v>10</v>
      </c>
      <c r="J496" s="2">
        <v>10</v>
      </c>
      <c r="K496" s="2">
        <v>10</v>
      </c>
      <c r="L496" s="2">
        <v>10</v>
      </c>
      <c r="M496" s="2">
        <v>10</v>
      </c>
      <c r="N496" s="2">
        <v>10</v>
      </c>
      <c r="O496" s="2">
        <v>10</v>
      </c>
      <c r="P496" s="2">
        <v>10</v>
      </c>
      <c r="Q496" s="2" t="e">
        <f t="shared" ca="1" si="137"/>
        <v>#NAME?</v>
      </c>
      <c r="R496" s="2">
        <v>10</v>
      </c>
      <c r="S496" s="2">
        <v>10</v>
      </c>
      <c r="T496" s="2">
        <v>10</v>
      </c>
      <c r="U496" s="2">
        <v>9</v>
      </c>
      <c r="V496" s="2">
        <v>9</v>
      </c>
      <c r="W496" s="54">
        <f t="shared" si="113"/>
        <v>10</v>
      </c>
      <c r="X496" s="48">
        <v>6</v>
      </c>
      <c r="Y496" s="2">
        <v>5</v>
      </c>
      <c r="Z496" s="2">
        <v>9</v>
      </c>
      <c r="AA496" s="2">
        <v>10</v>
      </c>
      <c r="AB496" s="2">
        <v>10</v>
      </c>
      <c r="AC496" s="2">
        <v>10</v>
      </c>
      <c r="AD496" s="2">
        <v>10</v>
      </c>
      <c r="AE496" s="2">
        <v>10</v>
      </c>
      <c r="AF496" s="2">
        <v>9</v>
      </c>
      <c r="AG496" s="2">
        <v>8</v>
      </c>
      <c r="AH496" s="2">
        <v>8</v>
      </c>
      <c r="AI496" s="2">
        <v>8</v>
      </c>
      <c r="AJ496" s="2">
        <v>8</v>
      </c>
      <c r="AK496" s="2">
        <v>8</v>
      </c>
      <c r="AL496" s="2">
        <v>8</v>
      </c>
      <c r="AM496" s="2">
        <v>8</v>
      </c>
      <c r="AN496" s="2">
        <v>8</v>
      </c>
      <c r="AO496" s="2">
        <v>8</v>
      </c>
      <c r="AP496" s="2">
        <v>8</v>
      </c>
      <c r="AQ496" s="2" t="e">
        <f t="shared" ca="1" si="138"/>
        <v>#NAME?</v>
      </c>
      <c r="AR496" s="2">
        <v>10</v>
      </c>
      <c r="AS496" s="2">
        <v>10</v>
      </c>
      <c r="AT496" s="2">
        <v>9</v>
      </c>
      <c r="AU496" s="2">
        <v>10</v>
      </c>
      <c r="AV496" s="2">
        <v>10</v>
      </c>
      <c r="AW496" s="54">
        <f t="shared" si="114"/>
        <v>10</v>
      </c>
      <c r="AX496" s="48"/>
      <c r="AY496" s="2"/>
      <c r="AZ496" s="2">
        <v>10</v>
      </c>
      <c r="BA496" s="2">
        <v>10</v>
      </c>
      <c r="BB496" s="2">
        <v>10</v>
      </c>
      <c r="BC496" s="2">
        <v>10</v>
      </c>
      <c r="BD496" s="2">
        <v>10</v>
      </c>
      <c r="BE496" s="2">
        <v>10</v>
      </c>
      <c r="BF496" s="2">
        <v>10</v>
      </c>
      <c r="BG496" s="2">
        <v>10</v>
      </c>
      <c r="BH496" s="2">
        <v>10</v>
      </c>
      <c r="BI496" s="2">
        <v>10</v>
      </c>
      <c r="BJ496" s="2" t="e">
        <f t="shared" ca="1" si="139"/>
        <v>#NAME?</v>
      </c>
      <c r="BK496" s="2">
        <v>10</v>
      </c>
      <c r="BL496" s="2">
        <v>5</v>
      </c>
      <c r="BM496" s="2">
        <v>10</v>
      </c>
      <c r="BN496" s="2">
        <v>10</v>
      </c>
      <c r="BO496" s="2">
        <v>10</v>
      </c>
      <c r="BP496" s="54">
        <f t="shared" si="115"/>
        <v>9</v>
      </c>
      <c r="BQ496" s="5"/>
      <c r="BR496" s="5"/>
      <c r="BS496" s="47">
        <v>8</v>
      </c>
      <c r="BT496" s="47">
        <v>8</v>
      </c>
      <c r="BU496" s="47">
        <v>8</v>
      </c>
      <c r="BV496" s="47">
        <v>8</v>
      </c>
      <c r="BW496" s="47">
        <v>8</v>
      </c>
      <c r="BX496" s="47">
        <v>8</v>
      </c>
      <c r="BY496" s="47">
        <v>8</v>
      </c>
      <c r="BZ496" s="47">
        <v>8</v>
      </c>
      <c r="CA496" s="47">
        <v>8</v>
      </c>
      <c r="CB496" s="47">
        <v>8</v>
      </c>
      <c r="CC496" s="2" t="e">
        <f t="shared" ca="1" si="140"/>
        <v>#NAME?</v>
      </c>
      <c r="CD496" s="55"/>
      <c r="CE496" s="2"/>
      <c r="CF496" s="2">
        <v>10</v>
      </c>
      <c r="CG496" s="2">
        <v>10</v>
      </c>
      <c r="CH496" s="2">
        <v>10</v>
      </c>
      <c r="CI496" s="2">
        <v>9</v>
      </c>
      <c r="CJ496" s="2">
        <v>7</v>
      </c>
      <c r="CK496" s="2">
        <v>8</v>
      </c>
      <c r="CL496" s="2">
        <v>7</v>
      </c>
      <c r="CM496" s="2">
        <v>7</v>
      </c>
      <c r="CN496" s="2">
        <v>10</v>
      </c>
      <c r="CO496" s="2">
        <v>10</v>
      </c>
      <c r="CP496" s="2" t="e">
        <f t="shared" ca="1" si="141"/>
        <v>#NAME?</v>
      </c>
      <c r="CQ496" s="2">
        <v>8</v>
      </c>
      <c r="CR496" s="2">
        <v>10</v>
      </c>
      <c r="CS496" s="2">
        <v>10</v>
      </c>
      <c r="CT496" s="2">
        <v>10</v>
      </c>
      <c r="CU496" s="2">
        <v>10</v>
      </c>
      <c r="CV496" s="54">
        <f t="shared" si="116"/>
        <v>10</v>
      </c>
      <c r="CW496" s="55">
        <v>10</v>
      </c>
      <c r="CX496" s="3"/>
    </row>
    <row r="497" spans="1:102" ht="16.5" x14ac:dyDescent="0.55000000000000004">
      <c r="A497" s="17">
        <v>2</v>
      </c>
      <c r="B497" s="17" t="s">
        <v>9</v>
      </c>
      <c r="C497" s="23" t="s">
        <v>1035</v>
      </c>
      <c r="D497" s="24" t="s">
        <v>1036</v>
      </c>
      <c r="E497" s="48">
        <v>8</v>
      </c>
      <c r="F497" s="2">
        <v>8</v>
      </c>
      <c r="G497" s="2">
        <v>10</v>
      </c>
      <c r="H497" s="2">
        <v>10</v>
      </c>
      <c r="I497" s="2">
        <v>10</v>
      </c>
      <c r="J497" s="2">
        <v>9</v>
      </c>
      <c r="K497" s="2">
        <v>10</v>
      </c>
      <c r="L497" s="2">
        <v>9</v>
      </c>
      <c r="M497" s="2">
        <v>9</v>
      </c>
      <c r="N497" s="2">
        <v>10</v>
      </c>
      <c r="O497" s="2">
        <v>10</v>
      </c>
      <c r="P497" s="2">
        <v>10</v>
      </c>
      <c r="Q497" s="2" t="e">
        <f t="shared" ca="1" si="137"/>
        <v>#NAME?</v>
      </c>
      <c r="R497" s="2">
        <v>10</v>
      </c>
      <c r="S497" s="2">
        <v>9</v>
      </c>
      <c r="T497" s="2">
        <v>10</v>
      </c>
      <c r="U497" s="2">
        <v>9</v>
      </c>
      <c r="V497" s="2">
        <v>10</v>
      </c>
      <c r="W497" s="54">
        <f t="shared" si="113"/>
        <v>10</v>
      </c>
      <c r="X497" s="48">
        <v>6</v>
      </c>
      <c r="Y497" s="2">
        <v>3</v>
      </c>
      <c r="Z497" s="2">
        <v>5</v>
      </c>
      <c r="AA497" s="2">
        <v>10</v>
      </c>
      <c r="AB497" s="2">
        <v>10</v>
      </c>
      <c r="AC497" s="2">
        <v>10</v>
      </c>
      <c r="AD497" s="2">
        <v>10</v>
      </c>
      <c r="AE497" s="2">
        <v>10</v>
      </c>
      <c r="AF497" s="2">
        <v>10</v>
      </c>
      <c r="AG497" s="2">
        <v>10</v>
      </c>
      <c r="AH497" s="2">
        <v>8</v>
      </c>
      <c r="AI497" s="2">
        <v>8</v>
      </c>
      <c r="AJ497" s="2">
        <v>8</v>
      </c>
      <c r="AK497" s="2">
        <v>8</v>
      </c>
      <c r="AL497" s="2">
        <v>8</v>
      </c>
      <c r="AM497" s="2">
        <v>8</v>
      </c>
      <c r="AN497" s="2">
        <v>8</v>
      </c>
      <c r="AO497" s="2">
        <v>8</v>
      </c>
      <c r="AP497" s="2">
        <v>8</v>
      </c>
      <c r="AQ497" s="2" t="e">
        <f t="shared" ca="1" si="138"/>
        <v>#NAME?</v>
      </c>
      <c r="AR497" s="2">
        <v>10</v>
      </c>
      <c r="AS497" s="2">
        <v>9</v>
      </c>
      <c r="AT497" s="2">
        <v>9</v>
      </c>
      <c r="AU497" s="2">
        <v>10</v>
      </c>
      <c r="AV497" s="2">
        <v>10</v>
      </c>
      <c r="AW497" s="54">
        <f t="shared" si="114"/>
        <v>10</v>
      </c>
      <c r="AX497" s="48"/>
      <c r="AY497" s="2"/>
      <c r="AZ497" s="2">
        <v>4</v>
      </c>
      <c r="BA497" s="2">
        <v>3</v>
      </c>
      <c r="BB497" s="2">
        <v>5</v>
      </c>
      <c r="BC497" s="2">
        <v>5</v>
      </c>
      <c r="BD497" s="2">
        <v>6</v>
      </c>
      <c r="BE497" s="2">
        <v>6</v>
      </c>
      <c r="BF497" s="2">
        <v>6</v>
      </c>
      <c r="BG497" s="2">
        <v>8</v>
      </c>
      <c r="BH497" s="2">
        <v>8</v>
      </c>
      <c r="BI497" s="2">
        <v>8</v>
      </c>
      <c r="BJ497" s="2" t="e">
        <f t="shared" ca="1" si="139"/>
        <v>#NAME?</v>
      </c>
      <c r="BK497" s="2">
        <v>6</v>
      </c>
      <c r="BL497" s="2">
        <v>6</v>
      </c>
      <c r="BM497" s="2">
        <v>6</v>
      </c>
      <c r="BN497" s="2">
        <v>6</v>
      </c>
      <c r="BO497" s="2">
        <v>6</v>
      </c>
      <c r="BP497" s="54">
        <f t="shared" si="115"/>
        <v>6</v>
      </c>
      <c r="BQ497" s="5"/>
      <c r="BR497" s="5"/>
      <c r="BS497" s="47">
        <v>9</v>
      </c>
      <c r="BT497" s="47">
        <v>9</v>
      </c>
      <c r="BU497" s="47">
        <v>9</v>
      </c>
      <c r="BV497" s="47">
        <v>9</v>
      </c>
      <c r="BW497" s="47">
        <v>9</v>
      </c>
      <c r="BX497" s="47">
        <v>9</v>
      </c>
      <c r="BY497" s="47">
        <v>9</v>
      </c>
      <c r="BZ497" s="47">
        <v>9</v>
      </c>
      <c r="CA497" s="47">
        <v>9</v>
      </c>
      <c r="CB497" s="47">
        <v>9</v>
      </c>
      <c r="CC497" s="2" t="e">
        <f t="shared" ca="1" si="140"/>
        <v>#NAME?</v>
      </c>
      <c r="CD497" s="55"/>
      <c r="CE497" s="2"/>
      <c r="CF497" s="2">
        <v>10</v>
      </c>
      <c r="CG497" s="2">
        <v>10</v>
      </c>
      <c r="CH497" s="2">
        <v>10</v>
      </c>
      <c r="CI497" s="2">
        <v>10</v>
      </c>
      <c r="CJ497" s="2">
        <v>10</v>
      </c>
      <c r="CK497" s="2">
        <v>10</v>
      </c>
      <c r="CL497" s="2">
        <v>10</v>
      </c>
      <c r="CM497" s="2">
        <v>10</v>
      </c>
      <c r="CN497" s="2">
        <v>10</v>
      </c>
      <c r="CO497" s="2">
        <v>10</v>
      </c>
      <c r="CP497" s="2" t="e">
        <f t="shared" ca="1" si="141"/>
        <v>#NAME?</v>
      </c>
      <c r="CQ497" s="2">
        <v>10</v>
      </c>
      <c r="CR497" s="2">
        <v>10</v>
      </c>
      <c r="CS497" s="2">
        <v>10</v>
      </c>
      <c r="CT497" s="2">
        <v>10</v>
      </c>
      <c r="CU497" s="2">
        <v>10</v>
      </c>
      <c r="CV497" s="54">
        <f t="shared" si="116"/>
        <v>10</v>
      </c>
      <c r="CW497" s="55">
        <v>15</v>
      </c>
      <c r="CX497" s="3"/>
    </row>
    <row r="498" spans="1:102" ht="16.5" x14ac:dyDescent="0.55000000000000004">
      <c r="A498" s="17">
        <v>2</v>
      </c>
      <c r="B498" s="17" t="s">
        <v>9</v>
      </c>
      <c r="C498" s="23" t="s">
        <v>1037</v>
      </c>
      <c r="D498" s="24" t="s">
        <v>1038</v>
      </c>
      <c r="E498" s="48">
        <v>10</v>
      </c>
      <c r="F498" s="2">
        <v>10</v>
      </c>
      <c r="G498" s="2">
        <v>10</v>
      </c>
      <c r="H498" s="2">
        <v>10</v>
      </c>
      <c r="I498" s="2">
        <v>10</v>
      </c>
      <c r="J498" s="2">
        <v>10</v>
      </c>
      <c r="K498" s="2">
        <v>10</v>
      </c>
      <c r="L498" s="2">
        <v>10</v>
      </c>
      <c r="M498" s="2">
        <v>10</v>
      </c>
      <c r="N498" s="2">
        <v>10</v>
      </c>
      <c r="O498" s="2">
        <v>10</v>
      </c>
      <c r="P498" s="2">
        <v>10</v>
      </c>
      <c r="Q498" s="2" t="e">
        <f t="shared" ca="1" si="137"/>
        <v>#NAME?</v>
      </c>
      <c r="R498" s="2">
        <v>10</v>
      </c>
      <c r="S498" s="2">
        <v>10</v>
      </c>
      <c r="T498" s="2">
        <v>10</v>
      </c>
      <c r="U498" s="2">
        <v>10</v>
      </c>
      <c r="V498" s="2">
        <v>10</v>
      </c>
      <c r="W498" s="54">
        <f t="shared" si="113"/>
        <v>10</v>
      </c>
      <c r="X498" s="48">
        <v>10</v>
      </c>
      <c r="Y498" s="2">
        <v>10</v>
      </c>
      <c r="Z498" s="2">
        <v>11</v>
      </c>
      <c r="AA498" s="2">
        <v>10</v>
      </c>
      <c r="AB498" s="2">
        <v>10</v>
      </c>
      <c r="AC498" s="2">
        <v>10</v>
      </c>
      <c r="AD498" s="2">
        <v>10</v>
      </c>
      <c r="AE498" s="2">
        <v>10</v>
      </c>
      <c r="AF498" s="2">
        <v>10</v>
      </c>
      <c r="AG498" s="2">
        <v>10</v>
      </c>
      <c r="AH498" s="2">
        <v>10</v>
      </c>
      <c r="AI498" s="2">
        <v>10</v>
      </c>
      <c r="AJ498" s="2">
        <v>10</v>
      </c>
      <c r="AK498" s="2">
        <v>10</v>
      </c>
      <c r="AL498" s="2">
        <v>10</v>
      </c>
      <c r="AM498" s="2">
        <v>10</v>
      </c>
      <c r="AN498" s="2">
        <v>10</v>
      </c>
      <c r="AO498" s="2">
        <v>10</v>
      </c>
      <c r="AP498" s="2">
        <v>10</v>
      </c>
      <c r="AQ498" s="2" t="e">
        <f t="shared" ca="1" si="138"/>
        <v>#NAME?</v>
      </c>
      <c r="AR498" s="2">
        <v>10</v>
      </c>
      <c r="AS498" s="2">
        <v>10</v>
      </c>
      <c r="AT498" s="2">
        <v>10</v>
      </c>
      <c r="AU498" s="2">
        <v>10</v>
      </c>
      <c r="AV498" s="2">
        <v>10</v>
      </c>
      <c r="AW498" s="54">
        <f t="shared" si="114"/>
        <v>10</v>
      </c>
      <c r="AX498" s="48"/>
      <c r="AY498" s="2"/>
      <c r="AZ498" s="2">
        <v>10</v>
      </c>
      <c r="BA498" s="2">
        <v>10</v>
      </c>
      <c r="BB498" s="2">
        <v>10</v>
      </c>
      <c r="BC498" s="2">
        <v>10</v>
      </c>
      <c r="BD498" s="2">
        <v>10</v>
      </c>
      <c r="BE498" s="2">
        <v>10</v>
      </c>
      <c r="BF498" s="2">
        <v>10</v>
      </c>
      <c r="BG498" s="2">
        <v>10</v>
      </c>
      <c r="BH498" s="2">
        <v>10</v>
      </c>
      <c r="BI498" s="2">
        <v>10</v>
      </c>
      <c r="BJ498" s="2" t="e">
        <f t="shared" ca="1" si="139"/>
        <v>#NAME?</v>
      </c>
      <c r="BK498" s="2">
        <v>10</v>
      </c>
      <c r="BL498" s="2">
        <v>10</v>
      </c>
      <c r="BM498" s="2">
        <v>10</v>
      </c>
      <c r="BN498" s="2">
        <v>10</v>
      </c>
      <c r="BO498" s="2">
        <v>10</v>
      </c>
      <c r="BP498" s="54">
        <f t="shared" si="115"/>
        <v>10</v>
      </c>
      <c r="BQ498" s="5"/>
      <c r="BR498" s="5"/>
      <c r="BS498" s="47">
        <v>10</v>
      </c>
      <c r="BT498" s="47">
        <v>10</v>
      </c>
      <c r="BU498" s="47">
        <v>10</v>
      </c>
      <c r="BV498" s="47">
        <v>10</v>
      </c>
      <c r="BW498" s="47">
        <v>10</v>
      </c>
      <c r="BX498" s="47">
        <v>10</v>
      </c>
      <c r="BY498" s="47">
        <v>10</v>
      </c>
      <c r="BZ498" s="47">
        <v>10</v>
      </c>
      <c r="CA498" s="47">
        <v>10</v>
      </c>
      <c r="CB498" s="47">
        <v>10</v>
      </c>
      <c r="CC498" s="2" t="e">
        <f t="shared" ca="1" si="140"/>
        <v>#NAME?</v>
      </c>
      <c r="CD498" s="55"/>
      <c r="CE498" s="2"/>
      <c r="CF498" s="2">
        <v>10</v>
      </c>
      <c r="CG498" s="2">
        <v>10</v>
      </c>
      <c r="CH498" s="2">
        <v>10</v>
      </c>
      <c r="CI498" s="2">
        <v>10</v>
      </c>
      <c r="CJ498" s="2">
        <v>10</v>
      </c>
      <c r="CK498" s="2">
        <v>10</v>
      </c>
      <c r="CL498" s="2">
        <v>10</v>
      </c>
      <c r="CM498" s="2">
        <v>10</v>
      </c>
      <c r="CN498" s="2">
        <v>10</v>
      </c>
      <c r="CO498" s="2">
        <v>10</v>
      </c>
      <c r="CP498" s="2" t="e">
        <f t="shared" ca="1" si="141"/>
        <v>#NAME?</v>
      </c>
      <c r="CQ498" s="2">
        <v>10</v>
      </c>
      <c r="CR498" s="2">
        <v>10</v>
      </c>
      <c r="CS498" s="2">
        <v>10</v>
      </c>
      <c r="CT498" s="2">
        <v>10</v>
      </c>
      <c r="CU498" s="2">
        <v>10</v>
      </c>
      <c r="CV498" s="54">
        <f t="shared" si="116"/>
        <v>10</v>
      </c>
      <c r="CW498" s="55">
        <v>16</v>
      </c>
      <c r="CX498" s="3"/>
    </row>
    <row r="499" spans="1:102" ht="16.5" x14ac:dyDescent="0.55000000000000004">
      <c r="A499" s="17">
        <v>2</v>
      </c>
      <c r="B499" s="17" t="s">
        <v>9</v>
      </c>
      <c r="C499" s="23" t="s">
        <v>1039</v>
      </c>
      <c r="D499" s="24" t="s">
        <v>1040</v>
      </c>
      <c r="E499" s="48">
        <v>8</v>
      </c>
      <c r="F499" s="2">
        <v>9</v>
      </c>
      <c r="G499" s="2">
        <v>10</v>
      </c>
      <c r="H499" s="2">
        <v>10</v>
      </c>
      <c r="I499" s="2">
        <v>10</v>
      </c>
      <c r="J499" s="2">
        <v>10</v>
      </c>
      <c r="K499" s="2">
        <v>10</v>
      </c>
      <c r="L499" s="2">
        <v>10</v>
      </c>
      <c r="M499" s="2">
        <v>10</v>
      </c>
      <c r="N499" s="2">
        <v>10</v>
      </c>
      <c r="O499" s="2">
        <v>10</v>
      </c>
      <c r="P499" s="2">
        <v>10</v>
      </c>
      <c r="Q499" s="2" t="e">
        <f t="shared" ca="1" si="137"/>
        <v>#NAME?</v>
      </c>
      <c r="R499" s="2">
        <v>10</v>
      </c>
      <c r="S499" s="2">
        <v>10</v>
      </c>
      <c r="T499" s="2">
        <v>10</v>
      </c>
      <c r="U499" s="2">
        <v>10</v>
      </c>
      <c r="V499" s="2">
        <v>10</v>
      </c>
      <c r="W499" s="54">
        <f t="shared" si="113"/>
        <v>10</v>
      </c>
      <c r="X499" s="48">
        <v>3</v>
      </c>
      <c r="Y499" s="2">
        <v>4</v>
      </c>
      <c r="Z499" s="2">
        <v>5</v>
      </c>
      <c r="AA499" s="2">
        <v>8</v>
      </c>
      <c r="AB499" s="2">
        <v>9</v>
      </c>
      <c r="AC499" s="2">
        <v>9</v>
      </c>
      <c r="AD499" s="2">
        <v>10</v>
      </c>
      <c r="AE499" s="2">
        <v>10</v>
      </c>
      <c r="AF499" s="2">
        <v>7</v>
      </c>
      <c r="AG499" s="2">
        <v>7</v>
      </c>
      <c r="AH499" s="2">
        <v>7</v>
      </c>
      <c r="AI499" s="2">
        <v>7</v>
      </c>
      <c r="AJ499" s="2">
        <v>7</v>
      </c>
      <c r="AK499" s="2">
        <v>7</v>
      </c>
      <c r="AL499" s="2">
        <v>7</v>
      </c>
      <c r="AM499" s="2">
        <v>7</v>
      </c>
      <c r="AN499" s="2">
        <v>7</v>
      </c>
      <c r="AO499" s="2">
        <v>7</v>
      </c>
      <c r="AP499" s="2">
        <v>7</v>
      </c>
      <c r="AQ499" s="2" t="e">
        <f t="shared" ca="1" si="138"/>
        <v>#NAME?</v>
      </c>
      <c r="AR499" s="2">
        <v>8</v>
      </c>
      <c r="AS499" s="2">
        <v>9</v>
      </c>
      <c r="AT499" s="2">
        <v>9</v>
      </c>
      <c r="AU499" s="2">
        <v>7</v>
      </c>
      <c r="AV499" s="2">
        <v>7</v>
      </c>
      <c r="AW499" s="54">
        <f t="shared" si="114"/>
        <v>8</v>
      </c>
      <c r="AX499" s="48"/>
      <c r="AY499" s="2"/>
      <c r="AZ499" s="5">
        <v>10</v>
      </c>
      <c r="BA499" s="5">
        <v>10</v>
      </c>
      <c r="BB499" s="5">
        <v>10</v>
      </c>
      <c r="BC499" s="5">
        <v>10</v>
      </c>
      <c r="BD499" s="5">
        <v>10</v>
      </c>
      <c r="BE499" s="5">
        <v>10</v>
      </c>
      <c r="BF499" s="5">
        <v>10</v>
      </c>
      <c r="BG499" s="5">
        <v>10</v>
      </c>
      <c r="BH499" s="5">
        <v>10</v>
      </c>
      <c r="BI499" s="5">
        <v>10</v>
      </c>
      <c r="BJ499" s="2" t="e">
        <f t="shared" ca="1" si="139"/>
        <v>#NAME?</v>
      </c>
      <c r="BK499" s="5">
        <v>10</v>
      </c>
      <c r="BL499" s="5">
        <v>5</v>
      </c>
      <c r="BM499" s="5">
        <v>10</v>
      </c>
      <c r="BN499" s="5">
        <v>10</v>
      </c>
      <c r="BO499" s="5">
        <v>10</v>
      </c>
      <c r="BP499" s="54">
        <f t="shared" si="115"/>
        <v>9</v>
      </c>
      <c r="BQ499" s="5"/>
      <c r="BR499" s="5"/>
      <c r="BS499" s="47">
        <v>8</v>
      </c>
      <c r="BT499" s="47">
        <v>8</v>
      </c>
      <c r="BU499" s="47">
        <v>8</v>
      </c>
      <c r="BV499" s="47">
        <v>8</v>
      </c>
      <c r="BW499" s="47">
        <v>8</v>
      </c>
      <c r="BX499" s="47">
        <v>8</v>
      </c>
      <c r="BY499" s="47">
        <v>8</v>
      </c>
      <c r="BZ499" s="47">
        <v>8</v>
      </c>
      <c r="CA499" s="47">
        <v>8</v>
      </c>
      <c r="CB499" s="47">
        <v>8</v>
      </c>
      <c r="CC499" s="2" t="e">
        <f t="shared" ca="1" si="140"/>
        <v>#NAME?</v>
      </c>
      <c r="CD499" s="55"/>
      <c r="CE499" s="2"/>
      <c r="CF499" s="2">
        <v>10</v>
      </c>
      <c r="CG499" s="2">
        <v>10</v>
      </c>
      <c r="CH499" s="2">
        <v>10</v>
      </c>
      <c r="CI499" s="2">
        <v>10</v>
      </c>
      <c r="CJ499" s="2">
        <v>10</v>
      </c>
      <c r="CK499" s="2">
        <v>10</v>
      </c>
      <c r="CL499" s="2">
        <v>10</v>
      </c>
      <c r="CM499" s="2">
        <v>10</v>
      </c>
      <c r="CN499" s="2">
        <v>10</v>
      </c>
      <c r="CO499" s="2">
        <v>10</v>
      </c>
      <c r="CP499" s="2" t="e">
        <f t="shared" ca="1" si="141"/>
        <v>#NAME?</v>
      </c>
      <c r="CQ499" s="2">
        <v>10</v>
      </c>
      <c r="CR499" s="2">
        <v>10</v>
      </c>
      <c r="CS499" s="2">
        <v>10</v>
      </c>
      <c r="CT499" s="2">
        <v>10</v>
      </c>
      <c r="CU499" s="2">
        <v>10</v>
      </c>
      <c r="CV499" s="54">
        <f t="shared" si="116"/>
        <v>10</v>
      </c>
      <c r="CW499" s="55">
        <v>6</v>
      </c>
      <c r="CX499" s="3"/>
    </row>
    <row r="500" spans="1:102" ht="16.5" x14ac:dyDescent="0.55000000000000004">
      <c r="A500" s="17">
        <v>2</v>
      </c>
      <c r="B500" s="17" t="s">
        <v>9</v>
      </c>
      <c r="C500" s="23" t="s">
        <v>1041</v>
      </c>
      <c r="D500" s="24" t="s">
        <v>1042</v>
      </c>
      <c r="E500" s="48">
        <v>9</v>
      </c>
      <c r="F500" s="2">
        <v>9</v>
      </c>
      <c r="G500" s="2">
        <v>10</v>
      </c>
      <c r="H500" s="2">
        <v>10</v>
      </c>
      <c r="I500" s="2">
        <v>10</v>
      </c>
      <c r="J500" s="2">
        <v>10</v>
      </c>
      <c r="K500" s="2">
        <v>10</v>
      </c>
      <c r="L500" s="2">
        <v>10</v>
      </c>
      <c r="M500" s="2">
        <v>10</v>
      </c>
      <c r="N500" s="2">
        <v>10</v>
      </c>
      <c r="O500" s="2">
        <v>10</v>
      </c>
      <c r="P500" s="2">
        <v>10</v>
      </c>
      <c r="Q500" s="2" t="e">
        <f t="shared" ca="1" si="137"/>
        <v>#NAME?</v>
      </c>
      <c r="R500" s="2">
        <v>10</v>
      </c>
      <c r="S500" s="2">
        <v>10</v>
      </c>
      <c r="T500" s="2">
        <v>10</v>
      </c>
      <c r="U500" s="2">
        <v>10</v>
      </c>
      <c r="V500" s="2">
        <v>10</v>
      </c>
      <c r="W500" s="54">
        <f t="shared" si="113"/>
        <v>10</v>
      </c>
      <c r="X500" s="48">
        <v>6</v>
      </c>
      <c r="Y500" s="2">
        <v>9</v>
      </c>
      <c r="Z500" s="2">
        <v>6</v>
      </c>
      <c r="AA500" s="2">
        <v>10</v>
      </c>
      <c r="AB500" s="2">
        <v>10</v>
      </c>
      <c r="AC500" s="2">
        <v>10</v>
      </c>
      <c r="AD500" s="2">
        <v>10</v>
      </c>
      <c r="AE500" s="2">
        <v>10</v>
      </c>
      <c r="AF500" s="2">
        <v>7</v>
      </c>
      <c r="AG500" s="2">
        <v>7</v>
      </c>
      <c r="AH500" s="2">
        <v>7</v>
      </c>
      <c r="AI500" s="2">
        <v>7</v>
      </c>
      <c r="AJ500" s="2">
        <v>7</v>
      </c>
      <c r="AK500" s="2">
        <v>7</v>
      </c>
      <c r="AL500" s="2">
        <v>7</v>
      </c>
      <c r="AM500" s="2">
        <v>7</v>
      </c>
      <c r="AN500" s="2">
        <v>7</v>
      </c>
      <c r="AO500" s="2">
        <v>7</v>
      </c>
      <c r="AP500" s="2">
        <v>7</v>
      </c>
      <c r="AQ500" s="2" t="e">
        <f t="shared" ca="1" si="138"/>
        <v>#NAME?</v>
      </c>
      <c r="AR500" s="2">
        <v>10</v>
      </c>
      <c r="AS500" s="2">
        <v>9</v>
      </c>
      <c r="AT500" s="2">
        <v>7</v>
      </c>
      <c r="AU500" s="2">
        <v>7</v>
      </c>
      <c r="AV500" s="2">
        <v>7</v>
      </c>
      <c r="AW500" s="54">
        <f t="shared" si="114"/>
        <v>8</v>
      </c>
      <c r="AX500" s="48"/>
      <c r="AY500" s="2"/>
      <c r="AZ500" s="2">
        <v>10</v>
      </c>
      <c r="BA500" s="2">
        <v>10</v>
      </c>
      <c r="BB500" s="2">
        <v>5</v>
      </c>
      <c r="BC500" s="2">
        <v>5</v>
      </c>
      <c r="BD500" s="2">
        <v>6</v>
      </c>
      <c r="BE500" s="2">
        <v>6</v>
      </c>
      <c r="BF500" s="2">
        <v>6</v>
      </c>
      <c r="BG500" s="2">
        <v>8</v>
      </c>
      <c r="BH500" s="2">
        <v>8</v>
      </c>
      <c r="BI500" s="2">
        <v>8</v>
      </c>
      <c r="BJ500" s="2" t="e">
        <f t="shared" ca="1" si="139"/>
        <v>#NAME?</v>
      </c>
      <c r="BK500" s="2">
        <v>10</v>
      </c>
      <c r="BL500" s="2">
        <v>5</v>
      </c>
      <c r="BM500" s="2">
        <v>5</v>
      </c>
      <c r="BN500" s="2">
        <v>5</v>
      </c>
      <c r="BO500" s="2">
        <v>5</v>
      </c>
      <c r="BP500" s="54">
        <f t="shared" si="115"/>
        <v>6</v>
      </c>
      <c r="BQ500" s="5"/>
      <c r="BR500" s="5"/>
      <c r="BS500" s="47">
        <v>8</v>
      </c>
      <c r="BT500" s="47">
        <v>8</v>
      </c>
      <c r="BU500" s="47">
        <v>8</v>
      </c>
      <c r="BV500" s="47">
        <v>8</v>
      </c>
      <c r="BW500" s="47">
        <v>8</v>
      </c>
      <c r="BX500" s="47">
        <v>8</v>
      </c>
      <c r="BY500" s="47">
        <v>8</v>
      </c>
      <c r="BZ500" s="47">
        <v>8</v>
      </c>
      <c r="CA500" s="47">
        <v>8</v>
      </c>
      <c r="CB500" s="47">
        <v>8</v>
      </c>
      <c r="CC500" s="2" t="e">
        <f t="shared" ca="1" si="140"/>
        <v>#NAME?</v>
      </c>
      <c r="CD500" s="55"/>
      <c r="CE500" s="2"/>
      <c r="CF500" s="2">
        <v>7</v>
      </c>
      <c r="CG500" s="2">
        <v>8</v>
      </c>
      <c r="CH500" s="2">
        <v>8</v>
      </c>
      <c r="CI500" s="2">
        <v>10</v>
      </c>
      <c r="CJ500" s="2">
        <v>10</v>
      </c>
      <c r="CK500" s="2">
        <v>10</v>
      </c>
      <c r="CL500" s="2">
        <v>10</v>
      </c>
      <c r="CM500" s="2">
        <v>8</v>
      </c>
      <c r="CN500" s="2">
        <v>10</v>
      </c>
      <c r="CO500" s="2">
        <v>10</v>
      </c>
      <c r="CP500" s="2" t="e">
        <f t="shared" ca="1" si="141"/>
        <v>#NAME?</v>
      </c>
      <c r="CQ500" s="2">
        <v>8</v>
      </c>
      <c r="CR500" s="2">
        <v>7</v>
      </c>
      <c r="CS500" s="2">
        <v>8</v>
      </c>
      <c r="CT500" s="2">
        <v>10</v>
      </c>
      <c r="CU500" s="2">
        <v>10</v>
      </c>
      <c r="CV500" s="54">
        <f t="shared" si="116"/>
        <v>9</v>
      </c>
      <c r="CW500" s="55">
        <v>16</v>
      </c>
      <c r="CX500" s="3"/>
    </row>
    <row r="501" spans="1:102" ht="16.5" x14ac:dyDescent="0.55000000000000004">
      <c r="A501" s="17">
        <v>2</v>
      </c>
      <c r="B501" s="17" t="s">
        <v>9</v>
      </c>
      <c r="C501" s="23" t="s">
        <v>1043</v>
      </c>
      <c r="D501" s="24" t="s">
        <v>1044</v>
      </c>
      <c r="E501" s="48">
        <v>8</v>
      </c>
      <c r="F501" s="2">
        <v>8</v>
      </c>
      <c r="G501" s="2">
        <v>10</v>
      </c>
      <c r="H501" s="2">
        <v>10</v>
      </c>
      <c r="I501" s="2">
        <v>10</v>
      </c>
      <c r="J501" s="2">
        <v>10</v>
      </c>
      <c r="K501" s="2">
        <v>10</v>
      </c>
      <c r="L501" s="2">
        <v>9</v>
      </c>
      <c r="M501" s="2">
        <v>9</v>
      </c>
      <c r="N501" s="2">
        <v>10</v>
      </c>
      <c r="O501" s="2">
        <v>10</v>
      </c>
      <c r="P501" s="2">
        <v>10</v>
      </c>
      <c r="Q501" s="2" t="e">
        <f t="shared" ca="1" si="137"/>
        <v>#NAME?</v>
      </c>
      <c r="R501" s="2">
        <v>10</v>
      </c>
      <c r="S501" s="2">
        <v>10</v>
      </c>
      <c r="T501" s="2">
        <v>9</v>
      </c>
      <c r="U501" s="2">
        <v>9</v>
      </c>
      <c r="V501" s="2">
        <v>9</v>
      </c>
      <c r="W501" s="54">
        <f t="shared" si="113"/>
        <v>10</v>
      </c>
      <c r="X501" s="48">
        <v>5</v>
      </c>
      <c r="Y501" s="2">
        <v>3</v>
      </c>
      <c r="Z501" s="2" t="s">
        <v>31</v>
      </c>
      <c r="AA501" s="2">
        <v>9</v>
      </c>
      <c r="AB501" s="2">
        <v>10</v>
      </c>
      <c r="AC501" s="2">
        <v>10</v>
      </c>
      <c r="AD501" s="2">
        <v>10</v>
      </c>
      <c r="AE501" s="2">
        <v>10</v>
      </c>
      <c r="AF501" s="2">
        <v>8</v>
      </c>
      <c r="AG501" s="2">
        <v>8</v>
      </c>
      <c r="AH501" s="2">
        <v>8</v>
      </c>
      <c r="AI501" s="2">
        <v>8</v>
      </c>
      <c r="AJ501" s="2">
        <v>8</v>
      </c>
      <c r="AK501" s="2">
        <v>8</v>
      </c>
      <c r="AL501" s="2">
        <v>8</v>
      </c>
      <c r="AM501" s="2">
        <v>8</v>
      </c>
      <c r="AN501" s="2">
        <v>8</v>
      </c>
      <c r="AO501" s="2">
        <v>8</v>
      </c>
      <c r="AP501" s="2">
        <v>8</v>
      </c>
      <c r="AQ501" s="2" t="e">
        <f t="shared" ca="1" si="138"/>
        <v>#NAME?</v>
      </c>
      <c r="AR501" s="2">
        <v>6</v>
      </c>
      <c r="AS501" s="2">
        <v>7</v>
      </c>
      <c r="AT501" s="2">
        <v>7</v>
      </c>
      <c r="AU501" s="2">
        <v>8</v>
      </c>
      <c r="AV501" s="2">
        <v>8</v>
      </c>
      <c r="AW501" s="54">
        <f t="shared" si="114"/>
        <v>8</v>
      </c>
      <c r="AX501" s="48"/>
      <c r="AY501" s="2"/>
      <c r="AZ501" s="2">
        <v>10</v>
      </c>
      <c r="BA501" s="2">
        <v>7</v>
      </c>
      <c r="BB501" s="2">
        <v>7</v>
      </c>
      <c r="BC501" s="2">
        <v>8</v>
      </c>
      <c r="BD501" s="2">
        <v>8</v>
      </c>
      <c r="BE501" s="2">
        <v>8</v>
      </c>
      <c r="BF501" s="2">
        <v>8</v>
      </c>
      <c r="BG501" s="2">
        <v>8</v>
      </c>
      <c r="BH501" s="2">
        <v>8</v>
      </c>
      <c r="BI501" s="2">
        <v>8</v>
      </c>
      <c r="BJ501" s="2" t="e">
        <f t="shared" ca="1" si="139"/>
        <v>#NAME?</v>
      </c>
      <c r="BK501" s="2">
        <v>3</v>
      </c>
      <c r="BL501" s="2">
        <v>5</v>
      </c>
      <c r="BM501" s="2">
        <v>10</v>
      </c>
      <c r="BN501" s="2">
        <v>10</v>
      </c>
      <c r="BO501" s="2">
        <v>10</v>
      </c>
      <c r="BP501" s="54">
        <f t="shared" si="115"/>
        <v>8</v>
      </c>
      <c r="BQ501" s="5"/>
      <c r="BR501" s="5"/>
      <c r="BS501" s="47">
        <v>0</v>
      </c>
      <c r="BT501" s="47">
        <v>7</v>
      </c>
      <c r="BU501" s="47">
        <v>7</v>
      </c>
      <c r="BV501" s="47">
        <v>7</v>
      </c>
      <c r="BW501" s="47">
        <v>7</v>
      </c>
      <c r="BX501" s="47">
        <v>7</v>
      </c>
      <c r="BY501" s="47">
        <v>7</v>
      </c>
      <c r="BZ501" s="47">
        <v>7</v>
      </c>
      <c r="CA501" s="47">
        <v>7</v>
      </c>
      <c r="CB501" s="47">
        <v>7</v>
      </c>
      <c r="CC501" s="2" t="e">
        <f t="shared" ca="1" si="140"/>
        <v>#NAME?</v>
      </c>
      <c r="CD501" s="55"/>
      <c r="CE501" s="2"/>
      <c r="CF501" s="2">
        <v>10</v>
      </c>
      <c r="CG501" s="2">
        <v>10</v>
      </c>
      <c r="CH501" s="2">
        <v>10</v>
      </c>
      <c r="CI501" s="2">
        <v>10</v>
      </c>
      <c r="CJ501" s="2">
        <v>10</v>
      </c>
      <c r="CK501" s="2">
        <v>10</v>
      </c>
      <c r="CL501" s="2">
        <v>10</v>
      </c>
      <c r="CM501" s="2">
        <v>10</v>
      </c>
      <c r="CN501" s="2">
        <v>10</v>
      </c>
      <c r="CO501" s="2">
        <v>10</v>
      </c>
      <c r="CP501" s="2" t="e">
        <f t="shared" ca="1" si="141"/>
        <v>#NAME?</v>
      </c>
      <c r="CQ501" s="2">
        <v>10</v>
      </c>
      <c r="CR501" s="2">
        <v>10</v>
      </c>
      <c r="CS501" s="2">
        <v>10</v>
      </c>
      <c r="CT501" s="2">
        <v>10</v>
      </c>
      <c r="CU501" s="2">
        <v>10</v>
      </c>
      <c r="CV501" s="54">
        <f t="shared" si="116"/>
        <v>10</v>
      </c>
      <c r="CW501" s="55" t="s">
        <v>31</v>
      </c>
      <c r="CX501" s="3"/>
    </row>
    <row r="502" spans="1:102" ht="16.5" x14ac:dyDescent="0.55000000000000004">
      <c r="A502" s="17">
        <v>2</v>
      </c>
      <c r="B502" s="17" t="s">
        <v>9</v>
      </c>
      <c r="C502" s="23" t="s">
        <v>1045</v>
      </c>
      <c r="D502" s="24" t="s">
        <v>1046</v>
      </c>
      <c r="E502" s="48">
        <v>8</v>
      </c>
      <c r="F502" s="2">
        <v>8</v>
      </c>
      <c r="G502" s="2">
        <v>10</v>
      </c>
      <c r="H502" s="2">
        <v>10</v>
      </c>
      <c r="I502" s="2">
        <v>10</v>
      </c>
      <c r="J502" s="2">
        <v>9</v>
      </c>
      <c r="K502" s="2">
        <v>9</v>
      </c>
      <c r="L502" s="2">
        <v>9</v>
      </c>
      <c r="M502" s="2">
        <v>10</v>
      </c>
      <c r="N502" s="2">
        <v>10</v>
      </c>
      <c r="O502" s="2">
        <v>9</v>
      </c>
      <c r="P502" s="2">
        <v>10</v>
      </c>
      <c r="Q502" s="2" t="e">
        <f t="shared" ca="1" si="137"/>
        <v>#NAME?</v>
      </c>
      <c r="R502" s="2">
        <v>10</v>
      </c>
      <c r="S502" s="2">
        <v>10</v>
      </c>
      <c r="T502" s="2">
        <v>9</v>
      </c>
      <c r="U502" s="2">
        <v>9</v>
      </c>
      <c r="V502" s="2">
        <v>9</v>
      </c>
      <c r="W502" s="54">
        <f t="shared" si="113"/>
        <v>10</v>
      </c>
      <c r="X502" s="48">
        <v>3</v>
      </c>
      <c r="Y502" s="2">
        <v>6</v>
      </c>
      <c r="Z502" s="2">
        <v>4</v>
      </c>
      <c r="AA502" s="2">
        <v>7</v>
      </c>
      <c r="AB502" s="2">
        <v>7</v>
      </c>
      <c r="AC502" s="2">
        <v>7</v>
      </c>
      <c r="AD502" s="2">
        <v>7</v>
      </c>
      <c r="AE502" s="2">
        <v>7</v>
      </c>
      <c r="AF502" s="2">
        <v>7</v>
      </c>
      <c r="AG502" s="2">
        <v>7</v>
      </c>
      <c r="AH502" s="2">
        <v>7</v>
      </c>
      <c r="AI502" s="2">
        <v>7</v>
      </c>
      <c r="AJ502" s="2">
        <v>7</v>
      </c>
      <c r="AK502" s="2">
        <v>7</v>
      </c>
      <c r="AL502" s="2">
        <v>7</v>
      </c>
      <c r="AM502" s="2">
        <v>7</v>
      </c>
      <c r="AN502" s="2">
        <v>7</v>
      </c>
      <c r="AO502" s="2">
        <v>7</v>
      </c>
      <c r="AP502" s="2">
        <v>7</v>
      </c>
      <c r="AQ502" s="2" t="e">
        <f t="shared" ca="1" si="138"/>
        <v>#NAME?</v>
      </c>
      <c r="AR502" s="2">
        <v>7</v>
      </c>
      <c r="AS502" s="2">
        <v>7</v>
      </c>
      <c r="AT502" s="2">
        <v>7</v>
      </c>
      <c r="AU502" s="2">
        <v>7</v>
      </c>
      <c r="AV502" s="2">
        <v>7</v>
      </c>
      <c r="AW502" s="54">
        <f t="shared" si="114"/>
        <v>7</v>
      </c>
      <c r="AX502" s="48"/>
      <c r="AY502" s="2"/>
      <c r="AZ502" s="2">
        <v>5</v>
      </c>
      <c r="BA502" s="2">
        <v>4</v>
      </c>
      <c r="BB502" s="2">
        <v>4</v>
      </c>
      <c r="BC502" s="2">
        <v>4</v>
      </c>
      <c r="BD502" s="2">
        <v>5</v>
      </c>
      <c r="BE502" s="2">
        <v>5</v>
      </c>
      <c r="BF502" s="2">
        <v>5</v>
      </c>
      <c r="BG502" s="2">
        <v>4</v>
      </c>
      <c r="BH502" s="2">
        <v>4</v>
      </c>
      <c r="BI502" s="2">
        <v>4</v>
      </c>
      <c r="BJ502" s="2" t="e">
        <f t="shared" ca="1" si="139"/>
        <v>#NAME?</v>
      </c>
      <c r="BK502" s="2">
        <v>3</v>
      </c>
      <c r="BL502" s="2">
        <v>4</v>
      </c>
      <c r="BM502" s="2">
        <v>4</v>
      </c>
      <c r="BN502" s="2">
        <v>4</v>
      </c>
      <c r="BO502" s="2">
        <v>4</v>
      </c>
      <c r="BP502" s="54">
        <f t="shared" si="115"/>
        <v>4</v>
      </c>
      <c r="BQ502" s="5"/>
      <c r="BR502" s="5"/>
      <c r="BS502" s="47">
        <v>7</v>
      </c>
      <c r="BT502" s="47">
        <v>7</v>
      </c>
      <c r="BU502" s="47">
        <v>7</v>
      </c>
      <c r="BV502" s="47">
        <v>7</v>
      </c>
      <c r="BW502" s="47">
        <v>7</v>
      </c>
      <c r="BX502" s="47">
        <v>7</v>
      </c>
      <c r="BY502" s="47">
        <v>7</v>
      </c>
      <c r="BZ502" s="47">
        <v>7</v>
      </c>
      <c r="CA502" s="47">
        <v>7</v>
      </c>
      <c r="CB502" s="47">
        <v>7</v>
      </c>
      <c r="CC502" s="2" t="e">
        <f t="shared" ca="1" si="140"/>
        <v>#NAME?</v>
      </c>
      <c r="CD502" s="55"/>
      <c r="CE502" s="2"/>
      <c r="CF502" s="2">
        <v>10</v>
      </c>
      <c r="CG502" s="2">
        <v>10</v>
      </c>
      <c r="CH502" s="2">
        <v>10</v>
      </c>
      <c r="CI502" s="2">
        <v>10</v>
      </c>
      <c r="CJ502" s="2">
        <v>10</v>
      </c>
      <c r="CK502" s="2">
        <v>10</v>
      </c>
      <c r="CL502" s="2">
        <v>10</v>
      </c>
      <c r="CM502" s="2">
        <v>10</v>
      </c>
      <c r="CN502" s="2">
        <v>10</v>
      </c>
      <c r="CO502" s="2">
        <v>10</v>
      </c>
      <c r="CP502" s="2" t="e">
        <f t="shared" ca="1" si="141"/>
        <v>#NAME?</v>
      </c>
      <c r="CQ502" s="2">
        <v>10</v>
      </c>
      <c r="CR502" s="2">
        <v>10</v>
      </c>
      <c r="CS502" s="2">
        <v>10</v>
      </c>
      <c r="CT502" s="2">
        <v>10</v>
      </c>
      <c r="CU502" s="2">
        <v>10</v>
      </c>
      <c r="CV502" s="54">
        <f t="shared" si="116"/>
        <v>10</v>
      </c>
      <c r="CW502" s="55">
        <v>5</v>
      </c>
      <c r="CX502" s="3"/>
    </row>
    <row r="503" spans="1:102" ht="16.5" x14ac:dyDescent="0.55000000000000004">
      <c r="A503" s="17">
        <v>2</v>
      </c>
      <c r="B503" s="17" t="s">
        <v>9</v>
      </c>
      <c r="C503" s="23" t="s">
        <v>1047</v>
      </c>
      <c r="D503" s="24" t="s">
        <v>1048</v>
      </c>
      <c r="E503" s="48">
        <v>9</v>
      </c>
      <c r="F503" s="2">
        <v>9</v>
      </c>
      <c r="G503" s="2">
        <v>10</v>
      </c>
      <c r="H503" s="2">
        <v>10</v>
      </c>
      <c r="I503" s="2">
        <v>10</v>
      </c>
      <c r="J503" s="2">
        <v>10</v>
      </c>
      <c r="K503" s="2">
        <v>10</v>
      </c>
      <c r="L503" s="2">
        <v>10</v>
      </c>
      <c r="M503" s="2">
        <v>10</v>
      </c>
      <c r="N503" s="2">
        <v>10</v>
      </c>
      <c r="O503" s="2">
        <v>10</v>
      </c>
      <c r="P503" s="2">
        <v>10</v>
      </c>
      <c r="Q503" s="2" t="e">
        <f t="shared" ca="1" si="137"/>
        <v>#NAME?</v>
      </c>
      <c r="R503" s="2">
        <v>10</v>
      </c>
      <c r="S503" s="2">
        <v>10</v>
      </c>
      <c r="T503" s="2">
        <v>10</v>
      </c>
      <c r="U503" s="2">
        <v>10</v>
      </c>
      <c r="V503" s="2">
        <v>10</v>
      </c>
      <c r="W503" s="54">
        <f t="shared" si="113"/>
        <v>10</v>
      </c>
      <c r="X503" s="48">
        <v>6</v>
      </c>
      <c r="Y503" s="2">
        <v>3</v>
      </c>
      <c r="Z503" s="2">
        <v>9</v>
      </c>
      <c r="AA503" s="2">
        <v>10</v>
      </c>
      <c r="AB503" s="2">
        <v>10</v>
      </c>
      <c r="AC503" s="2">
        <v>10</v>
      </c>
      <c r="AD503" s="2">
        <v>10</v>
      </c>
      <c r="AE503" s="2">
        <v>10</v>
      </c>
      <c r="AF503" s="2">
        <v>10</v>
      </c>
      <c r="AG503" s="2">
        <v>9</v>
      </c>
      <c r="AH503" s="2">
        <v>9</v>
      </c>
      <c r="AI503" s="2">
        <v>9</v>
      </c>
      <c r="AJ503" s="2">
        <v>8</v>
      </c>
      <c r="AK503" s="2">
        <v>8</v>
      </c>
      <c r="AL503" s="2">
        <v>8</v>
      </c>
      <c r="AM503" s="2">
        <v>8</v>
      </c>
      <c r="AN503" s="2">
        <v>8</v>
      </c>
      <c r="AO503" s="2">
        <v>8</v>
      </c>
      <c r="AP503" s="2">
        <v>8</v>
      </c>
      <c r="AQ503" s="2" t="e">
        <f t="shared" ca="1" si="138"/>
        <v>#NAME?</v>
      </c>
      <c r="AR503" s="2">
        <v>10</v>
      </c>
      <c r="AS503" s="2">
        <v>10</v>
      </c>
      <c r="AT503" s="2">
        <v>9</v>
      </c>
      <c r="AU503" s="2">
        <v>10</v>
      </c>
      <c r="AV503" s="2">
        <v>10</v>
      </c>
      <c r="AW503" s="54">
        <f t="shared" si="114"/>
        <v>10</v>
      </c>
      <c r="AX503" s="48"/>
      <c r="AY503" s="2"/>
      <c r="AZ503" s="2">
        <v>10</v>
      </c>
      <c r="BA503" s="2">
        <v>10</v>
      </c>
      <c r="BB503" s="2">
        <v>10</v>
      </c>
      <c r="BC503" s="2">
        <v>10</v>
      </c>
      <c r="BD503" s="2">
        <v>10</v>
      </c>
      <c r="BE503" s="2">
        <v>10</v>
      </c>
      <c r="BF503" s="2">
        <v>10</v>
      </c>
      <c r="BG503" s="2">
        <v>10</v>
      </c>
      <c r="BH503" s="2">
        <v>10</v>
      </c>
      <c r="BI503" s="2">
        <v>10</v>
      </c>
      <c r="BJ503" s="2" t="e">
        <f t="shared" ca="1" si="139"/>
        <v>#NAME?</v>
      </c>
      <c r="BK503" s="2">
        <v>10</v>
      </c>
      <c r="BL503" s="2">
        <v>10</v>
      </c>
      <c r="BM503" s="2">
        <v>10</v>
      </c>
      <c r="BN503" s="2">
        <v>10</v>
      </c>
      <c r="BO503" s="2">
        <v>10</v>
      </c>
      <c r="BP503" s="54">
        <f t="shared" si="115"/>
        <v>10</v>
      </c>
      <c r="BQ503" s="5"/>
      <c r="BR503" s="5"/>
      <c r="BS503" s="47">
        <v>9</v>
      </c>
      <c r="BT503" s="47">
        <v>9</v>
      </c>
      <c r="BU503" s="47">
        <v>9</v>
      </c>
      <c r="BV503" s="47">
        <v>9</v>
      </c>
      <c r="BW503" s="47">
        <v>9</v>
      </c>
      <c r="BX503" s="47">
        <v>9</v>
      </c>
      <c r="BY503" s="47">
        <v>9</v>
      </c>
      <c r="BZ503" s="47">
        <v>9</v>
      </c>
      <c r="CA503" s="47">
        <v>9</v>
      </c>
      <c r="CB503" s="47">
        <v>9</v>
      </c>
      <c r="CC503" s="2" t="e">
        <f t="shared" ca="1" si="140"/>
        <v>#NAME?</v>
      </c>
      <c r="CD503" s="55"/>
      <c r="CE503" s="2"/>
      <c r="CF503" s="2">
        <v>8</v>
      </c>
      <c r="CG503" s="2">
        <v>9</v>
      </c>
      <c r="CH503" s="2">
        <v>10</v>
      </c>
      <c r="CI503" s="2">
        <v>10</v>
      </c>
      <c r="CJ503" s="2">
        <v>10</v>
      </c>
      <c r="CK503" s="2">
        <v>10</v>
      </c>
      <c r="CL503" s="2">
        <v>10</v>
      </c>
      <c r="CM503" s="2">
        <v>10</v>
      </c>
      <c r="CN503" s="2">
        <v>10</v>
      </c>
      <c r="CO503" s="2">
        <v>10</v>
      </c>
      <c r="CP503" s="2" t="e">
        <f t="shared" ca="1" si="141"/>
        <v>#NAME?</v>
      </c>
      <c r="CQ503" s="2">
        <v>10</v>
      </c>
      <c r="CR503" s="2">
        <v>10</v>
      </c>
      <c r="CS503" s="2">
        <v>10</v>
      </c>
      <c r="CT503" s="2">
        <v>10</v>
      </c>
      <c r="CU503" s="2">
        <v>10</v>
      </c>
      <c r="CV503" s="54">
        <f t="shared" si="116"/>
        <v>10</v>
      </c>
      <c r="CW503" s="55">
        <v>9</v>
      </c>
      <c r="CX503" s="3"/>
    </row>
    <row r="504" spans="1:102" ht="16.5" x14ac:dyDescent="0.55000000000000004">
      <c r="A504" s="17">
        <v>2</v>
      </c>
      <c r="B504" s="17" t="s">
        <v>9</v>
      </c>
      <c r="C504" s="23" t="s">
        <v>1049</v>
      </c>
      <c r="D504" s="24" t="s">
        <v>1050</v>
      </c>
      <c r="E504" s="48">
        <v>8</v>
      </c>
      <c r="F504" s="2">
        <v>8</v>
      </c>
      <c r="G504" s="2">
        <v>10</v>
      </c>
      <c r="H504" s="2">
        <v>10</v>
      </c>
      <c r="I504" s="2">
        <v>10</v>
      </c>
      <c r="J504" s="2">
        <v>10</v>
      </c>
      <c r="K504" s="2">
        <v>10</v>
      </c>
      <c r="L504" s="2">
        <v>10</v>
      </c>
      <c r="M504" s="2">
        <v>9</v>
      </c>
      <c r="N504" s="2">
        <v>9</v>
      </c>
      <c r="O504" s="2">
        <v>9</v>
      </c>
      <c r="P504" s="2">
        <v>9</v>
      </c>
      <c r="Q504" s="2" t="e">
        <f t="shared" ca="1" si="137"/>
        <v>#NAME?</v>
      </c>
      <c r="R504" s="2">
        <v>10</v>
      </c>
      <c r="S504" s="2">
        <v>10</v>
      </c>
      <c r="T504" s="2">
        <v>9</v>
      </c>
      <c r="U504" s="2">
        <v>9</v>
      </c>
      <c r="V504" s="2">
        <v>9</v>
      </c>
      <c r="W504" s="54">
        <f t="shared" si="113"/>
        <v>10</v>
      </c>
      <c r="X504" s="48">
        <v>6</v>
      </c>
      <c r="Y504" s="2">
        <v>7</v>
      </c>
      <c r="Z504" s="2">
        <v>6</v>
      </c>
      <c r="AA504" s="2">
        <v>10</v>
      </c>
      <c r="AB504" s="2">
        <v>7</v>
      </c>
      <c r="AC504" s="2">
        <v>8</v>
      </c>
      <c r="AD504" s="2">
        <v>8</v>
      </c>
      <c r="AE504" s="2">
        <v>9</v>
      </c>
      <c r="AF504" s="2">
        <v>8</v>
      </c>
      <c r="AG504" s="2">
        <v>8</v>
      </c>
      <c r="AH504" s="2">
        <v>8</v>
      </c>
      <c r="AI504" s="2">
        <v>8</v>
      </c>
      <c r="AJ504" s="2">
        <v>8</v>
      </c>
      <c r="AK504" s="2">
        <v>8</v>
      </c>
      <c r="AL504" s="2">
        <v>8</v>
      </c>
      <c r="AM504" s="2">
        <v>8</v>
      </c>
      <c r="AN504" s="2">
        <v>8</v>
      </c>
      <c r="AO504" s="2">
        <v>8</v>
      </c>
      <c r="AP504" s="2">
        <v>8</v>
      </c>
      <c r="AQ504" s="2" t="e">
        <f t="shared" ca="1" si="138"/>
        <v>#NAME?</v>
      </c>
      <c r="AR504" s="2">
        <v>10</v>
      </c>
      <c r="AS504" s="2">
        <v>8</v>
      </c>
      <c r="AT504" s="2">
        <v>10</v>
      </c>
      <c r="AU504" s="2">
        <v>8</v>
      </c>
      <c r="AV504" s="2">
        <v>8</v>
      </c>
      <c r="AW504" s="54">
        <f t="shared" si="114"/>
        <v>9</v>
      </c>
      <c r="AX504" s="48"/>
      <c r="AY504" s="2"/>
      <c r="AZ504" s="2">
        <v>10</v>
      </c>
      <c r="BA504" s="2">
        <v>10</v>
      </c>
      <c r="BB504" s="2">
        <v>10</v>
      </c>
      <c r="BC504" s="2">
        <v>10</v>
      </c>
      <c r="BD504" s="2">
        <v>10</v>
      </c>
      <c r="BE504" s="2">
        <v>10</v>
      </c>
      <c r="BF504" s="2">
        <v>10</v>
      </c>
      <c r="BG504" s="2">
        <v>10</v>
      </c>
      <c r="BH504" s="2">
        <v>10</v>
      </c>
      <c r="BI504" s="2">
        <v>10</v>
      </c>
      <c r="BJ504" s="2" t="e">
        <f t="shared" ca="1" si="139"/>
        <v>#NAME?</v>
      </c>
      <c r="BK504" s="2">
        <v>10</v>
      </c>
      <c r="BL504" s="2">
        <v>5</v>
      </c>
      <c r="BM504" s="2">
        <v>10</v>
      </c>
      <c r="BN504" s="2">
        <v>10</v>
      </c>
      <c r="BO504" s="2">
        <v>10</v>
      </c>
      <c r="BP504" s="54">
        <f t="shared" si="115"/>
        <v>9</v>
      </c>
      <c r="BQ504" s="5"/>
      <c r="BR504" s="5"/>
      <c r="BS504" s="47">
        <v>9</v>
      </c>
      <c r="BT504" s="47">
        <v>9</v>
      </c>
      <c r="BU504" s="47">
        <v>9</v>
      </c>
      <c r="BV504" s="47">
        <v>9</v>
      </c>
      <c r="BW504" s="47">
        <v>9</v>
      </c>
      <c r="BX504" s="47">
        <v>9</v>
      </c>
      <c r="BY504" s="47">
        <v>9</v>
      </c>
      <c r="BZ504" s="47">
        <v>9</v>
      </c>
      <c r="CA504" s="47">
        <v>9</v>
      </c>
      <c r="CB504" s="47">
        <v>9</v>
      </c>
      <c r="CC504" s="2" t="e">
        <f t="shared" ca="1" si="140"/>
        <v>#NAME?</v>
      </c>
      <c r="CD504" s="55"/>
      <c r="CE504" s="2"/>
      <c r="CF504" s="2">
        <v>9</v>
      </c>
      <c r="CG504" s="2">
        <v>8</v>
      </c>
      <c r="CH504" s="2">
        <v>10</v>
      </c>
      <c r="CI504" s="2">
        <v>10</v>
      </c>
      <c r="CJ504" s="2">
        <v>7</v>
      </c>
      <c r="CK504" s="2">
        <v>8</v>
      </c>
      <c r="CL504" s="2">
        <v>5</v>
      </c>
      <c r="CM504" s="2">
        <v>10</v>
      </c>
      <c r="CN504" s="2">
        <v>9</v>
      </c>
      <c r="CO504" s="2">
        <v>10</v>
      </c>
      <c r="CP504" s="2" t="e">
        <f t="shared" ca="1" si="141"/>
        <v>#NAME?</v>
      </c>
      <c r="CQ504" s="2">
        <v>8</v>
      </c>
      <c r="CR504" s="2">
        <v>7</v>
      </c>
      <c r="CS504" s="2">
        <v>6</v>
      </c>
      <c r="CT504" s="2">
        <v>5</v>
      </c>
      <c r="CU504" s="2">
        <v>10</v>
      </c>
      <c r="CV504" s="54">
        <f t="shared" si="116"/>
        <v>8</v>
      </c>
      <c r="CW504" s="55">
        <v>6</v>
      </c>
      <c r="CX504" s="3"/>
    </row>
    <row r="505" spans="1:102" ht="16.5" x14ac:dyDescent="0.55000000000000004">
      <c r="A505" s="17">
        <v>2</v>
      </c>
      <c r="B505" s="17" t="s">
        <v>9</v>
      </c>
      <c r="C505" s="23" t="s">
        <v>1051</v>
      </c>
      <c r="D505" s="24" t="s">
        <v>1052</v>
      </c>
      <c r="E505" s="48">
        <v>8</v>
      </c>
      <c r="F505" s="2">
        <v>8</v>
      </c>
      <c r="G505" s="2">
        <v>10</v>
      </c>
      <c r="H505" s="2">
        <v>10</v>
      </c>
      <c r="I505" s="2">
        <v>10</v>
      </c>
      <c r="J505" s="2">
        <v>9</v>
      </c>
      <c r="K505" s="2">
        <v>9</v>
      </c>
      <c r="L505" s="2">
        <v>9</v>
      </c>
      <c r="M505" s="2">
        <v>10</v>
      </c>
      <c r="N505" s="2">
        <v>10</v>
      </c>
      <c r="O505" s="2">
        <v>10</v>
      </c>
      <c r="P505" s="2">
        <v>9</v>
      </c>
      <c r="Q505" s="2" t="e">
        <f t="shared" ca="1" si="137"/>
        <v>#NAME?</v>
      </c>
      <c r="R505" s="2">
        <v>10</v>
      </c>
      <c r="S505" s="2">
        <v>10</v>
      </c>
      <c r="T505" s="2">
        <v>9</v>
      </c>
      <c r="U505" s="2">
        <v>9</v>
      </c>
      <c r="V505" s="2">
        <v>9</v>
      </c>
      <c r="W505" s="54">
        <f t="shared" si="113"/>
        <v>10</v>
      </c>
      <c r="X505" s="48">
        <v>2</v>
      </c>
      <c r="Y505" s="2">
        <v>4</v>
      </c>
      <c r="Z505" s="2">
        <v>6</v>
      </c>
      <c r="AA505" s="2">
        <v>10</v>
      </c>
      <c r="AB505" s="2">
        <v>10</v>
      </c>
      <c r="AC505" s="2">
        <v>10</v>
      </c>
      <c r="AD505" s="2">
        <v>10</v>
      </c>
      <c r="AE505" s="2">
        <v>10</v>
      </c>
      <c r="AF505" s="2">
        <v>7</v>
      </c>
      <c r="AG505" s="2">
        <v>7</v>
      </c>
      <c r="AH505" s="2">
        <v>7</v>
      </c>
      <c r="AI505" s="2">
        <v>7</v>
      </c>
      <c r="AJ505" s="2">
        <v>7</v>
      </c>
      <c r="AK505" s="2">
        <v>7</v>
      </c>
      <c r="AL505" s="2">
        <v>7</v>
      </c>
      <c r="AM505" s="2">
        <v>7</v>
      </c>
      <c r="AN505" s="2">
        <v>7</v>
      </c>
      <c r="AO505" s="2">
        <v>7</v>
      </c>
      <c r="AP505" s="2">
        <v>7</v>
      </c>
      <c r="AQ505" s="2" t="e">
        <f t="shared" ca="1" si="138"/>
        <v>#NAME?</v>
      </c>
      <c r="AR505" s="2">
        <v>10</v>
      </c>
      <c r="AS505" s="2">
        <v>9</v>
      </c>
      <c r="AT505" s="2">
        <v>7</v>
      </c>
      <c r="AU505" s="2">
        <v>7</v>
      </c>
      <c r="AV505" s="2">
        <v>7</v>
      </c>
      <c r="AW505" s="54">
        <f t="shared" si="114"/>
        <v>8</v>
      </c>
      <c r="AX505" s="48"/>
      <c r="AY505" s="2"/>
      <c r="AZ505" s="2">
        <v>5</v>
      </c>
      <c r="BA505" s="2">
        <v>4</v>
      </c>
      <c r="BB505" s="2">
        <v>4</v>
      </c>
      <c r="BC505" s="2">
        <v>4</v>
      </c>
      <c r="BD505" s="2">
        <v>5</v>
      </c>
      <c r="BE505" s="2">
        <v>5</v>
      </c>
      <c r="BF505" s="2">
        <v>5</v>
      </c>
      <c r="BG505" s="2">
        <v>4</v>
      </c>
      <c r="BH505" s="2">
        <v>4</v>
      </c>
      <c r="BI505" s="2">
        <v>4</v>
      </c>
      <c r="BJ505" s="2" t="e">
        <f t="shared" ca="1" si="139"/>
        <v>#NAME?</v>
      </c>
      <c r="BK505" s="2">
        <v>3</v>
      </c>
      <c r="BL505" s="2">
        <v>4</v>
      </c>
      <c r="BM505" s="2">
        <v>4</v>
      </c>
      <c r="BN505" s="2">
        <v>4</v>
      </c>
      <c r="BO505" s="2">
        <v>4</v>
      </c>
      <c r="BP505" s="54">
        <f t="shared" si="115"/>
        <v>4</v>
      </c>
      <c r="BQ505" s="5"/>
      <c r="BR505" s="5"/>
      <c r="BS505" s="47">
        <v>8</v>
      </c>
      <c r="BT505" s="47">
        <v>8</v>
      </c>
      <c r="BU505" s="47">
        <v>8</v>
      </c>
      <c r="BV505" s="47">
        <v>8</v>
      </c>
      <c r="BW505" s="47">
        <v>8</v>
      </c>
      <c r="BX505" s="47">
        <v>8</v>
      </c>
      <c r="BY505" s="47">
        <v>8</v>
      </c>
      <c r="BZ505" s="47">
        <v>8</v>
      </c>
      <c r="CA505" s="47">
        <v>8</v>
      </c>
      <c r="CB505" s="47">
        <v>8</v>
      </c>
      <c r="CC505" s="2" t="e">
        <f t="shared" ca="1" si="140"/>
        <v>#NAME?</v>
      </c>
      <c r="CD505" s="55"/>
      <c r="CE505" s="2"/>
      <c r="CF505" s="2">
        <v>7</v>
      </c>
      <c r="CG505" s="2">
        <v>8</v>
      </c>
      <c r="CH505" s="2">
        <v>9</v>
      </c>
      <c r="CI505" s="2">
        <v>5</v>
      </c>
      <c r="CJ505" s="2">
        <v>5</v>
      </c>
      <c r="CK505" s="2">
        <v>5</v>
      </c>
      <c r="CL505" s="2">
        <v>5</v>
      </c>
      <c r="CM505" s="2">
        <v>5</v>
      </c>
      <c r="CN505" s="2">
        <v>5</v>
      </c>
      <c r="CO505" s="2">
        <v>5</v>
      </c>
      <c r="CP505" s="2" t="e">
        <f t="shared" ca="1" si="141"/>
        <v>#NAME?</v>
      </c>
      <c r="CQ505" s="2">
        <v>9</v>
      </c>
      <c r="CR505" s="2">
        <v>8</v>
      </c>
      <c r="CS505" s="2">
        <v>7</v>
      </c>
      <c r="CT505" s="2">
        <v>6</v>
      </c>
      <c r="CU505" s="2">
        <v>5</v>
      </c>
      <c r="CV505" s="54">
        <f t="shared" si="116"/>
        <v>7</v>
      </c>
      <c r="CW505" s="55">
        <v>7</v>
      </c>
      <c r="CX505" s="3"/>
    </row>
    <row r="506" spans="1:102" ht="16.5" x14ac:dyDescent="0.55000000000000004">
      <c r="A506" s="17">
        <v>2</v>
      </c>
      <c r="B506" s="17" t="s">
        <v>9</v>
      </c>
      <c r="C506" s="23" t="s">
        <v>1053</v>
      </c>
      <c r="D506" s="24" t="s">
        <v>1054</v>
      </c>
      <c r="E506" s="48">
        <v>8</v>
      </c>
      <c r="F506" s="2">
        <v>8</v>
      </c>
      <c r="G506" s="4">
        <v>10</v>
      </c>
      <c r="H506" s="4">
        <v>10</v>
      </c>
      <c r="I506" s="4">
        <v>9</v>
      </c>
      <c r="J506" s="4">
        <v>9</v>
      </c>
      <c r="K506" s="4">
        <v>9</v>
      </c>
      <c r="L506" s="4">
        <v>9</v>
      </c>
      <c r="M506" s="4">
        <v>10</v>
      </c>
      <c r="N506" s="4">
        <v>10</v>
      </c>
      <c r="O506" s="4">
        <v>10</v>
      </c>
      <c r="P506" s="4">
        <v>10</v>
      </c>
      <c r="Q506" s="2" t="e">
        <f t="shared" ca="1" si="137"/>
        <v>#NAME?</v>
      </c>
      <c r="R506" s="4">
        <v>10</v>
      </c>
      <c r="S506" s="4">
        <v>9</v>
      </c>
      <c r="T506" s="2">
        <v>9</v>
      </c>
      <c r="U506" s="2">
        <v>9</v>
      </c>
      <c r="V506" s="2">
        <v>9</v>
      </c>
      <c r="W506" s="54">
        <f t="shared" si="113"/>
        <v>10</v>
      </c>
      <c r="X506" s="48">
        <v>5</v>
      </c>
      <c r="Y506" s="2">
        <v>6</v>
      </c>
      <c r="Z506" s="2">
        <v>4</v>
      </c>
      <c r="AA506" s="2">
        <v>4</v>
      </c>
      <c r="AB506" s="2">
        <v>4</v>
      </c>
      <c r="AC506" s="2">
        <v>4</v>
      </c>
      <c r="AD506" s="2">
        <v>4</v>
      </c>
      <c r="AE506" s="2">
        <v>4</v>
      </c>
      <c r="AF506" s="2">
        <v>4</v>
      </c>
      <c r="AG506" s="2">
        <v>4</v>
      </c>
      <c r="AH506" s="2">
        <v>4</v>
      </c>
      <c r="AI506" s="2">
        <v>4</v>
      </c>
      <c r="AJ506" s="2">
        <v>4</v>
      </c>
      <c r="AK506" s="2">
        <v>4</v>
      </c>
      <c r="AL506" s="2">
        <v>4</v>
      </c>
      <c r="AM506" s="2">
        <v>4</v>
      </c>
      <c r="AN506" s="2">
        <v>4</v>
      </c>
      <c r="AO506" s="2">
        <v>4</v>
      </c>
      <c r="AP506" s="2">
        <v>4</v>
      </c>
      <c r="AQ506" s="2" t="e">
        <f t="shared" ca="1" si="138"/>
        <v>#NAME?</v>
      </c>
      <c r="AR506" s="2">
        <v>4</v>
      </c>
      <c r="AS506" s="2">
        <v>4</v>
      </c>
      <c r="AT506" s="2">
        <v>4</v>
      </c>
      <c r="AU506" s="2">
        <v>4</v>
      </c>
      <c r="AV506" s="2">
        <v>4</v>
      </c>
      <c r="AW506" s="54">
        <f t="shared" si="114"/>
        <v>4</v>
      </c>
      <c r="AX506" s="48"/>
      <c r="AY506" s="2"/>
      <c r="AZ506" s="2">
        <v>5</v>
      </c>
      <c r="BA506" s="2">
        <v>5</v>
      </c>
      <c r="BB506" s="2">
        <v>4</v>
      </c>
      <c r="BC506" s="2">
        <v>4</v>
      </c>
      <c r="BD506" s="2">
        <v>4</v>
      </c>
      <c r="BE506" s="2">
        <v>5</v>
      </c>
      <c r="BF506" s="2">
        <v>5</v>
      </c>
      <c r="BG506" s="2">
        <v>5</v>
      </c>
      <c r="BH506" s="2">
        <v>5</v>
      </c>
      <c r="BI506" s="2">
        <v>5</v>
      </c>
      <c r="BJ506" s="2" t="e">
        <f t="shared" ca="1" si="139"/>
        <v>#NAME?</v>
      </c>
      <c r="BK506" s="2">
        <v>3</v>
      </c>
      <c r="BL506" s="2">
        <v>3</v>
      </c>
      <c r="BM506" s="2">
        <v>4</v>
      </c>
      <c r="BN506" s="2">
        <v>3</v>
      </c>
      <c r="BO506" s="2">
        <v>5</v>
      </c>
      <c r="BP506" s="54">
        <f t="shared" si="115"/>
        <v>4</v>
      </c>
      <c r="BQ506" s="5"/>
      <c r="BR506" s="5"/>
      <c r="BS506" s="47">
        <v>8</v>
      </c>
      <c r="BT506" s="47">
        <v>8</v>
      </c>
      <c r="BU506" s="47">
        <v>8</v>
      </c>
      <c r="BV506" s="47">
        <v>8</v>
      </c>
      <c r="BW506" s="47">
        <v>8</v>
      </c>
      <c r="BX506" s="47">
        <v>8</v>
      </c>
      <c r="BY506" s="47">
        <v>8</v>
      </c>
      <c r="BZ506" s="47">
        <v>8</v>
      </c>
      <c r="CA506" s="47">
        <v>8</v>
      </c>
      <c r="CB506" s="47">
        <v>8</v>
      </c>
      <c r="CC506" s="2" t="e">
        <f t="shared" ca="1" si="140"/>
        <v>#NAME?</v>
      </c>
      <c r="CD506" s="55"/>
      <c r="CE506" s="2"/>
      <c r="CF506" s="2">
        <v>5</v>
      </c>
      <c r="CG506" s="2">
        <v>5</v>
      </c>
      <c r="CH506" s="2">
        <v>5</v>
      </c>
      <c r="CI506" s="2">
        <v>5</v>
      </c>
      <c r="CJ506" s="2">
        <v>5</v>
      </c>
      <c r="CK506" s="2">
        <v>5</v>
      </c>
      <c r="CL506" s="2">
        <v>5</v>
      </c>
      <c r="CM506" s="2">
        <v>5</v>
      </c>
      <c r="CN506" s="2">
        <v>5</v>
      </c>
      <c r="CO506" s="2">
        <v>5</v>
      </c>
      <c r="CP506" s="2" t="e">
        <f t="shared" ca="1" si="141"/>
        <v>#NAME?</v>
      </c>
      <c r="CQ506" s="2">
        <v>5</v>
      </c>
      <c r="CR506" s="2">
        <v>5</v>
      </c>
      <c r="CS506" s="2">
        <v>5</v>
      </c>
      <c r="CT506" s="2">
        <v>5</v>
      </c>
      <c r="CU506" s="2">
        <v>5</v>
      </c>
      <c r="CV506" s="54">
        <f t="shared" si="116"/>
        <v>5</v>
      </c>
      <c r="CW506" s="55">
        <v>4</v>
      </c>
      <c r="CX506" s="3"/>
    </row>
    <row r="507" spans="1:102" ht="16.5" x14ac:dyDescent="0.55000000000000004">
      <c r="A507" s="17">
        <v>2</v>
      </c>
      <c r="B507" s="17" t="s">
        <v>9</v>
      </c>
      <c r="C507" s="23" t="s">
        <v>1055</v>
      </c>
      <c r="D507" s="24" t="s">
        <v>1056</v>
      </c>
      <c r="E507" s="48">
        <v>10</v>
      </c>
      <c r="F507" s="2">
        <v>10</v>
      </c>
      <c r="G507" s="2">
        <v>10</v>
      </c>
      <c r="H507" s="2">
        <v>10</v>
      </c>
      <c r="I507" s="2">
        <v>10</v>
      </c>
      <c r="J507" s="2">
        <v>10</v>
      </c>
      <c r="K507" s="2">
        <v>10</v>
      </c>
      <c r="L507" s="2">
        <v>10</v>
      </c>
      <c r="M507" s="2">
        <v>10</v>
      </c>
      <c r="N507" s="2">
        <v>10</v>
      </c>
      <c r="O507" s="2">
        <v>10</v>
      </c>
      <c r="P507" s="2">
        <v>10</v>
      </c>
      <c r="Q507" s="2" t="e">
        <f t="shared" ca="1" si="137"/>
        <v>#NAME?</v>
      </c>
      <c r="R507" s="2">
        <v>10</v>
      </c>
      <c r="S507" s="2">
        <v>10</v>
      </c>
      <c r="T507" s="2">
        <v>10</v>
      </c>
      <c r="U507" s="2">
        <v>10</v>
      </c>
      <c r="V507" s="2">
        <v>10</v>
      </c>
      <c r="W507" s="54">
        <f t="shared" si="113"/>
        <v>10</v>
      </c>
      <c r="X507" s="48">
        <v>10</v>
      </c>
      <c r="Y507" s="2">
        <v>10</v>
      </c>
      <c r="Z507" s="2">
        <v>6</v>
      </c>
      <c r="AA507" s="2">
        <v>10</v>
      </c>
      <c r="AB507" s="2">
        <v>10</v>
      </c>
      <c r="AC507" s="2">
        <v>10</v>
      </c>
      <c r="AD507" s="2">
        <v>10</v>
      </c>
      <c r="AE507" s="2">
        <v>10</v>
      </c>
      <c r="AF507" s="2">
        <v>10</v>
      </c>
      <c r="AG507" s="2">
        <v>10</v>
      </c>
      <c r="AH507" s="2">
        <v>10</v>
      </c>
      <c r="AI507" s="2">
        <v>10</v>
      </c>
      <c r="AJ507" s="2">
        <v>10</v>
      </c>
      <c r="AK507" s="2">
        <v>10</v>
      </c>
      <c r="AL507" s="2">
        <v>10</v>
      </c>
      <c r="AM507" s="2">
        <v>10</v>
      </c>
      <c r="AN507" s="2">
        <v>10</v>
      </c>
      <c r="AO507" s="2">
        <v>10</v>
      </c>
      <c r="AP507" s="2">
        <v>10</v>
      </c>
      <c r="AQ507" s="2" t="e">
        <f t="shared" ca="1" si="138"/>
        <v>#NAME?</v>
      </c>
      <c r="AR507" s="2">
        <v>10</v>
      </c>
      <c r="AS507" s="2">
        <v>10</v>
      </c>
      <c r="AT507" s="2">
        <v>10</v>
      </c>
      <c r="AU507" s="2">
        <v>10</v>
      </c>
      <c r="AV507" s="2">
        <v>10</v>
      </c>
      <c r="AW507" s="54">
        <f t="shared" si="114"/>
        <v>10</v>
      </c>
      <c r="AX507" s="48"/>
      <c r="AY507" s="2"/>
      <c r="AZ507" s="2">
        <v>10</v>
      </c>
      <c r="BA507" s="2">
        <v>10</v>
      </c>
      <c r="BB507" s="2">
        <v>10</v>
      </c>
      <c r="BC507" s="2">
        <v>10</v>
      </c>
      <c r="BD507" s="2">
        <v>10</v>
      </c>
      <c r="BE507" s="2">
        <v>10</v>
      </c>
      <c r="BF507" s="2">
        <v>10</v>
      </c>
      <c r="BG507" s="2">
        <v>10</v>
      </c>
      <c r="BH507" s="2">
        <v>10</v>
      </c>
      <c r="BI507" s="2">
        <v>10</v>
      </c>
      <c r="BJ507" s="2" t="e">
        <f t="shared" ca="1" si="139"/>
        <v>#NAME?</v>
      </c>
      <c r="BK507" s="2">
        <v>10</v>
      </c>
      <c r="BL507" s="2">
        <v>10</v>
      </c>
      <c r="BM507" s="2">
        <v>10</v>
      </c>
      <c r="BN507" s="2">
        <v>10</v>
      </c>
      <c r="BO507" s="2">
        <v>10</v>
      </c>
      <c r="BP507" s="54">
        <f t="shared" si="115"/>
        <v>10</v>
      </c>
      <c r="BQ507" s="5"/>
      <c r="BR507" s="5"/>
      <c r="BS507" s="47">
        <v>10</v>
      </c>
      <c r="BT507" s="47">
        <v>10</v>
      </c>
      <c r="BU507" s="47">
        <v>10</v>
      </c>
      <c r="BV507" s="47">
        <v>10</v>
      </c>
      <c r="BW507" s="47">
        <v>10</v>
      </c>
      <c r="BX507" s="47">
        <v>10</v>
      </c>
      <c r="BY507" s="47">
        <v>10</v>
      </c>
      <c r="BZ507" s="47">
        <v>10</v>
      </c>
      <c r="CA507" s="47">
        <v>10</v>
      </c>
      <c r="CB507" s="47">
        <v>10</v>
      </c>
      <c r="CC507" s="2" t="e">
        <f t="shared" ca="1" si="140"/>
        <v>#NAME?</v>
      </c>
      <c r="CD507" s="55"/>
      <c r="CE507" s="2"/>
      <c r="CF507" s="2">
        <v>10</v>
      </c>
      <c r="CG507" s="2">
        <v>10</v>
      </c>
      <c r="CH507" s="2">
        <v>10</v>
      </c>
      <c r="CI507" s="2">
        <v>10</v>
      </c>
      <c r="CJ507" s="2">
        <v>10</v>
      </c>
      <c r="CK507" s="2">
        <v>10</v>
      </c>
      <c r="CL507" s="2">
        <v>10</v>
      </c>
      <c r="CM507" s="2">
        <v>10</v>
      </c>
      <c r="CN507" s="2">
        <v>10</v>
      </c>
      <c r="CO507" s="2">
        <v>10</v>
      </c>
      <c r="CP507" s="2" t="e">
        <f t="shared" ca="1" si="141"/>
        <v>#NAME?</v>
      </c>
      <c r="CQ507" s="2">
        <v>10</v>
      </c>
      <c r="CR507" s="2">
        <v>10</v>
      </c>
      <c r="CS507" s="2">
        <v>10</v>
      </c>
      <c r="CT507" s="2">
        <v>10</v>
      </c>
      <c r="CU507" s="2">
        <v>10</v>
      </c>
      <c r="CV507" s="54">
        <f t="shared" si="116"/>
        <v>10</v>
      </c>
      <c r="CW507" s="55">
        <v>6</v>
      </c>
      <c r="CX507" s="3"/>
    </row>
    <row r="508" spans="1:102" ht="16.5" x14ac:dyDescent="0.55000000000000004">
      <c r="A508" s="17">
        <v>2</v>
      </c>
      <c r="B508" s="17" t="s">
        <v>9</v>
      </c>
      <c r="C508" s="23" t="s">
        <v>1057</v>
      </c>
      <c r="D508" s="24" t="s">
        <v>1058</v>
      </c>
      <c r="E508" s="48">
        <v>9</v>
      </c>
      <c r="F508" s="2">
        <v>9</v>
      </c>
      <c r="G508" s="2">
        <v>10</v>
      </c>
      <c r="H508" s="2">
        <v>10</v>
      </c>
      <c r="I508" s="2">
        <v>10</v>
      </c>
      <c r="J508" s="2">
        <v>10</v>
      </c>
      <c r="K508" s="2">
        <v>10</v>
      </c>
      <c r="L508" s="2">
        <v>10</v>
      </c>
      <c r="M508" s="2">
        <v>10</v>
      </c>
      <c r="N508" s="2">
        <v>10</v>
      </c>
      <c r="O508" s="2">
        <v>10</v>
      </c>
      <c r="P508" s="2">
        <v>10</v>
      </c>
      <c r="Q508" s="2" t="e">
        <f t="shared" ca="1" si="137"/>
        <v>#NAME?</v>
      </c>
      <c r="R508" s="2">
        <v>10</v>
      </c>
      <c r="S508" s="2">
        <v>10</v>
      </c>
      <c r="T508" s="2">
        <v>10</v>
      </c>
      <c r="U508" s="2">
        <v>10</v>
      </c>
      <c r="V508" s="2">
        <v>10</v>
      </c>
      <c r="W508" s="54">
        <f t="shared" si="113"/>
        <v>10</v>
      </c>
      <c r="X508" s="48" t="s">
        <v>31</v>
      </c>
      <c r="Y508" s="2">
        <v>4</v>
      </c>
      <c r="Z508" s="2">
        <v>6</v>
      </c>
      <c r="AA508" s="2">
        <v>10</v>
      </c>
      <c r="AB508" s="2">
        <v>10</v>
      </c>
      <c r="AC508" s="2">
        <v>7</v>
      </c>
      <c r="AD508" s="2">
        <v>8</v>
      </c>
      <c r="AE508" s="2">
        <v>9</v>
      </c>
      <c r="AF508" s="2">
        <v>8</v>
      </c>
      <c r="AG508" s="2">
        <v>8</v>
      </c>
      <c r="AH508" s="2">
        <v>8</v>
      </c>
      <c r="AI508" s="2">
        <v>8</v>
      </c>
      <c r="AJ508" s="2">
        <v>8</v>
      </c>
      <c r="AK508" s="2">
        <v>8</v>
      </c>
      <c r="AL508" s="2">
        <v>8</v>
      </c>
      <c r="AM508" s="2">
        <v>8</v>
      </c>
      <c r="AN508" s="2">
        <v>8</v>
      </c>
      <c r="AO508" s="2">
        <v>8</v>
      </c>
      <c r="AP508" s="2">
        <v>8</v>
      </c>
      <c r="AQ508" s="2" t="e">
        <f t="shared" ca="1" si="138"/>
        <v>#NAME?</v>
      </c>
      <c r="AR508" s="2">
        <v>10</v>
      </c>
      <c r="AS508" s="2">
        <v>6</v>
      </c>
      <c r="AT508" s="2">
        <v>7</v>
      </c>
      <c r="AU508" s="2">
        <v>8</v>
      </c>
      <c r="AV508" s="2">
        <v>9</v>
      </c>
      <c r="AW508" s="54">
        <f t="shared" si="114"/>
        <v>8</v>
      </c>
      <c r="AX508" s="48"/>
      <c r="AY508" s="2"/>
      <c r="AZ508" s="5">
        <v>10</v>
      </c>
      <c r="BA508" s="5">
        <v>10</v>
      </c>
      <c r="BB508" s="5">
        <v>10</v>
      </c>
      <c r="BC508" s="5">
        <v>10</v>
      </c>
      <c r="BD508" s="5">
        <v>10</v>
      </c>
      <c r="BE508" s="5">
        <v>10</v>
      </c>
      <c r="BF508" s="5">
        <v>10</v>
      </c>
      <c r="BG508" s="5">
        <v>10</v>
      </c>
      <c r="BH508" s="5">
        <v>10</v>
      </c>
      <c r="BI508" s="5">
        <v>10</v>
      </c>
      <c r="BJ508" s="2" t="e">
        <f t="shared" ca="1" si="139"/>
        <v>#NAME?</v>
      </c>
      <c r="BK508" s="5">
        <v>10</v>
      </c>
      <c r="BL508" s="5">
        <v>5</v>
      </c>
      <c r="BM508" s="5">
        <v>10</v>
      </c>
      <c r="BN508" s="5">
        <v>10</v>
      </c>
      <c r="BO508" s="5">
        <v>10</v>
      </c>
      <c r="BP508" s="54">
        <f t="shared" si="115"/>
        <v>9</v>
      </c>
      <c r="BQ508" s="5"/>
      <c r="BR508" s="5"/>
      <c r="BS508" s="47">
        <v>8</v>
      </c>
      <c r="BT508" s="47">
        <v>8</v>
      </c>
      <c r="BU508" s="47">
        <v>8</v>
      </c>
      <c r="BV508" s="47">
        <v>8</v>
      </c>
      <c r="BW508" s="47">
        <v>8</v>
      </c>
      <c r="BX508" s="47">
        <v>8</v>
      </c>
      <c r="BY508" s="47">
        <v>8</v>
      </c>
      <c r="BZ508" s="47">
        <v>8</v>
      </c>
      <c r="CA508" s="47">
        <v>8</v>
      </c>
      <c r="CB508" s="47">
        <v>8</v>
      </c>
      <c r="CC508" s="2" t="e">
        <f t="shared" ca="1" si="140"/>
        <v>#NAME?</v>
      </c>
      <c r="CD508" s="55"/>
      <c r="CE508" s="2"/>
      <c r="CF508" s="2">
        <v>8</v>
      </c>
      <c r="CG508" s="2">
        <v>9</v>
      </c>
      <c r="CH508" s="2">
        <v>9</v>
      </c>
      <c r="CI508" s="2">
        <v>10</v>
      </c>
      <c r="CJ508" s="2">
        <v>10</v>
      </c>
      <c r="CK508" s="2">
        <v>10</v>
      </c>
      <c r="CL508" s="2">
        <v>10</v>
      </c>
      <c r="CM508" s="2">
        <v>10</v>
      </c>
      <c r="CN508" s="2">
        <v>10</v>
      </c>
      <c r="CO508" s="2">
        <v>10</v>
      </c>
      <c r="CP508" s="2" t="e">
        <f t="shared" ca="1" si="141"/>
        <v>#NAME?</v>
      </c>
      <c r="CQ508" s="2">
        <v>10</v>
      </c>
      <c r="CR508" s="2">
        <v>10</v>
      </c>
      <c r="CS508" s="2">
        <v>10</v>
      </c>
      <c r="CT508" s="2">
        <v>10</v>
      </c>
      <c r="CU508" s="2">
        <v>10</v>
      </c>
      <c r="CV508" s="54">
        <f t="shared" si="116"/>
        <v>10</v>
      </c>
      <c r="CW508" s="55">
        <v>10</v>
      </c>
      <c r="CX508" s="3"/>
    </row>
    <row r="509" spans="1:102" ht="16.5" x14ac:dyDescent="0.55000000000000004">
      <c r="A509" s="17">
        <v>2</v>
      </c>
      <c r="B509" s="17" t="s">
        <v>9</v>
      </c>
      <c r="C509" s="23" t="s">
        <v>1059</v>
      </c>
      <c r="D509" s="24" t="s">
        <v>1060</v>
      </c>
      <c r="E509" s="48">
        <v>8</v>
      </c>
      <c r="F509" s="2">
        <v>9</v>
      </c>
      <c r="G509" s="2">
        <v>10</v>
      </c>
      <c r="H509" s="2">
        <v>10</v>
      </c>
      <c r="I509" s="2">
        <v>10</v>
      </c>
      <c r="J509" s="2">
        <v>10</v>
      </c>
      <c r="K509" s="2">
        <v>10</v>
      </c>
      <c r="L509" s="2">
        <v>10</v>
      </c>
      <c r="M509" s="2">
        <v>10</v>
      </c>
      <c r="N509" s="2">
        <v>10</v>
      </c>
      <c r="O509" s="2">
        <v>9</v>
      </c>
      <c r="P509" s="2">
        <v>10</v>
      </c>
      <c r="Q509" s="2" t="e">
        <f t="shared" ca="1" si="137"/>
        <v>#NAME?</v>
      </c>
      <c r="R509" s="2">
        <v>10</v>
      </c>
      <c r="S509" s="2">
        <v>10</v>
      </c>
      <c r="T509" s="2">
        <v>10</v>
      </c>
      <c r="U509" s="2">
        <v>10</v>
      </c>
      <c r="V509" s="2">
        <v>9</v>
      </c>
      <c r="W509" s="54">
        <f t="shared" si="113"/>
        <v>10</v>
      </c>
      <c r="X509" s="48">
        <v>6</v>
      </c>
      <c r="Y509" s="2">
        <v>5</v>
      </c>
      <c r="Z509" s="2" t="s">
        <v>31</v>
      </c>
      <c r="AA509" s="2">
        <v>7</v>
      </c>
      <c r="AB509" s="2">
        <v>7</v>
      </c>
      <c r="AC509" s="2">
        <v>8</v>
      </c>
      <c r="AD509" s="2">
        <v>9</v>
      </c>
      <c r="AE509" s="2">
        <v>7</v>
      </c>
      <c r="AF509" s="2">
        <v>7</v>
      </c>
      <c r="AG509" s="2">
        <v>7</v>
      </c>
      <c r="AH509" s="2">
        <v>7</v>
      </c>
      <c r="AI509" s="2">
        <v>7</v>
      </c>
      <c r="AJ509" s="2">
        <v>7</v>
      </c>
      <c r="AK509" s="2">
        <v>7</v>
      </c>
      <c r="AL509" s="2">
        <v>7</v>
      </c>
      <c r="AM509" s="2">
        <v>7</v>
      </c>
      <c r="AN509" s="2">
        <v>7</v>
      </c>
      <c r="AO509" s="2">
        <v>7</v>
      </c>
      <c r="AP509" s="2">
        <v>7</v>
      </c>
      <c r="AQ509" s="2" t="e">
        <f t="shared" ca="1" si="138"/>
        <v>#NAME?</v>
      </c>
      <c r="AR509" s="2">
        <v>8</v>
      </c>
      <c r="AS509" s="2">
        <v>8</v>
      </c>
      <c r="AT509" s="2">
        <v>9</v>
      </c>
      <c r="AU509" s="2">
        <v>6</v>
      </c>
      <c r="AV509" s="2">
        <v>6</v>
      </c>
      <c r="AW509" s="54">
        <f t="shared" si="114"/>
        <v>8</v>
      </c>
      <c r="AX509" s="48"/>
      <c r="AY509" s="2"/>
      <c r="AZ509" s="2">
        <v>10</v>
      </c>
      <c r="BA509" s="2">
        <v>8</v>
      </c>
      <c r="BB509" s="2">
        <v>8</v>
      </c>
      <c r="BC509" s="2">
        <v>8</v>
      </c>
      <c r="BD509" s="2">
        <v>8</v>
      </c>
      <c r="BE509" s="2">
        <v>8</v>
      </c>
      <c r="BF509" s="2">
        <v>7</v>
      </c>
      <c r="BG509" s="2">
        <v>7</v>
      </c>
      <c r="BH509" s="2">
        <v>7</v>
      </c>
      <c r="BI509" s="2">
        <v>7</v>
      </c>
      <c r="BJ509" s="2" t="e">
        <f t="shared" ca="1" si="139"/>
        <v>#NAME?</v>
      </c>
      <c r="BK509" s="2">
        <v>7</v>
      </c>
      <c r="BL509" s="2">
        <v>7</v>
      </c>
      <c r="BM509" s="2">
        <v>7</v>
      </c>
      <c r="BN509" s="2">
        <v>7</v>
      </c>
      <c r="BO509" s="2">
        <v>7</v>
      </c>
      <c r="BP509" s="54">
        <f t="shared" si="115"/>
        <v>7</v>
      </c>
      <c r="BQ509" s="5"/>
      <c r="BR509" s="5"/>
      <c r="BS509" s="47">
        <v>9</v>
      </c>
      <c r="BT509" s="47">
        <v>9</v>
      </c>
      <c r="BU509" s="47">
        <v>9</v>
      </c>
      <c r="BV509" s="47">
        <v>9</v>
      </c>
      <c r="BW509" s="47">
        <v>9</v>
      </c>
      <c r="BX509" s="47">
        <v>9</v>
      </c>
      <c r="BY509" s="47">
        <v>9</v>
      </c>
      <c r="BZ509" s="47">
        <v>9</v>
      </c>
      <c r="CA509" s="47">
        <v>9</v>
      </c>
      <c r="CB509" s="47">
        <v>9</v>
      </c>
      <c r="CC509" s="2" t="e">
        <f t="shared" ca="1" si="140"/>
        <v>#NAME?</v>
      </c>
      <c r="CD509" s="55"/>
      <c r="CE509" s="2"/>
      <c r="CF509" s="2">
        <v>7</v>
      </c>
      <c r="CG509" s="2">
        <v>8</v>
      </c>
      <c r="CH509" s="2">
        <v>7</v>
      </c>
      <c r="CI509" s="2">
        <v>8</v>
      </c>
      <c r="CJ509" s="2">
        <v>7</v>
      </c>
      <c r="CK509" s="2">
        <v>8</v>
      </c>
      <c r="CL509" s="2">
        <v>7</v>
      </c>
      <c r="CM509" s="2">
        <v>8</v>
      </c>
      <c r="CN509" s="2">
        <v>7</v>
      </c>
      <c r="CO509" s="2">
        <v>10</v>
      </c>
      <c r="CP509" s="2" t="e">
        <f t="shared" ca="1" si="141"/>
        <v>#NAME?</v>
      </c>
      <c r="CQ509" s="2">
        <v>10</v>
      </c>
      <c r="CR509" s="2">
        <v>7</v>
      </c>
      <c r="CS509" s="2">
        <v>8</v>
      </c>
      <c r="CT509" s="2">
        <v>7</v>
      </c>
      <c r="CU509" s="2">
        <v>8</v>
      </c>
      <c r="CV509" s="54">
        <f t="shared" si="116"/>
        <v>8</v>
      </c>
      <c r="CW509" s="55" t="s">
        <v>31</v>
      </c>
      <c r="CX509" s="3"/>
    </row>
    <row r="510" spans="1:102" ht="16.5" x14ac:dyDescent="0.55000000000000004">
      <c r="A510" s="17">
        <v>2</v>
      </c>
      <c r="B510" s="17" t="s">
        <v>9</v>
      </c>
      <c r="C510" s="23" t="s">
        <v>1061</v>
      </c>
      <c r="D510" s="24" t="s">
        <v>1062</v>
      </c>
      <c r="E510" s="48">
        <v>9</v>
      </c>
      <c r="F510" s="2">
        <v>9</v>
      </c>
      <c r="G510" s="2">
        <v>10</v>
      </c>
      <c r="H510" s="2">
        <v>10</v>
      </c>
      <c r="I510" s="2">
        <v>10</v>
      </c>
      <c r="J510" s="2">
        <v>10</v>
      </c>
      <c r="K510" s="2">
        <v>10</v>
      </c>
      <c r="L510" s="2">
        <v>10</v>
      </c>
      <c r="M510" s="2">
        <v>10</v>
      </c>
      <c r="N510" s="2">
        <v>10</v>
      </c>
      <c r="O510" s="2">
        <v>10</v>
      </c>
      <c r="P510" s="2">
        <v>10</v>
      </c>
      <c r="Q510" s="2" t="e">
        <f t="shared" ca="1" si="137"/>
        <v>#NAME?</v>
      </c>
      <c r="R510" s="2">
        <v>10</v>
      </c>
      <c r="S510" s="2">
        <v>10</v>
      </c>
      <c r="T510" s="2">
        <v>10</v>
      </c>
      <c r="U510" s="2">
        <v>10</v>
      </c>
      <c r="V510" s="2">
        <v>10</v>
      </c>
      <c r="W510" s="54">
        <f t="shared" si="113"/>
        <v>10</v>
      </c>
      <c r="X510" s="48">
        <v>3</v>
      </c>
      <c r="Y510" s="2">
        <v>5</v>
      </c>
      <c r="Z510" s="2">
        <v>5</v>
      </c>
      <c r="AA510" s="2">
        <v>10</v>
      </c>
      <c r="AB510" s="2">
        <v>10</v>
      </c>
      <c r="AC510" s="2">
        <v>10</v>
      </c>
      <c r="AD510" s="2">
        <v>10</v>
      </c>
      <c r="AE510" s="2">
        <v>10</v>
      </c>
      <c r="AF510" s="2">
        <v>10</v>
      </c>
      <c r="AG510" s="2">
        <v>9</v>
      </c>
      <c r="AH510" s="2">
        <v>9</v>
      </c>
      <c r="AI510" s="2">
        <v>9</v>
      </c>
      <c r="AJ510" s="2">
        <v>8</v>
      </c>
      <c r="AK510" s="2">
        <v>8</v>
      </c>
      <c r="AL510" s="2">
        <v>8</v>
      </c>
      <c r="AM510" s="2">
        <v>8</v>
      </c>
      <c r="AN510" s="2">
        <v>8</v>
      </c>
      <c r="AO510" s="2">
        <v>8</v>
      </c>
      <c r="AP510" s="2">
        <v>8</v>
      </c>
      <c r="AQ510" s="2" t="e">
        <f t="shared" ca="1" si="138"/>
        <v>#NAME?</v>
      </c>
      <c r="AR510" s="2">
        <v>10</v>
      </c>
      <c r="AS510" s="2">
        <v>9</v>
      </c>
      <c r="AT510" s="2">
        <v>9</v>
      </c>
      <c r="AU510" s="2">
        <v>9</v>
      </c>
      <c r="AV510" s="2">
        <v>9</v>
      </c>
      <c r="AW510" s="54">
        <f t="shared" si="114"/>
        <v>10</v>
      </c>
      <c r="AX510" s="48"/>
      <c r="AY510" s="2"/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 t="e">
        <f t="shared" ca="1" si="139"/>
        <v>#NAME?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54">
        <f t="shared" si="115"/>
        <v>0</v>
      </c>
      <c r="BQ510" s="5"/>
      <c r="BR510" s="5"/>
      <c r="BS510" s="47">
        <v>8</v>
      </c>
      <c r="BT510" s="47">
        <v>8</v>
      </c>
      <c r="BU510" s="47">
        <v>8</v>
      </c>
      <c r="BV510" s="47">
        <v>8</v>
      </c>
      <c r="BW510" s="47">
        <v>8</v>
      </c>
      <c r="BX510" s="47">
        <v>8</v>
      </c>
      <c r="BY510" s="47">
        <v>8</v>
      </c>
      <c r="BZ510" s="47">
        <v>8</v>
      </c>
      <c r="CA510" s="47">
        <v>8</v>
      </c>
      <c r="CB510" s="47">
        <v>8</v>
      </c>
      <c r="CC510" s="2" t="e">
        <f t="shared" ca="1" si="140"/>
        <v>#NAME?</v>
      </c>
      <c r="CD510" s="55"/>
      <c r="CE510" s="2"/>
      <c r="CF510" s="2">
        <v>8</v>
      </c>
      <c r="CG510" s="2">
        <v>9</v>
      </c>
      <c r="CH510" s="2">
        <v>10</v>
      </c>
      <c r="CI510" s="2">
        <v>10</v>
      </c>
      <c r="CJ510" s="2">
        <v>10</v>
      </c>
      <c r="CK510" s="2">
        <v>10</v>
      </c>
      <c r="CL510" s="2">
        <v>10</v>
      </c>
      <c r="CM510" s="2">
        <v>10</v>
      </c>
      <c r="CN510" s="2">
        <v>10</v>
      </c>
      <c r="CO510" s="2">
        <v>10</v>
      </c>
      <c r="CP510" s="2" t="e">
        <f t="shared" ca="1" si="141"/>
        <v>#NAME?</v>
      </c>
      <c r="CQ510" s="2">
        <v>10</v>
      </c>
      <c r="CR510" s="2">
        <v>10</v>
      </c>
      <c r="CS510" s="2">
        <v>10</v>
      </c>
      <c r="CT510" s="2">
        <v>10</v>
      </c>
      <c r="CU510" s="2">
        <v>10</v>
      </c>
      <c r="CV510" s="54">
        <f t="shared" si="116"/>
        <v>10</v>
      </c>
      <c r="CW510" s="55">
        <v>4</v>
      </c>
      <c r="CX510" s="3"/>
    </row>
    <row r="511" spans="1:102" ht="16.5" x14ac:dyDescent="0.55000000000000004">
      <c r="A511" s="17">
        <v>2</v>
      </c>
      <c r="B511" s="17" t="s">
        <v>9</v>
      </c>
      <c r="C511" s="23" t="s">
        <v>1063</v>
      </c>
      <c r="D511" s="24" t="s">
        <v>1064</v>
      </c>
      <c r="E511" s="48">
        <v>8</v>
      </c>
      <c r="F511" s="2">
        <v>8</v>
      </c>
      <c r="G511" s="2">
        <v>10</v>
      </c>
      <c r="H511" s="2">
        <v>9</v>
      </c>
      <c r="I511" s="2">
        <v>9</v>
      </c>
      <c r="J511" s="2">
        <v>9</v>
      </c>
      <c r="K511" s="2">
        <v>9</v>
      </c>
      <c r="L511" s="2">
        <v>9</v>
      </c>
      <c r="M511" s="2">
        <v>9</v>
      </c>
      <c r="N511" s="2">
        <v>9</v>
      </c>
      <c r="O511" s="2">
        <v>9</v>
      </c>
      <c r="P511" s="2">
        <v>9</v>
      </c>
      <c r="Q511" s="2" t="e">
        <f t="shared" ca="1" si="137"/>
        <v>#NAME?</v>
      </c>
      <c r="R511" s="2">
        <v>9</v>
      </c>
      <c r="S511" s="2">
        <v>9</v>
      </c>
      <c r="T511" s="2">
        <v>9</v>
      </c>
      <c r="U511" s="2">
        <v>9</v>
      </c>
      <c r="V511" s="2">
        <v>9</v>
      </c>
      <c r="W511" s="54">
        <f t="shared" si="113"/>
        <v>9</v>
      </c>
      <c r="X511" s="48" t="s">
        <v>31</v>
      </c>
      <c r="Y511" s="2">
        <v>4</v>
      </c>
      <c r="Z511" s="2">
        <v>5</v>
      </c>
      <c r="AA511" s="2">
        <v>10</v>
      </c>
      <c r="AB511" s="2">
        <v>4</v>
      </c>
      <c r="AC511" s="2">
        <v>5</v>
      </c>
      <c r="AD511" s="2">
        <v>6</v>
      </c>
      <c r="AE511" s="2">
        <v>7</v>
      </c>
      <c r="AF511" s="2">
        <v>9</v>
      </c>
      <c r="AG511" s="2">
        <v>8</v>
      </c>
      <c r="AH511" s="2">
        <v>9</v>
      </c>
      <c r="AI511" s="2">
        <v>8</v>
      </c>
      <c r="AJ511" s="2">
        <v>8</v>
      </c>
      <c r="AK511" s="2">
        <v>8</v>
      </c>
      <c r="AL511" s="2">
        <v>8</v>
      </c>
      <c r="AM511" s="2">
        <v>8</v>
      </c>
      <c r="AN511" s="2">
        <v>8</v>
      </c>
      <c r="AO511" s="2">
        <v>8</v>
      </c>
      <c r="AP511" s="2">
        <v>8</v>
      </c>
      <c r="AQ511" s="2" t="e">
        <f t="shared" ca="1" si="138"/>
        <v>#NAME?</v>
      </c>
      <c r="AR511" s="2">
        <v>6</v>
      </c>
      <c r="AS511" s="2">
        <v>7</v>
      </c>
      <c r="AT511" s="2">
        <v>7</v>
      </c>
      <c r="AU511" s="2">
        <v>10</v>
      </c>
      <c r="AV511" s="2">
        <v>10</v>
      </c>
      <c r="AW511" s="54">
        <f t="shared" si="114"/>
        <v>8</v>
      </c>
      <c r="AX511" s="48"/>
      <c r="AY511" s="2"/>
      <c r="AZ511" s="2">
        <v>10</v>
      </c>
      <c r="BA511" s="2">
        <v>10</v>
      </c>
      <c r="BB511" s="2">
        <v>8</v>
      </c>
      <c r="BC511" s="2">
        <v>8</v>
      </c>
      <c r="BD511" s="2">
        <v>8</v>
      </c>
      <c r="BE511" s="2">
        <v>9</v>
      </c>
      <c r="BF511" s="2">
        <v>9</v>
      </c>
      <c r="BG511" s="2">
        <v>9</v>
      </c>
      <c r="BH511" s="2">
        <v>9</v>
      </c>
      <c r="BI511" s="2">
        <v>9</v>
      </c>
      <c r="BJ511" s="2" t="e">
        <f t="shared" ca="1" si="139"/>
        <v>#NAME?</v>
      </c>
      <c r="BK511" s="2">
        <v>7</v>
      </c>
      <c r="BL511" s="2">
        <v>8</v>
      </c>
      <c r="BM511" s="2">
        <v>7</v>
      </c>
      <c r="BN511" s="2">
        <v>7</v>
      </c>
      <c r="BO511" s="2">
        <v>8</v>
      </c>
      <c r="BP511" s="54">
        <f t="shared" si="115"/>
        <v>8</v>
      </c>
      <c r="BQ511" s="5"/>
      <c r="BR511" s="5"/>
      <c r="BS511" s="47">
        <v>7</v>
      </c>
      <c r="BT511" s="47">
        <v>7</v>
      </c>
      <c r="BU511" s="47">
        <v>7</v>
      </c>
      <c r="BV511" s="47">
        <v>7</v>
      </c>
      <c r="BW511" s="47">
        <v>7</v>
      </c>
      <c r="BX511" s="47">
        <v>7</v>
      </c>
      <c r="BY511" s="47">
        <v>7</v>
      </c>
      <c r="BZ511" s="47">
        <v>7</v>
      </c>
      <c r="CA511" s="47">
        <v>7</v>
      </c>
      <c r="CB511" s="47">
        <v>7</v>
      </c>
      <c r="CC511" s="2" t="e">
        <f t="shared" ca="1" si="140"/>
        <v>#NAME?</v>
      </c>
      <c r="CD511" s="55"/>
      <c r="CE511" s="2"/>
      <c r="CF511" s="2">
        <v>5</v>
      </c>
      <c r="CG511" s="2">
        <v>5</v>
      </c>
      <c r="CH511" s="2">
        <v>5</v>
      </c>
      <c r="CI511" s="2">
        <v>5</v>
      </c>
      <c r="CJ511" s="2">
        <v>5</v>
      </c>
      <c r="CK511" s="2">
        <v>10</v>
      </c>
      <c r="CL511" s="2">
        <v>10</v>
      </c>
      <c r="CM511" s="2">
        <v>10</v>
      </c>
      <c r="CN511" s="2">
        <v>10</v>
      </c>
      <c r="CO511" s="2">
        <v>10</v>
      </c>
      <c r="CP511" s="2" t="e">
        <f t="shared" ca="1" si="141"/>
        <v>#NAME?</v>
      </c>
      <c r="CQ511" s="2">
        <v>10</v>
      </c>
      <c r="CR511" s="2">
        <v>10</v>
      </c>
      <c r="CS511" s="2">
        <v>5</v>
      </c>
      <c r="CT511" s="2">
        <v>7</v>
      </c>
      <c r="CU511" s="2">
        <v>10</v>
      </c>
      <c r="CV511" s="54">
        <f t="shared" si="116"/>
        <v>9</v>
      </c>
      <c r="CW511" s="55">
        <v>5</v>
      </c>
      <c r="CX511" s="3"/>
    </row>
    <row r="512" spans="1:102" ht="16.5" x14ac:dyDescent="0.55000000000000004">
      <c r="A512" s="17">
        <v>2</v>
      </c>
      <c r="B512" s="17" t="s">
        <v>9</v>
      </c>
      <c r="C512" s="23" t="s">
        <v>1065</v>
      </c>
      <c r="D512" s="24" t="s">
        <v>1066</v>
      </c>
      <c r="E512" s="48">
        <v>8</v>
      </c>
      <c r="F512" s="2">
        <v>7</v>
      </c>
      <c r="G512" s="2">
        <v>10</v>
      </c>
      <c r="H512" s="2">
        <v>10</v>
      </c>
      <c r="I512" s="2">
        <v>10</v>
      </c>
      <c r="J512" s="2">
        <v>10</v>
      </c>
      <c r="K512" s="2">
        <v>10</v>
      </c>
      <c r="L512" s="2">
        <v>10</v>
      </c>
      <c r="M512" s="2">
        <v>9</v>
      </c>
      <c r="N512" s="2">
        <v>9</v>
      </c>
      <c r="O512" s="2">
        <v>9</v>
      </c>
      <c r="P512" s="2">
        <v>9</v>
      </c>
      <c r="Q512" s="2" t="e">
        <f t="shared" ca="1" si="137"/>
        <v>#NAME?</v>
      </c>
      <c r="R512" s="2">
        <v>10</v>
      </c>
      <c r="S512" s="2">
        <v>10</v>
      </c>
      <c r="T512" s="2">
        <v>10</v>
      </c>
      <c r="U512" s="2">
        <v>9</v>
      </c>
      <c r="V512" s="2">
        <v>9</v>
      </c>
      <c r="W512" s="54">
        <f t="shared" si="113"/>
        <v>10</v>
      </c>
      <c r="X512" s="48" t="s">
        <v>31</v>
      </c>
      <c r="Y512" s="2" t="s">
        <v>31</v>
      </c>
      <c r="Z512" s="2">
        <v>4</v>
      </c>
      <c r="AA512" s="2">
        <v>10</v>
      </c>
      <c r="AB512" s="2">
        <v>10</v>
      </c>
      <c r="AC512" s="2">
        <v>10</v>
      </c>
      <c r="AD512" s="2">
        <v>10</v>
      </c>
      <c r="AE512" s="2">
        <v>10</v>
      </c>
      <c r="AF512" s="2">
        <v>10</v>
      </c>
      <c r="AG512" s="2">
        <v>10</v>
      </c>
      <c r="AH512" s="2">
        <v>8</v>
      </c>
      <c r="AI512" s="2">
        <v>8</v>
      </c>
      <c r="AJ512" s="2">
        <v>8</v>
      </c>
      <c r="AK512" s="2">
        <v>8</v>
      </c>
      <c r="AL512" s="2">
        <v>8</v>
      </c>
      <c r="AM512" s="2">
        <v>8</v>
      </c>
      <c r="AN512" s="2">
        <v>8</v>
      </c>
      <c r="AO512" s="2">
        <v>8</v>
      </c>
      <c r="AP512" s="2">
        <v>8</v>
      </c>
      <c r="AQ512" s="2" t="e">
        <f t="shared" ca="1" si="138"/>
        <v>#NAME?</v>
      </c>
      <c r="AR512" s="2">
        <v>10</v>
      </c>
      <c r="AS512" s="2">
        <v>10</v>
      </c>
      <c r="AT512" s="2">
        <v>9</v>
      </c>
      <c r="AU512" s="2">
        <v>10</v>
      </c>
      <c r="AV512" s="2">
        <v>10</v>
      </c>
      <c r="AW512" s="54">
        <f t="shared" si="114"/>
        <v>10</v>
      </c>
      <c r="AX512" s="48"/>
      <c r="AY512" s="2"/>
      <c r="AZ512" s="5">
        <v>10</v>
      </c>
      <c r="BA512" s="5">
        <v>10</v>
      </c>
      <c r="BB512" s="5">
        <v>10</v>
      </c>
      <c r="BC512" s="5">
        <v>10</v>
      </c>
      <c r="BD512" s="5">
        <v>10</v>
      </c>
      <c r="BE512" s="5">
        <v>10</v>
      </c>
      <c r="BF512" s="5">
        <v>10</v>
      </c>
      <c r="BG512" s="5">
        <v>10</v>
      </c>
      <c r="BH512" s="5">
        <v>10</v>
      </c>
      <c r="BI512" s="5">
        <v>10</v>
      </c>
      <c r="BJ512" s="2" t="e">
        <f t="shared" ca="1" si="139"/>
        <v>#NAME?</v>
      </c>
      <c r="BK512" s="5">
        <v>10</v>
      </c>
      <c r="BL512" s="5">
        <v>10</v>
      </c>
      <c r="BM512" s="5">
        <v>10</v>
      </c>
      <c r="BN512" s="5">
        <v>10</v>
      </c>
      <c r="BO512" s="5">
        <v>10</v>
      </c>
      <c r="BP512" s="54">
        <f t="shared" si="115"/>
        <v>10</v>
      </c>
      <c r="BQ512" s="5"/>
      <c r="BR512" s="5"/>
      <c r="BS512" s="47">
        <v>10</v>
      </c>
      <c r="BT512" s="47">
        <v>10</v>
      </c>
      <c r="BU512" s="47">
        <v>10</v>
      </c>
      <c r="BV512" s="47">
        <v>10</v>
      </c>
      <c r="BW512" s="47">
        <v>10</v>
      </c>
      <c r="BX512" s="47">
        <v>10</v>
      </c>
      <c r="BY512" s="47">
        <v>10</v>
      </c>
      <c r="BZ512" s="47">
        <v>10</v>
      </c>
      <c r="CA512" s="47">
        <v>10</v>
      </c>
      <c r="CB512" s="47">
        <v>10</v>
      </c>
      <c r="CC512" s="2" t="e">
        <f t="shared" ca="1" si="140"/>
        <v>#NAME?</v>
      </c>
      <c r="CD512" s="55"/>
      <c r="CE512" s="2"/>
      <c r="CF512" s="2">
        <v>8</v>
      </c>
      <c r="CG512" s="2">
        <v>9</v>
      </c>
      <c r="CH512" s="2">
        <v>10</v>
      </c>
      <c r="CI512" s="2">
        <v>10</v>
      </c>
      <c r="CJ512" s="2">
        <v>10</v>
      </c>
      <c r="CK512" s="2">
        <v>10</v>
      </c>
      <c r="CL512" s="2">
        <v>10</v>
      </c>
      <c r="CM512" s="2">
        <v>10</v>
      </c>
      <c r="CN512" s="2">
        <v>10</v>
      </c>
      <c r="CO512" s="2">
        <v>10</v>
      </c>
      <c r="CP512" s="2" t="e">
        <f t="shared" ca="1" si="141"/>
        <v>#NAME?</v>
      </c>
      <c r="CQ512" s="2">
        <v>10</v>
      </c>
      <c r="CR512" s="2">
        <v>10</v>
      </c>
      <c r="CS512" s="2">
        <v>10</v>
      </c>
      <c r="CT512" s="2">
        <v>10</v>
      </c>
      <c r="CU512" s="2">
        <v>10</v>
      </c>
      <c r="CV512" s="54">
        <f t="shared" si="116"/>
        <v>10</v>
      </c>
      <c r="CW512" s="55">
        <v>7</v>
      </c>
      <c r="CX512" s="3"/>
    </row>
    <row r="513" spans="1:102" ht="16.5" x14ac:dyDescent="0.55000000000000004">
      <c r="A513" s="17">
        <v>2</v>
      </c>
      <c r="B513" s="17" t="s">
        <v>9</v>
      </c>
      <c r="C513" s="23" t="s">
        <v>1067</v>
      </c>
      <c r="D513" s="24" t="s">
        <v>1068</v>
      </c>
      <c r="E513" s="48">
        <v>8</v>
      </c>
      <c r="F513" s="2">
        <v>9</v>
      </c>
      <c r="G513" s="2">
        <v>10</v>
      </c>
      <c r="H513" s="2">
        <v>10</v>
      </c>
      <c r="I513" s="2">
        <v>10</v>
      </c>
      <c r="J513" s="2">
        <v>10</v>
      </c>
      <c r="K513" s="2">
        <v>10</v>
      </c>
      <c r="L513" s="2">
        <v>10</v>
      </c>
      <c r="M513" s="2">
        <v>10</v>
      </c>
      <c r="N513" s="2">
        <v>10</v>
      </c>
      <c r="O513" s="2">
        <v>9</v>
      </c>
      <c r="P513" s="2">
        <v>10</v>
      </c>
      <c r="Q513" s="2" t="e">
        <f t="shared" ca="1" si="137"/>
        <v>#NAME?</v>
      </c>
      <c r="R513" s="2">
        <v>10</v>
      </c>
      <c r="S513" s="2">
        <v>10</v>
      </c>
      <c r="T513" s="2">
        <v>10</v>
      </c>
      <c r="U513" s="2">
        <v>10</v>
      </c>
      <c r="V513" s="2">
        <v>10</v>
      </c>
      <c r="W513" s="54">
        <f t="shared" si="113"/>
        <v>10</v>
      </c>
      <c r="X513" s="48" t="s">
        <v>31</v>
      </c>
      <c r="Y513" s="2">
        <v>2</v>
      </c>
      <c r="Z513" s="2">
        <v>8</v>
      </c>
      <c r="AA513" s="2">
        <v>10</v>
      </c>
      <c r="AB513" s="2">
        <v>9</v>
      </c>
      <c r="AC513" s="2">
        <v>10</v>
      </c>
      <c r="AD513" s="2">
        <v>10</v>
      </c>
      <c r="AE513" s="2">
        <v>9</v>
      </c>
      <c r="AF513" s="2">
        <v>10</v>
      </c>
      <c r="AG513" s="2">
        <v>8</v>
      </c>
      <c r="AH513" s="2">
        <v>8</v>
      </c>
      <c r="AI513" s="2">
        <v>8</v>
      </c>
      <c r="AJ513" s="2">
        <v>8</v>
      </c>
      <c r="AK513" s="2">
        <v>8</v>
      </c>
      <c r="AL513" s="2">
        <v>8</v>
      </c>
      <c r="AM513" s="2">
        <v>8</v>
      </c>
      <c r="AN513" s="2">
        <v>8</v>
      </c>
      <c r="AO513" s="2">
        <v>8</v>
      </c>
      <c r="AP513" s="2">
        <v>8</v>
      </c>
      <c r="AQ513" s="2" t="e">
        <f t="shared" ca="1" si="138"/>
        <v>#NAME?</v>
      </c>
      <c r="AR513" s="2">
        <v>10</v>
      </c>
      <c r="AS513" s="2">
        <v>10</v>
      </c>
      <c r="AT513" s="2">
        <v>9</v>
      </c>
      <c r="AU513" s="2">
        <v>10</v>
      </c>
      <c r="AV513" s="2">
        <v>10</v>
      </c>
      <c r="AW513" s="54">
        <f t="shared" si="114"/>
        <v>10</v>
      </c>
      <c r="AX513" s="48"/>
      <c r="AY513" s="2"/>
      <c r="AZ513" s="2">
        <v>10</v>
      </c>
      <c r="BA513" s="2">
        <v>10</v>
      </c>
      <c r="BB513" s="2">
        <v>5</v>
      </c>
      <c r="BC513" s="2">
        <v>6</v>
      </c>
      <c r="BD513" s="2">
        <v>6</v>
      </c>
      <c r="BE513" s="2">
        <v>6</v>
      </c>
      <c r="BF513" s="2">
        <v>6</v>
      </c>
      <c r="BG513" s="2">
        <v>6</v>
      </c>
      <c r="BH513" s="2">
        <v>6</v>
      </c>
      <c r="BI513" s="2">
        <v>6</v>
      </c>
      <c r="BJ513" s="2" t="e">
        <f t="shared" ca="1" si="139"/>
        <v>#NAME?</v>
      </c>
      <c r="BK513" s="2">
        <v>10</v>
      </c>
      <c r="BL513" s="2">
        <v>10</v>
      </c>
      <c r="BM513" s="2">
        <v>5</v>
      </c>
      <c r="BN513" s="2">
        <v>5</v>
      </c>
      <c r="BO513" s="2">
        <v>5</v>
      </c>
      <c r="BP513" s="54">
        <f t="shared" si="115"/>
        <v>7</v>
      </c>
      <c r="BQ513" s="5"/>
      <c r="BR513" s="5"/>
      <c r="BS513" s="47">
        <v>10</v>
      </c>
      <c r="BT513" s="47">
        <v>10</v>
      </c>
      <c r="BU513" s="47">
        <v>10</v>
      </c>
      <c r="BV513" s="47">
        <v>10</v>
      </c>
      <c r="BW513" s="47">
        <v>10</v>
      </c>
      <c r="BX513" s="47">
        <v>10</v>
      </c>
      <c r="BY513" s="47">
        <v>10</v>
      </c>
      <c r="BZ513" s="47">
        <v>10</v>
      </c>
      <c r="CA513" s="47">
        <v>10</v>
      </c>
      <c r="CB513" s="47">
        <v>10</v>
      </c>
      <c r="CC513" s="2" t="e">
        <f t="shared" ca="1" si="140"/>
        <v>#NAME?</v>
      </c>
      <c r="CD513" s="55"/>
      <c r="CE513" s="2"/>
      <c r="CF513" s="2">
        <v>10</v>
      </c>
      <c r="CG513" s="2">
        <v>10</v>
      </c>
      <c r="CH513" s="2">
        <v>10</v>
      </c>
      <c r="CI513" s="2">
        <v>10</v>
      </c>
      <c r="CJ513" s="2">
        <v>10</v>
      </c>
      <c r="CK513" s="2">
        <v>10</v>
      </c>
      <c r="CL513" s="2">
        <v>10</v>
      </c>
      <c r="CM513" s="2">
        <v>10</v>
      </c>
      <c r="CN513" s="2">
        <v>10</v>
      </c>
      <c r="CO513" s="2">
        <v>10</v>
      </c>
      <c r="CP513" s="2" t="e">
        <f t="shared" ca="1" si="141"/>
        <v>#NAME?</v>
      </c>
      <c r="CQ513" s="2">
        <v>10</v>
      </c>
      <c r="CR513" s="2">
        <v>10</v>
      </c>
      <c r="CS513" s="2">
        <v>10</v>
      </c>
      <c r="CT513" s="2">
        <v>10</v>
      </c>
      <c r="CU513" s="2">
        <v>10</v>
      </c>
      <c r="CV513" s="54">
        <f t="shared" si="116"/>
        <v>10</v>
      </c>
      <c r="CW513" s="55">
        <v>14</v>
      </c>
      <c r="CX513" s="3"/>
    </row>
    <row r="514" spans="1:102" ht="16.5" x14ac:dyDescent="0.55000000000000004">
      <c r="A514" s="17">
        <v>2</v>
      </c>
      <c r="B514" s="17" t="s">
        <v>9</v>
      </c>
      <c r="C514" s="23" t="s">
        <v>1069</v>
      </c>
      <c r="D514" s="24" t="s">
        <v>1070</v>
      </c>
      <c r="E514" s="48">
        <v>8</v>
      </c>
      <c r="F514" s="2">
        <v>8</v>
      </c>
      <c r="G514" s="2">
        <v>10</v>
      </c>
      <c r="H514" s="2">
        <v>10</v>
      </c>
      <c r="I514" s="2">
        <v>10</v>
      </c>
      <c r="J514" s="2">
        <v>10</v>
      </c>
      <c r="K514" s="2">
        <v>10</v>
      </c>
      <c r="L514" s="2">
        <v>10</v>
      </c>
      <c r="M514" s="2">
        <v>10</v>
      </c>
      <c r="N514" s="2">
        <v>10</v>
      </c>
      <c r="O514" s="2">
        <v>10</v>
      </c>
      <c r="P514" s="2">
        <v>10</v>
      </c>
      <c r="Q514" s="2" t="e">
        <f t="shared" ca="1" si="137"/>
        <v>#NAME?</v>
      </c>
      <c r="R514" s="2">
        <v>10</v>
      </c>
      <c r="S514" s="2">
        <v>10</v>
      </c>
      <c r="T514" s="2">
        <v>10</v>
      </c>
      <c r="U514" s="2">
        <v>10</v>
      </c>
      <c r="V514" s="2">
        <v>10</v>
      </c>
      <c r="W514" s="54">
        <f t="shared" ref="W514:W625" si="142">IFERROR( ROUNDUP(AVERAGE(R514:V514),0),0)</f>
        <v>10</v>
      </c>
      <c r="X514" s="48" t="s">
        <v>31</v>
      </c>
      <c r="Y514" s="2">
        <v>6</v>
      </c>
      <c r="Z514" s="2">
        <v>13</v>
      </c>
      <c r="AA514" s="2">
        <v>10</v>
      </c>
      <c r="AB514" s="2">
        <v>9</v>
      </c>
      <c r="AC514" s="2">
        <v>10</v>
      </c>
      <c r="AD514" s="2">
        <v>10</v>
      </c>
      <c r="AE514" s="2">
        <v>9</v>
      </c>
      <c r="AF514" s="2">
        <v>10</v>
      </c>
      <c r="AG514" s="2">
        <v>8</v>
      </c>
      <c r="AH514" s="2">
        <v>8</v>
      </c>
      <c r="AI514" s="2">
        <v>8</v>
      </c>
      <c r="AJ514" s="2">
        <v>8</v>
      </c>
      <c r="AK514" s="2">
        <v>8</v>
      </c>
      <c r="AL514" s="2">
        <v>8</v>
      </c>
      <c r="AM514" s="2">
        <v>8</v>
      </c>
      <c r="AN514" s="2">
        <v>8</v>
      </c>
      <c r="AO514" s="2">
        <v>8</v>
      </c>
      <c r="AP514" s="2">
        <v>8</v>
      </c>
      <c r="AQ514" s="2" t="e">
        <f t="shared" ca="1" si="138"/>
        <v>#NAME?</v>
      </c>
      <c r="AR514" s="2">
        <v>10</v>
      </c>
      <c r="AS514" s="2">
        <v>9</v>
      </c>
      <c r="AT514" s="2">
        <v>10</v>
      </c>
      <c r="AU514" s="2">
        <v>10</v>
      </c>
      <c r="AV514" s="2">
        <v>10</v>
      </c>
      <c r="AW514" s="54">
        <f t="shared" ref="AW514:AW625" si="143">IFERROR( ROUNDUP(AVERAGE(AR514:AV514),0),0)</f>
        <v>10</v>
      </c>
      <c r="AX514" s="48"/>
      <c r="AY514" s="2"/>
      <c r="AZ514" s="5">
        <v>10</v>
      </c>
      <c r="BA514" s="5">
        <v>10</v>
      </c>
      <c r="BB514" s="5">
        <v>10</v>
      </c>
      <c r="BC514" s="5">
        <v>10</v>
      </c>
      <c r="BD514" s="5">
        <v>10</v>
      </c>
      <c r="BE514" s="5">
        <v>10</v>
      </c>
      <c r="BF514" s="5">
        <v>10</v>
      </c>
      <c r="BG514" s="5">
        <v>10</v>
      </c>
      <c r="BH514" s="5">
        <v>10</v>
      </c>
      <c r="BI514" s="5">
        <v>10</v>
      </c>
      <c r="BJ514" s="2" t="e">
        <f t="shared" ca="1" si="139"/>
        <v>#NAME?</v>
      </c>
      <c r="BK514" s="5">
        <v>10</v>
      </c>
      <c r="BL514" s="5">
        <v>10</v>
      </c>
      <c r="BM514" s="5">
        <v>7</v>
      </c>
      <c r="BN514" s="5">
        <v>9</v>
      </c>
      <c r="BO514" s="5">
        <v>10</v>
      </c>
      <c r="BP514" s="54">
        <f t="shared" ref="BP514:BP625" si="144">IFERROR( ROUNDUP(AVERAGE(BK514:BO514),0),0)</f>
        <v>10</v>
      </c>
      <c r="BQ514" s="5"/>
      <c r="BR514" s="5"/>
      <c r="BS514" s="47">
        <v>10</v>
      </c>
      <c r="BT514" s="47">
        <v>10</v>
      </c>
      <c r="BU514" s="47">
        <v>10</v>
      </c>
      <c r="BV514" s="47">
        <v>10</v>
      </c>
      <c r="BW514" s="47">
        <v>10</v>
      </c>
      <c r="BX514" s="47">
        <v>10</v>
      </c>
      <c r="BY514" s="47">
        <v>10</v>
      </c>
      <c r="BZ514" s="47">
        <v>10</v>
      </c>
      <c r="CA514" s="47">
        <v>10</v>
      </c>
      <c r="CB514" s="47">
        <v>10</v>
      </c>
      <c r="CC514" s="2" t="e">
        <f t="shared" ca="1" si="140"/>
        <v>#NAME?</v>
      </c>
      <c r="CD514" s="55"/>
      <c r="CE514" s="2"/>
      <c r="CF514" s="2">
        <v>10</v>
      </c>
      <c r="CG514" s="2">
        <v>10</v>
      </c>
      <c r="CH514" s="2">
        <v>9</v>
      </c>
      <c r="CI514" s="2">
        <v>9</v>
      </c>
      <c r="CJ514" s="2">
        <v>10</v>
      </c>
      <c r="CK514" s="2">
        <v>10</v>
      </c>
      <c r="CL514" s="2">
        <v>10</v>
      </c>
      <c r="CM514" s="2">
        <v>10</v>
      </c>
      <c r="CN514" s="2">
        <v>10</v>
      </c>
      <c r="CO514" s="2">
        <v>10</v>
      </c>
      <c r="CP514" s="2" t="e">
        <f t="shared" ca="1" si="141"/>
        <v>#NAME?</v>
      </c>
      <c r="CQ514" s="2">
        <v>8</v>
      </c>
      <c r="CR514" s="2">
        <v>10</v>
      </c>
      <c r="CS514" s="2">
        <v>10</v>
      </c>
      <c r="CT514" s="2">
        <v>10</v>
      </c>
      <c r="CU514" s="2">
        <v>10</v>
      </c>
      <c r="CV514" s="54">
        <f t="shared" ref="CV514:CV625" si="145">IFERROR( ROUNDUP(AVERAGE(CQ514:CU514),0),0)</f>
        <v>10</v>
      </c>
      <c r="CW514" s="55">
        <v>16</v>
      </c>
      <c r="CX514" s="3"/>
    </row>
    <row r="515" spans="1:102" ht="16.5" x14ac:dyDescent="0.55000000000000004">
      <c r="A515" s="17">
        <v>2</v>
      </c>
      <c r="B515" s="17" t="s">
        <v>9</v>
      </c>
      <c r="C515" s="23" t="s">
        <v>1071</v>
      </c>
      <c r="D515" s="24" t="s">
        <v>1072</v>
      </c>
      <c r="E515" s="48">
        <v>8</v>
      </c>
      <c r="F515" s="2">
        <v>9</v>
      </c>
      <c r="G515" s="2">
        <v>10</v>
      </c>
      <c r="H515" s="2">
        <v>10</v>
      </c>
      <c r="I515" s="2">
        <v>10</v>
      </c>
      <c r="J515" s="2">
        <v>10</v>
      </c>
      <c r="K515" s="2">
        <v>10</v>
      </c>
      <c r="L515" s="2">
        <v>10</v>
      </c>
      <c r="M515" s="2">
        <v>10</v>
      </c>
      <c r="N515" s="2">
        <v>10</v>
      </c>
      <c r="O515" s="2">
        <v>10</v>
      </c>
      <c r="P515" s="2">
        <v>10</v>
      </c>
      <c r="Q515" s="2" t="e">
        <f t="shared" ca="1" si="137"/>
        <v>#NAME?</v>
      </c>
      <c r="R515" s="2">
        <v>10</v>
      </c>
      <c r="S515" s="2">
        <v>10</v>
      </c>
      <c r="T515" s="2">
        <v>10</v>
      </c>
      <c r="U515" s="2">
        <v>10</v>
      </c>
      <c r="V515" s="2">
        <v>10</v>
      </c>
      <c r="W515" s="54">
        <f t="shared" si="142"/>
        <v>10</v>
      </c>
      <c r="X515" s="48">
        <v>5</v>
      </c>
      <c r="Y515" s="2">
        <v>2</v>
      </c>
      <c r="Z515" s="2">
        <v>9</v>
      </c>
      <c r="AA515" s="2">
        <v>10</v>
      </c>
      <c r="AB515" s="2">
        <v>9</v>
      </c>
      <c r="AC515" s="2">
        <v>9</v>
      </c>
      <c r="AD515" s="2">
        <v>10</v>
      </c>
      <c r="AE515" s="2">
        <v>10</v>
      </c>
      <c r="AF515" s="2">
        <v>8</v>
      </c>
      <c r="AG515" s="2">
        <v>8</v>
      </c>
      <c r="AH515" s="2">
        <v>8</v>
      </c>
      <c r="AI515" s="2">
        <v>8</v>
      </c>
      <c r="AJ515" s="2">
        <v>8</v>
      </c>
      <c r="AK515" s="2">
        <v>8</v>
      </c>
      <c r="AL515" s="2">
        <v>8</v>
      </c>
      <c r="AM515" s="2">
        <v>8</v>
      </c>
      <c r="AN515" s="2">
        <v>8</v>
      </c>
      <c r="AO515" s="2">
        <v>8</v>
      </c>
      <c r="AP515" s="2">
        <v>8</v>
      </c>
      <c r="AQ515" s="2" t="e">
        <f t="shared" ca="1" si="138"/>
        <v>#NAME?</v>
      </c>
      <c r="AR515" s="2">
        <v>8</v>
      </c>
      <c r="AS515" s="2">
        <v>9</v>
      </c>
      <c r="AT515" s="2">
        <v>10</v>
      </c>
      <c r="AU515" s="2">
        <v>10</v>
      </c>
      <c r="AV515" s="2">
        <v>9</v>
      </c>
      <c r="AW515" s="54">
        <f t="shared" si="143"/>
        <v>10</v>
      </c>
      <c r="AX515" s="48"/>
      <c r="AY515" s="2"/>
      <c r="AZ515" s="2">
        <v>10</v>
      </c>
      <c r="BA515" s="2">
        <v>10</v>
      </c>
      <c r="BB515" s="2">
        <v>10</v>
      </c>
      <c r="BC515" s="2">
        <v>10</v>
      </c>
      <c r="BD515" s="2">
        <v>5</v>
      </c>
      <c r="BE515" s="2">
        <v>5</v>
      </c>
      <c r="BF515" s="2">
        <v>5</v>
      </c>
      <c r="BG515" s="2">
        <v>5</v>
      </c>
      <c r="BH515" s="2">
        <v>5</v>
      </c>
      <c r="BI515" s="2">
        <v>5</v>
      </c>
      <c r="BJ515" s="2" t="e">
        <f t="shared" ca="1" si="139"/>
        <v>#NAME?</v>
      </c>
      <c r="BK515" s="2">
        <v>10</v>
      </c>
      <c r="BL515" s="2">
        <v>5</v>
      </c>
      <c r="BM515" s="2">
        <v>8</v>
      </c>
      <c r="BN515" s="2">
        <v>10</v>
      </c>
      <c r="BO515" s="2">
        <v>10</v>
      </c>
      <c r="BP515" s="54">
        <f t="shared" si="144"/>
        <v>9</v>
      </c>
      <c r="BQ515" s="5"/>
      <c r="BR515" s="5"/>
      <c r="BS515" s="47">
        <v>8</v>
      </c>
      <c r="BT515" s="47">
        <v>8</v>
      </c>
      <c r="BU515" s="47">
        <v>8</v>
      </c>
      <c r="BV515" s="47">
        <v>8</v>
      </c>
      <c r="BW515" s="47">
        <v>8</v>
      </c>
      <c r="BX515" s="47">
        <v>8</v>
      </c>
      <c r="BY515" s="47">
        <v>8</v>
      </c>
      <c r="BZ515" s="47">
        <v>8</v>
      </c>
      <c r="CA515" s="47">
        <v>8</v>
      </c>
      <c r="CB515" s="47">
        <v>8</v>
      </c>
      <c r="CC515" s="2" t="e">
        <f t="shared" ca="1" si="140"/>
        <v>#NAME?</v>
      </c>
      <c r="CD515" s="55"/>
      <c r="CE515" s="2"/>
      <c r="CF515" s="2">
        <v>10</v>
      </c>
      <c r="CG515" s="2">
        <v>10</v>
      </c>
      <c r="CH515" s="2">
        <v>10</v>
      </c>
      <c r="CI515" s="2">
        <v>10</v>
      </c>
      <c r="CJ515" s="2">
        <v>10</v>
      </c>
      <c r="CK515" s="2">
        <v>10</v>
      </c>
      <c r="CL515" s="2">
        <v>10</v>
      </c>
      <c r="CM515" s="2">
        <v>10</v>
      </c>
      <c r="CN515" s="2">
        <v>10</v>
      </c>
      <c r="CO515" s="2">
        <v>10</v>
      </c>
      <c r="CP515" s="2" t="e">
        <f t="shared" ca="1" si="141"/>
        <v>#NAME?</v>
      </c>
      <c r="CQ515" s="2">
        <v>10</v>
      </c>
      <c r="CR515" s="2">
        <v>10</v>
      </c>
      <c r="CS515" s="2">
        <v>10</v>
      </c>
      <c r="CT515" s="2">
        <v>10</v>
      </c>
      <c r="CU515" s="2">
        <v>10</v>
      </c>
      <c r="CV515" s="54">
        <f t="shared" si="145"/>
        <v>10</v>
      </c>
      <c r="CW515" s="55">
        <v>10</v>
      </c>
      <c r="CX515" s="3"/>
    </row>
    <row r="516" spans="1:102" ht="16.5" x14ac:dyDescent="0.55000000000000004">
      <c r="A516" s="17">
        <v>2</v>
      </c>
      <c r="B516" s="17" t="s">
        <v>9</v>
      </c>
      <c r="C516" s="23" t="s">
        <v>1073</v>
      </c>
      <c r="D516" s="24" t="s">
        <v>1074</v>
      </c>
      <c r="E516" s="48">
        <v>8</v>
      </c>
      <c r="F516" s="2">
        <v>8</v>
      </c>
      <c r="G516" s="2">
        <v>10</v>
      </c>
      <c r="H516" s="2">
        <v>10</v>
      </c>
      <c r="I516" s="2">
        <v>10</v>
      </c>
      <c r="J516" s="2">
        <v>10</v>
      </c>
      <c r="K516" s="2">
        <v>10</v>
      </c>
      <c r="L516" s="2">
        <v>10</v>
      </c>
      <c r="M516" s="2">
        <v>10</v>
      </c>
      <c r="N516" s="2">
        <v>10</v>
      </c>
      <c r="O516" s="2">
        <v>10</v>
      </c>
      <c r="P516" s="2">
        <v>10</v>
      </c>
      <c r="Q516" s="2" t="e">
        <f t="shared" ca="1" si="137"/>
        <v>#NAME?</v>
      </c>
      <c r="R516" s="2">
        <v>10</v>
      </c>
      <c r="S516" s="2">
        <v>10</v>
      </c>
      <c r="T516" s="2">
        <v>10</v>
      </c>
      <c r="U516" s="2">
        <v>10</v>
      </c>
      <c r="V516" s="2">
        <v>10</v>
      </c>
      <c r="W516" s="54">
        <f t="shared" si="142"/>
        <v>10</v>
      </c>
      <c r="X516" s="48">
        <v>5</v>
      </c>
      <c r="Y516" s="2">
        <v>5</v>
      </c>
      <c r="Z516" s="2">
        <v>9</v>
      </c>
      <c r="AA516" s="2">
        <v>10</v>
      </c>
      <c r="AB516" s="2">
        <v>10</v>
      </c>
      <c r="AC516" s="2">
        <v>10</v>
      </c>
      <c r="AD516" s="2">
        <v>10</v>
      </c>
      <c r="AE516" s="2">
        <v>10</v>
      </c>
      <c r="AF516" s="2">
        <v>10</v>
      </c>
      <c r="AG516" s="2">
        <v>7</v>
      </c>
      <c r="AH516" s="2">
        <v>8</v>
      </c>
      <c r="AI516" s="2">
        <v>9</v>
      </c>
      <c r="AJ516" s="2">
        <v>8</v>
      </c>
      <c r="AK516" s="2">
        <v>8</v>
      </c>
      <c r="AL516" s="2">
        <v>8</v>
      </c>
      <c r="AM516" s="2">
        <v>8</v>
      </c>
      <c r="AN516" s="2">
        <v>8</v>
      </c>
      <c r="AO516" s="2">
        <v>8</v>
      </c>
      <c r="AP516" s="2">
        <v>8</v>
      </c>
      <c r="AQ516" s="2" t="e">
        <f t="shared" ca="1" si="138"/>
        <v>#NAME?</v>
      </c>
      <c r="AR516" s="2">
        <v>10</v>
      </c>
      <c r="AS516" s="2">
        <v>9</v>
      </c>
      <c r="AT516" s="2">
        <v>9</v>
      </c>
      <c r="AU516" s="2">
        <v>9</v>
      </c>
      <c r="AV516" s="2">
        <v>9</v>
      </c>
      <c r="AW516" s="54">
        <f t="shared" si="143"/>
        <v>10</v>
      </c>
      <c r="AX516" s="48"/>
      <c r="AY516" s="2"/>
      <c r="AZ516" s="5">
        <v>10</v>
      </c>
      <c r="BA516" s="5">
        <v>10</v>
      </c>
      <c r="BB516" s="5">
        <v>10</v>
      </c>
      <c r="BC516" s="5">
        <v>10</v>
      </c>
      <c r="BD516" s="5">
        <v>10</v>
      </c>
      <c r="BE516" s="5">
        <v>10</v>
      </c>
      <c r="BF516" s="5">
        <v>10</v>
      </c>
      <c r="BG516" s="5">
        <v>10</v>
      </c>
      <c r="BH516" s="5">
        <v>10</v>
      </c>
      <c r="BI516" s="5">
        <v>10</v>
      </c>
      <c r="BJ516" s="2" t="e">
        <f t="shared" ca="1" si="139"/>
        <v>#NAME?</v>
      </c>
      <c r="BK516" s="5">
        <v>10</v>
      </c>
      <c r="BL516" s="5">
        <v>5</v>
      </c>
      <c r="BM516" s="5">
        <v>10</v>
      </c>
      <c r="BN516" s="5">
        <v>10</v>
      </c>
      <c r="BO516" s="5">
        <v>10</v>
      </c>
      <c r="BP516" s="54">
        <f t="shared" si="144"/>
        <v>9</v>
      </c>
      <c r="BQ516" s="5"/>
      <c r="BR516" s="5"/>
      <c r="BS516" s="47">
        <v>9</v>
      </c>
      <c r="BT516" s="47">
        <v>9</v>
      </c>
      <c r="BU516" s="47">
        <v>9</v>
      </c>
      <c r="BV516" s="47">
        <v>9</v>
      </c>
      <c r="BW516" s="47">
        <v>9</v>
      </c>
      <c r="BX516" s="47">
        <v>9</v>
      </c>
      <c r="BY516" s="47">
        <v>9</v>
      </c>
      <c r="BZ516" s="47">
        <v>9</v>
      </c>
      <c r="CA516" s="47">
        <v>9</v>
      </c>
      <c r="CB516" s="47">
        <v>9</v>
      </c>
      <c r="CC516" s="2" t="e">
        <f t="shared" ca="1" si="140"/>
        <v>#NAME?</v>
      </c>
      <c r="CD516" s="55"/>
      <c r="CE516" s="2"/>
      <c r="CF516" s="2">
        <v>10</v>
      </c>
      <c r="CG516" s="2">
        <v>10</v>
      </c>
      <c r="CH516" s="2">
        <v>10</v>
      </c>
      <c r="CI516" s="2">
        <v>10</v>
      </c>
      <c r="CJ516" s="2">
        <v>10</v>
      </c>
      <c r="CK516" s="2">
        <v>10</v>
      </c>
      <c r="CL516" s="2">
        <v>10</v>
      </c>
      <c r="CM516" s="2">
        <v>10</v>
      </c>
      <c r="CN516" s="2">
        <v>10</v>
      </c>
      <c r="CO516" s="2">
        <v>10</v>
      </c>
      <c r="CP516" s="2" t="e">
        <f t="shared" ca="1" si="141"/>
        <v>#NAME?</v>
      </c>
      <c r="CQ516" s="2">
        <v>10</v>
      </c>
      <c r="CR516" s="2">
        <v>10</v>
      </c>
      <c r="CS516" s="2">
        <v>10</v>
      </c>
      <c r="CT516" s="2">
        <v>10</v>
      </c>
      <c r="CU516" s="2">
        <v>10</v>
      </c>
      <c r="CV516" s="54">
        <f t="shared" si="145"/>
        <v>10</v>
      </c>
      <c r="CW516" s="55">
        <v>9</v>
      </c>
      <c r="CX516" s="3"/>
    </row>
    <row r="517" spans="1:102" ht="16.5" x14ac:dyDescent="0.55000000000000004">
      <c r="A517" s="17">
        <v>2</v>
      </c>
      <c r="B517" s="17" t="s">
        <v>9</v>
      </c>
      <c r="C517" s="23" t="s">
        <v>1075</v>
      </c>
      <c r="D517" s="24" t="s">
        <v>1076</v>
      </c>
      <c r="E517" s="48">
        <v>9</v>
      </c>
      <c r="F517" s="2">
        <v>9</v>
      </c>
      <c r="G517" s="2">
        <v>10</v>
      </c>
      <c r="H517" s="2">
        <v>10</v>
      </c>
      <c r="I517" s="2">
        <v>10</v>
      </c>
      <c r="J517" s="2">
        <v>10</v>
      </c>
      <c r="K517" s="2">
        <v>10</v>
      </c>
      <c r="L517" s="2">
        <v>10</v>
      </c>
      <c r="M517" s="2">
        <v>10</v>
      </c>
      <c r="N517" s="2">
        <v>10</v>
      </c>
      <c r="O517" s="2">
        <v>10</v>
      </c>
      <c r="P517" s="2">
        <v>10</v>
      </c>
      <c r="Q517" s="2" t="e">
        <f t="shared" ca="1" si="137"/>
        <v>#NAME?</v>
      </c>
      <c r="R517" s="2">
        <v>10</v>
      </c>
      <c r="S517" s="2">
        <v>10</v>
      </c>
      <c r="T517" s="2">
        <v>10</v>
      </c>
      <c r="U517" s="2">
        <v>10</v>
      </c>
      <c r="V517" s="2">
        <v>10</v>
      </c>
      <c r="W517" s="54">
        <f t="shared" si="142"/>
        <v>10</v>
      </c>
      <c r="X517" s="48">
        <v>7</v>
      </c>
      <c r="Y517" s="2">
        <v>7</v>
      </c>
      <c r="Z517" s="2">
        <v>19</v>
      </c>
      <c r="AA517" s="2">
        <v>10</v>
      </c>
      <c r="AB517" s="2">
        <v>10</v>
      </c>
      <c r="AC517" s="2">
        <v>10</v>
      </c>
      <c r="AD517" s="2">
        <v>10</v>
      </c>
      <c r="AE517" s="2">
        <v>10</v>
      </c>
      <c r="AF517" s="2">
        <v>10</v>
      </c>
      <c r="AG517" s="2">
        <v>7</v>
      </c>
      <c r="AH517" s="2">
        <v>8</v>
      </c>
      <c r="AI517" s="2">
        <v>9</v>
      </c>
      <c r="AJ517" s="2">
        <v>8</v>
      </c>
      <c r="AK517" s="2">
        <v>8</v>
      </c>
      <c r="AL517" s="2">
        <v>8</v>
      </c>
      <c r="AM517" s="2">
        <v>8</v>
      </c>
      <c r="AN517" s="2">
        <v>8</v>
      </c>
      <c r="AO517" s="2">
        <v>8</v>
      </c>
      <c r="AP517" s="2">
        <v>8</v>
      </c>
      <c r="AQ517" s="2" t="e">
        <f t="shared" ca="1" si="138"/>
        <v>#NAME?</v>
      </c>
      <c r="AR517" s="2">
        <v>10</v>
      </c>
      <c r="AS517" s="2">
        <v>10</v>
      </c>
      <c r="AT517" s="2">
        <v>10</v>
      </c>
      <c r="AU517" s="2">
        <v>10</v>
      </c>
      <c r="AV517" s="2">
        <v>10</v>
      </c>
      <c r="AW517" s="54">
        <f t="shared" si="143"/>
        <v>10</v>
      </c>
      <c r="AX517" s="48"/>
      <c r="AY517" s="2"/>
      <c r="AZ517" s="5">
        <v>10</v>
      </c>
      <c r="BA517" s="5">
        <v>10</v>
      </c>
      <c r="BB517" s="5">
        <v>10</v>
      </c>
      <c r="BC517" s="5">
        <v>10</v>
      </c>
      <c r="BD517" s="5">
        <v>10</v>
      </c>
      <c r="BE517" s="5">
        <v>10</v>
      </c>
      <c r="BF517" s="5">
        <v>10</v>
      </c>
      <c r="BG517" s="5">
        <v>10</v>
      </c>
      <c r="BH517" s="5">
        <v>10</v>
      </c>
      <c r="BI517" s="5">
        <v>10</v>
      </c>
      <c r="BJ517" s="2" t="e">
        <f t="shared" ca="1" si="139"/>
        <v>#NAME?</v>
      </c>
      <c r="BK517" s="5">
        <v>10</v>
      </c>
      <c r="BL517" s="5">
        <v>10</v>
      </c>
      <c r="BM517" s="5">
        <v>10</v>
      </c>
      <c r="BN517" s="5">
        <v>10</v>
      </c>
      <c r="BO517" s="5">
        <v>10</v>
      </c>
      <c r="BP517" s="54">
        <f t="shared" si="144"/>
        <v>10</v>
      </c>
      <c r="BQ517" s="5"/>
      <c r="BR517" s="5"/>
      <c r="BS517" s="47">
        <v>10</v>
      </c>
      <c r="BT517" s="47">
        <v>10</v>
      </c>
      <c r="BU517" s="47">
        <v>10</v>
      </c>
      <c r="BV517" s="47">
        <v>10</v>
      </c>
      <c r="BW517" s="47">
        <v>10</v>
      </c>
      <c r="BX517" s="47">
        <v>10</v>
      </c>
      <c r="BY517" s="47">
        <v>10</v>
      </c>
      <c r="BZ517" s="47">
        <v>10</v>
      </c>
      <c r="CA517" s="47">
        <v>10</v>
      </c>
      <c r="CB517" s="47">
        <v>10</v>
      </c>
      <c r="CC517" s="2" t="e">
        <f t="shared" ca="1" si="140"/>
        <v>#NAME?</v>
      </c>
      <c r="CD517" s="55"/>
      <c r="CE517" s="2"/>
      <c r="CF517" s="2">
        <v>10</v>
      </c>
      <c r="CG517" s="2">
        <v>10</v>
      </c>
      <c r="CH517" s="2">
        <v>10</v>
      </c>
      <c r="CI517" s="2">
        <v>10</v>
      </c>
      <c r="CJ517" s="2">
        <v>10</v>
      </c>
      <c r="CK517" s="2">
        <v>10</v>
      </c>
      <c r="CL517" s="2">
        <v>10</v>
      </c>
      <c r="CM517" s="2">
        <v>10</v>
      </c>
      <c r="CN517" s="2">
        <v>10</v>
      </c>
      <c r="CO517" s="2">
        <v>10</v>
      </c>
      <c r="CP517" s="2" t="e">
        <f t="shared" ca="1" si="141"/>
        <v>#NAME?</v>
      </c>
      <c r="CQ517" s="2">
        <v>10</v>
      </c>
      <c r="CR517" s="2">
        <v>10</v>
      </c>
      <c r="CS517" s="2">
        <v>10</v>
      </c>
      <c r="CT517" s="2">
        <v>10</v>
      </c>
      <c r="CU517" s="2">
        <v>10</v>
      </c>
      <c r="CV517" s="54">
        <f t="shared" si="145"/>
        <v>10</v>
      </c>
      <c r="CW517" s="55">
        <v>17</v>
      </c>
      <c r="CX517" s="3"/>
    </row>
    <row r="518" spans="1:102" ht="16.5" x14ac:dyDescent="0.55000000000000004">
      <c r="A518" s="17">
        <v>2</v>
      </c>
      <c r="B518" s="17" t="s">
        <v>9</v>
      </c>
      <c r="C518" s="23" t="s">
        <v>1077</v>
      </c>
      <c r="D518" s="24" t="s">
        <v>1078</v>
      </c>
      <c r="E518" s="48">
        <v>8</v>
      </c>
      <c r="F518" s="2">
        <v>9</v>
      </c>
      <c r="G518" s="2">
        <v>10</v>
      </c>
      <c r="H518" s="2">
        <v>10</v>
      </c>
      <c r="I518" s="2">
        <v>10</v>
      </c>
      <c r="J518" s="2">
        <v>10</v>
      </c>
      <c r="K518" s="2">
        <v>10</v>
      </c>
      <c r="L518" s="2">
        <v>10</v>
      </c>
      <c r="M518" s="2">
        <v>10</v>
      </c>
      <c r="N518" s="2">
        <v>10</v>
      </c>
      <c r="O518" s="2">
        <v>10</v>
      </c>
      <c r="P518" s="2">
        <v>10</v>
      </c>
      <c r="Q518" s="2" t="e">
        <f t="shared" ca="1" si="137"/>
        <v>#NAME?</v>
      </c>
      <c r="R518" s="2">
        <v>10</v>
      </c>
      <c r="S518" s="2">
        <v>10</v>
      </c>
      <c r="T518" s="2">
        <v>10</v>
      </c>
      <c r="U518" s="2">
        <v>10</v>
      </c>
      <c r="V518" s="2">
        <v>10</v>
      </c>
      <c r="W518" s="54">
        <f t="shared" si="142"/>
        <v>10</v>
      </c>
      <c r="X518" s="48">
        <v>3</v>
      </c>
      <c r="Y518" s="2" t="s">
        <v>31</v>
      </c>
      <c r="Z518" s="2">
        <v>4</v>
      </c>
      <c r="AA518" s="2">
        <v>6</v>
      </c>
      <c r="AB518" s="2">
        <v>6</v>
      </c>
      <c r="AC518" s="2">
        <v>6</v>
      </c>
      <c r="AD518" s="2">
        <v>7</v>
      </c>
      <c r="AE518" s="2">
        <v>8</v>
      </c>
      <c r="AF518" s="2">
        <v>9</v>
      </c>
      <c r="AG518" s="2">
        <v>8</v>
      </c>
      <c r="AH518" s="2">
        <v>8</v>
      </c>
      <c r="AI518" s="2">
        <v>8</v>
      </c>
      <c r="AJ518" s="2">
        <v>8</v>
      </c>
      <c r="AK518" s="2">
        <v>8</v>
      </c>
      <c r="AL518" s="2">
        <v>8</v>
      </c>
      <c r="AM518" s="2">
        <v>8</v>
      </c>
      <c r="AN518" s="2">
        <v>8</v>
      </c>
      <c r="AO518" s="2">
        <v>8</v>
      </c>
      <c r="AP518" s="2">
        <v>8</v>
      </c>
      <c r="AQ518" s="2" t="e">
        <f t="shared" ca="1" si="138"/>
        <v>#NAME?</v>
      </c>
      <c r="AR518" s="2">
        <v>6</v>
      </c>
      <c r="AS518" s="2">
        <v>6</v>
      </c>
      <c r="AT518" s="2">
        <v>6</v>
      </c>
      <c r="AU518" s="2">
        <v>6</v>
      </c>
      <c r="AV518" s="2">
        <v>6</v>
      </c>
      <c r="AW518" s="54">
        <f t="shared" si="143"/>
        <v>6</v>
      </c>
      <c r="AX518" s="48"/>
      <c r="AY518" s="2"/>
      <c r="AZ518" s="2">
        <v>10</v>
      </c>
      <c r="BA518" s="2">
        <v>10</v>
      </c>
      <c r="BB518" s="2">
        <v>10</v>
      </c>
      <c r="BC518" s="2">
        <v>10</v>
      </c>
      <c r="BD518" s="2">
        <v>10</v>
      </c>
      <c r="BE518" s="2">
        <v>10</v>
      </c>
      <c r="BF518" s="2">
        <v>10</v>
      </c>
      <c r="BG518" s="2">
        <v>10</v>
      </c>
      <c r="BH518" s="2">
        <v>10</v>
      </c>
      <c r="BI518" s="2">
        <v>10</v>
      </c>
      <c r="BJ518" s="2" t="e">
        <f t="shared" ca="1" si="139"/>
        <v>#NAME?</v>
      </c>
      <c r="BK518" s="2">
        <v>10</v>
      </c>
      <c r="BL518" s="2">
        <v>10</v>
      </c>
      <c r="BM518" s="5">
        <v>10</v>
      </c>
      <c r="BN518" s="5">
        <v>10</v>
      </c>
      <c r="BO518" s="5">
        <v>10</v>
      </c>
      <c r="BP518" s="54">
        <f t="shared" si="144"/>
        <v>10</v>
      </c>
      <c r="BQ518" s="5"/>
      <c r="BR518" s="5"/>
      <c r="BS518" s="47">
        <v>9</v>
      </c>
      <c r="BT518" s="47">
        <v>9</v>
      </c>
      <c r="BU518" s="47">
        <v>9</v>
      </c>
      <c r="BV518" s="47">
        <v>9</v>
      </c>
      <c r="BW518" s="47">
        <v>9</v>
      </c>
      <c r="BX518" s="47">
        <v>9</v>
      </c>
      <c r="BY518" s="47">
        <v>9</v>
      </c>
      <c r="BZ518" s="47">
        <v>9</v>
      </c>
      <c r="CA518" s="47">
        <v>9</v>
      </c>
      <c r="CB518" s="47">
        <v>9</v>
      </c>
      <c r="CC518" s="2" t="e">
        <f t="shared" ca="1" si="140"/>
        <v>#NAME?</v>
      </c>
      <c r="CD518" s="55"/>
      <c r="CE518" s="2"/>
      <c r="CF518" s="2">
        <v>10</v>
      </c>
      <c r="CG518" s="2">
        <v>10</v>
      </c>
      <c r="CH518" s="2">
        <v>10</v>
      </c>
      <c r="CI518" s="2">
        <v>10</v>
      </c>
      <c r="CJ518" s="2">
        <v>10</v>
      </c>
      <c r="CK518" s="2">
        <v>10</v>
      </c>
      <c r="CL518" s="2">
        <v>10</v>
      </c>
      <c r="CM518" s="2">
        <v>10</v>
      </c>
      <c r="CN518" s="2">
        <v>10</v>
      </c>
      <c r="CO518" s="2">
        <v>10</v>
      </c>
      <c r="CP518" s="2" t="e">
        <f t="shared" ca="1" si="141"/>
        <v>#NAME?</v>
      </c>
      <c r="CQ518" s="2">
        <v>10</v>
      </c>
      <c r="CR518" s="2">
        <v>10</v>
      </c>
      <c r="CS518" s="2">
        <v>10</v>
      </c>
      <c r="CT518" s="2">
        <v>10</v>
      </c>
      <c r="CU518" s="2">
        <v>10</v>
      </c>
      <c r="CV518" s="54">
        <f t="shared" si="145"/>
        <v>10</v>
      </c>
      <c r="CW518" s="55">
        <v>0</v>
      </c>
      <c r="CX518" s="3"/>
    </row>
    <row r="519" spans="1:102" ht="16.5" x14ac:dyDescent="0.55000000000000004">
      <c r="A519" s="17">
        <v>3</v>
      </c>
      <c r="B519" s="17" t="s">
        <v>9</v>
      </c>
      <c r="C519" s="23" t="s">
        <v>1079</v>
      </c>
      <c r="D519" s="24" t="s">
        <v>1080</v>
      </c>
      <c r="E519" s="48">
        <v>8</v>
      </c>
      <c r="F519" s="2">
        <v>7</v>
      </c>
      <c r="G519" s="2">
        <v>9</v>
      </c>
      <c r="H519" s="2">
        <v>9</v>
      </c>
      <c r="I519" s="2">
        <v>9</v>
      </c>
      <c r="J519" s="2">
        <v>8</v>
      </c>
      <c r="K519" s="2">
        <v>9</v>
      </c>
      <c r="L519" s="2">
        <v>8</v>
      </c>
      <c r="M519" s="2">
        <v>8</v>
      </c>
      <c r="N519" s="2">
        <v>8</v>
      </c>
      <c r="O519" s="2">
        <v>8</v>
      </c>
      <c r="P519" s="2">
        <v>8</v>
      </c>
      <c r="Q519" s="2" t="e">
        <f t="shared" ca="1" si="137"/>
        <v>#NAME?</v>
      </c>
      <c r="R519" s="2">
        <v>8</v>
      </c>
      <c r="S519" s="2">
        <v>8</v>
      </c>
      <c r="T519" s="2">
        <v>8</v>
      </c>
      <c r="U519" s="2">
        <v>8</v>
      </c>
      <c r="V519" s="2">
        <v>8</v>
      </c>
      <c r="W519" s="54">
        <f t="shared" si="142"/>
        <v>8</v>
      </c>
      <c r="X519" s="48" t="s">
        <v>31</v>
      </c>
      <c r="Y519" s="2">
        <v>6</v>
      </c>
      <c r="Z519" s="2">
        <v>3</v>
      </c>
      <c r="AA519" s="2">
        <v>10</v>
      </c>
      <c r="AB519" s="2">
        <v>10</v>
      </c>
      <c r="AC519" s="2">
        <v>3</v>
      </c>
      <c r="AD519" s="2">
        <v>3</v>
      </c>
      <c r="AE519" s="2">
        <v>3</v>
      </c>
      <c r="AF519" s="2">
        <v>3</v>
      </c>
      <c r="AG519" s="2">
        <v>3</v>
      </c>
      <c r="AH519" s="2">
        <v>3</v>
      </c>
      <c r="AI519" s="2">
        <v>3</v>
      </c>
      <c r="AJ519" s="2">
        <v>3</v>
      </c>
      <c r="AK519" s="2">
        <v>3</v>
      </c>
      <c r="AL519" s="2">
        <v>3</v>
      </c>
      <c r="AM519" s="2">
        <v>3</v>
      </c>
      <c r="AN519" s="2">
        <v>3</v>
      </c>
      <c r="AO519" s="2">
        <v>3</v>
      </c>
      <c r="AP519" s="2">
        <v>3</v>
      </c>
      <c r="AQ519" s="2" t="e">
        <f t="shared" ca="1" si="138"/>
        <v>#NAME?</v>
      </c>
      <c r="AR519" s="2">
        <v>3</v>
      </c>
      <c r="AS519" s="2">
        <v>3</v>
      </c>
      <c r="AT519" s="2">
        <v>3</v>
      </c>
      <c r="AU519" s="2">
        <v>3</v>
      </c>
      <c r="AV519" s="2">
        <v>3</v>
      </c>
      <c r="AW519" s="54">
        <f t="shared" si="143"/>
        <v>3</v>
      </c>
      <c r="AX519" s="48"/>
      <c r="AY519" s="2"/>
      <c r="AZ519" s="2">
        <v>4</v>
      </c>
      <c r="BA519" s="2">
        <v>4</v>
      </c>
      <c r="BB519" s="2">
        <v>4</v>
      </c>
      <c r="BC519" s="2">
        <v>4</v>
      </c>
      <c r="BD519" s="2">
        <v>3</v>
      </c>
      <c r="BE519" s="2">
        <v>3</v>
      </c>
      <c r="BF519" s="2">
        <v>3</v>
      </c>
      <c r="BG519" s="2">
        <v>3</v>
      </c>
      <c r="BH519" s="2">
        <v>3</v>
      </c>
      <c r="BI519" s="2">
        <v>3</v>
      </c>
      <c r="BJ519" s="2" t="e">
        <f t="shared" ca="1" si="139"/>
        <v>#NAME?</v>
      </c>
      <c r="BK519" s="2">
        <v>4</v>
      </c>
      <c r="BL519" s="2">
        <v>4</v>
      </c>
      <c r="BM519" s="2">
        <v>3</v>
      </c>
      <c r="BN519" s="2">
        <v>3</v>
      </c>
      <c r="BO519" s="2">
        <v>3</v>
      </c>
      <c r="BP519" s="54">
        <f t="shared" si="144"/>
        <v>4</v>
      </c>
      <c r="BQ519" s="5"/>
      <c r="BR519" s="5"/>
      <c r="BS519" s="104">
        <v>5</v>
      </c>
      <c r="BT519" s="104">
        <v>5</v>
      </c>
      <c r="BU519" s="104">
        <v>5</v>
      </c>
      <c r="BV519" s="104">
        <v>5</v>
      </c>
      <c r="BW519" s="104">
        <v>5</v>
      </c>
      <c r="BX519" s="104">
        <v>5</v>
      </c>
      <c r="BY519" s="104">
        <v>5</v>
      </c>
      <c r="BZ519" s="104">
        <v>5</v>
      </c>
      <c r="CA519" s="104">
        <v>5</v>
      </c>
      <c r="CB519" s="104">
        <v>5</v>
      </c>
      <c r="CC519" s="2" t="e">
        <f t="shared" ca="1" si="140"/>
        <v>#NAME?</v>
      </c>
      <c r="CD519" s="55"/>
      <c r="CE519" s="2"/>
      <c r="CF519" s="2">
        <v>5</v>
      </c>
      <c r="CG519" s="2">
        <v>5</v>
      </c>
      <c r="CH519" s="2">
        <v>5</v>
      </c>
      <c r="CI519" s="2">
        <v>5</v>
      </c>
      <c r="CJ519" s="2">
        <v>5</v>
      </c>
      <c r="CK519" s="2">
        <v>5</v>
      </c>
      <c r="CL519" s="2">
        <v>5</v>
      </c>
      <c r="CM519" s="2">
        <v>5</v>
      </c>
      <c r="CN519" s="2">
        <v>5</v>
      </c>
      <c r="CO519" s="2">
        <v>5</v>
      </c>
      <c r="CP519" s="2" t="e">
        <f t="shared" ca="1" si="141"/>
        <v>#NAME?</v>
      </c>
      <c r="CQ519" s="2">
        <v>5</v>
      </c>
      <c r="CR519" s="2">
        <v>5</v>
      </c>
      <c r="CS519" s="2">
        <v>5</v>
      </c>
      <c r="CT519" s="2">
        <v>5</v>
      </c>
      <c r="CU519" s="2">
        <v>5</v>
      </c>
      <c r="CV519" s="54">
        <f t="shared" si="145"/>
        <v>5</v>
      </c>
      <c r="CW519" s="55">
        <v>4</v>
      </c>
      <c r="CX519" s="3"/>
    </row>
    <row r="520" spans="1:102" ht="16.5" x14ac:dyDescent="0.55000000000000004">
      <c r="A520" s="17">
        <v>3</v>
      </c>
      <c r="B520" s="17" t="s">
        <v>9</v>
      </c>
      <c r="C520" s="23" t="s">
        <v>1081</v>
      </c>
      <c r="D520" s="24" t="s">
        <v>1082</v>
      </c>
      <c r="E520" s="48">
        <v>8</v>
      </c>
      <c r="F520" s="2">
        <v>9</v>
      </c>
      <c r="G520" s="2">
        <v>10</v>
      </c>
      <c r="H520" s="2">
        <v>10</v>
      </c>
      <c r="I520" s="2">
        <v>10</v>
      </c>
      <c r="J520" s="2">
        <v>10</v>
      </c>
      <c r="K520" s="2">
        <v>10</v>
      </c>
      <c r="L520" s="2">
        <v>10</v>
      </c>
      <c r="M520" s="2">
        <v>10</v>
      </c>
      <c r="N520" s="2">
        <v>10</v>
      </c>
      <c r="O520" s="2">
        <v>10</v>
      </c>
      <c r="P520" s="2">
        <v>10</v>
      </c>
      <c r="Q520" s="2" t="e">
        <f t="shared" ca="1" si="137"/>
        <v>#NAME?</v>
      </c>
      <c r="R520" s="2">
        <v>10</v>
      </c>
      <c r="S520" s="2">
        <v>10</v>
      </c>
      <c r="T520" s="2">
        <v>10</v>
      </c>
      <c r="U520" s="2">
        <v>10</v>
      </c>
      <c r="V520" s="2">
        <v>10</v>
      </c>
      <c r="W520" s="54">
        <f t="shared" si="142"/>
        <v>10</v>
      </c>
      <c r="X520" s="48">
        <v>5</v>
      </c>
      <c r="Y520" s="2">
        <v>2</v>
      </c>
      <c r="Z520" s="2">
        <v>9</v>
      </c>
      <c r="AA520" s="2">
        <v>10</v>
      </c>
      <c r="AB520" s="2">
        <v>10</v>
      </c>
      <c r="AC520" s="2">
        <v>9</v>
      </c>
      <c r="AD520" s="2">
        <v>10</v>
      </c>
      <c r="AE520" s="2">
        <v>8</v>
      </c>
      <c r="AF520" s="2">
        <v>9</v>
      </c>
      <c r="AG520" s="2">
        <v>10</v>
      </c>
      <c r="AH520" s="2">
        <v>9</v>
      </c>
      <c r="AI520" s="2">
        <v>8</v>
      </c>
      <c r="AJ520" s="2">
        <v>8</v>
      </c>
      <c r="AK520" s="2">
        <v>8</v>
      </c>
      <c r="AL520" s="2">
        <v>8</v>
      </c>
      <c r="AM520" s="2">
        <v>8</v>
      </c>
      <c r="AN520" s="2">
        <v>8</v>
      </c>
      <c r="AO520" s="2">
        <v>8</v>
      </c>
      <c r="AP520" s="2">
        <v>8</v>
      </c>
      <c r="AQ520" s="2" t="e">
        <f t="shared" ca="1" si="138"/>
        <v>#NAME?</v>
      </c>
      <c r="AR520" s="2">
        <v>10</v>
      </c>
      <c r="AS520" s="2">
        <v>10</v>
      </c>
      <c r="AT520" s="2">
        <v>8</v>
      </c>
      <c r="AU520" s="2">
        <v>8</v>
      </c>
      <c r="AV520" s="2">
        <v>8</v>
      </c>
      <c r="AW520" s="54">
        <f t="shared" si="143"/>
        <v>9</v>
      </c>
      <c r="AX520" s="48"/>
      <c r="AY520" s="2"/>
      <c r="AZ520" s="2">
        <v>10</v>
      </c>
      <c r="BA520" s="2">
        <v>10</v>
      </c>
      <c r="BB520" s="2">
        <v>10</v>
      </c>
      <c r="BC520" s="2">
        <v>10</v>
      </c>
      <c r="BD520" s="2">
        <v>10</v>
      </c>
      <c r="BE520" s="2">
        <v>10</v>
      </c>
      <c r="BF520" s="2">
        <v>10</v>
      </c>
      <c r="BG520" s="2">
        <v>10</v>
      </c>
      <c r="BH520" s="2">
        <v>10</v>
      </c>
      <c r="BI520" s="2">
        <v>10</v>
      </c>
      <c r="BJ520" s="2" t="e">
        <f t="shared" ca="1" si="139"/>
        <v>#NAME?</v>
      </c>
      <c r="BK520" s="2">
        <v>10</v>
      </c>
      <c r="BL520" s="2">
        <v>5</v>
      </c>
      <c r="BM520" s="2">
        <v>10</v>
      </c>
      <c r="BN520" s="2">
        <v>10</v>
      </c>
      <c r="BO520" s="2">
        <v>10</v>
      </c>
      <c r="BP520" s="54">
        <f t="shared" si="144"/>
        <v>9</v>
      </c>
      <c r="BQ520" s="5"/>
      <c r="BR520" s="5"/>
      <c r="BS520" s="104">
        <v>10</v>
      </c>
      <c r="BT520" s="104">
        <v>10</v>
      </c>
      <c r="BU520" s="104">
        <v>10</v>
      </c>
      <c r="BV520" s="104">
        <v>10</v>
      </c>
      <c r="BW520" s="104">
        <v>10</v>
      </c>
      <c r="BX520" s="104">
        <v>10</v>
      </c>
      <c r="BY520" s="104">
        <v>10</v>
      </c>
      <c r="BZ520" s="104">
        <v>10</v>
      </c>
      <c r="CA520" s="104">
        <v>10</v>
      </c>
      <c r="CB520" s="104">
        <v>10</v>
      </c>
      <c r="CC520" s="2" t="e">
        <f t="shared" ca="1" si="140"/>
        <v>#NAME?</v>
      </c>
      <c r="CD520" s="55"/>
      <c r="CE520" s="2"/>
      <c r="CF520" s="2">
        <v>10</v>
      </c>
      <c r="CG520" s="2">
        <v>10</v>
      </c>
      <c r="CH520" s="2">
        <v>10</v>
      </c>
      <c r="CI520" s="2">
        <v>10</v>
      </c>
      <c r="CJ520" s="2">
        <v>10</v>
      </c>
      <c r="CK520" s="2">
        <v>10</v>
      </c>
      <c r="CL520" s="2">
        <v>10</v>
      </c>
      <c r="CM520" s="2">
        <v>10</v>
      </c>
      <c r="CN520" s="2">
        <v>10</v>
      </c>
      <c r="CO520" s="2">
        <v>10</v>
      </c>
      <c r="CP520" s="2" t="e">
        <f t="shared" ca="1" si="141"/>
        <v>#NAME?</v>
      </c>
      <c r="CQ520" s="2">
        <v>10</v>
      </c>
      <c r="CR520" s="2">
        <v>10</v>
      </c>
      <c r="CS520" s="2">
        <v>10</v>
      </c>
      <c r="CT520" s="2">
        <v>10</v>
      </c>
      <c r="CU520" s="2">
        <v>10</v>
      </c>
      <c r="CV520" s="54">
        <f t="shared" si="145"/>
        <v>10</v>
      </c>
      <c r="CW520" s="55">
        <v>6</v>
      </c>
      <c r="CX520" s="3"/>
    </row>
    <row r="521" spans="1:102" ht="16.5" x14ac:dyDescent="0.55000000000000004">
      <c r="A521" s="17">
        <v>3</v>
      </c>
      <c r="B521" s="17" t="s">
        <v>9</v>
      </c>
      <c r="C521" s="23" t="s">
        <v>1083</v>
      </c>
      <c r="D521" s="24" t="s">
        <v>1084</v>
      </c>
      <c r="E521" s="48">
        <v>8</v>
      </c>
      <c r="F521" s="2">
        <v>8</v>
      </c>
      <c r="G521" s="2">
        <v>10</v>
      </c>
      <c r="H521" s="2">
        <v>10</v>
      </c>
      <c r="I521" s="2">
        <v>10</v>
      </c>
      <c r="J521" s="2">
        <v>9</v>
      </c>
      <c r="K521" s="2">
        <v>9</v>
      </c>
      <c r="L521" s="2">
        <v>10</v>
      </c>
      <c r="M521" s="2">
        <v>10</v>
      </c>
      <c r="N521" s="2">
        <v>10</v>
      </c>
      <c r="O521" s="2">
        <v>10</v>
      </c>
      <c r="P521" s="2">
        <v>10</v>
      </c>
      <c r="Q521" s="2" t="e">
        <f t="shared" ca="1" si="137"/>
        <v>#NAME?</v>
      </c>
      <c r="R521" s="2">
        <v>10</v>
      </c>
      <c r="S521" s="2">
        <v>10</v>
      </c>
      <c r="T521" s="2">
        <v>10</v>
      </c>
      <c r="U521" s="2">
        <v>10</v>
      </c>
      <c r="V521" s="2">
        <v>10</v>
      </c>
      <c r="W521" s="54">
        <f t="shared" si="142"/>
        <v>10</v>
      </c>
      <c r="X521" s="48">
        <v>4</v>
      </c>
      <c r="Y521" s="2">
        <v>5</v>
      </c>
      <c r="Z521" s="2">
        <v>14</v>
      </c>
      <c r="AA521" s="2">
        <v>10</v>
      </c>
      <c r="AB521" s="2">
        <v>10</v>
      </c>
      <c r="AC521" s="2">
        <v>9</v>
      </c>
      <c r="AD521" s="2">
        <v>9</v>
      </c>
      <c r="AE521" s="2">
        <v>8</v>
      </c>
      <c r="AF521" s="2">
        <v>8</v>
      </c>
      <c r="AG521" s="2">
        <v>8</v>
      </c>
      <c r="AH521" s="2">
        <v>8</v>
      </c>
      <c r="AI521" s="2">
        <v>8</v>
      </c>
      <c r="AJ521" s="2">
        <v>8</v>
      </c>
      <c r="AK521" s="2">
        <v>8</v>
      </c>
      <c r="AL521" s="2">
        <v>8</v>
      </c>
      <c r="AM521" s="2">
        <v>8</v>
      </c>
      <c r="AN521" s="2">
        <v>8</v>
      </c>
      <c r="AO521" s="2">
        <v>8</v>
      </c>
      <c r="AP521" s="2">
        <v>8</v>
      </c>
      <c r="AQ521" s="2" t="e">
        <f t="shared" ca="1" si="138"/>
        <v>#NAME?</v>
      </c>
      <c r="AR521" s="2">
        <v>7</v>
      </c>
      <c r="AS521" s="2">
        <v>8</v>
      </c>
      <c r="AT521" s="2">
        <v>8</v>
      </c>
      <c r="AU521" s="2">
        <v>8</v>
      </c>
      <c r="AV521" s="2">
        <v>8</v>
      </c>
      <c r="AW521" s="54">
        <f t="shared" si="143"/>
        <v>8</v>
      </c>
      <c r="AX521" s="48"/>
      <c r="AY521" s="2"/>
      <c r="AZ521" s="2">
        <v>5</v>
      </c>
      <c r="BA521" s="2">
        <v>5</v>
      </c>
      <c r="BB521" s="2">
        <v>5</v>
      </c>
      <c r="BC521" s="2">
        <v>5</v>
      </c>
      <c r="BD521" s="2">
        <v>5</v>
      </c>
      <c r="BE521" s="2">
        <v>5</v>
      </c>
      <c r="BF521" s="2">
        <v>5</v>
      </c>
      <c r="BG521" s="2">
        <v>5</v>
      </c>
      <c r="BH521" s="2">
        <v>5</v>
      </c>
      <c r="BI521" s="2">
        <v>5</v>
      </c>
      <c r="BJ521" s="2" t="e">
        <f t="shared" ca="1" si="139"/>
        <v>#NAME?</v>
      </c>
      <c r="BK521" s="2">
        <v>5</v>
      </c>
      <c r="BL521" s="2">
        <v>5</v>
      </c>
      <c r="BM521" s="2">
        <v>5</v>
      </c>
      <c r="BN521" s="2">
        <v>5</v>
      </c>
      <c r="BO521" s="2">
        <v>5</v>
      </c>
      <c r="BP521" s="54">
        <f t="shared" si="144"/>
        <v>5</v>
      </c>
      <c r="BQ521" s="5"/>
      <c r="BR521" s="5"/>
      <c r="BS521" s="104">
        <v>10</v>
      </c>
      <c r="BT521" s="104">
        <v>10</v>
      </c>
      <c r="BU521" s="104">
        <v>7</v>
      </c>
      <c r="BV521" s="104">
        <v>5</v>
      </c>
      <c r="BW521" s="104">
        <v>5</v>
      </c>
      <c r="BX521" s="104">
        <v>10</v>
      </c>
      <c r="BY521" s="104">
        <v>10</v>
      </c>
      <c r="BZ521" s="104">
        <v>5</v>
      </c>
      <c r="CA521" s="104">
        <v>5</v>
      </c>
      <c r="CB521" s="104">
        <v>5</v>
      </c>
      <c r="CC521" s="2" t="e">
        <f t="shared" ca="1" si="140"/>
        <v>#NAME?</v>
      </c>
      <c r="CD521" s="55"/>
      <c r="CE521" s="2"/>
      <c r="CF521" s="2">
        <v>5</v>
      </c>
      <c r="CG521" s="2">
        <v>5</v>
      </c>
      <c r="CH521" s="2">
        <v>5</v>
      </c>
      <c r="CI521" s="2">
        <v>5</v>
      </c>
      <c r="CJ521" s="2">
        <v>10</v>
      </c>
      <c r="CK521" s="2">
        <v>10</v>
      </c>
      <c r="CL521" s="2">
        <v>10</v>
      </c>
      <c r="CM521" s="2">
        <v>10</v>
      </c>
      <c r="CN521" s="2">
        <v>5</v>
      </c>
      <c r="CO521" s="2">
        <v>10</v>
      </c>
      <c r="CP521" s="2" t="e">
        <f t="shared" ca="1" si="141"/>
        <v>#NAME?</v>
      </c>
      <c r="CQ521" s="2">
        <v>10</v>
      </c>
      <c r="CR521" s="2">
        <v>10</v>
      </c>
      <c r="CS521" s="2">
        <v>10</v>
      </c>
      <c r="CT521" s="2">
        <v>10</v>
      </c>
      <c r="CU521" s="2">
        <v>10</v>
      </c>
      <c r="CV521" s="54">
        <f t="shared" si="145"/>
        <v>10</v>
      </c>
      <c r="CW521" s="55">
        <v>7</v>
      </c>
      <c r="CX521" s="3"/>
    </row>
    <row r="522" spans="1:102" ht="16.5" x14ac:dyDescent="0.55000000000000004">
      <c r="A522" s="17">
        <v>3</v>
      </c>
      <c r="B522" s="17" t="s">
        <v>9</v>
      </c>
      <c r="C522" s="23" t="s">
        <v>1085</v>
      </c>
      <c r="D522" s="24" t="s">
        <v>1086</v>
      </c>
      <c r="E522" s="48">
        <v>8</v>
      </c>
      <c r="F522" s="2">
        <v>8</v>
      </c>
      <c r="G522" s="2">
        <v>10</v>
      </c>
      <c r="H522" s="2">
        <v>10</v>
      </c>
      <c r="I522" s="2">
        <v>10</v>
      </c>
      <c r="J522" s="2">
        <v>10</v>
      </c>
      <c r="K522" s="2">
        <v>10</v>
      </c>
      <c r="L522" s="2">
        <v>10</v>
      </c>
      <c r="M522" s="2">
        <v>10</v>
      </c>
      <c r="N522" s="2">
        <v>10</v>
      </c>
      <c r="O522" s="2">
        <v>10</v>
      </c>
      <c r="P522" s="2">
        <v>9</v>
      </c>
      <c r="Q522" s="2" t="e">
        <f t="shared" ca="1" si="137"/>
        <v>#NAME?</v>
      </c>
      <c r="R522" s="2">
        <v>10</v>
      </c>
      <c r="S522" s="2">
        <v>10</v>
      </c>
      <c r="T522" s="2">
        <v>10</v>
      </c>
      <c r="U522" s="2">
        <v>10</v>
      </c>
      <c r="V522" s="2">
        <v>10</v>
      </c>
      <c r="W522" s="54">
        <f t="shared" si="142"/>
        <v>10</v>
      </c>
      <c r="X522" s="48" t="s">
        <v>31</v>
      </c>
      <c r="Y522" s="2">
        <v>6</v>
      </c>
      <c r="Z522" s="2">
        <v>18</v>
      </c>
      <c r="AA522" s="2">
        <v>10</v>
      </c>
      <c r="AB522" s="2">
        <v>10</v>
      </c>
      <c r="AC522" s="2">
        <v>10</v>
      </c>
      <c r="AD522" s="2">
        <v>9</v>
      </c>
      <c r="AE522" s="2">
        <v>10</v>
      </c>
      <c r="AF522" s="2">
        <v>8</v>
      </c>
      <c r="AG522" s="2">
        <v>9</v>
      </c>
      <c r="AH522" s="2">
        <v>10</v>
      </c>
      <c r="AI522" s="2">
        <v>10</v>
      </c>
      <c r="AJ522" s="2">
        <v>9</v>
      </c>
      <c r="AK522" s="2">
        <v>10</v>
      </c>
      <c r="AL522" s="2">
        <v>10</v>
      </c>
      <c r="AM522" s="2">
        <v>10</v>
      </c>
      <c r="AN522" s="2">
        <v>10</v>
      </c>
      <c r="AO522" s="2">
        <v>10</v>
      </c>
      <c r="AP522" s="2">
        <v>10</v>
      </c>
      <c r="AQ522" s="2" t="e">
        <f t="shared" ca="1" si="138"/>
        <v>#NAME?</v>
      </c>
      <c r="AR522" s="2">
        <v>10</v>
      </c>
      <c r="AS522" s="2">
        <v>8</v>
      </c>
      <c r="AT522" s="2">
        <v>9</v>
      </c>
      <c r="AU522" s="2">
        <v>10</v>
      </c>
      <c r="AV522" s="2">
        <v>10</v>
      </c>
      <c r="AW522" s="54">
        <f t="shared" si="143"/>
        <v>10</v>
      </c>
      <c r="AX522" s="48"/>
      <c r="AY522" s="2"/>
      <c r="AZ522" s="2">
        <v>10</v>
      </c>
      <c r="BA522" s="2">
        <v>10</v>
      </c>
      <c r="BB522" s="2">
        <v>10</v>
      </c>
      <c r="BC522" s="2">
        <v>10</v>
      </c>
      <c r="BD522" s="2">
        <v>10</v>
      </c>
      <c r="BE522" s="2">
        <v>10</v>
      </c>
      <c r="BF522" s="2">
        <v>10</v>
      </c>
      <c r="BG522" s="2">
        <v>10</v>
      </c>
      <c r="BH522" s="2">
        <v>10</v>
      </c>
      <c r="BI522" s="2">
        <v>10</v>
      </c>
      <c r="BJ522" s="2" t="e">
        <f t="shared" ca="1" si="139"/>
        <v>#NAME?</v>
      </c>
      <c r="BK522" s="5">
        <v>10</v>
      </c>
      <c r="BL522" s="5">
        <v>10</v>
      </c>
      <c r="BM522" s="5">
        <v>10</v>
      </c>
      <c r="BN522" s="5">
        <v>10</v>
      </c>
      <c r="BO522" s="5">
        <v>10</v>
      </c>
      <c r="BP522" s="54">
        <f t="shared" si="144"/>
        <v>10</v>
      </c>
      <c r="BQ522" s="5"/>
      <c r="BR522" s="5"/>
      <c r="BS522" s="104">
        <v>10</v>
      </c>
      <c r="BT522" s="104">
        <v>10</v>
      </c>
      <c r="BU522" s="104">
        <v>10</v>
      </c>
      <c r="BV522" s="104">
        <v>10</v>
      </c>
      <c r="BW522" s="104">
        <v>10</v>
      </c>
      <c r="BX522" s="104">
        <v>10</v>
      </c>
      <c r="BY522" s="104">
        <v>10</v>
      </c>
      <c r="BZ522" s="104">
        <v>10</v>
      </c>
      <c r="CA522" s="104">
        <v>10</v>
      </c>
      <c r="CB522" s="104">
        <v>10</v>
      </c>
      <c r="CC522" s="2" t="e">
        <f t="shared" ca="1" si="140"/>
        <v>#NAME?</v>
      </c>
      <c r="CD522" s="55"/>
      <c r="CE522" s="2"/>
      <c r="CF522" s="2">
        <v>10</v>
      </c>
      <c r="CG522" s="2">
        <v>10</v>
      </c>
      <c r="CH522" s="2">
        <v>10</v>
      </c>
      <c r="CI522" s="2">
        <v>10</v>
      </c>
      <c r="CJ522" s="2">
        <v>10</v>
      </c>
      <c r="CK522" s="2">
        <v>10</v>
      </c>
      <c r="CL522" s="2">
        <v>10</v>
      </c>
      <c r="CM522" s="2">
        <v>10</v>
      </c>
      <c r="CN522" s="2">
        <v>10</v>
      </c>
      <c r="CO522" s="2">
        <v>10</v>
      </c>
      <c r="CP522" s="2" t="e">
        <f t="shared" ca="1" si="141"/>
        <v>#NAME?</v>
      </c>
      <c r="CQ522" s="2">
        <v>10</v>
      </c>
      <c r="CR522" s="2">
        <v>10</v>
      </c>
      <c r="CS522" s="2">
        <v>10</v>
      </c>
      <c r="CT522" s="2">
        <v>10</v>
      </c>
      <c r="CU522" s="2">
        <v>10</v>
      </c>
      <c r="CV522" s="54">
        <f t="shared" si="145"/>
        <v>10</v>
      </c>
      <c r="CW522" s="55">
        <v>14</v>
      </c>
      <c r="CX522" s="3"/>
    </row>
    <row r="523" spans="1:102" ht="16.5" x14ac:dyDescent="0.55000000000000004">
      <c r="A523" s="17">
        <v>3</v>
      </c>
      <c r="B523" s="17" t="s">
        <v>9</v>
      </c>
      <c r="C523" s="23" t="s">
        <v>1087</v>
      </c>
      <c r="D523" s="24" t="s">
        <v>1088</v>
      </c>
      <c r="E523" s="48">
        <v>8</v>
      </c>
      <c r="F523" s="2">
        <v>7</v>
      </c>
      <c r="G523" s="2">
        <v>10</v>
      </c>
      <c r="H523" s="2">
        <v>10</v>
      </c>
      <c r="I523" s="2">
        <v>10</v>
      </c>
      <c r="J523" s="2">
        <v>9</v>
      </c>
      <c r="K523" s="2">
        <v>9</v>
      </c>
      <c r="L523" s="2">
        <v>9</v>
      </c>
      <c r="M523" s="2">
        <v>9</v>
      </c>
      <c r="N523" s="2">
        <v>9</v>
      </c>
      <c r="O523" s="2">
        <v>9</v>
      </c>
      <c r="P523" s="2">
        <v>9</v>
      </c>
      <c r="Q523" s="2" t="e">
        <f t="shared" ca="1" si="137"/>
        <v>#NAME?</v>
      </c>
      <c r="R523" s="2">
        <v>9</v>
      </c>
      <c r="S523" s="2">
        <v>9</v>
      </c>
      <c r="T523" s="2">
        <v>10</v>
      </c>
      <c r="U523" s="2">
        <v>10</v>
      </c>
      <c r="V523" s="2">
        <v>9</v>
      </c>
      <c r="W523" s="54">
        <f t="shared" si="142"/>
        <v>10</v>
      </c>
      <c r="X523" s="48">
        <v>1</v>
      </c>
      <c r="Y523" s="2">
        <v>5</v>
      </c>
      <c r="Z523" s="2">
        <v>14</v>
      </c>
      <c r="AA523" s="2">
        <v>10</v>
      </c>
      <c r="AB523" s="2">
        <v>10</v>
      </c>
      <c r="AC523" s="2">
        <v>4</v>
      </c>
      <c r="AD523" s="2">
        <v>4</v>
      </c>
      <c r="AE523" s="2">
        <v>4</v>
      </c>
      <c r="AF523" s="2">
        <v>4</v>
      </c>
      <c r="AG523" s="2">
        <v>4</v>
      </c>
      <c r="AH523" s="2">
        <v>4</v>
      </c>
      <c r="AI523" s="2">
        <v>4</v>
      </c>
      <c r="AJ523" s="2">
        <v>4</v>
      </c>
      <c r="AK523" s="2">
        <v>4</v>
      </c>
      <c r="AL523" s="2">
        <v>4</v>
      </c>
      <c r="AM523" s="2">
        <v>4</v>
      </c>
      <c r="AN523" s="2">
        <v>4</v>
      </c>
      <c r="AO523" s="2">
        <v>4</v>
      </c>
      <c r="AP523" s="2">
        <v>4</v>
      </c>
      <c r="AQ523" s="2" t="e">
        <f t="shared" ca="1" si="138"/>
        <v>#NAME?</v>
      </c>
      <c r="AR523" s="2">
        <v>8</v>
      </c>
      <c r="AS523" s="2">
        <v>9</v>
      </c>
      <c r="AT523" s="2">
        <v>4</v>
      </c>
      <c r="AU523" s="2">
        <v>4</v>
      </c>
      <c r="AV523" s="2">
        <v>4</v>
      </c>
      <c r="AW523" s="54">
        <f t="shared" si="143"/>
        <v>6</v>
      </c>
      <c r="AX523" s="48"/>
      <c r="AY523" s="2"/>
      <c r="AZ523" s="2">
        <v>5</v>
      </c>
      <c r="BA523" s="2">
        <v>4</v>
      </c>
      <c r="BB523" s="2">
        <v>4</v>
      </c>
      <c r="BC523" s="2">
        <v>4</v>
      </c>
      <c r="BD523" s="2">
        <v>5</v>
      </c>
      <c r="BE523" s="2">
        <v>5</v>
      </c>
      <c r="BF523" s="2">
        <v>5</v>
      </c>
      <c r="BG523" s="2">
        <v>4</v>
      </c>
      <c r="BH523" s="2">
        <v>4</v>
      </c>
      <c r="BI523" s="2">
        <v>4</v>
      </c>
      <c r="BJ523" s="2" t="e">
        <f t="shared" ca="1" si="139"/>
        <v>#NAME?</v>
      </c>
      <c r="BK523" s="2">
        <v>3</v>
      </c>
      <c r="BL523" s="2">
        <v>4</v>
      </c>
      <c r="BM523" s="2">
        <v>4</v>
      </c>
      <c r="BN523" s="2">
        <v>4</v>
      </c>
      <c r="BO523" s="2">
        <v>4</v>
      </c>
      <c r="BP523" s="54">
        <f t="shared" si="144"/>
        <v>4</v>
      </c>
      <c r="BQ523" s="5"/>
      <c r="BR523" s="5"/>
      <c r="BS523" s="104">
        <v>10</v>
      </c>
      <c r="BT523" s="104">
        <v>10</v>
      </c>
      <c r="BU523" s="104">
        <v>10</v>
      </c>
      <c r="BV523" s="104">
        <v>10</v>
      </c>
      <c r="BW523" s="104">
        <v>10</v>
      </c>
      <c r="BX523" s="104">
        <v>10</v>
      </c>
      <c r="BY523" s="104">
        <v>10</v>
      </c>
      <c r="BZ523" s="5">
        <v>7</v>
      </c>
      <c r="CA523" s="5">
        <v>7</v>
      </c>
      <c r="CB523" s="5">
        <v>7</v>
      </c>
      <c r="CC523" s="2" t="e">
        <f t="shared" ca="1" si="140"/>
        <v>#NAME?</v>
      </c>
      <c r="CD523" s="55"/>
      <c r="CE523" s="2"/>
      <c r="CF523" s="2">
        <v>5</v>
      </c>
      <c r="CG523" s="2">
        <v>5</v>
      </c>
      <c r="CH523" s="2">
        <v>7</v>
      </c>
      <c r="CI523" s="2">
        <v>8</v>
      </c>
      <c r="CJ523" s="2">
        <v>9</v>
      </c>
      <c r="CK523" s="2">
        <v>7</v>
      </c>
      <c r="CL523" s="2">
        <v>8</v>
      </c>
      <c r="CM523" s="2">
        <v>9</v>
      </c>
      <c r="CN523" s="2">
        <v>10</v>
      </c>
      <c r="CO523" s="2">
        <v>10</v>
      </c>
      <c r="CP523" s="2" t="e">
        <f t="shared" ca="1" si="141"/>
        <v>#NAME?</v>
      </c>
      <c r="CQ523" s="2">
        <v>57</v>
      </c>
      <c r="CR523" s="2">
        <v>8</v>
      </c>
      <c r="CS523" s="2">
        <v>10</v>
      </c>
      <c r="CT523" s="2">
        <v>10</v>
      </c>
      <c r="CU523" s="2">
        <v>10</v>
      </c>
      <c r="CV523" s="54">
        <f t="shared" si="145"/>
        <v>19</v>
      </c>
      <c r="CW523" s="55">
        <v>12</v>
      </c>
      <c r="CX523" s="3"/>
    </row>
    <row r="524" spans="1:102" ht="16.5" x14ac:dyDescent="0.55000000000000004">
      <c r="A524" s="17">
        <v>3</v>
      </c>
      <c r="B524" s="17" t="s">
        <v>9</v>
      </c>
      <c r="C524" s="23" t="s">
        <v>1089</v>
      </c>
      <c r="D524" s="24" t="s">
        <v>1090</v>
      </c>
      <c r="E524" s="48">
        <v>8</v>
      </c>
      <c r="F524" s="2">
        <v>7</v>
      </c>
      <c r="G524" s="2">
        <v>10</v>
      </c>
      <c r="H524" s="2">
        <v>10</v>
      </c>
      <c r="I524" s="2">
        <v>10</v>
      </c>
      <c r="J524" s="2">
        <v>9</v>
      </c>
      <c r="K524" s="2">
        <v>9</v>
      </c>
      <c r="L524" s="2">
        <v>9</v>
      </c>
      <c r="M524" s="2">
        <v>10</v>
      </c>
      <c r="N524" s="2">
        <v>10</v>
      </c>
      <c r="O524" s="2">
        <v>9</v>
      </c>
      <c r="P524" s="2">
        <v>9</v>
      </c>
      <c r="Q524" s="2" t="e">
        <f t="shared" ca="1" si="137"/>
        <v>#NAME?</v>
      </c>
      <c r="R524" s="2">
        <v>10</v>
      </c>
      <c r="S524" s="2">
        <v>9</v>
      </c>
      <c r="T524" s="2">
        <v>9</v>
      </c>
      <c r="U524" s="2">
        <v>9</v>
      </c>
      <c r="V524" s="2">
        <v>9</v>
      </c>
      <c r="W524" s="54">
        <f t="shared" si="142"/>
        <v>10</v>
      </c>
      <c r="X524" s="48">
        <v>6</v>
      </c>
      <c r="Y524" s="2">
        <v>4</v>
      </c>
      <c r="Z524" s="2">
        <v>9</v>
      </c>
      <c r="AA524" s="2">
        <v>10</v>
      </c>
      <c r="AB524" s="2">
        <v>10</v>
      </c>
      <c r="AC524" s="2">
        <v>10</v>
      </c>
      <c r="AD524" s="2">
        <v>10</v>
      </c>
      <c r="AE524" s="2">
        <v>10</v>
      </c>
      <c r="AF524" s="2">
        <v>9</v>
      </c>
      <c r="AG524" s="2">
        <v>9</v>
      </c>
      <c r="AH524" s="2">
        <v>9</v>
      </c>
      <c r="AI524" s="2">
        <v>10</v>
      </c>
      <c r="AJ524" s="2">
        <v>10</v>
      </c>
      <c r="AK524" s="2">
        <v>9</v>
      </c>
      <c r="AL524" s="2">
        <v>10</v>
      </c>
      <c r="AM524" s="2">
        <v>9</v>
      </c>
      <c r="AN524" s="2">
        <v>9</v>
      </c>
      <c r="AO524" s="2">
        <v>8</v>
      </c>
      <c r="AP524" s="2">
        <v>8</v>
      </c>
      <c r="AQ524" s="2" t="e">
        <f t="shared" ca="1" si="138"/>
        <v>#NAME?</v>
      </c>
      <c r="AR524" s="2">
        <v>10</v>
      </c>
      <c r="AS524" s="2">
        <v>10</v>
      </c>
      <c r="AT524" s="2">
        <v>10</v>
      </c>
      <c r="AU524" s="2">
        <v>9</v>
      </c>
      <c r="AV524" s="2">
        <v>9</v>
      </c>
      <c r="AW524" s="54">
        <f t="shared" si="143"/>
        <v>10</v>
      </c>
      <c r="AX524" s="48"/>
      <c r="AY524" s="2"/>
      <c r="AZ524" s="2">
        <v>6</v>
      </c>
      <c r="BA524" s="2">
        <v>6</v>
      </c>
      <c r="BB524" s="2">
        <v>6</v>
      </c>
      <c r="BC524" s="2">
        <v>6</v>
      </c>
      <c r="BD524" s="2">
        <v>6</v>
      </c>
      <c r="BE524" s="2">
        <v>6</v>
      </c>
      <c r="BF524" s="2">
        <v>6</v>
      </c>
      <c r="BG524" s="2">
        <v>6</v>
      </c>
      <c r="BH524" s="2">
        <v>6</v>
      </c>
      <c r="BI524" s="2">
        <v>6</v>
      </c>
      <c r="BJ524" s="2" t="e">
        <f t="shared" ca="1" si="139"/>
        <v>#NAME?</v>
      </c>
      <c r="BK524" s="2">
        <v>10</v>
      </c>
      <c r="BL524" s="2">
        <v>6</v>
      </c>
      <c r="BM524" s="2">
        <v>6</v>
      </c>
      <c r="BN524" s="2">
        <v>6</v>
      </c>
      <c r="BO524" s="2">
        <v>6</v>
      </c>
      <c r="BP524" s="54">
        <f t="shared" si="144"/>
        <v>7</v>
      </c>
      <c r="BQ524" s="5"/>
      <c r="BR524" s="5"/>
      <c r="BS524" s="104">
        <v>10</v>
      </c>
      <c r="BT524" s="104">
        <v>10</v>
      </c>
      <c r="BU524" s="104">
        <v>10</v>
      </c>
      <c r="BV524" s="104">
        <v>10</v>
      </c>
      <c r="BW524" s="104">
        <v>10</v>
      </c>
      <c r="BX524" s="104">
        <v>10</v>
      </c>
      <c r="BY524" s="104">
        <v>10</v>
      </c>
      <c r="BZ524" s="104">
        <v>10</v>
      </c>
      <c r="CA524" s="104">
        <v>10</v>
      </c>
      <c r="CB524" s="104">
        <v>10</v>
      </c>
      <c r="CC524" s="2" t="e">
        <f t="shared" ca="1" si="140"/>
        <v>#NAME?</v>
      </c>
      <c r="CD524" s="55"/>
      <c r="CE524" s="2"/>
      <c r="CF524" s="8">
        <v>5</v>
      </c>
      <c r="CG524" s="8">
        <v>5</v>
      </c>
      <c r="CH524" s="8">
        <v>5</v>
      </c>
      <c r="CI524" s="8">
        <v>5</v>
      </c>
      <c r="CJ524" s="8">
        <v>5</v>
      </c>
      <c r="CK524" s="8">
        <v>5</v>
      </c>
      <c r="CL524" s="8">
        <v>5</v>
      </c>
      <c r="CM524" s="8">
        <v>5</v>
      </c>
      <c r="CN524" s="8">
        <v>5</v>
      </c>
      <c r="CO524" s="8">
        <v>5</v>
      </c>
      <c r="CP524" s="2" t="e">
        <f t="shared" ca="1" si="141"/>
        <v>#NAME?</v>
      </c>
      <c r="CQ524" s="2">
        <v>5</v>
      </c>
      <c r="CR524" s="2">
        <v>5</v>
      </c>
      <c r="CS524" s="2">
        <v>5</v>
      </c>
      <c r="CT524" s="2">
        <v>5</v>
      </c>
      <c r="CU524" s="2">
        <v>5</v>
      </c>
      <c r="CV524" s="54">
        <f t="shared" si="145"/>
        <v>5</v>
      </c>
      <c r="CW524" s="55">
        <v>6</v>
      </c>
      <c r="CX524" s="3"/>
    </row>
    <row r="525" spans="1:102" ht="16.5" x14ac:dyDescent="0.55000000000000004">
      <c r="A525" s="17">
        <v>3</v>
      </c>
      <c r="B525" s="17" t="s">
        <v>9</v>
      </c>
      <c r="C525" s="23" t="s">
        <v>1091</v>
      </c>
      <c r="D525" s="24" t="s">
        <v>1092</v>
      </c>
      <c r="E525" s="48">
        <v>7</v>
      </c>
      <c r="F525" s="2">
        <v>7</v>
      </c>
      <c r="G525" s="2">
        <v>10</v>
      </c>
      <c r="H525" s="2">
        <v>10</v>
      </c>
      <c r="I525" s="2">
        <v>10</v>
      </c>
      <c r="J525" s="2">
        <v>9</v>
      </c>
      <c r="K525" s="2">
        <v>9</v>
      </c>
      <c r="L525" s="2">
        <v>9</v>
      </c>
      <c r="M525" s="2">
        <v>9</v>
      </c>
      <c r="N525" s="2">
        <v>10</v>
      </c>
      <c r="O525" s="2">
        <v>9</v>
      </c>
      <c r="P525" s="2">
        <v>9</v>
      </c>
      <c r="Q525" s="2" t="e">
        <f t="shared" ca="1" si="137"/>
        <v>#NAME?</v>
      </c>
      <c r="R525" s="2">
        <v>10</v>
      </c>
      <c r="S525" s="2">
        <v>10</v>
      </c>
      <c r="T525" s="2">
        <v>9</v>
      </c>
      <c r="U525" s="2">
        <v>9</v>
      </c>
      <c r="V525" s="2">
        <v>9</v>
      </c>
      <c r="W525" s="54">
        <f t="shared" si="142"/>
        <v>10</v>
      </c>
      <c r="X525" s="48">
        <v>4</v>
      </c>
      <c r="Y525" s="2">
        <v>4</v>
      </c>
      <c r="Z525" s="2">
        <v>6</v>
      </c>
      <c r="AA525" s="2">
        <v>10</v>
      </c>
      <c r="AB525" s="2">
        <v>7</v>
      </c>
      <c r="AC525" s="2">
        <v>7</v>
      </c>
      <c r="AD525" s="2">
        <v>7</v>
      </c>
      <c r="AE525" s="2">
        <v>7</v>
      </c>
      <c r="AF525" s="2">
        <v>7</v>
      </c>
      <c r="AG525" s="2">
        <v>7</v>
      </c>
      <c r="AH525" s="2">
        <v>7</v>
      </c>
      <c r="AI525" s="2">
        <v>7</v>
      </c>
      <c r="AJ525" s="2">
        <v>7</v>
      </c>
      <c r="AK525" s="2">
        <v>7</v>
      </c>
      <c r="AL525" s="2">
        <v>7</v>
      </c>
      <c r="AM525" s="2">
        <v>7</v>
      </c>
      <c r="AN525" s="2">
        <v>7</v>
      </c>
      <c r="AO525" s="2">
        <v>7</v>
      </c>
      <c r="AP525" s="2">
        <v>7</v>
      </c>
      <c r="AQ525" s="2" t="e">
        <f t="shared" ca="1" si="138"/>
        <v>#NAME?</v>
      </c>
      <c r="AR525" s="2">
        <v>8</v>
      </c>
      <c r="AS525" s="2">
        <v>9</v>
      </c>
      <c r="AT525" s="2">
        <v>7</v>
      </c>
      <c r="AU525" s="2">
        <v>7</v>
      </c>
      <c r="AV525" s="2">
        <v>7</v>
      </c>
      <c r="AW525" s="54">
        <f t="shared" si="143"/>
        <v>8</v>
      </c>
      <c r="AX525" s="48"/>
      <c r="AY525" s="2"/>
      <c r="AZ525" s="2">
        <v>5</v>
      </c>
      <c r="BA525" s="2">
        <v>4</v>
      </c>
      <c r="BB525" s="2">
        <v>4</v>
      </c>
      <c r="BC525" s="2">
        <v>4</v>
      </c>
      <c r="BD525" s="2">
        <v>5</v>
      </c>
      <c r="BE525" s="2">
        <v>5</v>
      </c>
      <c r="BF525" s="2">
        <v>5</v>
      </c>
      <c r="BG525" s="2">
        <v>4</v>
      </c>
      <c r="BH525" s="2">
        <v>4</v>
      </c>
      <c r="BI525" s="2">
        <v>4</v>
      </c>
      <c r="BJ525" s="2" t="e">
        <f t="shared" ca="1" si="139"/>
        <v>#NAME?</v>
      </c>
      <c r="BK525" s="2">
        <v>3</v>
      </c>
      <c r="BL525" s="2">
        <v>4</v>
      </c>
      <c r="BM525" s="2">
        <v>4</v>
      </c>
      <c r="BN525" s="2">
        <v>4</v>
      </c>
      <c r="BO525" s="2">
        <v>4</v>
      </c>
      <c r="BP525" s="54">
        <f t="shared" si="144"/>
        <v>4</v>
      </c>
      <c r="BQ525" s="5"/>
      <c r="BR525" s="5"/>
      <c r="BS525" s="104">
        <v>10</v>
      </c>
      <c r="BT525" s="104">
        <v>10</v>
      </c>
      <c r="BU525" s="104">
        <v>10</v>
      </c>
      <c r="BV525" s="104">
        <v>10</v>
      </c>
      <c r="BW525" s="104">
        <v>10</v>
      </c>
      <c r="BX525" s="104">
        <v>10</v>
      </c>
      <c r="BY525" s="104">
        <v>10</v>
      </c>
      <c r="BZ525" s="5">
        <v>7</v>
      </c>
      <c r="CA525" s="5">
        <v>7</v>
      </c>
      <c r="CB525" s="5">
        <v>7</v>
      </c>
      <c r="CC525" s="2" t="e">
        <f t="shared" ca="1" si="140"/>
        <v>#NAME?</v>
      </c>
      <c r="CD525" s="55"/>
      <c r="CE525" s="2"/>
      <c r="CF525" s="2">
        <v>10</v>
      </c>
      <c r="CG525" s="2">
        <v>7</v>
      </c>
      <c r="CH525" s="2">
        <v>8</v>
      </c>
      <c r="CI525" s="2">
        <v>5</v>
      </c>
      <c r="CJ525" s="2">
        <v>5</v>
      </c>
      <c r="CK525" s="2">
        <v>5</v>
      </c>
      <c r="CL525" s="2">
        <v>5</v>
      </c>
      <c r="CM525" s="2">
        <v>5</v>
      </c>
      <c r="CN525" s="2">
        <v>5</v>
      </c>
      <c r="CO525" s="2">
        <v>5</v>
      </c>
      <c r="CP525" s="2" t="e">
        <f t="shared" ca="1" si="141"/>
        <v>#NAME?</v>
      </c>
      <c r="CQ525" s="2">
        <v>10</v>
      </c>
      <c r="CR525" s="2">
        <v>5</v>
      </c>
      <c r="CS525" s="2">
        <v>5</v>
      </c>
      <c r="CT525" s="2">
        <v>5</v>
      </c>
      <c r="CU525" s="2">
        <v>5</v>
      </c>
      <c r="CV525" s="54">
        <f t="shared" si="145"/>
        <v>6</v>
      </c>
      <c r="CW525" s="55">
        <v>5</v>
      </c>
      <c r="CX525" s="3"/>
    </row>
    <row r="526" spans="1:102" ht="16.5" x14ac:dyDescent="0.55000000000000004">
      <c r="A526" s="17">
        <v>3</v>
      </c>
      <c r="B526" s="17" t="s">
        <v>9</v>
      </c>
      <c r="C526" s="23" t="s">
        <v>1093</v>
      </c>
      <c r="D526" s="24" t="s">
        <v>1094</v>
      </c>
      <c r="E526" s="48">
        <v>7</v>
      </c>
      <c r="F526" s="2">
        <v>7</v>
      </c>
      <c r="G526" s="2">
        <v>10</v>
      </c>
      <c r="H526" s="2">
        <v>10</v>
      </c>
      <c r="I526" s="2">
        <v>10</v>
      </c>
      <c r="J526" s="2">
        <v>9</v>
      </c>
      <c r="K526" s="2">
        <v>10</v>
      </c>
      <c r="L526" s="2">
        <v>10</v>
      </c>
      <c r="M526" s="2">
        <v>9</v>
      </c>
      <c r="N526" s="2">
        <v>9</v>
      </c>
      <c r="O526" s="2">
        <v>10</v>
      </c>
      <c r="P526" s="2">
        <v>9</v>
      </c>
      <c r="Q526" s="2" t="e">
        <f t="shared" ca="1" si="137"/>
        <v>#NAME?</v>
      </c>
      <c r="R526" s="2">
        <v>10</v>
      </c>
      <c r="S526" s="2">
        <v>10</v>
      </c>
      <c r="T526" s="2">
        <v>9</v>
      </c>
      <c r="U526" s="2">
        <v>9</v>
      </c>
      <c r="V526" s="2">
        <v>9</v>
      </c>
      <c r="W526" s="54">
        <f t="shared" si="142"/>
        <v>10</v>
      </c>
      <c r="X526" s="48">
        <v>6</v>
      </c>
      <c r="Y526" s="2">
        <v>5</v>
      </c>
      <c r="Z526" s="2">
        <v>10</v>
      </c>
      <c r="AA526" s="2">
        <v>10</v>
      </c>
      <c r="AB526" s="2">
        <v>10</v>
      </c>
      <c r="AC526" s="2">
        <v>9</v>
      </c>
      <c r="AD526" s="2">
        <v>10</v>
      </c>
      <c r="AE526" s="2">
        <v>10</v>
      </c>
      <c r="AF526" s="2">
        <v>8</v>
      </c>
      <c r="AG526" s="2">
        <v>8</v>
      </c>
      <c r="AH526" s="2">
        <v>8</v>
      </c>
      <c r="AI526" s="2">
        <v>8</v>
      </c>
      <c r="AJ526" s="2">
        <v>8</v>
      </c>
      <c r="AK526" s="2">
        <v>8</v>
      </c>
      <c r="AL526" s="2">
        <v>8</v>
      </c>
      <c r="AM526" s="2">
        <v>8</v>
      </c>
      <c r="AN526" s="2">
        <v>8</v>
      </c>
      <c r="AO526" s="2">
        <v>8</v>
      </c>
      <c r="AP526" s="2">
        <v>8</v>
      </c>
      <c r="AQ526" s="2" t="e">
        <f t="shared" ca="1" si="138"/>
        <v>#NAME?</v>
      </c>
      <c r="AR526" s="2">
        <v>9</v>
      </c>
      <c r="AS526" s="2">
        <v>10</v>
      </c>
      <c r="AT526" s="2">
        <v>8</v>
      </c>
      <c r="AU526" s="2">
        <v>8</v>
      </c>
      <c r="AV526" s="2">
        <v>8</v>
      </c>
      <c r="AW526" s="54">
        <f t="shared" si="143"/>
        <v>9</v>
      </c>
      <c r="AX526" s="48"/>
      <c r="AY526" s="2"/>
      <c r="AZ526" s="2">
        <v>10</v>
      </c>
      <c r="BA526" s="2">
        <v>10</v>
      </c>
      <c r="BB526" s="2">
        <v>10</v>
      </c>
      <c r="BC526" s="2">
        <v>4</v>
      </c>
      <c r="BD526" s="2">
        <v>5</v>
      </c>
      <c r="BE526" s="2">
        <v>5</v>
      </c>
      <c r="BF526" s="2">
        <v>5</v>
      </c>
      <c r="BG526" s="2">
        <v>4</v>
      </c>
      <c r="BH526" s="2">
        <v>4</v>
      </c>
      <c r="BI526" s="2">
        <v>4</v>
      </c>
      <c r="BJ526" s="2" t="e">
        <f t="shared" ca="1" si="139"/>
        <v>#NAME?</v>
      </c>
      <c r="BK526" s="2">
        <v>5</v>
      </c>
      <c r="BL526" s="2">
        <v>4</v>
      </c>
      <c r="BM526" s="2">
        <v>4</v>
      </c>
      <c r="BN526" s="2">
        <v>4</v>
      </c>
      <c r="BO526" s="2">
        <v>4</v>
      </c>
      <c r="BP526" s="54">
        <f t="shared" si="144"/>
        <v>5</v>
      </c>
      <c r="BQ526" s="5"/>
      <c r="BR526" s="5"/>
      <c r="BS526" s="104">
        <v>10</v>
      </c>
      <c r="BT526" s="104">
        <v>10</v>
      </c>
      <c r="BU526" s="104">
        <v>10</v>
      </c>
      <c r="BV526" s="104">
        <v>10</v>
      </c>
      <c r="BW526" s="104">
        <v>10</v>
      </c>
      <c r="BX526" s="104">
        <v>10</v>
      </c>
      <c r="BY526" s="104">
        <v>10</v>
      </c>
      <c r="BZ526" s="5">
        <v>7</v>
      </c>
      <c r="CA526" s="5">
        <v>7</v>
      </c>
      <c r="CB526" s="5">
        <v>7</v>
      </c>
      <c r="CC526" s="2" t="e">
        <f t="shared" ca="1" si="140"/>
        <v>#NAME?</v>
      </c>
      <c r="CD526" s="55"/>
      <c r="CE526" s="2"/>
      <c r="CF526" s="2">
        <v>10</v>
      </c>
      <c r="CG526" s="2">
        <v>7</v>
      </c>
      <c r="CH526" s="2">
        <v>5</v>
      </c>
      <c r="CI526" s="2">
        <v>8</v>
      </c>
      <c r="CJ526" s="2">
        <v>9</v>
      </c>
      <c r="CK526" s="2">
        <v>7</v>
      </c>
      <c r="CL526" s="2">
        <v>8</v>
      </c>
      <c r="CM526" s="2">
        <v>10</v>
      </c>
      <c r="CN526" s="2">
        <v>10</v>
      </c>
      <c r="CO526" s="2">
        <v>10</v>
      </c>
      <c r="CP526" s="2" t="e">
        <f t="shared" ca="1" si="141"/>
        <v>#NAME?</v>
      </c>
      <c r="CQ526" s="2">
        <v>10</v>
      </c>
      <c r="CR526" s="2">
        <v>10</v>
      </c>
      <c r="CS526" s="2">
        <v>7</v>
      </c>
      <c r="CT526" s="2">
        <v>8</v>
      </c>
      <c r="CU526" s="2">
        <v>7</v>
      </c>
      <c r="CV526" s="54">
        <f t="shared" si="145"/>
        <v>9</v>
      </c>
      <c r="CW526" s="55">
        <v>14</v>
      </c>
      <c r="CX526" s="3"/>
    </row>
    <row r="527" spans="1:102" ht="16.5" x14ac:dyDescent="0.55000000000000004">
      <c r="A527" s="17">
        <v>3</v>
      </c>
      <c r="B527" s="17" t="s">
        <v>9</v>
      </c>
      <c r="C527" s="23" t="s">
        <v>1095</v>
      </c>
      <c r="D527" s="24" t="s">
        <v>1096</v>
      </c>
      <c r="E527" s="48">
        <v>7</v>
      </c>
      <c r="F527" s="2">
        <v>8</v>
      </c>
      <c r="G527" s="2">
        <v>10</v>
      </c>
      <c r="H527" s="2">
        <v>10</v>
      </c>
      <c r="I527" s="2">
        <v>9</v>
      </c>
      <c r="J527" s="2">
        <v>9</v>
      </c>
      <c r="K527" s="2">
        <v>10</v>
      </c>
      <c r="L527" s="2">
        <v>10</v>
      </c>
      <c r="M527" s="2">
        <v>10</v>
      </c>
      <c r="N527" s="2">
        <v>10</v>
      </c>
      <c r="O527" s="2">
        <v>10</v>
      </c>
      <c r="P527" s="2">
        <v>10</v>
      </c>
      <c r="Q527" s="2" t="e">
        <f t="shared" ca="1" si="137"/>
        <v>#NAME?</v>
      </c>
      <c r="R527" s="2">
        <v>10</v>
      </c>
      <c r="S527" s="2">
        <v>9</v>
      </c>
      <c r="T527" s="2">
        <v>10</v>
      </c>
      <c r="U527" s="2">
        <v>10</v>
      </c>
      <c r="V527" s="2">
        <v>10</v>
      </c>
      <c r="W527" s="54">
        <f t="shared" si="142"/>
        <v>10</v>
      </c>
      <c r="X527" s="48" t="s">
        <v>31</v>
      </c>
      <c r="Y527" s="2">
        <v>7</v>
      </c>
      <c r="Z527" s="2">
        <v>8</v>
      </c>
      <c r="AA527" s="2">
        <v>10</v>
      </c>
      <c r="AB527" s="2">
        <v>10</v>
      </c>
      <c r="AC527" s="2">
        <v>10</v>
      </c>
      <c r="AD527" s="2">
        <v>10</v>
      </c>
      <c r="AE527" s="2">
        <v>10</v>
      </c>
      <c r="AF527" s="2">
        <v>9</v>
      </c>
      <c r="AG527" s="2">
        <v>10</v>
      </c>
      <c r="AH527" s="2">
        <v>10</v>
      </c>
      <c r="AI527" s="2">
        <v>10</v>
      </c>
      <c r="AJ527" s="2">
        <v>10</v>
      </c>
      <c r="AK527" s="2">
        <v>10</v>
      </c>
      <c r="AL527" s="2">
        <v>10</v>
      </c>
      <c r="AM527" s="2">
        <v>10</v>
      </c>
      <c r="AN527" s="2">
        <v>9</v>
      </c>
      <c r="AO527" s="2">
        <v>10</v>
      </c>
      <c r="AP527" s="2">
        <v>10</v>
      </c>
      <c r="AQ527" s="2" t="e">
        <f t="shared" ca="1" si="138"/>
        <v>#NAME?</v>
      </c>
      <c r="AR527" s="2">
        <v>10</v>
      </c>
      <c r="AS527" s="2">
        <v>9</v>
      </c>
      <c r="AT527" s="2">
        <v>9</v>
      </c>
      <c r="AU527" s="2">
        <v>9</v>
      </c>
      <c r="AV527" s="2">
        <v>10</v>
      </c>
      <c r="AW527" s="54">
        <f t="shared" si="143"/>
        <v>10</v>
      </c>
      <c r="AX527" s="48"/>
      <c r="AY527" s="2"/>
      <c r="AZ527" s="5">
        <v>10</v>
      </c>
      <c r="BA527" s="5">
        <v>10</v>
      </c>
      <c r="BB527" s="5">
        <v>10</v>
      </c>
      <c r="BC527" s="5">
        <v>10</v>
      </c>
      <c r="BD527" s="5">
        <v>10</v>
      </c>
      <c r="BE527" s="5">
        <v>10</v>
      </c>
      <c r="BF527" s="5">
        <v>10</v>
      </c>
      <c r="BG527" s="5">
        <v>10</v>
      </c>
      <c r="BH527" s="5">
        <v>10</v>
      </c>
      <c r="BI527" s="5">
        <v>10</v>
      </c>
      <c r="BJ527" s="2" t="e">
        <f t="shared" ca="1" si="139"/>
        <v>#NAME?</v>
      </c>
      <c r="BK527" s="5">
        <v>10</v>
      </c>
      <c r="BL527" s="5">
        <v>8</v>
      </c>
      <c r="BM527" s="5">
        <v>10</v>
      </c>
      <c r="BN527" s="5">
        <v>10</v>
      </c>
      <c r="BO527" s="5">
        <v>10</v>
      </c>
      <c r="BP527" s="54">
        <f t="shared" si="144"/>
        <v>10</v>
      </c>
      <c r="BQ527" s="5"/>
      <c r="BR527" s="5"/>
      <c r="BS527" s="104">
        <v>10</v>
      </c>
      <c r="BT527" s="104">
        <v>10</v>
      </c>
      <c r="BU527" s="104">
        <v>10</v>
      </c>
      <c r="BV527" s="104">
        <v>10</v>
      </c>
      <c r="BW527" s="104">
        <v>10</v>
      </c>
      <c r="BX527" s="104">
        <v>10</v>
      </c>
      <c r="BY527" s="104">
        <v>10</v>
      </c>
      <c r="BZ527" s="104">
        <v>10</v>
      </c>
      <c r="CA527" s="104">
        <v>10</v>
      </c>
      <c r="CB527" s="5">
        <v>9</v>
      </c>
      <c r="CC527" s="2" t="e">
        <f t="shared" ca="1" si="140"/>
        <v>#NAME?</v>
      </c>
      <c r="CD527" s="55"/>
      <c r="CE527" s="2"/>
      <c r="CF527" s="2">
        <v>10</v>
      </c>
      <c r="CG527" s="2">
        <v>7</v>
      </c>
      <c r="CH527" s="2">
        <v>8</v>
      </c>
      <c r="CI527" s="2">
        <v>8</v>
      </c>
      <c r="CJ527" s="2">
        <v>10</v>
      </c>
      <c r="CK527" s="2">
        <v>10</v>
      </c>
      <c r="CL527" s="2">
        <v>10</v>
      </c>
      <c r="CM527" s="2">
        <v>10</v>
      </c>
      <c r="CN527" s="2">
        <v>10</v>
      </c>
      <c r="CO527" s="2">
        <v>10</v>
      </c>
      <c r="CP527" s="2" t="e">
        <f t="shared" ca="1" si="141"/>
        <v>#NAME?</v>
      </c>
      <c r="CQ527" s="2">
        <v>5</v>
      </c>
      <c r="CR527" s="2">
        <v>7</v>
      </c>
      <c r="CS527" s="2">
        <v>8</v>
      </c>
      <c r="CT527" s="2">
        <v>9</v>
      </c>
      <c r="CU527" s="2">
        <v>10</v>
      </c>
      <c r="CV527" s="54">
        <f t="shared" si="145"/>
        <v>8</v>
      </c>
      <c r="CW527" s="55">
        <v>5</v>
      </c>
      <c r="CX527" s="3"/>
    </row>
    <row r="528" spans="1:102" ht="16.5" x14ac:dyDescent="0.55000000000000004">
      <c r="A528" s="17">
        <v>3</v>
      </c>
      <c r="B528" s="17" t="s">
        <v>9</v>
      </c>
      <c r="C528" s="23" t="s">
        <v>1097</v>
      </c>
      <c r="D528" s="24" t="s">
        <v>1098</v>
      </c>
      <c r="E528" s="48">
        <v>8</v>
      </c>
      <c r="F528" s="2">
        <v>8</v>
      </c>
      <c r="G528" s="2">
        <v>10</v>
      </c>
      <c r="H528" s="2">
        <v>10</v>
      </c>
      <c r="I528" s="2">
        <v>10</v>
      </c>
      <c r="J528" s="2">
        <v>10</v>
      </c>
      <c r="K528" s="2">
        <v>9</v>
      </c>
      <c r="L528" s="2">
        <v>10</v>
      </c>
      <c r="M528" s="2">
        <v>9</v>
      </c>
      <c r="N528" s="2">
        <v>10</v>
      </c>
      <c r="O528" s="2">
        <v>10</v>
      </c>
      <c r="P528" s="2">
        <v>10</v>
      </c>
      <c r="Q528" s="2" t="e">
        <f t="shared" ca="1" si="137"/>
        <v>#NAME?</v>
      </c>
      <c r="R528" s="2">
        <v>9</v>
      </c>
      <c r="S528" s="2">
        <v>10</v>
      </c>
      <c r="T528" s="2">
        <v>10</v>
      </c>
      <c r="U528" s="2">
        <v>10</v>
      </c>
      <c r="V528" s="2">
        <v>10</v>
      </c>
      <c r="W528" s="54">
        <f t="shared" si="142"/>
        <v>10</v>
      </c>
      <c r="X528" s="48" t="s">
        <v>31</v>
      </c>
      <c r="Y528" s="2">
        <v>4</v>
      </c>
      <c r="Z528" s="2">
        <v>12</v>
      </c>
      <c r="AA528" s="2">
        <v>10</v>
      </c>
      <c r="AB528" s="2">
        <v>10</v>
      </c>
      <c r="AC528" s="2">
        <v>10</v>
      </c>
      <c r="AD528" s="2">
        <v>10</v>
      </c>
      <c r="AE528" s="2">
        <v>10</v>
      </c>
      <c r="AF528" s="2">
        <v>10</v>
      </c>
      <c r="AG528" s="2">
        <v>8</v>
      </c>
      <c r="AH528" s="2">
        <v>9</v>
      </c>
      <c r="AI528" s="2">
        <v>9</v>
      </c>
      <c r="AJ528" s="2">
        <v>9</v>
      </c>
      <c r="AK528" s="2">
        <v>10</v>
      </c>
      <c r="AL528" s="2">
        <v>10</v>
      </c>
      <c r="AM528" s="2">
        <v>9</v>
      </c>
      <c r="AN528" s="2">
        <v>10</v>
      </c>
      <c r="AO528" s="2">
        <v>9</v>
      </c>
      <c r="AP528" s="2">
        <v>9</v>
      </c>
      <c r="AQ528" s="2" t="e">
        <f t="shared" ca="1" si="138"/>
        <v>#NAME?</v>
      </c>
      <c r="AR528" s="2">
        <v>10</v>
      </c>
      <c r="AS528" s="2">
        <v>10</v>
      </c>
      <c r="AT528" s="2">
        <v>10</v>
      </c>
      <c r="AU528" s="2">
        <v>10</v>
      </c>
      <c r="AV528" s="2">
        <v>10</v>
      </c>
      <c r="AW528" s="54">
        <f t="shared" si="143"/>
        <v>10</v>
      </c>
      <c r="AX528" s="48"/>
      <c r="AY528" s="2"/>
      <c r="AZ528" s="5">
        <v>8</v>
      </c>
      <c r="BA528" s="5">
        <v>10</v>
      </c>
      <c r="BB528" s="5">
        <v>10</v>
      </c>
      <c r="BC528" s="5">
        <v>10</v>
      </c>
      <c r="BD528" s="5">
        <v>10</v>
      </c>
      <c r="BE528" s="5">
        <v>10</v>
      </c>
      <c r="BF528" s="5">
        <v>10</v>
      </c>
      <c r="BG528" s="5">
        <v>10</v>
      </c>
      <c r="BH528" s="5">
        <v>10</v>
      </c>
      <c r="BI528" s="5">
        <v>10</v>
      </c>
      <c r="BJ528" s="2" t="e">
        <f t="shared" ca="1" si="139"/>
        <v>#NAME?</v>
      </c>
      <c r="BK528" s="5">
        <v>8</v>
      </c>
      <c r="BL528" s="5">
        <v>8</v>
      </c>
      <c r="BM528" s="5">
        <v>10</v>
      </c>
      <c r="BN528" s="5">
        <v>10</v>
      </c>
      <c r="BO528" s="5">
        <v>10</v>
      </c>
      <c r="BP528" s="54">
        <f t="shared" si="144"/>
        <v>10</v>
      </c>
      <c r="BQ528" s="5"/>
      <c r="BR528" s="5"/>
      <c r="BS528" s="104">
        <v>10</v>
      </c>
      <c r="BT528" s="104">
        <v>10</v>
      </c>
      <c r="BU528" s="104">
        <v>10</v>
      </c>
      <c r="BV528" s="104">
        <v>10</v>
      </c>
      <c r="BW528" s="104">
        <v>10</v>
      </c>
      <c r="BX528" s="104">
        <v>10</v>
      </c>
      <c r="BY528" s="104">
        <v>10</v>
      </c>
      <c r="BZ528" s="104">
        <v>10</v>
      </c>
      <c r="CA528" s="104">
        <v>10</v>
      </c>
      <c r="CB528" s="104">
        <v>10</v>
      </c>
      <c r="CC528" s="2" t="e">
        <f t="shared" ca="1" si="140"/>
        <v>#NAME?</v>
      </c>
      <c r="CD528" s="55"/>
      <c r="CE528" s="2"/>
      <c r="CF528" s="2">
        <v>9</v>
      </c>
      <c r="CG528" s="2">
        <v>8</v>
      </c>
      <c r="CH528" s="2">
        <v>10</v>
      </c>
      <c r="CI528" s="2">
        <v>10</v>
      </c>
      <c r="CJ528" s="2">
        <v>10</v>
      </c>
      <c r="CK528" s="2">
        <v>10</v>
      </c>
      <c r="CL528" s="2">
        <v>10</v>
      </c>
      <c r="CM528" s="2">
        <v>10</v>
      </c>
      <c r="CN528" s="2">
        <v>10</v>
      </c>
      <c r="CO528" s="2">
        <v>10</v>
      </c>
      <c r="CP528" s="2" t="e">
        <f t="shared" ca="1" si="141"/>
        <v>#NAME?</v>
      </c>
      <c r="CQ528" s="2">
        <v>10</v>
      </c>
      <c r="CR528" s="2">
        <v>10</v>
      </c>
      <c r="CS528" s="2">
        <v>10</v>
      </c>
      <c r="CT528" s="2">
        <v>10</v>
      </c>
      <c r="CU528" s="2">
        <v>10</v>
      </c>
      <c r="CV528" s="54">
        <f t="shared" si="145"/>
        <v>10</v>
      </c>
      <c r="CW528" s="55">
        <v>9</v>
      </c>
      <c r="CX528" s="3"/>
    </row>
    <row r="529" spans="1:102" ht="16.5" x14ac:dyDescent="0.55000000000000004">
      <c r="A529" s="17">
        <v>3</v>
      </c>
      <c r="B529" s="17" t="s">
        <v>9</v>
      </c>
      <c r="C529" s="23" t="s">
        <v>1099</v>
      </c>
      <c r="D529" s="24" t="s">
        <v>1100</v>
      </c>
      <c r="E529" s="48">
        <v>8</v>
      </c>
      <c r="F529" s="2">
        <v>8</v>
      </c>
      <c r="G529" s="2">
        <v>10</v>
      </c>
      <c r="H529" s="2">
        <v>10</v>
      </c>
      <c r="I529" s="2">
        <v>10</v>
      </c>
      <c r="J529" s="2">
        <v>10</v>
      </c>
      <c r="K529" s="2">
        <v>10</v>
      </c>
      <c r="L529" s="2">
        <v>10</v>
      </c>
      <c r="M529" s="2">
        <v>10</v>
      </c>
      <c r="N529" s="2">
        <v>10</v>
      </c>
      <c r="O529" s="2">
        <v>10</v>
      </c>
      <c r="P529" s="2">
        <v>10</v>
      </c>
      <c r="Q529" s="2" t="e">
        <f t="shared" ca="1" si="137"/>
        <v>#NAME?</v>
      </c>
      <c r="R529" s="2">
        <v>10</v>
      </c>
      <c r="S529" s="2">
        <v>10</v>
      </c>
      <c r="T529" s="2">
        <v>10</v>
      </c>
      <c r="U529" s="2">
        <v>10</v>
      </c>
      <c r="V529" s="2">
        <v>10</v>
      </c>
      <c r="W529" s="54">
        <f t="shared" si="142"/>
        <v>10</v>
      </c>
      <c r="X529" s="48" t="s">
        <v>31</v>
      </c>
      <c r="Y529" s="2">
        <v>5</v>
      </c>
      <c r="Z529" s="2">
        <v>7</v>
      </c>
      <c r="AA529" s="2">
        <v>10</v>
      </c>
      <c r="AB529" s="2">
        <v>10</v>
      </c>
      <c r="AC529" s="2">
        <v>9</v>
      </c>
      <c r="AD529" s="2">
        <v>10</v>
      </c>
      <c r="AE529" s="2">
        <v>10</v>
      </c>
      <c r="AF529" s="2">
        <v>7</v>
      </c>
      <c r="AG529" s="2">
        <v>8</v>
      </c>
      <c r="AH529" s="2">
        <v>8</v>
      </c>
      <c r="AI529" s="2">
        <v>9</v>
      </c>
      <c r="AJ529" s="2">
        <v>8</v>
      </c>
      <c r="AK529" s="2">
        <v>8</v>
      </c>
      <c r="AL529" s="2">
        <v>8</v>
      </c>
      <c r="AM529" s="2">
        <v>8</v>
      </c>
      <c r="AN529" s="2">
        <v>8</v>
      </c>
      <c r="AO529" s="2">
        <v>8</v>
      </c>
      <c r="AP529" s="2">
        <v>8</v>
      </c>
      <c r="AQ529" s="2" t="e">
        <f t="shared" ca="1" si="138"/>
        <v>#NAME?</v>
      </c>
      <c r="AR529" s="2">
        <v>10</v>
      </c>
      <c r="AS529" s="2">
        <v>10</v>
      </c>
      <c r="AT529" s="2">
        <v>10</v>
      </c>
      <c r="AU529" s="2">
        <v>10</v>
      </c>
      <c r="AV529" s="2">
        <v>10</v>
      </c>
      <c r="AW529" s="54">
        <f t="shared" si="143"/>
        <v>10</v>
      </c>
      <c r="AX529" s="48"/>
      <c r="AY529" s="2"/>
      <c r="AZ529" s="5">
        <v>10</v>
      </c>
      <c r="BA529" s="5">
        <v>10</v>
      </c>
      <c r="BB529" s="5">
        <v>10</v>
      </c>
      <c r="BC529" s="5">
        <v>10</v>
      </c>
      <c r="BD529" s="5">
        <v>10</v>
      </c>
      <c r="BE529" s="5">
        <v>10</v>
      </c>
      <c r="BF529" s="5">
        <v>10</v>
      </c>
      <c r="BG529" s="5">
        <v>10</v>
      </c>
      <c r="BH529" s="5">
        <v>10</v>
      </c>
      <c r="BI529" s="5">
        <v>10</v>
      </c>
      <c r="BJ529" s="2" t="e">
        <f t="shared" ca="1" si="139"/>
        <v>#NAME?</v>
      </c>
      <c r="BK529" s="2">
        <v>10</v>
      </c>
      <c r="BL529" s="2">
        <v>5</v>
      </c>
      <c r="BM529" s="2">
        <v>7</v>
      </c>
      <c r="BN529" s="5">
        <v>10</v>
      </c>
      <c r="BO529" s="5">
        <v>10</v>
      </c>
      <c r="BP529" s="54">
        <f t="shared" si="144"/>
        <v>9</v>
      </c>
      <c r="BQ529" s="5"/>
      <c r="BR529" s="5"/>
      <c r="BS529" s="104">
        <v>10</v>
      </c>
      <c r="BT529" s="104">
        <v>10</v>
      </c>
      <c r="BU529" s="104">
        <v>10</v>
      </c>
      <c r="BV529" s="104">
        <v>10</v>
      </c>
      <c r="BW529" s="104">
        <v>10</v>
      </c>
      <c r="BX529" s="104">
        <v>10</v>
      </c>
      <c r="BY529" s="104">
        <v>10</v>
      </c>
      <c r="BZ529" s="104">
        <v>10</v>
      </c>
      <c r="CA529" s="104">
        <v>10</v>
      </c>
      <c r="CB529" s="104">
        <v>10</v>
      </c>
      <c r="CC529" s="2" t="e">
        <f t="shared" ca="1" si="140"/>
        <v>#NAME?</v>
      </c>
      <c r="CD529" s="55"/>
      <c r="CE529" s="2"/>
      <c r="CF529" s="2">
        <v>10</v>
      </c>
      <c r="CG529" s="2">
        <v>10</v>
      </c>
      <c r="CH529" s="2">
        <v>10</v>
      </c>
      <c r="CI529" s="2">
        <v>10</v>
      </c>
      <c r="CJ529" s="2">
        <v>10</v>
      </c>
      <c r="CK529" s="2">
        <v>10</v>
      </c>
      <c r="CL529" s="2">
        <v>10</v>
      </c>
      <c r="CM529" s="2">
        <v>10</v>
      </c>
      <c r="CN529" s="2">
        <v>10</v>
      </c>
      <c r="CO529" s="2">
        <v>10</v>
      </c>
      <c r="CP529" s="2" t="e">
        <f t="shared" ca="1" si="141"/>
        <v>#NAME?</v>
      </c>
      <c r="CQ529" s="2">
        <v>10</v>
      </c>
      <c r="CR529" s="2">
        <v>10</v>
      </c>
      <c r="CS529" s="2">
        <v>10</v>
      </c>
      <c r="CT529" s="2">
        <v>10</v>
      </c>
      <c r="CU529" s="2">
        <v>10</v>
      </c>
      <c r="CV529" s="54">
        <f t="shared" si="145"/>
        <v>10</v>
      </c>
      <c r="CW529" s="55">
        <v>9</v>
      </c>
      <c r="CX529" s="3"/>
    </row>
    <row r="530" spans="1:102" ht="16.5" x14ac:dyDescent="0.55000000000000004">
      <c r="A530" s="17">
        <v>3</v>
      </c>
      <c r="B530" s="17" t="s">
        <v>9</v>
      </c>
      <c r="C530" s="23" t="s">
        <v>1101</v>
      </c>
      <c r="D530" s="24" t="s">
        <v>1102</v>
      </c>
      <c r="E530" s="48">
        <v>8</v>
      </c>
      <c r="F530" s="2">
        <v>8</v>
      </c>
      <c r="G530" s="2">
        <v>10</v>
      </c>
      <c r="H530" s="2">
        <v>10</v>
      </c>
      <c r="I530" s="2">
        <v>10</v>
      </c>
      <c r="J530" s="2">
        <v>10</v>
      </c>
      <c r="K530" s="2">
        <v>10</v>
      </c>
      <c r="L530" s="2">
        <v>10</v>
      </c>
      <c r="M530" s="2">
        <v>10</v>
      </c>
      <c r="N530" s="2">
        <v>10</v>
      </c>
      <c r="O530" s="2">
        <v>10</v>
      </c>
      <c r="P530" s="2">
        <v>10</v>
      </c>
      <c r="Q530" s="2" t="e">
        <f t="shared" ca="1" si="137"/>
        <v>#NAME?</v>
      </c>
      <c r="R530" s="2">
        <v>10</v>
      </c>
      <c r="S530" s="2">
        <v>10</v>
      </c>
      <c r="T530" s="2">
        <v>10</v>
      </c>
      <c r="U530" s="2">
        <v>10</v>
      </c>
      <c r="V530" s="2">
        <v>10</v>
      </c>
      <c r="W530" s="54">
        <f t="shared" si="142"/>
        <v>10</v>
      </c>
      <c r="X530" s="48">
        <v>6</v>
      </c>
      <c r="Y530" s="2">
        <v>6</v>
      </c>
      <c r="Z530" s="2">
        <v>19</v>
      </c>
      <c r="AA530" s="2">
        <v>10</v>
      </c>
      <c r="AB530" s="2">
        <v>10</v>
      </c>
      <c r="AC530" s="2">
        <v>10</v>
      </c>
      <c r="AD530" s="2">
        <v>10</v>
      </c>
      <c r="AE530" s="2">
        <v>10</v>
      </c>
      <c r="AF530" s="2">
        <v>10</v>
      </c>
      <c r="AG530" s="2">
        <v>10</v>
      </c>
      <c r="AH530" s="2">
        <v>10</v>
      </c>
      <c r="AI530" s="2">
        <v>10</v>
      </c>
      <c r="AJ530" s="2">
        <v>10</v>
      </c>
      <c r="AK530" s="2">
        <v>9</v>
      </c>
      <c r="AL530" s="2">
        <v>10</v>
      </c>
      <c r="AM530" s="2">
        <v>10</v>
      </c>
      <c r="AN530" s="2">
        <v>10</v>
      </c>
      <c r="AO530" s="2">
        <v>10</v>
      </c>
      <c r="AP530" s="2">
        <v>9</v>
      </c>
      <c r="AQ530" s="2" t="e">
        <f t="shared" ca="1" si="138"/>
        <v>#NAME?</v>
      </c>
      <c r="AR530" s="2">
        <v>10</v>
      </c>
      <c r="AS530" s="2">
        <v>10</v>
      </c>
      <c r="AT530" s="2">
        <v>10</v>
      </c>
      <c r="AU530" s="2">
        <v>10</v>
      </c>
      <c r="AV530" s="2">
        <v>10</v>
      </c>
      <c r="AW530" s="54">
        <f t="shared" si="143"/>
        <v>10</v>
      </c>
      <c r="AX530" s="48"/>
      <c r="AY530" s="2"/>
      <c r="AZ530" s="5">
        <v>10</v>
      </c>
      <c r="BA530" s="5">
        <v>10</v>
      </c>
      <c r="BB530" s="5">
        <v>10</v>
      </c>
      <c r="BC530" s="5">
        <v>10</v>
      </c>
      <c r="BD530" s="5">
        <v>10</v>
      </c>
      <c r="BE530" s="5">
        <v>10</v>
      </c>
      <c r="BF530" s="5">
        <v>10</v>
      </c>
      <c r="BG530" s="5">
        <v>10</v>
      </c>
      <c r="BH530" s="5">
        <v>10</v>
      </c>
      <c r="BI530" s="5">
        <v>10</v>
      </c>
      <c r="BJ530" s="2" t="e">
        <f t="shared" ca="1" si="139"/>
        <v>#NAME?</v>
      </c>
      <c r="BK530" s="5">
        <v>10</v>
      </c>
      <c r="BL530" s="5">
        <v>10</v>
      </c>
      <c r="BM530" s="5">
        <v>10</v>
      </c>
      <c r="BN530" s="5">
        <v>10</v>
      </c>
      <c r="BO530" s="5">
        <v>10</v>
      </c>
      <c r="BP530" s="54">
        <f t="shared" si="144"/>
        <v>10</v>
      </c>
      <c r="BQ530" s="5"/>
      <c r="BR530" s="5"/>
      <c r="BS530" s="104">
        <v>10</v>
      </c>
      <c r="BT530" s="104">
        <v>10</v>
      </c>
      <c r="BU530" s="104">
        <v>10</v>
      </c>
      <c r="BV530" s="104">
        <v>10</v>
      </c>
      <c r="BW530" s="104">
        <v>10</v>
      </c>
      <c r="BX530" s="104">
        <v>10</v>
      </c>
      <c r="BY530" s="104">
        <v>10</v>
      </c>
      <c r="BZ530" s="104">
        <v>10</v>
      </c>
      <c r="CA530" s="104">
        <v>10</v>
      </c>
      <c r="CB530" s="104">
        <v>10</v>
      </c>
      <c r="CC530" s="2" t="e">
        <f t="shared" ca="1" si="140"/>
        <v>#NAME?</v>
      </c>
      <c r="CD530" s="55"/>
      <c r="CE530" s="2"/>
      <c r="CF530" s="8">
        <v>10</v>
      </c>
      <c r="CG530" s="8">
        <v>10</v>
      </c>
      <c r="CH530" s="8">
        <v>10</v>
      </c>
      <c r="CI530" s="8">
        <v>10</v>
      </c>
      <c r="CJ530" s="8">
        <v>10</v>
      </c>
      <c r="CK530" s="8">
        <v>10</v>
      </c>
      <c r="CL530" s="8">
        <v>10</v>
      </c>
      <c r="CM530" s="8">
        <v>10</v>
      </c>
      <c r="CN530" s="8">
        <v>10</v>
      </c>
      <c r="CO530" s="8">
        <v>10</v>
      </c>
      <c r="CP530" s="2" t="e">
        <f t="shared" ca="1" si="141"/>
        <v>#NAME?</v>
      </c>
      <c r="CQ530" s="2">
        <v>10</v>
      </c>
      <c r="CR530" s="2">
        <v>10</v>
      </c>
      <c r="CS530" s="2">
        <v>10</v>
      </c>
      <c r="CT530" s="2">
        <v>10</v>
      </c>
      <c r="CU530" s="2">
        <v>10</v>
      </c>
      <c r="CV530" s="54">
        <f t="shared" si="145"/>
        <v>10</v>
      </c>
      <c r="CW530" s="55">
        <v>13</v>
      </c>
      <c r="CX530" s="3"/>
    </row>
    <row r="531" spans="1:102" ht="16.5" x14ac:dyDescent="0.55000000000000004">
      <c r="A531" s="17">
        <v>3</v>
      </c>
      <c r="B531" s="17" t="s">
        <v>9</v>
      </c>
      <c r="C531" s="23" t="s">
        <v>1103</v>
      </c>
      <c r="D531" s="24" t="s">
        <v>1104</v>
      </c>
      <c r="E531" s="48">
        <v>8</v>
      </c>
      <c r="F531" s="2">
        <v>8</v>
      </c>
      <c r="G531" s="2">
        <v>9</v>
      </c>
      <c r="H531" s="2">
        <v>9</v>
      </c>
      <c r="I531" s="2">
        <v>9</v>
      </c>
      <c r="J531" s="2">
        <v>10</v>
      </c>
      <c r="K531" s="2">
        <v>10</v>
      </c>
      <c r="L531" s="2">
        <v>10</v>
      </c>
      <c r="M531" s="2">
        <v>10</v>
      </c>
      <c r="N531" s="2">
        <v>10</v>
      </c>
      <c r="O531" s="2">
        <v>10</v>
      </c>
      <c r="P531" s="2">
        <v>10</v>
      </c>
      <c r="Q531" s="2" t="e">
        <f t="shared" ca="1" si="137"/>
        <v>#NAME?</v>
      </c>
      <c r="R531" s="2">
        <v>10</v>
      </c>
      <c r="S531" s="2">
        <v>10</v>
      </c>
      <c r="T531" s="2">
        <v>10</v>
      </c>
      <c r="U531" s="2">
        <v>10</v>
      </c>
      <c r="V531" s="2">
        <v>10</v>
      </c>
      <c r="W531" s="54">
        <f t="shared" si="142"/>
        <v>10</v>
      </c>
      <c r="X531" s="48">
        <v>4</v>
      </c>
      <c r="Y531" s="2">
        <v>7</v>
      </c>
      <c r="Z531" s="2">
        <v>11</v>
      </c>
      <c r="AA531" s="2">
        <v>10</v>
      </c>
      <c r="AB531" s="2">
        <v>10</v>
      </c>
      <c r="AC531" s="2">
        <v>9</v>
      </c>
      <c r="AD531" s="2">
        <v>10</v>
      </c>
      <c r="AE531" s="2">
        <v>10</v>
      </c>
      <c r="AF531" s="2">
        <v>8</v>
      </c>
      <c r="AG531" s="2">
        <v>9</v>
      </c>
      <c r="AH531" s="2">
        <v>9</v>
      </c>
      <c r="AI531" s="2">
        <v>9</v>
      </c>
      <c r="AJ531" s="2">
        <v>9</v>
      </c>
      <c r="AK531" s="2">
        <v>10</v>
      </c>
      <c r="AL531" s="2">
        <v>10</v>
      </c>
      <c r="AM531" s="2">
        <v>10</v>
      </c>
      <c r="AN531" s="2">
        <v>9</v>
      </c>
      <c r="AO531" s="2">
        <v>10</v>
      </c>
      <c r="AP531" s="2">
        <v>9</v>
      </c>
      <c r="AQ531" s="2" t="e">
        <f t="shared" ca="1" si="138"/>
        <v>#NAME?</v>
      </c>
      <c r="AR531" s="2">
        <v>9</v>
      </c>
      <c r="AS531" s="2">
        <v>10</v>
      </c>
      <c r="AT531" s="2">
        <v>10</v>
      </c>
      <c r="AU531" s="2">
        <v>10</v>
      </c>
      <c r="AV531" s="2">
        <v>10</v>
      </c>
      <c r="AW531" s="54">
        <f t="shared" si="143"/>
        <v>10</v>
      </c>
      <c r="AX531" s="48"/>
      <c r="AY531" s="2"/>
      <c r="AZ531" s="5">
        <v>10</v>
      </c>
      <c r="BA531" s="5">
        <v>5</v>
      </c>
      <c r="BB531" s="5">
        <v>10</v>
      </c>
      <c r="BC531" s="5">
        <v>10</v>
      </c>
      <c r="BD531" s="5">
        <v>10</v>
      </c>
      <c r="BE531" s="5">
        <v>10</v>
      </c>
      <c r="BF531" s="5">
        <v>10</v>
      </c>
      <c r="BG531" s="5">
        <v>10</v>
      </c>
      <c r="BH531" s="5">
        <v>10</v>
      </c>
      <c r="BI531" s="5">
        <v>10</v>
      </c>
      <c r="BJ531" s="2" t="e">
        <f t="shared" ca="1" si="139"/>
        <v>#NAME?</v>
      </c>
      <c r="BK531" s="5">
        <v>10</v>
      </c>
      <c r="BL531" s="2">
        <v>5</v>
      </c>
      <c r="BM531" s="5">
        <v>10</v>
      </c>
      <c r="BN531" s="5">
        <v>10</v>
      </c>
      <c r="BO531" s="5">
        <v>10</v>
      </c>
      <c r="BP531" s="54">
        <f t="shared" si="144"/>
        <v>9</v>
      </c>
      <c r="BQ531" s="5"/>
      <c r="BR531" s="5"/>
      <c r="BS531" s="104">
        <v>10</v>
      </c>
      <c r="BT531" s="104">
        <v>10</v>
      </c>
      <c r="BU531" s="104">
        <v>10</v>
      </c>
      <c r="BV531" s="104">
        <v>10</v>
      </c>
      <c r="BW531" s="104">
        <v>10</v>
      </c>
      <c r="BX531" s="104">
        <v>10</v>
      </c>
      <c r="BY531" s="104">
        <v>10</v>
      </c>
      <c r="BZ531" s="104">
        <v>10</v>
      </c>
      <c r="CA531" s="104">
        <v>7</v>
      </c>
      <c r="CB531" s="104">
        <v>7</v>
      </c>
      <c r="CC531" s="2" t="e">
        <f t="shared" ca="1" si="140"/>
        <v>#NAME?</v>
      </c>
      <c r="CD531" s="55"/>
      <c r="CE531" s="2"/>
      <c r="CF531" s="8">
        <v>10</v>
      </c>
      <c r="CG531" s="8">
        <v>10</v>
      </c>
      <c r="CH531" s="8">
        <v>10</v>
      </c>
      <c r="CI531" s="8">
        <v>10</v>
      </c>
      <c r="CJ531" s="8">
        <v>10</v>
      </c>
      <c r="CK531" s="8">
        <v>10</v>
      </c>
      <c r="CL531" s="8">
        <v>10</v>
      </c>
      <c r="CM531" s="8">
        <v>10</v>
      </c>
      <c r="CN531" s="8">
        <v>10</v>
      </c>
      <c r="CO531" s="8">
        <v>10</v>
      </c>
      <c r="CP531" s="2" t="e">
        <f t="shared" ca="1" si="141"/>
        <v>#NAME?</v>
      </c>
      <c r="CQ531" s="2">
        <v>10</v>
      </c>
      <c r="CR531" s="2">
        <v>10</v>
      </c>
      <c r="CS531" s="2">
        <v>10</v>
      </c>
      <c r="CT531" s="2">
        <v>10</v>
      </c>
      <c r="CU531" s="2">
        <v>10</v>
      </c>
      <c r="CV531" s="54">
        <f t="shared" si="145"/>
        <v>10</v>
      </c>
      <c r="CW531" s="55">
        <v>11</v>
      </c>
      <c r="CX531" s="3"/>
    </row>
    <row r="532" spans="1:102" ht="16.5" x14ac:dyDescent="0.55000000000000004">
      <c r="A532" s="17">
        <v>3</v>
      </c>
      <c r="B532" s="17" t="s">
        <v>9</v>
      </c>
      <c r="C532" s="23" t="s">
        <v>1105</v>
      </c>
      <c r="D532" s="24" t="s">
        <v>1106</v>
      </c>
      <c r="E532" s="48">
        <v>7</v>
      </c>
      <c r="F532" s="2">
        <v>8</v>
      </c>
      <c r="G532" s="2">
        <v>10</v>
      </c>
      <c r="H532" s="2">
        <v>10</v>
      </c>
      <c r="I532" s="2">
        <v>10</v>
      </c>
      <c r="J532" s="2">
        <v>9</v>
      </c>
      <c r="K532" s="2">
        <v>10</v>
      </c>
      <c r="L532" s="2">
        <v>10</v>
      </c>
      <c r="M532" s="2">
        <v>10</v>
      </c>
      <c r="N532" s="2">
        <v>10</v>
      </c>
      <c r="O532" s="2">
        <v>10</v>
      </c>
      <c r="P532" s="2">
        <v>9</v>
      </c>
      <c r="Q532" s="2" t="e">
        <f t="shared" ca="1" si="137"/>
        <v>#NAME?</v>
      </c>
      <c r="R532" s="2">
        <v>10</v>
      </c>
      <c r="S532" s="2">
        <v>10</v>
      </c>
      <c r="T532" s="2">
        <v>10</v>
      </c>
      <c r="U532" s="2">
        <v>10</v>
      </c>
      <c r="V532" s="2">
        <v>10</v>
      </c>
      <c r="W532" s="54">
        <f t="shared" si="142"/>
        <v>10</v>
      </c>
      <c r="X532" s="48">
        <v>2</v>
      </c>
      <c r="Y532" s="2">
        <v>3</v>
      </c>
      <c r="Z532" s="2">
        <v>10</v>
      </c>
      <c r="AA532" s="2">
        <v>10</v>
      </c>
      <c r="AB532" s="2">
        <v>10</v>
      </c>
      <c r="AC532" s="2">
        <v>10</v>
      </c>
      <c r="AD532" s="2">
        <v>10</v>
      </c>
      <c r="AE532" s="2">
        <v>10</v>
      </c>
      <c r="AF532" s="2">
        <v>10</v>
      </c>
      <c r="AG532" s="2">
        <v>10</v>
      </c>
      <c r="AH532" s="2">
        <v>10</v>
      </c>
      <c r="AI532" s="2">
        <v>9</v>
      </c>
      <c r="AJ532" s="2">
        <v>10</v>
      </c>
      <c r="AK532" s="2">
        <v>10</v>
      </c>
      <c r="AL532" s="2">
        <v>10</v>
      </c>
      <c r="AM532" s="2">
        <v>10</v>
      </c>
      <c r="AN532" s="2">
        <v>10</v>
      </c>
      <c r="AO532" s="2">
        <v>10</v>
      </c>
      <c r="AP532" s="2">
        <v>9</v>
      </c>
      <c r="AQ532" s="2" t="e">
        <f t="shared" ca="1" si="138"/>
        <v>#NAME?</v>
      </c>
      <c r="AR532" s="2">
        <v>10</v>
      </c>
      <c r="AS532" s="2">
        <v>10</v>
      </c>
      <c r="AT532" s="2">
        <v>10</v>
      </c>
      <c r="AU532" s="2">
        <v>10</v>
      </c>
      <c r="AV532" s="2">
        <v>10</v>
      </c>
      <c r="AW532" s="54">
        <f t="shared" si="143"/>
        <v>10</v>
      </c>
      <c r="AX532" s="48"/>
      <c r="AY532" s="2"/>
      <c r="AZ532" s="2">
        <v>10</v>
      </c>
      <c r="BA532" s="2">
        <v>10</v>
      </c>
      <c r="BB532" s="2">
        <v>6</v>
      </c>
      <c r="BC532" s="2">
        <v>6</v>
      </c>
      <c r="BD532" s="2">
        <v>6</v>
      </c>
      <c r="BE532" s="2">
        <v>6</v>
      </c>
      <c r="BF532" s="2">
        <v>6</v>
      </c>
      <c r="BG532" s="2">
        <v>5</v>
      </c>
      <c r="BH532" s="2">
        <v>5</v>
      </c>
      <c r="BI532" s="2">
        <v>5</v>
      </c>
      <c r="BJ532" s="2" t="e">
        <f t="shared" ca="1" si="139"/>
        <v>#NAME?</v>
      </c>
      <c r="BK532" s="2">
        <v>10</v>
      </c>
      <c r="BL532" s="2">
        <v>10</v>
      </c>
      <c r="BM532" s="2">
        <v>5</v>
      </c>
      <c r="BN532" s="2">
        <v>5</v>
      </c>
      <c r="BO532" s="2">
        <v>5</v>
      </c>
      <c r="BP532" s="54">
        <f t="shared" si="144"/>
        <v>7</v>
      </c>
      <c r="BQ532" s="5"/>
      <c r="BR532" s="5"/>
      <c r="BS532" s="104">
        <v>10</v>
      </c>
      <c r="BT532" s="104">
        <v>10</v>
      </c>
      <c r="BU532" s="104">
        <v>10</v>
      </c>
      <c r="BV532" s="104">
        <v>10</v>
      </c>
      <c r="BW532" s="104">
        <v>10</v>
      </c>
      <c r="BX532" s="104">
        <v>10</v>
      </c>
      <c r="BY532" s="104">
        <v>10</v>
      </c>
      <c r="BZ532" s="104">
        <v>10</v>
      </c>
      <c r="CA532" s="104">
        <v>10</v>
      </c>
      <c r="CB532" s="5">
        <v>8</v>
      </c>
      <c r="CC532" s="2" t="e">
        <f t="shared" ca="1" si="140"/>
        <v>#NAME?</v>
      </c>
      <c r="CD532" s="55"/>
      <c r="CE532" s="2"/>
      <c r="CF532" s="8">
        <v>10</v>
      </c>
      <c r="CG532" s="8">
        <v>10</v>
      </c>
      <c r="CH532" s="8">
        <v>10</v>
      </c>
      <c r="CI532" s="8">
        <v>10</v>
      </c>
      <c r="CJ532" s="8">
        <v>10</v>
      </c>
      <c r="CK532" s="8">
        <v>10</v>
      </c>
      <c r="CL532" s="8">
        <v>10</v>
      </c>
      <c r="CM532" s="8">
        <v>10</v>
      </c>
      <c r="CN532" s="8">
        <v>10</v>
      </c>
      <c r="CO532" s="8">
        <v>10</v>
      </c>
      <c r="CP532" s="2" t="e">
        <f t="shared" ca="1" si="141"/>
        <v>#NAME?</v>
      </c>
      <c r="CQ532" s="2">
        <v>10</v>
      </c>
      <c r="CR532" s="2">
        <v>10</v>
      </c>
      <c r="CS532" s="2">
        <v>10</v>
      </c>
      <c r="CT532" s="2">
        <v>10</v>
      </c>
      <c r="CU532" s="2">
        <v>10</v>
      </c>
      <c r="CV532" s="54">
        <f t="shared" si="145"/>
        <v>10</v>
      </c>
      <c r="CW532" s="55">
        <v>7</v>
      </c>
      <c r="CX532" s="3"/>
    </row>
    <row r="533" spans="1:102" ht="16.5" x14ac:dyDescent="0.55000000000000004">
      <c r="A533" s="17">
        <v>3</v>
      </c>
      <c r="B533" s="17" t="s">
        <v>9</v>
      </c>
      <c r="C533" s="23" t="s">
        <v>1107</v>
      </c>
      <c r="D533" s="24" t="s">
        <v>1108</v>
      </c>
      <c r="E533" s="48">
        <v>8</v>
      </c>
      <c r="F533" s="2">
        <v>7</v>
      </c>
      <c r="G533" s="2">
        <v>10</v>
      </c>
      <c r="H533" s="2">
        <v>10</v>
      </c>
      <c r="I533" s="2">
        <v>10</v>
      </c>
      <c r="J533" s="2">
        <v>10</v>
      </c>
      <c r="K533" s="2">
        <v>10</v>
      </c>
      <c r="L533" s="2">
        <v>9</v>
      </c>
      <c r="M533" s="2">
        <v>9</v>
      </c>
      <c r="N533" s="2">
        <v>9</v>
      </c>
      <c r="O533" s="2">
        <v>10</v>
      </c>
      <c r="P533" s="2">
        <v>10</v>
      </c>
      <c r="Q533" s="2" t="e">
        <f t="shared" ca="1" si="137"/>
        <v>#NAME?</v>
      </c>
      <c r="R533" s="2">
        <v>10</v>
      </c>
      <c r="S533" s="2">
        <v>10</v>
      </c>
      <c r="T533" s="2">
        <v>10</v>
      </c>
      <c r="U533" s="2">
        <v>9</v>
      </c>
      <c r="V533" s="2">
        <v>9</v>
      </c>
      <c r="W533" s="54">
        <f t="shared" si="142"/>
        <v>10</v>
      </c>
      <c r="X533" s="48" t="s">
        <v>31</v>
      </c>
      <c r="Y533" s="2" t="s">
        <v>31</v>
      </c>
      <c r="Z533" s="2">
        <v>8</v>
      </c>
      <c r="AA533" s="2">
        <v>9</v>
      </c>
      <c r="AB533" s="2">
        <v>10</v>
      </c>
      <c r="AC533" s="2">
        <v>7</v>
      </c>
      <c r="AD533" s="2">
        <v>7</v>
      </c>
      <c r="AE533" s="2">
        <v>7</v>
      </c>
      <c r="AF533" s="2">
        <v>8</v>
      </c>
      <c r="AG533" s="2">
        <v>9</v>
      </c>
      <c r="AH533" s="2">
        <v>9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 t="e">
        <f t="shared" ca="1" si="138"/>
        <v>#NAME?</v>
      </c>
      <c r="AR533" s="2">
        <v>8</v>
      </c>
      <c r="AS533" s="2">
        <v>7</v>
      </c>
      <c r="AT533" s="2">
        <v>8</v>
      </c>
      <c r="AU533" s="2">
        <v>10</v>
      </c>
      <c r="AV533" s="2">
        <v>10</v>
      </c>
      <c r="AW533" s="54">
        <f t="shared" si="143"/>
        <v>9</v>
      </c>
      <c r="AX533" s="48"/>
      <c r="AY533" s="2"/>
      <c r="AZ533" s="2">
        <v>5</v>
      </c>
      <c r="BA533" s="2">
        <v>5</v>
      </c>
      <c r="BB533" s="2">
        <v>5</v>
      </c>
      <c r="BC533" s="2">
        <v>5</v>
      </c>
      <c r="BD533" s="2">
        <v>5</v>
      </c>
      <c r="BE533" s="2">
        <v>5</v>
      </c>
      <c r="BF533" s="2">
        <v>5</v>
      </c>
      <c r="BG533" s="2">
        <v>5</v>
      </c>
      <c r="BH533" s="2">
        <v>5</v>
      </c>
      <c r="BI533" s="2">
        <v>5</v>
      </c>
      <c r="BJ533" s="2" t="e">
        <f t="shared" ca="1" si="139"/>
        <v>#NAME?</v>
      </c>
      <c r="BK533" s="2">
        <v>5</v>
      </c>
      <c r="BL533" s="2">
        <v>5</v>
      </c>
      <c r="BM533" s="2">
        <v>5</v>
      </c>
      <c r="BN533" s="2">
        <v>5</v>
      </c>
      <c r="BO533" s="2">
        <v>5</v>
      </c>
      <c r="BP533" s="54">
        <f t="shared" si="144"/>
        <v>5</v>
      </c>
      <c r="BQ533" s="5"/>
      <c r="BR533" s="5"/>
      <c r="BS533" s="104">
        <v>6</v>
      </c>
      <c r="BT533" s="104">
        <v>6</v>
      </c>
      <c r="BU533" s="104">
        <v>6</v>
      </c>
      <c r="BV533" s="104">
        <v>6</v>
      </c>
      <c r="BW533" s="104">
        <v>6</v>
      </c>
      <c r="BX533" s="104">
        <v>6</v>
      </c>
      <c r="BY533" s="104">
        <v>6</v>
      </c>
      <c r="BZ533" s="104">
        <v>6</v>
      </c>
      <c r="CA533" s="104">
        <v>6</v>
      </c>
      <c r="CB533" s="104">
        <v>6</v>
      </c>
      <c r="CC533" s="2" t="e">
        <f t="shared" ca="1" si="140"/>
        <v>#NAME?</v>
      </c>
      <c r="CD533" s="55"/>
      <c r="CE533" s="2"/>
      <c r="CF533" s="2">
        <v>5</v>
      </c>
      <c r="CG533" s="2">
        <v>5</v>
      </c>
      <c r="CH533" s="2">
        <v>5</v>
      </c>
      <c r="CI533" s="2">
        <v>5</v>
      </c>
      <c r="CJ533" s="2">
        <v>5</v>
      </c>
      <c r="CK533" s="2">
        <v>5</v>
      </c>
      <c r="CL533" s="2">
        <v>5</v>
      </c>
      <c r="CM533" s="2">
        <v>5</v>
      </c>
      <c r="CN533" s="2">
        <v>5</v>
      </c>
      <c r="CO533" s="2">
        <v>5</v>
      </c>
      <c r="CP533" s="2" t="e">
        <f t="shared" ca="1" si="141"/>
        <v>#NAME?</v>
      </c>
      <c r="CQ533" s="2">
        <v>5</v>
      </c>
      <c r="CR533" s="2">
        <v>5</v>
      </c>
      <c r="CS533" s="2">
        <v>5</v>
      </c>
      <c r="CT533" s="2">
        <v>5</v>
      </c>
      <c r="CU533" s="2">
        <v>5</v>
      </c>
      <c r="CV533" s="54">
        <f t="shared" si="145"/>
        <v>5</v>
      </c>
      <c r="CW533" s="55">
        <v>9</v>
      </c>
      <c r="CX533" s="3"/>
    </row>
    <row r="534" spans="1:102" ht="16.5" x14ac:dyDescent="0.55000000000000004">
      <c r="A534" s="17">
        <v>3</v>
      </c>
      <c r="B534" s="17" t="s">
        <v>9</v>
      </c>
      <c r="C534" s="23" t="s">
        <v>1109</v>
      </c>
      <c r="D534" s="24" t="s">
        <v>1110</v>
      </c>
      <c r="E534" s="48">
        <v>9</v>
      </c>
      <c r="F534" s="2">
        <v>9</v>
      </c>
      <c r="G534" s="13">
        <v>10</v>
      </c>
      <c r="H534" s="13">
        <v>10</v>
      </c>
      <c r="I534" s="13">
        <v>10</v>
      </c>
      <c r="J534" s="13">
        <v>10</v>
      </c>
      <c r="K534" s="2">
        <v>10</v>
      </c>
      <c r="L534" s="2">
        <v>10</v>
      </c>
      <c r="M534" s="2">
        <v>10</v>
      </c>
      <c r="N534" s="2">
        <v>10</v>
      </c>
      <c r="O534" s="2">
        <v>10</v>
      </c>
      <c r="P534" s="13">
        <v>10</v>
      </c>
      <c r="Q534" s="2" t="e">
        <f t="shared" ca="1" si="137"/>
        <v>#NAME?</v>
      </c>
      <c r="R534" s="13">
        <v>10</v>
      </c>
      <c r="S534" s="2">
        <v>10</v>
      </c>
      <c r="T534" s="2">
        <v>10</v>
      </c>
      <c r="U534" s="2">
        <v>10</v>
      </c>
      <c r="V534" s="2">
        <v>10</v>
      </c>
      <c r="W534" s="54">
        <f t="shared" si="142"/>
        <v>10</v>
      </c>
      <c r="X534" s="48">
        <v>6</v>
      </c>
      <c r="Y534" s="2">
        <v>8</v>
      </c>
      <c r="Z534" s="2">
        <v>14</v>
      </c>
      <c r="AA534" s="2">
        <v>10</v>
      </c>
      <c r="AB534" s="2">
        <v>10</v>
      </c>
      <c r="AC534" s="2">
        <v>10</v>
      </c>
      <c r="AD534" s="2">
        <v>10</v>
      </c>
      <c r="AE534" s="2">
        <v>9</v>
      </c>
      <c r="AF534" s="2">
        <v>10</v>
      </c>
      <c r="AG534" s="2">
        <v>8</v>
      </c>
      <c r="AH534" s="2">
        <v>8</v>
      </c>
      <c r="AI534" s="2">
        <v>8</v>
      </c>
      <c r="AJ534" s="2">
        <v>8</v>
      </c>
      <c r="AK534" s="2">
        <v>8</v>
      </c>
      <c r="AL534" s="2">
        <v>8</v>
      </c>
      <c r="AM534" s="2">
        <v>8</v>
      </c>
      <c r="AN534" s="2">
        <v>8</v>
      </c>
      <c r="AO534" s="2">
        <v>8</v>
      </c>
      <c r="AP534" s="2">
        <v>8</v>
      </c>
      <c r="AQ534" s="2" t="e">
        <f t="shared" ca="1" si="138"/>
        <v>#NAME?</v>
      </c>
      <c r="AR534" s="2">
        <v>10</v>
      </c>
      <c r="AS534" s="2">
        <v>10</v>
      </c>
      <c r="AT534" s="2">
        <v>8</v>
      </c>
      <c r="AU534" s="2">
        <v>8</v>
      </c>
      <c r="AV534" s="2">
        <v>8</v>
      </c>
      <c r="AW534" s="54">
        <f t="shared" si="143"/>
        <v>9</v>
      </c>
      <c r="AX534" s="48"/>
      <c r="AY534" s="2"/>
      <c r="AZ534" s="5">
        <v>10</v>
      </c>
      <c r="BA534" s="5">
        <v>10</v>
      </c>
      <c r="BB534" s="5">
        <v>10</v>
      </c>
      <c r="BC534" s="5">
        <v>10</v>
      </c>
      <c r="BD534" s="5">
        <v>10</v>
      </c>
      <c r="BE534" s="5">
        <v>10</v>
      </c>
      <c r="BF534" s="5">
        <v>10</v>
      </c>
      <c r="BG534" s="5">
        <v>10</v>
      </c>
      <c r="BH534" s="5">
        <v>10</v>
      </c>
      <c r="BI534" s="5">
        <v>10</v>
      </c>
      <c r="BJ534" s="2" t="e">
        <f t="shared" ca="1" si="139"/>
        <v>#NAME?</v>
      </c>
      <c r="BK534" s="2">
        <v>10</v>
      </c>
      <c r="BL534" s="2">
        <v>5</v>
      </c>
      <c r="BM534" s="2">
        <v>10</v>
      </c>
      <c r="BN534" s="2">
        <v>10</v>
      </c>
      <c r="BO534" s="2">
        <v>10</v>
      </c>
      <c r="BP534" s="54">
        <f t="shared" si="144"/>
        <v>9</v>
      </c>
      <c r="BQ534" s="5"/>
      <c r="BR534" s="5"/>
      <c r="BS534" s="104">
        <v>10</v>
      </c>
      <c r="BT534" s="104">
        <v>10</v>
      </c>
      <c r="BU534" s="104">
        <v>10</v>
      </c>
      <c r="BV534" s="104">
        <v>10</v>
      </c>
      <c r="BW534" s="104">
        <v>10</v>
      </c>
      <c r="BX534" s="104">
        <v>10</v>
      </c>
      <c r="BY534" s="104">
        <v>10</v>
      </c>
      <c r="BZ534" s="104">
        <v>10</v>
      </c>
      <c r="CA534" s="104">
        <v>10</v>
      </c>
      <c r="CB534" s="104">
        <v>10</v>
      </c>
      <c r="CC534" s="2" t="e">
        <f t="shared" ca="1" si="140"/>
        <v>#NAME?</v>
      </c>
      <c r="CD534" s="55"/>
      <c r="CE534" s="2"/>
      <c r="CF534" s="8">
        <v>10</v>
      </c>
      <c r="CG534" s="8">
        <v>10</v>
      </c>
      <c r="CH534" s="8">
        <v>10</v>
      </c>
      <c r="CI534" s="8">
        <v>10</v>
      </c>
      <c r="CJ534" s="8">
        <v>10</v>
      </c>
      <c r="CK534" s="8">
        <v>10</v>
      </c>
      <c r="CL534" s="8">
        <v>10</v>
      </c>
      <c r="CM534" s="8">
        <v>10</v>
      </c>
      <c r="CN534" s="8">
        <v>10</v>
      </c>
      <c r="CO534" s="8">
        <v>10</v>
      </c>
      <c r="CP534" s="2" t="e">
        <f t="shared" ca="1" si="141"/>
        <v>#NAME?</v>
      </c>
      <c r="CQ534" s="2">
        <v>10</v>
      </c>
      <c r="CR534" s="2">
        <v>10</v>
      </c>
      <c r="CS534" s="2">
        <v>10</v>
      </c>
      <c r="CT534" s="2">
        <v>10</v>
      </c>
      <c r="CU534" s="2">
        <v>10</v>
      </c>
      <c r="CV534" s="54">
        <f t="shared" si="145"/>
        <v>10</v>
      </c>
      <c r="CW534" s="55">
        <v>17</v>
      </c>
      <c r="CX534" s="3"/>
    </row>
    <row r="535" spans="1:102" ht="16.5" x14ac:dyDescent="0.55000000000000004">
      <c r="A535" s="17">
        <v>3</v>
      </c>
      <c r="B535" s="17" t="s">
        <v>9</v>
      </c>
      <c r="C535" s="23" t="s">
        <v>1111</v>
      </c>
      <c r="D535" s="24" t="s">
        <v>1112</v>
      </c>
      <c r="E535" s="48">
        <v>8</v>
      </c>
      <c r="F535" s="2">
        <v>7</v>
      </c>
      <c r="G535" s="2">
        <v>10</v>
      </c>
      <c r="H535" s="2">
        <v>10</v>
      </c>
      <c r="I535" s="2">
        <v>10</v>
      </c>
      <c r="J535" s="2">
        <v>10</v>
      </c>
      <c r="K535" s="2">
        <v>10</v>
      </c>
      <c r="L535" s="2">
        <v>10</v>
      </c>
      <c r="M535" s="2">
        <v>10</v>
      </c>
      <c r="N535" s="2">
        <v>10</v>
      </c>
      <c r="O535" s="2">
        <v>9</v>
      </c>
      <c r="P535" s="2">
        <v>9</v>
      </c>
      <c r="Q535" s="2" t="e">
        <f t="shared" ca="1" si="137"/>
        <v>#NAME?</v>
      </c>
      <c r="R535" s="2">
        <v>10</v>
      </c>
      <c r="S535" s="2">
        <v>10</v>
      </c>
      <c r="T535" s="2">
        <v>10</v>
      </c>
      <c r="U535" s="2">
        <v>10</v>
      </c>
      <c r="V535" s="2">
        <v>10</v>
      </c>
      <c r="W535" s="54">
        <f t="shared" si="142"/>
        <v>10</v>
      </c>
      <c r="X535" s="48" t="s">
        <v>31</v>
      </c>
      <c r="Y535" s="2">
        <v>4</v>
      </c>
      <c r="Z535" s="2">
        <v>6</v>
      </c>
      <c r="AA535" s="2">
        <v>10</v>
      </c>
      <c r="AB535" s="2">
        <v>10</v>
      </c>
      <c r="AC535" s="2">
        <v>10</v>
      </c>
      <c r="AD535" s="2">
        <v>10</v>
      </c>
      <c r="AE535" s="2">
        <v>10</v>
      </c>
      <c r="AF535" s="2">
        <v>8</v>
      </c>
      <c r="AG535" s="2">
        <v>9</v>
      </c>
      <c r="AH535" s="2">
        <v>9</v>
      </c>
      <c r="AI535" s="2">
        <v>10</v>
      </c>
      <c r="AJ535" s="2">
        <v>9</v>
      </c>
      <c r="AK535" s="2">
        <v>10</v>
      </c>
      <c r="AL535" s="2">
        <v>10</v>
      </c>
      <c r="AM535" s="2">
        <v>10</v>
      </c>
      <c r="AN535" s="2">
        <v>10</v>
      </c>
      <c r="AO535" s="2">
        <v>10</v>
      </c>
      <c r="AP535" s="2">
        <v>9</v>
      </c>
      <c r="AQ535" s="2" t="e">
        <f t="shared" ca="1" si="138"/>
        <v>#NAME?</v>
      </c>
      <c r="AR535" s="2">
        <v>9</v>
      </c>
      <c r="AS535" s="2">
        <v>9</v>
      </c>
      <c r="AT535" s="2">
        <v>9</v>
      </c>
      <c r="AU535" s="2">
        <v>9</v>
      </c>
      <c r="AV535" s="2">
        <v>10</v>
      </c>
      <c r="AW535" s="54">
        <f t="shared" si="143"/>
        <v>10</v>
      </c>
      <c r="AX535" s="48"/>
      <c r="AY535" s="2"/>
      <c r="AZ535" s="5">
        <v>10</v>
      </c>
      <c r="BA535" s="5">
        <v>10</v>
      </c>
      <c r="BB535" s="5">
        <v>10</v>
      </c>
      <c r="BC535" s="5">
        <v>10</v>
      </c>
      <c r="BD535" s="5">
        <v>10</v>
      </c>
      <c r="BE535" s="5">
        <v>10</v>
      </c>
      <c r="BF535" s="5">
        <v>10</v>
      </c>
      <c r="BG535" s="5">
        <v>10</v>
      </c>
      <c r="BH535" s="5">
        <v>10</v>
      </c>
      <c r="BI535" s="5">
        <v>10</v>
      </c>
      <c r="BJ535" s="2" t="e">
        <f t="shared" ca="1" si="139"/>
        <v>#NAME?</v>
      </c>
      <c r="BK535" s="5">
        <v>7</v>
      </c>
      <c r="BL535" s="5">
        <v>10</v>
      </c>
      <c r="BM535" s="5">
        <v>10</v>
      </c>
      <c r="BN535" s="5">
        <v>10</v>
      </c>
      <c r="BO535" s="2">
        <v>5</v>
      </c>
      <c r="BP535" s="54">
        <f t="shared" si="144"/>
        <v>9</v>
      </c>
      <c r="BQ535" s="5"/>
      <c r="BR535" s="5"/>
      <c r="BS535" s="104">
        <v>9</v>
      </c>
      <c r="BT535" s="104">
        <v>9</v>
      </c>
      <c r="BU535" s="104">
        <v>9</v>
      </c>
      <c r="BV535" s="104">
        <v>9</v>
      </c>
      <c r="BW535" s="104">
        <v>8</v>
      </c>
      <c r="BX535" s="104">
        <v>8</v>
      </c>
      <c r="BY535" s="104">
        <v>9</v>
      </c>
      <c r="BZ535" s="104">
        <v>10</v>
      </c>
      <c r="CA535" s="104">
        <v>10</v>
      </c>
      <c r="CB535" s="104">
        <v>10</v>
      </c>
      <c r="CC535" s="2" t="e">
        <f t="shared" ca="1" si="140"/>
        <v>#NAME?</v>
      </c>
      <c r="CD535" s="55"/>
      <c r="CE535" s="2"/>
      <c r="CF535" s="2">
        <v>10</v>
      </c>
      <c r="CG535" s="2">
        <v>10</v>
      </c>
      <c r="CH535" s="2">
        <v>7</v>
      </c>
      <c r="CI535" s="2">
        <v>8</v>
      </c>
      <c r="CJ535" s="2">
        <v>10</v>
      </c>
      <c r="CK535" s="2">
        <v>10</v>
      </c>
      <c r="CL535" s="2">
        <v>10</v>
      </c>
      <c r="CM535" s="2">
        <v>10</v>
      </c>
      <c r="CN535" s="2">
        <v>10</v>
      </c>
      <c r="CO535" s="2">
        <v>10</v>
      </c>
      <c r="CP535" s="2" t="e">
        <f t="shared" ca="1" si="141"/>
        <v>#NAME?</v>
      </c>
      <c r="CQ535" s="2">
        <v>10</v>
      </c>
      <c r="CR535" s="2">
        <v>10</v>
      </c>
      <c r="CS535" s="2">
        <v>7</v>
      </c>
      <c r="CT535" s="2">
        <v>8</v>
      </c>
      <c r="CU535" s="2">
        <v>9</v>
      </c>
      <c r="CV535" s="54">
        <f t="shared" si="145"/>
        <v>9</v>
      </c>
      <c r="CW535" s="55">
        <v>7</v>
      </c>
      <c r="CX535" s="3"/>
    </row>
    <row r="536" spans="1:102" ht="16.5" x14ac:dyDescent="0.55000000000000004">
      <c r="A536" s="17">
        <v>3</v>
      </c>
      <c r="B536" s="17" t="s">
        <v>9</v>
      </c>
      <c r="C536" s="23" t="s">
        <v>1113</v>
      </c>
      <c r="D536" s="24" t="s">
        <v>1114</v>
      </c>
      <c r="E536" s="48">
        <v>8</v>
      </c>
      <c r="F536" s="2">
        <v>9</v>
      </c>
      <c r="G536" s="2">
        <v>10</v>
      </c>
      <c r="H536" s="2">
        <v>10</v>
      </c>
      <c r="I536" s="2">
        <v>10</v>
      </c>
      <c r="J536" s="2">
        <v>10</v>
      </c>
      <c r="K536" s="2">
        <v>10</v>
      </c>
      <c r="L536" s="2">
        <v>10</v>
      </c>
      <c r="M536" s="2">
        <v>10</v>
      </c>
      <c r="N536" s="2">
        <v>10</v>
      </c>
      <c r="O536" s="2">
        <v>10</v>
      </c>
      <c r="P536" s="2">
        <v>10</v>
      </c>
      <c r="Q536" s="2" t="e">
        <f t="shared" ca="1" si="137"/>
        <v>#NAME?</v>
      </c>
      <c r="R536" s="2">
        <v>10</v>
      </c>
      <c r="S536" s="2">
        <v>10</v>
      </c>
      <c r="T536" s="2">
        <v>10</v>
      </c>
      <c r="U536" s="2">
        <v>10</v>
      </c>
      <c r="V536" s="2">
        <v>10</v>
      </c>
      <c r="W536" s="54">
        <f t="shared" si="142"/>
        <v>10</v>
      </c>
      <c r="X536" s="48">
        <v>4</v>
      </c>
      <c r="Y536" s="2">
        <v>7</v>
      </c>
      <c r="Z536" s="2">
        <v>17</v>
      </c>
      <c r="AA536" s="2">
        <v>10</v>
      </c>
      <c r="AB536" s="2">
        <v>10</v>
      </c>
      <c r="AC536" s="2">
        <v>10</v>
      </c>
      <c r="AD536" s="2">
        <v>10</v>
      </c>
      <c r="AE536" s="2">
        <v>10</v>
      </c>
      <c r="AF536" s="2">
        <v>10</v>
      </c>
      <c r="AG536" s="2">
        <v>10</v>
      </c>
      <c r="AH536" s="2">
        <v>9</v>
      </c>
      <c r="AI536" s="2">
        <v>9</v>
      </c>
      <c r="AJ536" s="2">
        <v>10</v>
      </c>
      <c r="AK536" s="2">
        <v>10</v>
      </c>
      <c r="AL536" s="2">
        <v>10</v>
      </c>
      <c r="AM536" s="2">
        <v>10</v>
      </c>
      <c r="AN536" s="2">
        <v>10</v>
      </c>
      <c r="AO536" s="2">
        <v>10</v>
      </c>
      <c r="AP536" s="2">
        <v>10</v>
      </c>
      <c r="AQ536" s="2" t="e">
        <f t="shared" ca="1" si="138"/>
        <v>#NAME?</v>
      </c>
      <c r="AR536" s="2">
        <v>10</v>
      </c>
      <c r="AS536" s="2">
        <v>9</v>
      </c>
      <c r="AT536" s="2">
        <v>10</v>
      </c>
      <c r="AU536" s="2">
        <v>10</v>
      </c>
      <c r="AV536" s="2">
        <v>10</v>
      </c>
      <c r="AW536" s="54">
        <f t="shared" si="143"/>
        <v>10</v>
      </c>
      <c r="AX536" s="48"/>
      <c r="AY536" s="2"/>
      <c r="AZ536" s="5">
        <v>10</v>
      </c>
      <c r="BA536" s="5">
        <v>10</v>
      </c>
      <c r="BB536" s="5">
        <v>10</v>
      </c>
      <c r="BC536" s="5">
        <v>10</v>
      </c>
      <c r="BD536" s="5">
        <v>10</v>
      </c>
      <c r="BE536" s="5">
        <v>10</v>
      </c>
      <c r="BF536" s="5">
        <v>10</v>
      </c>
      <c r="BG536" s="5">
        <v>10</v>
      </c>
      <c r="BH536" s="5">
        <v>10</v>
      </c>
      <c r="BI536" s="5">
        <v>10</v>
      </c>
      <c r="BJ536" s="2" t="e">
        <f t="shared" ca="1" si="139"/>
        <v>#NAME?</v>
      </c>
      <c r="BK536" s="5">
        <v>10</v>
      </c>
      <c r="BL536" s="5">
        <v>10</v>
      </c>
      <c r="BM536" s="5">
        <v>10</v>
      </c>
      <c r="BN536" s="5">
        <v>10</v>
      </c>
      <c r="BO536" s="5">
        <v>10</v>
      </c>
      <c r="BP536" s="54">
        <f t="shared" si="144"/>
        <v>10</v>
      </c>
      <c r="BQ536" s="5"/>
      <c r="BR536" s="5"/>
      <c r="BS536" s="104">
        <v>10</v>
      </c>
      <c r="BT536" s="104">
        <v>10</v>
      </c>
      <c r="BU536" s="104">
        <v>10</v>
      </c>
      <c r="BV536" s="104">
        <v>10</v>
      </c>
      <c r="BW536" s="104">
        <v>10</v>
      </c>
      <c r="BX536" s="104">
        <v>10</v>
      </c>
      <c r="BY536" s="104">
        <v>10</v>
      </c>
      <c r="BZ536" s="104">
        <v>10</v>
      </c>
      <c r="CA536" s="104">
        <v>10</v>
      </c>
      <c r="CB536" s="104">
        <v>10</v>
      </c>
      <c r="CC536" s="2" t="e">
        <f t="shared" ca="1" si="140"/>
        <v>#NAME?</v>
      </c>
      <c r="CD536" s="55"/>
      <c r="CE536" s="2"/>
      <c r="CF536" s="8">
        <v>10</v>
      </c>
      <c r="CG536" s="8">
        <v>10</v>
      </c>
      <c r="CH536" s="8">
        <v>10</v>
      </c>
      <c r="CI536" s="8">
        <v>10</v>
      </c>
      <c r="CJ536" s="8">
        <v>10</v>
      </c>
      <c r="CK536" s="8">
        <v>10</v>
      </c>
      <c r="CL536" s="8">
        <v>10</v>
      </c>
      <c r="CM536" s="8">
        <v>10</v>
      </c>
      <c r="CN536" s="8">
        <v>10</v>
      </c>
      <c r="CO536" s="8">
        <v>10</v>
      </c>
      <c r="CP536" s="2" t="e">
        <f t="shared" ca="1" si="141"/>
        <v>#NAME?</v>
      </c>
      <c r="CQ536" s="2">
        <v>10</v>
      </c>
      <c r="CR536" s="2">
        <v>10</v>
      </c>
      <c r="CS536" s="2">
        <v>10</v>
      </c>
      <c r="CT536" s="2">
        <v>10</v>
      </c>
      <c r="CU536" s="2">
        <v>10</v>
      </c>
      <c r="CV536" s="54">
        <f t="shared" si="145"/>
        <v>10</v>
      </c>
      <c r="CW536" s="55">
        <v>14</v>
      </c>
      <c r="CX536" s="3"/>
    </row>
    <row r="537" spans="1:102" ht="16.5" x14ac:dyDescent="0.55000000000000004">
      <c r="A537" s="17">
        <v>3</v>
      </c>
      <c r="B537" s="17" t="s">
        <v>9</v>
      </c>
      <c r="C537" s="23" t="s">
        <v>1115</v>
      </c>
      <c r="D537" s="24" t="s">
        <v>1116</v>
      </c>
      <c r="E537" s="48">
        <v>8</v>
      </c>
      <c r="F537" s="2">
        <v>8</v>
      </c>
      <c r="G537" s="2">
        <v>10</v>
      </c>
      <c r="H537" s="2">
        <v>10</v>
      </c>
      <c r="I537" s="2">
        <v>10</v>
      </c>
      <c r="J537" s="2">
        <v>10</v>
      </c>
      <c r="K537" s="2">
        <v>10</v>
      </c>
      <c r="L537" s="2">
        <v>10</v>
      </c>
      <c r="M537" s="2">
        <v>10</v>
      </c>
      <c r="N537" s="2">
        <v>10</v>
      </c>
      <c r="O537" s="2">
        <v>10</v>
      </c>
      <c r="P537" s="2">
        <v>10</v>
      </c>
      <c r="Q537" s="2" t="e">
        <f t="shared" ca="1" si="137"/>
        <v>#NAME?</v>
      </c>
      <c r="R537" s="2">
        <v>10</v>
      </c>
      <c r="S537" s="2">
        <v>10</v>
      </c>
      <c r="T537" s="2">
        <v>10</v>
      </c>
      <c r="U537" s="2">
        <v>10</v>
      </c>
      <c r="V537" s="2">
        <v>10</v>
      </c>
      <c r="W537" s="54">
        <f t="shared" si="142"/>
        <v>10</v>
      </c>
      <c r="X537" s="48" t="s">
        <v>31</v>
      </c>
      <c r="Y537" s="2" t="s">
        <v>31</v>
      </c>
      <c r="Z537" s="2">
        <v>13</v>
      </c>
      <c r="AA537" s="2">
        <v>10</v>
      </c>
      <c r="AB537" s="2">
        <v>10</v>
      </c>
      <c r="AC537" s="2">
        <v>10</v>
      </c>
      <c r="AD537" s="2">
        <v>10</v>
      </c>
      <c r="AE537" s="2">
        <v>10</v>
      </c>
      <c r="AF537" s="2">
        <v>10</v>
      </c>
      <c r="AG537" s="2">
        <v>10</v>
      </c>
      <c r="AH537" s="2">
        <v>10</v>
      </c>
      <c r="AI537" s="2">
        <v>10</v>
      </c>
      <c r="AJ537" s="2">
        <v>10</v>
      </c>
      <c r="AK537" s="2">
        <v>10</v>
      </c>
      <c r="AL537" s="2">
        <v>10</v>
      </c>
      <c r="AM537" s="2">
        <v>10</v>
      </c>
      <c r="AN537" s="2">
        <v>10</v>
      </c>
      <c r="AO537" s="2">
        <v>9</v>
      </c>
      <c r="AP537" s="2">
        <v>9</v>
      </c>
      <c r="AQ537" s="2" t="e">
        <f t="shared" ca="1" si="138"/>
        <v>#NAME?</v>
      </c>
      <c r="AR537" s="2">
        <v>10</v>
      </c>
      <c r="AS537" s="2">
        <v>10</v>
      </c>
      <c r="AT537" s="2">
        <v>10</v>
      </c>
      <c r="AU537" s="2">
        <v>10</v>
      </c>
      <c r="AV537" s="2">
        <v>10</v>
      </c>
      <c r="AW537" s="54">
        <f t="shared" si="143"/>
        <v>10</v>
      </c>
      <c r="AX537" s="48"/>
      <c r="AY537" s="2"/>
      <c r="AZ537" s="5">
        <v>10</v>
      </c>
      <c r="BA537" s="5">
        <v>10</v>
      </c>
      <c r="BB537" s="5">
        <v>10</v>
      </c>
      <c r="BC537" s="5">
        <v>10</v>
      </c>
      <c r="BD537" s="5">
        <v>10</v>
      </c>
      <c r="BE537" s="5">
        <v>10</v>
      </c>
      <c r="BF537" s="5">
        <v>10</v>
      </c>
      <c r="BG537" s="5">
        <v>10</v>
      </c>
      <c r="BH537" s="5">
        <v>10</v>
      </c>
      <c r="BI537" s="5">
        <v>10</v>
      </c>
      <c r="BJ537" s="2" t="e">
        <f t="shared" ca="1" si="139"/>
        <v>#NAME?</v>
      </c>
      <c r="BK537" s="5">
        <v>10</v>
      </c>
      <c r="BL537" s="5">
        <v>10</v>
      </c>
      <c r="BM537" s="5">
        <v>10</v>
      </c>
      <c r="BN537" s="5">
        <v>10</v>
      </c>
      <c r="BO537" s="5">
        <v>10</v>
      </c>
      <c r="BP537" s="54">
        <f t="shared" si="144"/>
        <v>10</v>
      </c>
      <c r="BQ537" s="5"/>
      <c r="BR537" s="5"/>
      <c r="BS537" s="104">
        <v>10</v>
      </c>
      <c r="BT537" s="104">
        <v>10</v>
      </c>
      <c r="BU537" s="104">
        <v>10</v>
      </c>
      <c r="BV537" s="104">
        <v>10</v>
      </c>
      <c r="BW537" s="104">
        <v>10</v>
      </c>
      <c r="BX537" s="104">
        <v>10</v>
      </c>
      <c r="BY537" s="104">
        <v>10</v>
      </c>
      <c r="BZ537" s="104">
        <v>10</v>
      </c>
      <c r="CA537" s="104">
        <v>10</v>
      </c>
      <c r="CB537" s="104">
        <v>10</v>
      </c>
      <c r="CC537" s="2" t="e">
        <f t="shared" ca="1" si="140"/>
        <v>#NAME?</v>
      </c>
      <c r="CD537" s="55"/>
      <c r="CE537" s="2"/>
      <c r="CF537" s="8">
        <v>10</v>
      </c>
      <c r="CG537" s="8">
        <v>10</v>
      </c>
      <c r="CH537" s="8">
        <v>10</v>
      </c>
      <c r="CI537" s="8">
        <v>10</v>
      </c>
      <c r="CJ537" s="8">
        <v>10</v>
      </c>
      <c r="CK537" s="8">
        <v>10</v>
      </c>
      <c r="CL537" s="8">
        <v>10</v>
      </c>
      <c r="CM537" s="8">
        <v>10</v>
      </c>
      <c r="CN537" s="8">
        <v>10</v>
      </c>
      <c r="CO537" s="8">
        <v>10</v>
      </c>
      <c r="CP537" s="2" t="e">
        <f t="shared" ca="1" si="141"/>
        <v>#NAME?</v>
      </c>
      <c r="CQ537" s="2">
        <v>10</v>
      </c>
      <c r="CR537" s="2">
        <v>10</v>
      </c>
      <c r="CS537" s="2">
        <v>10</v>
      </c>
      <c r="CT537" s="2">
        <v>10</v>
      </c>
      <c r="CU537" s="2">
        <v>10</v>
      </c>
      <c r="CV537" s="54">
        <f t="shared" si="145"/>
        <v>10</v>
      </c>
      <c r="CW537" s="55">
        <v>13</v>
      </c>
      <c r="CX537" s="3"/>
    </row>
    <row r="538" spans="1:102" ht="16.5" x14ac:dyDescent="0.55000000000000004">
      <c r="A538" s="17">
        <v>3</v>
      </c>
      <c r="B538" s="17" t="s">
        <v>9</v>
      </c>
      <c r="C538" s="23" t="s">
        <v>1117</v>
      </c>
      <c r="D538" s="24" t="s">
        <v>1118</v>
      </c>
      <c r="E538" s="48">
        <v>8</v>
      </c>
      <c r="F538" s="2">
        <v>8</v>
      </c>
      <c r="G538" s="2">
        <v>10</v>
      </c>
      <c r="H538" s="2">
        <v>10</v>
      </c>
      <c r="I538" s="2">
        <v>10</v>
      </c>
      <c r="J538" s="2">
        <v>10</v>
      </c>
      <c r="K538" s="2">
        <v>10</v>
      </c>
      <c r="L538" s="2">
        <v>10</v>
      </c>
      <c r="M538" s="2">
        <v>10</v>
      </c>
      <c r="N538" s="2">
        <v>10</v>
      </c>
      <c r="O538" s="2">
        <v>10</v>
      </c>
      <c r="P538" s="2">
        <v>10</v>
      </c>
      <c r="Q538" s="2" t="e">
        <f t="shared" ca="1" si="137"/>
        <v>#NAME?</v>
      </c>
      <c r="R538" s="2">
        <v>10</v>
      </c>
      <c r="S538" s="2">
        <v>9</v>
      </c>
      <c r="T538" s="2">
        <v>10</v>
      </c>
      <c r="U538" s="2">
        <v>10</v>
      </c>
      <c r="V538" s="2">
        <v>10</v>
      </c>
      <c r="W538" s="54">
        <f t="shared" si="142"/>
        <v>10</v>
      </c>
      <c r="X538" s="48">
        <v>5</v>
      </c>
      <c r="Y538" s="2">
        <v>5</v>
      </c>
      <c r="Z538" s="2">
        <v>13</v>
      </c>
      <c r="AA538" s="2">
        <v>10</v>
      </c>
      <c r="AB538" s="2">
        <v>10</v>
      </c>
      <c r="AC538" s="2">
        <v>9</v>
      </c>
      <c r="AD538" s="2">
        <v>10</v>
      </c>
      <c r="AE538" s="2">
        <v>10</v>
      </c>
      <c r="AF538" s="2">
        <v>8</v>
      </c>
      <c r="AG538" s="2">
        <v>9</v>
      </c>
      <c r="AH538" s="2">
        <v>10</v>
      </c>
      <c r="AI538" s="2">
        <v>10</v>
      </c>
      <c r="AJ538" s="2">
        <v>9</v>
      </c>
      <c r="AK538" s="2">
        <v>10</v>
      </c>
      <c r="AL538" s="2">
        <v>10</v>
      </c>
      <c r="AM538" s="2">
        <v>10</v>
      </c>
      <c r="AN538" s="2">
        <v>10</v>
      </c>
      <c r="AO538" s="2">
        <v>9</v>
      </c>
      <c r="AP538" s="2">
        <v>9</v>
      </c>
      <c r="AQ538" s="2" t="e">
        <f t="shared" ca="1" si="138"/>
        <v>#NAME?</v>
      </c>
      <c r="AR538" s="2">
        <v>10</v>
      </c>
      <c r="AS538" s="2">
        <v>10</v>
      </c>
      <c r="AT538" s="2">
        <v>10</v>
      </c>
      <c r="AU538" s="2">
        <v>9</v>
      </c>
      <c r="AV538" s="2">
        <v>9</v>
      </c>
      <c r="AW538" s="54">
        <f t="shared" si="143"/>
        <v>10</v>
      </c>
      <c r="AX538" s="48"/>
      <c r="AY538" s="2"/>
      <c r="AZ538" s="5">
        <v>10</v>
      </c>
      <c r="BA538" s="5">
        <v>10</v>
      </c>
      <c r="BB538" s="5">
        <v>10</v>
      </c>
      <c r="BC538" s="5">
        <v>10</v>
      </c>
      <c r="BD538" s="5">
        <v>10</v>
      </c>
      <c r="BE538" s="5">
        <v>10</v>
      </c>
      <c r="BF538" s="5">
        <v>10</v>
      </c>
      <c r="BG538" s="5">
        <v>10</v>
      </c>
      <c r="BH538" s="5">
        <v>10</v>
      </c>
      <c r="BI538" s="5">
        <v>10</v>
      </c>
      <c r="BJ538" s="2" t="e">
        <f t="shared" ca="1" si="139"/>
        <v>#NAME?</v>
      </c>
      <c r="BK538" s="5">
        <v>10</v>
      </c>
      <c r="BL538" s="5">
        <v>10</v>
      </c>
      <c r="BM538" s="5">
        <v>10</v>
      </c>
      <c r="BN538" s="5">
        <v>10</v>
      </c>
      <c r="BO538" s="5">
        <v>10</v>
      </c>
      <c r="BP538" s="54">
        <f t="shared" si="144"/>
        <v>10</v>
      </c>
      <c r="BQ538" s="5"/>
      <c r="BR538" s="5"/>
      <c r="BS538" s="104">
        <v>10</v>
      </c>
      <c r="BT538" s="104">
        <v>10</v>
      </c>
      <c r="BU538" s="104">
        <v>10</v>
      </c>
      <c r="BV538" s="104">
        <v>10</v>
      </c>
      <c r="BW538" s="104">
        <v>9</v>
      </c>
      <c r="BX538" s="104">
        <v>9</v>
      </c>
      <c r="BY538" s="104">
        <v>10</v>
      </c>
      <c r="BZ538" s="104">
        <v>10</v>
      </c>
      <c r="CA538" s="104">
        <v>10</v>
      </c>
      <c r="CB538" s="104">
        <v>9</v>
      </c>
      <c r="CC538" s="2" t="e">
        <f t="shared" ca="1" si="140"/>
        <v>#NAME?</v>
      </c>
      <c r="CD538" s="55"/>
      <c r="CE538" s="2"/>
      <c r="CF538" s="2">
        <v>9</v>
      </c>
      <c r="CG538" s="2">
        <v>8</v>
      </c>
      <c r="CH538" s="2">
        <v>9</v>
      </c>
      <c r="CI538" s="2">
        <v>10</v>
      </c>
      <c r="CJ538" s="2">
        <v>10</v>
      </c>
      <c r="CK538" s="2">
        <v>10</v>
      </c>
      <c r="CL538" s="2">
        <v>10</v>
      </c>
      <c r="CM538" s="2">
        <v>10</v>
      </c>
      <c r="CN538" s="2">
        <v>10</v>
      </c>
      <c r="CO538" s="2">
        <v>10</v>
      </c>
      <c r="CP538" s="2" t="e">
        <f t="shared" ca="1" si="141"/>
        <v>#NAME?</v>
      </c>
      <c r="CQ538" s="2">
        <v>10</v>
      </c>
      <c r="CR538" s="2">
        <v>10</v>
      </c>
      <c r="CS538" s="2">
        <v>10</v>
      </c>
      <c r="CT538" s="2">
        <v>10</v>
      </c>
      <c r="CU538" s="2">
        <v>10</v>
      </c>
      <c r="CV538" s="54">
        <f t="shared" si="145"/>
        <v>10</v>
      </c>
      <c r="CW538" s="55">
        <v>15</v>
      </c>
      <c r="CX538" s="3"/>
    </row>
    <row r="539" spans="1:102" ht="16.5" x14ac:dyDescent="0.55000000000000004">
      <c r="A539" s="17">
        <v>3</v>
      </c>
      <c r="B539" s="17" t="s">
        <v>9</v>
      </c>
      <c r="C539" s="23" t="s">
        <v>1119</v>
      </c>
      <c r="D539" s="24" t="s">
        <v>1120</v>
      </c>
      <c r="E539" s="48">
        <v>7</v>
      </c>
      <c r="F539" s="2">
        <v>8</v>
      </c>
      <c r="G539" s="2">
        <v>10</v>
      </c>
      <c r="H539" s="2">
        <v>10</v>
      </c>
      <c r="I539" s="2">
        <v>9</v>
      </c>
      <c r="J539" s="2">
        <v>9</v>
      </c>
      <c r="K539" s="2">
        <v>9</v>
      </c>
      <c r="L539" s="2">
        <v>9</v>
      </c>
      <c r="M539" s="2">
        <v>10</v>
      </c>
      <c r="N539" s="2">
        <v>10</v>
      </c>
      <c r="O539" s="2">
        <v>10</v>
      </c>
      <c r="P539" s="2">
        <v>10</v>
      </c>
      <c r="Q539" s="2" t="e">
        <f t="shared" ca="1" si="137"/>
        <v>#NAME?</v>
      </c>
      <c r="R539" s="2">
        <v>10</v>
      </c>
      <c r="S539" s="2">
        <v>9</v>
      </c>
      <c r="T539" s="2">
        <v>9</v>
      </c>
      <c r="U539" s="2">
        <v>10</v>
      </c>
      <c r="V539" s="2">
        <v>10</v>
      </c>
      <c r="W539" s="54">
        <f t="shared" si="142"/>
        <v>10</v>
      </c>
      <c r="X539" s="48" t="s">
        <v>31</v>
      </c>
      <c r="Y539" s="2" t="s">
        <v>31</v>
      </c>
      <c r="Z539" s="2">
        <v>9</v>
      </c>
      <c r="AA539" s="2">
        <v>10</v>
      </c>
      <c r="AB539" s="2">
        <v>10</v>
      </c>
      <c r="AC539" s="2">
        <v>7</v>
      </c>
      <c r="AD539" s="2">
        <v>7</v>
      </c>
      <c r="AE539" s="2">
        <v>7</v>
      </c>
      <c r="AF539" s="2">
        <v>7</v>
      </c>
      <c r="AG539" s="2">
        <v>8</v>
      </c>
      <c r="AH539" s="2">
        <v>8</v>
      </c>
      <c r="AI539" s="2">
        <v>8</v>
      </c>
      <c r="AJ539" s="2">
        <v>8</v>
      </c>
      <c r="AK539" s="2">
        <v>9</v>
      </c>
      <c r="AL539" s="2">
        <v>10</v>
      </c>
      <c r="AM539" s="2">
        <v>10</v>
      </c>
      <c r="AN539" s="2">
        <v>10</v>
      </c>
      <c r="AO539" s="2">
        <v>8</v>
      </c>
      <c r="AP539" s="2">
        <v>8</v>
      </c>
      <c r="AQ539" s="2" t="e">
        <f t="shared" ca="1" si="138"/>
        <v>#NAME?</v>
      </c>
      <c r="AR539" s="2">
        <v>10</v>
      </c>
      <c r="AS539" s="2">
        <v>7</v>
      </c>
      <c r="AT539" s="2">
        <v>8</v>
      </c>
      <c r="AU539" s="2">
        <v>10</v>
      </c>
      <c r="AV539" s="2">
        <v>10</v>
      </c>
      <c r="AW539" s="54">
        <f t="shared" si="143"/>
        <v>9</v>
      </c>
      <c r="AX539" s="48"/>
      <c r="AY539" s="2"/>
      <c r="AZ539" s="2">
        <v>3</v>
      </c>
      <c r="BA539" s="2">
        <v>4</v>
      </c>
      <c r="BB539" s="2">
        <v>5</v>
      </c>
      <c r="BC539" s="2">
        <v>5</v>
      </c>
      <c r="BD539" s="2">
        <v>5</v>
      </c>
      <c r="BE539" s="2">
        <v>5</v>
      </c>
      <c r="BF539" s="2">
        <v>6</v>
      </c>
      <c r="BG539" s="2">
        <v>7</v>
      </c>
      <c r="BH539" s="2">
        <v>6</v>
      </c>
      <c r="BI539" s="2">
        <v>5</v>
      </c>
      <c r="BJ539" s="2" t="e">
        <f t="shared" ca="1" si="139"/>
        <v>#NAME?</v>
      </c>
      <c r="BK539" s="2">
        <v>5</v>
      </c>
      <c r="BL539" s="2">
        <v>4</v>
      </c>
      <c r="BM539" s="2">
        <v>5</v>
      </c>
      <c r="BN539" s="2">
        <v>5</v>
      </c>
      <c r="BO539" s="2">
        <v>5</v>
      </c>
      <c r="BP539" s="54">
        <f t="shared" si="144"/>
        <v>5</v>
      </c>
      <c r="BQ539" s="5"/>
      <c r="BR539" s="5"/>
      <c r="BS539" s="104">
        <v>10</v>
      </c>
      <c r="BT539" s="104">
        <v>10</v>
      </c>
      <c r="BU539" s="104">
        <v>10</v>
      </c>
      <c r="BV539" s="104">
        <v>10</v>
      </c>
      <c r="BW539" s="104">
        <v>10</v>
      </c>
      <c r="BX539" s="104">
        <v>10</v>
      </c>
      <c r="BY539" s="104">
        <v>10</v>
      </c>
      <c r="BZ539" s="104">
        <v>10</v>
      </c>
      <c r="CA539" s="104">
        <v>9</v>
      </c>
      <c r="CB539" s="104">
        <v>9</v>
      </c>
      <c r="CC539" s="2" t="e">
        <f t="shared" ca="1" si="140"/>
        <v>#NAME?</v>
      </c>
      <c r="CD539" s="55"/>
      <c r="CE539" s="2"/>
      <c r="CF539" s="8">
        <v>5</v>
      </c>
      <c r="CG539" s="8">
        <v>5</v>
      </c>
      <c r="CH539" s="8">
        <v>5</v>
      </c>
      <c r="CI539" s="8">
        <v>5</v>
      </c>
      <c r="CJ539" s="8">
        <v>5</v>
      </c>
      <c r="CK539" s="8">
        <v>5</v>
      </c>
      <c r="CL539" s="8">
        <v>5</v>
      </c>
      <c r="CM539" s="8">
        <v>5</v>
      </c>
      <c r="CN539" s="8">
        <v>5</v>
      </c>
      <c r="CO539" s="8">
        <v>5</v>
      </c>
      <c r="CP539" s="2" t="e">
        <f t="shared" ca="1" si="141"/>
        <v>#NAME?</v>
      </c>
      <c r="CQ539" s="2">
        <v>5</v>
      </c>
      <c r="CR539" s="2">
        <v>5</v>
      </c>
      <c r="CS539" s="2">
        <v>5</v>
      </c>
      <c r="CT539" s="2">
        <v>5</v>
      </c>
      <c r="CU539" s="2">
        <v>5</v>
      </c>
      <c r="CV539" s="54">
        <f t="shared" si="145"/>
        <v>5</v>
      </c>
      <c r="CW539" s="55">
        <v>13</v>
      </c>
      <c r="CX539" s="3"/>
    </row>
    <row r="540" spans="1:102" ht="16.5" x14ac:dyDescent="0.55000000000000004">
      <c r="A540" s="17">
        <v>3</v>
      </c>
      <c r="B540" s="17" t="s">
        <v>9</v>
      </c>
      <c r="C540" s="23" t="s">
        <v>1121</v>
      </c>
      <c r="D540" s="24" t="s">
        <v>1122</v>
      </c>
      <c r="E540" s="48">
        <v>7</v>
      </c>
      <c r="F540" s="2">
        <v>7</v>
      </c>
      <c r="G540" s="2">
        <v>10</v>
      </c>
      <c r="H540" s="2">
        <v>10</v>
      </c>
      <c r="I540" s="2">
        <v>8</v>
      </c>
      <c r="J540" s="2">
        <v>8</v>
      </c>
      <c r="K540" s="2">
        <v>8</v>
      </c>
      <c r="L540" s="2">
        <v>8</v>
      </c>
      <c r="M540" s="2">
        <v>8</v>
      </c>
      <c r="N540" s="2">
        <v>8</v>
      </c>
      <c r="O540" s="2">
        <v>8</v>
      </c>
      <c r="P540" s="2">
        <v>8</v>
      </c>
      <c r="Q540" s="2" t="e">
        <f t="shared" ca="1" si="137"/>
        <v>#NAME?</v>
      </c>
      <c r="R540" s="2">
        <v>8</v>
      </c>
      <c r="S540" s="2">
        <v>8</v>
      </c>
      <c r="T540" s="2">
        <v>7</v>
      </c>
      <c r="U540" s="2">
        <v>8</v>
      </c>
      <c r="V540" s="2">
        <v>8</v>
      </c>
      <c r="W540" s="54">
        <f t="shared" si="142"/>
        <v>8</v>
      </c>
      <c r="X540" s="48">
        <v>7</v>
      </c>
      <c r="Y540" s="2">
        <v>8</v>
      </c>
      <c r="Z540" s="2" t="s">
        <v>31</v>
      </c>
      <c r="AA540" s="2">
        <v>4</v>
      </c>
      <c r="AB540" s="2">
        <v>4</v>
      </c>
      <c r="AC540" s="2">
        <v>4</v>
      </c>
      <c r="AD540" s="2">
        <v>4</v>
      </c>
      <c r="AE540" s="2">
        <v>4</v>
      </c>
      <c r="AF540" s="2">
        <v>4</v>
      </c>
      <c r="AG540" s="2">
        <v>4</v>
      </c>
      <c r="AH540" s="2">
        <v>4</v>
      </c>
      <c r="AI540" s="2">
        <v>4</v>
      </c>
      <c r="AJ540" s="2">
        <v>4</v>
      </c>
      <c r="AK540" s="2">
        <v>4</v>
      </c>
      <c r="AL540" s="2">
        <v>4</v>
      </c>
      <c r="AM540" s="2">
        <v>4</v>
      </c>
      <c r="AN540" s="2">
        <v>4</v>
      </c>
      <c r="AO540" s="2">
        <v>4</v>
      </c>
      <c r="AP540" s="2">
        <v>4</v>
      </c>
      <c r="AQ540" s="2" t="e">
        <f t="shared" ca="1" si="138"/>
        <v>#NAME?</v>
      </c>
      <c r="AR540" s="2">
        <v>4</v>
      </c>
      <c r="AS540" s="2">
        <v>4</v>
      </c>
      <c r="AT540" s="2">
        <v>4</v>
      </c>
      <c r="AU540" s="2">
        <v>4</v>
      </c>
      <c r="AV540" s="2">
        <v>4</v>
      </c>
      <c r="AW540" s="54">
        <f t="shared" si="143"/>
        <v>4</v>
      </c>
      <c r="AX540" s="48"/>
      <c r="AY540" s="2"/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 t="e">
        <f t="shared" ca="1" si="139"/>
        <v>#NAME?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54">
        <f t="shared" si="144"/>
        <v>0</v>
      </c>
      <c r="BQ540" s="5"/>
      <c r="BR540" s="5"/>
      <c r="BS540" s="104">
        <v>0</v>
      </c>
      <c r="BT540" s="104">
        <v>0</v>
      </c>
      <c r="BU540" s="104">
        <v>0</v>
      </c>
      <c r="BV540" s="104">
        <v>0</v>
      </c>
      <c r="BW540" s="104">
        <v>0</v>
      </c>
      <c r="BX540" s="104">
        <v>0</v>
      </c>
      <c r="BY540" s="104">
        <v>0</v>
      </c>
      <c r="BZ540" s="104">
        <v>0</v>
      </c>
      <c r="CA540" s="104">
        <v>0</v>
      </c>
      <c r="CB540" s="104">
        <v>0</v>
      </c>
      <c r="CC540" s="2" t="e">
        <f t="shared" ca="1" si="140"/>
        <v>#NAME?</v>
      </c>
      <c r="CD540" s="55"/>
      <c r="CE540" s="2"/>
      <c r="CF540" s="2">
        <v>5</v>
      </c>
      <c r="CG540" s="2">
        <v>5</v>
      </c>
      <c r="CH540" s="2">
        <v>5</v>
      </c>
      <c r="CI540" s="2">
        <v>5</v>
      </c>
      <c r="CJ540" s="2">
        <v>5</v>
      </c>
      <c r="CK540" s="2">
        <v>5</v>
      </c>
      <c r="CL540" s="2">
        <v>5</v>
      </c>
      <c r="CM540" s="2">
        <v>5</v>
      </c>
      <c r="CN540" s="2">
        <v>5</v>
      </c>
      <c r="CO540" s="2">
        <v>5</v>
      </c>
      <c r="CP540" s="2" t="e">
        <f t="shared" ca="1" si="141"/>
        <v>#NAME?</v>
      </c>
      <c r="CQ540" s="2">
        <v>5</v>
      </c>
      <c r="CR540" s="2">
        <v>5</v>
      </c>
      <c r="CS540" s="2">
        <v>5</v>
      </c>
      <c r="CT540" s="2">
        <v>5</v>
      </c>
      <c r="CU540" s="2">
        <v>5</v>
      </c>
      <c r="CV540" s="54">
        <f t="shared" si="145"/>
        <v>5</v>
      </c>
      <c r="CW540" s="55" t="s">
        <v>31</v>
      </c>
      <c r="CX540" s="3"/>
    </row>
    <row r="541" spans="1:102" ht="16.5" x14ac:dyDescent="0.55000000000000004">
      <c r="A541" s="17">
        <v>3</v>
      </c>
      <c r="B541" s="17" t="s">
        <v>9</v>
      </c>
      <c r="C541" s="23" t="s">
        <v>1123</v>
      </c>
      <c r="D541" s="24" t="s">
        <v>1124</v>
      </c>
      <c r="E541" s="48">
        <v>9</v>
      </c>
      <c r="F541" s="2">
        <v>9</v>
      </c>
      <c r="G541" s="2">
        <v>10</v>
      </c>
      <c r="H541" s="2">
        <v>10</v>
      </c>
      <c r="I541" s="2">
        <v>10</v>
      </c>
      <c r="J541" s="2">
        <v>10</v>
      </c>
      <c r="K541" s="2">
        <v>10</v>
      </c>
      <c r="L541" s="2">
        <v>10</v>
      </c>
      <c r="M541" s="2">
        <v>10</v>
      </c>
      <c r="N541" s="2">
        <v>10</v>
      </c>
      <c r="O541" s="2">
        <v>10</v>
      </c>
      <c r="P541" s="2">
        <v>10</v>
      </c>
      <c r="Q541" s="2" t="e">
        <f t="shared" ca="1" si="137"/>
        <v>#NAME?</v>
      </c>
      <c r="R541" s="2">
        <v>10</v>
      </c>
      <c r="S541" s="2">
        <v>10</v>
      </c>
      <c r="T541" s="2">
        <v>10</v>
      </c>
      <c r="U541" s="2">
        <v>10</v>
      </c>
      <c r="V541" s="2">
        <v>10</v>
      </c>
      <c r="W541" s="54">
        <f t="shared" si="142"/>
        <v>10</v>
      </c>
      <c r="X541" s="48">
        <v>4</v>
      </c>
      <c r="Y541" s="2" t="s">
        <v>31</v>
      </c>
      <c r="Z541" s="2">
        <v>14</v>
      </c>
      <c r="AA541" s="2">
        <v>10</v>
      </c>
      <c r="AB541" s="2">
        <v>10</v>
      </c>
      <c r="AC541" s="2">
        <v>9</v>
      </c>
      <c r="AD541" s="2">
        <v>10</v>
      </c>
      <c r="AE541" s="2">
        <v>10</v>
      </c>
      <c r="AF541" s="2">
        <v>9</v>
      </c>
      <c r="AG541" s="2">
        <v>10</v>
      </c>
      <c r="AH541" s="2">
        <v>9</v>
      </c>
      <c r="AI541" s="2">
        <v>10</v>
      </c>
      <c r="AJ541" s="2">
        <v>8</v>
      </c>
      <c r="AK541" s="2">
        <v>8</v>
      </c>
      <c r="AL541" s="2">
        <v>8</v>
      </c>
      <c r="AM541" s="2">
        <v>8</v>
      </c>
      <c r="AN541" s="2">
        <v>8</v>
      </c>
      <c r="AO541" s="2">
        <v>8</v>
      </c>
      <c r="AP541" s="2">
        <v>8</v>
      </c>
      <c r="AQ541" s="2" t="e">
        <f t="shared" ca="1" si="138"/>
        <v>#NAME?</v>
      </c>
      <c r="AR541" s="2">
        <v>10</v>
      </c>
      <c r="AS541" s="2">
        <v>10</v>
      </c>
      <c r="AT541" s="2">
        <v>8</v>
      </c>
      <c r="AU541" s="2">
        <v>7</v>
      </c>
      <c r="AV541" s="2">
        <v>10</v>
      </c>
      <c r="AW541" s="54">
        <f t="shared" si="143"/>
        <v>9</v>
      </c>
      <c r="AX541" s="48"/>
      <c r="AY541" s="2"/>
      <c r="AZ541" s="2">
        <v>10</v>
      </c>
      <c r="BA541" s="2">
        <v>10</v>
      </c>
      <c r="BB541" s="2">
        <v>10</v>
      </c>
      <c r="BC541" s="2">
        <v>10</v>
      </c>
      <c r="BD541" s="2">
        <v>10</v>
      </c>
      <c r="BE541" s="2">
        <v>10</v>
      </c>
      <c r="BF541" s="2">
        <v>10</v>
      </c>
      <c r="BG541" s="2">
        <v>10</v>
      </c>
      <c r="BH541" s="2">
        <v>10</v>
      </c>
      <c r="BI541" s="2">
        <v>10</v>
      </c>
      <c r="BJ541" s="2" t="e">
        <f t="shared" ca="1" si="139"/>
        <v>#NAME?</v>
      </c>
      <c r="BK541" s="5">
        <v>10</v>
      </c>
      <c r="BL541" s="5">
        <v>5</v>
      </c>
      <c r="BM541" s="5">
        <v>7</v>
      </c>
      <c r="BN541" s="5">
        <v>10</v>
      </c>
      <c r="BO541" s="2">
        <v>10</v>
      </c>
      <c r="BP541" s="54">
        <f t="shared" si="144"/>
        <v>9</v>
      </c>
      <c r="BQ541" s="5"/>
      <c r="BR541" s="5"/>
      <c r="BS541" s="104">
        <v>10</v>
      </c>
      <c r="BT541" s="104">
        <v>10</v>
      </c>
      <c r="BU541" s="104">
        <v>10</v>
      </c>
      <c r="BV541" s="104">
        <v>10</v>
      </c>
      <c r="BW541" s="104">
        <v>10</v>
      </c>
      <c r="BX541" s="104">
        <v>10</v>
      </c>
      <c r="BY541" s="104">
        <v>10</v>
      </c>
      <c r="BZ541" s="104">
        <v>10</v>
      </c>
      <c r="CA541" s="104">
        <v>10</v>
      </c>
      <c r="CB541" s="104">
        <v>10</v>
      </c>
      <c r="CC541" s="2" t="e">
        <f t="shared" ca="1" si="140"/>
        <v>#NAME?</v>
      </c>
      <c r="CD541" s="55"/>
      <c r="CE541" s="2"/>
      <c r="CF541" s="8">
        <v>10</v>
      </c>
      <c r="CG541" s="8">
        <v>10</v>
      </c>
      <c r="CH541" s="8">
        <v>10</v>
      </c>
      <c r="CI541" s="8">
        <v>10</v>
      </c>
      <c r="CJ541" s="8">
        <v>10</v>
      </c>
      <c r="CK541" s="8">
        <v>10</v>
      </c>
      <c r="CL541" s="8">
        <v>10</v>
      </c>
      <c r="CM541" s="8">
        <v>10</v>
      </c>
      <c r="CN541" s="8">
        <v>10</v>
      </c>
      <c r="CO541" s="8">
        <v>10</v>
      </c>
      <c r="CP541" s="2" t="e">
        <f t="shared" ca="1" si="141"/>
        <v>#NAME?</v>
      </c>
      <c r="CQ541" s="2">
        <v>10</v>
      </c>
      <c r="CR541" s="2">
        <v>10</v>
      </c>
      <c r="CS541" s="2">
        <v>10</v>
      </c>
      <c r="CT541" s="2">
        <v>10</v>
      </c>
      <c r="CU541" s="2">
        <v>10</v>
      </c>
      <c r="CV541" s="54">
        <f t="shared" si="145"/>
        <v>10</v>
      </c>
      <c r="CW541" s="55">
        <v>17</v>
      </c>
      <c r="CX541" s="3"/>
    </row>
    <row r="542" spans="1:102" ht="16.5" x14ac:dyDescent="0.55000000000000004">
      <c r="A542" s="17">
        <v>3</v>
      </c>
      <c r="B542" s="17" t="s">
        <v>9</v>
      </c>
      <c r="C542" s="23" t="s">
        <v>1125</v>
      </c>
      <c r="D542" s="24" t="s">
        <v>1126</v>
      </c>
      <c r="E542" s="48">
        <v>8</v>
      </c>
      <c r="F542" s="2">
        <v>8</v>
      </c>
      <c r="G542" s="2">
        <v>10</v>
      </c>
      <c r="H542" s="2">
        <v>9</v>
      </c>
      <c r="I542" s="2">
        <v>10</v>
      </c>
      <c r="J542" s="2">
        <v>10</v>
      </c>
      <c r="K542" s="2">
        <v>10</v>
      </c>
      <c r="L542" s="2">
        <v>10</v>
      </c>
      <c r="M542" s="2">
        <v>9</v>
      </c>
      <c r="N542" s="2">
        <v>10</v>
      </c>
      <c r="O542" s="2">
        <v>10</v>
      </c>
      <c r="P542" s="2">
        <v>10</v>
      </c>
      <c r="Q542" s="2" t="e">
        <f t="shared" ca="1" si="137"/>
        <v>#NAME?</v>
      </c>
      <c r="R542" s="2">
        <v>10</v>
      </c>
      <c r="S542" s="2">
        <v>9</v>
      </c>
      <c r="T542" s="2">
        <v>10</v>
      </c>
      <c r="U542" s="2">
        <v>10</v>
      </c>
      <c r="V542" s="2">
        <v>10</v>
      </c>
      <c r="W542" s="54">
        <f t="shared" si="142"/>
        <v>10</v>
      </c>
      <c r="X542" s="48">
        <v>5</v>
      </c>
      <c r="Y542" s="2">
        <v>6</v>
      </c>
      <c r="Z542" s="2">
        <v>7</v>
      </c>
      <c r="AA542" s="2">
        <v>10</v>
      </c>
      <c r="AB542" s="2">
        <v>10</v>
      </c>
      <c r="AC542" s="2">
        <v>8</v>
      </c>
      <c r="AD542" s="2">
        <v>8</v>
      </c>
      <c r="AE542" s="2">
        <v>8</v>
      </c>
      <c r="AF542" s="2">
        <v>8</v>
      </c>
      <c r="AG542" s="2">
        <v>8</v>
      </c>
      <c r="AH542" s="2">
        <v>8</v>
      </c>
      <c r="AI542" s="2">
        <v>8</v>
      </c>
      <c r="AJ542" s="2">
        <v>8</v>
      </c>
      <c r="AK542" s="2">
        <v>8</v>
      </c>
      <c r="AL542" s="2">
        <v>8</v>
      </c>
      <c r="AM542" s="2">
        <v>8</v>
      </c>
      <c r="AN542" s="2">
        <v>8</v>
      </c>
      <c r="AO542" s="2">
        <v>8</v>
      </c>
      <c r="AP542" s="2">
        <v>8</v>
      </c>
      <c r="AQ542" s="2" t="e">
        <f t="shared" ca="1" si="138"/>
        <v>#NAME?</v>
      </c>
      <c r="AR542" s="2">
        <v>7</v>
      </c>
      <c r="AS542" s="2">
        <v>7</v>
      </c>
      <c r="AT542" s="2">
        <v>7</v>
      </c>
      <c r="AU542" s="2">
        <v>8</v>
      </c>
      <c r="AV542" s="2">
        <v>9</v>
      </c>
      <c r="AW542" s="54">
        <f t="shared" si="143"/>
        <v>8</v>
      </c>
      <c r="AX542" s="48"/>
      <c r="AY542" s="2"/>
      <c r="AZ542" s="2">
        <v>4</v>
      </c>
      <c r="BA542" s="2">
        <v>5</v>
      </c>
      <c r="BB542" s="2">
        <v>10</v>
      </c>
      <c r="BC542" s="2">
        <v>10</v>
      </c>
      <c r="BD542" s="2">
        <v>10</v>
      </c>
      <c r="BE542" s="2">
        <v>10</v>
      </c>
      <c r="BF542" s="2">
        <v>10</v>
      </c>
      <c r="BG542" s="2">
        <v>10</v>
      </c>
      <c r="BH542" s="2">
        <v>10</v>
      </c>
      <c r="BI542" s="2">
        <v>10</v>
      </c>
      <c r="BJ542" s="2" t="e">
        <f t="shared" ca="1" si="139"/>
        <v>#NAME?</v>
      </c>
      <c r="BK542" s="2">
        <v>10</v>
      </c>
      <c r="BL542" s="2">
        <v>5</v>
      </c>
      <c r="BM542" s="2">
        <v>6</v>
      </c>
      <c r="BN542" s="2">
        <v>7</v>
      </c>
      <c r="BO542" s="2">
        <v>6</v>
      </c>
      <c r="BP542" s="54">
        <f t="shared" si="144"/>
        <v>7</v>
      </c>
      <c r="BQ542" s="5"/>
      <c r="BR542" s="5"/>
      <c r="BS542" s="104">
        <v>10</v>
      </c>
      <c r="BT542" s="104">
        <v>10</v>
      </c>
      <c r="BU542" s="104">
        <v>10</v>
      </c>
      <c r="BV542" s="104">
        <v>10</v>
      </c>
      <c r="BW542" s="104">
        <v>10</v>
      </c>
      <c r="BX542" s="104">
        <v>10</v>
      </c>
      <c r="BY542" s="104">
        <v>10</v>
      </c>
      <c r="BZ542" s="104">
        <v>10</v>
      </c>
      <c r="CA542" s="104">
        <v>10</v>
      </c>
      <c r="CB542" s="104">
        <v>10</v>
      </c>
      <c r="CC542" s="2" t="e">
        <f t="shared" ca="1" si="140"/>
        <v>#NAME?</v>
      </c>
      <c r="CD542" s="55"/>
      <c r="CE542" s="2"/>
      <c r="CF542" s="8">
        <v>9</v>
      </c>
      <c r="CG542" s="8">
        <v>9</v>
      </c>
      <c r="CH542" s="8">
        <v>10</v>
      </c>
      <c r="CI542" s="8">
        <v>10</v>
      </c>
      <c r="CJ542" s="8">
        <v>10</v>
      </c>
      <c r="CK542" s="8">
        <v>10</v>
      </c>
      <c r="CL542" s="8">
        <v>10</v>
      </c>
      <c r="CM542" s="8">
        <v>10</v>
      </c>
      <c r="CN542" s="8">
        <v>10</v>
      </c>
      <c r="CO542" s="8">
        <v>10</v>
      </c>
      <c r="CP542" s="2" t="e">
        <f t="shared" ca="1" si="141"/>
        <v>#NAME?</v>
      </c>
      <c r="CQ542" s="2">
        <v>10</v>
      </c>
      <c r="CR542" s="2">
        <v>10</v>
      </c>
      <c r="CS542" s="2">
        <v>10</v>
      </c>
      <c r="CT542" s="2">
        <v>10</v>
      </c>
      <c r="CU542" s="2">
        <v>10</v>
      </c>
      <c r="CV542" s="54">
        <f t="shared" si="145"/>
        <v>10</v>
      </c>
      <c r="CW542" s="55">
        <v>10</v>
      </c>
      <c r="CX542" s="3"/>
    </row>
    <row r="543" spans="1:102" ht="16.5" x14ac:dyDescent="0.55000000000000004">
      <c r="A543" s="17">
        <v>3</v>
      </c>
      <c r="B543" s="17" t="s">
        <v>9</v>
      </c>
      <c r="C543" s="23" t="s">
        <v>1127</v>
      </c>
      <c r="D543" s="24" t="s">
        <v>1128</v>
      </c>
      <c r="E543" s="48">
        <v>8</v>
      </c>
      <c r="F543" s="2">
        <v>9</v>
      </c>
      <c r="G543" s="2">
        <v>10</v>
      </c>
      <c r="H543" s="2">
        <v>10</v>
      </c>
      <c r="I543" s="2">
        <v>10</v>
      </c>
      <c r="J543" s="2">
        <v>9</v>
      </c>
      <c r="K543" s="2">
        <v>10</v>
      </c>
      <c r="L543" s="2">
        <v>10</v>
      </c>
      <c r="M543" s="2">
        <v>10</v>
      </c>
      <c r="N543" s="2">
        <v>10</v>
      </c>
      <c r="O543" s="2">
        <v>10</v>
      </c>
      <c r="P543" s="2">
        <v>10</v>
      </c>
      <c r="Q543" s="2" t="e">
        <f t="shared" ca="1" si="137"/>
        <v>#NAME?</v>
      </c>
      <c r="R543" s="2">
        <v>10</v>
      </c>
      <c r="S543" s="2">
        <v>10</v>
      </c>
      <c r="T543" s="2">
        <v>10</v>
      </c>
      <c r="U543" s="2">
        <v>10</v>
      </c>
      <c r="V543" s="2">
        <v>10</v>
      </c>
      <c r="W543" s="54">
        <f t="shared" si="142"/>
        <v>10</v>
      </c>
      <c r="X543" s="48">
        <v>5</v>
      </c>
      <c r="Y543" s="2">
        <v>8</v>
      </c>
      <c r="Z543" s="2">
        <v>14</v>
      </c>
      <c r="AA543" s="2">
        <v>10</v>
      </c>
      <c r="AB543" s="2">
        <v>10</v>
      </c>
      <c r="AC543" s="2">
        <v>10</v>
      </c>
      <c r="AD543" s="2">
        <v>10</v>
      </c>
      <c r="AE543" s="2">
        <v>10</v>
      </c>
      <c r="AF543" s="2">
        <v>9</v>
      </c>
      <c r="AG543" s="2">
        <v>10</v>
      </c>
      <c r="AH543" s="2">
        <v>10</v>
      </c>
      <c r="AI543" s="2">
        <v>10</v>
      </c>
      <c r="AJ543" s="2">
        <v>10</v>
      </c>
      <c r="AK543" s="2">
        <v>9</v>
      </c>
      <c r="AL543" s="2">
        <v>10</v>
      </c>
      <c r="AM543" s="2">
        <v>10</v>
      </c>
      <c r="AN543" s="2">
        <v>10</v>
      </c>
      <c r="AO543" s="2">
        <v>10</v>
      </c>
      <c r="AP543" s="2">
        <v>8</v>
      </c>
      <c r="AQ543" s="2" t="e">
        <f t="shared" ca="1" si="138"/>
        <v>#NAME?</v>
      </c>
      <c r="AR543" s="2">
        <v>10</v>
      </c>
      <c r="AS543" s="2">
        <v>10</v>
      </c>
      <c r="AT543" s="2">
        <v>10</v>
      </c>
      <c r="AU543" s="2">
        <v>10</v>
      </c>
      <c r="AV543" s="2">
        <v>10</v>
      </c>
      <c r="AW543" s="54">
        <f t="shared" si="143"/>
        <v>10</v>
      </c>
      <c r="AX543" s="48"/>
      <c r="AY543" s="2"/>
      <c r="AZ543" s="5">
        <v>10</v>
      </c>
      <c r="BA543" s="5">
        <v>10</v>
      </c>
      <c r="BB543" s="5">
        <v>10</v>
      </c>
      <c r="BC543" s="5">
        <v>10</v>
      </c>
      <c r="BD543" s="5">
        <v>10</v>
      </c>
      <c r="BE543" s="5">
        <v>10</v>
      </c>
      <c r="BF543" s="5">
        <v>10</v>
      </c>
      <c r="BG543" s="5">
        <v>10</v>
      </c>
      <c r="BH543" s="5">
        <v>10</v>
      </c>
      <c r="BI543" s="5">
        <v>10</v>
      </c>
      <c r="BJ543" s="2" t="e">
        <f t="shared" ca="1" si="139"/>
        <v>#NAME?</v>
      </c>
      <c r="BK543" s="5">
        <v>10</v>
      </c>
      <c r="BL543" s="5">
        <v>10</v>
      </c>
      <c r="BM543" s="5">
        <v>10</v>
      </c>
      <c r="BN543" s="5">
        <v>10</v>
      </c>
      <c r="BO543" s="5">
        <v>10</v>
      </c>
      <c r="BP543" s="54">
        <f t="shared" si="144"/>
        <v>10</v>
      </c>
      <c r="BQ543" s="5"/>
      <c r="BR543" s="5"/>
      <c r="BS543" s="104">
        <v>10</v>
      </c>
      <c r="BT543" s="104">
        <v>10</v>
      </c>
      <c r="BU543" s="104">
        <v>10</v>
      </c>
      <c r="BV543" s="104">
        <v>10</v>
      </c>
      <c r="BW543" s="104">
        <v>10</v>
      </c>
      <c r="BX543" s="104">
        <v>10</v>
      </c>
      <c r="BY543" s="104">
        <v>10</v>
      </c>
      <c r="BZ543" s="104">
        <v>10</v>
      </c>
      <c r="CA543" s="104">
        <v>10</v>
      </c>
      <c r="CB543" s="104">
        <v>10</v>
      </c>
      <c r="CC543" s="2" t="e">
        <f t="shared" ca="1" si="140"/>
        <v>#NAME?</v>
      </c>
      <c r="CD543" s="55"/>
      <c r="CE543" s="2"/>
      <c r="CF543" s="8">
        <v>10</v>
      </c>
      <c r="CG543" s="8">
        <v>10</v>
      </c>
      <c r="CH543" s="8">
        <v>10</v>
      </c>
      <c r="CI543" s="8">
        <v>10</v>
      </c>
      <c r="CJ543" s="8">
        <v>10</v>
      </c>
      <c r="CK543" s="8">
        <v>10</v>
      </c>
      <c r="CL543" s="8">
        <v>10</v>
      </c>
      <c r="CM543" s="8">
        <v>10</v>
      </c>
      <c r="CN543" s="8">
        <v>10</v>
      </c>
      <c r="CO543" s="8">
        <v>10</v>
      </c>
      <c r="CP543" s="2" t="e">
        <f t="shared" ca="1" si="141"/>
        <v>#NAME?</v>
      </c>
      <c r="CQ543" s="2">
        <v>10</v>
      </c>
      <c r="CR543" s="2">
        <v>10</v>
      </c>
      <c r="CS543" s="2">
        <v>10</v>
      </c>
      <c r="CT543" s="2">
        <v>10</v>
      </c>
      <c r="CU543" s="2">
        <v>10</v>
      </c>
      <c r="CV543" s="54">
        <f t="shared" si="145"/>
        <v>10</v>
      </c>
      <c r="CW543" s="55">
        <v>15</v>
      </c>
      <c r="CX543" s="3"/>
    </row>
    <row r="544" spans="1:102" ht="16.5" x14ac:dyDescent="0.55000000000000004">
      <c r="A544" s="17">
        <v>3</v>
      </c>
      <c r="B544" s="17" t="s">
        <v>9</v>
      </c>
      <c r="C544" s="23" t="s">
        <v>1129</v>
      </c>
      <c r="D544" s="24" t="s">
        <v>1130</v>
      </c>
      <c r="E544" s="48">
        <v>7</v>
      </c>
      <c r="F544" s="2">
        <v>7</v>
      </c>
      <c r="G544" s="2">
        <v>10</v>
      </c>
      <c r="H544" s="2">
        <v>10</v>
      </c>
      <c r="I544" s="2">
        <v>9</v>
      </c>
      <c r="J544" s="2">
        <v>9</v>
      </c>
      <c r="K544" s="2">
        <v>9</v>
      </c>
      <c r="L544" s="2">
        <v>9</v>
      </c>
      <c r="M544" s="2">
        <v>9</v>
      </c>
      <c r="N544" s="2">
        <v>9</v>
      </c>
      <c r="O544" s="2">
        <v>9</v>
      </c>
      <c r="P544" s="2">
        <v>9</v>
      </c>
      <c r="Q544" s="2" t="e">
        <f t="shared" ca="1" si="137"/>
        <v>#NAME?</v>
      </c>
      <c r="R544" s="2">
        <v>9</v>
      </c>
      <c r="S544" s="2">
        <v>9</v>
      </c>
      <c r="T544" s="2">
        <v>9</v>
      </c>
      <c r="U544" s="2">
        <v>9</v>
      </c>
      <c r="V544" s="2">
        <v>9</v>
      </c>
      <c r="W544" s="54">
        <f t="shared" si="142"/>
        <v>9</v>
      </c>
      <c r="X544" s="48">
        <v>5</v>
      </c>
      <c r="Y544" s="2">
        <v>4</v>
      </c>
      <c r="Z544" s="2" t="s">
        <v>31</v>
      </c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 t="e">
        <f t="shared" ca="1" si="138"/>
        <v>#NAME?</v>
      </c>
      <c r="AR544" s="2"/>
      <c r="AS544" s="2"/>
      <c r="AT544" s="2"/>
      <c r="AU544" s="2"/>
      <c r="AV544" s="2"/>
      <c r="AW544" s="54">
        <f t="shared" si="143"/>
        <v>0</v>
      </c>
      <c r="AX544" s="48"/>
      <c r="AY544" s="2"/>
      <c r="AZ544" s="2">
        <v>5</v>
      </c>
      <c r="BA544" s="2">
        <v>5</v>
      </c>
      <c r="BB544" s="2">
        <v>5</v>
      </c>
      <c r="BC544" s="2">
        <v>5</v>
      </c>
      <c r="BD544" s="5">
        <v>10</v>
      </c>
      <c r="BE544" s="2">
        <v>5</v>
      </c>
      <c r="BF544" s="2">
        <v>5</v>
      </c>
      <c r="BG544" s="2">
        <v>5</v>
      </c>
      <c r="BH544" s="2">
        <v>5</v>
      </c>
      <c r="BI544" s="2">
        <v>5</v>
      </c>
      <c r="BJ544" s="2" t="e">
        <f t="shared" ca="1" si="139"/>
        <v>#NAME?</v>
      </c>
      <c r="BK544" s="2">
        <v>5</v>
      </c>
      <c r="BL544" s="2">
        <v>5</v>
      </c>
      <c r="BM544" s="2">
        <v>5</v>
      </c>
      <c r="BN544" s="2">
        <v>5</v>
      </c>
      <c r="BO544" s="2">
        <v>5</v>
      </c>
      <c r="BP544" s="54">
        <f t="shared" si="144"/>
        <v>5</v>
      </c>
      <c r="BQ544" s="5"/>
      <c r="BR544" s="5"/>
      <c r="BS544" s="104">
        <v>0</v>
      </c>
      <c r="BT544" s="104">
        <v>0</v>
      </c>
      <c r="BU544" s="104">
        <v>0</v>
      </c>
      <c r="BV544" s="104">
        <v>0</v>
      </c>
      <c r="BW544" s="104">
        <v>0</v>
      </c>
      <c r="BX544" s="104">
        <v>0</v>
      </c>
      <c r="BY544" s="104">
        <v>0</v>
      </c>
      <c r="BZ544" s="104">
        <v>0</v>
      </c>
      <c r="CA544" s="104">
        <v>0</v>
      </c>
      <c r="CB544" s="104">
        <v>0</v>
      </c>
      <c r="CC544" s="2" t="e">
        <f t="shared" ca="1" si="140"/>
        <v>#NAME?</v>
      </c>
      <c r="CD544" s="55"/>
      <c r="CE544" s="2"/>
      <c r="CF544" s="2">
        <v>4</v>
      </c>
      <c r="CG544" s="2">
        <v>4</v>
      </c>
      <c r="CH544" s="2">
        <v>4</v>
      </c>
      <c r="CI544" s="2">
        <v>4</v>
      </c>
      <c r="CJ544" s="2">
        <v>4</v>
      </c>
      <c r="CK544" s="2">
        <v>4</v>
      </c>
      <c r="CL544" s="2">
        <v>4</v>
      </c>
      <c r="CM544" s="2">
        <v>4</v>
      </c>
      <c r="CN544" s="2">
        <v>4</v>
      </c>
      <c r="CO544" s="2">
        <v>4</v>
      </c>
      <c r="CP544" s="2" t="e">
        <f t="shared" ca="1" si="141"/>
        <v>#NAME?</v>
      </c>
      <c r="CQ544" s="2">
        <v>4</v>
      </c>
      <c r="CR544" s="2">
        <v>4</v>
      </c>
      <c r="CS544" s="2">
        <v>4</v>
      </c>
      <c r="CT544" s="2">
        <v>4</v>
      </c>
      <c r="CU544" s="2">
        <v>4</v>
      </c>
      <c r="CV544" s="54">
        <f t="shared" si="145"/>
        <v>4</v>
      </c>
      <c r="CW544" s="55" t="s">
        <v>31</v>
      </c>
      <c r="CX544" s="3"/>
    </row>
    <row r="545" spans="1:102" ht="16.5" x14ac:dyDescent="0.55000000000000004">
      <c r="A545" s="17">
        <v>3</v>
      </c>
      <c r="B545" s="17" t="s">
        <v>9</v>
      </c>
      <c r="C545" s="23" t="s">
        <v>1131</v>
      </c>
      <c r="D545" s="24" t="s">
        <v>1132</v>
      </c>
      <c r="E545" s="48">
        <v>8</v>
      </c>
      <c r="F545" s="2">
        <v>9</v>
      </c>
      <c r="G545" s="2">
        <v>10</v>
      </c>
      <c r="H545" s="2">
        <v>10</v>
      </c>
      <c r="I545" s="2">
        <v>10</v>
      </c>
      <c r="J545" s="2">
        <v>10</v>
      </c>
      <c r="K545" s="2">
        <v>10</v>
      </c>
      <c r="L545" s="2">
        <v>10</v>
      </c>
      <c r="M545" s="2">
        <v>10</v>
      </c>
      <c r="N545" s="2">
        <v>10</v>
      </c>
      <c r="O545" s="2">
        <v>10</v>
      </c>
      <c r="P545" s="2">
        <v>10</v>
      </c>
      <c r="Q545" s="2" t="e">
        <f t="shared" ca="1" si="137"/>
        <v>#NAME?</v>
      </c>
      <c r="R545" s="2">
        <v>10</v>
      </c>
      <c r="S545" s="2">
        <v>10</v>
      </c>
      <c r="T545" s="2">
        <v>10</v>
      </c>
      <c r="U545" s="2">
        <v>10</v>
      </c>
      <c r="V545" s="2">
        <v>10</v>
      </c>
      <c r="W545" s="54">
        <f t="shared" si="142"/>
        <v>10</v>
      </c>
      <c r="X545" s="48">
        <v>6</v>
      </c>
      <c r="Y545" s="2">
        <v>3</v>
      </c>
      <c r="Z545" s="2">
        <v>14</v>
      </c>
      <c r="AA545" s="2">
        <v>10</v>
      </c>
      <c r="AB545" s="2">
        <v>10</v>
      </c>
      <c r="AC545" s="2">
        <v>10</v>
      </c>
      <c r="AD545" s="2">
        <v>10</v>
      </c>
      <c r="AE545" s="2">
        <v>8</v>
      </c>
      <c r="AF545" s="2">
        <v>9</v>
      </c>
      <c r="AG545" s="2">
        <v>10</v>
      </c>
      <c r="AH545" s="2">
        <v>9</v>
      </c>
      <c r="AI545" s="2">
        <v>9</v>
      </c>
      <c r="AJ545" s="2">
        <v>8</v>
      </c>
      <c r="AK545" s="2">
        <v>9</v>
      </c>
      <c r="AL545" s="2">
        <v>10</v>
      </c>
      <c r="AM545" s="2">
        <v>10</v>
      </c>
      <c r="AN545" s="2">
        <v>10</v>
      </c>
      <c r="AO545" s="2">
        <v>10</v>
      </c>
      <c r="AP545" s="2">
        <v>10</v>
      </c>
      <c r="AQ545" s="2" t="e">
        <f t="shared" ca="1" si="138"/>
        <v>#NAME?</v>
      </c>
      <c r="AR545" s="2">
        <v>10</v>
      </c>
      <c r="AS545" s="2">
        <v>10</v>
      </c>
      <c r="AT545" s="2">
        <v>8</v>
      </c>
      <c r="AU545" s="2">
        <v>10</v>
      </c>
      <c r="AV545" s="2">
        <v>10</v>
      </c>
      <c r="AW545" s="54">
        <f t="shared" si="143"/>
        <v>10</v>
      </c>
      <c r="AX545" s="48"/>
      <c r="AY545" s="2"/>
      <c r="AZ545" s="2">
        <v>10</v>
      </c>
      <c r="BA545" s="2">
        <v>10</v>
      </c>
      <c r="BB545" s="2">
        <v>5</v>
      </c>
      <c r="BC545" s="2">
        <v>5</v>
      </c>
      <c r="BD545" s="2">
        <v>5</v>
      </c>
      <c r="BE545" s="2">
        <v>5</v>
      </c>
      <c r="BF545" s="2">
        <v>5</v>
      </c>
      <c r="BG545" s="2">
        <v>5</v>
      </c>
      <c r="BH545" s="2">
        <v>5</v>
      </c>
      <c r="BI545" s="2">
        <v>5</v>
      </c>
      <c r="BJ545" s="2" t="e">
        <f t="shared" ca="1" si="139"/>
        <v>#NAME?</v>
      </c>
      <c r="BK545" s="2">
        <v>10</v>
      </c>
      <c r="BL545" s="2">
        <v>10</v>
      </c>
      <c r="BM545" s="2">
        <v>10</v>
      </c>
      <c r="BN545" s="2">
        <v>10</v>
      </c>
      <c r="BO545" s="2">
        <v>10</v>
      </c>
      <c r="BP545" s="54">
        <f t="shared" si="144"/>
        <v>10</v>
      </c>
      <c r="BQ545" s="5"/>
      <c r="BR545" s="5"/>
      <c r="BS545" s="104">
        <v>10</v>
      </c>
      <c r="BT545" s="104">
        <v>10</v>
      </c>
      <c r="BU545" s="104">
        <v>10</v>
      </c>
      <c r="BV545" s="104">
        <v>10</v>
      </c>
      <c r="BW545" s="104">
        <v>10</v>
      </c>
      <c r="BX545" s="104">
        <v>10</v>
      </c>
      <c r="BY545" s="104">
        <v>10</v>
      </c>
      <c r="BZ545" s="104">
        <v>10</v>
      </c>
      <c r="CA545" s="104">
        <v>10</v>
      </c>
      <c r="CB545" s="104">
        <v>10</v>
      </c>
      <c r="CC545" s="2" t="e">
        <f t="shared" ca="1" si="140"/>
        <v>#NAME?</v>
      </c>
      <c r="CD545" s="55"/>
      <c r="CE545" s="2"/>
      <c r="CF545" s="8">
        <v>10</v>
      </c>
      <c r="CG545" s="8">
        <v>10</v>
      </c>
      <c r="CH545" s="8">
        <v>10</v>
      </c>
      <c r="CI545" s="8">
        <v>10</v>
      </c>
      <c r="CJ545" s="8">
        <v>10</v>
      </c>
      <c r="CK545" s="8">
        <v>10</v>
      </c>
      <c r="CL545" s="8">
        <v>10</v>
      </c>
      <c r="CM545" s="8">
        <v>10</v>
      </c>
      <c r="CN545" s="8">
        <v>10</v>
      </c>
      <c r="CO545" s="8">
        <v>10</v>
      </c>
      <c r="CP545" s="2" t="e">
        <f t="shared" ca="1" si="141"/>
        <v>#NAME?</v>
      </c>
      <c r="CQ545" s="2">
        <v>10</v>
      </c>
      <c r="CR545" s="2">
        <v>10</v>
      </c>
      <c r="CS545" s="2">
        <v>10</v>
      </c>
      <c r="CT545" s="2">
        <v>10</v>
      </c>
      <c r="CU545" s="2">
        <v>10</v>
      </c>
      <c r="CV545" s="54">
        <f t="shared" si="145"/>
        <v>10</v>
      </c>
      <c r="CW545" s="55">
        <v>14</v>
      </c>
      <c r="CX545" s="3"/>
    </row>
    <row r="546" spans="1:102" ht="16.5" x14ac:dyDescent="0.55000000000000004">
      <c r="A546" s="17">
        <v>4</v>
      </c>
      <c r="B546" s="17" t="s">
        <v>9</v>
      </c>
      <c r="C546" s="23" t="s">
        <v>1133</v>
      </c>
      <c r="D546" s="24" t="s">
        <v>1134</v>
      </c>
      <c r="E546" s="48">
        <v>8</v>
      </c>
      <c r="F546" s="2">
        <v>8</v>
      </c>
      <c r="G546" s="105">
        <v>10</v>
      </c>
      <c r="H546" s="105">
        <v>10</v>
      </c>
      <c r="I546" s="105">
        <v>10</v>
      </c>
      <c r="J546" s="105">
        <v>10</v>
      </c>
      <c r="K546" s="105">
        <v>10</v>
      </c>
      <c r="L546" s="105">
        <v>10</v>
      </c>
      <c r="M546" s="105">
        <v>10</v>
      </c>
      <c r="N546" s="105">
        <v>10</v>
      </c>
      <c r="O546" s="105">
        <v>10</v>
      </c>
      <c r="P546" s="105">
        <v>10</v>
      </c>
      <c r="Q546" s="2" t="e">
        <f t="shared" ca="1" si="137"/>
        <v>#NAME?</v>
      </c>
      <c r="R546" s="2">
        <v>10</v>
      </c>
      <c r="S546" s="2">
        <v>10</v>
      </c>
      <c r="T546" s="2">
        <v>10</v>
      </c>
      <c r="U546" s="2">
        <v>9</v>
      </c>
      <c r="V546" s="2">
        <v>9</v>
      </c>
      <c r="W546" s="54">
        <f t="shared" si="142"/>
        <v>10</v>
      </c>
      <c r="X546" s="48">
        <v>6</v>
      </c>
      <c r="Y546" s="2">
        <v>6</v>
      </c>
      <c r="Z546" s="2">
        <v>9</v>
      </c>
      <c r="AA546" s="2">
        <v>10</v>
      </c>
      <c r="AB546" s="2">
        <v>9</v>
      </c>
      <c r="AC546" s="2">
        <v>10</v>
      </c>
      <c r="AD546" s="2">
        <v>9</v>
      </c>
      <c r="AE546" s="2">
        <v>10</v>
      </c>
      <c r="AF546" s="2">
        <v>8</v>
      </c>
      <c r="AG546" s="2">
        <v>9</v>
      </c>
      <c r="AH546" s="2">
        <v>9</v>
      </c>
      <c r="AI546" s="2">
        <v>8</v>
      </c>
      <c r="AJ546" s="2">
        <v>8</v>
      </c>
      <c r="AK546" s="2">
        <v>8</v>
      </c>
      <c r="AL546" s="2">
        <v>8</v>
      </c>
      <c r="AM546" s="2">
        <v>8</v>
      </c>
      <c r="AN546" s="2">
        <v>8</v>
      </c>
      <c r="AO546" s="2">
        <v>8</v>
      </c>
      <c r="AP546" s="2">
        <v>8</v>
      </c>
      <c r="AQ546" s="2" t="e">
        <f t="shared" ca="1" si="138"/>
        <v>#NAME?</v>
      </c>
      <c r="AR546" s="2">
        <v>10</v>
      </c>
      <c r="AS546" s="2">
        <v>9</v>
      </c>
      <c r="AT546" s="2">
        <v>9</v>
      </c>
      <c r="AU546" s="2">
        <v>9</v>
      </c>
      <c r="AV546" s="2">
        <v>9</v>
      </c>
      <c r="AW546" s="54">
        <f t="shared" si="143"/>
        <v>10</v>
      </c>
      <c r="AX546" s="48"/>
      <c r="AY546" s="2"/>
      <c r="AZ546" s="2">
        <v>10</v>
      </c>
      <c r="BA546" s="2">
        <v>10</v>
      </c>
      <c r="BB546" s="2">
        <v>7</v>
      </c>
      <c r="BC546" s="5">
        <v>10</v>
      </c>
      <c r="BD546" s="5">
        <v>10</v>
      </c>
      <c r="BE546" s="5">
        <v>10</v>
      </c>
      <c r="BF546" s="5">
        <v>10</v>
      </c>
      <c r="BG546" s="5">
        <v>10</v>
      </c>
      <c r="BH546" s="5">
        <v>10</v>
      </c>
      <c r="BI546" s="5">
        <v>10</v>
      </c>
      <c r="BJ546" s="2" t="e">
        <f t="shared" ca="1" si="139"/>
        <v>#NAME?</v>
      </c>
      <c r="BK546" s="2">
        <v>10</v>
      </c>
      <c r="BL546" s="2">
        <v>7</v>
      </c>
      <c r="BM546" s="2">
        <v>7</v>
      </c>
      <c r="BN546" s="2">
        <v>10</v>
      </c>
      <c r="BO546" s="2">
        <v>10</v>
      </c>
      <c r="BP546" s="54">
        <f t="shared" si="144"/>
        <v>9</v>
      </c>
      <c r="BQ546" s="49">
        <v>5</v>
      </c>
      <c r="BR546" s="50">
        <v>0</v>
      </c>
      <c r="BS546" s="49">
        <v>10</v>
      </c>
      <c r="BT546" s="49">
        <v>10</v>
      </c>
      <c r="BU546" s="49">
        <v>10</v>
      </c>
      <c r="BV546" s="49">
        <v>10</v>
      </c>
      <c r="BW546" s="49">
        <v>10</v>
      </c>
      <c r="BX546" s="49">
        <v>10</v>
      </c>
      <c r="BY546" s="49">
        <v>10</v>
      </c>
      <c r="BZ546" s="49">
        <v>10</v>
      </c>
      <c r="CA546" s="49">
        <v>10</v>
      </c>
      <c r="CB546" s="49">
        <v>10</v>
      </c>
      <c r="CC546" s="2" t="e">
        <f t="shared" ca="1" si="140"/>
        <v>#NAME?</v>
      </c>
      <c r="CD546" s="55"/>
      <c r="CE546" s="2"/>
      <c r="CF546" s="8">
        <v>8</v>
      </c>
      <c r="CG546" s="8">
        <v>7</v>
      </c>
      <c r="CH546" s="8">
        <v>9</v>
      </c>
      <c r="CI546" s="8">
        <v>5</v>
      </c>
      <c r="CJ546" s="8">
        <v>5</v>
      </c>
      <c r="CK546" s="8">
        <v>5</v>
      </c>
      <c r="CL546" s="8">
        <v>5</v>
      </c>
      <c r="CM546" s="8">
        <v>10</v>
      </c>
      <c r="CN546" s="8">
        <v>10</v>
      </c>
      <c r="CO546" s="8">
        <v>10</v>
      </c>
      <c r="CP546" s="2" t="e">
        <f t="shared" ca="1" si="141"/>
        <v>#NAME?</v>
      </c>
      <c r="CQ546" s="2">
        <v>10</v>
      </c>
      <c r="CR546" s="2">
        <v>10</v>
      </c>
      <c r="CS546" s="2">
        <v>10</v>
      </c>
      <c r="CT546" s="2">
        <v>10</v>
      </c>
      <c r="CU546" s="2">
        <v>10</v>
      </c>
      <c r="CV546" s="54">
        <f t="shared" si="145"/>
        <v>10</v>
      </c>
      <c r="CW546" s="55">
        <v>12</v>
      </c>
      <c r="CX546" s="3"/>
    </row>
    <row r="547" spans="1:102" ht="16.5" x14ac:dyDescent="0.55000000000000004">
      <c r="A547" s="17">
        <v>4</v>
      </c>
      <c r="B547" s="17" t="s">
        <v>9</v>
      </c>
      <c r="C547" s="23" t="s">
        <v>1135</v>
      </c>
      <c r="D547" s="24" t="s">
        <v>1136</v>
      </c>
      <c r="E547" s="48">
        <v>8</v>
      </c>
      <c r="F547" s="2">
        <v>9</v>
      </c>
      <c r="G547" s="106">
        <v>10</v>
      </c>
      <c r="H547" s="106" t="s">
        <v>1137</v>
      </c>
      <c r="I547" s="106" t="s">
        <v>1137</v>
      </c>
      <c r="J547" s="106" t="s">
        <v>1137</v>
      </c>
      <c r="K547" s="106" t="s">
        <v>1137</v>
      </c>
      <c r="L547" s="106" t="s">
        <v>1137</v>
      </c>
      <c r="M547" s="106" t="s">
        <v>1137</v>
      </c>
      <c r="N547" s="106" t="s">
        <v>1137</v>
      </c>
      <c r="O547" s="106" t="s">
        <v>1137</v>
      </c>
      <c r="P547" s="106" t="s">
        <v>1137</v>
      </c>
      <c r="Q547" s="2" t="e">
        <f t="shared" ca="1" si="137"/>
        <v>#NAME?</v>
      </c>
      <c r="R547" s="106">
        <v>10</v>
      </c>
      <c r="S547" s="106">
        <v>10</v>
      </c>
      <c r="T547" s="106">
        <v>10</v>
      </c>
      <c r="U547" s="106">
        <v>10</v>
      </c>
      <c r="V547" s="106">
        <v>10</v>
      </c>
      <c r="W547" s="54">
        <f t="shared" si="142"/>
        <v>10</v>
      </c>
      <c r="X547" s="48">
        <v>1</v>
      </c>
      <c r="Y547" s="2">
        <v>4</v>
      </c>
      <c r="Z547" s="2">
        <v>9</v>
      </c>
      <c r="AA547" s="2">
        <v>10</v>
      </c>
      <c r="AB547" s="2">
        <v>10</v>
      </c>
      <c r="AC547" s="2">
        <v>10</v>
      </c>
      <c r="AD547" s="2">
        <v>10</v>
      </c>
      <c r="AE547" s="2">
        <v>10</v>
      </c>
      <c r="AF547" s="2">
        <v>8</v>
      </c>
      <c r="AG547" s="2">
        <v>8</v>
      </c>
      <c r="AH547" s="2">
        <v>8</v>
      </c>
      <c r="AI547" s="2">
        <v>8</v>
      </c>
      <c r="AJ547" s="2">
        <v>8</v>
      </c>
      <c r="AK547" s="2">
        <v>8</v>
      </c>
      <c r="AL547" s="2">
        <v>8</v>
      </c>
      <c r="AM547" s="2">
        <v>8</v>
      </c>
      <c r="AN547" s="2">
        <v>8</v>
      </c>
      <c r="AO547" s="2">
        <v>8</v>
      </c>
      <c r="AP547" s="2">
        <v>8</v>
      </c>
      <c r="AQ547" s="2" t="e">
        <f t="shared" ca="1" si="138"/>
        <v>#NAME?</v>
      </c>
      <c r="AR547" s="2">
        <v>9</v>
      </c>
      <c r="AS547" s="2">
        <v>9</v>
      </c>
      <c r="AT547" s="2">
        <v>9</v>
      </c>
      <c r="AU547" s="2">
        <v>9</v>
      </c>
      <c r="AV547" s="2">
        <v>9</v>
      </c>
      <c r="AW547" s="54">
        <f t="shared" si="143"/>
        <v>9</v>
      </c>
      <c r="AX547" s="48"/>
      <c r="AY547" s="2"/>
      <c r="AZ547" s="2">
        <v>10</v>
      </c>
      <c r="BA547" s="2">
        <v>10</v>
      </c>
      <c r="BB547" s="2">
        <v>4</v>
      </c>
      <c r="BC547" s="2">
        <v>4</v>
      </c>
      <c r="BD547" s="2">
        <v>4</v>
      </c>
      <c r="BE547" s="2">
        <v>5</v>
      </c>
      <c r="BF547" s="2">
        <v>5</v>
      </c>
      <c r="BG547" s="2">
        <v>5</v>
      </c>
      <c r="BH547" s="2">
        <v>5</v>
      </c>
      <c r="BI547" s="2">
        <v>5</v>
      </c>
      <c r="BJ547" s="2" t="e">
        <f t="shared" ca="1" si="139"/>
        <v>#NAME?</v>
      </c>
      <c r="BK547" s="2">
        <v>10</v>
      </c>
      <c r="BL547" s="2">
        <v>4</v>
      </c>
      <c r="BM547" s="2">
        <v>4</v>
      </c>
      <c r="BN547" s="2">
        <v>5</v>
      </c>
      <c r="BO547" s="2">
        <v>5</v>
      </c>
      <c r="BP547" s="54">
        <f t="shared" si="144"/>
        <v>6</v>
      </c>
      <c r="BQ547" s="49">
        <v>5</v>
      </c>
      <c r="BR547" s="50">
        <v>0</v>
      </c>
      <c r="BS547" s="49">
        <v>10</v>
      </c>
      <c r="BT547" s="49">
        <v>10</v>
      </c>
      <c r="BU547" s="49">
        <v>10</v>
      </c>
      <c r="BV547" s="49">
        <v>10</v>
      </c>
      <c r="BW547" s="49">
        <v>10</v>
      </c>
      <c r="BX547" s="49">
        <v>10</v>
      </c>
      <c r="BY547" s="49">
        <v>10</v>
      </c>
      <c r="BZ547" s="49">
        <v>10</v>
      </c>
      <c r="CA547" s="49">
        <v>10</v>
      </c>
      <c r="CB547" s="49">
        <v>10</v>
      </c>
      <c r="CC547" s="2" t="e">
        <f t="shared" ca="1" si="140"/>
        <v>#NAME?</v>
      </c>
      <c r="CD547" s="55"/>
      <c r="CE547" s="2"/>
      <c r="CF547" s="8">
        <v>7</v>
      </c>
      <c r="CG547" s="8">
        <v>8</v>
      </c>
      <c r="CH547" s="8">
        <v>9</v>
      </c>
      <c r="CI547" s="8">
        <v>10</v>
      </c>
      <c r="CJ547" s="8">
        <v>10</v>
      </c>
      <c r="CK547" s="8">
        <v>10</v>
      </c>
      <c r="CL547" s="8">
        <v>10</v>
      </c>
      <c r="CM547" s="8">
        <v>10</v>
      </c>
      <c r="CN547" s="8">
        <v>10</v>
      </c>
      <c r="CO547" s="8">
        <v>10</v>
      </c>
      <c r="CP547" s="2" t="e">
        <f t="shared" ca="1" si="141"/>
        <v>#NAME?</v>
      </c>
      <c r="CQ547" s="2">
        <v>10</v>
      </c>
      <c r="CR547" s="2">
        <v>10</v>
      </c>
      <c r="CS547" s="2">
        <v>10</v>
      </c>
      <c r="CT547" s="2">
        <v>10</v>
      </c>
      <c r="CU547" s="2">
        <v>10</v>
      </c>
      <c r="CV547" s="54">
        <f t="shared" si="145"/>
        <v>10</v>
      </c>
      <c r="CW547" s="55">
        <v>15</v>
      </c>
      <c r="CX547" s="3"/>
    </row>
    <row r="548" spans="1:102" ht="16.5" x14ac:dyDescent="0.55000000000000004">
      <c r="A548" s="17">
        <v>4</v>
      </c>
      <c r="B548" s="17" t="s">
        <v>9</v>
      </c>
      <c r="C548" s="23" t="s">
        <v>1138</v>
      </c>
      <c r="D548" s="24" t="s">
        <v>1139</v>
      </c>
      <c r="E548" s="48">
        <v>8</v>
      </c>
      <c r="F548" s="2">
        <v>9</v>
      </c>
      <c r="G548" s="105">
        <v>10</v>
      </c>
      <c r="H548" s="105">
        <v>10</v>
      </c>
      <c r="I548" s="105">
        <v>10</v>
      </c>
      <c r="J548" s="105">
        <v>10</v>
      </c>
      <c r="K548" s="105">
        <v>10</v>
      </c>
      <c r="L548" s="105">
        <v>10</v>
      </c>
      <c r="M548" s="105">
        <v>10</v>
      </c>
      <c r="N548" s="105">
        <v>10</v>
      </c>
      <c r="O548" s="105">
        <v>10</v>
      </c>
      <c r="P548" s="105">
        <v>10</v>
      </c>
      <c r="Q548" s="2" t="e">
        <f t="shared" ca="1" si="137"/>
        <v>#NAME?</v>
      </c>
      <c r="R548" s="105">
        <v>10</v>
      </c>
      <c r="S548" s="105">
        <v>10</v>
      </c>
      <c r="T548" s="105">
        <v>10</v>
      </c>
      <c r="U548" s="105">
        <v>10</v>
      </c>
      <c r="V548" s="105">
        <v>10</v>
      </c>
      <c r="W548" s="54">
        <f t="shared" si="142"/>
        <v>10</v>
      </c>
      <c r="X548" s="48">
        <v>4</v>
      </c>
      <c r="Y548" s="2">
        <v>3</v>
      </c>
      <c r="Z548" s="2">
        <v>10</v>
      </c>
      <c r="AA548" s="2">
        <v>10</v>
      </c>
      <c r="AB548" s="2">
        <v>10</v>
      </c>
      <c r="AC548" s="2">
        <v>10</v>
      </c>
      <c r="AD548" s="2">
        <v>10</v>
      </c>
      <c r="AE548" s="2">
        <v>9</v>
      </c>
      <c r="AF548" s="2">
        <v>8</v>
      </c>
      <c r="AG548" s="2">
        <v>9</v>
      </c>
      <c r="AH548" s="2">
        <v>9</v>
      </c>
      <c r="AI548" s="2">
        <v>10</v>
      </c>
      <c r="AJ548" s="2">
        <v>8</v>
      </c>
      <c r="AK548" s="2">
        <v>8</v>
      </c>
      <c r="AL548" s="2">
        <v>8</v>
      </c>
      <c r="AM548" s="2">
        <v>8</v>
      </c>
      <c r="AN548" s="2">
        <v>8</v>
      </c>
      <c r="AO548" s="2">
        <v>8</v>
      </c>
      <c r="AP548" s="2">
        <v>8</v>
      </c>
      <c r="AQ548" s="2" t="e">
        <f t="shared" ca="1" si="138"/>
        <v>#NAME?</v>
      </c>
      <c r="AR548" s="2">
        <v>9</v>
      </c>
      <c r="AS548" s="2">
        <v>9</v>
      </c>
      <c r="AT548" s="2">
        <v>9</v>
      </c>
      <c r="AU548" s="2">
        <v>9</v>
      </c>
      <c r="AV548" s="2">
        <v>9</v>
      </c>
      <c r="AW548" s="54">
        <f t="shared" si="143"/>
        <v>9</v>
      </c>
      <c r="AX548" s="48"/>
      <c r="AY548" s="2"/>
      <c r="AZ548" s="2">
        <v>10</v>
      </c>
      <c r="BA548" s="2">
        <v>10</v>
      </c>
      <c r="BB548" s="5">
        <v>10</v>
      </c>
      <c r="BC548" s="5">
        <v>10</v>
      </c>
      <c r="BD548" s="5">
        <v>10</v>
      </c>
      <c r="BE548" s="5">
        <v>10</v>
      </c>
      <c r="BF548" s="5">
        <v>10</v>
      </c>
      <c r="BG548" s="5">
        <v>10</v>
      </c>
      <c r="BH548" s="5">
        <v>10</v>
      </c>
      <c r="BI548" s="5">
        <v>10</v>
      </c>
      <c r="BJ548" s="2" t="e">
        <f t="shared" ca="1" si="139"/>
        <v>#NAME?</v>
      </c>
      <c r="BK548" s="5">
        <v>10</v>
      </c>
      <c r="BL548" s="2">
        <v>10</v>
      </c>
      <c r="BM548" s="2">
        <v>8</v>
      </c>
      <c r="BN548" s="2">
        <v>10</v>
      </c>
      <c r="BO548" s="2">
        <v>10</v>
      </c>
      <c r="BP548" s="54">
        <f t="shared" si="144"/>
        <v>10</v>
      </c>
      <c r="BQ548" s="49">
        <v>10</v>
      </c>
      <c r="BR548" s="50">
        <v>0</v>
      </c>
      <c r="BS548" s="49">
        <v>10</v>
      </c>
      <c r="BT548" s="49">
        <v>10</v>
      </c>
      <c r="BU548" s="49">
        <v>10</v>
      </c>
      <c r="BV548" s="49">
        <v>10</v>
      </c>
      <c r="BW548" s="49">
        <v>10</v>
      </c>
      <c r="BX548" s="49">
        <v>10</v>
      </c>
      <c r="BY548" s="49">
        <v>10</v>
      </c>
      <c r="BZ548" s="49">
        <v>10</v>
      </c>
      <c r="CA548" s="49">
        <v>10</v>
      </c>
      <c r="CB548" s="49">
        <v>10</v>
      </c>
      <c r="CC548" s="2" t="e">
        <f t="shared" ca="1" si="140"/>
        <v>#NAME?</v>
      </c>
      <c r="CD548" s="55"/>
      <c r="CE548" s="2"/>
      <c r="CF548" s="2">
        <v>8</v>
      </c>
      <c r="CG548" s="2">
        <v>7</v>
      </c>
      <c r="CH548" s="2">
        <v>9</v>
      </c>
      <c r="CI548" s="2">
        <v>7</v>
      </c>
      <c r="CJ548" s="2">
        <v>8</v>
      </c>
      <c r="CK548" s="2">
        <v>7</v>
      </c>
      <c r="CL548" s="2">
        <v>7</v>
      </c>
      <c r="CM548" s="2">
        <v>8</v>
      </c>
      <c r="CN548" s="2">
        <v>7</v>
      </c>
      <c r="CO548" s="2">
        <v>10</v>
      </c>
      <c r="CP548" s="2" t="e">
        <f t="shared" ca="1" si="141"/>
        <v>#NAME?</v>
      </c>
      <c r="CQ548" s="2">
        <v>10</v>
      </c>
      <c r="CR548" s="2">
        <v>10</v>
      </c>
      <c r="CS548" s="2">
        <v>7</v>
      </c>
      <c r="CT548" s="2">
        <v>7</v>
      </c>
      <c r="CU548" s="2">
        <v>7</v>
      </c>
      <c r="CV548" s="54">
        <f t="shared" si="145"/>
        <v>9</v>
      </c>
      <c r="CW548" s="55">
        <v>12</v>
      </c>
      <c r="CX548" s="3"/>
    </row>
    <row r="549" spans="1:102" ht="16.5" x14ac:dyDescent="0.55000000000000004">
      <c r="A549" s="17">
        <v>4</v>
      </c>
      <c r="B549" s="17" t="s">
        <v>9</v>
      </c>
      <c r="C549" s="23" t="s">
        <v>1140</v>
      </c>
      <c r="D549" s="24" t="s">
        <v>1141</v>
      </c>
      <c r="E549" s="48">
        <v>8</v>
      </c>
      <c r="F549" s="2">
        <v>9</v>
      </c>
      <c r="G549" s="106">
        <v>10</v>
      </c>
      <c r="H549" s="106">
        <v>10</v>
      </c>
      <c r="I549" s="106">
        <v>10</v>
      </c>
      <c r="J549" s="106">
        <v>10</v>
      </c>
      <c r="K549" s="106">
        <v>10</v>
      </c>
      <c r="L549" s="106">
        <v>10</v>
      </c>
      <c r="M549" s="106">
        <v>10</v>
      </c>
      <c r="N549" s="106">
        <v>10</v>
      </c>
      <c r="O549" s="106">
        <v>10</v>
      </c>
      <c r="P549" s="106">
        <v>10</v>
      </c>
      <c r="Q549" s="2" t="e">
        <f t="shared" ca="1" si="137"/>
        <v>#NAME?</v>
      </c>
      <c r="R549" s="106">
        <v>10</v>
      </c>
      <c r="S549" s="106">
        <v>10</v>
      </c>
      <c r="T549" s="106">
        <v>10</v>
      </c>
      <c r="U549" s="106">
        <v>10</v>
      </c>
      <c r="V549" s="106">
        <v>10</v>
      </c>
      <c r="W549" s="54">
        <f t="shared" si="142"/>
        <v>10</v>
      </c>
      <c r="X549" s="48">
        <v>3</v>
      </c>
      <c r="Y549" s="2">
        <v>5</v>
      </c>
      <c r="Z549" s="2">
        <v>13</v>
      </c>
      <c r="AA549" s="2">
        <v>10</v>
      </c>
      <c r="AB549" s="2">
        <v>10</v>
      </c>
      <c r="AC549" s="2">
        <v>10</v>
      </c>
      <c r="AD549" s="2">
        <v>10</v>
      </c>
      <c r="AE549" s="2">
        <v>8</v>
      </c>
      <c r="AF549" s="2">
        <v>9</v>
      </c>
      <c r="AG549" s="2">
        <v>9</v>
      </c>
      <c r="AH549" s="2">
        <v>9</v>
      </c>
      <c r="AI549" s="2">
        <v>9</v>
      </c>
      <c r="AJ549" s="2">
        <v>9</v>
      </c>
      <c r="AK549" s="2">
        <v>9</v>
      </c>
      <c r="AL549" s="2">
        <v>10</v>
      </c>
      <c r="AM549" s="2">
        <v>8</v>
      </c>
      <c r="AN549" s="2">
        <v>8</v>
      </c>
      <c r="AO549" s="2">
        <v>8</v>
      </c>
      <c r="AP549" s="2">
        <v>8</v>
      </c>
      <c r="AQ549" s="2" t="e">
        <f t="shared" ca="1" si="138"/>
        <v>#NAME?</v>
      </c>
      <c r="AR549" s="2">
        <v>8</v>
      </c>
      <c r="AS549" s="2">
        <v>10</v>
      </c>
      <c r="AT549" s="2">
        <v>9</v>
      </c>
      <c r="AU549" s="2">
        <v>8</v>
      </c>
      <c r="AV549" s="2">
        <v>9</v>
      </c>
      <c r="AW549" s="54">
        <f t="shared" si="143"/>
        <v>9</v>
      </c>
      <c r="AX549" s="48"/>
      <c r="AY549" s="2"/>
      <c r="AZ549" s="2">
        <v>10</v>
      </c>
      <c r="BA549" s="2">
        <v>10</v>
      </c>
      <c r="BB549" s="2">
        <v>10</v>
      </c>
      <c r="BC549" s="2">
        <v>10</v>
      </c>
      <c r="BD549" s="2">
        <v>10</v>
      </c>
      <c r="BE549" s="2">
        <v>10</v>
      </c>
      <c r="BF549" s="2">
        <v>10</v>
      </c>
      <c r="BG549" s="2">
        <v>10</v>
      </c>
      <c r="BH549" s="2">
        <v>10</v>
      </c>
      <c r="BI549" s="2">
        <v>10</v>
      </c>
      <c r="BJ549" s="2" t="e">
        <f t="shared" ca="1" si="139"/>
        <v>#NAME?</v>
      </c>
      <c r="BK549" s="5">
        <v>10</v>
      </c>
      <c r="BL549" s="5">
        <v>10</v>
      </c>
      <c r="BM549" s="5">
        <v>10</v>
      </c>
      <c r="BN549" s="5">
        <v>10</v>
      </c>
      <c r="BO549" s="5">
        <v>10</v>
      </c>
      <c r="BP549" s="54">
        <f t="shared" si="144"/>
        <v>10</v>
      </c>
      <c r="BQ549" s="49">
        <v>7</v>
      </c>
      <c r="BR549" s="50">
        <v>0</v>
      </c>
      <c r="BS549" s="49">
        <v>10</v>
      </c>
      <c r="BT549" s="49">
        <v>10</v>
      </c>
      <c r="BU549" s="49">
        <v>10</v>
      </c>
      <c r="BV549" s="49">
        <v>10</v>
      </c>
      <c r="BW549" s="49">
        <v>10</v>
      </c>
      <c r="BX549" s="49">
        <v>10</v>
      </c>
      <c r="BY549" s="49">
        <v>10</v>
      </c>
      <c r="BZ549" s="49">
        <v>10</v>
      </c>
      <c r="CA549" s="49">
        <v>10</v>
      </c>
      <c r="CB549" s="49">
        <v>10</v>
      </c>
      <c r="CC549" s="2" t="e">
        <f t="shared" ca="1" si="140"/>
        <v>#NAME?</v>
      </c>
      <c r="CD549" s="55"/>
      <c r="CE549" s="2"/>
      <c r="CF549" s="8">
        <v>10</v>
      </c>
      <c r="CG549" s="8">
        <v>10</v>
      </c>
      <c r="CH549" s="8">
        <v>10</v>
      </c>
      <c r="CI549" s="8">
        <v>10</v>
      </c>
      <c r="CJ549" s="8">
        <v>10</v>
      </c>
      <c r="CK549" s="8">
        <v>10</v>
      </c>
      <c r="CL549" s="8">
        <v>10</v>
      </c>
      <c r="CM549" s="8">
        <v>10</v>
      </c>
      <c r="CN549" s="8">
        <v>10</v>
      </c>
      <c r="CO549" s="8">
        <v>10</v>
      </c>
      <c r="CP549" s="2" t="e">
        <f t="shared" ca="1" si="141"/>
        <v>#NAME?</v>
      </c>
      <c r="CQ549" s="2">
        <v>10</v>
      </c>
      <c r="CR549" s="2">
        <v>10</v>
      </c>
      <c r="CS549" s="2">
        <v>10</v>
      </c>
      <c r="CT549" s="2">
        <v>10</v>
      </c>
      <c r="CU549" s="2">
        <v>10</v>
      </c>
      <c r="CV549" s="54">
        <f t="shared" si="145"/>
        <v>10</v>
      </c>
      <c r="CW549" s="55">
        <v>11</v>
      </c>
      <c r="CX549" s="3"/>
    </row>
    <row r="550" spans="1:102" ht="16.5" x14ac:dyDescent="0.55000000000000004">
      <c r="A550" s="17">
        <v>4</v>
      </c>
      <c r="B550" s="17" t="s">
        <v>9</v>
      </c>
      <c r="C550" s="23" t="s">
        <v>1142</v>
      </c>
      <c r="D550" s="24" t="s">
        <v>1143</v>
      </c>
      <c r="E550" s="48">
        <v>8</v>
      </c>
      <c r="F550" s="2">
        <v>9</v>
      </c>
      <c r="G550" s="105">
        <v>10</v>
      </c>
      <c r="H550" s="105">
        <v>10</v>
      </c>
      <c r="I550" s="105">
        <v>10</v>
      </c>
      <c r="J550" s="105">
        <v>10</v>
      </c>
      <c r="K550" s="105">
        <v>10</v>
      </c>
      <c r="L550" s="105">
        <v>10</v>
      </c>
      <c r="M550" s="105">
        <v>10</v>
      </c>
      <c r="N550" s="105">
        <v>10</v>
      </c>
      <c r="O550" s="105">
        <v>10</v>
      </c>
      <c r="P550" s="105">
        <v>10</v>
      </c>
      <c r="Q550" s="2" t="e">
        <f t="shared" ca="1" si="137"/>
        <v>#NAME?</v>
      </c>
      <c r="R550" s="105">
        <v>10</v>
      </c>
      <c r="S550" s="105">
        <v>10</v>
      </c>
      <c r="T550" s="105">
        <v>10</v>
      </c>
      <c r="U550" s="105">
        <v>10</v>
      </c>
      <c r="V550" s="105">
        <v>10</v>
      </c>
      <c r="W550" s="54">
        <f t="shared" si="142"/>
        <v>10</v>
      </c>
      <c r="X550" s="48" t="s">
        <v>31</v>
      </c>
      <c r="Y550" s="2">
        <v>6</v>
      </c>
      <c r="Z550" s="2">
        <v>16</v>
      </c>
      <c r="AA550" s="2">
        <v>9</v>
      </c>
      <c r="AB550" s="2">
        <v>10</v>
      </c>
      <c r="AC550" s="2">
        <v>10</v>
      </c>
      <c r="AD550" s="2">
        <v>9</v>
      </c>
      <c r="AE550" s="2">
        <v>10</v>
      </c>
      <c r="AF550" s="2">
        <v>8</v>
      </c>
      <c r="AG550" s="2">
        <v>8</v>
      </c>
      <c r="AH550" s="2">
        <v>8</v>
      </c>
      <c r="AI550" s="2">
        <v>8</v>
      </c>
      <c r="AJ550" s="2">
        <v>8</v>
      </c>
      <c r="AK550" s="2">
        <v>8</v>
      </c>
      <c r="AL550" s="2">
        <v>8</v>
      </c>
      <c r="AM550" s="2">
        <v>8</v>
      </c>
      <c r="AN550" s="2">
        <v>8</v>
      </c>
      <c r="AO550" s="2">
        <v>8</v>
      </c>
      <c r="AP550" s="2">
        <v>8</v>
      </c>
      <c r="AQ550" s="2" t="e">
        <f t="shared" ca="1" si="138"/>
        <v>#NAME?</v>
      </c>
      <c r="AR550" s="2">
        <v>10</v>
      </c>
      <c r="AS550" s="2">
        <v>9</v>
      </c>
      <c r="AT550" s="2">
        <v>7</v>
      </c>
      <c r="AU550" s="2">
        <v>10</v>
      </c>
      <c r="AV550" s="2">
        <v>9</v>
      </c>
      <c r="AW550" s="54">
        <f t="shared" si="143"/>
        <v>9</v>
      </c>
      <c r="AX550" s="48"/>
      <c r="AY550" s="2"/>
      <c r="AZ550" s="2">
        <v>10</v>
      </c>
      <c r="BA550" s="2">
        <v>10</v>
      </c>
      <c r="BB550" s="2">
        <v>6</v>
      </c>
      <c r="BC550" s="2">
        <v>5</v>
      </c>
      <c r="BD550" s="2">
        <v>5</v>
      </c>
      <c r="BE550" s="2">
        <v>5</v>
      </c>
      <c r="BF550" s="2">
        <v>5</v>
      </c>
      <c r="BG550" s="2">
        <v>5</v>
      </c>
      <c r="BH550" s="2">
        <v>5</v>
      </c>
      <c r="BI550" s="2">
        <v>5</v>
      </c>
      <c r="BJ550" s="2" t="e">
        <f t="shared" ca="1" si="139"/>
        <v>#NAME?</v>
      </c>
      <c r="BK550" s="2">
        <v>6</v>
      </c>
      <c r="BL550" s="2">
        <v>5</v>
      </c>
      <c r="BM550" s="2">
        <v>5</v>
      </c>
      <c r="BN550" s="2">
        <v>5</v>
      </c>
      <c r="BO550" s="2">
        <v>5</v>
      </c>
      <c r="BP550" s="54">
        <f t="shared" si="144"/>
        <v>6</v>
      </c>
      <c r="BQ550" s="49">
        <v>16</v>
      </c>
      <c r="BR550" s="50">
        <v>0</v>
      </c>
      <c r="BS550" s="49">
        <v>10</v>
      </c>
      <c r="BT550" s="49">
        <v>10</v>
      </c>
      <c r="BU550" s="49">
        <v>10</v>
      </c>
      <c r="BV550" s="49">
        <v>10</v>
      </c>
      <c r="BW550" s="49">
        <v>10</v>
      </c>
      <c r="BX550" s="49">
        <v>10</v>
      </c>
      <c r="BY550" s="49">
        <v>10</v>
      </c>
      <c r="BZ550" s="49">
        <v>10</v>
      </c>
      <c r="CA550" s="49">
        <v>10</v>
      </c>
      <c r="CB550" s="49">
        <v>10</v>
      </c>
      <c r="CC550" s="2" t="e">
        <f t="shared" ca="1" si="140"/>
        <v>#NAME?</v>
      </c>
      <c r="CD550" s="55"/>
      <c r="CE550" s="2"/>
      <c r="CF550" s="2">
        <v>10</v>
      </c>
      <c r="CG550" s="2">
        <v>10</v>
      </c>
      <c r="CH550" s="2">
        <v>10</v>
      </c>
      <c r="CI550" s="2">
        <v>10</v>
      </c>
      <c r="CJ550" s="2">
        <v>10</v>
      </c>
      <c r="CK550" s="2">
        <v>10</v>
      </c>
      <c r="CL550" s="2">
        <v>10</v>
      </c>
      <c r="CM550" s="2">
        <v>10</v>
      </c>
      <c r="CN550" s="2">
        <v>10</v>
      </c>
      <c r="CO550" s="2">
        <v>10</v>
      </c>
      <c r="CP550" s="2" t="e">
        <f t="shared" ca="1" si="141"/>
        <v>#NAME?</v>
      </c>
      <c r="CQ550" s="2">
        <v>10</v>
      </c>
      <c r="CR550" s="2">
        <v>10</v>
      </c>
      <c r="CS550" s="2">
        <v>10</v>
      </c>
      <c r="CT550" s="2">
        <v>10</v>
      </c>
      <c r="CU550" s="2">
        <v>10</v>
      </c>
      <c r="CV550" s="54">
        <f t="shared" si="145"/>
        <v>10</v>
      </c>
      <c r="CW550" s="55">
        <v>16</v>
      </c>
      <c r="CX550" s="3"/>
    </row>
    <row r="551" spans="1:102" ht="16.5" x14ac:dyDescent="0.55000000000000004">
      <c r="A551" s="17">
        <v>4</v>
      </c>
      <c r="B551" s="17" t="s">
        <v>9</v>
      </c>
      <c r="C551" s="23" t="s">
        <v>1144</v>
      </c>
      <c r="D551" s="24" t="s">
        <v>1145</v>
      </c>
      <c r="E551" s="48">
        <v>9</v>
      </c>
      <c r="F551" s="2">
        <v>9</v>
      </c>
      <c r="G551" s="106">
        <v>10</v>
      </c>
      <c r="H551" s="106">
        <v>10</v>
      </c>
      <c r="I551" s="106">
        <v>10</v>
      </c>
      <c r="J551" s="106">
        <v>10</v>
      </c>
      <c r="K551" s="106">
        <v>10</v>
      </c>
      <c r="L551" s="106">
        <v>10</v>
      </c>
      <c r="M551" s="106">
        <v>10</v>
      </c>
      <c r="N551" s="106">
        <v>10</v>
      </c>
      <c r="O551" s="106">
        <v>10</v>
      </c>
      <c r="P551" s="106">
        <v>10</v>
      </c>
      <c r="Q551" s="2" t="e">
        <f t="shared" ca="1" si="137"/>
        <v>#NAME?</v>
      </c>
      <c r="R551" s="106">
        <v>10</v>
      </c>
      <c r="S551" s="106">
        <v>10</v>
      </c>
      <c r="T551" s="106">
        <v>10</v>
      </c>
      <c r="U551" s="106">
        <v>10</v>
      </c>
      <c r="V551" s="106">
        <v>10</v>
      </c>
      <c r="W551" s="54">
        <f t="shared" si="142"/>
        <v>10</v>
      </c>
      <c r="X551" s="48">
        <v>7</v>
      </c>
      <c r="Y551" s="2" t="s">
        <v>31</v>
      </c>
      <c r="Z551" s="2">
        <v>14</v>
      </c>
      <c r="AA551" s="2">
        <v>10</v>
      </c>
      <c r="AB551" s="2">
        <v>10</v>
      </c>
      <c r="AC551" s="2">
        <v>10</v>
      </c>
      <c r="AD551" s="2">
        <v>10</v>
      </c>
      <c r="AE551" s="2">
        <v>9</v>
      </c>
      <c r="AF551" s="2">
        <v>10</v>
      </c>
      <c r="AG551" s="2">
        <v>10</v>
      </c>
      <c r="AH551" s="2">
        <v>10</v>
      </c>
      <c r="AI551" s="2">
        <v>10</v>
      </c>
      <c r="AJ551" s="2">
        <v>10</v>
      </c>
      <c r="AK551" s="2">
        <v>10</v>
      </c>
      <c r="AL551" s="2">
        <v>10</v>
      </c>
      <c r="AM551" s="2">
        <v>10</v>
      </c>
      <c r="AN551" s="2">
        <v>10</v>
      </c>
      <c r="AO551" s="2">
        <v>10</v>
      </c>
      <c r="AP551" s="2">
        <v>10</v>
      </c>
      <c r="AQ551" s="2" t="e">
        <f t="shared" ca="1" si="138"/>
        <v>#NAME?</v>
      </c>
      <c r="AR551" s="2">
        <v>9</v>
      </c>
      <c r="AS551" s="2">
        <v>10</v>
      </c>
      <c r="AT551" s="2">
        <v>9</v>
      </c>
      <c r="AU551" s="2">
        <v>10</v>
      </c>
      <c r="AV551" s="2">
        <v>10</v>
      </c>
      <c r="AW551" s="54">
        <f t="shared" si="143"/>
        <v>10</v>
      </c>
      <c r="AX551" s="48"/>
      <c r="AY551" s="2"/>
      <c r="AZ551" s="2">
        <v>10</v>
      </c>
      <c r="BA551" s="2">
        <v>10</v>
      </c>
      <c r="BB551" s="2">
        <v>10</v>
      </c>
      <c r="BC551" s="2">
        <v>10</v>
      </c>
      <c r="BD551" s="2">
        <v>10</v>
      </c>
      <c r="BE551" s="2">
        <v>10</v>
      </c>
      <c r="BF551" s="2">
        <v>10</v>
      </c>
      <c r="BG551" s="2">
        <v>10</v>
      </c>
      <c r="BH551" s="2">
        <v>10</v>
      </c>
      <c r="BI551" s="2">
        <v>10</v>
      </c>
      <c r="BJ551" s="2" t="e">
        <f t="shared" ca="1" si="139"/>
        <v>#NAME?</v>
      </c>
      <c r="BK551" s="2">
        <v>10</v>
      </c>
      <c r="BL551" s="2">
        <v>10</v>
      </c>
      <c r="BM551" s="2">
        <v>8</v>
      </c>
      <c r="BN551" s="2">
        <v>10</v>
      </c>
      <c r="BO551" s="2">
        <v>10</v>
      </c>
      <c r="BP551" s="54">
        <f t="shared" si="144"/>
        <v>10</v>
      </c>
      <c r="BQ551" s="49">
        <v>0</v>
      </c>
      <c r="BR551" s="50">
        <v>0</v>
      </c>
      <c r="BS551" s="49">
        <v>10</v>
      </c>
      <c r="BT551" s="49">
        <v>10</v>
      </c>
      <c r="BU551" s="49">
        <v>10</v>
      </c>
      <c r="BV551" s="49">
        <v>10</v>
      </c>
      <c r="BW551" s="49">
        <v>10</v>
      </c>
      <c r="BX551" s="49">
        <v>10</v>
      </c>
      <c r="BY551" s="49">
        <v>10</v>
      </c>
      <c r="BZ551" s="49">
        <v>10</v>
      </c>
      <c r="CA551" s="49">
        <v>10</v>
      </c>
      <c r="CB551" s="49">
        <v>10</v>
      </c>
      <c r="CC551" s="2" t="e">
        <f t="shared" ca="1" si="140"/>
        <v>#NAME?</v>
      </c>
      <c r="CD551" s="55"/>
      <c r="CE551" s="2"/>
      <c r="CF551" s="8">
        <v>10</v>
      </c>
      <c r="CG551" s="8">
        <v>10</v>
      </c>
      <c r="CH551" s="8">
        <v>10</v>
      </c>
      <c r="CI551" s="8">
        <v>10</v>
      </c>
      <c r="CJ551" s="8">
        <v>10</v>
      </c>
      <c r="CK551" s="8">
        <v>10</v>
      </c>
      <c r="CL551" s="8">
        <v>10</v>
      </c>
      <c r="CM551" s="8">
        <v>10</v>
      </c>
      <c r="CN551" s="8">
        <v>10</v>
      </c>
      <c r="CO551" s="8">
        <v>10</v>
      </c>
      <c r="CP551" s="2" t="e">
        <f t="shared" ca="1" si="141"/>
        <v>#NAME?</v>
      </c>
      <c r="CQ551" s="2">
        <v>10</v>
      </c>
      <c r="CR551" s="2">
        <v>10</v>
      </c>
      <c r="CS551" s="2">
        <v>10</v>
      </c>
      <c r="CT551" s="2">
        <v>10</v>
      </c>
      <c r="CU551" s="2">
        <v>10</v>
      </c>
      <c r="CV551" s="54">
        <f t="shared" si="145"/>
        <v>10</v>
      </c>
      <c r="CW551" s="55">
        <v>15</v>
      </c>
      <c r="CX551" s="3"/>
    </row>
    <row r="552" spans="1:102" ht="16.5" x14ac:dyDescent="0.55000000000000004">
      <c r="A552" s="17">
        <v>4</v>
      </c>
      <c r="B552" s="17" t="s">
        <v>9</v>
      </c>
      <c r="C552" s="23" t="s">
        <v>1146</v>
      </c>
      <c r="D552" s="24" t="s">
        <v>1147</v>
      </c>
      <c r="E552" s="48">
        <v>8</v>
      </c>
      <c r="F552" s="2">
        <v>9</v>
      </c>
      <c r="G552" s="105">
        <v>10</v>
      </c>
      <c r="H552" s="105">
        <v>10</v>
      </c>
      <c r="I552" s="105">
        <v>10</v>
      </c>
      <c r="J552" s="105">
        <v>10</v>
      </c>
      <c r="K552" s="105">
        <v>10</v>
      </c>
      <c r="L552" s="105">
        <v>10</v>
      </c>
      <c r="M552" s="105">
        <v>10</v>
      </c>
      <c r="N552" s="105">
        <v>10</v>
      </c>
      <c r="O552" s="105">
        <v>10</v>
      </c>
      <c r="P552" s="105">
        <v>10</v>
      </c>
      <c r="Q552" s="2" t="e">
        <f t="shared" ca="1" si="137"/>
        <v>#NAME?</v>
      </c>
      <c r="R552" s="105">
        <v>10</v>
      </c>
      <c r="S552" s="105">
        <v>10</v>
      </c>
      <c r="T552" s="105">
        <v>10</v>
      </c>
      <c r="U552" s="105">
        <v>10</v>
      </c>
      <c r="V552" s="105">
        <v>10</v>
      </c>
      <c r="W552" s="54">
        <f t="shared" si="142"/>
        <v>10</v>
      </c>
      <c r="X552" s="48">
        <v>4</v>
      </c>
      <c r="Y552" s="2" t="s">
        <v>31</v>
      </c>
      <c r="Z552" s="2">
        <v>8</v>
      </c>
      <c r="AA552" s="2">
        <v>10</v>
      </c>
      <c r="AB552" s="2">
        <v>10</v>
      </c>
      <c r="AC552" s="2">
        <v>10</v>
      </c>
      <c r="AD552" s="2">
        <v>10</v>
      </c>
      <c r="AE552" s="2">
        <v>7</v>
      </c>
      <c r="AF552" s="2">
        <v>8</v>
      </c>
      <c r="AG552" s="2">
        <v>9</v>
      </c>
      <c r="AH552" s="2">
        <v>9</v>
      </c>
      <c r="AI552" s="2">
        <v>9</v>
      </c>
      <c r="AJ552" s="2">
        <v>8</v>
      </c>
      <c r="AK552" s="2">
        <v>8</v>
      </c>
      <c r="AL552" s="2">
        <v>8</v>
      </c>
      <c r="AM552" s="2">
        <v>8</v>
      </c>
      <c r="AN552" s="2">
        <v>8</v>
      </c>
      <c r="AO552" s="2">
        <v>8</v>
      </c>
      <c r="AP552" s="2">
        <v>8</v>
      </c>
      <c r="AQ552" s="2" t="e">
        <f t="shared" ca="1" si="138"/>
        <v>#NAME?</v>
      </c>
      <c r="AR552" s="2">
        <v>9</v>
      </c>
      <c r="AS552" s="2">
        <v>10</v>
      </c>
      <c r="AT552" s="2">
        <v>9</v>
      </c>
      <c r="AU552" s="2">
        <v>9</v>
      </c>
      <c r="AV552" s="2">
        <v>9</v>
      </c>
      <c r="AW552" s="54">
        <f t="shared" si="143"/>
        <v>10</v>
      </c>
      <c r="AX552" s="48"/>
      <c r="AY552" s="2"/>
      <c r="AZ552" s="2">
        <v>10</v>
      </c>
      <c r="BA552" s="2">
        <v>10</v>
      </c>
      <c r="BB552" s="2">
        <v>5</v>
      </c>
      <c r="BC552" s="2">
        <v>5</v>
      </c>
      <c r="BD552" s="2">
        <v>5</v>
      </c>
      <c r="BE552" s="2">
        <v>5</v>
      </c>
      <c r="BF552" s="2">
        <v>5</v>
      </c>
      <c r="BG552" s="2">
        <v>5</v>
      </c>
      <c r="BH552" s="2">
        <v>5</v>
      </c>
      <c r="BI552" s="2">
        <v>5</v>
      </c>
      <c r="BJ552" s="2" t="e">
        <f t="shared" ca="1" si="139"/>
        <v>#NAME?</v>
      </c>
      <c r="BK552" s="5">
        <v>10</v>
      </c>
      <c r="BL552" s="5">
        <v>7</v>
      </c>
      <c r="BM552" s="5">
        <v>10</v>
      </c>
      <c r="BN552" s="2">
        <v>5</v>
      </c>
      <c r="BO552" s="2">
        <v>5</v>
      </c>
      <c r="BP552" s="54">
        <f t="shared" si="144"/>
        <v>8</v>
      </c>
      <c r="BQ552" s="49">
        <v>0</v>
      </c>
      <c r="BR552" s="50">
        <v>0</v>
      </c>
      <c r="BS552" s="49">
        <v>10</v>
      </c>
      <c r="BT552" s="49">
        <v>10</v>
      </c>
      <c r="BU552" s="49">
        <v>10</v>
      </c>
      <c r="BV552" s="49">
        <v>10</v>
      </c>
      <c r="BW552" s="49">
        <v>10</v>
      </c>
      <c r="BX552" s="49">
        <v>10</v>
      </c>
      <c r="BY552" s="49">
        <v>10</v>
      </c>
      <c r="BZ552" s="49">
        <v>10</v>
      </c>
      <c r="CA552" s="49">
        <v>10</v>
      </c>
      <c r="CB552" s="49">
        <v>10</v>
      </c>
      <c r="CC552" s="2" t="e">
        <f t="shared" ca="1" si="140"/>
        <v>#NAME?</v>
      </c>
      <c r="CD552" s="55"/>
      <c r="CE552" s="2"/>
      <c r="CF552" s="8">
        <v>10</v>
      </c>
      <c r="CG552" s="8">
        <v>10</v>
      </c>
      <c r="CH552" s="8">
        <v>10</v>
      </c>
      <c r="CI552" s="8">
        <v>10</v>
      </c>
      <c r="CJ552" s="8">
        <v>10</v>
      </c>
      <c r="CK552" s="8">
        <v>10</v>
      </c>
      <c r="CL552" s="8">
        <v>10</v>
      </c>
      <c r="CM552" s="8">
        <v>10</v>
      </c>
      <c r="CN552" s="8">
        <v>10</v>
      </c>
      <c r="CO552" s="8">
        <v>10</v>
      </c>
      <c r="CP552" s="2" t="e">
        <f t="shared" ca="1" si="141"/>
        <v>#NAME?</v>
      </c>
      <c r="CQ552" s="2">
        <v>10</v>
      </c>
      <c r="CR552" s="2">
        <v>10</v>
      </c>
      <c r="CS552" s="2">
        <v>10</v>
      </c>
      <c r="CT552" s="2">
        <v>10</v>
      </c>
      <c r="CU552" s="2">
        <v>10</v>
      </c>
      <c r="CV552" s="54">
        <f t="shared" si="145"/>
        <v>10</v>
      </c>
      <c r="CW552" s="55">
        <v>11</v>
      </c>
      <c r="CX552" s="3"/>
    </row>
    <row r="553" spans="1:102" ht="16.5" x14ac:dyDescent="0.55000000000000004">
      <c r="A553" s="17">
        <v>4</v>
      </c>
      <c r="B553" s="17" t="s">
        <v>9</v>
      </c>
      <c r="C553" s="23" t="s">
        <v>1148</v>
      </c>
      <c r="D553" s="24" t="s">
        <v>1149</v>
      </c>
      <c r="E553" s="48">
        <v>8</v>
      </c>
      <c r="F553" s="2">
        <v>8</v>
      </c>
      <c r="G553" s="106">
        <v>10</v>
      </c>
      <c r="H553" s="105">
        <v>10</v>
      </c>
      <c r="I553" s="105">
        <v>10</v>
      </c>
      <c r="J553" s="105">
        <v>10</v>
      </c>
      <c r="K553" s="105">
        <v>10</v>
      </c>
      <c r="L553" s="106">
        <v>10</v>
      </c>
      <c r="M553" s="105">
        <v>10</v>
      </c>
      <c r="N553" s="105">
        <v>10</v>
      </c>
      <c r="O553" s="105">
        <v>10</v>
      </c>
      <c r="P553" s="105">
        <v>10</v>
      </c>
      <c r="Q553" s="2" t="e">
        <f t="shared" ca="1" si="137"/>
        <v>#NAME?</v>
      </c>
      <c r="R553" s="105">
        <v>10</v>
      </c>
      <c r="S553" s="105">
        <v>10</v>
      </c>
      <c r="T553" s="105">
        <v>10</v>
      </c>
      <c r="U553" s="105">
        <v>10</v>
      </c>
      <c r="V553" s="105">
        <v>10</v>
      </c>
      <c r="W553" s="54">
        <f t="shared" si="142"/>
        <v>10</v>
      </c>
      <c r="X553" s="48" t="s">
        <v>31</v>
      </c>
      <c r="Y553" s="2" t="s">
        <v>31</v>
      </c>
      <c r="Z553" s="2" t="s">
        <v>31</v>
      </c>
      <c r="AA553" s="2">
        <v>10</v>
      </c>
      <c r="AB553" s="2">
        <v>10</v>
      </c>
      <c r="AC553" s="2">
        <v>7</v>
      </c>
      <c r="AD553" s="2">
        <v>7</v>
      </c>
      <c r="AE553" s="2">
        <v>7</v>
      </c>
      <c r="AF553" s="2">
        <v>7</v>
      </c>
      <c r="AG553" s="2">
        <v>7</v>
      </c>
      <c r="AH553" s="2">
        <v>7</v>
      </c>
      <c r="AI553" s="2">
        <v>7</v>
      </c>
      <c r="AJ553" s="2">
        <v>7</v>
      </c>
      <c r="AK553" s="2">
        <v>7</v>
      </c>
      <c r="AL553" s="2">
        <v>7</v>
      </c>
      <c r="AM553" s="2">
        <v>7</v>
      </c>
      <c r="AN553" s="2">
        <v>7</v>
      </c>
      <c r="AO553" s="2">
        <v>7</v>
      </c>
      <c r="AP553" s="2">
        <v>7</v>
      </c>
      <c r="AQ553" s="2" t="e">
        <f t="shared" ca="1" si="138"/>
        <v>#NAME?</v>
      </c>
      <c r="AR553" s="2">
        <v>10</v>
      </c>
      <c r="AS553" s="2">
        <v>7</v>
      </c>
      <c r="AT553" s="2">
        <v>7</v>
      </c>
      <c r="AU553" s="2">
        <v>7</v>
      </c>
      <c r="AV553" s="2">
        <v>7</v>
      </c>
      <c r="AW553" s="54">
        <f t="shared" si="143"/>
        <v>8</v>
      </c>
      <c r="AX553" s="48"/>
      <c r="AY553" s="2"/>
      <c r="AZ553" s="2">
        <v>5</v>
      </c>
      <c r="BA553" s="2">
        <v>5</v>
      </c>
      <c r="BB553" s="2">
        <v>5</v>
      </c>
      <c r="BC553" s="2">
        <v>5</v>
      </c>
      <c r="BD553" s="2">
        <v>5</v>
      </c>
      <c r="BE553" s="2">
        <v>5</v>
      </c>
      <c r="BF553" s="2">
        <v>5</v>
      </c>
      <c r="BG553" s="2">
        <v>5</v>
      </c>
      <c r="BH553" s="2">
        <v>5</v>
      </c>
      <c r="BI553" s="2">
        <v>5</v>
      </c>
      <c r="BJ553" s="2" t="e">
        <f t="shared" ca="1" si="139"/>
        <v>#NAME?</v>
      </c>
      <c r="BK553" s="5">
        <v>5</v>
      </c>
      <c r="BL553" s="5">
        <v>7</v>
      </c>
      <c r="BM553" s="5">
        <v>8</v>
      </c>
      <c r="BN553" s="2">
        <v>5</v>
      </c>
      <c r="BO553" s="2">
        <v>5</v>
      </c>
      <c r="BP553" s="54">
        <f t="shared" si="144"/>
        <v>6</v>
      </c>
      <c r="BQ553" s="49">
        <v>0</v>
      </c>
      <c r="BR553" s="50">
        <v>0</v>
      </c>
      <c r="BS553" s="49">
        <v>9</v>
      </c>
      <c r="BT553" s="49">
        <v>9</v>
      </c>
      <c r="BU553" s="49">
        <v>9</v>
      </c>
      <c r="BV553" s="49">
        <v>9</v>
      </c>
      <c r="BW553" s="49">
        <v>9</v>
      </c>
      <c r="BX553" s="49">
        <v>9</v>
      </c>
      <c r="BY553" s="49">
        <v>9</v>
      </c>
      <c r="BZ553" s="49">
        <v>9</v>
      </c>
      <c r="CA553" s="49">
        <v>9</v>
      </c>
      <c r="CB553" s="49">
        <v>9</v>
      </c>
      <c r="CC553" s="2" t="e">
        <f t="shared" ca="1" si="140"/>
        <v>#NAME?</v>
      </c>
      <c r="CD553" s="55"/>
      <c r="CE553" s="2"/>
      <c r="CF553" s="8">
        <v>7</v>
      </c>
      <c r="CG553" s="8">
        <v>7</v>
      </c>
      <c r="CH553" s="8">
        <v>7</v>
      </c>
      <c r="CI553" s="8">
        <v>8</v>
      </c>
      <c r="CJ553" s="8">
        <v>9</v>
      </c>
      <c r="CK553" s="8">
        <v>8</v>
      </c>
      <c r="CL553" s="8">
        <v>9</v>
      </c>
      <c r="CM553" s="8">
        <v>10</v>
      </c>
      <c r="CN553" s="8">
        <v>10</v>
      </c>
      <c r="CO553" s="8">
        <v>10</v>
      </c>
      <c r="CP553" s="2" t="e">
        <f t="shared" ca="1" si="141"/>
        <v>#NAME?</v>
      </c>
      <c r="CQ553" s="2">
        <v>10</v>
      </c>
      <c r="CR553" s="2">
        <v>10</v>
      </c>
      <c r="CS553" s="2">
        <v>10</v>
      </c>
      <c r="CT553" s="2">
        <v>10</v>
      </c>
      <c r="CU553" s="2">
        <v>10</v>
      </c>
      <c r="CV553" s="54">
        <f t="shared" si="145"/>
        <v>10</v>
      </c>
      <c r="CW553" s="55" t="s">
        <v>31</v>
      </c>
      <c r="CX553" s="3"/>
    </row>
    <row r="554" spans="1:102" ht="16.5" x14ac:dyDescent="0.55000000000000004">
      <c r="A554" s="17">
        <v>4</v>
      </c>
      <c r="B554" s="17" t="s">
        <v>9</v>
      </c>
      <c r="C554" s="23" t="s">
        <v>1150</v>
      </c>
      <c r="D554" s="24" t="s">
        <v>1151</v>
      </c>
      <c r="E554" s="48">
        <v>8</v>
      </c>
      <c r="F554" s="2">
        <v>8</v>
      </c>
      <c r="G554" s="105">
        <v>10</v>
      </c>
      <c r="H554" s="105">
        <v>10</v>
      </c>
      <c r="I554" s="105">
        <v>10</v>
      </c>
      <c r="J554" s="105">
        <v>10</v>
      </c>
      <c r="K554" s="105">
        <v>10</v>
      </c>
      <c r="L554" s="105">
        <v>10</v>
      </c>
      <c r="M554" s="105">
        <v>10</v>
      </c>
      <c r="N554" s="105">
        <v>10</v>
      </c>
      <c r="O554" s="105">
        <v>10</v>
      </c>
      <c r="P554" s="105">
        <v>10</v>
      </c>
      <c r="Q554" s="2" t="e">
        <f t="shared" ca="1" si="137"/>
        <v>#NAME?</v>
      </c>
      <c r="R554" s="105">
        <v>10</v>
      </c>
      <c r="S554" s="105">
        <v>10</v>
      </c>
      <c r="T554" s="105">
        <v>10</v>
      </c>
      <c r="U554" s="105">
        <v>10</v>
      </c>
      <c r="V554" s="105">
        <v>10</v>
      </c>
      <c r="W554" s="54">
        <f t="shared" si="142"/>
        <v>10</v>
      </c>
      <c r="X554" s="48" t="s">
        <v>31</v>
      </c>
      <c r="Y554" s="2" t="s">
        <v>31</v>
      </c>
      <c r="Z554" s="2">
        <v>16</v>
      </c>
      <c r="AA554" s="2">
        <v>10</v>
      </c>
      <c r="AB554" s="2">
        <v>5</v>
      </c>
      <c r="AC554" s="2">
        <v>5</v>
      </c>
      <c r="AD554" s="2">
        <v>5</v>
      </c>
      <c r="AE554" s="2">
        <v>5</v>
      </c>
      <c r="AF554" s="2">
        <v>5</v>
      </c>
      <c r="AG554" s="2">
        <v>5</v>
      </c>
      <c r="AH554" s="2">
        <v>5</v>
      </c>
      <c r="AI554" s="2">
        <v>5</v>
      </c>
      <c r="AJ554" s="2">
        <v>5</v>
      </c>
      <c r="AK554" s="2">
        <v>5</v>
      </c>
      <c r="AL554" s="2">
        <v>5</v>
      </c>
      <c r="AM554" s="2">
        <v>5</v>
      </c>
      <c r="AN554" s="2">
        <v>5</v>
      </c>
      <c r="AO554" s="2">
        <v>5</v>
      </c>
      <c r="AP554" s="2">
        <v>5</v>
      </c>
      <c r="AQ554" s="2" t="e">
        <f t="shared" ca="1" si="138"/>
        <v>#NAME?</v>
      </c>
      <c r="AR554" s="2"/>
      <c r="AS554" s="2"/>
      <c r="AT554" s="2"/>
      <c r="AU554" s="2"/>
      <c r="AV554" s="2"/>
      <c r="AW554" s="54">
        <f t="shared" si="143"/>
        <v>0</v>
      </c>
      <c r="AX554" s="48"/>
      <c r="AY554" s="2"/>
      <c r="AZ554" s="2">
        <v>10</v>
      </c>
      <c r="BA554" s="2">
        <v>7</v>
      </c>
      <c r="BB554" s="2">
        <v>7</v>
      </c>
      <c r="BC554" s="2">
        <v>7</v>
      </c>
      <c r="BD554" s="2">
        <v>7</v>
      </c>
      <c r="BE554" s="2">
        <v>7</v>
      </c>
      <c r="BF554" s="2">
        <v>7</v>
      </c>
      <c r="BG554" s="2">
        <v>8</v>
      </c>
      <c r="BH554" s="2">
        <v>8</v>
      </c>
      <c r="BI554" s="2">
        <v>10</v>
      </c>
      <c r="BJ554" s="2" t="e">
        <f t="shared" ca="1" si="139"/>
        <v>#NAME?</v>
      </c>
      <c r="BK554" s="2">
        <v>7</v>
      </c>
      <c r="BL554" s="2">
        <v>7</v>
      </c>
      <c r="BM554" s="2">
        <v>7</v>
      </c>
      <c r="BN554" s="2">
        <v>7</v>
      </c>
      <c r="BO554" s="2">
        <v>7</v>
      </c>
      <c r="BP554" s="54">
        <f t="shared" si="144"/>
        <v>7</v>
      </c>
      <c r="BQ554" s="49">
        <v>0</v>
      </c>
      <c r="BR554" s="50">
        <v>0</v>
      </c>
      <c r="BS554" s="49">
        <v>9</v>
      </c>
      <c r="BT554" s="49">
        <v>9</v>
      </c>
      <c r="BU554" s="49">
        <v>9</v>
      </c>
      <c r="BV554" s="49">
        <v>9</v>
      </c>
      <c r="BW554" s="49">
        <v>9</v>
      </c>
      <c r="BX554" s="49">
        <v>9</v>
      </c>
      <c r="BY554" s="49">
        <v>9</v>
      </c>
      <c r="BZ554" s="49">
        <v>9</v>
      </c>
      <c r="CA554" s="49">
        <v>9</v>
      </c>
      <c r="CB554" s="49">
        <v>9</v>
      </c>
      <c r="CC554" s="2" t="e">
        <f t="shared" ca="1" si="140"/>
        <v>#NAME?</v>
      </c>
      <c r="CD554" s="55"/>
      <c r="CE554" s="2"/>
      <c r="CF554" s="2">
        <v>5</v>
      </c>
      <c r="CG554" s="2">
        <v>5</v>
      </c>
      <c r="CH554" s="2">
        <v>5</v>
      </c>
      <c r="CI554" s="2">
        <v>5</v>
      </c>
      <c r="CJ554" s="2">
        <v>5</v>
      </c>
      <c r="CK554" s="2">
        <v>5</v>
      </c>
      <c r="CL554" s="2">
        <v>5</v>
      </c>
      <c r="CM554" s="2">
        <v>5</v>
      </c>
      <c r="CN554" s="2">
        <v>5</v>
      </c>
      <c r="CO554" s="2">
        <v>5</v>
      </c>
      <c r="CP554" s="2" t="e">
        <f t="shared" ca="1" si="141"/>
        <v>#NAME?</v>
      </c>
      <c r="CQ554" s="2">
        <v>5</v>
      </c>
      <c r="CR554" s="2">
        <v>5</v>
      </c>
      <c r="CS554" s="2">
        <v>5</v>
      </c>
      <c r="CT554" s="2">
        <v>5</v>
      </c>
      <c r="CU554" s="2">
        <v>0</v>
      </c>
      <c r="CV554" s="54">
        <f t="shared" si="145"/>
        <v>4</v>
      </c>
      <c r="CW554" s="55">
        <v>15</v>
      </c>
      <c r="CX554" s="3"/>
    </row>
    <row r="555" spans="1:102" ht="16.5" x14ac:dyDescent="0.55000000000000004">
      <c r="A555" s="17">
        <v>4</v>
      </c>
      <c r="B555" s="17" t="s">
        <v>9</v>
      </c>
      <c r="C555" s="23" t="s">
        <v>1152</v>
      </c>
      <c r="D555" s="24" t="s">
        <v>1153</v>
      </c>
      <c r="E555" s="48">
        <v>8</v>
      </c>
      <c r="F555" s="2">
        <v>9</v>
      </c>
      <c r="G555" s="106">
        <v>10</v>
      </c>
      <c r="H555" s="106">
        <v>10</v>
      </c>
      <c r="I555" s="105">
        <v>10</v>
      </c>
      <c r="J555" s="105">
        <v>10</v>
      </c>
      <c r="K555" s="105">
        <v>10</v>
      </c>
      <c r="L555" s="105">
        <v>10</v>
      </c>
      <c r="M555" s="105">
        <v>10</v>
      </c>
      <c r="N555" s="105">
        <v>10</v>
      </c>
      <c r="O555" s="105">
        <v>10</v>
      </c>
      <c r="P555" s="105">
        <v>10</v>
      </c>
      <c r="Q555" s="2" t="e">
        <f t="shared" ca="1" si="137"/>
        <v>#NAME?</v>
      </c>
      <c r="R555" s="105">
        <v>10</v>
      </c>
      <c r="S555" s="105">
        <v>10</v>
      </c>
      <c r="T555" s="105">
        <v>10</v>
      </c>
      <c r="U555" s="105">
        <v>10</v>
      </c>
      <c r="V555" s="105">
        <v>10</v>
      </c>
      <c r="W555" s="54">
        <f t="shared" si="142"/>
        <v>10</v>
      </c>
      <c r="X555" s="48">
        <v>2</v>
      </c>
      <c r="Y555" s="2">
        <v>5</v>
      </c>
      <c r="Z555" s="2">
        <v>15</v>
      </c>
      <c r="AA555" s="2">
        <v>9</v>
      </c>
      <c r="AB555" s="2">
        <v>10</v>
      </c>
      <c r="AC555" s="2">
        <v>10</v>
      </c>
      <c r="AD555" s="2">
        <v>10</v>
      </c>
      <c r="AE555" s="2">
        <v>9</v>
      </c>
      <c r="AF555" s="2">
        <v>8</v>
      </c>
      <c r="AG555" s="2">
        <v>8</v>
      </c>
      <c r="AH555" s="2">
        <v>8</v>
      </c>
      <c r="AI555" s="2">
        <v>8</v>
      </c>
      <c r="AJ555" s="2">
        <v>8</v>
      </c>
      <c r="AK555" s="2">
        <v>8</v>
      </c>
      <c r="AL555" s="2">
        <v>8</v>
      </c>
      <c r="AM555" s="2">
        <v>8</v>
      </c>
      <c r="AN555" s="2">
        <v>8</v>
      </c>
      <c r="AO555" s="2">
        <v>8</v>
      </c>
      <c r="AP555" s="2">
        <v>8</v>
      </c>
      <c r="AQ555" s="2" t="e">
        <f t="shared" ca="1" si="138"/>
        <v>#NAME?</v>
      </c>
      <c r="AR555" s="2">
        <v>9</v>
      </c>
      <c r="AS555" s="2">
        <v>9</v>
      </c>
      <c r="AT555" s="2">
        <v>9</v>
      </c>
      <c r="AU555" s="2">
        <v>9</v>
      </c>
      <c r="AV555" s="2">
        <v>9</v>
      </c>
      <c r="AW555" s="54">
        <f t="shared" si="143"/>
        <v>9</v>
      </c>
      <c r="AX555" s="48"/>
      <c r="AY555" s="2"/>
      <c r="AZ555" s="2">
        <v>4</v>
      </c>
      <c r="BA555" s="2">
        <v>4</v>
      </c>
      <c r="BB555" s="2">
        <v>4</v>
      </c>
      <c r="BC555" s="2">
        <v>4</v>
      </c>
      <c r="BD555" s="2">
        <v>4</v>
      </c>
      <c r="BE555" s="2">
        <v>5</v>
      </c>
      <c r="BF555" s="2">
        <v>5</v>
      </c>
      <c r="BG555" s="2">
        <v>5</v>
      </c>
      <c r="BH555" s="2">
        <v>5</v>
      </c>
      <c r="BI555" s="2">
        <v>5</v>
      </c>
      <c r="BJ555" s="2" t="e">
        <f t="shared" ca="1" si="139"/>
        <v>#NAME?</v>
      </c>
      <c r="BK555" s="2">
        <v>10</v>
      </c>
      <c r="BL555" s="2">
        <v>4</v>
      </c>
      <c r="BM555" s="2">
        <v>4</v>
      </c>
      <c r="BN555" s="2">
        <v>5</v>
      </c>
      <c r="BO555" s="2">
        <v>5</v>
      </c>
      <c r="BP555" s="54">
        <f t="shared" si="144"/>
        <v>6</v>
      </c>
      <c r="BQ555" s="49">
        <v>4</v>
      </c>
      <c r="BR555" s="50">
        <v>0</v>
      </c>
      <c r="BS555" s="49">
        <v>10</v>
      </c>
      <c r="BT555" s="49">
        <v>10</v>
      </c>
      <c r="BU555" s="49">
        <v>10</v>
      </c>
      <c r="BV555" s="49">
        <v>10</v>
      </c>
      <c r="BW555" s="49">
        <v>10</v>
      </c>
      <c r="BX555" s="49">
        <v>10</v>
      </c>
      <c r="BY555" s="49">
        <v>10</v>
      </c>
      <c r="BZ555" s="49">
        <v>10</v>
      </c>
      <c r="CA555" s="49">
        <v>10</v>
      </c>
      <c r="CB555" s="49">
        <v>10</v>
      </c>
      <c r="CC555" s="2" t="e">
        <f t="shared" ca="1" si="140"/>
        <v>#NAME?</v>
      </c>
      <c r="CD555" s="55"/>
      <c r="CE555" s="2"/>
      <c r="CF555" s="2">
        <v>7</v>
      </c>
      <c r="CG555" s="2">
        <v>7</v>
      </c>
      <c r="CH555" s="2">
        <v>7</v>
      </c>
      <c r="CI555" s="2">
        <v>7</v>
      </c>
      <c r="CJ555" s="2">
        <v>8</v>
      </c>
      <c r="CK555" s="2">
        <v>8</v>
      </c>
      <c r="CL555" s="2">
        <v>9</v>
      </c>
      <c r="CM555" s="2">
        <v>10</v>
      </c>
      <c r="CN555" s="2">
        <v>10</v>
      </c>
      <c r="CO555" s="2">
        <v>10</v>
      </c>
      <c r="CP555" s="2" t="e">
        <f t="shared" ca="1" si="141"/>
        <v>#NAME?</v>
      </c>
      <c r="CQ555" s="2">
        <v>9</v>
      </c>
      <c r="CR555" s="2">
        <v>8</v>
      </c>
      <c r="CS555" s="2">
        <v>9</v>
      </c>
      <c r="CT555" s="2">
        <v>10</v>
      </c>
      <c r="CU555" s="2">
        <v>10</v>
      </c>
      <c r="CV555" s="54">
        <f t="shared" si="145"/>
        <v>10</v>
      </c>
      <c r="CW555" s="55">
        <v>16</v>
      </c>
      <c r="CX555" s="3"/>
    </row>
    <row r="556" spans="1:102" ht="16.5" x14ac:dyDescent="0.55000000000000004">
      <c r="A556" s="17">
        <v>4</v>
      </c>
      <c r="B556" s="17" t="s">
        <v>9</v>
      </c>
      <c r="C556" s="23" t="s">
        <v>1154</v>
      </c>
      <c r="D556" s="24" t="s">
        <v>1155</v>
      </c>
      <c r="E556" s="48">
        <v>8</v>
      </c>
      <c r="F556" s="2">
        <v>8</v>
      </c>
      <c r="G556" s="105">
        <v>10</v>
      </c>
      <c r="H556" s="105">
        <v>10</v>
      </c>
      <c r="I556" s="105">
        <v>10</v>
      </c>
      <c r="J556" s="105">
        <v>10</v>
      </c>
      <c r="K556" s="105">
        <v>10</v>
      </c>
      <c r="L556" s="105">
        <v>10</v>
      </c>
      <c r="M556" s="105">
        <v>10</v>
      </c>
      <c r="N556" s="105">
        <v>10</v>
      </c>
      <c r="O556" s="105">
        <v>10</v>
      </c>
      <c r="P556" s="105">
        <v>10</v>
      </c>
      <c r="Q556" s="2" t="e">
        <f t="shared" ca="1" si="137"/>
        <v>#NAME?</v>
      </c>
      <c r="R556" s="105">
        <v>10</v>
      </c>
      <c r="S556" s="105">
        <v>10</v>
      </c>
      <c r="T556" s="105">
        <v>10</v>
      </c>
      <c r="U556" s="105">
        <v>10</v>
      </c>
      <c r="V556" s="105">
        <v>10</v>
      </c>
      <c r="W556" s="54">
        <f t="shared" si="142"/>
        <v>10</v>
      </c>
      <c r="X556" s="48" t="s">
        <v>31</v>
      </c>
      <c r="Y556" s="2">
        <v>9</v>
      </c>
      <c r="Z556" s="2">
        <v>5</v>
      </c>
      <c r="AA556" s="2">
        <v>10</v>
      </c>
      <c r="AB556" s="2">
        <v>10</v>
      </c>
      <c r="AC556" s="2">
        <v>10</v>
      </c>
      <c r="AD556" s="2">
        <v>10</v>
      </c>
      <c r="AE556" s="2">
        <v>10</v>
      </c>
      <c r="AF556" s="2">
        <v>6</v>
      </c>
      <c r="AG556" s="2">
        <v>7</v>
      </c>
      <c r="AH556" s="2">
        <v>8</v>
      </c>
      <c r="AI556" s="2">
        <v>4</v>
      </c>
      <c r="AJ556" s="2">
        <v>4</v>
      </c>
      <c r="AK556" s="2">
        <v>4</v>
      </c>
      <c r="AL556" s="2">
        <v>4</v>
      </c>
      <c r="AM556" s="2">
        <v>4</v>
      </c>
      <c r="AN556" s="2">
        <v>4</v>
      </c>
      <c r="AO556" s="2">
        <v>4</v>
      </c>
      <c r="AP556" s="2">
        <v>4</v>
      </c>
      <c r="AQ556" s="2" t="e">
        <f t="shared" ca="1" si="138"/>
        <v>#NAME?</v>
      </c>
      <c r="AR556" s="2">
        <v>10</v>
      </c>
      <c r="AS556" s="2">
        <v>9</v>
      </c>
      <c r="AT556" s="2">
        <v>9</v>
      </c>
      <c r="AU556" s="2">
        <v>9</v>
      </c>
      <c r="AV556" s="2">
        <v>9</v>
      </c>
      <c r="AW556" s="54">
        <f t="shared" si="143"/>
        <v>10</v>
      </c>
      <c r="AX556" s="48"/>
      <c r="AY556" s="2"/>
      <c r="AZ556" s="2">
        <v>10</v>
      </c>
      <c r="BA556" s="2">
        <v>10</v>
      </c>
      <c r="BB556" s="2">
        <v>10</v>
      </c>
      <c r="BC556" s="2">
        <v>10</v>
      </c>
      <c r="BD556" s="2">
        <v>10</v>
      </c>
      <c r="BE556" s="2">
        <v>10</v>
      </c>
      <c r="BF556" s="2">
        <v>10</v>
      </c>
      <c r="BG556" s="2">
        <v>10</v>
      </c>
      <c r="BH556" s="2">
        <v>10</v>
      </c>
      <c r="BI556" s="2">
        <v>10</v>
      </c>
      <c r="BJ556" s="2" t="e">
        <f t="shared" ca="1" si="139"/>
        <v>#NAME?</v>
      </c>
      <c r="BK556" s="5">
        <v>10</v>
      </c>
      <c r="BL556" s="2">
        <v>5</v>
      </c>
      <c r="BM556" s="2">
        <v>10</v>
      </c>
      <c r="BN556" s="2">
        <v>10</v>
      </c>
      <c r="BO556" s="2">
        <v>10</v>
      </c>
      <c r="BP556" s="54">
        <f t="shared" si="144"/>
        <v>9</v>
      </c>
      <c r="BQ556" s="49">
        <v>5</v>
      </c>
      <c r="BR556" s="50">
        <v>0</v>
      </c>
      <c r="BS556" s="49">
        <v>10</v>
      </c>
      <c r="BT556" s="49">
        <v>10</v>
      </c>
      <c r="BU556" s="49">
        <v>10</v>
      </c>
      <c r="BV556" s="49">
        <v>10</v>
      </c>
      <c r="BW556" s="49">
        <v>10</v>
      </c>
      <c r="BX556" s="49">
        <v>10</v>
      </c>
      <c r="BY556" s="49">
        <v>10</v>
      </c>
      <c r="BZ556" s="49">
        <v>10</v>
      </c>
      <c r="CA556" s="49">
        <v>10</v>
      </c>
      <c r="CB556" s="49">
        <v>10</v>
      </c>
      <c r="CC556" s="2" t="e">
        <f t="shared" ca="1" si="140"/>
        <v>#NAME?</v>
      </c>
      <c r="CD556" s="55"/>
      <c r="CE556" s="2"/>
      <c r="CF556" s="8">
        <v>7</v>
      </c>
      <c r="CG556" s="8">
        <v>7</v>
      </c>
      <c r="CH556" s="8">
        <v>7</v>
      </c>
      <c r="CI556" s="8">
        <v>8</v>
      </c>
      <c r="CJ556" s="8">
        <v>8</v>
      </c>
      <c r="CK556" s="8">
        <v>7</v>
      </c>
      <c r="CL556" s="8">
        <v>7</v>
      </c>
      <c r="CM556" s="8">
        <v>10</v>
      </c>
      <c r="CN556" s="8">
        <v>10</v>
      </c>
      <c r="CO556" s="8">
        <v>10</v>
      </c>
      <c r="CP556" s="2" t="e">
        <f t="shared" ca="1" si="141"/>
        <v>#NAME?</v>
      </c>
      <c r="CQ556" s="2">
        <v>7</v>
      </c>
      <c r="CR556" s="2">
        <v>8</v>
      </c>
      <c r="CS556" s="2">
        <v>9</v>
      </c>
      <c r="CT556" s="2">
        <v>10</v>
      </c>
      <c r="CU556" s="2">
        <v>10</v>
      </c>
      <c r="CV556" s="54">
        <f t="shared" si="145"/>
        <v>9</v>
      </c>
      <c r="CW556" s="55">
        <v>10</v>
      </c>
      <c r="CX556" s="3"/>
    </row>
    <row r="557" spans="1:102" ht="16.5" x14ac:dyDescent="0.55000000000000004">
      <c r="A557" s="17">
        <v>4</v>
      </c>
      <c r="B557" s="17" t="s">
        <v>9</v>
      </c>
      <c r="C557" s="23" t="s">
        <v>1156</v>
      </c>
      <c r="D557" s="24" t="s">
        <v>1157</v>
      </c>
      <c r="E557" s="48">
        <v>8</v>
      </c>
      <c r="F557" s="2">
        <v>9</v>
      </c>
      <c r="G557" s="106">
        <v>10</v>
      </c>
      <c r="H557" s="106">
        <v>10</v>
      </c>
      <c r="I557" s="106">
        <v>10</v>
      </c>
      <c r="J557" s="105">
        <v>10</v>
      </c>
      <c r="K557" s="105">
        <v>10</v>
      </c>
      <c r="L557" s="106">
        <v>10</v>
      </c>
      <c r="M557" s="106">
        <v>10</v>
      </c>
      <c r="N557" s="106">
        <v>10</v>
      </c>
      <c r="O557" s="105">
        <v>10</v>
      </c>
      <c r="P557" s="105">
        <v>10</v>
      </c>
      <c r="Q557" s="2" t="e">
        <f t="shared" ca="1" si="137"/>
        <v>#NAME?</v>
      </c>
      <c r="R557" s="106">
        <v>10</v>
      </c>
      <c r="S557" s="106">
        <v>10</v>
      </c>
      <c r="T557" s="106">
        <v>10</v>
      </c>
      <c r="U557" s="106">
        <v>10</v>
      </c>
      <c r="V557" s="106">
        <v>10</v>
      </c>
      <c r="W557" s="54">
        <f t="shared" si="142"/>
        <v>10</v>
      </c>
      <c r="X557" s="48" t="s">
        <v>31</v>
      </c>
      <c r="Y557" s="2" t="s">
        <v>31</v>
      </c>
      <c r="Z557" s="2">
        <v>7</v>
      </c>
      <c r="AA557" s="2">
        <v>1</v>
      </c>
      <c r="AB557" s="2">
        <v>2</v>
      </c>
      <c r="AC557" s="2">
        <v>3</v>
      </c>
      <c r="AD557" s="2">
        <v>4</v>
      </c>
      <c r="AE557" s="2">
        <v>5</v>
      </c>
      <c r="AF557" s="2">
        <v>6</v>
      </c>
      <c r="AG557" s="2">
        <v>7</v>
      </c>
      <c r="AH557" s="2">
        <v>8</v>
      </c>
      <c r="AI557" s="2">
        <v>5</v>
      </c>
      <c r="AJ557" s="2">
        <v>5</v>
      </c>
      <c r="AK557" s="2">
        <v>5</v>
      </c>
      <c r="AL557" s="2">
        <v>5</v>
      </c>
      <c r="AM557" s="2">
        <v>5</v>
      </c>
      <c r="AN557" s="2">
        <v>5</v>
      </c>
      <c r="AO557" s="2">
        <v>5</v>
      </c>
      <c r="AP557" s="2">
        <v>5</v>
      </c>
      <c r="AQ557" s="2" t="e">
        <f t="shared" ca="1" si="138"/>
        <v>#NAME?</v>
      </c>
      <c r="AR557" s="2">
        <v>6</v>
      </c>
      <c r="AS557" s="2">
        <v>7</v>
      </c>
      <c r="AT557" s="2">
        <v>8</v>
      </c>
      <c r="AU557" s="2">
        <v>9</v>
      </c>
      <c r="AV557" s="2">
        <v>9</v>
      </c>
      <c r="AW557" s="54">
        <f t="shared" si="143"/>
        <v>8</v>
      </c>
      <c r="AX557" s="48"/>
      <c r="AY557" s="2"/>
      <c r="AZ557" s="2">
        <v>10</v>
      </c>
      <c r="BA557" s="2">
        <v>10</v>
      </c>
      <c r="BB557" s="2">
        <v>6</v>
      </c>
      <c r="BC557" s="2">
        <v>5</v>
      </c>
      <c r="BD557" s="2">
        <v>5</v>
      </c>
      <c r="BE557" s="2">
        <v>5</v>
      </c>
      <c r="BF557" s="2">
        <v>5</v>
      </c>
      <c r="BG557" s="2">
        <v>5</v>
      </c>
      <c r="BH557" s="2">
        <v>5</v>
      </c>
      <c r="BI557" s="2">
        <v>5</v>
      </c>
      <c r="BJ557" s="2" t="e">
        <f t="shared" ca="1" si="139"/>
        <v>#NAME?</v>
      </c>
      <c r="BK557" s="2">
        <v>5</v>
      </c>
      <c r="BL557" s="2">
        <v>5</v>
      </c>
      <c r="BM557" s="2">
        <v>5</v>
      </c>
      <c r="BN557" s="2">
        <v>5</v>
      </c>
      <c r="BO557" s="2">
        <v>5</v>
      </c>
      <c r="BP557" s="54">
        <f t="shared" si="144"/>
        <v>5</v>
      </c>
      <c r="BQ557" s="49">
        <v>9</v>
      </c>
      <c r="BR557" s="50">
        <v>0</v>
      </c>
      <c r="BS557" s="50">
        <v>7</v>
      </c>
      <c r="BT557" s="50">
        <v>7</v>
      </c>
      <c r="BU557" s="50">
        <v>7</v>
      </c>
      <c r="BV557" s="50">
        <v>7</v>
      </c>
      <c r="BW557" s="50">
        <v>7</v>
      </c>
      <c r="BX557" s="50">
        <v>7</v>
      </c>
      <c r="BY557" s="50">
        <v>7</v>
      </c>
      <c r="BZ557" s="50">
        <v>7</v>
      </c>
      <c r="CA557" s="50">
        <v>7</v>
      </c>
      <c r="CB557" s="50">
        <v>7</v>
      </c>
      <c r="CC557" s="2" t="e">
        <f t="shared" ca="1" si="140"/>
        <v>#NAME?</v>
      </c>
      <c r="CD557" s="55"/>
      <c r="CE557" s="2"/>
      <c r="CF557" s="8">
        <v>9</v>
      </c>
      <c r="CG557" s="8">
        <v>8</v>
      </c>
      <c r="CH557" s="8">
        <v>7</v>
      </c>
      <c r="CI557" s="8">
        <v>7</v>
      </c>
      <c r="CJ557" s="8">
        <v>7</v>
      </c>
      <c r="CK557" s="8">
        <v>7</v>
      </c>
      <c r="CL557" s="8">
        <v>10</v>
      </c>
      <c r="CM557" s="8">
        <v>10</v>
      </c>
      <c r="CN557" s="8">
        <v>10</v>
      </c>
      <c r="CO557" s="8">
        <v>10</v>
      </c>
      <c r="CP557" s="2" t="e">
        <f t="shared" ca="1" si="141"/>
        <v>#NAME?</v>
      </c>
      <c r="CQ557" s="2">
        <v>10</v>
      </c>
      <c r="CR557" s="2">
        <v>7</v>
      </c>
      <c r="CS557" s="2">
        <v>7</v>
      </c>
      <c r="CT557" s="2">
        <v>7</v>
      </c>
      <c r="CU557" s="2">
        <v>7</v>
      </c>
      <c r="CV557" s="54">
        <f t="shared" si="145"/>
        <v>8</v>
      </c>
      <c r="CW557" s="55">
        <v>15</v>
      </c>
      <c r="CX557" s="3"/>
    </row>
    <row r="558" spans="1:102" ht="16.5" x14ac:dyDescent="0.55000000000000004">
      <c r="A558" s="17">
        <v>4</v>
      </c>
      <c r="B558" s="17" t="s">
        <v>9</v>
      </c>
      <c r="C558" s="23" t="s">
        <v>1158</v>
      </c>
      <c r="D558" s="24" t="s">
        <v>1159</v>
      </c>
      <c r="E558" s="48">
        <v>8</v>
      </c>
      <c r="F558" s="2">
        <v>7</v>
      </c>
      <c r="G558" s="105">
        <v>9</v>
      </c>
      <c r="H558" s="105">
        <v>10</v>
      </c>
      <c r="I558" s="105">
        <v>10</v>
      </c>
      <c r="J558" s="105">
        <v>10</v>
      </c>
      <c r="K558" s="105">
        <v>10</v>
      </c>
      <c r="L558" s="105">
        <v>9</v>
      </c>
      <c r="M558" s="105">
        <v>10</v>
      </c>
      <c r="N558" s="105">
        <v>10</v>
      </c>
      <c r="O558" s="105">
        <v>10</v>
      </c>
      <c r="P558" s="105">
        <v>10</v>
      </c>
      <c r="Q558" s="2" t="e">
        <f t="shared" ca="1" si="137"/>
        <v>#NAME?</v>
      </c>
      <c r="R558" s="105">
        <v>10</v>
      </c>
      <c r="S558" s="105">
        <v>10</v>
      </c>
      <c r="T558" s="105">
        <v>10</v>
      </c>
      <c r="U558" s="105">
        <v>10</v>
      </c>
      <c r="V558" s="105">
        <v>10</v>
      </c>
      <c r="W558" s="54">
        <f t="shared" si="142"/>
        <v>10</v>
      </c>
      <c r="X558" s="48">
        <v>7</v>
      </c>
      <c r="Y558" s="2" t="s">
        <v>31</v>
      </c>
      <c r="Z558" s="2">
        <v>7</v>
      </c>
      <c r="AA558" s="2">
        <v>10</v>
      </c>
      <c r="AB558" s="2">
        <v>9</v>
      </c>
      <c r="AC558" s="2">
        <v>8</v>
      </c>
      <c r="AD558" s="2">
        <v>8</v>
      </c>
      <c r="AE558" s="2">
        <v>7</v>
      </c>
      <c r="AF558" s="2">
        <v>8</v>
      </c>
      <c r="AG558" s="2">
        <v>8</v>
      </c>
      <c r="AH558" s="2">
        <v>9</v>
      </c>
      <c r="AI558" s="2">
        <v>9</v>
      </c>
      <c r="AJ558" s="2">
        <v>8</v>
      </c>
      <c r="AK558" s="2">
        <v>8</v>
      </c>
      <c r="AL558" s="2">
        <v>8</v>
      </c>
      <c r="AM558" s="2">
        <v>8</v>
      </c>
      <c r="AN558" s="2">
        <v>8</v>
      </c>
      <c r="AO558" s="2">
        <v>8</v>
      </c>
      <c r="AP558" s="2">
        <v>8</v>
      </c>
      <c r="AQ558" s="2" t="e">
        <f t="shared" ca="1" si="138"/>
        <v>#NAME?</v>
      </c>
      <c r="AR558" s="2">
        <v>10</v>
      </c>
      <c r="AS558" s="2">
        <v>7</v>
      </c>
      <c r="AT558" s="2">
        <v>7</v>
      </c>
      <c r="AU558" s="2">
        <v>8</v>
      </c>
      <c r="AV558" s="2">
        <v>8</v>
      </c>
      <c r="AW558" s="54">
        <f t="shared" si="143"/>
        <v>8</v>
      </c>
      <c r="AX558" s="48"/>
      <c r="AY558" s="2"/>
      <c r="AZ558" s="2">
        <v>10</v>
      </c>
      <c r="BA558" s="2">
        <v>10</v>
      </c>
      <c r="BB558" s="2">
        <v>4</v>
      </c>
      <c r="BC558" s="2">
        <v>5</v>
      </c>
      <c r="BD558" s="2">
        <v>5</v>
      </c>
      <c r="BE558" s="2">
        <v>5</v>
      </c>
      <c r="BF558" s="2">
        <v>5</v>
      </c>
      <c r="BG558" s="2">
        <v>5</v>
      </c>
      <c r="BH558" s="2">
        <v>5</v>
      </c>
      <c r="BI558" s="2">
        <v>5</v>
      </c>
      <c r="BJ558" s="2" t="e">
        <f t="shared" ca="1" si="139"/>
        <v>#NAME?</v>
      </c>
      <c r="BK558" s="2">
        <v>10</v>
      </c>
      <c r="BL558" s="2">
        <v>10</v>
      </c>
      <c r="BM558" s="2">
        <v>5</v>
      </c>
      <c r="BN558" s="2">
        <v>5</v>
      </c>
      <c r="BO558" s="2">
        <v>5</v>
      </c>
      <c r="BP558" s="54">
        <f t="shared" si="144"/>
        <v>7</v>
      </c>
      <c r="BQ558" s="49">
        <v>0</v>
      </c>
      <c r="BR558" s="50">
        <v>0</v>
      </c>
      <c r="BS558" s="49">
        <v>10</v>
      </c>
      <c r="BT558" s="49">
        <v>9</v>
      </c>
      <c r="BU558" s="49">
        <v>10</v>
      </c>
      <c r="BV558" s="49">
        <v>10</v>
      </c>
      <c r="BW558" s="49">
        <v>10</v>
      </c>
      <c r="BX558" s="49">
        <v>10</v>
      </c>
      <c r="BY558" s="49">
        <v>10</v>
      </c>
      <c r="BZ558" s="49">
        <v>10</v>
      </c>
      <c r="CA558" s="49">
        <v>10</v>
      </c>
      <c r="CB558" s="49">
        <v>10</v>
      </c>
      <c r="CC558" s="2" t="e">
        <f t="shared" ca="1" si="140"/>
        <v>#NAME?</v>
      </c>
      <c r="CD558" s="55"/>
      <c r="CE558" s="2"/>
      <c r="CF558" s="2">
        <v>5</v>
      </c>
      <c r="CG558" s="2">
        <v>7</v>
      </c>
      <c r="CH558" s="2">
        <v>7</v>
      </c>
      <c r="CI558" s="2">
        <v>5</v>
      </c>
      <c r="CJ558" s="2">
        <v>5</v>
      </c>
      <c r="CK558" s="2">
        <v>5</v>
      </c>
      <c r="CL558" s="2">
        <v>5</v>
      </c>
      <c r="CM558" s="2">
        <v>8</v>
      </c>
      <c r="CN558" s="2">
        <v>9</v>
      </c>
      <c r="CO558" s="2">
        <v>10</v>
      </c>
      <c r="CP558" s="2" t="e">
        <f t="shared" ca="1" si="141"/>
        <v>#NAME?</v>
      </c>
      <c r="CQ558" s="2">
        <v>7</v>
      </c>
      <c r="CR558" s="2">
        <v>7</v>
      </c>
      <c r="CS558" s="2">
        <v>7</v>
      </c>
      <c r="CT558" s="2">
        <v>7</v>
      </c>
      <c r="CU558" s="2">
        <v>7</v>
      </c>
      <c r="CV558" s="54">
        <f t="shared" si="145"/>
        <v>7</v>
      </c>
      <c r="CW558" s="55">
        <v>14</v>
      </c>
      <c r="CX558" s="3"/>
    </row>
    <row r="559" spans="1:102" ht="16.5" x14ac:dyDescent="0.55000000000000004">
      <c r="A559" s="17">
        <v>4</v>
      </c>
      <c r="B559" s="17" t="s">
        <v>9</v>
      </c>
      <c r="C559" s="23" t="s">
        <v>1160</v>
      </c>
      <c r="D559" s="24" t="s">
        <v>1161</v>
      </c>
      <c r="E559" s="48">
        <v>8</v>
      </c>
      <c r="F559" s="2">
        <v>7</v>
      </c>
      <c r="G559" s="106">
        <v>9</v>
      </c>
      <c r="H559" s="106">
        <v>10</v>
      </c>
      <c r="I559" s="106">
        <v>10</v>
      </c>
      <c r="J559" s="106">
        <v>10</v>
      </c>
      <c r="K559" s="106">
        <v>10</v>
      </c>
      <c r="L559" s="106">
        <v>9</v>
      </c>
      <c r="M559" s="106">
        <v>10</v>
      </c>
      <c r="N559" s="106">
        <v>10</v>
      </c>
      <c r="O559" s="106">
        <v>10</v>
      </c>
      <c r="P559" s="106">
        <v>10</v>
      </c>
      <c r="Q559" s="2" t="e">
        <f t="shared" ca="1" si="137"/>
        <v>#NAME?</v>
      </c>
      <c r="R559" s="106">
        <v>10</v>
      </c>
      <c r="S559" s="106">
        <v>10</v>
      </c>
      <c r="T559" s="106">
        <v>10</v>
      </c>
      <c r="U559" s="106">
        <v>10</v>
      </c>
      <c r="V559" s="106">
        <v>10</v>
      </c>
      <c r="W559" s="54">
        <f t="shared" si="142"/>
        <v>10</v>
      </c>
      <c r="X559" s="48">
        <v>4</v>
      </c>
      <c r="Y559" s="2">
        <v>4</v>
      </c>
      <c r="Z559" s="2">
        <v>0</v>
      </c>
      <c r="AA559" s="2">
        <v>10</v>
      </c>
      <c r="AB559" s="2">
        <v>9</v>
      </c>
      <c r="AC559" s="2">
        <v>10</v>
      </c>
      <c r="AD559" s="2">
        <v>9</v>
      </c>
      <c r="AE559" s="2">
        <v>10</v>
      </c>
      <c r="AF559" s="2">
        <v>8</v>
      </c>
      <c r="AG559" s="2">
        <v>8</v>
      </c>
      <c r="AH559" s="2">
        <v>8</v>
      </c>
      <c r="AI559" s="2">
        <v>8</v>
      </c>
      <c r="AJ559" s="2">
        <v>8</v>
      </c>
      <c r="AK559" s="2">
        <v>8</v>
      </c>
      <c r="AL559" s="2">
        <v>8</v>
      </c>
      <c r="AM559" s="2">
        <v>8</v>
      </c>
      <c r="AN559" s="2">
        <v>8</v>
      </c>
      <c r="AO559" s="2">
        <v>8</v>
      </c>
      <c r="AP559" s="2">
        <v>8</v>
      </c>
      <c r="AQ559" s="2" t="e">
        <f t="shared" ca="1" si="138"/>
        <v>#NAME?</v>
      </c>
      <c r="AR559" s="2">
        <v>9</v>
      </c>
      <c r="AS559" s="2">
        <v>8</v>
      </c>
      <c r="AT559" s="2">
        <v>8</v>
      </c>
      <c r="AU559" s="2">
        <v>9</v>
      </c>
      <c r="AV559" s="2">
        <v>9</v>
      </c>
      <c r="AW559" s="54">
        <f t="shared" si="143"/>
        <v>9</v>
      </c>
      <c r="AX559" s="48"/>
      <c r="AY559" s="2"/>
      <c r="AZ559" s="5">
        <v>10</v>
      </c>
      <c r="BA559" s="5">
        <v>10</v>
      </c>
      <c r="BB559" s="5">
        <v>10</v>
      </c>
      <c r="BC559" s="5">
        <v>10</v>
      </c>
      <c r="BD559" s="5">
        <v>10</v>
      </c>
      <c r="BE559" s="5">
        <v>10</v>
      </c>
      <c r="BF559" s="5">
        <v>10</v>
      </c>
      <c r="BG559" s="5">
        <v>10</v>
      </c>
      <c r="BH559" s="5">
        <v>10</v>
      </c>
      <c r="BI559" s="5">
        <v>10</v>
      </c>
      <c r="BJ559" s="2" t="e">
        <f t="shared" ca="1" si="139"/>
        <v>#NAME?</v>
      </c>
      <c r="BK559" s="5">
        <v>10</v>
      </c>
      <c r="BL559" s="5">
        <v>5</v>
      </c>
      <c r="BM559" s="5">
        <v>10</v>
      </c>
      <c r="BN559" s="5">
        <v>10</v>
      </c>
      <c r="BO559" s="5">
        <v>10</v>
      </c>
      <c r="BP559" s="54">
        <f t="shared" si="144"/>
        <v>9</v>
      </c>
      <c r="BQ559" s="49">
        <v>5</v>
      </c>
      <c r="BR559" s="50">
        <v>0</v>
      </c>
      <c r="BS559" s="49">
        <v>10</v>
      </c>
      <c r="BT559" s="49">
        <v>10</v>
      </c>
      <c r="BU559" s="49">
        <v>10</v>
      </c>
      <c r="BV559" s="49">
        <v>9</v>
      </c>
      <c r="BW559" s="49">
        <v>10</v>
      </c>
      <c r="BX559" s="49">
        <v>10</v>
      </c>
      <c r="BY559" s="49">
        <v>10</v>
      </c>
      <c r="BZ559" s="49">
        <v>10</v>
      </c>
      <c r="CA559" s="49">
        <v>10</v>
      </c>
      <c r="CB559" s="49">
        <v>10</v>
      </c>
      <c r="CC559" s="2" t="e">
        <f t="shared" ca="1" si="140"/>
        <v>#NAME?</v>
      </c>
      <c r="CD559" s="55"/>
      <c r="CE559" s="2"/>
      <c r="CF559" s="2">
        <v>7</v>
      </c>
      <c r="CG559" s="2">
        <v>7</v>
      </c>
      <c r="CH559" s="2">
        <v>7</v>
      </c>
      <c r="CI559" s="2">
        <v>7</v>
      </c>
      <c r="CJ559" s="2">
        <v>7</v>
      </c>
      <c r="CK559" s="2">
        <v>7</v>
      </c>
      <c r="CL559" s="2">
        <v>7</v>
      </c>
      <c r="CM559" s="2">
        <v>7</v>
      </c>
      <c r="CN559" s="2">
        <v>7</v>
      </c>
      <c r="CO559" s="2">
        <v>7</v>
      </c>
      <c r="CP559" s="2" t="e">
        <f t="shared" ca="1" si="141"/>
        <v>#NAME?</v>
      </c>
      <c r="CQ559" s="2">
        <v>7</v>
      </c>
      <c r="CR559" s="2">
        <v>7</v>
      </c>
      <c r="CS559" s="2">
        <v>5</v>
      </c>
      <c r="CT559" s="2">
        <v>7</v>
      </c>
      <c r="CU559" s="2">
        <v>5</v>
      </c>
      <c r="CV559" s="54">
        <f t="shared" si="145"/>
        <v>7</v>
      </c>
      <c r="CW559" s="55">
        <v>11</v>
      </c>
      <c r="CX559" s="3"/>
    </row>
    <row r="560" spans="1:102" ht="16.5" x14ac:dyDescent="0.55000000000000004">
      <c r="A560" s="17">
        <v>4</v>
      </c>
      <c r="B560" s="17" t="s">
        <v>9</v>
      </c>
      <c r="C560" s="23" t="s">
        <v>1162</v>
      </c>
      <c r="D560" s="24" t="s">
        <v>1163</v>
      </c>
      <c r="E560" s="48">
        <v>8</v>
      </c>
      <c r="F560" s="2">
        <v>8</v>
      </c>
      <c r="G560" s="105">
        <v>10</v>
      </c>
      <c r="H560" s="105">
        <v>10</v>
      </c>
      <c r="I560" s="105">
        <v>10</v>
      </c>
      <c r="J560" s="105">
        <v>10</v>
      </c>
      <c r="K560" s="105">
        <v>10</v>
      </c>
      <c r="L560" s="105">
        <v>10</v>
      </c>
      <c r="M560" s="105">
        <v>10</v>
      </c>
      <c r="N560" s="105">
        <v>10</v>
      </c>
      <c r="O560" s="105">
        <v>10</v>
      </c>
      <c r="P560" s="105">
        <v>10</v>
      </c>
      <c r="Q560" s="2" t="e">
        <f t="shared" ca="1" si="137"/>
        <v>#NAME?</v>
      </c>
      <c r="R560" s="105">
        <v>10</v>
      </c>
      <c r="S560" s="105">
        <v>10</v>
      </c>
      <c r="T560" s="105">
        <v>10</v>
      </c>
      <c r="U560" s="105">
        <v>10</v>
      </c>
      <c r="V560" s="105">
        <v>10</v>
      </c>
      <c r="W560" s="54">
        <f t="shared" si="142"/>
        <v>10</v>
      </c>
      <c r="X560" s="48">
        <v>4</v>
      </c>
      <c r="Y560" s="2" t="s">
        <v>31</v>
      </c>
      <c r="Z560" s="2">
        <v>12</v>
      </c>
      <c r="AA560" s="2">
        <v>10</v>
      </c>
      <c r="AB560" s="2">
        <v>10</v>
      </c>
      <c r="AC560" s="2">
        <v>10</v>
      </c>
      <c r="AD560" s="2">
        <v>10</v>
      </c>
      <c r="AE560" s="2">
        <v>10</v>
      </c>
      <c r="AF560" s="2">
        <v>9</v>
      </c>
      <c r="AG560" s="2">
        <v>9</v>
      </c>
      <c r="AH560" s="2">
        <v>8</v>
      </c>
      <c r="AI560" s="2">
        <v>8</v>
      </c>
      <c r="AJ560" s="2">
        <v>8</v>
      </c>
      <c r="AK560" s="2">
        <v>8</v>
      </c>
      <c r="AL560" s="2">
        <v>8</v>
      </c>
      <c r="AM560" s="2">
        <v>8</v>
      </c>
      <c r="AN560" s="2">
        <v>8</v>
      </c>
      <c r="AO560" s="2">
        <v>8</v>
      </c>
      <c r="AP560" s="2">
        <v>8</v>
      </c>
      <c r="AQ560" s="2" t="e">
        <f t="shared" ca="1" si="138"/>
        <v>#NAME?</v>
      </c>
      <c r="AR560" s="2">
        <v>8</v>
      </c>
      <c r="AS560" s="2">
        <v>9</v>
      </c>
      <c r="AT560" s="2">
        <v>9</v>
      </c>
      <c r="AU560" s="2">
        <v>9</v>
      </c>
      <c r="AV560" s="2">
        <v>9</v>
      </c>
      <c r="AW560" s="54">
        <f t="shared" si="143"/>
        <v>9</v>
      </c>
      <c r="AX560" s="48"/>
      <c r="AY560" s="2"/>
      <c r="AZ560" s="5">
        <v>10</v>
      </c>
      <c r="BA560" s="5">
        <v>10</v>
      </c>
      <c r="BB560" s="5">
        <v>10</v>
      </c>
      <c r="BC560" s="5">
        <v>10</v>
      </c>
      <c r="BD560" s="5">
        <v>10</v>
      </c>
      <c r="BE560" s="5">
        <v>10</v>
      </c>
      <c r="BF560" s="5">
        <v>10</v>
      </c>
      <c r="BG560" s="5">
        <v>10</v>
      </c>
      <c r="BH560" s="5">
        <v>10</v>
      </c>
      <c r="BI560" s="5">
        <v>10</v>
      </c>
      <c r="BJ560" s="2" t="e">
        <f t="shared" ca="1" si="139"/>
        <v>#NAME?</v>
      </c>
      <c r="BK560" s="5">
        <v>10</v>
      </c>
      <c r="BL560" s="5">
        <v>7</v>
      </c>
      <c r="BM560" s="5">
        <v>8</v>
      </c>
      <c r="BN560" s="5">
        <v>10</v>
      </c>
      <c r="BO560" s="5">
        <v>10</v>
      </c>
      <c r="BP560" s="54">
        <f t="shared" si="144"/>
        <v>9</v>
      </c>
      <c r="BQ560" s="49">
        <v>4</v>
      </c>
      <c r="BR560" s="50">
        <v>0</v>
      </c>
      <c r="BS560" s="49">
        <v>10</v>
      </c>
      <c r="BT560" s="49">
        <v>10</v>
      </c>
      <c r="BU560" s="49">
        <v>10</v>
      </c>
      <c r="BV560" s="49">
        <v>10</v>
      </c>
      <c r="BW560" s="49">
        <v>10</v>
      </c>
      <c r="BX560" s="49">
        <v>10</v>
      </c>
      <c r="BY560" s="49">
        <v>10</v>
      </c>
      <c r="BZ560" s="49">
        <v>10</v>
      </c>
      <c r="CA560" s="49">
        <v>10</v>
      </c>
      <c r="CB560" s="49">
        <v>10</v>
      </c>
      <c r="CC560" s="2" t="e">
        <f t="shared" ca="1" si="140"/>
        <v>#NAME?</v>
      </c>
      <c r="CD560" s="55"/>
      <c r="CE560" s="2"/>
      <c r="CF560" s="2">
        <v>10</v>
      </c>
      <c r="CG560" s="2">
        <v>10</v>
      </c>
      <c r="CH560" s="2">
        <v>10</v>
      </c>
      <c r="CI560" s="2">
        <v>10</v>
      </c>
      <c r="CJ560" s="2">
        <v>10</v>
      </c>
      <c r="CK560" s="2">
        <v>10</v>
      </c>
      <c r="CL560" s="2">
        <v>10</v>
      </c>
      <c r="CM560" s="2">
        <v>10</v>
      </c>
      <c r="CN560" s="2">
        <v>10</v>
      </c>
      <c r="CO560" s="2">
        <v>10</v>
      </c>
      <c r="CP560" s="2" t="e">
        <f t="shared" ca="1" si="141"/>
        <v>#NAME?</v>
      </c>
      <c r="CQ560" s="2">
        <v>10</v>
      </c>
      <c r="CR560" s="2">
        <v>10</v>
      </c>
      <c r="CS560" s="2">
        <v>10</v>
      </c>
      <c r="CT560" s="2">
        <v>10</v>
      </c>
      <c r="CU560" s="2">
        <v>10</v>
      </c>
      <c r="CV560" s="54">
        <f t="shared" si="145"/>
        <v>10</v>
      </c>
      <c r="CW560" s="55">
        <v>11</v>
      </c>
      <c r="CX560" s="3"/>
    </row>
    <row r="561" spans="1:102" ht="16.5" x14ac:dyDescent="0.55000000000000004">
      <c r="A561" s="17">
        <v>4</v>
      </c>
      <c r="B561" s="17" t="s">
        <v>9</v>
      </c>
      <c r="C561" s="23" t="s">
        <v>1164</v>
      </c>
      <c r="D561" s="24" t="s">
        <v>1165</v>
      </c>
      <c r="E561" s="48">
        <v>7</v>
      </c>
      <c r="F561" s="2">
        <v>7</v>
      </c>
      <c r="G561" s="106">
        <v>10</v>
      </c>
      <c r="H561" s="106">
        <v>10</v>
      </c>
      <c r="I561" s="106">
        <v>10</v>
      </c>
      <c r="J561" s="106">
        <v>9</v>
      </c>
      <c r="K561" s="106">
        <v>9</v>
      </c>
      <c r="L561" s="106">
        <v>10</v>
      </c>
      <c r="M561" s="106">
        <v>10</v>
      </c>
      <c r="N561" s="106">
        <v>10</v>
      </c>
      <c r="O561" s="106">
        <v>9</v>
      </c>
      <c r="P561" s="106">
        <v>9</v>
      </c>
      <c r="Q561" s="2" t="e">
        <f t="shared" ca="1" si="137"/>
        <v>#NAME?</v>
      </c>
      <c r="R561" s="106">
        <v>9</v>
      </c>
      <c r="S561" s="106">
        <v>10</v>
      </c>
      <c r="T561" s="106">
        <v>9</v>
      </c>
      <c r="U561" s="106">
        <v>10</v>
      </c>
      <c r="V561" s="106">
        <v>10</v>
      </c>
      <c r="W561" s="54">
        <f t="shared" si="142"/>
        <v>10</v>
      </c>
      <c r="X561" s="48" t="s">
        <v>31</v>
      </c>
      <c r="Y561" s="2">
        <v>4</v>
      </c>
      <c r="Z561" s="2">
        <v>6</v>
      </c>
      <c r="AA561" s="2">
        <v>10</v>
      </c>
      <c r="AB561" s="2">
        <v>10</v>
      </c>
      <c r="AC561" s="2">
        <v>10</v>
      </c>
      <c r="AD561" s="2">
        <v>7</v>
      </c>
      <c r="AE561" s="2">
        <v>8</v>
      </c>
      <c r="AF561" s="2">
        <v>8</v>
      </c>
      <c r="AG561" s="2">
        <v>9</v>
      </c>
      <c r="AH561" s="2">
        <v>9</v>
      </c>
      <c r="AI561" s="2">
        <v>7</v>
      </c>
      <c r="AJ561" s="2">
        <v>7</v>
      </c>
      <c r="AK561" s="2">
        <v>7</v>
      </c>
      <c r="AL561" s="2">
        <v>7</v>
      </c>
      <c r="AM561" s="2">
        <v>7</v>
      </c>
      <c r="AN561" s="2">
        <v>7</v>
      </c>
      <c r="AO561" s="2">
        <v>7</v>
      </c>
      <c r="AP561" s="2">
        <v>7</v>
      </c>
      <c r="AQ561" s="2" t="e">
        <f t="shared" ca="1" si="138"/>
        <v>#NAME?</v>
      </c>
      <c r="AR561" s="2">
        <v>10</v>
      </c>
      <c r="AS561" s="2">
        <v>6</v>
      </c>
      <c r="AT561" s="2">
        <v>7</v>
      </c>
      <c r="AU561" s="2">
        <v>9</v>
      </c>
      <c r="AV561" s="2">
        <v>9</v>
      </c>
      <c r="AW561" s="54">
        <f t="shared" si="143"/>
        <v>9</v>
      </c>
      <c r="AX561" s="48"/>
      <c r="AY561" s="2"/>
      <c r="AZ561" s="2">
        <v>10</v>
      </c>
      <c r="BA561" s="2">
        <v>10</v>
      </c>
      <c r="BB561" s="2">
        <v>5</v>
      </c>
      <c r="BC561" s="2">
        <v>5</v>
      </c>
      <c r="BD561" s="2">
        <v>5</v>
      </c>
      <c r="BE561" s="2">
        <v>5</v>
      </c>
      <c r="BF561" s="2">
        <v>5</v>
      </c>
      <c r="BG561" s="2">
        <v>5</v>
      </c>
      <c r="BH561" s="2">
        <v>5</v>
      </c>
      <c r="BI561" s="2">
        <v>5</v>
      </c>
      <c r="BJ561" s="2" t="e">
        <f t="shared" ca="1" si="139"/>
        <v>#NAME?</v>
      </c>
      <c r="BK561" s="2">
        <v>5</v>
      </c>
      <c r="BL561" s="2">
        <v>7</v>
      </c>
      <c r="BM561" s="2">
        <v>8</v>
      </c>
      <c r="BN561" s="2">
        <v>10</v>
      </c>
      <c r="BO561" s="2">
        <v>5</v>
      </c>
      <c r="BP561" s="54">
        <f t="shared" si="144"/>
        <v>7</v>
      </c>
      <c r="BQ561" s="49">
        <v>0</v>
      </c>
      <c r="BR561" s="50">
        <v>0</v>
      </c>
      <c r="BS561" s="49">
        <v>9</v>
      </c>
      <c r="BT561" s="49">
        <v>9</v>
      </c>
      <c r="BU561" s="49">
        <v>9</v>
      </c>
      <c r="BV561" s="49">
        <v>9</v>
      </c>
      <c r="BW561" s="49">
        <v>9</v>
      </c>
      <c r="BX561" s="49">
        <v>9</v>
      </c>
      <c r="BY561" s="49">
        <v>9</v>
      </c>
      <c r="BZ561" s="49">
        <v>9</v>
      </c>
      <c r="CA561" s="49">
        <v>9</v>
      </c>
      <c r="CB561" s="49">
        <v>9</v>
      </c>
      <c r="CC561" s="2" t="e">
        <f t="shared" ca="1" si="140"/>
        <v>#NAME?</v>
      </c>
      <c r="CD561" s="55"/>
      <c r="CE561" s="2"/>
      <c r="CF561" s="2">
        <v>7</v>
      </c>
      <c r="CG561" s="2">
        <v>7</v>
      </c>
      <c r="CH561" s="2">
        <v>7</v>
      </c>
      <c r="CI561" s="2">
        <v>5</v>
      </c>
      <c r="CJ561" s="2">
        <v>5</v>
      </c>
      <c r="CK561" s="2">
        <v>5</v>
      </c>
      <c r="CL561" s="2">
        <v>5</v>
      </c>
      <c r="CM561" s="2">
        <v>5</v>
      </c>
      <c r="CN561" s="2">
        <v>5</v>
      </c>
      <c r="CO561" s="2">
        <v>5</v>
      </c>
      <c r="CP561" s="2" t="e">
        <f t="shared" ca="1" si="141"/>
        <v>#NAME?</v>
      </c>
      <c r="CQ561" s="2">
        <v>5</v>
      </c>
      <c r="CR561" s="2">
        <v>5</v>
      </c>
      <c r="CS561" s="2">
        <v>5</v>
      </c>
      <c r="CT561" s="2">
        <v>5</v>
      </c>
      <c r="CU561" s="2">
        <v>5</v>
      </c>
      <c r="CV561" s="54">
        <f t="shared" si="145"/>
        <v>5</v>
      </c>
      <c r="CW561" s="55">
        <v>6</v>
      </c>
      <c r="CX561" s="3"/>
    </row>
    <row r="562" spans="1:102" ht="16.5" x14ac:dyDescent="0.55000000000000004">
      <c r="A562" s="17">
        <v>4</v>
      </c>
      <c r="B562" s="17" t="s">
        <v>9</v>
      </c>
      <c r="C562" s="23" t="s">
        <v>1166</v>
      </c>
      <c r="D562" s="24" t="s">
        <v>1167</v>
      </c>
      <c r="E562" s="48">
        <v>7</v>
      </c>
      <c r="F562" s="2">
        <v>7</v>
      </c>
      <c r="G562" s="105">
        <v>10</v>
      </c>
      <c r="H562" s="105">
        <v>10</v>
      </c>
      <c r="I562" s="105">
        <v>10</v>
      </c>
      <c r="J562" s="105">
        <v>9</v>
      </c>
      <c r="K562" s="105">
        <v>9</v>
      </c>
      <c r="L562" s="105">
        <v>10</v>
      </c>
      <c r="M562" s="105">
        <v>10</v>
      </c>
      <c r="N562" s="105">
        <v>10</v>
      </c>
      <c r="O562" s="105">
        <v>9</v>
      </c>
      <c r="P562" s="105">
        <v>9</v>
      </c>
      <c r="Q562" s="2" t="e">
        <f t="shared" ca="1" si="137"/>
        <v>#NAME?</v>
      </c>
      <c r="R562" s="105">
        <v>9</v>
      </c>
      <c r="S562" s="105">
        <v>9</v>
      </c>
      <c r="T562" s="105">
        <v>9</v>
      </c>
      <c r="U562" s="105">
        <v>10</v>
      </c>
      <c r="V562" s="105">
        <v>10</v>
      </c>
      <c r="W562" s="54">
        <f t="shared" si="142"/>
        <v>10</v>
      </c>
      <c r="X562" s="48" t="s">
        <v>31</v>
      </c>
      <c r="Y562" s="2">
        <v>3</v>
      </c>
      <c r="Z562" s="2">
        <v>7</v>
      </c>
      <c r="AA562" s="2">
        <v>10</v>
      </c>
      <c r="AB562" s="2">
        <v>10</v>
      </c>
      <c r="AC562" s="2">
        <v>10</v>
      </c>
      <c r="AD562" s="2">
        <v>7</v>
      </c>
      <c r="AE562" s="2">
        <v>8</v>
      </c>
      <c r="AF562" s="2">
        <v>8</v>
      </c>
      <c r="AG562" s="2">
        <v>9</v>
      </c>
      <c r="AH562" s="2">
        <v>9</v>
      </c>
      <c r="AI562" s="2">
        <v>7</v>
      </c>
      <c r="AJ562" s="2">
        <v>7</v>
      </c>
      <c r="AK562" s="2">
        <v>7</v>
      </c>
      <c r="AL562" s="2">
        <v>7</v>
      </c>
      <c r="AM562" s="2">
        <v>7</v>
      </c>
      <c r="AN562" s="2">
        <v>7</v>
      </c>
      <c r="AO562" s="2">
        <v>7</v>
      </c>
      <c r="AP562" s="2">
        <v>7</v>
      </c>
      <c r="AQ562" s="2" t="e">
        <f t="shared" ca="1" si="138"/>
        <v>#NAME?</v>
      </c>
      <c r="AR562" s="2">
        <v>9</v>
      </c>
      <c r="AS562" s="2">
        <v>9</v>
      </c>
      <c r="AT562" s="2">
        <v>7</v>
      </c>
      <c r="AU562" s="2">
        <v>8</v>
      </c>
      <c r="AV562" s="2">
        <v>8</v>
      </c>
      <c r="AW562" s="54">
        <f t="shared" si="143"/>
        <v>9</v>
      </c>
      <c r="AX562" s="48"/>
      <c r="AY562" s="2"/>
      <c r="AZ562" s="2">
        <v>10</v>
      </c>
      <c r="BA562" s="2">
        <v>10</v>
      </c>
      <c r="BB562" s="2">
        <v>5</v>
      </c>
      <c r="BC562" s="2">
        <v>5</v>
      </c>
      <c r="BD562" s="2">
        <v>5</v>
      </c>
      <c r="BE562" s="2">
        <v>5</v>
      </c>
      <c r="BF562" s="2">
        <v>5</v>
      </c>
      <c r="BG562" s="2">
        <v>5</v>
      </c>
      <c r="BH562" s="2">
        <v>5</v>
      </c>
      <c r="BI562" s="2">
        <v>5</v>
      </c>
      <c r="BJ562" s="2" t="e">
        <f t="shared" ca="1" si="139"/>
        <v>#NAME?</v>
      </c>
      <c r="BK562" s="2">
        <v>3</v>
      </c>
      <c r="BL562" s="2">
        <v>4</v>
      </c>
      <c r="BM562" s="2">
        <v>4</v>
      </c>
      <c r="BN562" s="2">
        <v>4</v>
      </c>
      <c r="BO562" s="2">
        <v>4</v>
      </c>
      <c r="BP562" s="54">
        <f t="shared" si="144"/>
        <v>4</v>
      </c>
      <c r="BQ562" s="49">
        <v>0</v>
      </c>
      <c r="BR562" s="50">
        <v>0</v>
      </c>
      <c r="BS562" s="49">
        <v>9</v>
      </c>
      <c r="BT562" s="49">
        <v>9</v>
      </c>
      <c r="BU562" s="49">
        <v>9</v>
      </c>
      <c r="BV562" s="49">
        <v>9</v>
      </c>
      <c r="BW562" s="49">
        <v>9</v>
      </c>
      <c r="BX562" s="49">
        <v>10</v>
      </c>
      <c r="BY562" s="49">
        <v>10</v>
      </c>
      <c r="BZ562" s="49">
        <v>10</v>
      </c>
      <c r="CA562" s="49">
        <v>10</v>
      </c>
      <c r="CB562" s="49">
        <v>10</v>
      </c>
      <c r="CC562" s="2" t="e">
        <f t="shared" ca="1" si="140"/>
        <v>#NAME?</v>
      </c>
      <c r="CD562" s="55"/>
      <c r="CE562" s="2"/>
      <c r="CF562" s="2">
        <v>6</v>
      </c>
      <c r="CG562" s="2">
        <v>7</v>
      </c>
      <c r="CH562" s="2">
        <v>7</v>
      </c>
      <c r="CI562" s="2">
        <v>5</v>
      </c>
      <c r="CJ562" s="2">
        <v>5</v>
      </c>
      <c r="CK562" s="2">
        <v>5</v>
      </c>
      <c r="CL562" s="2">
        <v>5</v>
      </c>
      <c r="CM562" s="2">
        <v>5</v>
      </c>
      <c r="CN562" s="2">
        <v>5</v>
      </c>
      <c r="CO562" s="2">
        <v>5</v>
      </c>
      <c r="CP562" s="2" t="e">
        <f t="shared" ca="1" si="141"/>
        <v>#NAME?</v>
      </c>
      <c r="CQ562" s="2">
        <v>5</v>
      </c>
      <c r="CR562" s="2">
        <v>5</v>
      </c>
      <c r="CS562" s="2">
        <v>5</v>
      </c>
      <c r="CT562" s="2">
        <v>5</v>
      </c>
      <c r="CU562" s="2">
        <v>5</v>
      </c>
      <c r="CV562" s="54">
        <f t="shared" si="145"/>
        <v>5</v>
      </c>
      <c r="CW562" s="55">
        <v>7</v>
      </c>
      <c r="CX562" s="3"/>
    </row>
    <row r="563" spans="1:102" ht="16.5" x14ac:dyDescent="0.55000000000000004">
      <c r="A563" s="17">
        <v>4</v>
      </c>
      <c r="B563" s="17" t="s">
        <v>9</v>
      </c>
      <c r="C563" s="23" t="s">
        <v>1168</v>
      </c>
      <c r="D563" s="24" t="s">
        <v>1169</v>
      </c>
      <c r="E563" s="48">
        <v>7</v>
      </c>
      <c r="F563" s="2">
        <v>7</v>
      </c>
      <c r="G563" s="106">
        <v>10</v>
      </c>
      <c r="H563" s="106">
        <v>10</v>
      </c>
      <c r="I563" s="106">
        <v>10</v>
      </c>
      <c r="J563" s="106">
        <v>10</v>
      </c>
      <c r="K563" s="106">
        <v>10</v>
      </c>
      <c r="L563" s="106">
        <v>10</v>
      </c>
      <c r="M563" s="106">
        <v>10</v>
      </c>
      <c r="N563" s="106">
        <v>10</v>
      </c>
      <c r="O563" s="106">
        <v>10</v>
      </c>
      <c r="P563" s="106">
        <v>10</v>
      </c>
      <c r="Q563" s="2" t="e">
        <f t="shared" ca="1" si="137"/>
        <v>#NAME?</v>
      </c>
      <c r="R563" s="106">
        <v>10</v>
      </c>
      <c r="S563" s="106">
        <v>10</v>
      </c>
      <c r="T563" s="106">
        <v>10</v>
      </c>
      <c r="U563" s="106">
        <v>10</v>
      </c>
      <c r="V563" s="106">
        <v>10</v>
      </c>
      <c r="W563" s="54">
        <f t="shared" si="142"/>
        <v>10</v>
      </c>
      <c r="X563" s="48" t="s">
        <v>31</v>
      </c>
      <c r="Y563" s="2">
        <v>3</v>
      </c>
      <c r="Z563" s="2">
        <v>13</v>
      </c>
      <c r="AA563" s="2">
        <v>10</v>
      </c>
      <c r="AB563" s="2">
        <v>10</v>
      </c>
      <c r="AC563" s="2">
        <v>10</v>
      </c>
      <c r="AD563" s="2">
        <v>10</v>
      </c>
      <c r="AE563" s="2">
        <v>7</v>
      </c>
      <c r="AF563" s="2">
        <v>8</v>
      </c>
      <c r="AG563" s="2">
        <v>9</v>
      </c>
      <c r="AH563" s="2">
        <v>9</v>
      </c>
      <c r="AI563" s="2">
        <v>7</v>
      </c>
      <c r="AJ563" s="2">
        <v>8</v>
      </c>
      <c r="AK563" s="2">
        <v>8</v>
      </c>
      <c r="AL563" s="2">
        <v>8</v>
      </c>
      <c r="AM563" s="2">
        <v>8</v>
      </c>
      <c r="AN563" s="2">
        <v>8</v>
      </c>
      <c r="AO563" s="2">
        <v>8</v>
      </c>
      <c r="AP563" s="2">
        <v>8</v>
      </c>
      <c r="AQ563" s="2" t="e">
        <f t="shared" ca="1" si="138"/>
        <v>#NAME?</v>
      </c>
      <c r="AR563" s="2">
        <v>10</v>
      </c>
      <c r="AS563" s="2">
        <v>9</v>
      </c>
      <c r="AT563" s="2">
        <v>9</v>
      </c>
      <c r="AU563" s="2">
        <v>9</v>
      </c>
      <c r="AV563" s="2">
        <v>9</v>
      </c>
      <c r="AW563" s="54">
        <f t="shared" si="143"/>
        <v>10</v>
      </c>
      <c r="AX563" s="48"/>
      <c r="AY563" s="2"/>
      <c r="AZ563" s="2">
        <v>5</v>
      </c>
      <c r="BA563" s="2">
        <v>5</v>
      </c>
      <c r="BB563" s="2">
        <v>5</v>
      </c>
      <c r="BC563" s="2">
        <v>5</v>
      </c>
      <c r="BD563" s="2">
        <v>5</v>
      </c>
      <c r="BE563" s="2">
        <v>5</v>
      </c>
      <c r="BF563" s="2">
        <v>5</v>
      </c>
      <c r="BG563" s="2">
        <v>5</v>
      </c>
      <c r="BH563" s="2">
        <v>5</v>
      </c>
      <c r="BI563" s="2">
        <v>5</v>
      </c>
      <c r="BJ563" s="2" t="e">
        <f t="shared" ca="1" si="139"/>
        <v>#NAME?</v>
      </c>
      <c r="BK563" s="2">
        <v>5</v>
      </c>
      <c r="BL563" s="2">
        <v>5</v>
      </c>
      <c r="BM563" s="2">
        <v>5</v>
      </c>
      <c r="BN563" s="2">
        <v>5</v>
      </c>
      <c r="BO563" s="2">
        <v>5</v>
      </c>
      <c r="BP563" s="54">
        <f t="shared" si="144"/>
        <v>5</v>
      </c>
      <c r="BQ563" s="49">
        <v>14</v>
      </c>
      <c r="BR563" s="50">
        <v>0</v>
      </c>
      <c r="BS563" s="49">
        <v>10</v>
      </c>
      <c r="BT563" s="49">
        <v>10</v>
      </c>
      <c r="BU563" s="49">
        <v>10</v>
      </c>
      <c r="BV563" s="49">
        <v>10</v>
      </c>
      <c r="BW563" s="49">
        <v>10</v>
      </c>
      <c r="BX563" s="49">
        <v>10</v>
      </c>
      <c r="BY563" s="49">
        <v>10</v>
      </c>
      <c r="BZ563" s="49">
        <v>10</v>
      </c>
      <c r="CA563" s="49">
        <v>10</v>
      </c>
      <c r="CB563" s="49">
        <v>10</v>
      </c>
      <c r="CC563" s="2" t="e">
        <f t="shared" ca="1" si="140"/>
        <v>#NAME?</v>
      </c>
      <c r="CD563" s="55"/>
      <c r="CE563" s="2"/>
      <c r="CF563" s="2">
        <v>7</v>
      </c>
      <c r="CG563" s="2">
        <v>7</v>
      </c>
      <c r="CH563" s="2">
        <v>7</v>
      </c>
      <c r="CI563" s="2">
        <v>7</v>
      </c>
      <c r="CJ563" s="2">
        <v>8</v>
      </c>
      <c r="CK563" s="2">
        <v>7</v>
      </c>
      <c r="CL563" s="2">
        <v>8</v>
      </c>
      <c r="CM563" s="2">
        <v>7</v>
      </c>
      <c r="CN563" s="2">
        <v>8</v>
      </c>
      <c r="CO563" s="2">
        <v>7</v>
      </c>
      <c r="CP563" s="2" t="e">
        <f t="shared" ca="1" si="141"/>
        <v>#NAME?</v>
      </c>
      <c r="CQ563" s="2">
        <v>8</v>
      </c>
      <c r="CR563" s="2">
        <v>7</v>
      </c>
      <c r="CS563" s="2">
        <v>8</v>
      </c>
      <c r="CT563" s="2">
        <v>7</v>
      </c>
      <c r="CU563" s="2">
        <v>8</v>
      </c>
      <c r="CV563" s="54">
        <f t="shared" si="145"/>
        <v>8</v>
      </c>
      <c r="CW563" s="55">
        <v>6</v>
      </c>
      <c r="CX563" s="3"/>
    </row>
    <row r="564" spans="1:102" ht="16.5" x14ac:dyDescent="0.55000000000000004">
      <c r="A564" s="17">
        <v>4</v>
      </c>
      <c r="B564" s="17" t="s">
        <v>9</v>
      </c>
      <c r="C564" s="23" t="s">
        <v>1170</v>
      </c>
      <c r="D564" s="24" t="s">
        <v>1171</v>
      </c>
      <c r="E564" s="48">
        <v>7</v>
      </c>
      <c r="F564" s="2">
        <v>8</v>
      </c>
      <c r="G564" s="105">
        <v>10</v>
      </c>
      <c r="H564" s="105">
        <v>10</v>
      </c>
      <c r="I564" s="105">
        <v>10</v>
      </c>
      <c r="J564" s="105">
        <v>10</v>
      </c>
      <c r="K564" s="105">
        <v>10</v>
      </c>
      <c r="L564" s="105">
        <v>10</v>
      </c>
      <c r="M564" s="105">
        <v>10</v>
      </c>
      <c r="N564" s="105">
        <v>10</v>
      </c>
      <c r="O564" s="105">
        <v>10</v>
      </c>
      <c r="P564" s="105">
        <v>10</v>
      </c>
      <c r="Q564" s="2" t="e">
        <f t="shared" ca="1" si="137"/>
        <v>#NAME?</v>
      </c>
      <c r="R564" s="105">
        <v>10</v>
      </c>
      <c r="S564" s="105">
        <v>10</v>
      </c>
      <c r="T564" s="105">
        <v>10</v>
      </c>
      <c r="U564" s="105">
        <v>10</v>
      </c>
      <c r="V564" s="105">
        <v>10</v>
      </c>
      <c r="W564" s="54">
        <f t="shared" si="142"/>
        <v>10</v>
      </c>
      <c r="X564" s="48">
        <v>4</v>
      </c>
      <c r="Y564" s="2">
        <v>5</v>
      </c>
      <c r="Z564" s="2">
        <v>3</v>
      </c>
      <c r="AA564" s="2">
        <v>10</v>
      </c>
      <c r="AB564" s="2">
        <v>9</v>
      </c>
      <c r="AC564" s="2">
        <v>10</v>
      </c>
      <c r="AD564" s="2">
        <v>10</v>
      </c>
      <c r="AE564" s="2">
        <v>10</v>
      </c>
      <c r="AF564" s="2">
        <v>10</v>
      </c>
      <c r="AG564" s="2">
        <v>9</v>
      </c>
      <c r="AH564" s="2">
        <v>9</v>
      </c>
      <c r="AI564" s="2">
        <v>8</v>
      </c>
      <c r="AJ564" s="2">
        <v>8</v>
      </c>
      <c r="AK564" s="2">
        <v>8</v>
      </c>
      <c r="AL564" s="2">
        <v>8</v>
      </c>
      <c r="AM564" s="2">
        <v>8</v>
      </c>
      <c r="AN564" s="2">
        <v>8</v>
      </c>
      <c r="AO564" s="2">
        <v>8</v>
      </c>
      <c r="AP564" s="2">
        <v>8</v>
      </c>
      <c r="AQ564" s="2" t="e">
        <f t="shared" ca="1" si="138"/>
        <v>#NAME?</v>
      </c>
      <c r="AR564" s="2">
        <v>9</v>
      </c>
      <c r="AS564" s="2">
        <v>9</v>
      </c>
      <c r="AT564" s="2">
        <v>9</v>
      </c>
      <c r="AU564" s="2">
        <v>8</v>
      </c>
      <c r="AV564" s="2">
        <v>9</v>
      </c>
      <c r="AW564" s="54">
        <f t="shared" si="143"/>
        <v>9</v>
      </c>
      <c r="AX564" s="48"/>
      <c r="AY564" s="2"/>
      <c r="AZ564" s="2">
        <v>10</v>
      </c>
      <c r="BA564" s="2">
        <v>10</v>
      </c>
      <c r="BB564" s="2">
        <v>5</v>
      </c>
      <c r="BC564" s="2">
        <v>5</v>
      </c>
      <c r="BD564" s="2">
        <v>5</v>
      </c>
      <c r="BE564" s="2">
        <v>5</v>
      </c>
      <c r="BF564" s="2">
        <v>5</v>
      </c>
      <c r="BG564" s="2">
        <v>5</v>
      </c>
      <c r="BH564" s="2">
        <v>5</v>
      </c>
      <c r="BI564" s="2">
        <v>5</v>
      </c>
      <c r="BJ564" s="2" t="e">
        <f t="shared" ca="1" si="139"/>
        <v>#NAME?</v>
      </c>
      <c r="BK564" s="2">
        <v>10</v>
      </c>
      <c r="BL564" s="2">
        <v>5</v>
      </c>
      <c r="BM564" s="2">
        <v>5</v>
      </c>
      <c r="BN564" s="2">
        <v>5</v>
      </c>
      <c r="BO564" s="2">
        <v>5</v>
      </c>
      <c r="BP564" s="54">
        <f t="shared" si="144"/>
        <v>6</v>
      </c>
      <c r="BQ564" s="49">
        <v>0</v>
      </c>
      <c r="BR564" s="50">
        <v>0</v>
      </c>
      <c r="BS564" s="49">
        <v>10</v>
      </c>
      <c r="BT564" s="49">
        <v>10</v>
      </c>
      <c r="BU564" s="49">
        <v>10</v>
      </c>
      <c r="BV564" s="49">
        <v>10</v>
      </c>
      <c r="BW564" s="49">
        <v>10</v>
      </c>
      <c r="BX564" s="49">
        <v>10</v>
      </c>
      <c r="BY564" s="49">
        <v>10</v>
      </c>
      <c r="BZ564" s="49">
        <v>10</v>
      </c>
      <c r="CA564" s="49">
        <v>10</v>
      </c>
      <c r="CB564" s="49">
        <v>10</v>
      </c>
      <c r="CC564" s="2" t="e">
        <f t="shared" ca="1" si="140"/>
        <v>#NAME?</v>
      </c>
      <c r="CD564" s="55"/>
      <c r="CE564" s="2"/>
      <c r="CF564" s="2">
        <v>10</v>
      </c>
      <c r="CG564" s="2">
        <v>10</v>
      </c>
      <c r="CH564" s="2">
        <v>10</v>
      </c>
      <c r="CI564" s="2">
        <v>10</v>
      </c>
      <c r="CJ564" s="2">
        <v>10</v>
      </c>
      <c r="CK564" s="2">
        <v>5</v>
      </c>
      <c r="CL564" s="2">
        <v>5</v>
      </c>
      <c r="CM564" s="2">
        <v>7</v>
      </c>
      <c r="CN564" s="2">
        <v>5</v>
      </c>
      <c r="CO564" s="2">
        <v>10</v>
      </c>
      <c r="CP564" s="2" t="e">
        <f t="shared" ca="1" si="141"/>
        <v>#NAME?</v>
      </c>
      <c r="CQ564" s="2">
        <v>10</v>
      </c>
      <c r="CR564" s="2">
        <v>10</v>
      </c>
      <c r="CS564" s="2">
        <v>10</v>
      </c>
      <c r="CT564" s="2">
        <v>10</v>
      </c>
      <c r="CU564" s="2">
        <v>10</v>
      </c>
      <c r="CV564" s="54">
        <f t="shared" si="145"/>
        <v>10</v>
      </c>
      <c r="CW564" s="55">
        <v>5</v>
      </c>
      <c r="CX564" s="3"/>
    </row>
    <row r="565" spans="1:102" ht="16.5" x14ac:dyDescent="0.55000000000000004">
      <c r="A565" s="17">
        <v>4</v>
      </c>
      <c r="B565" s="17" t="s">
        <v>9</v>
      </c>
      <c r="C565" s="23" t="s">
        <v>1172</v>
      </c>
      <c r="D565" s="24" t="s">
        <v>1173</v>
      </c>
      <c r="E565" s="48">
        <v>5</v>
      </c>
      <c r="F565" s="2">
        <v>5</v>
      </c>
      <c r="G565" s="106">
        <v>9</v>
      </c>
      <c r="H565" s="106">
        <v>10</v>
      </c>
      <c r="I565" s="106">
        <v>9</v>
      </c>
      <c r="J565" s="106">
        <v>9</v>
      </c>
      <c r="K565" s="106">
        <v>10</v>
      </c>
      <c r="L565" s="106">
        <v>9</v>
      </c>
      <c r="M565" s="106">
        <v>10</v>
      </c>
      <c r="N565" s="106">
        <v>9</v>
      </c>
      <c r="O565" s="106">
        <v>10</v>
      </c>
      <c r="P565" s="106">
        <v>9</v>
      </c>
      <c r="Q565" s="2" t="e">
        <f t="shared" ca="1" si="137"/>
        <v>#NAME?</v>
      </c>
      <c r="R565" s="106">
        <v>9</v>
      </c>
      <c r="S565" s="106">
        <v>10</v>
      </c>
      <c r="T565" s="106">
        <v>9</v>
      </c>
      <c r="U565" s="106">
        <v>10</v>
      </c>
      <c r="V565" s="106">
        <v>9</v>
      </c>
      <c r="W565" s="54">
        <f t="shared" si="142"/>
        <v>10</v>
      </c>
      <c r="X565" s="48">
        <v>6</v>
      </c>
      <c r="Y565" s="2">
        <v>4</v>
      </c>
      <c r="Z565" s="2">
        <v>13</v>
      </c>
      <c r="AA565" s="2">
        <v>9</v>
      </c>
      <c r="AB565" s="2">
        <v>9</v>
      </c>
      <c r="AC565" s="2">
        <v>9</v>
      </c>
      <c r="AD565" s="2">
        <v>10</v>
      </c>
      <c r="AE565" s="2">
        <v>7</v>
      </c>
      <c r="AF565" s="2">
        <v>8</v>
      </c>
      <c r="AG565" s="2">
        <v>9</v>
      </c>
      <c r="AH565" s="2">
        <v>9</v>
      </c>
      <c r="AI565" s="2">
        <v>10</v>
      </c>
      <c r="AJ565" s="2">
        <v>8</v>
      </c>
      <c r="AK565" s="2">
        <v>8</v>
      </c>
      <c r="AL565" s="2">
        <v>8</v>
      </c>
      <c r="AM565" s="2">
        <v>8</v>
      </c>
      <c r="AN565" s="2">
        <v>8</v>
      </c>
      <c r="AO565" s="2">
        <v>8</v>
      </c>
      <c r="AP565" s="2">
        <v>8</v>
      </c>
      <c r="AQ565" s="2" t="e">
        <f t="shared" ca="1" si="138"/>
        <v>#NAME?</v>
      </c>
      <c r="AR565" s="2">
        <v>9</v>
      </c>
      <c r="AS565" s="2">
        <v>9</v>
      </c>
      <c r="AT565" s="2">
        <v>9</v>
      </c>
      <c r="AU565" s="2">
        <v>8</v>
      </c>
      <c r="AV565" s="2">
        <v>9</v>
      </c>
      <c r="AW565" s="54">
        <f t="shared" si="143"/>
        <v>9</v>
      </c>
      <c r="AX565" s="48"/>
      <c r="AY565" s="2"/>
      <c r="AZ565" s="2">
        <v>10</v>
      </c>
      <c r="BA565" s="2">
        <v>10</v>
      </c>
      <c r="BB565" s="2">
        <v>5</v>
      </c>
      <c r="BC565" s="2">
        <v>5</v>
      </c>
      <c r="BD565" s="2">
        <v>5</v>
      </c>
      <c r="BE565" s="2">
        <v>5</v>
      </c>
      <c r="BF565" s="2">
        <v>5</v>
      </c>
      <c r="BG565" s="2">
        <v>5</v>
      </c>
      <c r="BH565" s="2">
        <v>5</v>
      </c>
      <c r="BI565" s="2">
        <v>5</v>
      </c>
      <c r="BJ565" s="2" t="e">
        <f t="shared" ca="1" si="139"/>
        <v>#NAME?</v>
      </c>
      <c r="BK565" s="2">
        <v>5</v>
      </c>
      <c r="BL565" s="2">
        <v>5</v>
      </c>
      <c r="BM565" s="2">
        <v>5</v>
      </c>
      <c r="BN565" s="2">
        <v>5</v>
      </c>
      <c r="BO565" s="2">
        <v>5</v>
      </c>
      <c r="BP565" s="54">
        <f t="shared" si="144"/>
        <v>5</v>
      </c>
      <c r="BQ565" s="49">
        <v>0</v>
      </c>
      <c r="BR565" s="50">
        <v>0</v>
      </c>
      <c r="BS565" s="49">
        <v>10</v>
      </c>
      <c r="BT565" s="49">
        <v>10</v>
      </c>
      <c r="BU565" s="49">
        <v>10</v>
      </c>
      <c r="BV565" s="49">
        <v>10</v>
      </c>
      <c r="BW565" s="49">
        <v>10</v>
      </c>
      <c r="BX565" s="49">
        <v>10</v>
      </c>
      <c r="BY565" s="49">
        <v>10</v>
      </c>
      <c r="BZ565" s="49">
        <v>10</v>
      </c>
      <c r="CA565" s="49">
        <v>10</v>
      </c>
      <c r="CB565" s="49">
        <v>10</v>
      </c>
      <c r="CC565" s="2" t="e">
        <f t="shared" ca="1" si="140"/>
        <v>#NAME?</v>
      </c>
      <c r="CD565" s="55"/>
      <c r="CE565" s="2"/>
      <c r="CF565" s="2">
        <v>8</v>
      </c>
      <c r="CG565" s="2">
        <v>9</v>
      </c>
      <c r="CH565" s="2">
        <v>10</v>
      </c>
      <c r="CI565" s="2">
        <v>10</v>
      </c>
      <c r="CJ565" s="2">
        <v>10</v>
      </c>
      <c r="CK565" s="2">
        <v>7</v>
      </c>
      <c r="CL565" s="2">
        <v>8</v>
      </c>
      <c r="CM565" s="2">
        <v>10</v>
      </c>
      <c r="CN565" s="2">
        <v>10</v>
      </c>
      <c r="CO565" s="2">
        <v>10</v>
      </c>
      <c r="CP565" s="2" t="e">
        <f t="shared" ca="1" si="141"/>
        <v>#NAME?</v>
      </c>
      <c r="CQ565" s="2">
        <v>10</v>
      </c>
      <c r="CR565" s="2">
        <v>10</v>
      </c>
      <c r="CS565" s="2">
        <v>10</v>
      </c>
      <c r="CT565" s="2">
        <v>10</v>
      </c>
      <c r="CU565" s="2">
        <v>10</v>
      </c>
      <c r="CV565" s="54">
        <f t="shared" si="145"/>
        <v>10</v>
      </c>
      <c r="CW565" s="55">
        <v>13</v>
      </c>
      <c r="CX565" s="3"/>
    </row>
    <row r="566" spans="1:102" ht="16.5" x14ac:dyDescent="0.55000000000000004">
      <c r="A566" s="17">
        <v>4</v>
      </c>
      <c r="B566" s="17" t="s">
        <v>9</v>
      </c>
      <c r="C566" s="23" t="s">
        <v>1174</v>
      </c>
      <c r="D566" s="24" t="s">
        <v>1175</v>
      </c>
      <c r="E566" s="48">
        <v>5</v>
      </c>
      <c r="F566" s="2">
        <v>5</v>
      </c>
      <c r="G566" s="105">
        <v>9</v>
      </c>
      <c r="H566" s="105">
        <v>10</v>
      </c>
      <c r="I566" s="105">
        <v>9</v>
      </c>
      <c r="J566" s="105">
        <v>9</v>
      </c>
      <c r="K566" s="105">
        <v>10</v>
      </c>
      <c r="L566" s="105">
        <v>9</v>
      </c>
      <c r="M566" s="105">
        <v>10</v>
      </c>
      <c r="N566" s="105">
        <v>9</v>
      </c>
      <c r="O566" s="105">
        <v>9</v>
      </c>
      <c r="P566" s="105">
        <v>9</v>
      </c>
      <c r="Q566" s="2" t="e">
        <f t="shared" ca="1" si="137"/>
        <v>#NAME?</v>
      </c>
      <c r="R566" s="105">
        <v>9</v>
      </c>
      <c r="S566" s="105">
        <v>10</v>
      </c>
      <c r="T566" s="105">
        <v>9</v>
      </c>
      <c r="U566" s="105">
        <v>10</v>
      </c>
      <c r="V566" s="105">
        <v>9</v>
      </c>
      <c r="W566" s="54">
        <f t="shared" si="142"/>
        <v>10</v>
      </c>
      <c r="X566" s="48" t="s">
        <v>31</v>
      </c>
      <c r="Y566" s="2">
        <v>5</v>
      </c>
      <c r="Z566" s="2" t="s">
        <v>31</v>
      </c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 t="e">
        <f t="shared" ca="1" si="138"/>
        <v>#NAME?</v>
      </c>
      <c r="AR566" s="2"/>
      <c r="AS566" s="2"/>
      <c r="AT566" s="2"/>
      <c r="AU566" s="2"/>
      <c r="AV566" s="2"/>
      <c r="AW566" s="54">
        <f t="shared" si="143"/>
        <v>0</v>
      </c>
      <c r="AX566" s="48"/>
      <c r="AY566" s="2"/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 t="e">
        <f t="shared" ca="1" si="139"/>
        <v>#NAME?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54">
        <f t="shared" si="144"/>
        <v>0</v>
      </c>
      <c r="BQ566" s="49">
        <v>0</v>
      </c>
      <c r="BR566" s="50">
        <v>0</v>
      </c>
      <c r="BS566" s="50">
        <v>0</v>
      </c>
      <c r="BT566" s="50">
        <v>0</v>
      </c>
      <c r="BU566" s="50">
        <v>0</v>
      </c>
      <c r="BV566" s="50">
        <v>0</v>
      </c>
      <c r="BW566" s="50">
        <v>0</v>
      </c>
      <c r="BX566" s="50">
        <v>0</v>
      </c>
      <c r="BY566" s="50">
        <v>0</v>
      </c>
      <c r="BZ566" s="50">
        <v>0</v>
      </c>
      <c r="CA566" s="50">
        <v>0</v>
      </c>
      <c r="CB566" s="50">
        <v>0</v>
      </c>
      <c r="CC566" s="2" t="e">
        <f t="shared" ca="1" si="140"/>
        <v>#NAME?</v>
      </c>
      <c r="CD566" s="55"/>
      <c r="CE566" s="2"/>
      <c r="CF566" s="8">
        <v>0</v>
      </c>
      <c r="CG566" s="8">
        <v>0</v>
      </c>
      <c r="CH566" s="8">
        <v>0</v>
      </c>
      <c r="CI566" s="8">
        <v>0</v>
      </c>
      <c r="CJ566" s="8">
        <v>0</v>
      </c>
      <c r="CK566" s="8">
        <v>0</v>
      </c>
      <c r="CL566" s="8">
        <v>0</v>
      </c>
      <c r="CM566" s="8">
        <v>0</v>
      </c>
      <c r="CN566" s="8">
        <v>0</v>
      </c>
      <c r="CO566" s="8">
        <v>0</v>
      </c>
      <c r="CP566" s="2" t="e">
        <f t="shared" ca="1" si="141"/>
        <v>#NAME?</v>
      </c>
      <c r="CQ566" s="8">
        <v>0</v>
      </c>
      <c r="CR566" s="8">
        <v>0</v>
      </c>
      <c r="CS566" s="8">
        <v>0</v>
      </c>
      <c r="CT566" s="8">
        <v>0</v>
      </c>
      <c r="CU566" s="8">
        <v>0</v>
      </c>
      <c r="CV566" s="54">
        <f t="shared" si="145"/>
        <v>0</v>
      </c>
      <c r="CW566" s="55" t="s">
        <v>31</v>
      </c>
      <c r="CX566" s="3"/>
    </row>
    <row r="567" spans="1:102" ht="16.5" x14ac:dyDescent="0.55000000000000004">
      <c r="A567" s="17">
        <v>4</v>
      </c>
      <c r="B567" s="17" t="s">
        <v>9</v>
      </c>
      <c r="C567" s="23" t="s">
        <v>1176</v>
      </c>
      <c r="D567" s="24" t="s">
        <v>1177</v>
      </c>
      <c r="E567" s="48">
        <v>8</v>
      </c>
      <c r="F567" s="2">
        <v>8</v>
      </c>
      <c r="G567" s="106">
        <v>10</v>
      </c>
      <c r="H567" s="106">
        <v>10</v>
      </c>
      <c r="I567" s="106">
        <v>10</v>
      </c>
      <c r="J567" s="106">
        <v>10</v>
      </c>
      <c r="K567" s="106">
        <v>10</v>
      </c>
      <c r="L567" s="106">
        <v>10</v>
      </c>
      <c r="M567" s="106">
        <v>10</v>
      </c>
      <c r="N567" s="106">
        <v>10</v>
      </c>
      <c r="O567" s="105">
        <v>10</v>
      </c>
      <c r="P567" s="105">
        <v>10</v>
      </c>
      <c r="Q567" s="2" t="e">
        <f t="shared" ca="1" si="137"/>
        <v>#NAME?</v>
      </c>
      <c r="R567" s="106">
        <v>10</v>
      </c>
      <c r="S567" s="106">
        <v>10</v>
      </c>
      <c r="T567" s="106">
        <v>10</v>
      </c>
      <c r="U567" s="106">
        <v>10</v>
      </c>
      <c r="V567" s="106">
        <v>10</v>
      </c>
      <c r="W567" s="54">
        <f t="shared" si="142"/>
        <v>10</v>
      </c>
      <c r="X567" s="48" t="s">
        <v>31</v>
      </c>
      <c r="Y567" s="2">
        <v>6</v>
      </c>
      <c r="Z567" s="2">
        <v>9</v>
      </c>
      <c r="AA567" s="2">
        <v>10</v>
      </c>
      <c r="AB567" s="2">
        <v>10</v>
      </c>
      <c r="AC567" s="2">
        <v>10</v>
      </c>
      <c r="AD567" s="2">
        <v>10</v>
      </c>
      <c r="AE567" s="2">
        <v>10</v>
      </c>
      <c r="AF567" s="2">
        <v>9</v>
      </c>
      <c r="AG567" s="2">
        <v>9</v>
      </c>
      <c r="AH567" s="2">
        <v>9</v>
      </c>
      <c r="AI567" s="2">
        <v>9</v>
      </c>
      <c r="AJ567" s="2">
        <v>8</v>
      </c>
      <c r="AK567" s="2">
        <v>8</v>
      </c>
      <c r="AL567" s="2">
        <v>8</v>
      </c>
      <c r="AM567" s="2">
        <v>8</v>
      </c>
      <c r="AN567" s="2">
        <v>8</v>
      </c>
      <c r="AO567" s="2">
        <v>8</v>
      </c>
      <c r="AP567" s="2">
        <v>8</v>
      </c>
      <c r="AQ567" s="2" t="e">
        <f t="shared" ca="1" si="138"/>
        <v>#NAME?</v>
      </c>
      <c r="AR567" s="2">
        <v>10</v>
      </c>
      <c r="AS567" s="2">
        <v>10</v>
      </c>
      <c r="AT567" s="2">
        <v>7</v>
      </c>
      <c r="AU567" s="2">
        <v>9</v>
      </c>
      <c r="AV567" s="2">
        <v>9</v>
      </c>
      <c r="AW567" s="54">
        <f t="shared" si="143"/>
        <v>9</v>
      </c>
      <c r="AX567" s="48"/>
      <c r="AY567" s="2"/>
      <c r="AZ567" s="2">
        <v>10</v>
      </c>
      <c r="BA567" s="2">
        <v>10</v>
      </c>
      <c r="BB567" s="2">
        <v>10</v>
      </c>
      <c r="BC567" s="2">
        <v>6</v>
      </c>
      <c r="BD567" s="2">
        <v>6</v>
      </c>
      <c r="BE567" s="2">
        <v>6</v>
      </c>
      <c r="BF567" s="2">
        <v>6</v>
      </c>
      <c r="BG567" s="2">
        <v>7</v>
      </c>
      <c r="BH567" s="2">
        <v>7</v>
      </c>
      <c r="BI567" s="2">
        <v>7</v>
      </c>
      <c r="BJ567" s="2" t="e">
        <f t="shared" ca="1" si="139"/>
        <v>#NAME?</v>
      </c>
      <c r="BK567" s="5">
        <v>10</v>
      </c>
      <c r="BL567" s="5">
        <v>7</v>
      </c>
      <c r="BM567" s="2">
        <v>6</v>
      </c>
      <c r="BN567" s="2">
        <v>6</v>
      </c>
      <c r="BO567" s="2">
        <v>6</v>
      </c>
      <c r="BP567" s="54">
        <f t="shared" si="144"/>
        <v>7</v>
      </c>
      <c r="BQ567" s="49">
        <v>11</v>
      </c>
      <c r="BR567" s="50">
        <v>0</v>
      </c>
      <c r="BS567" s="49">
        <v>10</v>
      </c>
      <c r="BT567" s="49">
        <v>10</v>
      </c>
      <c r="BU567" s="49">
        <v>10</v>
      </c>
      <c r="BV567" s="49">
        <v>10</v>
      </c>
      <c r="BW567" s="49">
        <v>10</v>
      </c>
      <c r="BX567" s="49">
        <v>10</v>
      </c>
      <c r="BY567" s="49">
        <v>10</v>
      </c>
      <c r="BZ567" s="49">
        <v>10</v>
      </c>
      <c r="CA567" s="49">
        <v>10</v>
      </c>
      <c r="CB567" s="49">
        <v>10</v>
      </c>
      <c r="CC567" s="2" t="e">
        <f t="shared" ca="1" si="140"/>
        <v>#NAME?</v>
      </c>
      <c r="CD567" s="55"/>
      <c r="CE567" s="2"/>
      <c r="CF567" s="2">
        <v>10</v>
      </c>
      <c r="CG567" s="2">
        <v>10</v>
      </c>
      <c r="CH567" s="2">
        <v>10</v>
      </c>
      <c r="CI567" s="2">
        <v>7</v>
      </c>
      <c r="CJ567" s="2">
        <v>7</v>
      </c>
      <c r="CK567" s="2">
        <v>7</v>
      </c>
      <c r="CL567" s="2">
        <v>7</v>
      </c>
      <c r="CM567" s="2">
        <v>7</v>
      </c>
      <c r="CN567" s="2">
        <v>7</v>
      </c>
      <c r="CO567" s="2">
        <v>7</v>
      </c>
      <c r="CP567" s="2" t="e">
        <f t="shared" ca="1" si="141"/>
        <v>#NAME?</v>
      </c>
      <c r="CQ567" s="2">
        <v>10</v>
      </c>
      <c r="CR567" s="2">
        <v>7</v>
      </c>
      <c r="CS567" s="2">
        <v>8</v>
      </c>
      <c r="CT567" s="2">
        <v>5</v>
      </c>
      <c r="CU567" s="2">
        <v>5</v>
      </c>
      <c r="CV567" s="54">
        <f t="shared" si="145"/>
        <v>7</v>
      </c>
      <c r="CW567" s="55">
        <v>14</v>
      </c>
      <c r="CX567" s="3"/>
    </row>
    <row r="568" spans="1:102" ht="16.5" x14ac:dyDescent="0.55000000000000004">
      <c r="A568" s="17">
        <v>4</v>
      </c>
      <c r="B568" s="17" t="s">
        <v>9</v>
      </c>
      <c r="C568" s="23" t="s">
        <v>1178</v>
      </c>
      <c r="D568" s="24" t="s">
        <v>1179</v>
      </c>
      <c r="E568" s="48">
        <v>8</v>
      </c>
      <c r="F568" s="2">
        <v>8</v>
      </c>
      <c r="G568" s="105">
        <v>10</v>
      </c>
      <c r="H568" s="105">
        <v>10</v>
      </c>
      <c r="I568" s="105">
        <v>10</v>
      </c>
      <c r="J568" s="105">
        <v>10</v>
      </c>
      <c r="K568" s="105">
        <v>10</v>
      </c>
      <c r="L568" s="105">
        <v>10</v>
      </c>
      <c r="M568" s="105">
        <v>10</v>
      </c>
      <c r="N568" s="105">
        <v>10</v>
      </c>
      <c r="O568" s="105">
        <v>10</v>
      </c>
      <c r="P568" s="105">
        <v>10</v>
      </c>
      <c r="Q568" s="2" t="e">
        <f t="shared" ca="1" si="137"/>
        <v>#NAME?</v>
      </c>
      <c r="R568" s="105">
        <v>10</v>
      </c>
      <c r="S568" s="105">
        <v>10</v>
      </c>
      <c r="T568" s="105">
        <v>10</v>
      </c>
      <c r="U568" s="105">
        <v>10</v>
      </c>
      <c r="V568" s="105">
        <v>10</v>
      </c>
      <c r="W568" s="54">
        <f t="shared" si="142"/>
        <v>10</v>
      </c>
      <c r="X568" s="48" t="s">
        <v>31</v>
      </c>
      <c r="Y568" s="2" t="s">
        <v>31</v>
      </c>
      <c r="Z568" s="2" t="s">
        <v>31</v>
      </c>
      <c r="AA568" s="2">
        <v>10</v>
      </c>
      <c r="AB568" s="2">
        <v>10</v>
      </c>
      <c r="AC568" s="2">
        <v>4</v>
      </c>
      <c r="AD568" s="2">
        <v>4</v>
      </c>
      <c r="AE568" s="2">
        <v>4</v>
      </c>
      <c r="AF568" s="2">
        <v>4</v>
      </c>
      <c r="AG568" s="2">
        <v>4</v>
      </c>
      <c r="AH568" s="2">
        <v>4</v>
      </c>
      <c r="AI568" s="2">
        <v>4</v>
      </c>
      <c r="AJ568" s="2">
        <v>4</v>
      </c>
      <c r="AK568" s="2">
        <v>4</v>
      </c>
      <c r="AL568" s="2">
        <v>4</v>
      </c>
      <c r="AM568" s="2">
        <v>4</v>
      </c>
      <c r="AN568" s="2">
        <v>4</v>
      </c>
      <c r="AO568" s="2">
        <v>4</v>
      </c>
      <c r="AP568" s="2">
        <v>4</v>
      </c>
      <c r="AQ568" s="2" t="e">
        <f t="shared" ca="1" si="138"/>
        <v>#NAME?</v>
      </c>
      <c r="AR568" s="2">
        <v>10</v>
      </c>
      <c r="AS568" s="2">
        <v>4</v>
      </c>
      <c r="AT568" s="2">
        <v>4</v>
      </c>
      <c r="AU568" s="2">
        <v>4</v>
      </c>
      <c r="AV568" s="2">
        <v>4</v>
      </c>
      <c r="AW568" s="54">
        <f t="shared" si="143"/>
        <v>6</v>
      </c>
      <c r="AX568" s="48"/>
      <c r="AY568" s="2"/>
      <c r="AZ568" s="2">
        <v>10</v>
      </c>
      <c r="BA568" s="2">
        <v>5</v>
      </c>
      <c r="BB568" s="2">
        <v>5</v>
      </c>
      <c r="BC568" s="2">
        <v>5</v>
      </c>
      <c r="BD568" s="2">
        <v>5</v>
      </c>
      <c r="BE568" s="2">
        <v>5</v>
      </c>
      <c r="BF568" s="2">
        <v>5</v>
      </c>
      <c r="BG568" s="2">
        <v>5</v>
      </c>
      <c r="BH568" s="2">
        <v>5</v>
      </c>
      <c r="BI568" s="2">
        <v>5</v>
      </c>
      <c r="BJ568" s="2" t="e">
        <f t="shared" ca="1" si="139"/>
        <v>#NAME?</v>
      </c>
      <c r="BK568" s="5">
        <v>10</v>
      </c>
      <c r="BL568" s="2">
        <v>5</v>
      </c>
      <c r="BM568" s="2">
        <v>5</v>
      </c>
      <c r="BN568" s="2">
        <v>5</v>
      </c>
      <c r="BO568" s="2">
        <v>5</v>
      </c>
      <c r="BP568" s="54">
        <f t="shared" si="144"/>
        <v>6</v>
      </c>
      <c r="BQ568" s="49">
        <v>0</v>
      </c>
      <c r="BR568" s="50">
        <v>0</v>
      </c>
      <c r="BS568" s="49">
        <v>9</v>
      </c>
      <c r="BT568" s="49">
        <v>9</v>
      </c>
      <c r="BU568" s="49">
        <v>9</v>
      </c>
      <c r="BV568" s="49">
        <v>9</v>
      </c>
      <c r="BW568" s="49">
        <v>9</v>
      </c>
      <c r="BX568" s="49">
        <v>9</v>
      </c>
      <c r="BY568" s="49">
        <v>9</v>
      </c>
      <c r="BZ568" s="50">
        <v>9</v>
      </c>
      <c r="CA568" s="50">
        <v>9</v>
      </c>
      <c r="CB568" s="50">
        <v>9</v>
      </c>
      <c r="CC568" s="2" t="e">
        <f t="shared" ca="1" si="140"/>
        <v>#NAME?</v>
      </c>
      <c r="CD568" s="55"/>
      <c r="CE568" s="2"/>
      <c r="CF568" s="2">
        <v>7</v>
      </c>
      <c r="CG568" s="2">
        <v>7</v>
      </c>
      <c r="CH568" s="2">
        <v>7</v>
      </c>
      <c r="CI568" s="2">
        <v>7</v>
      </c>
      <c r="CJ568" s="2">
        <v>5</v>
      </c>
      <c r="CK568" s="2">
        <v>7</v>
      </c>
      <c r="CL568" s="2">
        <v>5</v>
      </c>
      <c r="CM568" s="2">
        <v>7</v>
      </c>
      <c r="CN568" s="2">
        <v>5</v>
      </c>
      <c r="CO568" s="2">
        <v>7</v>
      </c>
      <c r="CP568" s="2" t="e">
        <f t="shared" ca="1" si="141"/>
        <v>#NAME?</v>
      </c>
      <c r="CQ568" s="2">
        <v>7</v>
      </c>
      <c r="CR568" s="2">
        <v>5</v>
      </c>
      <c r="CS568" s="2">
        <v>7</v>
      </c>
      <c r="CT568" s="2">
        <v>5</v>
      </c>
      <c r="CU568" s="2">
        <v>7</v>
      </c>
      <c r="CV568" s="54">
        <f t="shared" si="145"/>
        <v>7</v>
      </c>
      <c r="CW568" s="55" t="s">
        <v>31</v>
      </c>
      <c r="CX568" s="3"/>
    </row>
    <row r="569" spans="1:102" ht="16.5" x14ac:dyDescent="0.55000000000000004">
      <c r="A569" s="17">
        <v>4</v>
      </c>
      <c r="B569" s="17" t="s">
        <v>9</v>
      </c>
      <c r="C569" s="23" t="s">
        <v>1180</v>
      </c>
      <c r="D569" s="24" t="s">
        <v>1181</v>
      </c>
      <c r="E569" s="48">
        <v>8</v>
      </c>
      <c r="F569" s="2">
        <v>8</v>
      </c>
      <c r="G569" s="106">
        <v>10</v>
      </c>
      <c r="H569" s="106">
        <v>10</v>
      </c>
      <c r="I569" s="105">
        <v>10</v>
      </c>
      <c r="J569" s="105">
        <v>10</v>
      </c>
      <c r="K569" s="105">
        <v>10</v>
      </c>
      <c r="L569" s="105">
        <v>10</v>
      </c>
      <c r="M569" s="105">
        <v>10</v>
      </c>
      <c r="N569" s="105">
        <v>10</v>
      </c>
      <c r="O569" s="105">
        <v>10</v>
      </c>
      <c r="P569" s="105">
        <v>10</v>
      </c>
      <c r="Q569" s="2" t="e">
        <f t="shared" ca="1" si="137"/>
        <v>#NAME?</v>
      </c>
      <c r="R569" s="105">
        <v>10</v>
      </c>
      <c r="S569" s="105">
        <v>10</v>
      </c>
      <c r="T569" s="105">
        <v>10</v>
      </c>
      <c r="U569" s="105">
        <v>10</v>
      </c>
      <c r="V569" s="105">
        <v>10</v>
      </c>
      <c r="W569" s="54">
        <f t="shared" si="142"/>
        <v>10</v>
      </c>
      <c r="X569" s="48">
        <v>5</v>
      </c>
      <c r="Y569" s="2" t="s">
        <v>31</v>
      </c>
      <c r="Z569" s="2">
        <v>6</v>
      </c>
      <c r="AA569" s="2">
        <v>9</v>
      </c>
      <c r="AB569" s="2">
        <v>9</v>
      </c>
      <c r="AC569" s="2">
        <v>9</v>
      </c>
      <c r="AD569" s="2">
        <v>10</v>
      </c>
      <c r="AE569" s="2">
        <v>7</v>
      </c>
      <c r="AF569" s="2">
        <v>8</v>
      </c>
      <c r="AG569" s="2">
        <v>9</v>
      </c>
      <c r="AH569" s="2">
        <v>9</v>
      </c>
      <c r="AI569" s="2">
        <v>8</v>
      </c>
      <c r="AJ569" s="2">
        <v>8</v>
      </c>
      <c r="AK569" s="2">
        <v>8</v>
      </c>
      <c r="AL569" s="2">
        <v>8</v>
      </c>
      <c r="AM569" s="2">
        <v>8</v>
      </c>
      <c r="AN569" s="2">
        <v>8</v>
      </c>
      <c r="AO569" s="2">
        <v>8</v>
      </c>
      <c r="AP569" s="2">
        <v>8</v>
      </c>
      <c r="AQ569" s="2" t="e">
        <f t="shared" ca="1" si="138"/>
        <v>#NAME?</v>
      </c>
      <c r="AR569" s="2">
        <v>9</v>
      </c>
      <c r="AS569" s="2">
        <v>9</v>
      </c>
      <c r="AT569" s="2">
        <v>8</v>
      </c>
      <c r="AU569" s="2">
        <v>9</v>
      </c>
      <c r="AV569" s="2">
        <v>9</v>
      </c>
      <c r="AW569" s="54">
        <f t="shared" si="143"/>
        <v>9</v>
      </c>
      <c r="AX569" s="48"/>
      <c r="AY569" s="2"/>
      <c r="AZ569" s="2">
        <v>5</v>
      </c>
      <c r="BA569" s="2">
        <v>5</v>
      </c>
      <c r="BB569" s="2">
        <v>5</v>
      </c>
      <c r="BC569" s="2">
        <v>5</v>
      </c>
      <c r="BD569" s="2">
        <v>5</v>
      </c>
      <c r="BE569" s="2">
        <v>5</v>
      </c>
      <c r="BF569" s="2">
        <v>5</v>
      </c>
      <c r="BG569" s="2">
        <v>5</v>
      </c>
      <c r="BH569" s="2">
        <v>5</v>
      </c>
      <c r="BI569" s="2">
        <v>5</v>
      </c>
      <c r="BJ569" s="2" t="e">
        <f t="shared" ca="1" si="139"/>
        <v>#NAME?</v>
      </c>
      <c r="BK569" s="2">
        <v>3</v>
      </c>
      <c r="BL569" s="2">
        <v>5</v>
      </c>
      <c r="BM569" s="2">
        <v>10</v>
      </c>
      <c r="BN569" s="2">
        <v>10</v>
      </c>
      <c r="BO569" s="2">
        <v>10</v>
      </c>
      <c r="BP569" s="54">
        <f t="shared" si="144"/>
        <v>8</v>
      </c>
      <c r="BQ569" s="49">
        <v>0</v>
      </c>
      <c r="BR569" s="50">
        <v>0</v>
      </c>
      <c r="BS569" s="49">
        <v>9</v>
      </c>
      <c r="BT569" s="49">
        <v>9</v>
      </c>
      <c r="BU569" s="49">
        <v>9</v>
      </c>
      <c r="BV569" s="49">
        <v>9</v>
      </c>
      <c r="BW569" s="49">
        <v>9</v>
      </c>
      <c r="BX569" s="49">
        <v>10</v>
      </c>
      <c r="BY569" s="49">
        <v>10</v>
      </c>
      <c r="BZ569" s="49">
        <v>10</v>
      </c>
      <c r="CA569" s="49">
        <v>10</v>
      </c>
      <c r="CB569" s="49">
        <v>10</v>
      </c>
      <c r="CC569" s="2" t="e">
        <f t="shared" ca="1" si="140"/>
        <v>#NAME?</v>
      </c>
      <c r="CD569" s="55"/>
      <c r="CE569" s="2"/>
      <c r="CF569" s="2">
        <v>7</v>
      </c>
      <c r="CG569" s="2">
        <v>7</v>
      </c>
      <c r="CH569" s="2">
        <v>7</v>
      </c>
      <c r="CI569" s="2">
        <v>5</v>
      </c>
      <c r="CJ569" s="2">
        <v>5</v>
      </c>
      <c r="CK569" s="2">
        <v>5</v>
      </c>
      <c r="CL569" s="2">
        <v>5</v>
      </c>
      <c r="CM569" s="2">
        <v>5</v>
      </c>
      <c r="CN569" s="2">
        <v>5</v>
      </c>
      <c r="CO569" s="2">
        <v>5</v>
      </c>
      <c r="CP569" s="2" t="e">
        <f t="shared" ca="1" si="141"/>
        <v>#NAME?</v>
      </c>
      <c r="CQ569" s="2">
        <v>5</v>
      </c>
      <c r="CR569" s="2">
        <v>5</v>
      </c>
      <c r="CS569" s="2">
        <v>5</v>
      </c>
      <c r="CT569" s="2">
        <v>5</v>
      </c>
      <c r="CU569" s="2">
        <v>5</v>
      </c>
      <c r="CV569" s="54">
        <f t="shared" si="145"/>
        <v>5</v>
      </c>
      <c r="CW569" s="55">
        <v>4</v>
      </c>
      <c r="CX569" s="3"/>
    </row>
    <row r="570" spans="1:102" ht="16.5" x14ac:dyDescent="0.55000000000000004">
      <c r="A570" s="17">
        <v>4</v>
      </c>
      <c r="B570" s="17" t="s">
        <v>9</v>
      </c>
      <c r="C570" s="23" t="s">
        <v>1182</v>
      </c>
      <c r="D570" s="24" t="s">
        <v>1183</v>
      </c>
      <c r="E570" s="48">
        <v>8</v>
      </c>
      <c r="F570" s="2">
        <v>7</v>
      </c>
      <c r="G570" s="105">
        <v>10</v>
      </c>
      <c r="H570" s="105">
        <v>10</v>
      </c>
      <c r="I570" s="105">
        <v>10</v>
      </c>
      <c r="J570" s="105">
        <v>10</v>
      </c>
      <c r="K570" s="105">
        <v>10</v>
      </c>
      <c r="L570" s="105">
        <v>10</v>
      </c>
      <c r="M570" s="105">
        <v>10</v>
      </c>
      <c r="N570" s="105">
        <v>10</v>
      </c>
      <c r="O570" s="105">
        <v>10</v>
      </c>
      <c r="P570" s="105">
        <v>10</v>
      </c>
      <c r="Q570" s="2" t="e">
        <f t="shared" ca="1" si="137"/>
        <v>#NAME?</v>
      </c>
      <c r="R570" s="105">
        <v>10</v>
      </c>
      <c r="S570" s="105">
        <v>10</v>
      </c>
      <c r="T570" s="105">
        <v>10</v>
      </c>
      <c r="U570" s="105">
        <v>10</v>
      </c>
      <c r="V570" s="105">
        <v>10</v>
      </c>
      <c r="W570" s="54">
        <f t="shared" si="142"/>
        <v>10</v>
      </c>
      <c r="X570" s="48" t="s">
        <v>31</v>
      </c>
      <c r="Y570" s="2">
        <v>2</v>
      </c>
      <c r="Z570" s="2">
        <v>4</v>
      </c>
      <c r="AA570" s="2">
        <v>9</v>
      </c>
      <c r="AB570" s="2">
        <v>10</v>
      </c>
      <c r="AC570" s="2">
        <v>9</v>
      </c>
      <c r="AD570" s="2">
        <v>7</v>
      </c>
      <c r="AE570" s="2">
        <v>8</v>
      </c>
      <c r="AF570" s="2">
        <v>8</v>
      </c>
      <c r="AG570" s="2">
        <v>9</v>
      </c>
      <c r="AH570" s="2">
        <v>9</v>
      </c>
      <c r="AI570" s="2">
        <v>10</v>
      </c>
      <c r="AJ570" s="2">
        <v>3</v>
      </c>
      <c r="AK570" s="2">
        <v>3</v>
      </c>
      <c r="AL570" s="2">
        <v>3</v>
      </c>
      <c r="AM570" s="2">
        <v>3</v>
      </c>
      <c r="AN570" s="2">
        <v>3</v>
      </c>
      <c r="AO570" s="2">
        <v>3</v>
      </c>
      <c r="AP570" s="2">
        <v>3</v>
      </c>
      <c r="AQ570" s="2" t="e">
        <f t="shared" ca="1" si="138"/>
        <v>#NAME?</v>
      </c>
      <c r="AR570" s="2">
        <v>9</v>
      </c>
      <c r="AS570" s="2">
        <v>9</v>
      </c>
      <c r="AT570" s="2">
        <v>7</v>
      </c>
      <c r="AU570" s="2">
        <v>9</v>
      </c>
      <c r="AV570" s="2">
        <v>9</v>
      </c>
      <c r="AW570" s="54">
        <f t="shared" si="143"/>
        <v>9</v>
      </c>
      <c r="AX570" s="48"/>
      <c r="AY570" s="2"/>
      <c r="AZ570" s="2">
        <v>3</v>
      </c>
      <c r="BA570" s="2">
        <v>5</v>
      </c>
      <c r="BB570" s="2">
        <v>5</v>
      </c>
      <c r="BC570" s="2">
        <v>8</v>
      </c>
      <c r="BD570" s="2">
        <v>10</v>
      </c>
      <c r="BE570" s="2">
        <v>10</v>
      </c>
      <c r="BF570" s="2">
        <v>10</v>
      </c>
      <c r="BG570" s="2">
        <v>10</v>
      </c>
      <c r="BH570" s="2">
        <v>10</v>
      </c>
      <c r="BI570" s="2">
        <v>10</v>
      </c>
      <c r="BJ570" s="2" t="e">
        <f t="shared" ca="1" si="139"/>
        <v>#NAME?</v>
      </c>
      <c r="BK570" s="2">
        <v>3</v>
      </c>
      <c r="BL570" s="2">
        <v>5</v>
      </c>
      <c r="BM570" s="2">
        <v>5</v>
      </c>
      <c r="BN570" s="2">
        <v>8</v>
      </c>
      <c r="BO570" s="2">
        <v>10</v>
      </c>
      <c r="BP570" s="54">
        <f t="shared" si="144"/>
        <v>7</v>
      </c>
      <c r="BQ570" s="49">
        <v>14</v>
      </c>
      <c r="BR570" s="50">
        <v>0</v>
      </c>
      <c r="BS570" s="49">
        <v>9</v>
      </c>
      <c r="BT570" s="49">
        <v>9</v>
      </c>
      <c r="BU570" s="49">
        <v>9</v>
      </c>
      <c r="BV570" s="49">
        <v>9</v>
      </c>
      <c r="BW570" s="49">
        <v>9</v>
      </c>
      <c r="BX570" s="49">
        <v>9</v>
      </c>
      <c r="BY570" s="49">
        <v>9</v>
      </c>
      <c r="BZ570" s="49">
        <v>9</v>
      </c>
      <c r="CA570" s="49">
        <v>9</v>
      </c>
      <c r="CB570" s="49">
        <v>9</v>
      </c>
      <c r="CC570" s="2" t="e">
        <f t="shared" ca="1" si="140"/>
        <v>#NAME?</v>
      </c>
      <c r="CD570" s="55"/>
      <c r="CE570" s="2"/>
      <c r="CF570" s="2">
        <v>5</v>
      </c>
      <c r="CG570" s="2">
        <v>5</v>
      </c>
      <c r="CH570" s="2">
        <v>5</v>
      </c>
      <c r="CI570" s="2">
        <v>5</v>
      </c>
      <c r="CJ570" s="2">
        <v>5</v>
      </c>
      <c r="CK570" s="2">
        <v>5</v>
      </c>
      <c r="CL570" s="2">
        <v>5</v>
      </c>
      <c r="CM570" s="2">
        <v>5</v>
      </c>
      <c r="CN570" s="2">
        <v>5</v>
      </c>
      <c r="CO570" s="2">
        <v>5</v>
      </c>
      <c r="CP570" s="2" t="e">
        <f t="shared" ca="1" si="141"/>
        <v>#NAME?</v>
      </c>
      <c r="CQ570" s="2">
        <v>5</v>
      </c>
      <c r="CR570" s="2">
        <v>5</v>
      </c>
      <c r="CS570" s="2">
        <v>5</v>
      </c>
      <c r="CT570" s="2">
        <v>5</v>
      </c>
      <c r="CU570" s="2">
        <v>5</v>
      </c>
      <c r="CV570" s="54">
        <f t="shared" si="145"/>
        <v>5</v>
      </c>
      <c r="CW570" s="55">
        <v>2</v>
      </c>
      <c r="CX570" s="3"/>
    </row>
    <row r="571" spans="1:102" ht="16.5" x14ac:dyDescent="0.55000000000000004">
      <c r="A571" s="17">
        <v>4</v>
      </c>
      <c r="B571" s="17" t="s">
        <v>9</v>
      </c>
      <c r="C571" s="23" t="s">
        <v>1184</v>
      </c>
      <c r="D571" s="24" t="s">
        <v>1185</v>
      </c>
      <c r="E571" s="48">
        <v>8</v>
      </c>
      <c r="F571" s="2">
        <v>9</v>
      </c>
      <c r="G571" s="106">
        <v>10</v>
      </c>
      <c r="H571" s="106">
        <v>10</v>
      </c>
      <c r="I571" s="106">
        <v>10</v>
      </c>
      <c r="J571" s="106">
        <v>10</v>
      </c>
      <c r="K571" s="106">
        <v>10</v>
      </c>
      <c r="L571" s="106">
        <v>10</v>
      </c>
      <c r="M571" s="106">
        <v>10</v>
      </c>
      <c r="N571" s="106">
        <v>10</v>
      </c>
      <c r="O571" s="106">
        <v>10</v>
      </c>
      <c r="P571" s="106">
        <v>10</v>
      </c>
      <c r="Q571" s="2" t="e">
        <f t="shared" ca="1" si="137"/>
        <v>#NAME?</v>
      </c>
      <c r="R571" s="106">
        <v>10</v>
      </c>
      <c r="S571" s="106">
        <v>10</v>
      </c>
      <c r="T571" s="106">
        <v>10</v>
      </c>
      <c r="U571" s="106">
        <v>10</v>
      </c>
      <c r="V571" s="106">
        <v>10</v>
      </c>
      <c r="W571" s="54">
        <f t="shared" si="142"/>
        <v>10</v>
      </c>
      <c r="X571" s="48">
        <v>4</v>
      </c>
      <c r="Y571" s="2">
        <v>8</v>
      </c>
      <c r="Z571" s="2">
        <v>6</v>
      </c>
      <c r="AA571" s="2">
        <v>9</v>
      </c>
      <c r="AB571" s="2">
        <v>10</v>
      </c>
      <c r="AC571" s="2">
        <v>10</v>
      </c>
      <c r="AD571" s="2">
        <v>10</v>
      </c>
      <c r="AE571" s="2">
        <v>10</v>
      </c>
      <c r="AF571" s="2">
        <v>8</v>
      </c>
      <c r="AG571" s="2">
        <v>8</v>
      </c>
      <c r="AH571" s="2">
        <v>8</v>
      </c>
      <c r="AI571" s="2">
        <v>8</v>
      </c>
      <c r="AJ571" s="2">
        <v>8</v>
      </c>
      <c r="AK571" s="2">
        <v>8</v>
      </c>
      <c r="AL571" s="2">
        <v>8</v>
      </c>
      <c r="AM571" s="2">
        <v>8</v>
      </c>
      <c r="AN571" s="2">
        <v>8</v>
      </c>
      <c r="AO571" s="2">
        <v>8</v>
      </c>
      <c r="AP571" s="2">
        <v>8</v>
      </c>
      <c r="AQ571" s="2" t="e">
        <f t="shared" ca="1" si="138"/>
        <v>#NAME?</v>
      </c>
      <c r="AR571" s="2">
        <v>10</v>
      </c>
      <c r="AS571" s="2">
        <v>10</v>
      </c>
      <c r="AT571" s="2">
        <v>9</v>
      </c>
      <c r="AU571" s="2">
        <v>10</v>
      </c>
      <c r="AV571" s="2">
        <v>9</v>
      </c>
      <c r="AW571" s="54">
        <f t="shared" si="143"/>
        <v>10</v>
      </c>
      <c r="AX571" s="48"/>
      <c r="AY571" s="2"/>
      <c r="AZ571" s="2">
        <v>10</v>
      </c>
      <c r="BA571" s="2">
        <v>10</v>
      </c>
      <c r="BB571" s="2">
        <v>10</v>
      </c>
      <c r="BC571" s="5">
        <v>10</v>
      </c>
      <c r="BD571" s="5">
        <v>10</v>
      </c>
      <c r="BE571" s="5">
        <v>10</v>
      </c>
      <c r="BF571" s="5">
        <v>10</v>
      </c>
      <c r="BG571" s="5">
        <v>10</v>
      </c>
      <c r="BH571" s="5">
        <v>10</v>
      </c>
      <c r="BI571" s="5">
        <v>10</v>
      </c>
      <c r="BJ571" s="2" t="e">
        <f t="shared" ca="1" si="139"/>
        <v>#NAME?</v>
      </c>
      <c r="BK571" s="5">
        <v>10</v>
      </c>
      <c r="BL571" s="5">
        <v>10</v>
      </c>
      <c r="BM571" s="5">
        <v>10</v>
      </c>
      <c r="BN571" s="5">
        <v>10</v>
      </c>
      <c r="BO571" s="5">
        <v>10</v>
      </c>
      <c r="BP571" s="54">
        <f t="shared" si="144"/>
        <v>10</v>
      </c>
      <c r="BQ571" s="49">
        <v>10</v>
      </c>
      <c r="BR571" s="50">
        <v>0</v>
      </c>
      <c r="BS571" s="49">
        <v>10</v>
      </c>
      <c r="BT571" s="49">
        <v>10</v>
      </c>
      <c r="BU571" s="49">
        <v>10</v>
      </c>
      <c r="BV571" s="49">
        <v>10</v>
      </c>
      <c r="BW571" s="49">
        <v>10</v>
      </c>
      <c r="BX571" s="49">
        <v>10</v>
      </c>
      <c r="BY571" s="49">
        <v>10</v>
      </c>
      <c r="BZ571" s="49">
        <v>10</v>
      </c>
      <c r="CA571" s="49">
        <v>10</v>
      </c>
      <c r="CB571" s="49">
        <v>10</v>
      </c>
      <c r="CC571" s="2" t="e">
        <f t="shared" ca="1" si="140"/>
        <v>#NAME?</v>
      </c>
      <c r="CD571" s="55"/>
      <c r="CE571" s="2"/>
      <c r="CF571" s="2">
        <v>7</v>
      </c>
      <c r="CG571" s="2">
        <v>8</v>
      </c>
      <c r="CH571" s="2">
        <v>9</v>
      </c>
      <c r="CI571" s="2">
        <v>10</v>
      </c>
      <c r="CJ571" s="2">
        <v>10</v>
      </c>
      <c r="CK571" s="2">
        <v>10</v>
      </c>
      <c r="CL571" s="2">
        <v>10</v>
      </c>
      <c r="CM571" s="2">
        <v>10</v>
      </c>
      <c r="CN571" s="2">
        <v>10</v>
      </c>
      <c r="CO571" s="2">
        <v>10</v>
      </c>
      <c r="CP571" s="2" t="e">
        <f t="shared" ca="1" si="141"/>
        <v>#NAME?</v>
      </c>
      <c r="CQ571" s="2">
        <v>10</v>
      </c>
      <c r="CR571" s="2">
        <v>10</v>
      </c>
      <c r="CS571" s="2">
        <v>10</v>
      </c>
      <c r="CT571" s="2">
        <v>10</v>
      </c>
      <c r="CU571" s="2">
        <v>10</v>
      </c>
      <c r="CV571" s="54">
        <f t="shared" si="145"/>
        <v>10</v>
      </c>
      <c r="CW571" s="55">
        <v>12</v>
      </c>
      <c r="CX571" s="3"/>
    </row>
    <row r="572" spans="1:102" ht="16.5" x14ac:dyDescent="0.55000000000000004">
      <c r="A572" s="17">
        <v>4</v>
      </c>
      <c r="B572" s="17" t="s">
        <v>9</v>
      </c>
      <c r="C572" s="23" t="s">
        <v>1186</v>
      </c>
      <c r="D572" s="24" t="s">
        <v>1187</v>
      </c>
      <c r="E572" s="48">
        <v>9</v>
      </c>
      <c r="F572" s="2">
        <v>9</v>
      </c>
      <c r="G572" s="105">
        <v>10</v>
      </c>
      <c r="H572" s="105">
        <v>10</v>
      </c>
      <c r="I572" s="105">
        <v>10</v>
      </c>
      <c r="J572" s="105">
        <v>10</v>
      </c>
      <c r="K572" s="105">
        <v>10</v>
      </c>
      <c r="L572" s="105">
        <v>9</v>
      </c>
      <c r="M572" s="105">
        <v>10</v>
      </c>
      <c r="N572" s="105">
        <v>10</v>
      </c>
      <c r="O572" s="105">
        <v>10</v>
      </c>
      <c r="P572" s="105">
        <v>10</v>
      </c>
      <c r="Q572" s="2" t="e">
        <f t="shared" ca="1" si="137"/>
        <v>#NAME?</v>
      </c>
      <c r="R572" s="105">
        <v>10</v>
      </c>
      <c r="S572" s="105">
        <v>10</v>
      </c>
      <c r="T572" s="105">
        <v>10</v>
      </c>
      <c r="U572" s="105">
        <v>10</v>
      </c>
      <c r="V572" s="105">
        <v>10</v>
      </c>
      <c r="W572" s="54">
        <f t="shared" si="142"/>
        <v>10</v>
      </c>
      <c r="X572" s="48" t="s">
        <v>31</v>
      </c>
      <c r="Y572" s="2" t="s">
        <v>31</v>
      </c>
      <c r="Z572" s="2">
        <v>12</v>
      </c>
      <c r="AA572" s="2">
        <v>10</v>
      </c>
      <c r="AB572" s="2">
        <v>10</v>
      </c>
      <c r="AC572" s="2">
        <v>10</v>
      </c>
      <c r="AD572" s="2">
        <v>5</v>
      </c>
      <c r="AE572" s="2">
        <v>5</v>
      </c>
      <c r="AF572" s="2">
        <v>5</v>
      </c>
      <c r="AG572" s="2">
        <v>5</v>
      </c>
      <c r="AH572" s="2">
        <v>5</v>
      </c>
      <c r="AI572" s="2">
        <v>5</v>
      </c>
      <c r="AJ572" s="2">
        <v>5</v>
      </c>
      <c r="AK572" s="2">
        <v>5</v>
      </c>
      <c r="AL572" s="2">
        <v>5</v>
      </c>
      <c r="AM572" s="2">
        <v>5</v>
      </c>
      <c r="AN572" s="2">
        <v>5</v>
      </c>
      <c r="AO572" s="2">
        <v>5</v>
      </c>
      <c r="AP572" s="2">
        <v>5</v>
      </c>
      <c r="AQ572" s="2" t="e">
        <f t="shared" ca="1" si="138"/>
        <v>#NAME?</v>
      </c>
      <c r="AR572" s="2">
        <v>10</v>
      </c>
      <c r="AS572" s="2">
        <v>5</v>
      </c>
      <c r="AT572" s="2">
        <v>5</v>
      </c>
      <c r="AU572" s="2">
        <v>5</v>
      </c>
      <c r="AV572" s="2">
        <v>5</v>
      </c>
      <c r="AW572" s="54">
        <f t="shared" si="143"/>
        <v>6</v>
      </c>
      <c r="AX572" s="48"/>
      <c r="AY572" s="2"/>
      <c r="AZ572" s="2">
        <v>10</v>
      </c>
      <c r="BA572" s="2">
        <v>10</v>
      </c>
      <c r="BB572" s="2">
        <v>10</v>
      </c>
      <c r="BC572" s="2">
        <v>10</v>
      </c>
      <c r="BD572" s="2">
        <v>5</v>
      </c>
      <c r="BE572" s="2">
        <v>5</v>
      </c>
      <c r="BF572" s="2">
        <v>5</v>
      </c>
      <c r="BG572" s="2">
        <v>5</v>
      </c>
      <c r="BH572" s="2">
        <v>5</v>
      </c>
      <c r="BI572" s="2">
        <v>5</v>
      </c>
      <c r="BJ572" s="2" t="e">
        <f t="shared" ca="1" si="139"/>
        <v>#NAME?</v>
      </c>
      <c r="BK572" s="2">
        <v>10</v>
      </c>
      <c r="BL572" s="2">
        <v>10</v>
      </c>
      <c r="BM572" s="2">
        <v>5</v>
      </c>
      <c r="BN572" s="2">
        <v>5</v>
      </c>
      <c r="BO572" s="2">
        <v>5</v>
      </c>
      <c r="BP572" s="54">
        <f t="shared" si="144"/>
        <v>7</v>
      </c>
      <c r="BQ572" s="49">
        <v>0</v>
      </c>
      <c r="BR572" s="50">
        <v>0</v>
      </c>
      <c r="BS572" s="50">
        <v>9</v>
      </c>
      <c r="BT572" s="50">
        <v>9</v>
      </c>
      <c r="BU572" s="50">
        <v>9</v>
      </c>
      <c r="BV572" s="50">
        <v>9</v>
      </c>
      <c r="BW572" s="50">
        <v>9</v>
      </c>
      <c r="BX572" s="50">
        <v>9</v>
      </c>
      <c r="BY572" s="50">
        <v>9</v>
      </c>
      <c r="BZ572" s="50">
        <v>9</v>
      </c>
      <c r="CA572" s="50">
        <v>9</v>
      </c>
      <c r="CB572" s="5">
        <v>9</v>
      </c>
      <c r="CC572" s="2" t="e">
        <f t="shared" ca="1" si="140"/>
        <v>#NAME?</v>
      </c>
      <c r="CD572" s="55"/>
      <c r="CE572" s="2"/>
      <c r="CF572" s="2">
        <v>5</v>
      </c>
      <c r="CG572" s="2">
        <v>7</v>
      </c>
      <c r="CH572" s="2">
        <v>8</v>
      </c>
      <c r="CI572" s="2">
        <v>9</v>
      </c>
      <c r="CJ572" s="2">
        <v>7</v>
      </c>
      <c r="CK572" s="2">
        <v>5</v>
      </c>
      <c r="CL572" s="2">
        <v>7</v>
      </c>
      <c r="CM572" s="2">
        <v>8</v>
      </c>
      <c r="CN572" s="2">
        <v>9</v>
      </c>
      <c r="CO572" s="2">
        <v>10</v>
      </c>
      <c r="CP572" s="2" t="e">
        <f t="shared" ca="1" si="141"/>
        <v>#NAME?</v>
      </c>
      <c r="CQ572" s="2">
        <v>5</v>
      </c>
      <c r="CR572" s="2">
        <v>5</v>
      </c>
      <c r="CS572" s="2">
        <v>5</v>
      </c>
      <c r="CT572" s="2">
        <v>9</v>
      </c>
      <c r="CU572" s="2">
        <v>10</v>
      </c>
      <c r="CV572" s="54">
        <f t="shared" si="145"/>
        <v>7</v>
      </c>
      <c r="CW572" s="55">
        <v>17</v>
      </c>
      <c r="CX572" s="3"/>
    </row>
    <row r="573" spans="1:102" ht="16.5" x14ac:dyDescent="0.55000000000000004">
      <c r="A573" s="17">
        <v>4</v>
      </c>
      <c r="B573" s="17" t="s">
        <v>9</v>
      </c>
      <c r="C573" s="23" t="s">
        <v>1188</v>
      </c>
      <c r="D573" s="24" t="s">
        <v>1189</v>
      </c>
      <c r="E573" s="48">
        <v>8</v>
      </c>
      <c r="F573" s="2">
        <v>7</v>
      </c>
      <c r="G573" s="106">
        <v>9</v>
      </c>
      <c r="H573" s="106">
        <v>10</v>
      </c>
      <c r="I573" s="105">
        <v>10</v>
      </c>
      <c r="J573" s="105">
        <v>10</v>
      </c>
      <c r="K573" s="105">
        <v>10</v>
      </c>
      <c r="L573" s="106">
        <v>9</v>
      </c>
      <c r="M573" s="106">
        <v>10</v>
      </c>
      <c r="N573" s="106">
        <v>9</v>
      </c>
      <c r="O573" s="106">
        <v>9</v>
      </c>
      <c r="P573" s="106">
        <v>9</v>
      </c>
      <c r="Q573" s="2" t="e">
        <f t="shared" ca="1" si="137"/>
        <v>#NAME?</v>
      </c>
      <c r="R573" s="106">
        <v>10</v>
      </c>
      <c r="S573" s="106">
        <v>10</v>
      </c>
      <c r="T573" s="106">
        <v>10</v>
      </c>
      <c r="U573" s="106">
        <v>10</v>
      </c>
      <c r="V573" s="106">
        <v>10</v>
      </c>
      <c r="W573" s="54">
        <f t="shared" si="142"/>
        <v>10</v>
      </c>
      <c r="X573" s="48" t="s">
        <v>31</v>
      </c>
      <c r="Y573" s="2" t="s">
        <v>31</v>
      </c>
      <c r="Z573" s="2">
        <v>4</v>
      </c>
      <c r="AA573" s="2">
        <v>10</v>
      </c>
      <c r="AB573" s="2">
        <v>10</v>
      </c>
      <c r="AC573" s="2">
        <v>10</v>
      </c>
      <c r="AD573" s="2">
        <v>10</v>
      </c>
      <c r="AE573" s="2">
        <v>4</v>
      </c>
      <c r="AF573" s="2">
        <v>4</v>
      </c>
      <c r="AG573" s="2">
        <v>4</v>
      </c>
      <c r="AH573" s="2">
        <v>4</v>
      </c>
      <c r="AI573" s="2">
        <v>4</v>
      </c>
      <c r="AJ573" s="2">
        <v>4</v>
      </c>
      <c r="AK573" s="2">
        <v>4</v>
      </c>
      <c r="AL573" s="2">
        <v>4</v>
      </c>
      <c r="AM573" s="2">
        <v>4</v>
      </c>
      <c r="AN573" s="2">
        <v>4</v>
      </c>
      <c r="AO573" s="2">
        <v>4</v>
      </c>
      <c r="AP573" s="2">
        <v>4</v>
      </c>
      <c r="AQ573" s="2" t="e">
        <f t="shared" ca="1" si="138"/>
        <v>#NAME?</v>
      </c>
      <c r="AR573" s="2">
        <v>9</v>
      </c>
      <c r="AS573" s="2">
        <v>9</v>
      </c>
      <c r="AT573" s="2">
        <v>4</v>
      </c>
      <c r="AU573" s="2">
        <v>4</v>
      </c>
      <c r="AV573" s="2">
        <v>4</v>
      </c>
      <c r="AW573" s="54">
        <f t="shared" si="143"/>
        <v>6</v>
      </c>
      <c r="AX573" s="48"/>
      <c r="AY573" s="2"/>
      <c r="AZ573" s="2">
        <v>4</v>
      </c>
      <c r="BA573" s="2">
        <v>5</v>
      </c>
      <c r="BB573" s="2">
        <v>4</v>
      </c>
      <c r="BC573" s="2">
        <v>5</v>
      </c>
      <c r="BD573" s="2">
        <v>6</v>
      </c>
      <c r="BE573" s="2">
        <v>5</v>
      </c>
      <c r="BF573" s="2">
        <v>6</v>
      </c>
      <c r="BG573" s="2">
        <v>6</v>
      </c>
      <c r="BH573" s="2">
        <v>6</v>
      </c>
      <c r="BI573" s="2">
        <v>6</v>
      </c>
      <c r="BJ573" s="2" t="e">
        <f t="shared" ca="1" si="139"/>
        <v>#NAME?</v>
      </c>
      <c r="BK573" s="2">
        <v>5</v>
      </c>
      <c r="BL573" s="2">
        <v>5</v>
      </c>
      <c r="BM573" s="2">
        <v>5</v>
      </c>
      <c r="BN573" s="2">
        <v>5</v>
      </c>
      <c r="BO573" s="2">
        <v>5</v>
      </c>
      <c r="BP573" s="54">
        <f t="shared" si="144"/>
        <v>5</v>
      </c>
      <c r="BQ573" s="49">
        <v>0</v>
      </c>
      <c r="BR573" s="50">
        <v>0</v>
      </c>
      <c r="BS573" s="50">
        <v>9</v>
      </c>
      <c r="BT573" s="50">
        <v>9</v>
      </c>
      <c r="BU573" s="50">
        <v>9</v>
      </c>
      <c r="BV573" s="50">
        <v>9</v>
      </c>
      <c r="BW573" s="50">
        <v>9</v>
      </c>
      <c r="BX573" s="50">
        <v>9</v>
      </c>
      <c r="BY573" s="50">
        <v>9</v>
      </c>
      <c r="BZ573" s="50">
        <v>9</v>
      </c>
      <c r="CA573" s="50">
        <v>9</v>
      </c>
      <c r="CB573" s="5">
        <v>9</v>
      </c>
      <c r="CC573" s="2" t="e">
        <f t="shared" ca="1" si="140"/>
        <v>#NAME?</v>
      </c>
      <c r="CD573" s="55"/>
      <c r="CE573" s="2"/>
      <c r="CF573" s="2">
        <v>5</v>
      </c>
      <c r="CG573" s="2">
        <v>5</v>
      </c>
      <c r="CH573" s="2">
        <v>5</v>
      </c>
      <c r="CI573" s="2">
        <v>5</v>
      </c>
      <c r="CJ573" s="2">
        <v>5</v>
      </c>
      <c r="CK573" s="2">
        <v>5</v>
      </c>
      <c r="CL573" s="2">
        <v>5</v>
      </c>
      <c r="CM573" s="2">
        <v>5</v>
      </c>
      <c r="CN573" s="2">
        <v>5</v>
      </c>
      <c r="CO573" s="2">
        <v>5</v>
      </c>
      <c r="CP573" s="2" t="e">
        <f t="shared" ca="1" si="141"/>
        <v>#NAME?</v>
      </c>
      <c r="CQ573" s="2">
        <v>5</v>
      </c>
      <c r="CR573" s="2">
        <v>5</v>
      </c>
      <c r="CS573" s="2">
        <v>5</v>
      </c>
      <c r="CT573" s="2">
        <v>5</v>
      </c>
      <c r="CU573" s="2">
        <v>5</v>
      </c>
      <c r="CV573" s="54">
        <f t="shared" si="145"/>
        <v>5</v>
      </c>
      <c r="CW573" s="55">
        <v>7</v>
      </c>
      <c r="CX573" s="3"/>
    </row>
    <row r="574" spans="1:102" ht="16.5" x14ac:dyDescent="0.55000000000000004">
      <c r="A574" s="17">
        <v>1</v>
      </c>
      <c r="B574" s="17" t="s">
        <v>1190</v>
      </c>
      <c r="C574" s="23" t="s">
        <v>1191</v>
      </c>
      <c r="D574" s="24" t="s">
        <v>1192</v>
      </c>
      <c r="E574" s="48">
        <v>8</v>
      </c>
      <c r="F574" s="2">
        <v>8</v>
      </c>
      <c r="G574" s="2">
        <v>10</v>
      </c>
      <c r="H574" s="2">
        <v>10</v>
      </c>
      <c r="I574" s="2">
        <v>8</v>
      </c>
      <c r="J574" s="2">
        <v>9</v>
      </c>
      <c r="K574" s="2">
        <v>10</v>
      </c>
      <c r="L574" s="2">
        <v>8</v>
      </c>
      <c r="M574" s="2">
        <v>10</v>
      </c>
      <c r="N574" s="2">
        <v>10</v>
      </c>
      <c r="O574" s="2">
        <v>8</v>
      </c>
      <c r="P574" s="2">
        <v>9</v>
      </c>
      <c r="Q574" s="2" t="e">
        <f t="shared" ca="1" si="137"/>
        <v>#NAME?</v>
      </c>
      <c r="R574" s="2">
        <v>10</v>
      </c>
      <c r="S574" s="2">
        <v>10</v>
      </c>
      <c r="T574" s="2">
        <v>10</v>
      </c>
      <c r="U574" s="2">
        <v>10</v>
      </c>
      <c r="V574" s="2">
        <v>10</v>
      </c>
      <c r="W574" s="54">
        <f t="shared" si="142"/>
        <v>10</v>
      </c>
      <c r="X574" s="48">
        <v>8</v>
      </c>
      <c r="Y574" s="2">
        <v>8</v>
      </c>
      <c r="Z574" s="2"/>
      <c r="AA574" s="2">
        <v>10</v>
      </c>
      <c r="AB574" s="2">
        <v>10</v>
      </c>
      <c r="AC574" s="2">
        <v>10</v>
      </c>
      <c r="AD574" s="2">
        <v>10</v>
      </c>
      <c r="AE574" s="2">
        <v>10</v>
      </c>
      <c r="AF574" s="2">
        <v>10</v>
      </c>
      <c r="AG574" s="2">
        <v>10</v>
      </c>
      <c r="AH574" s="2">
        <v>10</v>
      </c>
      <c r="AI574" s="2">
        <v>10</v>
      </c>
      <c r="AJ574" s="2">
        <v>9</v>
      </c>
      <c r="AK574" s="3">
        <v>10</v>
      </c>
      <c r="AL574" s="3">
        <v>10</v>
      </c>
      <c r="AM574" s="3">
        <v>10</v>
      </c>
      <c r="AN574" s="3">
        <v>10</v>
      </c>
      <c r="AO574" s="3">
        <v>10</v>
      </c>
      <c r="AP574" s="3">
        <v>10</v>
      </c>
      <c r="AQ574" s="2" t="e">
        <f t="shared" ca="1" si="138"/>
        <v>#NAME?</v>
      </c>
      <c r="AR574" s="2">
        <v>10</v>
      </c>
      <c r="AS574" s="2">
        <v>10</v>
      </c>
      <c r="AT574" s="2">
        <v>10</v>
      </c>
      <c r="AU574" s="2">
        <v>10</v>
      </c>
      <c r="AV574" s="2">
        <v>9</v>
      </c>
      <c r="AW574" s="54">
        <f t="shared" si="143"/>
        <v>10</v>
      </c>
      <c r="AX574" s="48"/>
      <c r="AY574" s="2"/>
      <c r="AZ574" s="2">
        <v>10</v>
      </c>
      <c r="BA574" s="2">
        <v>10</v>
      </c>
      <c r="BB574" s="2">
        <v>10</v>
      </c>
      <c r="BC574" s="2">
        <v>10</v>
      </c>
      <c r="BD574" s="2">
        <v>10</v>
      </c>
      <c r="BE574" s="2">
        <v>10</v>
      </c>
      <c r="BF574" s="2">
        <v>10</v>
      </c>
      <c r="BG574" s="2">
        <v>10</v>
      </c>
      <c r="BH574" s="2">
        <v>10</v>
      </c>
      <c r="BI574" s="57">
        <v>10</v>
      </c>
      <c r="BJ574" s="2" t="e">
        <f t="shared" ca="1" si="139"/>
        <v>#NAME?</v>
      </c>
      <c r="BK574" s="5">
        <v>10</v>
      </c>
      <c r="BL574" s="5">
        <v>10</v>
      </c>
      <c r="BM574" s="5">
        <v>10</v>
      </c>
      <c r="BN574" s="5">
        <v>10</v>
      </c>
      <c r="BO574" s="5">
        <v>10</v>
      </c>
      <c r="BP574" s="54">
        <f t="shared" si="144"/>
        <v>10</v>
      </c>
      <c r="BQ574" s="5"/>
      <c r="BR574" s="5"/>
      <c r="BS574" s="5">
        <v>10</v>
      </c>
      <c r="BT574" s="5">
        <v>10</v>
      </c>
      <c r="BU574" s="5">
        <v>10</v>
      </c>
      <c r="BV574" s="5">
        <v>10</v>
      </c>
      <c r="BW574" s="5">
        <v>10</v>
      </c>
      <c r="BX574" s="5">
        <v>10</v>
      </c>
      <c r="BY574" s="5">
        <v>10</v>
      </c>
      <c r="BZ574" s="5">
        <v>10</v>
      </c>
      <c r="CA574" s="5">
        <v>10</v>
      </c>
      <c r="CB574" s="5">
        <v>10</v>
      </c>
      <c r="CC574" s="2" t="e">
        <f t="shared" ca="1" si="140"/>
        <v>#NAME?</v>
      </c>
      <c r="CD574" s="55">
        <v>0</v>
      </c>
      <c r="CE574" s="2">
        <v>7</v>
      </c>
      <c r="CF574" s="2">
        <v>10</v>
      </c>
      <c r="CG574" s="2">
        <v>10</v>
      </c>
      <c r="CH574" s="2">
        <v>10</v>
      </c>
      <c r="CI574" s="2">
        <v>10</v>
      </c>
      <c r="CJ574" s="2">
        <v>10</v>
      </c>
      <c r="CK574" s="2">
        <v>10</v>
      </c>
      <c r="CL574" s="2">
        <v>10</v>
      </c>
      <c r="CM574" s="2">
        <v>10</v>
      </c>
      <c r="CN574" s="2">
        <v>10</v>
      </c>
      <c r="CO574" s="2">
        <v>10</v>
      </c>
      <c r="CP574" s="2" t="e">
        <f t="shared" ca="1" si="141"/>
        <v>#NAME?</v>
      </c>
      <c r="CQ574" s="2">
        <v>10</v>
      </c>
      <c r="CR574" s="2">
        <v>10</v>
      </c>
      <c r="CS574" s="2">
        <v>10</v>
      </c>
      <c r="CT574" s="2">
        <v>10</v>
      </c>
      <c r="CU574" s="2">
        <v>10</v>
      </c>
      <c r="CV574" s="54">
        <f t="shared" si="145"/>
        <v>10</v>
      </c>
      <c r="CW574" s="55"/>
      <c r="CX574" s="3"/>
    </row>
    <row r="575" spans="1:102" ht="16.5" x14ac:dyDescent="0.55000000000000004">
      <c r="A575" s="17">
        <v>1</v>
      </c>
      <c r="B575" s="17" t="s">
        <v>1190</v>
      </c>
      <c r="C575" s="23" t="s">
        <v>1193</v>
      </c>
      <c r="D575" s="24" t="s">
        <v>1194</v>
      </c>
      <c r="E575" s="48">
        <v>10</v>
      </c>
      <c r="F575" s="2">
        <v>10</v>
      </c>
      <c r="G575" s="2">
        <v>10</v>
      </c>
      <c r="H575" s="2">
        <v>10</v>
      </c>
      <c r="I575" s="2">
        <v>8</v>
      </c>
      <c r="J575" s="2">
        <v>9</v>
      </c>
      <c r="K575" s="2">
        <v>10</v>
      </c>
      <c r="L575" s="2">
        <v>10</v>
      </c>
      <c r="M575" s="2">
        <v>10</v>
      </c>
      <c r="N575" s="2">
        <v>10</v>
      </c>
      <c r="O575" s="2">
        <v>8</v>
      </c>
      <c r="P575" s="2">
        <v>9</v>
      </c>
      <c r="Q575" s="2" t="e">
        <f t="shared" ca="1" si="137"/>
        <v>#NAME?</v>
      </c>
      <c r="R575" s="2">
        <v>10</v>
      </c>
      <c r="S575" s="2">
        <v>10</v>
      </c>
      <c r="T575" s="2">
        <v>10</v>
      </c>
      <c r="U575" s="2">
        <v>10</v>
      </c>
      <c r="V575" s="2">
        <v>10</v>
      </c>
      <c r="W575" s="54">
        <f t="shared" si="142"/>
        <v>10</v>
      </c>
      <c r="X575" s="48">
        <v>10</v>
      </c>
      <c r="Y575" s="2">
        <v>10</v>
      </c>
      <c r="Z575" s="2"/>
      <c r="AA575" s="2">
        <v>10</v>
      </c>
      <c r="AB575" s="2">
        <v>10</v>
      </c>
      <c r="AC575" s="2">
        <v>10</v>
      </c>
      <c r="AD575" s="2">
        <v>10</v>
      </c>
      <c r="AE575" s="2">
        <v>10</v>
      </c>
      <c r="AF575" s="2">
        <v>10</v>
      </c>
      <c r="AG575" s="2">
        <v>10</v>
      </c>
      <c r="AH575" s="2">
        <v>10</v>
      </c>
      <c r="AI575" s="2">
        <v>10</v>
      </c>
      <c r="AJ575" s="2">
        <v>10</v>
      </c>
      <c r="AK575" s="3">
        <v>10</v>
      </c>
      <c r="AL575" s="3">
        <v>10</v>
      </c>
      <c r="AM575" s="3">
        <v>10</v>
      </c>
      <c r="AN575" s="3">
        <v>10</v>
      </c>
      <c r="AO575" s="3">
        <v>10</v>
      </c>
      <c r="AP575" s="3">
        <v>10</v>
      </c>
      <c r="AQ575" s="2" t="e">
        <f t="shared" ca="1" si="138"/>
        <v>#NAME?</v>
      </c>
      <c r="AR575" s="2">
        <v>10</v>
      </c>
      <c r="AS575" s="2">
        <v>10</v>
      </c>
      <c r="AT575" s="2">
        <v>10</v>
      </c>
      <c r="AU575" s="2">
        <v>10</v>
      </c>
      <c r="AV575" s="2">
        <v>10</v>
      </c>
      <c r="AW575" s="54">
        <f t="shared" si="143"/>
        <v>10</v>
      </c>
      <c r="AX575" s="48"/>
      <c r="AY575" s="2"/>
      <c r="AZ575" s="2">
        <v>10</v>
      </c>
      <c r="BA575" s="2">
        <v>10</v>
      </c>
      <c r="BB575" s="2">
        <v>9</v>
      </c>
      <c r="BC575" s="2">
        <v>9</v>
      </c>
      <c r="BD575" s="2">
        <v>9</v>
      </c>
      <c r="BE575" s="2">
        <v>8</v>
      </c>
      <c r="BF575" s="2">
        <v>10</v>
      </c>
      <c r="BG575" s="2">
        <v>9</v>
      </c>
      <c r="BH575" s="2">
        <v>10</v>
      </c>
      <c r="BI575" s="57">
        <v>10</v>
      </c>
      <c r="BJ575" s="2" t="e">
        <f t="shared" ca="1" si="139"/>
        <v>#NAME?</v>
      </c>
      <c r="BK575" s="5">
        <v>10</v>
      </c>
      <c r="BL575" s="5">
        <v>10</v>
      </c>
      <c r="BM575" s="5">
        <v>10</v>
      </c>
      <c r="BN575" s="5">
        <v>10</v>
      </c>
      <c r="BO575" s="5">
        <v>10</v>
      </c>
      <c r="BP575" s="54">
        <f t="shared" si="144"/>
        <v>10</v>
      </c>
      <c r="BQ575" s="5"/>
      <c r="BR575" s="5"/>
      <c r="BS575" s="5">
        <v>10</v>
      </c>
      <c r="BT575" s="5">
        <v>10</v>
      </c>
      <c r="BU575" s="5">
        <v>10</v>
      </c>
      <c r="BV575" s="5">
        <v>10</v>
      </c>
      <c r="BW575" s="5">
        <v>10</v>
      </c>
      <c r="BX575" s="5">
        <v>10</v>
      </c>
      <c r="BY575" s="5">
        <v>10</v>
      </c>
      <c r="BZ575" s="5">
        <v>10</v>
      </c>
      <c r="CA575" s="5">
        <v>10</v>
      </c>
      <c r="CB575" s="5">
        <v>10</v>
      </c>
      <c r="CC575" s="2" t="e">
        <f t="shared" ca="1" si="140"/>
        <v>#NAME?</v>
      </c>
      <c r="CD575" s="55">
        <v>10</v>
      </c>
      <c r="CE575" s="2">
        <v>9</v>
      </c>
      <c r="CF575" s="2">
        <v>10</v>
      </c>
      <c r="CG575" s="2">
        <v>10</v>
      </c>
      <c r="CH575" s="2">
        <v>10</v>
      </c>
      <c r="CI575" s="2">
        <v>10</v>
      </c>
      <c r="CJ575" s="2">
        <v>10</v>
      </c>
      <c r="CK575" s="2">
        <v>10</v>
      </c>
      <c r="CL575" s="2">
        <v>10</v>
      </c>
      <c r="CM575" s="2">
        <v>10</v>
      </c>
      <c r="CN575" s="2">
        <v>10</v>
      </c>
      <c r="CO575" s="2">
        <v>10</v>
      </c>
      <c r="CP575" s="2" t="e">
        <f t="shared" ca="1" si="141"/>
        <v>#NAME?</v>
      </c>
      <c r="CQ575" s="2">
        <v>10</v>
      </c>
      <c r="CR575" s="2">
        <v>10</v>
      </c>
      <c r="CS575" s="2">
        <v>10</v>
      </c>
      <c r="CT575" s="2">
        <v>10</v>
      </c>
      <c r="CU575" s="2">
        <v>10</v>
      </c>
      <c r="CV575" s="54">
        <f t="shared" si="145"/>
        <v>10</v>
      </c>
      <c r="CW575" s="55"/>
      <c r="CX575" s="3"/>
    </row>
    <row r="576" spans="1:102" ht="16.5" x14ac:dyDescent="0.55000000000000004">
      <c r="A576" s="17">
        <v>1</v>
      </c>
      <c r="B576" s="17" t="s">
        <v>1190</v>
      </c>
      <c r="C576" s="23" t="s">
        <v>1195</v>
      </c>
      <c r="D576" s="24" t="s">
        <v>1196</v>
      </c>
      <c r="E576" s="48">
        <v>7</v>
      </c>
      <c r="F576" s="2">
        <v>8</v>
      </c>
      <c r="G576" s="2">
        <v>9</v>
      </c>
      <c r="H576" s="2">
        <v>10</v>
      </c>
      <c r="I576" s="2">
        <v>9</v>
      </c>
      <c r="J576" s="2">
        <v>9</v>
      </c>
      <c r="K576" s="2">
        <v>10</v>
      </c>
      <c r="L576" s="2">
        <v>8</v>
      </c>
      <c r="M576" s="2">
        <v>9</v>
      </c>
      <c r="N576" s="2">
        <v>10</v>
      </c>
      <c r="O576" s="2">
        <v>9</v>
      </c>
      <c r="P576" s="2">
        <v>9</v>
      </c>
      <c r="Q576" s="2" t="e">
        <f t="shared" ca="1" si="137"/>
        <v>#NAME?</v>
      </c>
      <c r="R576" s="2">
        <v>8</v>
      </c>
      <c r="S576" s="2">
        <v>9</v>
      </c>
      <c r="T576" s="2">
        <v>9</v>
      </c>
      <c r="U576" s="2">
        <v>9</v>
      </c>
      <c r="V576" s="2">
        <v>10</v>
      </c>
      <c r="W576" s="54">
        <f t="shared" si="142"/>
        <v>9</v>
      </c>
      <c r="X576" s="48">
        <v>7</v>
      </c>
      <c r="Y576" s="2">
        <v>8</v>
      </c>
      <c r="Z576" s="2"/>
      <c r="AA576" s="2">
        <v>10</v>
      </c>
      <c r="AB576" s="2">
        <v>10</v>
      </c>
      <c r="AC576" s="2">
        <v>10</v>
      </c>
      <c r="AD576" s="2">
        <v>10</v>
      </c>
      <c r="AE576" s="2">
        <v>10</v>
      </c>
      <c r="AF576" s="2">
        <v>10</v>
      </c>
      <c r="AG576" s="2">
        <v>10</v>
      </c>
      <c r="AH576" s="2">
        <v>10</v>
      </c>
      <c r="AI576" s="2">
        <v>10</v>
      </c>
      <c r="AJ576" s="2">
        <v>9</v>
      </c>
      <c r="AK576" s="3">
        <v>10</v>
      </c>
      <c r="AL576" s="3">
        <v>10</v>
      </c>
      <c r="AM576" s="3">
        <v>10</v>
      </c>
      <c r="AN576" s="3">
        <v>10</v>
      </c>
      <c r="AO576" s="3">
        <v>10</v>
      </c>
      <c r="AP576" s="3">
        <v>10</v>
      </c>
      <c r="AQ576" s="2" t="e">
        <f t="shared" ca="1" si="138"/>
        <v>#NAME?</v>
      </c>
      <c r="AR576" s="2">
        <v>10</v>
      </c>
      <c r="AS576" s="2">
        <v>10</v>
      </c>
      <c r="AT576" s="2">
        <v>10</v>
      </c>
      <c r="AU576" s="2">
        <v>10</v>
      </c>
      <c r="AV576" s="2">
        <v>10</v>
      </c>
      <c r="AW576" s="54">
        <f t="shared" si="143"/>
        <v>10</v>
      </c>
      <c r="AX576" s="48"/>
      <c r="AY576" s="2"/>
      <c r="AZ576" s="2">
        <v>10</v>
      </c>
      <c r="BA576" s="2">
        <v>6</v>
      </c>
      <c r="BB576" s="2">
        <v>7</v>
      </c>
      <c r="BC576" s="2">
        <v>7</v>
      </c>
      <c r="BD576" s="2">
        <v>8</v>
      </c>
      <c r="BE576" s="2">
        <v>8</v>
      </c>
      <c r="BF576" s="2">
        <v>9</v>
      </c>
      <c r="BG576" s="2">
        <v>9</v>
      </c>
      <c r="BH576" s="2">
        <v>10</v>
      </c>
      <c r="BI576" s="57">
        <v>10</v>
      </c>
      <c r="BJ576" s="2" t="e">
        <f t="shared" ca="1" si="139"/>
        <v>#NAME?</v>
      </c>
      <c r="BK576" s="5">
        <v>8</v>
      </c>
      <c r="BL576" s="5">
        <v>8</v>
      </c>
      <c r="BM576" s="5">
        <v>9</v>
      </c>
      <c r="BN576" s="5">
        <v>9</v>
      </c>
      <c r="BO576" s="5">
        <v>10</v>
      </c>
      <c r="BP576" s="54">
        <f t="shared" si="144"/>
        <v>9</v>
      </c>
      <c r="BQ576" s="5"/>
      <c r="BR576" s="5"/>
      <c r="BS576" s="5">
        <v>10</v>
      </c>
      <c r="BT576" s="5">
        <v>10</v>
      </c>
      <c r="BU576" s="5">
        <v>10</v>
      </c>
      <c r="BV576" s="5">
        <v>10</v>
      </c>
      <c r="BW576" s="5">
        <v>10</v>
      </c>
      <c r="BX576" s="5">
        <v>10</v>
      </c>
      <c r="BY576" s="5">
        <v>10</v>
      </c>
      <c r="BZ576" s="5">
        <v>10</v>
      </c>
      <c r="CA576" s="5">
        <v>10</v>
      </c>
      <c r="CB576" s="5">
        <v>10</v>
      </c>
      <c r="CC576" s="2" t="e">
        <f t="shared" ca="1" si="140"/>
        <v>#NAME?</v>
      </c>
      <c r="CD576" s="55">
        <v>10</v>
      </c>
      <c r="CE576" s="2">
        <v>8</v>
      </c>
      <c r="CF576" s="2">
        <v>10</v>
      </c>
      <c r="CG576" s="2">
        <v>10</v>
      </c>
      <c r="CH576" s="2">
        <v>10</v>
      </c>
      <c r="CI576" s="2">
        <v>10</v>
      </c>
      <c r="CJ576" s="2">
        <v>10</v>
      </c>
      <c r="CK576" s="2">
        <v>10</v>
      </c>
      <c r="CL576" s="2">
        <v>10</v>
      </c>
      <c r="CM576" s="2">
        <v>10</v>
      </c>
      <c r="CN576" s="2">
        <v>10</v>
      </c>
      <c r="CO576" s="2">
        <v>10</v>
      </c>
      <c r="CP576" s="2" t="e">
        <f t="shared" ca="1" si="141"/>
        <v>#NAME?</v>
      </c>
      <c r="CQ576" s="2">
        <v>10</v>
      </c>
      <c r="CR576" s="2">
        <v>10</v>
      </c>
      <c r="CS576" s="2">
        <v>10</v>
      </c>
      <c r="CT576" s="2">
        <v>10</v>
      </c>
      <c r="CU576" s="2">
        <v>10</v>
      </c>
      <c r="CV576" s="54">
        <f t="shared" si="145"/>
        <v>10</v>
      </c>
      <c r="CW576" s="55"/>
      <c r="CX576" s="3"/>
    </row>
    <row r="577" spans="1:102" ht="16.5" x14ac:dyDescent="0.55000000000000004">
      <c r="A577" s="17">
        <v>1</v>
      </c>
      <c r="B577" s="17" t="s">
        <v>1190</v>
      </c>
      <c r="C577" s="23" t="s">
        <v>1197</v>
      </c>
      <c r="D577" s="24" t="s">
        <v>1198</v>
      </c>
      <c r="E577" s="48">
        <v>8</v>
      </c>
      <c r="F577" s="2">
        <v>9</v>
      </c>
      <c r="G577" s="2">
        <v>10</v>
      </c>
      <c r="H577" s="2">
        <v>10</v>
      </c>
      <c r="I577" s="2">
        <v>10</v>
      </c>
      <c r="J577" s="2">
        <v>9</v>
      </c>
      <c r="K577" s="2">
        <v>10</v>
      </c>
      <c r="L577" s="2">
        <v>9</v>
      </c>
      <c r="M577" s="2">
        <v>10</v>
      </c>
      <c r="N577" s="2">
        <v>10</v>
      </c>
      <c r="O577" s="2">
        <v>10</v>
      </c>
      <c r="P577" s="2">
        <v>9</v>
      </c>
      <c r="Q577" s="2" t="e">
        <f t="shared" ca="1" si="137"/>
        <v>#NAME?</v>
      </c>
      <c r="R577" s="2">
        <v>10</v>
      </c>
      <c r="S577" s="2">
        <v>10</v>
      </c>
      <c r="T577" s="2">
        <v>10</v>
      </c>
      <c r="U577" s="2">
        <v>10</v>
      </c>
      <c r="V577" s="2">
        <v>10</v>
      </c>
      <c r="W577" s="54">
        <f t="shared" si="142"/>
        <v>10</v>
      </c>
      <c r="X577" s="48">
        <v>8</v>
      </c>
      <c r="Y577" s="2">
        <v>9</v>
      </c>
      <c r="Z577" s="8"/>
      <c r="AA577" s="8">
        <v>10</v>
      </c>
      <c r="AB577" s="8">
        <v>10</v>
      </c>
      <c r="AC577" s="8">
        <v>10</v>
      </c>
      <c r="AD577" s="8">
        <v>10</v>
      </c>
      <c r="AE577" s="8">
        <v>5</v>
      </c>
      <c r="AF577" s="8">
        <v>5</v>
      </c>
      <c r="AG577" s="8">
        <v>5</v>
      </c>
      <c r="AH577" s="8">
        <v>5</v>
      </c>
      <c r="AI577" s="8">
        <v>5</v>
      </c>
      <c r="AJ577" s="8">
        <v>5</v>
      </c>
      <c r="AK577" s="3">
        <v>10</v>
      </c>
      <c r="AL577" s="3">
        <v>10</v>
      </c>
      <c r="AM577" s="3">
        <v>10</v>
      </c>
      <c r="AN577" s="3">
        <v>10</v>
      </c>
      <c r="AO577" s="3">
        <v>10</v>
      </c>
      <c r="AP577" s="3">
        <v>10</v>
      </c>
      <c r="AQ577" s="2" t="e">
        <f t="shared" ca="1" si="138"/>
        <v>#NAME?</v>
      </c>
      <c r="AR577" s="2">
        <v>10</v>
      </c>
      <c r="AS577" s="2">
        <v>10</v>
      </c>
      <c r="AT577" s="2">
        <v>10</v>
      </c>
      <c r="AU577" s="2">
        <v>8</v>
      </c>
      <c r="AV577" s="2">
        <v>8</v>
      </c>
      <c r="AW577" s="54">
        <f t="shared" si="143"/>
        <v>10</v>
      </c>
      <c r="AX577" s="48"/>
      <c r="AY577" s="2"/>
      <c r="AZ577" s="2">
        <v>10</v>
      </c>
      <c r="BA577" s="2">
        <v>10</v>
      </c>
      <c r="BB577" s="2">
        <v>10</v>
      </c>
      <c r="BC577" s="2">
        <v>10</v>
      </c>
      <c r="BD577" s="2">
        <v>10</v>
      </c>
      <c r="BE577" s="2">
        <v>10</v>
      </c>
      <c r="BF577" s="2">
        <v>10</v>
      </c>
      <c r="BG577" s="2">
        <v>10</v>
      </c>
      <c r="BH577" s="2">
        <v>10</v>
      </c>
      <c r="BI577" s="2">
        <v>10</v>
      </c>
      <c r="BJ577" s="2" t="e">
        <f t="shared" ca="1" si="139"/>
        <v>#NAME?</v>
      </c>
      <c r="BK577" s="5">
        <v>10</v>
      </c>
      <c r="BL577" s="5">
        <v>10</v>
      </c>
      <c r="BM577" s="5">
        <v>10</v>
      </c>
      <c r="BN577" s="5">
        <v>10</v>
      </c>
      <c r="BO577" s="5">
        <v>10</v>
      </c>
      <c r="BP577" s="54">
        <f t="shared" si="144"/>
        <v>10</v>
      </c>
      <c r="BQ577" s="5"/>
      <c r="BR577" s="5"/>
      <c r="BS577" s="5">
        <v>10</v>
      </c>
      <c r="BT577" s="5">
        <v>10</v>
      </c>
      <c r="BU577" s="5">
        <v>10</v>
      </c>
      <c r="BV577" s="5">
        <v>10</v>
      </c>
      <c r="BW577" s="5">
        <v>10</v>
      </c>
      <c r="BX577" s="5">
        <v>10</v>
      </c>
      <c r="BY577" s="5">
        <v>10</v>
      </c>
      <c r="BZ577" s="5">
        <v>10</v>
      </c>
      <c r="CA577" s="5">
        <v>10</v>
      </c>
      <c r="CB577" s="5">
        <v>10</v>
      </c>
      <c r="CC577" s="2" t="e">
        <f t="shared" ca="1" si="140"/>
        <v>#NAME?</v>
      </c>
      <c r="CD577" s="55">
        <v>10</v>
      </c>
      <c r="CE577" s="2">
        <v>10</v>
      </c>
      <c r="CF577" s="2">
        <v>10</v>
      </c>
      <c r="CG577" s="2">
        <v>10</v>
      </c>
      <c r="CH577" s="2">
        <v>10</v>
      </c>
      <c r="CI577" s="2">
        <v>10</v>
      </c>
      <c r="CJ577" s="2">
        <v>10</v>
      </c>
      <c r="CK577" s="2">
        <v>10</v>
      </c>
      <c r="CL577" s="2">
        <v>10</v>
      </c>
      <c r="CM577" s="2">
        <v>10</v>
      </c>
      <c r="CN577" s="2">
        <v>10</v>
      </c>
      <c r="CO577" s="2">
        <v>10</v>
      </c>
      <c r="CP577" s="2" t="e">
        <f t="shared" ca="1" si="141"/>
        <v>#NAME?</v>
      </c>
      <c r="CQ577" s="2">
        <v>10</v>
      </c>
      <c r="CR577" s="2">
        <v>10</v>
      </c>
      <c r="CS577" s="2">
        <v>10</v>
      </c>
      <c r="CT577" s="2">
        <v>10</v>
      </c>
      <c r="CU577" s="2">
        <v>10</v>
      </c>
      <c r="CV577" s="54">
        <f t="shared" si="145"/>
        <v>10</v>
      </c>
      <c r="CW577" s="55"/>
      <c r="CX577" s="3"/>
    </row>
    <row r="578" spans="1:102" ht="16.5" x14ac:dyDescent="0.55000000000000004">
      <c r="A578" s="17">
        <v>1</v>
      </c>
      <c r="B578" s="17" t="s">
        <v>1190</v>
      </c>
      <c r="C578" s="23" t="s">
        <v>1199</v>
      </c>
      <c r="D578" s="24" t="s">
        <v>1200</v>
      </c>
      <c r="E578" s="48">
        <v>9</v>
      </c>
      <c r="F578" s="2">
        <v>9</v>
      </c>
      <c r="G578" s="2">
        <v>10</v>
      </c>
      <c r="H578" s="2">
        <v>10</v>
      </c>
      <c r="I578" s="2">
        <v>8</v>
      </c>
      <c r="J578" s="2">
        <v>8</v>
      </c>
      <c r="K578" s="2">
        <v>8</v>
      </c>
      <c r="L578" s="4">
        <v>9</v>
      </c>
      <c r="M578" s="4">
        <v>10</v>
      </c>
      <c r="N578" s="4">
        <v>10</v>
      </c>
      <c r="O578" s="2">
        <v>8</v>
      </c>
      <c r="P578" s="2">
        <v>8</v>
      </c>
      <c r="Q578" s="2" t="e">
        <f t="shared" ca="1" si="137"/>
        <v>#NAME?</v>
      </c>
      <c r="R578" s="2">
        <v>9</v>
      </c>
      <c r="S578" s="2">
        <v>10</v>
      </c>
      <c r="T578" s="2">
        <v>10</v>
      </c>
      <c r="U578" s="2">
        <v>8</v>
      </c>
      <c r="V578" s="2">
        <v>10</v>
      </c>
      <c r="W578" s="54">
        <f t="shared" si="142"/>
        <v>10</v>
      </c>
      <c r="X578" s="48">
        <v>9</v>
      </c>
      <c r="Y578" s="2">
        <v>9</v>
      </c>
      <c r="Z578" s="2"/>
      <c r="AA578" s="2">
        <v>10</v>
      </c>
      <c r="AB578" s="2">
        <v>10</v>
      </c>
      <c r="AC578" s="2">
        <v>10</v>
      </c>
      <c r="AD578" s="2">
        <v>10</v>
      </c>
      <c r="AE578" s="2">
        <v>10</v>
      </c>
      <c r="AF578" s="2">
        <v>10</v>
      </c>
      <c r="AG578" s="2">
        <v>10</v>
      </c>
      <c r="AH578" s="2">
        <v>10</v>
      </c>
      <c r="AI578" s="2">
        <v>10</v>
      </c>
      <c r="AJ578" s="2">
        <v>10</v>
      </c>
      <c r="AK578" s="3">
        <v>10</v>
      </c>
      <c r="AL578" s="3">
        <v>10</v>
      </c>
      <c r="AM578" s="3">
        <v>10</v>
      </c>
      <c r="AN578" s="3">
        <v>10</v>
      </c>
      <c r="AO578" s="3">
        <v>10</v>
      </c>
      <c r="AP578" s="3">
        <v>10</v>
      </c>
      <c r="AQ578" s="2" t="e">
        <f t="shared" ca="1" si="138"/>
        <v>#NAME?</v>
      </c>
      <c r="AR578" s="2">
        <v>10</v>
      </c>
      <c r="AS578" s="2">
        <v>10</v>
      </c>
      <c r="AT578" s="2">
        <v>10</v>
      </c>
      <c r="AU578" s="2">
        <v>10</v>
      </c>
      <c r="AV578" s="2">
        <v>10</v>
      </c>
      <c r="AW578" s="54">
        <f t="shared" si="143"/>
        <v>10</v>
      </c>
      <c r="AX578" s="48"/>
      <c r="AY578" s="2"/>
      <c r="AZ578" s="2">
        <v>10</v>
      </c>
      <c r="BA578" s="2">
        <v>10</v>
      </c>
      <c r="BB578" s="2">
        <v>10</v>
      </c>
      <c r="BC578" s="2">
        <v>10</v>
      </c>
      <c r="BD578" s="2">
        <v>10</v>
      </c>
      <c r="BE578" s="2">
        <v>10</v>
      </c>
      <c r="BF578" s="2">
        <v>10</v>
      </c>
      <c r="BG578" s="2">
        <v>10</v>
      </c>
      <c r="BH578" s="2">
        <v>10</v>
      </c>
      <c r="BI578" s="2">
        <v>10</v>
      </c>
      <c r="BJ578" s="2" t="e">
        <f t="shared" ca="1" si="139"/>
        <v>#NAME?</v>
      </c>
      <c r="BK578" s="5">
        <v>10</v>
      </c>
      <c r="BL578" s="5">
        <v>10</v>
      </c>
      <c r="BM578" s="5">
        <v>10</v>
      </c>
      <c r="BN578" s="5">
        <v>10</v>
      </c>
      <c r="BO578" s="5">
        <v>10</v>
      </c>
      <c r="BP578" s="54">
        <f t="shared" si="144"/>
        <v>10</v>
      </c>
      <c r="BQ578" s="5"/>
      <c r="BR578" s="5"/>
      <c r="BS578" s="5">
        <v>10</v>
      </c>
      <c r="BT578" s="5">
        <v>10</v>
      </c>
      <c r="BU578" s="5">
        <v>10</v>
      </c>
      <c r="BV578" s="5">
        <v>10</v>
      </c>
      <c r="BW578" s="5">
        <v>10</v>
      </c>
      <c r="BX578" s="5">
        <v>10</v>
      </c>
      <c r="BY578" s="5">
        <v>10</v>
      </c>
      <c r="BZ578" s="5">
        <v>10</v>
      </c>
      <c r="CA578" s="5">
        <v>10</v>
      </c>
      <c r="CB578" s="5">
        <v>10</v>
      </c>
      <c r="CC578" s="2" t="e">
        <f t="shared" ca="1" si="140"/>
        <v>#NAME?</v>
      </c>
      <c r="CD578" s="55">
        <v>10</v>
      </c>
      <c r="CE578" s="2">
        <v>8</v>
      </c>
      <c r="CF578" s="2">
        <v>10</v>
      </c>
      <c r="CG578" s="2">
        <v>10</v>
      </c>
      <c r="CH578" s="2">
        <v>10</v>
      </c>
      <c r="CI578" s="2">
        <v>10</v>
      </c>
      <c r="CJ578" s="2">
        <v>10</v>
      </c>
      <c r="CK578" s="2">
        <v>10</v>
      </c>
      <c r="CL578" s="2">
        <v>10</v>
      </c>
      <c r="CM578" s="2">
        <v>10</v>
      </c>
      <c r="CN578" s="2">
        <v>10</v>
      </c>
      <c r="CO578" s="2">
        <v>10</v>
      </c>
      <c r="CP578" s="2" t="e">
        <f t="shared" ca="1" si="141"/>
        <v>#NAME?</v>
      </c>
      <c r="CQ578" s="2">
        <v>10</v>
      </c>
      <c r="CR578" s="2">
        <v>10</v>
      </c>
      <c r="CS578" s="2">
        <v>10</v>
      </c>
      <c r="CT578" s="2">
        <v>10</v>
      </c>
      <c r="CU578" s="2">
        <v>10</v>
      </c>
      <c r="CV578" s="54">
        <f t="shared" si="145"/>
        <v>10</v>
      </c>
      <c r="CW578" s="55"/>
      <c r="CX578" s="3"/>
    </row>
    <row r="579" spans="1:102" ht="16.5" x14ac:dyDescent="0.55000000000000004">
      <c r="A579" s="17">
        <v>1</v>
      </c>
      <c r="B579" s="17" t="s">
        <v>1190</v>
      </c>
      <c r="C579" s="23" t="s">
        <v>1201</v>
      </c>
      <c r="D579" s="24" t="s">
        <v>1202</v>
      </c>
      <c r="E579" s="48">
        <v>8</v>
      </c>
      <c r="F579" s="2">
        <v>8</v>
      </c>
      <c r="G579" s="2">
        <v>7</v>
      </c>
      <c r="H579" s="2">
        <v>7</v>
      </c>
      <c r="I579" s="2">
        <v>7</v>
      </c>
      <c r="J579" s="2">
        <v>8</v>
      </c>
      <c r="K579" s="2">
        <v>8</v>
      </c>
      <c r="L579" s="2">
        <v>8</v>
      </c>
      <c r="M579" s="2">
        <v>7</v>
      </c>
      <c r="N579" s="2">
        <v>7</v>
      </c>
      <c r="O579" s="2">
        <v>7</v>
      </c>
      <c r="P579" s="2">
        <v>8</v>
      </c>
      <c r="Q579" s="2" t="e">
        <f t="shared" ca="1" si="137"/>
        <v>#NAME?</v>
      </c>
      <c r="R579" s="2">
        <v>8</v>
      </c>
      <c r="S579" s="2">
        <v>8</v>
      </c>
      <c r="T579" s="2">
        <v>8</v>
      </c>
      <c r="U579" s="2">
        <v>8</v>
      </c>
      <c r="V579" s="2">
        <v>7</v>
      </c>
      <c r="W579" s="54">
        <f t="shared" si="142"/>
        <v>8</v>
      </c>
      <c r="X579" s="48">
        <v>8</v>
      </c>
      <c r="Y579" s="2">
        <v>8</v>
      </c>
      <c r="Z579" s="2"/>
      <c r="AA579" s="2">
        <v>7</v>
      </c>
      <c r="AB579" s="2">
        <v>7</v>
      </c>
      <c r="AC579" s="2">
        <v>7</v>
      </c>
      <c r="AD579" s="2">
        <v>7</v>
      </c>
      <c r="AE579" s="2">
        <v>7</v>
      </c>
      <c r="AF579" s="2">
        <v>7</v>
      </c>
      <c r="AG579" s="2">
        <v>10</v>
      </c>
      <c r="AH579" s="2">
        <v>9</v>
      </c>
      <c r="AI579" s="2">
        <v>9</v>
      </c>
      <c r="AJ579" s="2">
        <v>9</v>
      </c>
      <c r="AK579" s="3">
        <v>10</v>
      </c>
      <c r="AL579" s="3">
        <v>10</v>
      </c>
      <c r="AM579" s="3">
        <v>10</v>
      </c>
      <c r="AN579" s="3">
        <v>10</v>
      </c>
      <c r="AO579" s="3">
        <v>10</v>
      </c>
      <c r="AP579" s="3">
        <v>10</v>
      </c>
      <c r="AQ579" s="2" t="e">
        <f t="shared" ca="1" si="138"/>
        <v>#NAME?</v>
      </c>
      <c r="AR579" s="2">
        <v>7</v>
      </c>
      <c r="AS579" s="2">
        <v>7</v>
      </c>
      <c r="AT579" s="2">
        <v>8</v>
      </c>
      <c r="AU579" s="2">
        <v>9</v>
      </c>
      <c r="AV579" s="2">
        <v>9</v>
      </c>
      <c r="AW579" s="54">
        <f t="shared" si="143"/>
        <v>8</v>
      </c>
      <c r="AX579" s="48"/>
      <c r="AY579" s="2"/>
      <c r="AZ579" s="2">
        <v>5</v>
      </c>
      <c r="BA579" s="2">
        <v>5</v>
      </c>
      <c r="BB579" s="2">
        <v>6</v>
      </c>
      <c r="BC579" s="2">
        <v>6</v>
      </c>
      <c r="BD579" s="2">
        <v>7</v>
      </c>
      <c r="BE579" s="2">
        <v>8</v>
      </c>
      <c r="BF579" s="2">
        <v>8</v>
      </c>
      <c r="BG579" s="2">
        <v>9</v>
      </c>
      <c r="BH579" s="2">
        <v>9</v>
      </c>
      <c r="BI579" s="57">
        <v>10</v>
      </c>
      <c r="BJ579" s="2" t="e">
        <f t="shared" ca="1" si="139"/>
        <v>#NAME?</v>
      </c>
      <c r="BK579" s="5">
        <v>6</v>
      </c>
      <c r="BL579" s="5">
        <v>7</v>
      </c>
      <c r="BM579" s="5">
        <v>8</v>
      </c>
      <c r="BN579" s="5">
        <v>9</v>
      </c>
      <c r="BO579" s="5">
        <v>10</v>
      </c>
      <c r="BP579" s="54">
        <f t="shared" si="144"/>
        <v>8</v>
      </c>
      <c r="BQ579" s="5"/>
      <c r="BR579" s="5"/>
      <c r="BS579" s="5">
        <v>5</v>
      </c>
      <c r="BT579" s="5">
        <v>5</v>
      </c>
      <c r="BU579" s="5">
        <v>5</v>
      </c>
      <c r="BV579" s="5">
        <v>5</v>
      </c>
      <c r="BW579" s="5">
        <v>5</v>
      </c>
      <c r="BX579" s="5">
        <v>5</v>
      </c>
      <c r="BY579" s="5">
        <v>5</v>
      </c>
      <c r="BZ579" s="5">
        <v>5</v>
      </c>
      <c r="CA579" s="5">
        <v>5</v>
      </c>
      <c r="CB579" s="5">
        <v>5</v>
      </c>
      <c r="CC579" s="2" t="e">
        <f t="shared" ca="1" si="140"/>
        <v>#NAME?</v>
      </c>
      <c r="CD579" s="55">
        <v>10</v>
      </c>
      <c r="CE579" s="5">
        <v>5</v>
      </c>
      <c r="CF579" s="5">
        <v>5</v>
      </c>
      <c r="CG579" s="5">
        <v>5</v>
      </c>
      <c r="CH579" s="5">
        <v>5</v>
      </c>
      <c r="CI579" s="5">
        <v>5</v>
      </c>
      <c r="CJ579" s="5">
        <v>5</v>
      </c>
      <c r="CK579" s="5">
        <v>5</v>
      </c>
      <c r="CL579" s="5">
        <v>5</v>
      </c>
      <c r="CM579" s="5">
        <v>5</v>
      </c>
      <c r="CN579" s="5">
        <v>5</v>
      </c>
      <c r="CO579" s="5">
        <v>5</v>
      </c>
      <c r="CP579" s="2" t="e">
        <f t="shared" ca="1" si="141"/>
        <v>#NAME?</v>
      </c>
      <c r="CQ579" s="8">
        <v>5</v>
      </c>
      <c r="CR579" s="8">
        <v>5</v>
      </c>
      <c r="CS579" s="8">
        <v>5</v>
      </c>
      <c r="CT579" s="8">
        <v>5</v>
      </c>
      <c r="CU579" s="8">
        <v>5</v>
      </c>
      <c r="CV579" s="54">
        <f t="shared" si="145"/>
        <v>5</v>
      </c>
      <c r="CW579" s="55"/>
      <c r="CX579" s="3"/>
    </row>
    <row r="580" spans="1:102" ht="16.5" x14ac:dyDescent="0.55000000000000004">
      <c r="A580" s="17">
        <v>1</v>
      </c>
      <c r="B580" s="17" t="s">
        <v>1190</v>
      </c>
      <c r="C580" s="23" t="s">
        <v>1203</v>
      </c>
      <c r="D580" s="24" t="s">
        <v>1204</v>
      </c>
      <c r="E580" s="48">
        <v>8</v>
      </c>
      <c r="F580" s="2">
        <v>9</v>
      </c>
      <c r="G580" s="2">
        <v>10</v>
      </c>
      <c r="H580" s="2">
        <v>10</v>
      </c>
      <c r="I580" s="2">
        <v>10</v>
      </c>
      <c r="J580" s="2">
        <v>10</v>
      </c>
      <c r="K580" s="2">
        <v>8</v>
      </c>
      <c r="L580" s="2">
        <v>9</v>
      </c>
      <c r="M580" s="2">
        <v>10</v>
      </c>
      <c r="N580" s="2">
        <v>10</v>
      </c>
      <c r="O580" s="2">
        <v>10</v>
      </c>
      <c r="P580" s="2">
        <v>10</v>
      </c>
      <c r="Q580" s="2" t="e">
        <f t="shared" ca="1" si="137"/>
        <v>#NAME?</v>
      </c>
      <c r="R580" s="2">
        <v>10</v>
      </c>
      <c r="S580" s="2">
        <v>10</v>
      </c>
      <c r="T580" s="2">
        <v>10</v>
      </c>
      <c r="U580" s="2">
        <v>10</v>
      </c>
      <c r="V580" s="2">
        <v>10</v>
      </c>
      <c r="W580" s="54">
        <f t="shared" si="142"/>
        <v>10</v>
      </c>
      <c r="X580" s="48">
        <v>8</v>
      </c>
      <c r="Y580" s="2">
        <v>9</v>
      </c>
      <c r="Z580" s="2"/>
      <c r="AA580" s="2">
        <v>10</v>
      </c>
      <c r="AB580" s="2">
        <v>10</v>
      </c>
      <c r="AC580" s="2">
        <v>10</v>
      </c>
      <c r="AD580" s="2">
        <v>10</v>
      </c>
      <c r="AE580" s="2">
        <v>10</v>
      </c>
      <c r="AF580" s="2">
        <v>10</v>
      </c>
      <c r="AG580" s="2">
        <v>10</v>
      </c>
      <c r="AH580" s="2">
        <v>10</v>
      </c>
      <c r="AI580" s="2">
        <v>10</v>
      </c>
      <c r="AJ580" s="2">
        <v>10</v>
      </c>
      <c r="AK580" s="3">
        <v>10</v>
      </c>
      <c r="AL580" s="3">
        <v>10</v>
      </c>
      <c r="AM580" s="3">
        <v>10</v>
      </c>
      <c r="AN580" s="3">
        <v>10</v>
      </c>
      <c r="AO580" s="3">
        <v>10</v>
      </c>
      <c r="AP580" s="3">
        <v>10</v>
      </c>
      <c r="AQ580" s="2" t="e">
        <f t="shared" ca="1" si="138"/>
        <v>#NAME?</v>
      </c>
      <c r="AR580" s="2">
        <v>10</v>
      </c>
      <c r="AS580" s="2">
        <v>10</v>
      </c>
      <c r="AT580" s="2">
        <v>10</v>
      </c>
      <c r="AU580" s="2">
        <v>10</v>
      </c>
      <c r="AV580" s="2">
        <v>10</v>
      </c>
      <c r="AW580" s="54">
        <f t="shared" si="143"/>
        <v>10</v>
      </c>
      <c r="AX580" s="48"/>
      <c r="AY580" s="2"/>
      <c r="AZ580" s="2">
        <v>10</v>
      </c>
      <c r="BA580" s="2">
        <v>10</v>
      </c>
      <c r="BB580" s="2">
        <v>10</v>
      </c>
      <c r="BC580" s="2">
        <v>10</v>
      </c>
      <c r="BD580" s="2">
        <v>10</v>
      </c>
      <c r="BE580" s="2">
        <v>10</v>
      </c>
      <c r="BF580" s="2">
        <v>10</v>
      </c>
      <c r="BG580" s="2">
        <v>10</v>
      </c>
      <c r="BH580" s="2">
        <v>10</v>
      </c>
      <c r="BI580" s="2">
        <v>10</v>
      </c>
      <c r="BJ580" s="2" t="e">
        <f t="shared" ca="1" si="139"/>
        <v>#NAME?</v>
      </c>
      <c r="BK580" s="5">
        <v>10</v>
      </c>
      <c r="BL580" s="5">
        <v>10</v>
      </c>
      <c r="BM580" s="5">
        <v>10</v>
      </c>
      <c r="BN580" s="5">
        <v>10</v>
      </c>
      <c r="BO580" s="5">
        <v>10</v>
      </c>
      <c r="BP580" s="54">
        <f t="shared" si="144"/>
        <v>10</v>
      </c>
      <c r="BQ580" s="5"/>
      <c r="BR580" s="5"/>
      <c r="BS580" s="5">
        <v>10</v>
      </c>
      <c r="BT580" s="5">
        <v>10</v>
      </c>
      <c r="BU580" s="5">
        <v>10</v>
      </c>
      <c r="BV580" s="5">
        <v>10</v>
      </c>
      <c r="BW580" s="5">
        <v>10</v>
      </c>
      <c r="BX580" s="5">
        <v>10</v>
      </c>
      <c r="BY580" s="5">
        <v>10</v>
      </c>
      <c r="BZ580" s="5">
        <v>10</v>
      </c>
      <c r="CA580" s="5">
        <v>10</v>
      </c>
      <c r="CB580" s="5">
        <v>10</v>
      </c>
      <c r="CC580" s="2" t="e">
        <f t="shared" ca="1" si="140"/>
        <v>#NAME?</v>
      </c>
      <c r="CD580" s="55">
        <v>10</v>
      </c>
      <c r="CE580" s="2">
        <v>7</v>
      </c>
      <c r="CF580" s="2">
        <v>10</v>
      </c>
      <c r="CG580" s="2">
        <v>10</v>
      </c>
      <c r="CH580" s="2">
        <v>10</v>
      </c>
      <c r="CI580" s="2">
        <v>10</v>
      </c>
      <c r="CJ580" s="2">
        <v>10</v>
      </c>
      <c r="CK580" s="2">
        <v>10</v>
      </c>
      <c r="CL580" s="2">
        <v>10</v>
      </c>
      <c r="CM580" s="2">
        <v>10</v>
      </c>
      <c r="CN580" s="2">
        <v>10</v>
      </c>
      <c r="CO580" s="2">
        <v>10</v>
      </c>
      <c r="CP580" s="2" t="e">
        <f t="shared" ca="1" si="141"/>
        <v>#NAME?</v>
      </c>
      <c r="CQ580" s="2">
        <v>10</v>
      </c>
      <c r="CR580" s="2">
        <v>10</v>
      </c>
      <c r="CS580" s="2">
        <v>10</v>
      </c>
      <c r="CT580" s="2">
        <v>10</v>
      </c>
      <c r="CU580" s="2">
        <v>10</v>
      </c>
      <c r="CV580" s="54">
        <f t="shared" si="145"/>
        <v>10</v>
      </c>
      <c r="CW580" s="55"/>
      <c r="CX580" s="3"/>
    </row>
    <row r="581" spans="1:102" ht="16.5" x14ac:dyDescent="0.55000000000000004">
      <c r="A581" s="17">
        <v>1</v>
      </c>
      <c r="B581" s="17" t="s">
        <v>1190</v>
      </c>
      <c r="C581" s="23" t="s">
        <v>1205</v>
      </c>
      <c r="D581" s="24" t="s">
        <v>1206</v>
      </c>
      <c r="E581" s="48">
        <v>9</v>
      </c>
      <c r="F581" s="2">
        <v>8</v>
      </c>
      <c r="G581" s="2">
        <v>10</v>
      </c>
      <c r="H581" s="2">
        <v>10</v>
      </c>
      <c r="I581" s="2">
        <v>8</v>
      </c>
      <c r="J581" s="2">
        <v>8</v>
      </c>
      <c r="K581" s="2">
        <v>8</v>
      </c>
      <c r="L581" s="2">
        <v>8</v>
      </c>
      <c r="M581" s="2">
        <v>10</v>
      </c>
      <c r="N581" s="2">
        <v>10</v>
      </c>
      <c r="O581" s="2">
        <v>8</v>
      </c>
      <c r="P581" s="2">
        <v>8</v>
      </c>
      <c r="Q581" s="2" t="e">
        <f t="shared" ca="1" si="137"/>
        <v>#NAME?</v>
      </c>
      <c r="R581" s="2">
        <v>8</v>
      </c>
      <c r="S581" s="2">
        <v>8</v>
      </c>
      <c r="T581" s="2">
        <v>10</v>
      </c>
      <c r="U581" s="2">
        <v>10</v>
      </c>
      <c r="V581" s="2">
        <v>10</v>
      </c>
      <c r="W581" s="54">
        <f t="shared" si="142"/>
        <v>10</v>
      </c>
      <c r="X581" s="48">
        <v>9</v>
      </c>
      <c r="Y581" s="2">
        <v>8</v>
      </c>
      <c r="Z581" s="2"/>
      <c r="AA581" s="2">
        <v>10</v>
      </c>
      <c r="AB581" s="2">
        <v>10</v>
      </c>
      <c r="AC581" s="2">
        <v>10</v>
      </c>
      <c r="AD581" s="2">
        <v>10</v>
      </c>
      <c r="AE581" s="2">
        <v>10</v>
      </c>
      <c r="AF581" s="2">
        <v>10</v>
      </c>
      <c r="AG581" s="2">
        <v>10</v>
      </c>
      <c r="AH581" s="2">
        <v>10</v>
      </c>
      <c r="AI581" s="2">
        <v>9</v>
      </c>
      <c r="AJ581" s="2">
        <v>10</v>
      </c>
      <c r="AK581" s="3">
        <v>10</v>
      </c>
      <c r="AL581" s="3">
        <v>10</v>
      </c>
      <c r="AM581" s="3">
        <v>10</v>
      </c>
      <c r="AN581" s="3">
        <v>10</v>
      </c>
      <c r="AO581" s="3">
        <v>10</v>
      </c>
      <c r="AP581" s="3">
        <v>10</v>
      </c>
      <c r="AQ581" s="2" t="e">
        <f t="shared" ca="1" si="138"/>
        <v>#NAME?</v>
      </c>
      <c r="AR581" s="2">
        <v>10</v>
      </c>
      <c r="AS581" s="2">
        <v>10</v>
      </c>
      <c r="AT581" s="2">
        <v>10</v>
      </c>
      <c r="AU581" s="2">
        <v>10</v>
      </c>
      <c r="AV581" s="2">
        <v>10</v>
      </c>
      <c r="AW581" s="54">
        <f t="shared" si="143"/>
        <v>10</v>
      </c>
      <c r="AX581" s="48"/>
      <c r="AY581" s="2"/>
      <c r="AZ581" s="2">
        <v>10</v>
      </c>
      <c r="BA581" s="2">
        <v>10</v>
      </c>
      <c r="BB581" s="2">
        <v>10</v>
      </c>
      <c r="BC581" s="2">
        <v>10</v>
      </c>
      <c r="BD581" s="2">
        <v>10</v>
      </c>
      <c r="BE581" s="2">
        <v>10</v>
      </c>
      <c r="BF581" s="2">
        <v>10</v>
      </c>
      <c r="BG581" s="2">
        <v>10</v>
      </c>
      <c r="BH581" s="2">
        <v>10</v>
      </c>
      <c r="BI581" s="2">
        <v>10</v>
      </c>
      <c r="BJ581" s="2" t="e">
        <f t="shared" ca="1" si="139"/>
        <v>#NAME?</v>
      </c>
      <c r="BK581" s="5">
        <v>10</v>
      </c>
      <c r="BL581" s="5">
        <v>10</v>
      </c>
      <c r="BM581" s="5">
        <v>10</v>
      </c>
      <c r="BN581" s="5">
        <v>10</v>
      </c>
      <c r="BO581" s="5">
        <v>10</v>
      </c>
      <c r="BP581" s="54">
        <f t="shared" si="144"/>
        <v>10</v>
      </c>
      <c r="BQ581" s="5"/>
      <c r="BR581" s="5"/>
      <c r="BS581" s="5">
        <v>10</v>
      </c>
      <c r="BT581" s="5">
        <v>10</v>
      </c>
      <c r="BU581" s="5">
        <v>10</v>
      </c>
      <c r="BV581" s="5">
        <v>10</v>
      </c>
      <c r="BW581" s="5">
        <v>10</v>
      </c>
      <c r="BX581" s="5">
        <v>10</v>
      </c>
      <c r="BY581" s="5">
        <v>10</v>
      </c>
      <c r="BZ581" s="5">
        <v>10</v>
      </c>
      <c r="CA581" s="5">
        <v>10</v>
      </c>
      <c r="CB581" s="5">
        <v>10</v>
      </c>
      <c r="CC581" s="2" t="e">
        <f t="shared" ca="1" si="140"/>
        <v>#NAME?</v>
      </c>
      <c r="CD581" s="55">
        <v>0</v>
      </c>
      <c r="CE581" s="2">
        <v>10</v>
      </c>
      <c r="CF581" s="2">
        <v>10</v>
      </c>
      <c r="CG581" s="2">
        <v>10</v>
      </c>
      <c r="CH581" s="2">
        <v>10</v>
      </c>
      <c r="CI581" s="2">
        <v>10</v>
      </c>
      <c r="CJ581" s="2">
        <v>10</v>
      </c>
      <c r="CK581" s="2">
        <v>10</v>
      </c>
      <c r="CL581" s="2">
        <v>10</v>
      </c>
      <c r="CM581" s="2">
        <v>10</v>
      </c>
      <c r="CN581" s="2">
        <v>10</v>
      </c>
      <c r="CO581" s="2">
        <v>10</v>
      </c>
      <c r="CP581" s="2" t="e">
        <f t="shared" ca="1" si="141"/>
        <v>#NAME?</v>
      </c>
      <c r="CQ581" s="2">
        <v>10</v>
      </c>
      <c r="CR581" s="2">
        <v>10</v>
      </c>
      <c r="CS581" s="2">
        <v>10</v>
      </c>
      <c r="CT581" s="2">
        <v>10</v>
      </c>
      <c r="CU581" s="2">
        <v>10</v>
      </c>
      <c r="CV581" s="54">
        <f t="shared" si="145"/>
        <v>10</v>
      </c>
      <c r="CW581" s="55"/>
      <c r="CX581" s="3"/>
    </row>
    <row r="582" spans="1:102" ht="16.5" x14ac:dyDescent="0.55000000000000004">
      <c r="A582" s="17">
        <v>1</v>
      </c>
      <c r="B582" s="17" t="s">
        <v>1190</v>
      </c>
      <c r="C582" s="23" t="s">
        <v>1207</v>
      </c>
      <c r="D582" s="24" t="s">
        <v>1208</v>
      </c>
      <c r="E582" s="48">
        <v>8</v>
      </c>
      <c r="F582" s="2">
        <v>8</v>
      </c>
      <c r="G582" s="2">
        <v>10</v>
      </c>
      <c r="H582" s="2">
        <v>7</v>
      </c>
      <c r="I582" s="2">
        <v>7</v>
      </c>
      <c r="J582" s="2">
        <v>8</v>
      </c>
      <c r="K582" s="2">
        <v>8</v>
      </c>
      <c r="L582" s="2">
        <v>8</v>
      </c>
      <c r="M582" s="2">
        <v>10</v>
      </c>
      <c r="N582" s="2">
        <v>7</v>
      </c>
      <c r="O582" s="2">
        <v>7</v>
      </c>
      <c r="P582" s="2">
        <v>8</v>
      </c>
      <c r="Q582" s="2" t="e">
        <f t="shared" ca="1" si="137"/>
        <v>#NAME?</v>
      </c>
      <c r="R582" s="2">
        <v>7</v>
      </c>
      <c r="S582" s="2">
        <v>7</v>
      </c>
      <c r="T582" s="2">
        <v>8</v>
      </c>
      <c r="U582" s="2">
        <v>8</v>
      </c>
      <c r="V582" s="2">
        <v>8</v>
      </c>
      <c r="W582" s="54">
        <f t="shared" si="142"/>
        <v>8</v>
      </c>
      <c r="X582" s="48">
        <v>8</v>
      </c>
      <c r="Y582" s="2">
        <v>8</v>
      </c>
      <c r="Z582" s="2"/>
      <c r="AA582" s="2">
        <v>10</v>
      </c>
      <c r="AB582" s="2">
        <v>10</v>
      </c>
      <c r="AC582" s="2">
        <v>10</v>
      </c>
      <c r="AD582" s="2">
        <v>10</v>
      </c>
      <c r="AE582" s="2">
        <v>10</v>
      </c>
      <c r="AF582" s="2">
        <v>10</v>
      </c>
      <c r="AG582" s="2">
        <v>10</v>
      </c>
      <c r="AH582" s="2">
        <v>10</v>
      </c>
      <c r="AI582" s="2">
        <v>10</v>
      </c>
      <c r="AJ582" s="2">
        <v>10</v>
      </c>
      <c r="AK582" s="3">
        <v>10</v>
      </c>
      <c r="AL582" s="3">
        <v>10</v>
      </c>
      <c r="AM582" s="3">
        <v>10</v>
      </c>
      <c r="AN582" s="3">
        <v>10</v>
      </c>
      <c r="AO582" s="3">
        <v>10</v>
      </c>
      <c r="AP582" s="3">
        <v>10</v>
      </c>
      <c r="AQ582" s="2" t="e">
        <f t="shared" ca="1" si="138"/>
        <v>#NAME?</v>
      </c>
      <c r="AR582" s="2">
        <v>10</v>
      </c>
      <c r="AS582" s="2">
        <v>10</v>
      </c>
      <c r="AT582" s="2">
        <v>10</v>
      </c>
      <c r="AU582" s="2">
        <v>10</v>
      </c>
      <c r="AV582" s="2">
        <v>10</v>
      </c>
      <c r="AW582" s="54">
        <f t="shared" si="143"/>
        <v>10</v>
      </c>
      <c r="AX582" s="48"/>
      <c r="AY582" s="2"/>
      <c r="AZ582" s="2">
        <v>5</v>
      </c>
      <c r="BA582" s="2">
        <v>5</v>
      </c>
      <c r="BB582" s="2">
        <v>6</v>
      </c>
      <c r="BC582" s="2">
        <v>7</v>
      </c>
      <c r="BD582" s="2">
        <v>7</v>
      </c>
      <c r="BE582" s="2">
        <v>8</v>
      </c>
      <c r="BF582" s="2">
        <v>8</v>
      </c>
      <c r="BG582" s="2">
        <v>9</v>
      </c>
      <c r="BH582" s="2">
        <v>9</v>
      </c>
      <c r="BI582" s="57">
        <v>10</v>
      </c>
      <c r="BJ582" s="2" t="e">
        <f t="shared" ca="1" si="139"/>
        <v>#NAME?</v>
      </c>
      <c r="BK582" s="5">
        <v>7</v>
      </c>
      <c r="BL582" s="5">
        <v>8</v>
      </c>
      <c r="BM582" s="5">
        <v>8</v>
      </c>
      <c r="BN582" s="5">
        <v>9</v>
      </c>
      <c r="BO582" s="5">
        <v>10</v>
      </c>
      <c r="BP582" s="54">
        <f t="shared" si="144"/>
        <v>9</v>
      </c>
      <c r="BQ582" s="5"/>
      <c r="BR582" s="5"/>
      <c r="BS582" s="5">
        <v>10</v>
      </c>
      <c r="BT582" s="5">
        <v>10</v>
      </c>
      <c r="BU582" s="5">
        <v>10</v>
      </c>
      <c r="BV582" s="5">
        <v>10</v>
      </c>
      <c r="BW582" s="5">
        <v>10</v>
      </c>
      <c r="BX582" s="5">
        <v>10</v>
      </c>
      <c r="BY582" s="5">
        <v>10</v>
      </c>
      <c r="BZ582" s="5">
        <v>10</v>
      </c>
      <c r="CA582" s="5">
        <v>10</v>
      </c>
      <c r="CB582" s="5">
        <v>10</v>
      </c>
      <c r="CC582" s="2" t="e">
        <f t="shared" ca="1" si="140"/>
        <v>#NAME?</v>
      </c>
      <c r="CD582" s="55">
        <v>0</v>
      </c>
      <c r="CE582" s="2">
        <v>4</v>
      </c>
      <c r="CF582" s="8">
        <v>10</v>
      </c>
      <c r="CG582" s="8">
        <v>10</v>
      </c>
      <c r="CH582" s="8">
        <v>10</v>
      </c>
      <c r="CI582" s="8">
        <v>10</v>
      </c>
      <c r="CJ582" s="8">
        <v>10</v>
      </c>
      <c r="CK582" s="8">
        <v>10</v>
      </c>
      <c r="CL582" s="8">
        <v>10</v>
      </c>
      <c r="CM582" s="8">
        <v>10</v>
      </c>
      <c r="CN582" s="8">
        <v>10</v>
      </c>
      <c r="CO582" s="8">
        <v>10</v>
      </c>
      <c r="CP582" s="2" t="e">
        <f t="shared" ca="1" si="141"/>
        <v>#NAME?</v>
      </c>
      <c r="CQ582" s="8">
        <v>10</v>
      </c>
      <c r="CR582" s="8">
        <v>10</v>
      </c>
      <c r="CS582" s="8">
        <v>10</v>
      </c>
      <c r="CT582" s="8">
        <v>10</v>
      </c>
      <c r="CU582" s="8">
        <v>10</v>
      </c>
      <c r="CV582" s="54">
        <f t="shared" si="145"/>
        <v>10</v>
      </c>
      <c r="CW582" s="55"/>
      <c r="CX582" s="3"/>
    </row>
    <row r="583" spans="1:102" ht="16.5" x14ac:dyDescent="0.55000000000000004">
      <c r="A583" s="17">
        <v>1</v>
      </c>
      <c r="B583" s="17" t="s">
        <v>1190</v>
      </c>
      <c r="C583" s="23" t="s">
        <v>1209</v>
      </c>
      <c r="D583" s="24" t="s">
        <v>1210</v>
      </c>
      <c r="E583" s="48">
        <v>8</v>
      </c>
      <c r="F583" s="2">
        <v>8</v>
      </c>
      <c r="G583" s="2">
        <v>10</v>
      </c>
      <c r="H583" s="2">
        <v>10</v>
      </c>
      <c r="I583" s="2">
        <v>8</v>
      </c>
      <c r="J583" s="2">
        <v>8</v>
      </c>
      <c r="K583" s="2">
        <v>8</v>
      </c>
      <c r="L583" s="2">
        <v>8</v>
      </c>
      <c r="M583" s="2">
        <v>10</v>
      </c>
      <c r="N583" s="2">
        <v>10</v>
      </c>
      <c r="O583" s="2">
        <v>8</v>
      </c>
      <c r="P583" s="2">
        <v>8</v>
      </c>
      <c r="Q583" s="2" t="e">
        <f t="shared" ca="1" si="137"/>
        <v>#NAME?</v>
      </c>
      <c r="R583" s="2">
        <v>9</v>
      </c>
      <c r="S583" s="2">
        <v>10</v>
      </c>
      <c r="T583" s="2">
        <v>5</v>
      </c>
      <c r="U583" s="2">
        <v>5</v>
      </c>
      <c r="V583" s="2">
        <v>5</v>
      </c>
      <c r="W583" s="54">
        <f t="shared" si="142"/>
        <v>7</v>
      </c>
      <c r="X583" s="48">
        <v>8</v>
      </c>
      <c r="Y583" s="2">
        <v>8</v>
      </c>
      <c r="Z583" s="2"/>
      <c r="AA583" s="2">
        <v>10</v>
      </c>
      <c r="AB583" s="2">
        <v>10</v>
      </c>
      <c r="AC583" s="2">
        <v>10</v>
      </c>
      <c r="AD583" s="2">
        <v>10</v>
      </c>
      <c r="AE583" s="2">
        <v>10</v>
      </c>
      <c r="AF583" s="2">
        <v>10</v>
      </c>
      <c r="AG583" s="2">
        <v>10</v>
      </c>
      <c r="AH583" s="2">
        <v>9</v>
      </c>
      <c r="AI583" s="2">
        <v>9</v>
      </c>
      <c r="AJ583" s="2">
        <v>9</v>
      </c>
      <c r="AK583" s="3">
        <v>10</v>
      </c>
      <c r="AL583" s="3">
        <v>10</v>
      </c>
      <c r="AM583" s="3">
        <v>10</v>
      </c>
      <c r="AN583" s="3">
        <v>10</v>
      </c>
      <c r="AO583" s="3">
        <v>10</v>
      </c>
      <c r="AP583" s="3">
        <v>10</v>
      </c>
      <c r="AQ583" s="2" t="e">
        <f t="shared" ca="1" si="138"/>
        <v>#NAME?</v>
      </c>
      <c r="AR583" s="2">
        <v>10</v>
      </c>
      <c r="AS583" s="2">
        <v>10</v>
      </c>
      <c r="AT583" s="2">
        <v>10</v>
      </c>
      <c r="AU583" s="2">
        <v>9</v>
      </c>
      <c r="AV583" s="2">
        <v>9</v>
      </c>
      <c r="AW583" s="54">
        <f t="shared" si="143"/>
        <v>10</v>
      </c>
      <c r="AX583" s="48"/>
      <c r="AY583" s="2"/>
      <c r="AZ583" s="2">
        <v>6</v>
      </c>
      <c r="BA583" s="2">
        <v>7</v>
      </c>
      <c r="BB583" s="2">
        <v>7</v>
      </c>
      <c r="BC583" s="2">
        <v>8</v>
      </c>
      <c r="BD583" s="2">
        <v>8</v>
      </c>
      <c r="BE583" s="2">
        <v>9</v>
      </c>
      <c r="BF583" s="2">
        <v>9</v>
      </c>
      <c r="BG583" s="2">
        <v>10</v>
      </c>
      <c r="BH583" s="2">
        <v>10</v>
      </c>
      <c r="BI583" s="57">
        <v>10</v>
      </c>
      <c r="BJ583" s="2" t="e">
        <f t="shared" ca="1" si="139"/>
        <v>#NAME?</v>
      </c>
      <c r="BK583" s="5">
        <v>6</v>
      </c>
      <c r="BL583" s="5">
        <v>7</v>
      </c>
      <c r="BM583" s="5">
        <v>8</v>
      </c>
      <c r="BN583" s="5">
        <v>9</v>
      </c>
      <c r="BO583" s="5">
        <v>10</v>
      </c>
      <c r="BP583" s="54">
        <f t="shared" si="144"/>
        <v>8</v>
      </c>
      <c r="BQ583" s="5"/>
      <c r="BR583" s="5"/>
      <c r="BS583" s="5">
        <v>5</v>
      </c>
      <c r="BT583" s="5">
        <v>5</v>
      </c>
      <c r="BU583" s="5">
        <v>5</v>
      </c>
      <c r="BV583" s="5">
        <v>5</v>
      </c>
      <c r="BW583" s="5">
        <v>5</v>
      </c>
      <c r="BX583" s="5">
        <v>5</v>
      </c>
      <c r="BY583" s="5">
        <v>5</v>
      </c>
      <c r="BZ583" s="5">
        <v>5</v>
      </c>
      <c r="CA583" s="5">
        <v>5</v>
      </c>
      <c r="CB583" s="5">
        <v>5</v>
      </c>
      <c r="CC583" s="2" t="e">
        <f t="shared" ca="1" si="140"/>
        <v>#NAME?</v>
      </c>
      <c r="CD583" s="55">
        <v>0</v>
      </c>
      <c r="CE583" s="2">
        <v>5</v>
      </c>
      <c r="CF583" s="17">
        <v>10</v>
      </c>
      <c r="CG583" s="17">
        <v>10</v>
      </c>
      <c r="CH583" s="17">
        <v>10</v>
      </c>
      <c r="CI583" s="17">
        <v>10</v>
      </c>
      <c r="CJ583" s="17">
        <v>10</v>
      </c>
      <c r="CK583" s="17">
        <v>10</v>
      </c>
      <c r="CL583" s="24">
        <v>5</v>
      </c>
      <c r="CM583" s="24">
        <v>5</v>
      </c>
      <c r="CN583" s="24">
        <v>5</v>
      </c>
      <c r="CO583" s="24">
        <v>5</v>
      </c>
      <c r="CP583" s="2" t="e">
        <f t="shared" ca="1" si="141"/>
        <v>#NAME?</v>
      </c>
      <c r="CQ583" s="14">
        <v>10</v>
      </c>
      <c r="CR583" s="17">
        <v>5</v>
      </c>
      <c r="CS583" s="17">
        <v>5</v>
      </c>
      <c r="CT583" s="17">
        <v>5</v>
      </c>
      <c r="CU583" s="17">
        <v>5</v>
      </c>
      <c r="CV583" s="54">
        <f t="shared" si="145"/>
        <v>6</v>
      </c>
      <c r="CW583" s="55"/>
      <c r="CX583" s="3"/>
    </row>
    <row r="584" spans="1:102" ht="16.5" x14ac:dyDescent="0.55000000000000004">
      <c r="A584" s="17">
        <v>1</v>
      </c>
      <c r="B584" s="17" t="s">
        <v>1190</v>
      </c>
      <c r="C584" s="23" t="s">
        <v>1211</v>
      </c>
      <c r="D584" s="24" t="s">
        <v>1212</v>
      </c>
      <c r="E584" s="48">
        <v>8</v>
      </c>
      <c r="F584" s="2">
        <v>9</v>
      </c>
      <c r="G584" s="2">
        <v>10</v>
      </c>
      <c r="H584" s="2">
        <v>10</v>
      </c>
      <c r="I584" s="2">
        <v>8</v>
      </c>
      <c r="J584" s="2">
        <v>8</v>
      </c>
      <c r="K584" s="2">
        <v>8</v>
      </c>
      <c r="L584" s="2">
        <v>9</v>
      </c>
      <c r="M584" s="2">
        <v>10</v>
      </c>
      <c r="N584" s="2">
        <v>10</v>
      </c>
      <c r="O584" s="2">
        <v>8</v>
      </c>
      <c r="P584" s="2">
        <v>8</v>
      </c>
      <c r="Q584" s="2" t="e">
        <f t="shared" ca="1" si="137"/>
        <v>#NAME?</v>
      </c>
      <c r="R584" s="2">
        <v>10</v>
      </c>
      <c r="S584" s="2">
        <v>10</v>
      </c>
      <c r="T584" s="2">
        <v>10</v>
      </c>
      <c r="U584" s="2">
        <v>10</v>
      </c>
      <c r="V584" s="2">
        <v>10</v>
      </c>
      <c r="W584" s="54">
        <f t="shared" si="142"/>
        <v>10</v>
      </c>
      <c r="X584" s="48">
        <v>8</v>
      </c>
      <c r="Y584" s="2">
        <v>9</v>
      </c>
      <c r="Z584" s="2"/>
      <c r="AA584" s="2">
        <v>5</v>
      </c>
      <c r="AB584" s="2">
        <v>5</v>
      </c>
      <c r="AC584" s="2">
        <v>5</v>
      </c>
      <c r="AD584" s="2">
        <v>5</v>
      </c>
      <c r="AE584" s="2">
        <v>5</v>
      </c>
      <c r="AF584" s="2">
        <v>5</v>
      </c>
      <c r="AG584" s="2">
        <v>5</v>
      </c>
      <c r="AH584" s="2">
        <v>5</v>
      </c>
      <c r="AI584" s="2">
        <v>5</v>
      </c>
      <c r="AJ584" s="2">
        <v>5</v>
      </c>
      <c r="AK584" s="3">
        <v>10</v>
      </c>
      <c r="AL584" s="3">
        <v>10</v>
      </c>
      <c r="AM584" s="3">
        <v>10</v>
      </c>
      <c r="AN584" s="3">
        <v>10</v>
      </c>
      <c r="AO584" s="3">
        <v>10</v>
      </c>
      <c r="AP584" s="3">
        <v>10</v>
      </c>
      <c r="AQ584" s="2" t="e">
        <f t="shared" ca="1" si="138"/>
        <v>#NAME?</v>
      </c>
      <c r="AR584" s="2">
        <v>10</v>
      </c>
      <c r="AS584" s="2">
        <v>10</v>
      </c>
      <c r="AT584" s="2">
        <v>10</v>
      </c>
      <c r="AU584" s="2">
        <v>9</v>
      </c>
      <c r="AV584" s="2">
        <v>9</v>
      </c>
      <c r="AW584" s="54">
        <f t="shared" si="143"/>
        <v>10</v>
      </c>
      <c r="AX584" s="48"/>
      <c r="AY584" s="2"/>
      <c r="AZ584" s="2">
        <v>10</v>
      </c>
      <c r="BA584" s="2">
        <v>10</v>
      </c>
      <c r="BB584" s="2">
        <v>10</v>
      </c>
      <c r="BC584" s="2">
        <v>10</v>
      </c>
      <c r="BD584" s="2">
        <v>10</v>
      </c>
      <c r="BE584" s="2">
        <v>10</v>
      </c>
      <c r="BF584" s="2">
        <v>10</v>
      </c>
      <c r="BG584" s="2">
        <v>10</v>
      </c>
      <c r="BH584" s="2">
        <v>10</v>
      </c>
      <c r="BI584" s="2">
        <v>10</v>
      </c>
      <c r="BJ584" s="2" t="e">
        <f t="shared" ca="1" si="139"/>
        <v>#NAME?</v>
      </c>
      <c r="BK584" s="5">
        <v>10</v>
      </c>
      <c r="BL584" s="5">
        <v>10</v>
      </c>
      <c r="BM584" s="5">
        <v>10</v>
      </c>
      <c r="BN584" s="5">
        <v>10</v>
      </c>
      <c r="BO584" s="5">
        <v>10</v>
      </c>
      <c r="BP584" s="54">
        <f t="shared" si="144"/>
        <v>10</v>
      </c>
      <c r="BQ584" s="5"/>
      <c r="BR584" s="5"/>
      <c r="BS584" s="5">
        <v>10</v>
      </c>
      <c r="BT584" s="5">
        <v>10</v>
      </c>
      <c r="BU584" s="5">
        <v>10</v>
      </c>
      <c r="BV584" s="5">
        <v>10</v>
      </c>
      <c r="BW584" s="5">
        <v>10</v>
      </c>
      <c r="BX584" s="5">
        <v>10</v>
      </c>
      <c r="BY584" s="5">
        <v>10</v>
      </c>
      <c r="BZ584" s="5">
        <v>10</v>
      </c>
      <c r="CA584" s="5">
        <v>10</v>
      </c>
      <c r="CB584" s="5">
        <v>10</v>
      </c>
      <c r="CC584" s="2" t="e">
        <f t="shared" ca="1" si="140"/>
        <v>#NAME?</v>
      </c>
      <c r="CD584" s="55">
        <v>0</v>
      </c>
      <c r="CE584" s="2">
        <v>9</v>
      </c>
      <c r="CF584" s="2">
        <v>10</v>
      </c>
      <c r="CG584" s="2">
        <v>10</v>
      </c>
      <c r="CH584" s="2">
        <v>10</v>
      </c>
      <c r="CI584" s="2">
        <v>10</v>
      </c>
      <c r="CJ584" s="2">
        <v>10</v>
      </c>
      <c r="CK584" s="2">
        <v>10</v>
      </c>
      <c r="CL584" s="2">
        <v>10</v>
      </c>
      <c r="CM584" s="2">
        <v>10</v>
      </c>
      <c r="CN584" s="2">
        <v>10</v>
      </c>
      <c r="CO584" s="2">
        <v>10</v>
      </c>
      <c r="CP584" s="2" t="e">
        <f t="shared" ca="1" si="141"/>
        <v>#NAME?</v>
      </c>
      <c r="CQ584" s="2">
        <v>10</v>
      </c>
      <c r="CR584" s="2">
        <v>10</v>
      </c>
      <c r="CS584" s="2">
        <v>10</v>
      </c>
      <c r="CT584" s="2">
        <v>10</v>
      </c>
      <c r="CU584" s="2">
        <v>10</v>
      </c>
      <c r="CV584" s="54">
        <f t="shared" si="145"/>
        <v>10</v>
      </c>
      <c r="CW584" s="55"/>
      <c r="CX584" s="3"/>
    </row>
    <row r="585" spans="1:102" ht="16.5" x14ac:dyDescent="0.55000000000000004">
      <c r="A585" s="17">
        <v>1</v>
      </c>
      <c r="B585" s="17" t="s">
        <v>1190</v>
      </c>
      <c r="C585" s="23" t="s">
        <v>1213</v>
      </c>
      <c r="D585" s="24" t="s">
        <v>1214</v>
      </c>
      <c r="E585" s="48">
        <v>8</v>
      </c>
      <c r="F585" s="2">
        <v>7</v>
      </c>
      <c r="G585" s="2">
        <v>6</v>
      </c>
      <c r="H585" s="2">
        <v>6</v>
      </c>
      <c r="I585" s="2">
        <v>6</v>
      </c>
      <c r="J585" s="2">
        <v>6</v>
      </c>
      <c r="K585" s="2">
        <v>6</v>
      </c>
      <c r="L585" s="2">
        <v>8</v>
      </c>
      <c r="M585" s="2">
        <v>8</v>
      </c>
      <c r="N585" s="2">
        <v>7</v>
      </c>
      <c r="O585" s="2">
        <v>6</v>
      </c>
      <c r="P585" s="2">
        <v>7</v>
      </c>
      <c r="Q585" s="2" t="e">
        <f t="shared" ca="1" si="137"/>
        <v>#NAME?</v>
      </c>
      <c r="R585" s="2">
        <v>7</v>
      </c>
      <c r="S585" s="2">
        <v>7</v>
      </c>
      <c r="T585" s="2">
        <v>7</v>
      </c>
      <c r="U585" s="2">
        <v>7</v>
      </c>
      <c r="V585" s="2">
        <v>7</v>
      </c>
      <c r="W585" s="54">
        <f t="shared" si="142"/>
        <v>7</v>
      </c>
      <c r="X585" s="48">
        <v>8</v>
      </c>
      <c r="Y585" s="2">
        <v>7</v>
      </c>
      <c r="Z585" s="2"/>
      <c r="AA585" s="2">
        <v>10</v>
      </c>
      <c r="AB585" s="2">
        <v>10</v>
      </c>
      <c r="AC585" s="2">
        <v>10</v>
      </c>
      <c r="AD585" s="2">
        <v>10</v>
      </c>
      <c r="AE585" s="2">
        <v>10</v>
      </c>
      <c r="AF585" s="2">
        <v>10</v>
      </c>
      <c r="AG585" s="2">
        <v>10</v>
      </c>
      <c r="AH585" s="2">
        <v>10</v>
      </c>
      <c r="AI585" s="2">
        <v>10</v>
      </c>
      <c r="AJ585" s="2">
        <v>9</v>
      </c>
      <c r="AK585" s="3">
        <v>10</v>
      </c>
      <c r="AL585" s="3">
        <v>10</v>
      </c>
      <c r="AM585" s="3">
        <v>10</v>
      </c>
      <c r="AN585" s="3">
        <v>10</v>
      </c>
      <c r="AO585" s="3">
        <v>10</v>
      </c>
      <c r="AP585" s="3">
        <v>10</v>
      </c>
      <c r="AQ585" s="2" t="e">
        <f t="shared" ca="1" si="138"/>
        <v>#NAME?</v>
      </c>
      <c r="AR585" s="2">
        <v>10</v>
      </c>
      <c r="AS585" s="2">
        <v>10</v>
      </c>
      <c r="AT585" s="2">
        <v>10</v>
      </c>
      <c r="AU585" s="2">
        <v>10</v>
      </c>
      <c r="AV585" s="2">
        <v>10</v>
      </c>
      <c r="AW585" s="54">
        <f t="shared" si="143"/>
        <v>10</v>
      </c>
      <c r="AX585" s="48"/>
      <c r="AY585" s="2"/>
      <c r="AZ585" s="2">
        <v>10</v>
      </c>
      <c r="BA585" s="2">
        <v>10</v>
      </c>
      <c r="BB585" s="2">
        <v>5</v>
      </c>
      <c r="BC585" s="2">
        <v>5</v>
      </c>
      <c r="BD585" s="2">
        <v>5</v>
      </c>
      <c r="BE585" s="2">
        <v>5</v>
      </c>
      <c r="BF585" s="2">
        <v>5</v>
      </c>
      <c r="BG585" s="2">
        <v>5</v>
      </c>
      <c r="BH585" s="2">
        <v>5</v>
      </c>
      <c r="BI585" s="2">
        <v>5</v>
      </c>
      <c r="BJ585" s="2" t="e">
        <f t="shared" ca="1" si="139"/>
        <v>#NAME?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54">
        <f t="shared" si="144"/>
        <v>0</v>
      </c>
      <c r="BQ585" s="5"/>
      <c r="BR585" s="5"/>
      <c r="BS585" s="5">
        <v>8</v>
      </c>
      <c r="BT585" s="5">
        <v>8</v>
      </c>
      <c r="BU585" s="5">
        <v>8</v>
      </c>
      <c r="BV585" s="5">
        <v>8</v>
      </c>
      <c r="BW585" s="5">
        <v>8</v>
      </c>
      <c r="BX585" s="5">
        <v>8</v>
      </c>
      <c r="BY585" s="5">
        <v>9</v>
      </c>
      <c r="BZ585" s="5">
        <v>9</v>
      </c>
      <c r="CA585" s="5">
        <v>9</v>
      </c>
      <c r="CB585" s="5">
        <v>9</v>
      </c>
      <c r="CC585" s="2" t="e">
        <f t="shared" ca="1" si="140"/>
        <v>#NAME?</v>
      </c>
      <c r="CD585" s="55">
        <v>0</v>
      </c>
      <c r="CE585" s="2">
        <v>4</v>
      </c>
      <c r="CF585" s="2">
        <v>8</v>
      </c>
      <c r="CG585" s="2">
        <v>8</v>
      </c>
      <c r="CH585" s="2">
        <v>8</v>
      </c>
      <c r="CI585" s="2">
        <v>8</v>
      </c>
      <c r="CJ585" s="2">
        <v>9</v>
      </c>
      <c r="CK585" s="2">
        <v>9</v>
      </c>
      <c r="CL585" s="2">
        <v>9</v>
      </c>
      <c r="CM585" s="2">
        <v>8</v>
      </c>
      <c r="CN585" s="2">
        <v>8</v>
      </c>
      <c r="CO585" s="2">
        <v>8</v>
      </c>
      <c r="CP585" s="2" t="e">
        <f t="shared" ca="1" si="141"/>
        <v>#NAME?</v>
      </c>
      <c r="CQ585" s="2">
        <v>8</v>
      </c>
      <c r="CR585" s="2">
        <v>9</v>
      </c>
      <c r="CS585" s="2">
        <v>9</v>
      </c>
      <c r="CT585" s="2">
        <v>8</v>
      </c>
      <c r="CU585" s="2">
        <v>8</v>
      </c>
      <c r="CV585" s="54">
        <f t="shared" si="145"/>
        <v>9</v>
      </c>
      <c r="CW585" s="55"/>
      <c r="CX585" s="3"/>
    </row>
    <row r="586" spans="1:102" ht="16.5" x14ac:dyDescent="0.55000000000000004">
      <c r="A586" s="17">
        <v>1</v>
      </c>
      <c r="B586" s="17" t="s">
        <v>1190</v>
      </c>
      <c r="C586" s="23" t="s">
        <v>1215</v>
      </c>
      <c r="D586" s="24" t="s">
        <v>1216</v>
      </c>
      <c r="E586" s="48">
        <v>8</v>
      </c>
      <c r="F586" s="2">
        <v>9</v>
      </c>
      <c r="G586" s="2">
        <v>10</v>
      </c>
      <c r="H586" s="2">
        <v>10</v>
      </c>
      <c r="I586" s="2">
        <v>8</v>
      </c>
      <c r="J586" s="2">
        <v>8</v>
      </c>
      <c r="K586" s="2">
        <v>8</v>
      </c>
      <c r="L586" s="2">
        <v>10</v>
      </c>
      <c r="M586" s="2">
        <v>10</v>
      </c>
      <c r="N586" s="2">
        <v>8</v>
      </c>
      <c r="O586" s="2">
        <v>8</v>
      </c>
      <c r="P586" s="2">
        <v>8</v>
      </c>
      <c r="Q586" s="2" t="e">
        <f t="shared" ca="1" si="137"/>
        <v>#NAME?</v>
      </c>
      <c r="R586" s="2">
        <v>9</v>
      </c>
      <c r="S586" s="2">
        <v>9</v>
      </c>
      <c r="T586" s="2">
        <v>9</v>
      </c>
      <c r="U586" s="2">
        <v>8</v>
      </c>
      <c r="V586" s="2">
        <v>10</v>
      </c>
      <c r="W586" s="54">
        <f t="shared" si="142"/>
        <v>9</v>
      </c>
      <c r="X586" s="48">
        <v>8</v>
      </c>
      <c r="Y586" s="2">
        <v>9</v>
      </c>
      <c r="Z586" s="8"/>
      <c r="AA586" s="2">
        <v>5</v>
      </c>
      <c r="AB586" s="2">
        <v>5</v>
      </c>
      <c r="AC586" s="2">
        <v>5</v>
      </c>
      <c r="AD586" s="2">
        <v>5</v>
      </c>
      <c r="AE586" s="2">
        <v>5</v>
      </c>
      <c r="AF586" s="2">
        <v>5</v>
      </c>
      <c r="AG586" s="2">
        <v>5</v>
      </c>
      <c r="AH586" s="2">
        <v>5</v>
      </c>
      <c r="AI586" s="2">
        <v>5</v>
      </c>
      <c r="AJ586" s="2">
        <v>5</v>
      </c>
      <c r="AK586" s="3">
        <v>10</v>
      </c>
      <c r="AL586" s="3">
        <v>10</v>
      </c>
      <c r="AM586" s="3">
        <v>10</v>
      </c>
      <c r="AN586" s="3">
        <v>10</v>
      </c>
      <c r="AO586" s="3">
        <v>10</v>
      </c>
      <c r="AP586" s="3">
        <v>10</v>
      </c>
      <c r="AQ586" s="2" t="e">
        <f t="shared" ca="1" si="138"/>
        <v>#NAME?</v>
      </c>
      <c r="AR586" s="2">
        <v>10</v>
      </c>
      <c r="AS586" s="2">
        <v>10</v>
      </c>
      <c r="AT586" s="2">
        <v>10</v>
      </c>
      <c r="AU586" s="2">
        <v>9</v>
      </c>
      <c r="AV586" s="2">
        <v>9</v>
      </c>
      <c r="AW586" s="54">
        <f t="shared" si="143"/>
        <v>10</v>
      </c>
      <c r="AX586" s="48"/>
      <c r="AY586" s="2"/>
      <c r="AZ586" s="2">
        <v>10</v>
      </c>
      <c r="BA586" s="2">
        <v>9</v>
      </c>
      <c r="BB586" s="2">
        <v>8</v>
      </c>
      <c r="BC586" s="2">
        <v>10</v>
      </c>
      <c r="BD586" s="2">
        <v>10</v>
      </c>
      <c r="BE586" s="2">
        <v>10</v>
      </c>
      <c r="BF586" s="2">
        <v>10</v>
      </c>
      <c r="BG586" s="2">
        <v>10</v>
      </c>
      <c r="BH586" s="2">
        <v>10</v>
      </c>
      <c r="BI586" s="2">
        <v>10</v>
      </c>
      <c r="BJ586" s="2" t="e">
        <f t="shared" ca="1" si="139"/>
        <v>#NAME?</v>
      </c>
      <c r="BK586" s="5">
        <v>7</v>
      </c>
      <c r="BL586" s="5">
        <v>8</v>
      </c>
      <c r="BM586" s="5">
        <v>9</v>
      </c>
      <c r="BN586" s="5">
        <v>10</v>
      </c>
      <c r="BO586" s="5">
        <v>10</v>
      </c>
      <c r="BP586" s="54">
        <f t="shared" si="144"/>
        <v>9</v>
      </c>
      <c r="BQ586" s="5"/>
      <c r="BR586" s="5"/>
      <c r="BS586" s="5">
        <v>10</v>
      </c>
      <c r="BT586" s="5">
        <v>10</v>
      </c>
      <c r="BU586" s="5">
        <v>10</v>
      </c>
      <c r="BV586" s="5">
        <v>10</v>
      </c>
      <c r="BW586" s="5">
        <v>10</v>
      </c>
      <c r="BX586" s="5">
        <v>10</v>
      </c>
      <c r="BY586" s="5">
        <v>10</v>
      </c>
      <c r="BZ586" s="5">
        <v>10</v>
      </c>
      <c r="CA586" s="5">
        <v>10</v>
      </c>
      <c r="CB586" s="5">
        <v>10</v>
      </c>
      <c r="CC586" s="2" t="e">
        <f t="shared" ca="1" si="140"/>
        <v>#NAME?</v>
      </c>
      <c r="CD586" s="55">
        <v>10</v>
      </c>
      <c r="CE586" s="2">
        <v>9</v>
      </c>
      <c r="CF586" s="2">
        <v>10</v>
      </c>
      <c r="CG586" s="2">
        <v>10</v>
      </c>
      <c r="CH586" s="2">
        <v>10</v>
      </c>
      <c r="CI586" s="2">
        <v>10</v>
      </c>
      <c r="CJ586" s="2">
        <v>10</v>
      </c>
      <c r="CK586" s="2">
        <v>10</v>
      </c>
      <c r="CL586" s="2">
        <v>10</v>
      </c>
      <c r="CM586" s="2">
        <v>10</v>
      </c>
      <c r="CN586" s="2">
        <v>10</v>
      </c>
      <c r="CO586" s="2">
        <v>10</v>
      </c>
      <c r="CP586" s="2" t="e">
        <f t="shared" ca="1" si="141"/>
        <v>#NAME?</v>
      </c>
      <c r="CQ586" s="2">
        <v>10</v>
      </c>
      <c r="CR586" s="2">
        <v>10</v>
      </c>
      <c r="CS586" s="2">
        <v>10</v>
      </c>
      <c r="CT586" s="2">
        <v>10</v>
      </c>
      <c r="CU586" s="2">
        <v>10</v>
      </c>
      <c r="CV586" s="54">
        <f t="shared" si="145"/>
        <v>10</v>
      </c>
      <c r="CW586" s="55"/>
      <c r="CX586" s="3"/>
    </row>
    <row r="587" spans="1:102" ht="16.5" x14ac:dyDescent="0.55000000000000004">
      <c r="A587" s="17">
        <v>1</v>
      </c>
      <c r="B587" s="17" t="s">
        <v>1190</v>
      </c>
      <c r="C587" s="23" t="s">
        <v>1217</v>
      </c>
      <c r="D587" s="24" t="s">
        <v>1218</v>
      </c>
      <c r="E587" s="48">
        <v>7</v>
      </c>
      <c r="F587" s="2">
        <v>8</v>
      </c>
      <c r="G587" s="2">
        <v>10</v>
      </c>
      <c r="H587" s="2">
        <v>10</v>
      </c>
      <c r="I587" s="2">
        <v>8</v>
      </c>
      <c r="J587" s="2">
        <v>9</v>
      </c>
      <c r="K587" s="2">
        <v>10</v>
      </c>
      <c r="L587" s="2">
        <v>10</v>
      </c>
      <c r="M587" s="2">
        <v>10</v>
      </c>
      <c r="N587" s="2">
        <v>8</v>
      </c>
      <c r="O587" s="2">
        <v>9</v>
      </c>
      <c r="P587" s="2">
        <v>10</v>
      </c>
      <c r="Q587" s="2" t="e">
        <f t="shared" ca="1" si="137"/>
        <v>#NAME?</v>
      </c>
      <c r="R587" s="2">
        <v>8</v>
      </c>
      <c r="S587" s="2">
        <v>8</v>
      </c>
      <c r="T587" s="2">
        <v>10</v>
      </c>
      <c r="U587" s="2">
        <v>10</v>
      </c>
      <c r="V587" s="2">
        <v>10</v>
      </c>
      <c r="W587" s="54">
        <f t="shared" si="142"/>
        <v>10</v>
      </c>
      <c r="X587" s="48">
        <v>7</v>
      </c>
      <c r="Y587" s="2">
        <v>8</v>
      </c>
      <c r="Z587" s="2"/>
      <c r="AA587" s="2">
        <v>10</v>
      </c>
      <c r="AB587" s="2">
        <v>10</v>
      </c>
      <c r="AC587" s="2">
        <v>10</v>
      </c>
      <c r="AD587" s="2">
        <v>10</v>
      </c>
      <c r="AE587" s="2">
        <v>10</v>
      </c>
      <c r="AF587" s="2">
        <v>10</v>
      </c>
      <c r="AG587" s="2">
        <v>10</v>
      </c>
      <c r="AH587" s="2">
        <v>10</v>
      </c>
      <c r="AI587" s="2">
        <v>10</v>
      </c>
      <c r="AJ587" s="2">
        <v>10</v>
      </c>
      <c r="AK587" s="3">
        <v>10</v>
      </c>
      <c r="AL587" s="3">
        <v>10</v>
      </c>
      <c r="AM587" s="3">
        <v>10</v>
      </c>
      <c r="AN587" s="3">
        <v>10</v>
      </c>
      <c r="AO587" s="3">
        <v>10</v>
      </c>
      <c r="AP587" s="3">
        <v>10</v>
      </c>
      <c r="AQ587" s="2" t="e">
        <f t="shared" ca="1" si="138"/>
        <v>#NAME?</v>
      </c>
      <c r="AR587" s="2">
        <v>10</v>
      </c>
      <c r="AS587" s="2">
        <v>10</v>
      </c>
      <c r="AT587" s="2">
        <v>10</v>
      </c>
      <c r="AU587" s="2">
        <v>10</v>
      </c>
      <c r="AV587" s="2">
        <v>10</v>
      </c>
      <c r="AW587" s="54">
        <f t="shared" si="143"/>
        <v>10</v>
      </c>
      <c r="AX587" s="48"/>
      <c r="AY587" s="2"/>
      <c r="AZ587" s="2">
        <v>10</v>
      </c>
      <c r="BA587" s="2">
        <v>10</v>
      </c>
      <c r="BB587" s="2">
        <v>10</v>
      </c>
      <c r="BC587" s="2">
        <v>10</v>
      </c>
      <c r="BD587" s="2">
        <v>10</v>
      </c>
      <c r="BE587" s="2">
        <v>10</v>
      </c>
      <c r="BF587" s="2">
        <v>10</v>
      </c>
      <c r="BG587" s="2">
        <v>10</v>
      </c>
      <c r="BH587" s="2">
        <v>10</v>
      </c>
      <c r="BI587" s="57">
        <v>10</v>
      </c>
      <c r="BJ587" s="2" t="e">
        <f t="shared" ca="1" si="139"/>
        <v>#NAME?</v>
      </c>
      <c r="BK587" s="5">
        <v>10</v>
      </c>
      <c r="BL587" s="5">
        <v>10</v>
      </c>
      <c r="BM587" s="5">
        <v>10</v>
      </c>
      <c r="BN587" s="5">
        <v>10</v>
      </c>
      <c r="BO587" s="5">
        <v>10</v>
      </c>
      <c r="BP587" s="54">
        <f t="shared" si="144"/>
        <v>10</v>
      </c>
      <c r="BQ587" s="5"/>
      <c r="BR587" s="5"/>
      <c r="BS587" s="5">
        <v>10</v>
      </c>
      <c r="BT587" s="5">
        <v>10</v>
      </c>
      <c r="BU587" s="5">
        <v>10</v>
      </c>
      <c r="BV587" s="5">
        <v>10</v>
      </c>
      <c r="BW587" s="5">
        <v>10</v>
      </c>
      <c r="BX587" s="5">
        <v>10</v>
      </c>
      <c r="BY587" s="5">
        <v>10</v>
      </c>
      <c r="BZ587" s="5">
        <v>10</v>
      </c>
      <c r="CA587" s="5">
        <v>10</v>
      </c>
      <c r="CB587" s="5">
        <v>10</v>
      </c>
      <c r="CC587" s="2" t="e">
        <f t="shared" ca="1" si="140"/>
        <v>#NAME?</v>
      </c>
      <c r="CD587" s="55">
        <v>0</v>
      </c>
      <c r="CE587" s="2">
        <v>9</v>
      </c>
      <c r="CF587" s="2">
        <v>10</v>
      </c>
      <c r="CG587" s="2">
        <v>10</v>
      </c>
      <c r="CH587" s="2">
        <v>10</v>
      </c>
      <c r="CI587" s="2">
        <v>10</v>
      </c>
      <c r="CJ587" s="2">
        <v>10</v>
      </c>
      <c r="CK587" s="2">
        <v>10</v>
      </c>
      <c r="CL587" s="2">
        <v>10</v>
      </c>
      <c r="CM587" s="2">
        <v>10</v>
      </c>
      <c r="CN587" s="2">
        <v>10</v>
      </c>
      <c r="CO587" s="2">
        <v>10</v>
      </c>
      <c r="CP587" s="2" t="e">
        <f t="shared" ca="1" si="141"/>
        <v>#NAME?</v>
      </c>
      <c r="CQ587" s="2">
        <v>10</v>
      </c>
      <c r="CR587" s="2">
        <v>10</v>
      </c>
      <c r="CS587" s="2">
        <v>10</v>
      </c>
      <c r="CT587" s="2">
        <v>10</v>
      </c>
      <c r="CU587" s="2">
        <v>10</v>
      </c>
      <c r="CV587" s="54">
        <f t="shared" si="145"/>
        <v>10</v>
      </c>
      <c r="CW587" s="55"/>
      <c r="CX587" s="3"/>
    </row>
    <row r="588" spans="1:102" ht="16.5" x14ac:dyDescent="0.55000000000000004">
      <c r="A588" s="17">
        <v>1</v>
      </c>
      <c r="B588" s="17" t="s">
        <v>1190</v>
      </c>
      <c r="C588" s="23" t="s">
        <v>1219</v>
      </c>
      <c r="D588" s="24" t="s">
        <v>1220</v>
      </c>
      <c r="E588" s="48">
        <v>9</v>
      </c>
      <c r="F588" s="2">
        <v>9</v>
      </c>
      <c r="G588" s="2">
        <v>10</v>
      </c>
      <c r="H588" s="2">
        <v>10</v>
      </c>
      <c r="I588" s="2">
        <v>8</v>
      </c>
      <c r="J588" s="2">
        <v>9</v>
      </c>
      <c r="K588" s="2">
        <v>10</v>
      </c>
      <c r="L588" s="2">
        <v>10</v>
      </c>
      <c r="M588" s="2">
        <v>10</v>
      </c>
      <c r="N588" s="2">
        <v>8</v>
      </c>
      <c r="O588" s="2">
        <v>9</v>
      </c>
      <c r="P588" s="2">
        <v>10</v>
      </c>
      <c r="Q588" s="2" t="e">
        <f t="shared" ca="1" si="137"/>
        <v>#NAME?</v>
      </c>
      <c r="R588" s="2">
        <v>10</v>
      </c>
      <c r="S588" s="2">
        <v>10</v>
      </c>
      <c r="T588" s="2">
        <v>10</v>
      </c>
      <c r="U588" s="2">
        <v>10</v>
      </c>
      <c r="V588" s="2">
        <v>10</v>
      </c>
      <c r="W588" s="54">
        <f t="shared" si="142"/>
        <v>10</v>
      </c>
      <c r="X588" s="48">
        <v>9</v>
      </c>
      <c r="Y588" s="2">
        <v>9</v>
      </c>
      <c r="Z588" s="2"/>
      <c r="AA588" s="2">
        <v>10</v>
      </c>
      <c r="AB588" s="2">
        <v>10</v>
      </c>
      <c r="AC588" s="2">
        <v>10</v>
      </c>
      <c r="AD588" s="2">
        <v>10</v>
      </c>
      <c r="AE588" s="2">
        <v>10</v>
      </c>
      <c r="AF588" s="2">
        <v>10</v>
      </c>
      <c r="AG588" s="2">
        <v>10</v>
      </c>
      <c r="AH588" s="2">
        <v>10</v>
      </c>
      <c r="AI588" s="2">
        <v>10</v>
      </c>
      <c r="AJ588" s="2">
        <v>10</v>
      </c>
      <c r="AK588" s="3">
        <v>10</v>
      </c>
      <c r="AL588" s="3">
        <v>10</v>
      </c>
      <c r="AM588" s="3">
        <v>10</v>
      </c>
      <c r="AN588" s="3">
        <v>10</v>
      </c>
      <c r="AO588" s="3">
        <v>10</v>
      </c>
      <c r="AP588" s="3">
        <v>10</v>
      </c>
      <c r="AQ588" s="2" t="e">
        <f t="shared" ca="1" si="138"/>
        <v>#NAME?</v>
      </c>
      <c r="AR588" s="2">
        <v>10</v>
      </c>
      <c r="AS588" s="2">
        <v>10</v>
      </c>
      <c r="AT588" s="2">
        <v>10</v>
      </c>
      <c r="AU588" s="2">
        <v>10</v>
      </c>
      <c r="AV588" s="2">
        <v>10</v>
      </c>
      <c r="AW588" s="54">
        <f t="shared" si="143"/>
        <v>10</v>
      </c>
      <c r="AX588" s="48"/>
      <c r="AY588" s="2"/>
      <c r="AZ588" s="2">
        <v>10</v>
      </c>
      <c r="BA588" s="2">
        <v>10</v>
      </c>
      <c r="BB588" s="2">
        <v>10</v>
      </c>
      <c r="BC588" s="2">
        <v>10</v>
      </c>
      <c r="BD588" s="2">
        <v>10</v>
      </c>
      <c r="BE588" s="2">
        <v>10</v>
      </c>
      <c r="BF588" s="2">
        <v>10</v>
      </c>
      <c r="BG588" s="2">
        <v>10</v>
      </c>
      <c r="BH588" s="2">
        <v>10</v>
      </c>
      <c r="BI588" s="57">
        <v>10</v>
      </c>
      <c r="BJ588" s="2" t="e">
        <f t="shared" ca="1" si="139"/>
        <v>#NAME?</v>
      </c>
      <c r="BK588" s="5">
        <v>10</v>
      </c>
      <c r="BL588" s="5">
        <v>9</v>
      </c>
      <c r="BM588" s="5">
        <v>10</v>
      </c>
      <c r="BN588" s="5">
        <v>10</v>
      </c>
      <c r="BO588" s="5">
        <v>10</v>
      </c>
      <c r="BP588" s="54">
        <f t="shared" si="144"/>
        <v>10</v>
      </c>
      <c r="BQ588" s="5"/>
      <c r="BR588" s="5"/>
      <c r="BS588" s="5">
        <v>10</v>
      </c>
      <c r="BT588" s="5">
        <v>10</v>
      </c>
      <c r="BU588" s="5">
        <v>10</v>
      </c>
      <c r="BV588" s="5">
        <v>10</v>
      </c>
      <c r="BW588" s="5">
        <v>10</v>
      </c>
      <c r="BX588" s="5">
        <v>10</v>
      </c>
      <c r="BY588" s="5">
        <v>10</v>
      </c>
      <c r="BZ588" s="5">
        <v>10</v>
      </c>
      <c r="CA588" s="5">
        <v>10</v>
      </c>
      <c r="CB588" s="5">
        <v>10</v>
      </c>
      <c r="CC588" s="2" t="e">
        <f t="shared" ca="1" si="140"/>
        <v>#NAME?</v>
      </c>
      <c r="CD588" s="55">
        <v>0</v>
      </c>
      <c r="CE588" s="2">
        <v>9</v>
      </c>
      <c r="CF588" s="2">
        <v>10</v>
      </c>
      <c r="CG588" s="2">
        <v>10</v>
      </c>
      <c r="CH588" s="2">
        <v>10</v>
      </c>
      <c r="CI588" s="2">
        <v>10</v>
      </c>
      <c r="CJ588" s="2">
        <v>10</v>
      </c>
      <c r="CK588" s="2">
        <v>10</v>
      </c>
      <c r="CL588" s="2">
        <v>10</v>
      </c>
      <c r="CM588" s="2">
        <v>10</v>
      </c>
      <c r="CN588" s="2">
        <v>10</v>
      </c>
      <c r="CO588" s="2">
        <v>10</v>
      </c>
      <c r="CP588" s="2" t="e">
        <f t="shared" ca="1" si="141"/>
        <v>#NAME?</v>
      </c>
      <c r="CQ588" s="2">
        <v>10</v>
      </c>
      <c r="CR588" s="2">
        <v>10</v>
      </c>
      <c r="CS588" s="2">
        <v>10</v>
      </c>
      <c r="CT588" s="2">
        <v>10</v>
      </c>
      <c r="CU588" s="2">
        <v>10</v>
      </c>
      <c r="CV588" s="54">
        <f t="shared" si="145"/>
        <v>10</v>
      </c>
      <c r="CW588" s="55"/>
      <c r="CX588" s="3"/>
    </row>
    <row r="589" spans="1:102" ht="16.5" x14ac:dyDescent="0.55000000000000004">
      <c r="A589" s="17">
        <v>1</v>
      </c>
      <c r="B589" s="17" t="s">
        <v>1190</v>
      </c>
      <c r="C589" s="23" t="s">
        <v>1221</v>
      </c>
      <c r="D589" s="24" t="s">
        <v>1222</v>
      </c>
      <c r="E589" s="48">
        <v>8</v>
      </c>
      <c r="F589" s="2">
        <v>8</v>
      </c>
      <c r="G589" s="2">
        <v>10</v>
      </c>
      <c r="H589" s="2">
        <v>10</v>
      </c>
      <c r="I589" s="2">
        <v>8</v>
      </c>
      <c r="J589" s="2">
        <v>8</v>
      </c>
      <c r="K589" s="2">
        <v>9</v>
      </c>
      <c r="L589" s="2">
        <v>10</v>
      </c>
      <c r="M589" s="2">
        <v>10</v>
      </c>
      <c r="N589" s="2">
        <v>8</v>
      </c>
      <c r="O589" s="2">
        <v>8</v>
      </c>
      <c r="P589" s="2">
        <v>9</v>
      </c>
      <c r="Q589" s="2" t="e">
        <f t="shared" ca="1" si="137"/>
        <v>#NAME?</v>
      </c>
      <c r="R589" s="2">
        <v>10</v>
      </c>
      <c r="S589" s="2">
        <v>10</v>
      </c>
      <c r="T589" s="2">
        <v>10</v>
      </c>
      <c r="U589" s="2">
        <v>10</v>
      </c>
      <c r="V589" s="2">
        <v>10</v>
      </c>
      <c r="W589" s="54">
        <f t="shared" si="142"/>
        <v>10</v>
      </c>
      <c r="X589" s="48">
        <v>8</v>
      </c>
      <c r="Y589" s="2">
        <v>8</v>
      </c>
      <c r="Z589" s="2"/>
      <c r="AA589" s="2">
        <v>10</v>
      </c>
      <c r="AB589" s="2">
        <v>9</v>
      </c>
      <c r="AC589" s="2">
        <v>10</v>
      </c>
      <c r="AD589" s="2">
        <v>10</v>
      </c>
      <c r="AE589" s="2">
        <v>10</v>
      </c>
      <c r="AF589" s="2">
        <v>10</v>
      </c>
      <c r="AG589" s="2">
        <v>10</v>
      </c>
      <c r="AH589" s="2">
        <v>10</v>
      </c>
      <c r="AI589" s="2">
        <v>10</v>
      </c>
      <c r="AJ589" s="2">
        <v>10</v>
      </c>
      <c r="AK589" s="3">
        <v>10</v>
      </c>
      <c r="AL589" s="3">
        <v>10</v>
      </c>
      <c r="AM589" s="3">
        <v>10</v>
      </c>
      <c r="AN589" s="3">
        <v>10</v>
      </c>
      <c r="AO589" s="3">
        <v>10</v>
      </c>
      <c r="AP589" s="3">
        <v>10</v>
      </c>
      <c r="AQ589" s="2" t="e">
        <f t="shared" ca="1" si="138"/>
        <v>#NAME?</v>
      </c>
      <c r="AR589" s="2">
        <v>10</v>
      </c>
      <c r="AS589" s="2">
        <v>10</v>
      </c>
      <c r="AT589" s="2">
        <v>10</v>
      </c>
      <c r="AU589" s="2">
        <v>10</v>
      </c>
      <c r="AV589" s="2">
        <v>10</v>
      </c>
      <c r="AW589" s="54">
        <f t="shared" si="143"/>
        <v>10</v>
      </c>
      <c r="AX589" s="48"/>
      <c r="AY589" s="2"/>
      <c r="AZ589" s="2">
        <v>10</v>
      </c>
      <c r="BA589" s="2">
        <v>10</v>
      </c>
      <c r="BB589" s="2">
        <v>10</v>
      </c>
      <c r="BC589" s="2">
        <v>10</v>
      </c>
      <c r="BD589" s="2">
        <v>10</v>
      </c>
      <c r="BE589" s="2">
        <v>10</v>
      </c>
      <c r="BF589" s="2">
        <v>10</v>
      </c>
      <c r="BG589" s="2">
        <v>10</v>
      </c>
      <c r="BH589" s="2">
        <v>10</v>
      </c>
      <c r="BI589" s="2">
        <v>10</v>
      </c>
      <c r="BJ589" s="2" t="e">
        <f t="shared" ca="1" si="139"/>
        <v>#NAME?</v>
      </c>
      <c r="BK589" s="5">
        <v>10</v>
      </c>
      <c r="BL589" s="5">
        <v>10</v>
      </c>
      <c r="BM589" s="5">
        <v>10</v>
      </c>
      <c r="BN589" s="5">
        <v>10</v>
      </c>
      <c r="BO589" s="5">
        <v>10</v>
      </c>
      <c r="BP589" s="54">
        <f t="shared" si="144"/>
        <v>10</v>
      </c>
      <c r="BQ589" s="5"/>
      <c r="BR589" s="5"/>
      <c r="BS589" s="5">
        <v>10</v>
      </c>
      <c r="BT589" s="5">
        <v>10</v>
      </c>
      <c r="BU589" s="5">
        <v>10</v>
      </c>
      <c r="BV589" s="5">
        <v>10</v>
      </c>
      <c r="BW589" s="5">
        <v>10</v>
      </c>
      <c r="BX589" s="5">
        <v>10</v>
      </c>
      <c r="BY589" s="5">
        <v>10</v>
      </c>
      <c r="BZ589" s="5">
        <v>10</v>
      </c>
      <c r="CA589" s="5">
        <v>10</v>
      </c>
      <c r="CB589" s="5">
        <v>10</v>
      </c>
      <c r="CC589" s="2" t="e">
        <f t="shared" ca="1" si="140"/>
        <v>#NAME?</v>
      </c>
      <c r="CD589" s="55">
        <v>10</v>
      </c>
      <c r="CE589" s="2">
        <v>8</v>
      </c>
      <c r="CF589" s="2">
        <v>10</v>
      </c>
      <c r="CG589" s="2">
        <v>10</v>
      </c>
      <c r="CH589" s="2">
        <v>10</v>
      </c>
      <c r="CI589" s="2">
        <v>10</v>
      </c>
      <c r="CJ589" s="2">
        <v>10</v>
      </c>
      <c r="CK589" s="2">
        <v>10</v>
      </c>
      <c r="CL589" s="2">
        <v>10</v>
      </c>
      <c r="CM589" s="2">
        <v>10</v>
      </c>
      <c r="CN589" s="2">
        <v>10</v>
      </c>
      <c r="CO589" s="2">
        <v>10</v>
      </c>
      <c r="CP589" s="2" t="e">
        <f t="shared" ca="1" si="141"/>
        <v>#NAME?</v>
      </c>
      <c r="CQ589" s="2">
        <v>10</v>
      </c>
      <c r="CR589" s="2">
        <v>10</v>
      </c>
      <c r="CS589" s="2">
        <v>10</v>
      </c>
      <c r="CT589" s="2">
        <v>10</v>
      </c>
      <c r="CU589" s="2">
        <v>10</v>
      </c>
      <c r="CV589" s="54">
        <f t="shared" si="145"/>
        <v>10</v>
      </c>
      <c r="CW589" s="55"/>
      <c r="CX589" s="3"/>
    </row>
    <row r="590" spans="1:102" ht="16.5" x14ac:dyDescent="0.55000000000000004">
      <c r="A590" s="17">
        <v>1</v>
      </c>
      <c r="B590" s="17" t="s">
        <v>1190</v>
      </c>
      <c r="C590" s="23" t="s">
        <v>1223</v>
      </c>
      <c r="D590" s="24" t="s">
        <v>1224</v>
      </c>
      <c r="E590" s="48">
        <v>5</v>
      </c>
      <c r="F590" s="2">
        <v>5</v>
      </c>
      <c r="G590" s="2">
        <v>5</v>
      </c>
      <c r="H590" s="2">
        <v>5</v>
      </c>
      <c r="I590" s="2">
        <v>5</v>
      </c>
      <c r="J590" s="2">
        <v>5</v>
      </c>
      <c r="K590" s="2">
        <v>5</v>
      </c>
      <c r="L590" s="2">
        <v>5</v>
      </c>
      <c r="M590" s="2">
        <v>5</v>
      </c>
      <c r="N590" s="2">
        <v>5</v>
      </c>
      <c r="O590" s="2">
        <v>5</v>
      </c>
      <c r="P590" s="2">
        <v>5</v>
      </c>
      <c r="Q590" s="2" t="e">
        <f t="shared" ca="1" si="137"/>
        <v>#NAME?</v>
      </c>
      <c r="R590" s="2">
        <v>5</v>
      </c>
      <c r="S590" s="2">
        <v>5</v>
      </c>
      <c r="T590" s="2">
        <v>5</v>
      </c>
      <c r="U590" s="2">
        <v>5</v>
      </c>
      <c r="V590" s="2">
        <v>5</v>
      </c>
      <c r="W590" s="54">
        <f t="shared" si="142"/>
        <v>5</v>
      </c>
      <c r="X590" s="48">
        <v>5</v>
      </c>
      <c r="Y590" s="2">
        <v>5</v>
      </c>
      <c r="Z590" s="2"/>
      <c r="AA590" s="2">
        <v>5</v>
      </c>
      <c r="AB590" s="2">
        <v>5</v>
      </c>
      <c r="AC590" s="2">
        <v>5</v>
      </c>
      <c r="AD590" s="2">
        <v>5</v>
      </c>
      <c r="AE590" s="2">
        <v>5</v>
      </c>
      <c r="AF590" s="2">
        <v>5</v>
      </c>
      <c r="AG590" s="2">
        <v>5</v>
      </c>
      <c r="AH590" s="2">
        <v>5</v>
      </c>
      <c r="AI590" s="2">
        <v>5</v>
      </c>
      <c r="AJ590" s="2">
        <v>5</v>
      </c>
      <c r="AK590" s="3">
        <v>10</v>
      </c>
      <c r="AL590" s="3">
        <v>10</v>
      </c>
      <c r="AM590" s="3">
        <v>10</v>
      </c>
      <c r="AN590" s="3">
        <v>10</v>
      </c>
      <c r="AO590" s="3">
        <v>10</v>
      </c>
      <c r="AP590" s="3">
        <v>10</v>
      </c>
      <c r="AQ590" s="2" t="e">
        <f t="shared" ca="1" si="138"/>
        <v>#NAME?</v>
      </c>
      <c r="AR590" s="2">
        <v>10</v>
      </c>
      <c r="AS590" s="2">
        <v>10</v>
      </c>
      <c r="AT590" s="2">
        <v>10</v>
      </c>
      <c r="AU590" s="2">
        <v>9</v>
      </c>
      <c r="AV590" s="2">
        <v>9</v>
      </c>
      <c r="AW590" s="54">
        <f t="shared" si="143"/>
        <v>10</v>
      </c>
      <c r="AX590" s="48"/>
      <c r="AY590" s="2"/>
      <c r="AZ590" s="2">
        <v>10</v>
      </c>
      <c r="BA590" s="2">
        <v>10</v>
      </c>
      <c r="BB590" s="2">
        <v>5</v>
      </c>
      <c r="BC590" s="2">
        <v>5</v>
      </c>
      <c r="BD590" s="2">
        <v>5</v>
      </c>
      <c r="BE590" s="2">
        <v>5</v>
      </c>
      <c r="BF590" s="2">
        <v>5</v>
      </c>
      <c r="BG590" s="2">
        <v>5</v>
      </c>
      <c r="BH590" s="2">
        <v>5</v>
      </c>
      <c r="BI590" s="2">
        <v>5</v>
      </c>
      <c r="BJ590" s="2" t="e">
        <f t="shared" ca="1" si="139"/>
        <v>#NAME?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54">
        <f t="shared" si="144"/>
        <v>0</v>
      </c>
      <c r="BQ590" s="5"/>
      <c r="BR590" s="5"/>
      <c r="BS590" s="5">
        <v>5</v>
      </c>
      <c r="BT590" s="5">
        <v>5</v>
      </c>
      <c r="BU590" s="5">
        <v>5</v>
      </c>
      <c r="BV590" s="5">
        <v>5</v>
      </c>
      <c r="BW590" s="5">
        <v>5</v>
      </c>
      <c r="BX590" s="5">
        <v>5</v>
      </c>
      <c r="BY590" s="5">
        <v>5</v>
      </c>
      <c r="BZ590" s="5">
        <v>5</v>
      </c>
      <c r="CA590" s="5">
        <v>5</v>
      </c>
      <c r="CB590" s="5">
        <v>5</v>
      </c>
      <c r="CC590" s="2" t="e">
        <f t="shared" ca="1" si="140"/>
        <v>#NAME?</v>
      </c>
      <c r="CD590" s="55">
        <v>10</v>
      </c>
      <c r="CE590" s="2">
        <v>5</v>
      </c>
      <c r="CF590" s="8">
        <v>10</v>
      </c>
      <c r="CG590" s="8">
        <v>10</v>
      </c>
      <c r="CH590" s="8">
        <v>10</v>
      </c>
      <c r="CI590" s="8">
        <v>10</v>
      </c>
      <c r="CJ590" s="8">
        <v>10</v>
      </c>
      <c r="CK590" s="50">
        <v>5</v>
      </c>
      <c r="CL590" s="50">
        <v>5</v>
      </c>
      <c r="CM590" s="50">
        <v>5</v>
      </c>
      <c r="CN590" s="50">
        <v>5</v>
      </c>
      <c r="CO590" s="50">
        <v>5</v>
      </c>
      <c r="CP590" s="2" t="e">
        <f t="shared" ca="1" si="141"/>
        <v>#NAME?</v>
      </c>
      <c r="CQ590" s="8">
        <v>10</v>
      </c>
      <c r="CR590" s="2">
        <v>5</v>
      </c>
      <c r="CS590" s="2">
        <v>5</v>
      </c>
      <c r="CT590" s="2">
        <v>5</v>
      </c>
      <c r="CU590" s="2">
        <v>5</v>
      </c>
      <c r="CV590" s="54">
        <f t="shared" si="145"/>
        <v>6</v>
      </c>
      <c r="CW590" s="55"/>
      <c r="CX590" s="3"/>
    </row>
    <row r="591" spans="1:102" ht="16.5" x14ac:dyDescent="0.55000000000000004">
      <c r="A591" s="17">
        <v>2</v>
      </c>
      <c r="B591" s="17" t="s">
        <v>1190</v>
      </c>
      <c r="C591" s="23" t="s">
        <v>1225</v>
      </c>
      <c r="D591" s="24" t="s">
        <v>1226</v>
      </c>
      <c r="E591" s="48">
        <v>8</v>
      </c>
      <c r="F591" s="2">
        <v>8</v>
      </c>
      <c r="G591" s="2">
        <v>10</v>
      </c>
      <c r="H591" s="2">
        <v>9</v>
      </c>
      <c r="I591" s="2">
        <v>8</v>
      </c>
      <c r="J591" s="2">
        <v>9</v>
      </c>
      <c r="K591" s="2">
        <v>9</v>
      </c>
      <c r="L591" s="2">
        <v>10</v>
      </c>
      <c r="M591" s="2">
        <v>9</v>
      </c>
      <c r="N591" s="2">
        <v>8</v>
      </c>
      <c r="O591" s="2">
        <v>9</v>
      </c>
      <c r="P591" s="2">
        <v>9</v>
      </c>
      <c r="Q591" s="2" t="e">
        <f t="shared" ca="1" si="137"/>
        <v>#NAME?</v>
      </c>
      <c r="R591" s="2">
        <v>10</v>
      </c>
      <c r="S591" s="2">
        <v>9</v>
      </c>
      <c r="T591" s="2">
        <v>8</v>
      </c>
      <c r="U591" s="2">
        <v>9</v>
      </c>
      <c r="V591" s="2">
        <v>10</v>
      </c>
      <c r="W591" s="54">
        <f t="shared" si="142"/>
        <v>10</v>
      </c>
      <c r="X591" s="48">
        <v>8</v>
      </c>
      <c r="Y591" s="2">
        <v>8</v>
      </c>
      <c r="Z591" s="2"/>
      <c r="AA591" s="2">
        <v>10</v>
      </c>
      <c r="AB591" s="2">
        <v>10</v>
      </c>
      <c r="AC591" s="2">
        <v>10</v>
      </c>
      <c r="AD591" s="2">
        <v>10</v>
      </c>
      <c r="AE591" s="2">
        <v>10</v>
      </c>
      <c r="AF591" s="2">
        <v>10</v>
      </c>
      <c r="AG591" s="2">
        <v>10</v>
      </c>
      <c r="AH591" s="2">
        <v>10</v>
      </c>
      <c r="AI591" s="2">
        <v>10</v>
      </c>
      <c r="AJ591" s="2">
        <v>10</v>
      </c>
      <c r="AK591" s="3">
        <v>10</v>
      </c>
      <c r="AL591" s="3">
        <v>10</v>
      </c>
      <c r="AM591" s="3">
        <v>10</v>
      </c>
      <c r="AN591" s="3">
        <v>10</v>
      </c>
      <c r="AO591" s="3">
        <v>10</v>
      </c>
      <c r="AP591" s="3">
        <v>10</v>
      </c>
      <c r="AQ591" s="2" t="e">
        <f t="shared" ca="1" si="138"/>
        <v>#NAME?</v>
      </c>
      <c r="AR591" s="2">
        <v>10</v>
      </c>
      <c r="AS591" s="2">
        <v>10</v>
      </c>
      <c r="AT591" s="2">
        <v>10</v>
      </c>
      <c r="AU591" s="2">
        <v>10</v>
      </c>
      <c r="AV591" s="2">
        <v>10</v>
      </c>
      <c r="AW591" s="54">
        <f t="shared" si="143"/>
        <v>10</v>
      </c>
      <c r="AX591" s="48"/>
      <c r="AY591" s="2"/>
      <c r="AZ591" s="2">
        <v>6</v>
      </c>
      <c r="BA591" s="2">
        <v>7</v>
      </c>
      <c r="BB591" s="2">
        <v>7</v>
      </c>
      <c r="BC591" s="2">
        <v>8</v>
      </c>
      <c r="BD591" s="2">
        <v>8</v>
      </c>
      <c r="BE591" s="2">
        <v>9</v>
      </c>
      <c r="BF591" s="2">
        <v>9</v>
      </c>
      <c r="BG591" s="2">
        <v>10</v>
      </c>
      <c r="BH591" s="2">
        <v>10</v>
      </c>
      <c r="BI591" s="57">
        <v>10</v>
      </c>
      <c r="BJ591" s="2" t="e">
        <f t="shared" ca="1" si="139"/>
        <v>#NAME?</v>
      </c>
      <c r="BK591" s="5">
        <v>7</v>
      </c>
      <c r="BL591" s="5">
        <v>8</v>
      </c>
      <c r="BM591" s="5">
        <v>8</v>
      </c>
      <c r="BN591" s="5">
        <v>9</v>
      </c>
      <c r="BO591" s="5">
        <v>10</v>
      </c>
      <c r="BP591" s="54">
        <f t="shared" si="144"/>
        <v>9</v>
      </c>
      <c r="BQ591" s="5"/>
      <c r="BR591" s="5"/>
      <c r="BS591" s="5">
        <v>10</v>
      </c>
      <c r="BT591" s="5">
        <v>10</v>
      </c>
      <c r="BU591" s="5">
        <v>9</v>
      </c>
      <c r="BV591" s="5">
        <v>7</v>
      </c>
      <c r="BW591" s="5">
        <v>10</v>
      </c>
      <c r="BX591" s="5">
        <v>8</v>
      </c>
      <c r="BY591" s="5">
        <v>8</v>
      </c>
      <c r="BZ591" s="5">
        <v>9</v>
      </c>
      <c r="CA591" s="5">
        <v>9</v>
      </c>
      <c r="CB591" s="5">
        <v>10</v>
      </c>
      <c r="CC591" s="2" t="e">
        <f t="shared" ca="1" si="140"/>
        <v>#NAME?</v>
      </c>
      <c r="CD591" s="55">
        <v>10</v>
      </c>
      <c r="CE591" s="2">
        <v>6</v>
      </c>
      <c r="CF591" s="2">
        <v>10</v>
      </c>
      <c r="CG591" s="2">
        <v>10</v>
      </c>
      <c r="CH591" s="2">
        <v>10</v>
      </c>
      <c r="CI591" s="2">
        <v>10</v>
      </c>
      <c r="CJ591" s="2">
        <v>10</v>
      </c>
      <c r="CK591" s="2">
        <v>10</v>
      </c>
      <c r="CL591" s="2">
        <v>10</v>
      </c>
      <c r="CM591" s="2">
        <v>10</v>
      </c>
      <c r="CN591" s="2">
        <v>10</v>
      </c>
      <c r="CO591" s="2">
        <v>10</v>
      </c>
      <c r="CP591" s="2" t="e">
        <f t="shared" ca="1" si="141"/>
        <v>#NAME?</v>
      </c>
      <c r="CQ591" s="2">
        <v>10</v>
      </c>
      <c r="CR591" s="2">
        <v>10</v>
      </c>
      <c r="CS591" s="2">
        <v>10</v>
      </c>
      <c r="CT591" s="2">
        <v>10</v>
      </c>
      <c r="CU591" s="2">
        <v>10</v>
      </c>
      <c r="CV591" s="54">
        <f t="shared" si="145"/>
        <v>10</v>
      </c>
      <c r="CW591" s="55"/>
      <c r="CX591" s="3"/>
    </row>
    <row r="592" spans="1:102" ht="16.5" x14ac:dyDescent="0.55000000000000004">
      <c r="A592" s="17">
        <v>2</v>
      </c>
      <c r="B592" s="17" t="s">
        <v>1190</v>
      </c>
      <c r="C592" s="23" t="s">
        <v>1227</v>
      </c>
      <c r="D592" s="24" t="s">
        <v>1228</v>
      </c>
      <c r="E592" s="48">
        <v>9</v>
      </c>
      <c r="F592" s="2">
        <v>10</v>
      </c>
      <c r="G592" s="2">
        <v>8</v>
      </c>
      <c r="H592" s="2">
        <v>8</v>
      </c>
      <c r="I592" s="2">
        <v>8</v>
      </c>
      <c r="J592" s="2">
        <v>9</v>
      </c>
      <c r="K592" s="2">
        <v>10</v>
      </c>
      <c r="L592" s="2">
        <v>8</v>
      </c>
      <c r="M592" s="2">
        <v>8</v>
      </c>
      <c r="N592" s="2">
        <v>8</v>
      </c>
      <c r="O592" s="2">
        <v>9</v>
      </c>
      <c r="P592" s="2">
        <v>10</v>
      </c>
      <c r="Q592" s="2" t="e">
        <f t="shared" ca="1" si="137"/>
        <v>#NAME?</v>
      </c>
      <c r="R592" s="2">
        <v>8</v>
      </c>
      <c r="S592" s="2">
        <v>8</v>
      </c>
      <c r="T592" s="2">
        <v>9</v>
      </c>
      <c r="U592" s="2">
        <v>9</v>
      </c>
      <c r="V592" s="2">
        <v>10</v>
      </c>
      <c r="W592" s="54">
        <f t="shared" si="142"/>
        <v>9</v>
      </c>
      <c r="X592" s="48">
        <v>9</v>
      </c>
      <c r="Y592" s="2">
        <v>10</v>
      </c>
      <c r="Z592" s="2"/>
      <c r="AA592" s="2">
        <v>10</v>
      </c>
      <c r="AB592" s="2">
        <v>10</v>
      </c>
      <c r="AC592" s="2">
        <v>10</v>
      </c>
      <c r="AD592" s="2">
        <v>10</v>
      </c>
      <c r="AE592" s="2">
        <v>10</v>
      </c>
      <c r="AF592" s="2">
        <v>10</v>
      </c>
      <c r="AG592" s="2">
        <v>10</v>
      </c>
      <c r="AH592" s="2">
        <v>10</v>
      </c>
      <c r="AI592" s="2">
        <v>10</v>
      </c>
      <c r="AJ592" s="2">
        <v>10</v>
      </c>
      <c r="AK592" s="3">
        <v>10</v>
      </c>
      <c r="AL592" s="3">
        <v>10</v>
      </c>
      <c r="AM592" s="3">
        <v>10</v>
      </c>
      <c r="AN592" s="3">
        <v>10</v>
      </c>
      <c r="AO592" s="3">
        <v>10</v>
      </c>
      <c r="AP592" s="3">
        <v>10</v>
      </c>
      <c r="AQ592" s="2" t="e">
        <f t="shared" ca="1" si="138"/>
        <v>#NAME?</v>
      </c>
      <c r="AR592" s="2">
        <v>10</v>
      </c>
      <c r="AS592" s="2">
        <v>10</v>
      </c>
      <c r="AT592" s="2">
        <v>10</v>
      </c>
      <c r="AU592" s="2">
        <v>10</v>
      </c>
      <c r="AV592" s="2">
        <v>10</v>
      </c>
      <c r="AW592" s="54">
        <f t="shared" si="143"/>
        <v>10</v>
      </c>
      <c r="AX592" s="48"/>
      <c r="AY592" s="2"/>
      <c r="AZ592" s="2">
        <v>7</v>
      </c>
      <c r="BA592" s="2">
        <v>8</v>
      </c>
      <c r="BB592" s="2">
        <v>7</v>
      </c>
      <c r="BC592" s="2">
        <v>8</v>
      </c>
      <c r="BD592" s="2">
        <v>9</v>
      </c>
      <c r="BE592" s="2">
        <v>9</v>
      </c>
      <c r="BF592" s="2">
        <v>10</v>
      </c>
      <c r="BG592" s="2">
        <v>10</v>
      </c>
      <c r="BH592" s="2">
        <v>10</v>
      </c>
      <c r="BI592" s="57">
        <v>10</v>
      </c>
      <c r="BJ592" s="2" t="e">
        <f t="shared" ca="1" si="139"/>
        <v>#NAME?</v>
      </c>
      <c r="BK592" s="5">
        <v>10</v>
      </c>
      <c r="BL592" s="5">
        <v>10</v>
      </c>
      <c r="BM592" s="5">
        <v>10</v>
      </c>
      <c r="BN592" s="5">
        <v>10</v>
      </c>
      <c r="BO592" s="5">
        <v>10</v>
      </c>
      <c r="BP592" s="54">
        <f t="shared" si="144"/>
        <v>10</v>
      </c>
      <c r="BQ592" s="5"/>
      <c r="BR592" s="5"/>
      <c r="BS592" s="5">
        <v>10</v>
      </c>
      <c r="BT592" s="5">
        <v>10</v>
      </c>
      <c r="BU592" s="5">
        <v>10</v>
      </c>
      <c r="BV592" s="5">
        <v>10</v>
      </c>
      <c r="BW592" s="5">
        <v>10</v>
      </c>
      <c r="BX592" s="5">
        <v>8</v>
      </c>
      <c r="BY592" s="5">
        <v>8</v>
      </c>
      <c r="BZ592" s="5">
        <v>9</v>
      </c>
      <c r="CA592" s="5">
        <v>9</v>
      </c>
      <c r="CB592" s="5">
        <v>10</v>
      </c>
      <c r="CC592" s="2" t="e">
        <f t="shared" ca="1" si="140"/>
        <v>#NAME?</v>
      </c>
      <c r="CD592" s="55">
        <v>0</v>
      </c>
      <c r="CE592" s="2">
        <v>6</v>
      </c>
      <c r="CF592" s="2">
        <v>10</v>
      </c>
      <c r="CG592" s="2">
        <v>10</v>
      </c>
      <c r="CH592" s="2">
        <v>10</v>
      </c>
      <c r="CI592" s="2">
        <v>10</v>
      </c>
      <c r="CJ592" s="2">
        <v>10</v>
      </c>
      <c r="CK592" s="2">
        <v>10</v>
      </c>
      <c r="CL592" s="2">
        <v>10</v>
      </c>
      <c r="CM592" s="2">
        <v>10</v>
      </c>
      <c r="CN592" s="2">
        <v>10</v>
      </c>
      <c r="CO592" s="2">
        <v>10</v>
      </c>
      <c r="CP592" s="2" t="e">
        <f t="shared" ca="1" si="141"/>
        <v>#NAME?</v>
      </c>
      <c r="CQ592" s="2">
        <v>10</v>
      </c>
      <c r="CR592" s="2">
        <v>10</v>
      </c>
      <c r="CS592" s="2">
        <v>10</v>
      </c>
      <c r="CT592" s="2">
        <v>10</v>
      </c>
      <c r="CU592" s="2">
        <v>10</v>
      </c>
      <c r="CV592" s="54">
        <f t="shared" si="145"/>
        <v>10</v>
      </c>
      <c r="CW592" s="55"/>
      <c r="CX592" s="3"/>
    </row>
    <row r="593" spans="1:102" ht="16.5" x14ac:dyDescent="0.55000000000000004">
      <c r="A593" s="17">
        <v>2</v>
      </c>
      <c r="B593" s="17" t="s">
        <v>1190</v>
      </c>
      <c r="C593" s="23" t="s">
        <v>1229</v>
      </c>
      <c r="D593" s="24" t="s">
        <v>1230</v>
      </c>
      <c r="E593" s="48">
        <v>5</v>
      </c>
      <c r="F593" s="2">
        <v>5</v>
      </c>
      <c r="G593" s="2">
        <v>5</v>
      </c>
      <c r="H593" s="2">
        <v>5</v>
      </c>
      <c r="I593" s="2">
        <v>5</v>
      </c>
      <c r="J593" s="2">
        <v>5</v>
      </c>
      <c r="K593" s="2">
        <v>5</v>
      </c>
      <c r="L593" s="2">
        <v>5</v>
      </c>
      <c r="M593" s="2">
        <v>5</v>
      </c>
      <c r="N593" s="2">
        <v>5</v>
      </c>
      <c r="O593" s="2">
        <v>5</v>
      </c>
      <c r="P593" s="2">
        <v>5</v>
      </c>
      <c r="Q593" s="2" t="e">
        <f t="shared" ca="1" si="137"/>
        <v>#NAME?</v>
      </c>
      <c r="R593" s="2">
        <v>5</v>
      </c>
      <c r="S593" s="2">
        <v>5</v>
      </c>
      <c r="T593" s="2">
        <v>5</v>
      </c>
      <c r="U593" s="2">
        <v>5</v>
      </c>
      <c r="V593" s="2">
        <v>5</v>
      </c>
      <c r="W593" s="54">
        <f t="shared" si="142"/>
        <v>5</v>
      </c>
      <c r="X593" s="48"/>
      <c r="Y593" s="2"/>
      <c r="Z593" s="2"/>
      <c r="AA593" s="2">
        <v>5</v>
      </c>
      <c r="AB593" s="2">
        <v>5</v>
      </c>
      <c r="AC593" s="2">
        <v>5</v>
      </c>
      <c r="AD593" s="2">
        <v>5</v>
      </c>
      <c r="AE593" s="2">
        <v>5</v>
      </c>
      <c r="AF593" s="2">
        <v>5</v>
      </c>
      <c r="AG593" s="2">
        <v>5</v>
      </c>
      <c r="AH593" s="2">
        <v>5</v>
      </c>
      <c r="AI593" s="2">
        <v>5</v>
      </c>
      <c r="AJ593" s="2">
        <v>5</v>
      </c>
      <c r="AK593" s="3">
        <v>10</v>
      </c>
      <c r="AL593" s="3">
        <v>10</v>
      </c>
      <c r="AM593" s="3">
        <v>10</v>
      </c>
      <c r="AN593" s="3">
        <v>10</v>
      </c>
      <c r="AO593" s="3">
        <v>10</v>
      </c>
      <c r="AP593" s="3">
        <v>10</v>
      </c>
      <c r="AQ593" s="2" t="e">
        <f t="shared" ca="1" si="138"/>
        <v>#NAME?</v>
      </c>
      <c r="AR593" s="2">
        <v>10</v>
      </c>
      <c r="AS593" s="2">
        <v>10</v>
      </c>
      <c r="AT593" s="2">
        <v>10</v>
      </c>
      <c r="AU593" s="2">
        <v>9</v>
      </c>
      <c r="AV593" s="2">
        <v>9</v>
      </c>
      <c r="AW593" s="54">
        <f t="shared" si="143"/>
        <v>10</v>
      </c>
      <c r="AX593" s="48"/>
      <c r="AY593" s="2"/>
      <c r="AZ593" s="2">
        <v>6</v>
      </c>
      <c r="BA593" s="2">
        <v>7</v>
      </c>
      <c r="BB593" s="2">
        <v>7</v>
      </c>
      <c r="BC593" s="2">
        <v>8</v>
      </c>
      <c r="BD593" s="2">
        <v>8</v>
      </c>
      <c r="BE593" s="2">
        <v>9</v>
      </c>
      <c r="BF593" s="2">
        <v>9</v>
      </c>
      <c r="BG593" s="2">
        <v>10</v>
      </c>
      <c r="BH593" s="2">
        <v>10</v>
      </c>
      <c r="BI593" s="57">
        <v>10</v>
      </c>
      <c r="BJ593" s="2" t="e">
        <f t="shared" ca="1" si="139"/>
        <v>#NAME?</v>
      </c>
      <c r="BK593" s="5">
        <v>10</v>
      </c>
      <c r="BL593" s="5">
        <v>8</v>
      </c>
      <c r="BM593" s="5">
        <v>7</v>
      </c>
      <c r="BN593" s="5">
        <v>9</v>
      </c>
      <c r="BO593" s="5">
        <v>8</v>
      </c>
      <c r="BP593" s="54">
        <f t="shared" si="144"/>
        <v>9</v>
      </c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2" t="e">
        <f t="shared" ca="1" si="140"/>
        <v>#NAME?</v>
      </c>
      <c r="CD593" s="55">
        <v>0</v>
      </c>
      <c r="CE593" s="2">
        <v>5</v>
      </c>
      <c r="CF593" s="2">
        <v>5</v>
      </c>
      <c r="CG593" s="2">
        <v>5</v>
      </c>
      <c r="CH593" s="2">
        <v>5</v>
      </c>
      <c r="CI593" s="2">
        <v>5</v>
      </c>
      <c r="CJ593" s="2">
        <v>5</v>
      </c>
      <c r="CK593" s="2">
        <v>5</v>
      </c>
      <c r="CL593" s="2">
        <v>5</v>
      </c>
      <c r="CM593" s="2">
        <v>5</v>
      </c>
      <c r="CN593" s="2">
        <v>5</v>
      </c>
      <c r="CO593" s="2">
        <v>5</v>
      </c>
      <c r="CP593" s="2" t="e">
        <f t="shared" ca="1" si="141"/>
        <v>#NAME?</v>
      </c>
      <c r="CQ593" s="2">
        <v>5</v>
      </c>
      <c r="CR593" s="2">
        <v>5</v>
      </c>
      <c r="CS593" s="2">
        <v>5</v>
      </c>
      <c r="CT593" s="2">
        <v>5</v>
      </c>
      <c r="CU593" s="2">
        <v>5</v>
      </c>
      <c r="CV593" s="54">
        <f t="shared" si="145"/>
        <v>5</v>
      </c>
      <c r="CW593" s="55"/>
      <c r="CX593" s="3"/>
    </row>
    <row r="594" spans="1:102" ht="16.5" x14ac:dyDescent="0.55000000000000004">
      <c r="A594" s="17">
        <v>2</v>
      </c>
      <c r="B594" s="17" t="s">
        <v>1190</v>
      </c>
      <c r="C594" s="23" t="s">
        <v>1231</v>
      </c>
      <c r="D594" s="24" t="s">
        <v>1232</v>
      </c>
      <c r="E594" s="48">
        <v>10</v>
      </c>
      <c r="F594" s="2">
        <v>9</v>
      </c>
      <c r="G594" s="2">
        <v>10</v>
      </c>
      <c r="H594" s="2">
        <v>10</v>
      </c>
      <c r="I594" s="2">
        <v>9</v>
      </c>
      <c r="J594" s="2">
        <v>9</v>
      </c>
      <c r="K594" s="2">
        <v>10</v>
      </c>
      <c r="L594" s="2">
        <v>10</v>
      </c>
      <c r="M594" s="2">
        <v>10</v>
      </c>
      <c r="N594" s="2">
        <v>9</v>
      </c>
      <c r="O594" s="2">
        <v>9</v>
      </c>
      <c r="P594" s="2">
        <v>10</v>
      </c>
      <c r="Q594" s="2" t="e">
        <f t="shared" ca="1" si="137"/>
        <v>#NAME?</v>
      </c>
      <c r="R594" s="2">
        <v>9</v>
      </c>
      <c r="S594" s="2">
        <v>10</v>
      </c>
      <c r="T594" s="2">
        <v>10</v>
      </c>
      <c r="U594" s="2">
        <v>10</v>
      </c>
      <c r="V594" s="2">
        <v>10</v>
      </c>
      <c r="W594" s="54">
        <f t="shared" si="142"/>
        <v>10</v>
      </c>
      <c r="X594" s="48">
        <v>10</v>
      </c>
      <c r="Y594" s="2">
        <v>9</v>
      </c>
      <c r="Z594" s="2"/>
      <c r="AA594" s="2">
        <v>10</v>
      </c>
      <c r="AB594" s="2">
        <v>10</v>
      </c>
      <c r="AC594" s="2">
        <v>10</v>
      </c>
      <c r="AD594" s="2">
        <v>10</v>
      </c>
      <c r="AE594" s="2">
        <v>10</v>
      </c>
      <c r="AF594" s="2">
        <v>10</v>
      </c>
      <c r="AG594" s="2">
        <v>10</v>
      </c>
      <c r="AH594" s="2">
        <v>10</v>
      </c>
      <c r="AI594" s="2">
        <v>10</v>
      </c>
      <c r="AJ594" s="2">
        <v>10</v>
      </c>
      <c r="AK594" s="3">
        <v>10</v>
      </c>
      <c r="AL594" s="3">
        <v>10</v>
      </c>
      <c r="AM594" s="3">
        <v>10</v>
      </c>
      <c r="AN594" s="3">
        <v>10</v>
      </c>
      <c r="AO594" s="3">
        <v>10</v>
      </c>
      <c r="AP594" s="3">
        <v>10</v>
      </c>
      <c r="AQ594" s="2" t="e">
        <f t="shared" ca="1" si="138"/>
        <v>#NAME?</v>
      </c>
      <c r="AR594" s="2">
        <v>10</v>
      </c>
      <c r="AS594" s="2">
        <v>10</v>
      </c>
      <c r="AT594" s="2">
        <v>10</v>
      </c>
      <c r="AU594" s="2">
        <v>10</v>
      </c>
      <c r="AV594" s="2">
        <v>10</v>
      </c>
      <c r="AW594" s="54">
        <f t="shared" si="143"/>
        <v>10</v>
      </c>
      <c r="AX594" s="48"/>
      <c r="AY594" s="2"/>
      <c r="AZ594" s="2">
        <v>10</v>
      </c>
      <c r="BA594" s="2">
        <v>10</v>
      </c>
      <c r="BB594" s="2">
        <v>10</v>
      </c>
      <c r="BC594" s="2">
        <v>10</v>
      </c>
      <c r="BD594" s="2">
        <v>10</v>
      </c>
      <c r="BE594" s="2">
        <v>10</v>
      </c>
      <c r="BF594" s="2">
        <v>10</v>
      </c>
      <c r="BG594" s="2">
        <v>10</v>
      </c>
      <c r="BH594" s="2">
        <v>10</v>
      </c>
      <c r="BI594" s="57">
        <v>10</v>
      </c>
      <c r="BJ594" s="2" t="e">
        <f t="shared" ca="1" si="139"/>
        <v>#NAME?</v>
      </c>
      <c r="BK594" s="5">
        <v>10</v>
      </c>
      <c r="BL594" s="5">
        <v>10</v>
      </c>
      <c r="BM594" s="5">
        <v>10</v>
      </c>
      <c r="BN594" s="5">
        <v>10</v>
      </c>
      <c r="BO594" s="5">
        <v>10</v>
      </c>
      <c r="BP594" s="54">
        <f t="shared" si="144"/>
        <v>10</v>
      </c>
      <c r="BQ594" s="5"/>
      <c r="BR594" s="5"/>
      <c r="BS594" s="5">
        <v>6</v>
      </c>
      <c r="BT594" s="5">
        <v>6</v>
      </c>
      <c r="BU594" s="5">
        <v>7</v>
      </c>
      <c r="BV594" s="5">
        <v>7</v>
      </c>
      <c r="BW594" s="5">
        <v>10</v>
      </c>
      <c r="BX594" s="5">
        <v>8</v>
      </c>
      <c r="BY594" s="5">
        <v>8</v>
      </c>
      <c r="BZ594" s="5">
        <v>9</v>
      </c>
      <c r="CA594" s="5">
        <v>9</v>
      </c>
      <c r="CB594" s="5">
        <v>10</v>
      </c>
      <c r="CC594" s="2" t="e">
        <f t="shared" ca="1" si="140"/>
        <v>#NAME?</v>
      </c>
      <c r="CD594" s="55">
        <v>0</v>
      </c>
      <c r="CE594" s="2">
        <v>5</v>
      </c>
      <c r="CF594" s="2">
        <v>10</v>
      </c>
      <c r="CG594" s="2">
        <v>10</v>
      </c>
      <c r="CH594" s="2">
        <v>10</v>
      </c>
      <c r="CI594" s="2">
        <v>10</v>
      </c>
      <c r="CJ594" s="2">
        <v>10</v>
      </c>
      <c r="CK594" s="2">
        <v>10</v>
      </c>
      <c r="CL594" s="2">
        <v>10</v>
      </c>
      <c r="CM594" s="2">
        <v>10</v>
      </c>
      <c r="CN594" s="2">
        <v>10</v>
      </c>
      <c r="CO594" s="2">
        <v>10</v>
      </c>
      <c r="CP594" s="2" t="e">
        <f t="shared" ca="1" si="141"/>
        <v>#NAME?</v>
      </c>
      <c r="CQ594" s="2">
        <v>10</v>
      </c>
      <c r="CR594" s="2">
        <v>10</v>
      </c>
      <c r="CS594" s="2">
        <v>10</v>
      </c>
      <c r="CT594" s="2">
        <v>10</v>
      </c>
      <c r="CU594" s="2">
        <v>10</v>
      </c>
      <c r="CV594" s="54">
        <f t="shared" si="145"/>
        <v>10</v>
      </c>
      <c r="CW594" s="55"/>
      <c r="CX594" s="3"/>
    </row>
    <row r="595" spans="1:102" ht="16.5" x14ac:dyDescent="0.55000000000000004">
      <c r="A595" s="17">
        <v>2</v>
      </c>
      <c r="B595" s="17" t="s">
        <v>1190</v>
      </c>
      <c r="C595" s="23" t="s">
        <v>1233</v>
      </c>
      <c r="D595" s="24" t="s">
        <v>1234</v>
      </c>
      <c r="E595" s="48">
        <v>5</v>
      </c>
      <c r="F595" s="2">
        <v>5</v>
      </c>
      <c r="G595" s="2">
        <v>5</v>
      </c>
      <c r="H595" s="2">
        <v>5</v>
      </c>
      <c r="I595" s="2">
        <v>5</v>
      </c>
      <c r="J595" s="2">
        <v>5</v>
      </c>
      <c r="K595" s="2">
        <v>5</v>
      </c>
      <c r="L595" s="2">
        <v>5</v>
      </c>
      <c r="M595" s="2">
        <v>5</v>
      </c>
      <c r="N595" s="2">
        <v>5</v>
      </c>
      <c r="O595" s="2">
        <v>5</v>
      </c>
      <c r="P595" s="2">
        <v>5</v>
      </c>
      <c r="Q595" s="2" t="e">
        <f t="shared" ca="1" si="137"/>
        <v>#NAME?</v>
      </c>
      <c r="R595" s="2">
        <v>5</v>
      </c>
      <c r="S595" s="2">
        <v>5</v>
      </c>
      <c r="T595" s="2">
        <v>5</v>
      </c>
      <c r="U595" s="2">
        <v>5</v>
      </c>
      <c r="V595" s="2">
        <v>5</v>
      </c>
      <c r="W595" s="54">
        <f t="shared" si="142"/>
        <v>5</v>
      </c>
      <c r="X595" s="48">
        <v>5</v>
      </c>
      <c r="Y595" s="2">
        <v>5</v>
      </c>
      <c r="Z595" s="2"/>
      <c r="AA595" s="2">
        <v>5</v>
      </c>
      <c r="AB595" s="2">
        <v>5</v>
      </c>
      <c r="AC595" s="2">
        <v>5</v>
      </c>
      <c r="AD595" s="2">
        <v>5</v>
      </c>
      <c r="AE595" s="2">
        <v>5</v>
      </c>
      <c r="AF595" s="2">
        <v>5</v>
      </c>
      <c r="AG595" s="2">
        <v>5</v>
      </c>
      <c r="AH595" s="2">
        <v>5</v>
      </c>
      <c r="AI595" s="2">
        <v>5</v>
      </c>
      <c r="AJ595" s="2">
        <v>5</v>
      </c>
      <c r="AK595" s="3">
        <v>10</v>
      </c>
      <c r="AL595" s="3">
        <v>10</v>
      </c>
      <c r="AM595" s="3">
        <v>10</v>
      </c>
      <c r="AN595" s="3">
        <v>10</v>
      </c>
      <c r="AO595" s="3">
        <v>10</v>
      </c>
      <c r="AP595" s="3">
        <v>10</v>
      </c>
      <c r="AQ595" s="2" t="e">
        <f t="shared" ca="1" si="138"/>
        <v>#NAME?</v>
      </c>
      <c r="AR595" s="2">
        <v>10</v>
      </c>
      <c r="AS595" s="2">
        <v>10</v>
      </c>
      <c r="AT595" s="2">
        <v>10</v>
      </c>
      <c r="AU595" s="2">
        <v>9</v>
      </c>
      <c r="AV595" s="2">
        <v>9</v>
      </c>
      <c r="AW595" s="54">
        <f t="shared" si="143"/>
        <v>10</v>
      </c>
      <c r="AX595" s="48"/>
      <c r="AY595" s="2"/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 t="e">
        <f t="shared" ca="1" si="139"/>
        <v>#NAME?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54">
        <f t="shared" si="144"/>
        <v>0</v>
      </c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2" t="e">
        <f t="shared" ca="1" si="140"/>
        <v>#NAME?</v>
      </c>
      <c r="CD595" s="55">
        <v>0</v>
      </c>
      <c r="CE595" s="2">
        <v>5</v>
      </c>
      <c r="CF595" s="2">
        <v>5</v>
      </c>
      <c r="CG595" s="2">
        <v>5</v>
      </c>
      <c r="CH595" s="2">
        <v>5</v>
      </c>
      <c r="CI595" s="2">
        <v>5</v>
      </c>
      <c r="CJ595" s="2">
        <v>5</v>
      </c>
      <c r="CK595" s="2">
        <v>5</v>
      </c>
      <c r="CL595" s="2">
        <v>5</v>
      </c>
      <c r="CM595" s="2">
        <v>5</v>
      </c>
      <c r="CN595" s="2">
        <v>5</v>
      </c>
      <c r="CO595" s="2">
        <v>5</v>
      </c>
      <c r="CP595" s="2" t="e">
        <f t="shared" ca="1" si="141"/>
        <v>#NAME?</v>
      </c>
      <c r="CQ595" s="2">
        <v>5</v>
      </c>
      <c r="CR595" s="2">
        <v>5</v>
      </c>
      <c r="CS595" s="2">
        <v>5</v>
      </c>
      <c r="CT595" s="2">
        <v>5</v>
      </c>
      <c r="CU595" s="2">
        <v>5</v>
      </c>
      <c r="CV595" s="54">
        <f t="shared" si="145"/>
        <v>5</v>
      </c>
      <c r="CW595" s="55"/>
      <c r="CX595" s="3"/>
    </row>
    <row r="596" spans="1:102" ht="16.5" x14ac:dyDescent="0.55000000000000004">
      <c r="A596" s="17">
        <v>2</v>
      </c>
      <c r="B596" s="17" t="s">
        <v>1190</v>
      </c>
      <c r="C596" s="23" t="s">
        <v>1235</v>
      </c>
      <c r="D596" s="24" t="s">
        <v>1236</v>
      </c>
      <c r="E596" s="48">
        <v>5</v>
      </c>
      <c r="F596" s="2">
        <v>5</v>
      </c>
      <c r="G596" s="2">
        <v>5</v>
      </c>
      <c r="H596" s="2">
        <v>5</v>
      </c>
      <c r="I596" s="2">
        <v>5</v>
      </c>
      <c r="J596" s="2">
        <v>5</v>
      </c>
      <c r="K596" s="2">
        <v>5</v>
      </c>
      <c r="L596" s="2">
        <v>5</v>
      </c>
      <c r="M596" s="2">
        <v>5</v>
      </c>
      <c r="N596" s="2">
        <v>5</v>
      </c>
      <c r="O596" s="2">
        <v>5</v>
      </c>
      <c r="P596" s="2">
        <v>5</v>
      </c>
      <c r="Q596" s="2" t="e">
        <f t="shared" ca="1" si="137"/>
        <v>#NAME?</v>
      </c>
      <c r="R596" s="2">
        <v>5</v>
      </c>
      <c r="S596" s="2">
        <v>5</v>
      </c>
      <c r="T596" s="2">
        <v>5</v>
      </c>
      <c r="U596" s="2">
        <v>5</v>
      </c>
      <c r="V596" s="2">
        <v>5</v>
      </c>
      <c r="W596" s="54">
        <f t="shared" si="142"/>
        <v>5</v>
      </c>
      <c r="X596" s="48">
        <v>5</v>
      </c>
      <c r="Y596" s="2">
        <v>5</v>
      </c>
      <c r="Z596" s="2"/>
      <c r="AA596" s="2">
        <v>5</v>
      </c>
      <c r="AB596" s="2">
        <v>5</v>
      </c>
      <c r="AC596" s="2">
        <v>5</v>
      </c>
      <c r="AD596" s="2">
        <v>5</v>
      </c>
      <c r="AE596" s="2">
        <v>5</v>
      </c>
      <c r="AF596" s="2">
        <v>5</v>
      </c>
      <c r="AG596" s="2">
        <v>5</v>
      </c>
      <c r="AH596" s="2">
        <v>5</v>
      </c>
      <c r="AI596" s="2">
        <v>5</v>
      </c>
      <c r="AJ596" s="2">
        <v>5</v>
      </c>
      <c r="AK596" s="3">
        <v>10</v>
      </c>
      <c r="AL596" s="3">
        <v>10</v>
      </c>
      <c r="AM596" s="3">
        <v>10</v>
      </c>
      <c r="AN596" s="3">
        <v>10</v>
      </c>
      <c r="AO596" s="3">
        <v>10</v>
      </c>
      <c r="AP596" s="3">
        <v>10</v>
      </c>
      <c r="AQ596" s="2" t="e">
        <f t="shared" ca="1" si="138"/>
        <v>#NAME?</v>
      </c>
      <c r="AR596" s="2">
        <v>10</v>
      </c>
      <c r="AS596" s="2">
        <v>10</v>
      </c>
      <c r="AT596" s="2">
        <v>10</v>
      </c>
      <c r="AU596" s="2">
        <v>9</v>
      </c>
      <c r="AV596" s="2">
        <v>9</v>
      </c>
      <c r="AW596" s="54">
        <f t="shared" si="143"/>
        <v>10</v>
      </c>
      <c r="AX596" s="48"/>
      <c r="AY596" s="2"/>
      <c r="AZ596" s="2">
        <v>10</v>
      </c>
      <c r="BA596" s="2">
        <v>10</v>
      </c>
      <c r="BB596" s="2">
        <v>8</v>
      </c>
      <c r="BC596" s="2">
        <v>7</v>
      </c>
      <c r="BD596" s="2">
        <v>8</v>
      </c>
      <c r="BE596" s="2">
        <v>8</v>
      </c>
      <c r="BF596" s="2">
        <v>9</v>
      </c>
      <c r="BG596" s="2">
        <v>9</v>
      </c>
      <c r="BH596" s="2">
        <v>10</v>
      </c>
      <c r="BI596" s="57">
        <v>10</v>
      </c>
      <c r="BJ596" s="2" t="e">
        <f t="shared" ca="1" si="139"/>
        <v>#NAME?</v>
      </c>
      <c r="BK596" s="5">
        <v>10</v>
      </c>
      <c r="BL596" s="5">
        <v>9</v>
      </c>
      <c r="BM596" s="5">
        <v>8</v>
      </c>
      <c r="BN596" s="5">
        <v>10</v>
      </c>
      <c r="BO596" s="5">
        <v>10</v>
      </c>
      <c r="BP596" s="54">
        <f t="shared" si="144"/>
        <v>10</v>
      </c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2" t="e">
        <f t="shared" ca="1" si="140"/>
        <v>#NAME?</v>
      </c>
      <c r="CD596" s="55">
        <v>0</v>
      </c>
      <c r="CE596" s="2">
        <v>5</v>
      </c>
      <c r="CF596" s="2">
        <v>5</v>
      </c>
      <c r="CG596" s="2">
        <v>5</v>
      </c>
      <c r="CH596" s="2">
        <v>5</v>
      </c>
      <c r="CI596" s="2">
        <v>5</v>
      </c>
      <c r="CJ596" s="2">
        <v>5</v>
      </c>
      <c r="CK596" s="2">
        <v>5</v>
      </c>
      <c r="CL596" s="2">
        <v>5</v>
      </c>
      <c r="CM596" s="2">
        <v>5</v>
      </c>
      <c r="CN596" s="2">
        <v>5</v>
      </c>
      <c r="CO596" s="2">
        <v>5</v>
      </c>
      <c r="CP596" s="2" t="e">
        <f t="shared" ca="1" si="141"/>
        <v>#NAME?</v>
      </c>
      <c r="CQ596" s="2">
        <v>5</v>
      </c>
      <c r="CR596" s="2">
        <v>5</v>
      </c>
      <c r="CS596" s="2">
        <v>5</v>
      </c>
      <c r="CT596" s="2">
        <v>5</v>
      </c>
      <c r="CU596" s="2">
        <v>5</v>
      </c>
      <c r="CV596" s="54">
        <f t="shared" si="145"/>
        <v>5</v>
      </c>
      <c r="CW596" s="55"/>
      <c r="CX596" s="3"/>
    </row>
    <row r="597" spans="1:102" ht="16.5" x14ac:dyDescent="0.55000000000000004">
      <c r="A597" s="17">
        <v>2</v>
      </c>
      <c r="B597" s="17" t="s">
        <v>1190</v>
      </c>
      <c r="C597" s="23" t="s">
        <v>1237</v>
      </c>
      <c r="D597" s="24" t="s">
        <v>1238</v>
      </c>
      <c r="E597" s="48">
        <v>8</v>
      </c>
      <c r="F597" s="2">
        <v>9</v>
      </c>
      <c r="G597" s="2">
        <v>10</v>
      </c>
      <c r="H597" s="2">
        <v>10</v>
      </c>
      <c r="I597" s="2">
        <v>10</v>
      </c>
      <c r="J597" s="2">
        <v>10</v>
      </c>
      <c r="K597" s="2">
        <v>10</v>
      </c>
      <c r="L597" s="2">
        <v>10</v>
      </c>
      <c r="M597" s="2">
        <v>10</v>
      </c>
      <c r="N597" s="2">
        <v>10</v>
      </c>
      <c r="O597" s="2">
        <v>10</v>
      </c>
      <c r="P597" s="2">
        <v>10</v>
      </c>
      <c r="Q597" s="2" t="e">
        <f t="shared" ca="1" si="137"/>
        <v>#NAME?</v>
      </c>
      <c r="R597" s="2">
        <v>8</v>
      </c>
      <c r="S597" s="2">
        <v>8</v>
      </c>
      <c r="T597" s="2">
        <v>10</v>
      </c>
      <c r="U597" s="2">
        <v>10</v>
      </c>
      <c r="V597" s="2">
        <v>10</v>
      </c>
      <c r="W597" s="54">
        <f t="shared" si="142"/>
        <v>10</v>
      </c>
      <c r="X597" s="48">
        <v>8</v>
      </c>
      <c r="Y597" s="2">
        <v>9</v>
      </c>
      <c r="Z597" s="2"/>
      <c r="AA597" s="107" t="s">
        <v>1239</v>
      </c>
      <c r="AB597" s="107" t="s">
        <v>1239</v>
      </c>
      <c r="AC597" s="107" t="s">
        <v>1239</v>
      </c>
      <c r="AD597" s="107" t="s">
        <v>1239</v>
      </c>
      <c r="AE597" s="107" t="s">
        <v>1239</v>
      </c>
      <c r="AF597" s="107" t="s">
        <v>1239</v>
      </c>
      <c r="AG597" s="107" t="s">
        <v>1239</v>
      </c>
      <c r="AH597" s="107" t="s">
        <v>1239</v>
      </c>
      <c r="AI597" s="107" t="s">
        <v>1239</v>
      </c>
      <c r="AJ597" s="107" t="s">
        <v>1239</v>
      </c>
      <c r="AK597" s="3">
        <v>10</v>
      </c>
      <c r="AL597" s="3">
        <v>10</v>
      </c>
      <c r="AM597" s="3">
        <v>10</v>
      </c>
      <c r="AN597" s="3">
        <v>10</v>
      </c>
      <c r="AO597" s="3">
        <v>10</v>
      </c>
      <c r="AP597" s="3">
        <v>10</v>
      </c>
      <c r="AQ597" s="2" t="e">
        <f t="shared" ca="1" si="138"/>
        <v>#NAME?</v>
      </c>
      <c r="AR597" s="107" t="s">
        <v>1239</v>
      </c>
      <c r="AS597" s="107" t="s">
        <v>1239</v>
      </c>
      <c r="AT597" s="107" t="s">
        <v>1239</v>
      </c>
      <c r="AU597" s="107" t="s">
        <v>1239</v>
      </c>
      <c r="AV597" s="107" t="s">
        <v>1239</v>
      </c>
      <c r="AW597" s="54">
        <f t="shared" si="143"/>
        <v>0</v>
      </c>
      <c r="AX597" s="48"/>
      <c r="AY597" s="2"/>
      <c r="AZ597" s="2">
        <v>10</v>
      </c>
      <c r="BA597" s="2">
        <v>10</v>
      </c>
      <c r="BB597" s="2">
        <v>8</v>
      </c>
      <c r="BC597" s="2">
        <v>8</v>
      </c>
      <c r="BD597" s="2">
        <v>9</v>
      </c>
      <c r="BE597" s="2">
        <v>8</v>
      </c>
      <c r="BF597" s="2">
        <v>9</v>
      </c>
      <c r="BG597" s="2">
        <v>10</v>
      </c>
      <c r="BH597" s="2">
        <v>10</v>
      </c>
      <c r="BI597" s="57">
        <v>10</v>
      </c>
      <c r="BJ597" s="2" t="e">
        <f t="shared" ca="1" si="139"/>
        <v>#NAME?</v>
      </c>
      <c r="BK597" s="5">
        <v>10</v>
      </c>
      <c r="BL597" s="5">
        <v>10</v>
      </c>
      <c r="BM597" s="5">
        <v>8</v>
      </c>
      <c r="BN597" s="5">
        <v>9</v>
      </c>
      <c r="BO597" s="5">
        <v>10</v>
      </c>
      <c r="BP597" s="54">
        <f t="shared" si="144"/>
        <v>10</v>
      </c>
      <c r="BQ597" s="5"/>
      <c r="BR597" s="5"/>
      <c r="BS597" s="5">
        <v>10</v>
      </c>
      <c r="BT597" s="5">
        <v>10</v>
      </c>
      <c r="BU597" s="5">
        <v>7</v>
      </c>
      <c r="BV597" s="5">
        <v>7</v>
      </c>
      <c r="BW597" s="5">
        <v>10</v>
      </c>
      <c r="BX597" s="5">
        <v>8</v>
      </c>
      <c r="BY597" s="5">
        <v>8</v>
      </c>
      <c r="BZ597" s="5">
        <v>9</v>
      </c>
      <c r="CA597" s="5">
        <v>9</v>
      </c>
      <c r="CB597" s="5">
        <v>10</v>
      </c>
      <c r="CC597" s="2" t="e">
        <f t="shared" ca="1" si="140"/>
        <v>#NAME?</v>
      </c>
      <c r="CD597" s="55">
        <v>10</v>
      </c>
      <c r="CE597" s="2">
        <v>8</v>
      </c>
      <c r="CF597" s="2">
        <v>10</v>
      </c>
      <c r="CG597" s="2">
        <v>10</v>
      </c>
      <c r="CH597" s="2">
        <v>10</v>
      </c>
      <c r="CI597" s="2">
        <v>10</v>
      </c>
      <c r="CJ597" s="2">
        <v>10</v>
      </c>
      <c r="CK597" s="2">
        <v>10</v>
      </c>
      <c r="CL597" s="2">
        <v>10</v>
      </c>
      <c r="CM597" s="2">
        <v>10</v>
      </c>
      <c r="CN597" s="2">
        <v>10</v>
      </c>
      <c r="CO597" s="2">
        <v>10</v>
      </c>
      <c r="CP597" s="2" t="e">
        <f t="shared" ca="1" si="141"/>
        <v>#NAME?</v>
      </c>
      <c r="CQ597" s="2">
        <v>10</v>
      </c>
      <c r="CR597" s="2">
        <v>10</v>
      </c>
      <c r="CS597" s="2">
        <v>10</v>
      </c>
      <c r="CT597" s="2">
        <v>10</v>
      </c>
      <c r="CU597" s="2">
        <v>10</v>
      </c>
      <c r="CV597" s="54">
        <f t="shared" si="145"/>
        <v>10</v>
      </c>
      <c r="CW597" s="55"/>
      <c r="CX597" s="3"/>
    </row>
    <row r="598" spans="1:102" ht="16.5" x14ac:dyDescent="0.55000000000000004">
      <c r="A598" s="17">
        <v>2</v>
      </c>
      <c r="B598" s="17" t="s">
        <v>1190</v>
      </c>
      <c r="C598" s="23" t="s">
        <v>1240</v>
      </c>
      <c r="D598" s="24" t="s">
        <v>1241</v>
      </c>
      <c r="E598" s="48">
        <v>8</v>
      </c>
      <c r="F598" s="2">
        <v>8</v>
      </c>
      <c r="G598" s="2">
        <v>10</v>
      </c>
      <c r="H598" s="2">
        <v>7</v>
      </c>
      <c r="I598" s="2">
        <v>7</v>
      </c>
      <c r="J598" s="2">
        <v>8</v>
      </c>
      <c r="K598" s="2">
        <v>10</v>
      </c>
      <c r="L598" s="2">
        <v>10</v>
      </c>
      <c r="M598" s="2">
        <v>7</v>
      </c>
      <c r="N598" s="2">
        <v>7</v>
      </c>
      <c r="O598" s="2">
        <v>8</v>
      </c>
      <c r="P598" s="2">
        <v>10</v>
      </c>
      <c r="Q598" s="2" t="e">
        <f t="shared" ca="1" si="137"/>
        <v>#NAME?</v>
      </c>
      <c r="R598" s="2">
        <v>7</v>
      </c>
      <c r="S598" s="2">
        <v>7</v>
      </c>
      <c r="T598" s="2">
        <v>8</v>
      </c>
      <c r="U598" s="2">
        <v>9</v>
      </c>
      <c r="V598" s="2">
        <v>10</v>
      </c>
      <c r="W598" s="54">
        <f t="shared" si="142"/>
        <v>9</v>
      </c>
      <c r="X598" s="48">
        <v>8</v>
      </c>
      <c r="Y598" s="2">
        <v>8</v>
      </c>
      <c r="Z598" s="2"/>
      <c r="AA598" s="2">
        <v>10</v>
      </c>
      <c r="AB598" s="2">
        <v>10</v>
      </c>
      <c r="AC598" s="2">
        <v>10</v>
      </c>
      <c r="AD598" s="2">
        <v>10</v>
      </c>
      <c r="AE598" s="2">
        <v>10</v>
      </c>
      <c r="AF598" s="2">
        <v>10</v>
      </c>
      <c r="AG598" s="2">
        <v>10</v>
      </c>
      <c r="AH598" s="2">
        <v>10</v>
      </c>
      <c r="AI598" s="2">
        <v>10</v>
      </c>
      <c r="AJ598" s="2">
        <v>10</v>
      </c>
      <c r="AK598" s="3">
        <v>10</v>
      </c>
      <c r="AL598" s="3">
        <v>10</v>
      </c>
      <c r="AM598" s="3">
        <v>10</v>
      </c>
      <c r="AN598" s="3">
        <v>10</v>
      </c>
      <c r="AO598" s="3">
        <v>10</v>
      </c>
      <c r="AP598" s="3">
        <v>10</v>
      </c>
      <c r="AQ598" s="2" t="e">
        <f t="shared" ca="1" si="138"/>
        <v>#NAME?</v>
      </c>
      <c r="AR598" s="2">
        <v>10</v>
      </c>
      <c r="AS598" s="2">
        <v>10</v>
      </c>
      <c r="AT598" s="2">
        <v>10</v>
      </c>
      <c r="AU598" s="2">
        <v>10</v>
      </c>
      <c r="AV598" s="2">
        <v>10</v>
      </c>
      <c r="AW598" s="54">
        <f t="shared" si="143"/>
        <v>10</v>
      </c>
      <c r="AX598" s="48"/>
      <c r="AY598" s="2"/>
      <c r="AZ598" s="2">
        <v>6</v>
      </c>
      <c r="BA598" s="2">
        <v>7</v>
      </c>
      <c r="BB598" s="2">
        <v>7</v>
      </c>
      <c r="BC598" s="2">
        <v>8</v>
      </c>
      <c r="BD598" s="2">
        <v>8</v>
      </c>
      <c r="BE598" s="2">
        <v>9</v>
      </c>
      <c r="BF598" s="2">
        <v>9</v>
      </c>
      <c r="BG598" s="2">
        <v>10</v>
      </c>
      <c r="BH598" s="2">
        <v>10</v>
      </c>
      <c r="BI598" s="57">
        <v>10</v>
      </c>
      <c r="BJ598" s="2" t="e">
        <f t="shared" ca="1" si="139"/>
        <v>#NAME?</v>
      </c>
      <c r="BK598" s="5">
        <v>7</v>
      </c>
      <c r="BL598" s="5">
        <v>8</v>
      </c>
      <c r="BM598" s="5">
        <v>7</v>
      </c>
      <c r="BN598" s="5">
        <v>8</v>
      </c>
      <c r="BO598" s="5">
        <v>9</v>
      </c>
      <c r="BP598" s="54">
        <f t="shared" si="144"/>
        <v>8</v>
      </c>
      <c r="BQ598" s="5"/>
      <c r="BR598" s="5"/>
      <c r="BS598" s="5">
        <v>10</v>
      </c>
      <c r="BT598" s="5">
        <v>10</v>
      </c>
      <c r="BU598" s="5">
        <v>10</v>
      </c>
      <c r="BV598" s="5">
        <v>10</v>
      </c>
      <c r="BW598" s="5">
        <v>10</v>
      </c>
      <c r="BX598" s="5">
        <v>7</v>
      </c>
      <c r="BY598" s="5">
        <v>8</v>
      </c>
      <c r="BZ598" s="5">
        <v>8</v>
      </c>
      <c r="CA598" s="5">
        <v>9</v>
      </c>
      <c r="CB598" s="5">
        <v>10</v>
      </c>
      <c r="CC598" s="2" t="e">
        <f t="shared" ca="1" si="140"/>
        <v>#NAME?</v>
      </c>
      <c r="CD598" s="55">
        <v>0</v>
      </c>
      <c r="CE598" s="2">
        <v>6</v>
      </c>
      <c r="CF598" s="2">
        <v>10</v>
      </c>
      <c r="CG598" s="2">
        <v>10</v>
      </c>
      <c r="CH598" s="2">
        <v>10</v>
      </c>
      <c r="CI598" s="2">
        <v>10</v>
      </c>
      <c r="CJ598" s="2">
        <v>10</v>
      </c>
      <c r="CK598" s="2">
        <v>10</v>
      </c>
      <c r="CL598" s="2">
        <v>10</v>
      </c>
      <c r="CM598" s="2">
        <v>10</v>
      </c>
      <c r="CN598" s="2">
        <v>10</v>
      </c>
      <c r="CO598" s="2">
        <v>10</v>
      </c>
      <c r="CP598" s="2" t="e">
        <f t="shared" ca="1" si="141"/>
        <v>#NAME?</v>
      </c>
      <c r="CQ598" s="2">
        <v>10</v>
      </c>
      <c r="CR598" s="2">
        <v>10</v>
      </c>
      <c r="CS598" s="2">
        <v>10</v>
      </c>
      <c r="CT598" s="2">
        <v>10</v>
      </c>
      <c r="CU598" s="2">
        <v>10</v>
      </c>
      <c r="CV598" s="54">
        <f t="shared" si="145"/>
        <v>10</v>
      </c>
      <c r="CW598" s="55"/>
      <c r="CX598" s="3"/>
    </row>
    <row r="599" spans="1:102" ht="16.5" x14ac:dyDescent="0.55000000000000004">
      <c r="A599" s="17">
        <v>2</v>
      </c>
      <c r="B599" s="17" t="s">
        <v>1190</v>
      </c>
      <c r="C599" s="23" t="s">
        <v>1242</v>
      </c>
      <c r="D599" s="24" t="s">
        <v>1243</v>
      </c>
      <c r="E599" s="48">
        <v>7</v>
      </c>
      <c r="F599" s="2">
        <v>7</v>
      </c>
      <c r="G599" s="2">
        <v>9</v>
      </c>
      <c r="H599" s="2">
        <v>9</v>
      </c>
      <c r="I599" s="2">
        <v>10</v>
      </c>
      <c r="J599" s="2">
        <v>9</v>
      </c>
      <c r="K599" s="2">
        <v>8</v>
      </c>
      <c r="L599" s="2">
        <v>9</v>
      </c>
      <c r="M599" s="2">
        <v>9</v>
      </c>
      <c r="N599" s="2">
        <v>10</v>
      </c>
      <c r="O599" s="2">
        <v>9</v>
      </c>
      <c r="P599" s="2">
        <v>8</v>
      </c>
      <c r="Q599" s="2" t="e">
        <f t="shared" ca="1" si="137"/>
        <v>#NAME?</v>
      </c>
      <c r="R599" s="2">
        <v>7</v>
      </c>
      <c r="S599" s="2">
        <v>8</v>
      </c>
      <c r="T599" s="2">
        <v>8</v>
      </c>
      <c r="U599" s="2">
        <v>8</v>
      </c>
      <c r="V599" s="2">
        <v>8</v>
      </c>
      <c r="W599" s="54">
        <f t="shared" si="142"/>
        <v>8</v>
      </c>
      <c r="X599" s="48">
        <v>7</v>
      </c>
      <c r="Y599" s="2">
        <v>7</v>
      </c>
      <c r="Z599" s="2"/>
      <c r="AA599" s="2">
        <v>10</v>
      </c>
      <c r="AB599" s="2">
        <v>10</v>
      </c>
      <c r="AC599" s="2">
        <v>10</v>
      </c>
      <c r="AD599" s="2">
        <v>10</v>
      </c>
      <c r="AE599" s="2">
        <v>10</v>
      </c>
      <c r="AF599" s="2">
        <v>9</v>
      </c>
      <c r="AG599" s="2">
        <v>10</v>
      </c>
      <c r="AH599" s="2">
        <v>10</v>
      </c>
      <c r="AI599" s="2">
        <v>10</v>
      </c>
      <c r="AJ599" s="2">
        <v>10</v>
      </c>
      <c r="AK599" s="3">
        <v>10</v>
      </c>
      <c r="AL599" s="3">
        <v>10</v>
      </c>
      <c r="AM599" s="3">
        <v>10</v>
      </c>
      <c r="AN599" s="3">
        <v>10</v>
      </c>
      <c r="AO599" s="3">
        <v>10</v>
      </c>
      <c r="AP599" s="3">
        <v>10</v>
      </c>
      <c r="AQ599" s="2" t="e">
        <f t="shared" ca="1" si="138"/>
        <v>#NAME?</v>
      </c>
      <c r="AR599" s="2">
        <v>10</v>
      </c>
      <c r="AS599" s="2">
        <v>10</v>
      </c>
      <c r="AT599" s="2">
        <v>10</v>
      </c>
      <c r="AU599" s="2">
        <v>10</v>
      </c>
      <c r="AV599" s="2">
        <v>10</v>
      </c>
      <c r="AW599" s="54">
        <f t="shared" si="143"/>
        <v>10</v>
      </c>
      <c r="AX599" s="48"/>
      <c r="AY599" s="2"/>
      <c r="AZ599" s="2">
        <v>5</v>
      </c>
      <c r="BA599" s="2">
        <v>6</v>
      </c>
      <c r="BB599" s="2">
        <v>5</v>
      </c>
      <c r="BC599" s="2">
        <v>6</v>
      </c>
      <c r="BD599" s="2">
        <v>6</v>
      </c>
      <c r="BE599" s="2">
        <v>7</v>
      </c>
      <c r="BF599" s="2">
        <v>7</v>
      </c>
      <c r="BG599" s="2">
        <v>8</v>
      </c>
      <c r="BH599" s="2">
        <v>8</v>
      </c>
      <c r="BI599" s="57">
        <v>9</v>
      </c>
      <c r="BJ599" s="2" t="e">
        <f t="shared" ca="1" si="139"/>
        <v>#NAME?</v>
      </c>
      <c r="BK599" s="5">
        <v>7</v>
      </c>
      <c r="BL599" s="5">
        <v>8</v>
      </c>
      <c r="BM599" s="5">
        <v>8</v>
      </c>
      <c r="BN599" s="5">
        <v>9</v>
      </c>
      <c r="BO599" s="5">
        <v>9</v>
      </c>
      <c r="BP599" s="54">
        <f t="shared" si="144"/>
        <v>9</v>
      </c>
      <c r="BQ599" s="5"/>
      <c r="BR599" s="5"/>
      <c r="BS599" s="5">
        <v>6</v>
      </c>
      <c r="BT599" s="5">
        <v>7</v>
      </c>
      <c r="BU599" s="5">
        <v>8</v>
      </c>
      <c r="BV599" s="5">
        <v>7</v>
      </c>
      <c r="BW599" s="5">
        <v>10</v>
      </c>
      <c r="BX599" s="5">
        <v>7</v>
      </c>
      <c r="BY599" s="5">
        <v>8</v>
      </c>
      <c r="BZ599" s="5">
        <v>9</v>
      </c>
      <c r="CA599" s="5">
        <v>10</v>
      </c>
      <c r="CB599" s="5">
        <v>10</v>
      </c>
      <c r="CC599" s="2" t="e">
        <f t="shared" ca="1" si="140"/>
        <v>#NAME?</v>
      </c>
      <c r="CD599" s="55">
        <v>0</v>
      </c>
      <c r="CE599" s="2">
        <v>5</v>
      </c>
      <c r="CF599" s="2">
        <v>10</v>
      </c>
      <c r="CG599" s="2">
        <v>10</v>
      </c>
      <c r="CH599" s="2">
        <v>10</v>
      </c>
      <c r="CI599" s="2">
        <v>10</v>
      </c>
      <c r="CJ599" s="2">
        <v>10</v>
      </c>
      <c r="CK599" s="2">
        <v>10</v>
      </c>
      <c r="CL599" s="2">
        <v>10</v>
      </c>
      <c r="CM599" s="2">
        <v>10</v>
      </c>
      <c r="CN599" s="2">
        <v>10</v>
      </c>
      <c r="CO599" s="2">
        <v>10</v>
      </c>
      <c r="CP599" s="2" t="e">
        <f t="shared" ca="1" si="141"/>
        <v>#NAME?</v>
      </c>
      <c r="CQ599" s="2">
        <v>10</v>
      </c>
      <c r="CR599" s="2">
        <v>10</v>
      </c>
      <c r="CS599" s="2">
        <v>10</v>
      </c>
      <c r="CT599" s="2">
        <v>10</v>
      </c>
      <c r="CU599" s="2">
        <v>10</v>
      </c>
      <c r="CV599" s="54">
        <f t="shared" si="145"/>
        <v>10</v>
      </c>
      <c r="CW599" s="55"/>
      <c r="CX599" s="3"/>
    </row>
    <row r="600" spans="1:102" ht="16.5" x14ac:dyDescent="0.55000000000000004">
      <c r="A600" s="17">
        <v>2</v>
      </c>
      <c r="B600" s="17" t="s">
        <v>1190</v>
      </c>
      <c r="C600" s="23" t="s">
        <v>1244</v>
      </c>
      <c r="D600" s="24" t="s">
        <v>1245</v>
      </c>
      <c r="E600" s="48">
        <v>10</v>
      </c>
      <c r="F600" s="2">
        <v>10</v>
      </c>
      <c r="G600" s="2">
        <v>10</v>
      </c>
      <c r="H600" s="2">
        <v>10</v>
      </c>
      <c r="I600" s="2">
        <v>10</v>
      </c>
      <c r="J600" s="2">
        <v>10</v>
      </c>
      <c r="K600" s="2">
        <v>10</v>
      </c>
      <c r="L600" s="2">
        <v>10</v>
      </c>
      <c r="M600" s="2">
        <v>10</v>
      </c>
      <c r="N600" s="2">
        <v>10</v>
      </c>
      <c r="O600" s="2">
        <v>10</v>
      </c>
      <c r="P600" s="2">
        <v>10</v>
      </c>
      <c r="Q600" s="2" t="e">
        <f t="shared" ca="1" si="137"/>
        <v>#NAME?</v>
      </c>
      <c r="R600" s="2">
        <v>10</v>
      </c>
      <c r="S600" s="2">
        <v>10</v>
      </c>
      <c r="T600" s="2">
        <v>10</v>
      </c>
      <c r="U600" s="2">
        <v>10</v>
      </c>
      <c r="V600" s="2">
        <v>10</v>
      </c>
      <c r="W600" s="54">
        <f t="shared" si="142"/>
        <v>10</v>
      </c>
      <c r="X600" s="48">
        <v>10</v>
      </c>
      <c r="Y600" s="2">
        <v>10</v>
      </c>
      <c r="Z600" s="2"/>
      <c r="AA600" s="2">
        <v>10</v>
      </c>
      <c r="AB600" s="2">
        <v>10</v>
      </c>
      <c r="AC600" s="2">
        <v>10</v>
      </c>
      <c r="AD600" s="2">
        <v>10</v>
      </c>
      <c r="AE600" s="2">
        <v>10</v>
      </c>
      <c r="AF600" s="2">
        <v>10</v>
      </c>
      <c r="AG600" s="2">
        <v>10</v>
      </c>
      <c r="AH600" s="2">
        <v>10</v>
      </c>
      <c r="AI600" s="2">
        <v>10</v>
      </c>
      <c r="AJ600" s="2">
        <v>10</v>
      </c>
      <c r="AK600" s="3">
        <v>10</v>
      </c>
      <c r="AL600" s="3">
        <v>10</v>
      </c>
      <c r="AM600" s="3">
        <v>10</v>
      </c>
      <c r="AN600" s="3">
        <v>10</v>
      </c>
      <c r="AO600" s="3">
        <v>10</v>
      </c>
      <c r="AP600" s="3">
        <v>10</v>
      </c>
      <c r="AQ600" s="2" t="e">
        <f t="shared" ca="1" si="138"/>
        <v>#NAME?</v>
      </c>
      <c r="AR600" s="2">
        <v>10</v>
      </c>
      <c r="AS600" s="2">
        <v>10</v>
      </c>
      <c r="AT600" s="2">
        <v>10</v>
      </c>
      <c r="AU600" s="2">
        <v>10</v>
      </c>
      <c r="AV600" s="2">
        <v>10</v>
      </c>
      <c r="AW600" s="54">
        <f t="shared" si="143"/>
        <v>10</v>
      </c>
      <c r="AX600" s="48"/>
      <c r="AY600" s="2"/>
      <c r="AZ600" s="2">
        <v>10</v>
      </c>
      <c r="BA600" s="2">
        <v>10</v>
      </c>
      <c r="BB600" s="2">
        <v>10</v>
      </c>
      <c r="BC600" s="2">
        <v>10</v>
      </c>
      <c r="BD600" s="2">
        <v>10</v>
      </c>
      <c r="BE600" s="2">
        <v>10</v>
      </c>
      <c r="BF600" s="2">
        <v>10</v>
      </c>
      <c r="BG600" s="2">
        <v>10</v>
      </c>
      <c r="BH600" s="2">
        <v>10</v>
      </c>
      <c r="BI600" s="2">
        <v>10</v>
      </c>
      <c r="BJ600" s="2" t="e">
        <f t="shared" ca="1" si="139"/>
        <v>#NAME?</v>
      </c>
      <c r="BK600" s="5">
        <v>10</v>
      </c>
      <c r="BL600" s="5">
        <v>10</v>
      </c>
      <c r="BM600" s="5">
        <v>10</v>
      </c>
      <c r="BN600" s="5">
        <v>10</v>
      </c>
      <c r="BO600" s="5">
        <v>10</v>
      </c>
      <c r="BP600" s="54">
        <f t="shared" si="144"/>
        <v>10</v>
      </c>
      <c r="BQ600" s="5"/>
      <c r="BR600" s="5"/>
      <c r="BS600" s="5">
        <v>10</v>
      </c>
      <c r="BT600" s="5">
        <v>10</v>
      </c>
      <c r="BU600" s="5">
        <v>10</v>
      </c>
      <c r="BV600" s="5">
        <v>10</v>
      </c>
      <c r="BW600" s="5">
        <v>10</v>
      </c>
      <c r="BX600" s="5">
        <v>8</v>
      </c>
      <c r="BY600" s="5">
        <v>8</v>
      </c>
      <c r="BZ600" s="5">
        <v>9</v>
      </c>
      <c r="CA600" s="5">
        <v>10</v>
      </c>
      <c r="CB600" s="5">
        <v>10</v>
      </c>
      <c r="CC600" s="2" t="e">
        <f t="shared" ca="1" si="140"/>
        <v>#NAME?</v>
      </c>
      <c r="CD600" s="55">
        <v>0</v>
      </c>
      <c r="CE600" s="2">
        <v>8</v>
      </c>
      <c r="CF600" s="2">
        <v>10</v>
      </c>
      <c r="CG600" s="2">
        <v>10</v>
      </c>
      <c r="CH600" s="2">
        <v>10</v>
      </c>
      <c r="CI600" s="2">
        <v>10</v>
      </c>
      <c r="CJ600" s="2">
        <v>10</v>
      </c>
      <c r="CK600" s="2">
        <v>10</v>
      </c>
      <c r="CL600" s="2">
        <v>10</v>
      </c>
      <c r="CM600" s="2">
        <v>10</v>
      </c>
      <c r="CN600" s="2">
        <v>10</v>
      </c>
      <c r="CO600" s="2">
        <v>10</v>
      </c>
      <c r="CP600" s="2" t="e">
        <f t="shared" ca="1" si="141"/>
        <v>#NAME?</v>
      </c>
      <c r="CQ600" s="2">
        <v>10</v>
      </c>
      <c r="CR600" s="2">
        <v>10</v>
      </c>
      <c r="CS600" s="2">
        <v>10</v>
      </c>
      <c r="CT600" s="2">
        <v>10</v>
      </c>
      <c r="CU600" s="2">
        <v>10</v>
      </c>
      <c r="CV600" s="54">
        <f t="shared" si="145"/>
        <v>10</v>
      </c>
      <c r="CW600" s="55"/>
      <c r="CX600" s="3"/>
    </row>
    <row r="601" spans="1:102" ht="16.5" x14ac:dyDescent="0.55000000000000004">
      <c r="A601" s="17">
        <v>2</v>
      </c>
      <c r="B601" s="17" t="s">
        <v>1190</v>
      </c>
      <c r="C601" s="23" t="s">
        <v>1246</v>
      </c>
      <c r="D601" s="24" t="s">
        <v>1247</v>
      </c>
      <c r="E601" s="48">
        <v>5</v>
      </c>
      <c r="F601" s="2">
        <v>5</v>
      </c>
      <c r="G601" s="2">
        <v>5</v>
      </c>
      <c r="H601" s="2">
        <v>5</v>
      </c>
      <c r="I601" s="2">
        <v>5</v>
      </c>
      <c r="J601" s="2">
        <v>5</v>
      </c>
      <c r="K601" s="2">
        <v>5</v>
      </c>
      <c r="L601" s="2">
        <v>5</v>
      </c>
      <c r="M601" s="2">
        <v>5</v>
      </c>
      <c r="N601" s="2">
        <v>5</v>
      </c>
      <c r="O601" s="2">
        <v>5</v>
      </c>
      <c r="P601" s="2">
        <v>5</v>
      </c>
      <c r="Q601" s="2" t="e">
        <f t="shared" ca="1" si="137"/>
        <v>#NAME?</v>
      </c>
      <c r="R601" s="2">
        <v>5</v>
      </c>
      <c r="S601" s="2">
        <v>5</v>
      </c>
      <c r="T601" s="2">
        <v>5</v>
      </c>
      <c r="U601" s="2">
        <v>5</v>
      </c>
      <c r="V601" s="2">
        <v>5</v>
      </c>
      <c r="W601" s="54">
        <f t="shared" si="142"/>
        <v>5</v>
      </c>
      <c r="X601" s="48">
        <v>5</v>
      </c>
      <c r="Y601" s="2">
        <v>5</v>
      </c>
      <c r="Z601" s="2"/>
      <c r="AA601" s="2">
        <v>5</v>
      </c>
      <c r="AB601" s="2">
        <v>5</v>
      </c>
      <c r="AC601" s="2">
        <v>5</v>
      </c>
      <c r="AD601" s="2">
        <v>5</v>
      </c>
      <c r="AE601" s="2">
        <v>5</v>
      </c>
      <c r="AF601" s="2">
        <v>5</v>
      </c>
      <c r="AG601" s="2">
        <v>5</v>
      </c>
      <c r="AH601" s="2">
        <v>5</v>
      </c>
      <c r="AI601" s="2">
        <v>5</v>
      </c>
      <c r="AJ601" s="2">
        <v>5</v>
      </c>
      <c r="AK601" s="3">
        <v>10</v>
      </c>
      <c r="AL601" s="3">
        <v>10</v>
      </c>
      <c r="AM601" s="3">
        <v>10</v>
      </c>
      <c r="AN601" s="3">
        <v>10</v>
      </c>
      <c r="AO601" s="3">
        <v>10</v>
      </c>
      <c r="AP601" s="3">
        <v>10</v>
      </c>
      <c r="AQ601" s="2" t="e">
        <f t="shared" ca="1" si="138"/>
        <v>#NAME?</v>
      </c>
      <c r="AR601" s="2">
        <v>10</v>
      </c>
      <c r="AS601" s="2">
        <v>10</v>
      </c>
      <c r="AT601" s="2">
        <v>10</v>
      </c>
      <c r="AU601" s="2">
        <v>9</v>
      </c>
      <c r="AV601" s="2">
        <v>9</v>
      </c>
      <c r="AW601" s="54">
        <f t="shared" si="143"/>
        <v>10</v>
      </c>
      <c r="AX601" s="48"/>
      <c r="AY601" s="2"/>
      <c r="AZ601" s="2">
        <v>8</v>
      </c>
      <c r="BA601" s="2">
        <v>8</v>
      </c>
      <c r="BB601" s="2">
        <v>6</v>
      </c>
      <c r="BC601" s="2">
        <v>7</v>
      </c>
      <c r="BD601" s="2">
        <v>7</v>
      </c>
      <c r="BE601" s="2">
        <v>8</v>
      </c>
      <c r="BF601" s="2">
        <v>9</v>
      </c>
      <c r="BG601" s="2">
        <v>10</v>
      </c>
      <c r="BH601" s="2">
        <v>10</v>
      </c>
      <c r="BI601" s="57">
        <v>10</v>
      </c>
      <c r="BJ601" s="2" t="e">
        <f t="shared" ca="1" si="139"/>
        <v>#NAME?</v>
      </c>
      <c r="BK601" s="5">
        <v>6</v>
      </c>
      <c r="BL601" s="5">
        <v>7</v>
      </c>
      <c r="BM601" s="5">
        <v>8</v>
      </c>
      <c r="BN601" s="5">
        <v>9</v>
      </c>
      <c r="BO601" s="5">
        <v>10</v>
      </c>
      <c r="BP601" s="54">
        <f t="shared" si="144"/>
        <v>8</v>
      </c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2" t="e">
        <f t="shared" ca="1" si="140"/>
        <v>#NAME?</v>
      </c>
      <c r="CD601" s="55">
        <v>10</v>
      </c>
      <c r="CE601" s="2">
        <v>5</v>
      </c>
      <c r="CF601" s="2">
        <v>5</v>
      </c>
      <c r="CG601" s="2">
        <v>5</v>
      </c>
      <c r="CH601" s="2">
        <v>5</v>
      </c>
      <c r="CI601" s="2">
        <v>5</v>
      </c>
      <c r="CJ601" s="2">
        <v>5</v>
      </c>
      <c r="CK601" s="2">
        <v>5</v>
      </c>
      <c r="CL601" s="2">
        <v>5</v>
      </c>
      <c r="CM601" s="2">
        <v>5</v>
      </c>
      <c r="CN601" s="2">
        <v>5</v>
      </c>
      <c r="CO601" s="2">
        <v>5</v>
      </c>
      <c r="CP601" s="2" t="e">
        <f t="shared" ca="1" si="141"/>
        <v>#NAME?</v>
      </c>
      <c r="CQ601" s="2">
        <v>5</v>
      </c>
      <c r="CR601" s="2">
        <v>5</v>
      </c>
      <c r="CS601" s="2">
        <v>5</v>
      </c>
      <c r="CT601" s="2">
        <v>5</v>
      </c>
      <c r="CU601" s="2">
        <v>5</v>
      </c>
      <c r="CV601" s="54">
        <f t="shared" si="145"/>
        <v>5</v>
      </c>
      <c r="CW601" s="55"/>
      <c r="CX601" s="3"/>
    </row>
    <row r="602" spans="1:102" ht="16.5" x14ac:dyDescent="0.55000000000000004">
      <c r="A602" s="17">
        <v>2</v>
      </c>
      <c r="B602" s="17" t="s">
        <v>1190</v>
      </c>
      <c r="C602" s="23" t="s">
        <v>1248</v>
      </c>
      <c r="D602" s="24" t="s">
        <v>1249</v>
      </c>
      <c r="E602" s="48">
        <v>8</v>
      </c>
      <c r="F602" s="2">
        <v>9</v>
      </c>
      <c r="G602" s="2">
        <v>10</v>
      </c>
      <c r="H602" s="2">
        <v>10</v>
      </c>
      <c r="I602" s="2">
        <v>9</v>
      </c>
      <c r="J602" s="2">
        <v>10</v>
      </c>
      <c r="K602" s="2">
        <v>10</v>
      </c>
      <c r="L602" s="2">
        <v>10</v>
      </c>
      <c r="M602" s="2">
        <v>10</v>
      </c>
      <c r="N602" s="2">
        <v>9</v>
      </c>
      <c r="O602" s="2">
        <v>10</v>
      </c>
      <c r="P602" s="2">
        <v>10</v>
      </c>
      <c r="Q602" s="2" t="e">
        <f t="shared" ca="1" si="137"/>
        <v>#NAME?</v>
      </c>
      <c r="R602" s="2">
        <v>10</v>
      </c>
      <c r="S602" s="2">
        <v>10</v>
      </c>
      <c r="T602" s="2">
        <v>10</v>
      </c>
      <c r="U602" s="2">
        <v>10</v>
      </c>
      <c r="V602" s="2">
        <v>10</v>
      </c>
      <c r="W602" s="54">
        <f t="shared" si="142"/>
        <v>10</v>
      </c>
      <c r="X602" s="48">
        <v>8</v>
      </c>
      <c r="Y602" s="2">
        <v>9</v>
      </c>
      <c r="Z602" s="2"/>
      <c r="AA602" s="2">
        <v>10</v>
      </c>
      <c r="AB602" s="2">
        <v>10</v>
      </c>
      <c r="AC602" s="2">
        <v>10</v>
      </c>
      <c r="AD602" s="2">
        <v>10</v>
      </c>
      <c r="AE602" s="2">
        <v>10</v>
      </c>
      <c r="AF602" s="2">
        <v>10</v>
      </c>
      <c r="AG602" s="2">
        <v>10</v>
      </c>
      <c r="AH602" s="2">
        <v>10</v>
      </c>
      <c r="AI602" s="2">
        <v>10</v>
      </c>
      <c r="AJ602" s="2">
        <v>10</v>
      </c>
      <c r="AK602" s="3">
        <v>10</v>
      </c>
      <c r="AL602" s="3">
        <v>10</v>
      </c>
      <c r="AM602" s="3">
        <v>10</v>
      </c>
      <c r="AN602" s="3">
        <v>10</v>
      </c>
      <c r="AO602" s="3">
        <v>10</v>
      </c>
      <c r="AP602" s="3">
        <v>10</v>
      </c>
      <c r="AQ602" s="2" t="e">
        <f t="shared" ca="1" si="138"/>
        <v>#NAME?</v>
      </c>
      <c r="AR602" s="2">
        <v>10</v>
      </c>
      <c r="AS602" s="2">
        <v>10</v>
      </c>
      <c r="AT602" s="2">
        <v>10</v>
      </c>
      <c r="AU602" s="2">
        <v>10</v>
      </c>
      <c r="AV602" s="2">
        <v>10</v>
      </c>
      <c r="AW602" s="54">
        <f t="shared" si="143"/>
        <v>10</v>
      </c>
      <c r="AX602" s="48"/>
      <c r="AY602" s="2"/>
      <c r="AZ602" s="2">
        <v>10</v>
      </c>
      <c r="BA602" s="2">
        <v>10</v>
      </c>
      <c r="BB602" s="2">
        <v>10</v>
      </c>
      <c r="BC602" s="2">
        <v>10</v>
      </c>
      <c r="BD602" s="2">
        <v>10</v>
      </c>
      <c r="BE602" s="2">
        <v>10</v>
      </c>
      <c r="BF602" s="2">
        <v>10</v>
      </c>
      <c r="BG602" s="2">
        <v>10</v>
      </c>
      <c r="BH602" s="2">
        <v>10</v>
      </c>
      <c r="BI602" s="2">
        <v>10</v>
      </c>
      <c r="BJ602" s="2" t="e">
        <f t="shared" ca="1" si="139"/>
        <v>#NAME?</v>
      </c>
      <c r="BK602" s="5">
        <v>10</v>
      </c>
      <c r="BL602" s="5">
        <v>10</v>
      </c>
      <c r="BM602" s="5">
        <v>10</v>
      </c>
      <c r="BN602" s="5">
        <v>10</v>
      </c>
      <c r="BO602" s="5">
        <v>10</v>
      </c>
      <c r="BP602" s="54">
        <f t="shared" si="144"/>
        <v>10</v>
      </c>
      <c r="BQ602" s="5"/>
      <c r="BR602" s="5"/>
      <c r="BS602" s="5">
        <v>10</v>
      </c>
      <c r="BT602" s="5">
        <v>10</v>
      </c>
      <c r="BU602" s="5">
        <v>10</v>
      </c>
      <c r="BV602" s="5">
        <v>10</v>
      </c>
      <c r="BW602" s="5">
        <v>10</v>
      </c>
      <c r="BX602" s="5">
        <v>10</v>
      </c>
      <c r="BY602" s="5">
        <v>10</v>
      </c>
      <c r="BZ602" s="5">
        <v>10</v>
      </c>
      <c r="CA602" s="5">
        <v>10</v>
      </c>
      <c r="CB602" s="5">
        <v>10</v>
      </c>
      <c r="CC602" s="2" t="e">
        <f t="shared" ca="1" si="140"/>
        <v>#NAME?</v>
      </c>
      <c r="CD602" s="55">
        <v>10</v>
      </c>
      <c r="CE602" s="2">
        <v>7</v>
      </c>
      <c r="CF602" s="2">
        <v>10</v>
      </c>
      <c r="CG602" s="2">
        <v>10</v>
      </c>
      <c r="CH602" s="2">
        <v>10</v>
      </c>
      <c r="CI602" s="2">
        <v>10</v>
      </c>
      <c r="CJ602" s="2">
        <v>10</v>
      </c>
      <c r="CK602" s="2">
        <v>10</v>
      </c>
      <c r="CL602" s="2">
        <v>10</v>
      </c>
      <c r="CM602" s="2">
        <v>10</v>
      </c>
      <c r="CN602" s="2">
        <v>10</v>
      </c>
      <c r="CO602" s="2">
        <v>10</v>
      </c>
      <c r="CP602" s="2" t="e">
        <f t="shared" ca="1" si="141"/>
        <v>#NAME?</v>
      </c>
      <c r="CQ602" s="2">
        <v>10</v>
      </c>
      <c r="CR602" s="2">
        <v>10</v>
      </c>
      <c r="CS602" s="2">
        <v>10</v>
      </c>
      <c r="CT602" s="2">
        <v>10</v>
      </c>
      <c r="CU602" s="2">
        <v>10</v>
      </c>
      <c r="CV602" s="54">
        <f t="shared" si="145"/>
        <v>10</v>
      </c>
      <c r="CW602" s="55"/>
      <c r="CX602" s="3"/>
    </row>
    <row r="603" spans="1:102" ht="16.5" x14ac:dyDescent="0.55000000000000004">
      <c r="A603" s="17">
        <v>2</v>
      </c>
      <c r="B603" s="17" t="s">
        <v>1190</v>
      </c>
      <c r="C603" s="23" t="s">
        <v>1250</v>
      </c>
      <c r="D603" s="24" t="s">
        <v>1251</v>
      </c>
      <c r="E603" s="48">
        <v>7</v>
      </c>
      <c r="F603" s="2">
        <v>8</v>
      </c>
      <c r="G603" s="2">
        <v>8</v>
      </c>
      <c r="H603" s="2">
        <v>8</v>
      </c>
      <c r="I603" s="2">
        <v>8</v>
      </c>
      <c r="J603" s="2">
        <v>9</v>
      </c>
      <c r="K603" s="2">
        <v>9</v>
      </c>
      <c r="L603" s="2">
        <v>8</v>
      </c>
      <c r="M603" s="2">
        <v>8</v>
      </c>
      <c r="N603" s="2">
        <v>8</v>
      </c>
      <c r="O603" s="2">
        <v>9</v>
      </c>
      <c r="P603" s="2">
        <v>9</v>
      </c>
      <c r="Q603" s="2" t="e">
        <f t="shared" ca="1" si="137"/>
        <v>#NAME?</v>
      </c>
      <c r="R603" s="2">
        <v>8</v>
      </c>
      <c r="S603" s="2">
        <v>8</v>
      </c>
      <c r="T603" s="2">
        <v>8</v>
      </c>
      <c r="U603" s="2">
        <v>9</v>
      </c>
      <c r="V603" s="2">
        <v>9</v>
      </c>
      <c r="W603" s="54">
        <f t="shared" si="142"/>
        <v>9</v>
      </c>
      <c r="X603" s="48">
        <v>7</v>
      </c>
      <c r="Y603" s="2">
        <v>8</v>
      </c>
      <c r="Z603" s="2"/>
      <c r="AA603" s="2">
        <v>10</v>
      </c>
      <c r="AB603" s="2">
        <v>10</v>
      </c>
      <c r="AC603" s="2">
        <v>10</v>
      </c>
      <c r="AD603" s="2">
        <v>10</v>
      </c>
      <c r="AE603" s="2">
        <v>10</v>
      </c>
      <c r="AF603" s="2">
        <v>10</v>
      </c>
      <c r="AG603" s="2">
        <v>10</v>
      </c>
      <c r="AH603" s="2">
        <v>10</v>
      </c>
      <c r="AI603" s="2">
        <v>10</v>
      </c>
      <c r="AJ603" s="2">
        <v>10</v>
      </c>
      <c r="AK603" s="3">
        <v>10</v>
      </c>
      <c r="AL603" s="3">
        <v>10</v>
      </c>
      <c r="AM603" s="3">
        <v>10</v>
      </c>
      <c r="AN603" s="3">
        <v>10</v>
      </c>
      <c r="AO603" s="3">
        <v>10</v>
      </c>
      <c r="AP603" s="3">
        <v>10</v>
      </c>
      <c r="AQ603" s="2" t="e">
        <f t="shared" ca="1" si="138"/>
        <v>#NAME?</v>
      </c>
      <c r="AR603" s="2">
        <v>10</v>
      </c>
      <c r="AS603" s="2">
        <v>10</v>
      </c>
      <c r="AT603" s="2">
        <v>9</v>
      </c>
      <c r="AU603" s="2">
        <v>10</v>
      </c>
      <c r="AV603" s="2">
        <v>10</v>
      </c>
      <c r="AW603" s="54">
        <f t="shared" si="143"/>
        <v>10</v>
      </c>
      <c r="AX603" s="48"/>
      <c r="AY603" s="2"/>
      <c r="AZ603" s="2">
        <v>4</v>
      </c>
      <c r="BA603" s="2">
        <v>5</v>
      </c>
      <c r="BB603" s="2">
        <v>5</v>
      </c>
      <c r="BC603" s="2">
        <v>6</v>
      </c>
      <c r="BD603" s="2">
        <v>6</v>
      </c>
      <c r="BE603" s="2">
        <v>7</v>
      </c>
      <c r="BF603" s="2">
        <v>7</v>
      </c>
      <c r="BG603" s="2">
        <v>8</v>
      </c>
      <c r="BH603" s="2">
        <v>8</v>
      </c>
      <c r="BI603" s="57">
        <v>8</v>
      </c>
      <c r="BJ603" s="2" t="e">
        <f t="shared" ca="1" si="139"/>
        <v>#NAME?</v>
      </c>
      <c r="BK603" s="5">
        <v>5</v>
      </c>
      <c r="BL603" s="5">
        <v>6</v>
      </c>
      <c r="BM603" s="5">
        <v>6</v>
      </c>
      <c r="BN603" s="5">
        <v>7</v>
      </c>
      <c r="BO603" s="5">
        <v>8</v>
      </c>
      <c r="BP603" s="54">
        <f t="shared" si="144"/>
        <v>7</v>
      </c>
      <c r="BQ603" s="5"/>
      <c r="BR603" s="5"/>
      <c r="BS603" s="5">
        <v>6</v>
      </c>
      <c r="BT603" s="5">
        <v>6</v>
      </c>
      <c r="BU603" s="5">
        <v>7</v>
      </c>
      <c r="BV603" s="5">
        <v>7</v>
      </c>
      <c r="BW603" s="5">
        <v>8</v>
      </c>
      <c r="BX603" s="5">
        <v>8</v>
      </c>
      <c r="BY603" s="5">
        <v>9</v>
      </c>
      <c r="BZ603" s="5">
        <v>9</v>
      </c>
      <c r="CA603" s="5">
        <v>10</v>
      </c>
      <c r="CB603" s="5">
        <v>10</v>
      </c>
      <c r="CC603" s="2" t="e">
        <f t="shared" ca="1" si="140"/>
        <v>#NAME?</v>
      </c>
      <c r="CD603" s="55">
        <v>0</v>
      </c>
      <c r="CE603" s="2">
        <v>6</v>
      </c>
      <c r="CF603" s="2">
        <v>10</v>
      </c>
      <c r="CG603" s="2">
        <v>10</v>
      </c>
      <c r="CH603" s="2">
        <v>10</v>
      </c>
      <c r="CI603" s="2">
        <v>10</v>
      </c>
      <c r="CJ603" s="2">
        <v>10</v>
      </c>
      <c r="CK603" s="2">
        <v>10</v>
      </c>
      <c r="CL603" s="2">
        <v>10</v>
      </c>
      <c r="CM603" s="2">
        <v>10</v>
      </c>
      <c r="CN603" s="2">
        <v>10</v>
      </c>
      <c r="CO603" s="2">
        <v>10</v>
      </c>
      <c r="CP603" s="2" t="e">
        <f t="shared" ca="1" si="141"/>
        <v>#NAME?</v>
      </c>
      <c r="CQ603" s="2">
        <v>10</v>
      </c>
      <c r="CR603" s="2">
        <v>10</v>
      </c>
      <c r="CS603" s="2">
        <v>10</v>
      </c>
      <c r="CT603" s="2">
        <v>10</v>
      </c>
      <c r="CU603" s="2">
        <v>10</v>
      </c>
      <c r="CV603" s="54">
        <f t="shared" si="145"/>
        <v>10</v>
      </c>
      <c r="CW603" s="55"/>
      <c r="CX603" s="3"/>
    </row>
    <row r="604" spans="1:102" ht="16.5" x14ac:dyDescent="0.55000000000000004">
      <c r="A604" s="17">
        <v>2</v>
      </c>
      <c r="B604" s="17" t="s">
        <v>1190</v>
      </c>
      <c r="C604" s="23" t="s">
        <v>1252</v>
      </c>
      <c r="D604" s="24" t="s">
        <v>1253</v>
      </c>
      <c r="E604" s="48">
        <v>7</v>
      </c>
      <c r="F604" s="2">
        <v>8</v>
      </c>
      <c r="G604" s="2">
        <v>8</v>
      </c>
      <c r="H604" s="2">
        <v>8</v>
      </c>
      <c r="I604" s="2">
        <v>8</v>
      </c>
      <c r="J604" s="2">
        <v>9</v>
      </c>
      <c r="K604" s="2">
        <v>9</v>
      </c>
      <c r="L604" s="2">
        <v>8</v>
      </c>
      <c r="M604" s="2">
        <v>8</v>
      </c>
      <c r="N604" s="2">
        <v>8</v>
      </c>
      <c r="O604" s="2">
        <v>9</v>
      </c>
      <c r="P604" s="2">
        <v>9</v>
      </c>
      <c r="Q604" s="2" t="e">
        <f t="shared" ca="1" si="137"/>
        <v>#NAME?</v>
      </c>
      <c r="R604" s="2">
        <v>8</v>
      </c>
      <c r="S604" s="2">
        <v>8</v>
      </c>
      <c r="T604" s="2">
        <v>8</v>
      </c>
      <c r="U604" s="2">
        <v>9</v>
      </c>
      <c r="V604" s="2">
        <v>9</v>
      </c>
      <c r="W604" s="54">
        <f t="shared" si="142"/>
        <v>9</v>
      </c>
      <c r="X604" s="48">
        <v>7</v>
      </c>
      <c r="Y604" s="2">
        <v>8</v>
      </c>
      <c r="Z604" s="2"/>
      <c r="AA604" s="2">
        <v>10</v>
      </c>
      <c r="AB604" s="2">
        <v>10</v>
      </c>
      <c r="AC604" s="2">
        <v>10</v>
      </c>
      <c r="AD604" s="2">
        <v>10</v>
      </c>
      <c r="AE604" s="2">
        <v>10</v>
      </c>
      <c r="AF604" s="2">
        <v>10</v>
      </c>
      <c r="AG604" s="2">
        <v>10</v>
      </c>
      <c r="AH604" s="2">
        <v>10</v>
      </c>
      <c r="AI604" s="2">
        <v>10</v>
      </c>
      <c r="AJ604" s="2">
        <v>10</v>
      </c>
      <c r="AK604" s="3">
        <v>10</v>
      </c>
      <c r="AL604" s="3">
        <v>10</v>
      </c>
      <c r="AM604" s="3">
        <v>10</v>
      </c>
      <c r="AN604" s="3">
        <v>10</v>
      </c>
      <c r="AO604" s="3">
        <v>10</v>
      </c>
      <c r="AP604" s="3">
        <v>10</v>
      </c>
      <c r="AQ604" s="2" t="e">
        <f t="shared" ca="1" si="138"/>
        <v>#NAME?</v>
      </c>
      <c r="AR604" s="2">
        <v>10</v>
      </c>
      <c r="AS604" s="2">
        <v>10</v>
      </c>
      <c r="AT604" s="2">
        <v>9</v>
      </c>
      <c r="AU604" s="2">
        <v>10</v>
      </c>
      <c r="AV604" s="2">
        <v>10</v>
      </c>
      <c r="AW604" s="54">
        <f t="shared" si="143"/>
        <v>10</v>
      </c>
      <c r="AX604" s="48"/>
      <c r="AY604" s="2"/>
      <c r="AZ604" s="2">
        <v>6</v>
      </c>
      <c r="BA604" s="2">
        <v>7</v>
      </c>
      <c r="BB604" s="2">
        <v>8</v>
      </c>
      <c r="BC604" s="2">
        <v>8</v>
      </c>
      <c r="BD604" s="2">
        <v>9</v>
      </c>
      <c r="BE604" s="2">
        <v>9</v>
      </c>
      <c r="BF604" s="2">
        <v>9</v>
      </c>
      <c r="BG604" s="2">
        <v>10</v>
      </c>
      <c r="BH604" s="2">
        <v>10</v>
      </c>
      <c r="BI604" s="2">
        <v>10</v>
      </c>
      <c r="BJ604" s="2" t="e">
        <f t="shared" ca="1" si="139"/>
        <v>#NAME?</v>
      </c>
      <c r="BK604" s="5">
        <v>7</v>
      </c>
      <c r="BL604" s="5">
        <v>8</v>
      </c>
      <c r="BM604" s="5">
        <v>8</v>
      </c>
      <c r="BN604" s="5">
        <v>9</v>
      </c>
      <c r="BO604" s="5">
        <v>9</v>
      </c>
      <c r="BP604" s="54">
        <f t="shared" si="144"/>
        <v>9</v>
      </c>
      <c r="BQ604" s="5"/>
      <c r="BR604" s="5"/>
      <c r="BS604" s="5">
        <v>6</v>
      </c>
      <c r="BT604" s="5">
        <v>7</v>
      </c>
      <c r="BU604" s="5">
        <v>7</v>
      </c>
      <c r="BV604" s="5">
        <v>8</v>
      </c>
      <c r="BW604" s="5">
        <v>8</v>
      </c>
      <c r="BX604" s="5">
        <v>10</v>
      </c>
      <c r="BY604" s="5">
        <v>8</v>
      </c>
      <c r="BZ604" s="5">
        <v>8</v>
      </c>
      <c r="CA604" s="5">
        <v>9</v>
      </c>
      <c r="CB604" s="5">
        <v>10</v>
      </c>
      <c r="CC604" s="2" t="e">
        <f t="shared" ca="1" si="140"/>
        <v>#NAME?</v>
      </c>
      <c r="CD604" s="55">
        <v>0</v>
      </c>
      <c r="CE604" s="2">
        <v>7</v>
      </c>
      <c r="CF604" s="2">
        <v>10</v>
      </c>
      <c r="CG604" s="2">
        <v>10</v>
      </c>
      <c r="CH604" s="2">
        <v>10</v>
      </c>
      <c r="CI604" s="2">
        <v>10</v>
      </c>
      <c r="CJ604" s="2">
        <v>10</v>
      </c>
      <c r="CK604" s="2">
        <v>10</v>
      </c>
      <c r="CL604" s="2">
        <v>10</v>
      </c>
      <c r="CM604" s="2">
        <v>10</v>
      </c>
      <c r="CN604" s="2">
        <v>10</v>
      </c>
      <c r="CO604" s="2">
        <v>10</v>
      </c>
      <c r="CP604" s="2" t="e">
        <f t="shared" ca="1" si="141"/>
        <v>#NAME?</v>
      </c>
      <c r="CQ604" s="2">
        <v>10</v>
      </c>
      <c r="CR604" s="2">
        <v>10</v>
      </c>
      <c r="CS604" s="2">
        <v>10</v>
      </c>
      <c r="CT604" s="2">
        <v>10</v>
      </c>
      <c r="CU604" s="2">
        <v>10</v>
      </c>
      <c r="CV604" s="54">
        <f t="shared" si="145"/>
        <v>10</v>
      </c>
      <c r="CW604" s="55"/>
      <c r="CX604" s="3"/>
    </row>
    <row r="605" spans="1:102" ht="16.5" x14ac:dyDescent="0.55000000000000004">
      <c r="A605" s="17">
        <v>2</v>
      </c>
      <c r="B605" s="17" t="s">
        <v>1190</v>
      </c>
      <c r="C605" s="23" t="s">
        <v>1254</v>
      </c>
      <c r="D605" s="24" t="s">
        <v>1255</v>
      </c>
      <c r="E605" s="48">
        <v>10</v>
      </c>
      <c r="F605" s="2">
        <v>9</v>
      </c>
      <c r="G605" s="2">
        <v>8</v>
      </c>
      <c r="H605" s="2">
        <v>8</v>
      </c>
      <c r="I605" s="2">
        <v>8</v>
      </c>
      <c r="J605" s="2">
        <v>9</v>
      </c>
      <c r="K605" s="2">
        <v>10</v>
      </c>
      <c r="L605" s="2">
        <v>8</v>
      </c>
      <c r="M605" s="2">
        <v>8</v>
      </c>
      <c r="N605" s="2">
        <v>8</v>
      </c>
      <c r="O605" s="2">
        <v>9</v>
      </c>
      <c r="P605" s="2">
        <v>10</v>
      </c>
      <c r="Q605" s="2" t="e">
        <f t="shared" ca="1" si="137"/>
        <v>#NAME?</v>
      </c>
      <c r="R605" s="2">
        <v>8</v>
      </c>
      <c r="S605" s="2">
        <v>8</v>
      </c>
      <c r="T605" s="2">
        <v>8</v>
      </c>
      <c r="U605" s="2">
        <v>9</v>
      </c>
      <c r="V605" s="2">
        <v>10</v>
      </c>
      <c r="W605" s="54">
        <f t="shared" si="142"/>
        <v>9</v>
      </c>
      <c r="X605" s="48">
        <v>10</v>
      </c>
      <c r="Y605" s="2">
        <v>9</v>
      </c>
      <c r="Z605" s="2"/>
      <c r="AA605" s="2">
        <v>9</v>
      </c>
      <c r="AB605" s="2">
        <v>10</v>
      </c>
      <c r="AC605" s="2">
        <v>10</v>
      </c>
      <c r="AD605" s="2">
        <v>10</v>
      </c>
      <c r="AE605" s="2">
        <v>10</v>
      </c>
      <c r="AF605" s="2">
        <v>9</v>
      </c>
      <c r="AG605" s="2">
        <v>10</v>
      </c>
      <c r="AH605" s="2">
        <v>10</v>
      </c>
      <c r="AI605" s="2">
        <v>10</v>
      </c>
      <c r="AJ605" s="2">
        <v>10</v>
      </c>
      <c r="AK605" s="3">
        <v>10</v>
      </c>
      <c r="AL605" s="3">
        <v>10</v>
      </c>
      <c r="AM605" s="3">
        <v>10</v>
      </c>
      <c r="AN605" s="3">
        <v>10</v>
      </c>
      <c r="AO605" s="3">
        <v>10</v>
      </c>
      <c r="AP605" s="3">
        <v>10</v>
      </c>
      <c r="AQ605" s="2" t="e">
        <f t="shared" ca="1" si="138"/>
        <v>#NAME?</v>
      </c>
      <c r="AR605" s="2">
        <v>10</v>
      </c>
      <c r="AS605" s="2">
        <v>9</v>
      </c>
      <c r="AT605" s="2">
        <v>10</v>
      </c>
      <c r="AU605" s="2">
        <v>9</v>
      </c>
      <c r="AV605" s="2">
        <v>9</v>
      </c>
      <c r="AW605" s="54">
        <f t="shared" si="143"/>
        <v>10</v>
      </c>
      <c r="AX605" s="48"/>
      <c r="AY605" s="2"/>
      <c r="AZ605" s="2">
        <v>10</v>
      </c>
      <c r="BA605" s="2">
        <v>10</v>
      </c>
      <c r="BB605" s="2">
        <v>10</v>
      </c>
      <c r="BC605" s="2">
        <v>10</v>
      </c>
      <c r="BD605" s="2">
        <v>10</v>
      </c>
      <c r="BE605" s="2">
        <v>10</v>
      </c>
      <c r="BF605" s="2">
        <v>10</v>
      </c>
      <c r="BG605" s="2">
        <v>10</v>
      </c>
      <c r="BH605" s="2">
        <v>10</v>
      </c>
      <c r="BI605" s="2">
        <v>10</v>
      </c>
      <c r="BJ605" s="2" t="e">
        <f t="shared" ca="1" si="139"/>
        <v>#NAME?</v>
      </c>
      <c r="BK605" s="2">
        <v>10</v>
      </c>
      <c r="BL605" s="2">
        <v>10</v>
      </c>
      <c r="BM605" s="2">
        <v>10</v>
      </c>
      <c r="BN605" s="2">
        <v>10</v>
      </c>
      <c r="BO605" s="2">
        <v>10</v>
      </c>
      <c r="BP605" s="54">
        <f t="shared" si="144"/>
        <v>10</v>
      </c>
      <c r="BQ605" s="5"/>
      <c r="BR605" s="5"/>
      <c r="BS605" s="5">
        <v>10</v>
      </c>
      <c r="BT605" s="5">
        <v>10</v>
      </c>
      <c r="BU605" s="5">
        <v>10</v>
      </c>
      <c r="BV605" s="5">
        <v>10</v>
      </c>
      <c r="BW605" s="5">
        <v>10</v>
      </c>
      <c r="BX605" s="5">
        <v>8</v>
      </c>
      <c r="BY605" s="5">
        <v>8</v>
      </c>
      <c r="BZ605" s="5">
        <v>9</v>
      </c>
      <c r="CA605" s="5">
        <v>9</v>
      </c>
      <c r="CB605" s="5">
        <v>10</v>
      </c>
      <c r="CC605" s="2" t="e">
        <f t="shared" ca="1" si="140"/>
        <v>#NAME?</v>
      </c>
      <c r="CD605" s="55">
        <v>0</v>
      </c>
      <c r="CE605" s="2">
        <v>6</v>
      </c>
      <c r="CF605" s="2">
        <v>10</v>
      </c>
      <c r="CG605" s="2">
        <v>10</v>
      </c>
      <c r="CH605" s="2">
        <v>10</v>
      </c>
      <c r="CI605" s="2">
        <v>10</v>
      </c>
      <c r="CJ605" s="2">
        <v>10</v>
      </c>
      <c r="CK605" s="2">
        <v>10</v>
      </c>
      <c r="CL605" s="2">
        <v>10</v>
      </c>
      <c r="CM605" s="2">
        <v>10</v>
      </c>
      <c r="CN605" s="2">
        <v>10</v>
      </c>
      <c r="CO605" s="2">
        <v>10</v>
      </c>
      <c r="CP605" s="2" t="e">
        <f t="shared" ca="1" si="141"/>
        <v>#NAME?</v>
      </c>
      <c r="CQ605" s="2">
        <v>10</v>
      </c>
      <c r="CR605" s="2">
        <v>10</v>
      </c>
      <c r="CS605" s="2">
        <v>10</v>
      </c>
      <c r="CT605" s="2">
        <v>10</v>
      </c>
      <c r="CU605" s="2">
        <v>10</v>
      </c>
      <c r="CV605" s="54">
        <f t="shared" si="145"/>
        <v>10</v>
      </c>
      <c r="CW605" s="55"/>
      <c r="CX605" s="3"/>
    </row>
    <row r="606" spans="1:102" ht="16.5" x14ac:dyDescent="0.55000000000000004">
      <c r="A606" s="17">
        <v>2</v>
      </c>
      <c r="B606" s="17" t="s">
        <v>1190</v>
      </c>
      <c r="C606" s="23" t="s">
        <v>1256</v>
      </c>
      <c r="D606" s="24" t="s">
        <v>1257</v>
      </c>
      <c r="E606" s="48">
        <v>5</v>
      </c>
      <c r="F606" s="2">
        <v>5</v>
      </c>
      <c r="G606" s="2">
        <v>5</v>
      </c>
      <c r="H606" s="2">
        <v>5</v>
      </c>
      <c r="I606" s="2">
        <v>5</v>
      </c>
      <c r="J606" s="2">
        <v>5</v>
      </c>
      <c r="K606" s="2">
        <v>5</v>
      </c>
      <c r="L606" s="2">
        <v>5</v>
      </c>
      <c r="M606" s="2">
        <v>5</v>
      </c>
      <c r="N606" s="2">
        <v>5</v>
      </c>
      <c r="O606" s="2">
        <v>5</v>
      </c>
      <c r="P606" s="2">
        <v>5</v>
      </c>
      <c r="Q606" s="2" t="e">
        <f t="shared" ca="1" si="137"/>
        <v>#NAME?</v>
      </c>
      <c r="R606" s="2">
        <v>5</v>
      </c>
      <c r="S606" s="2">
        <v>5</v>
      </c>
      <c r="T606" s="2">
        <v>5</v>
      </c>
      <c r="U606" s="2">
        <v>5</v>
      </c>
      <c r="V606" s="2">
        <v>5</v>
      </c>
      <c r="W606" s="54">
        <f t="shared" si="142"/>
        <v>5</v>
      </c>
      <c r="X606" s="48">
        <v>5</v>
      </c>
      <c r="Y606" s="2">
        <v>5</v>
      </c>
      <c r="Z606" s="2"/>
      <c r="AA606" s="2">
        <v>5</v>
      </c>
      <c r="AB606" s="2">
        <v>5</v>
      </c>
      <c r="AC606" s="2">
        <v>5</v>
      </c>
      <c r="AD606" s="2">
        <v>5</v>
      </c>
      <c r="AE606" s="2">
        <v>5</v>
      </c>
      <c r="AF606" s="2">
        <v>5</v>
      </c>
      <c r="AG606" s="2">
        <v>5</v>
      </c>
      <c r="AH606" s="2">
        <v>5</v>
      </c>
      <c r="AI606" s="2">
        <v>5</v>
      </c>
      <c r="AJ606" s="2">
        <v>5</v>
      </c>
      <c r="AK606" s="3">
        <v>10</v>
      </c>
      <c r="AL606" s="3">
        <v>10</v>
      </c>
      <c r="AM606" s="3">
        <v>10</v>
      </c>
      <c r="AN606" s="3">
        <v>10</v>
      </c>
      <c r="AO606" s="3">
        <v>10</v>
      </c>
      <c r="AP606" s="3">
        <v>10</v>
      </c>
      <c r="AQ606" s="2" t="e">
        <f t="shared" ca="1" si="138"/>
        <v>#NAME?</v>
      </c>
      <c r="AR606" s="2">
        <v>10</v>
      </c>
      <c r="AS606" s="2">
        <v>10</v>
      </c>
      <c r="AT606" s="2">
        <v>10</v>
      </c>
      <c r="AU606" s="2">
        <v>9</v>
      </c>
      <c r="AV606" s="2">
        <v>9</v>
      </c>
      <c r="AW606" s="54">
        <f t="shared" si="143"/>
        <v>10</v>
      </c>
      <c r="AX606" s="48"/>
      <c r="AY606" s="2"/>
      <c r="AZ606" s="2">
        <v>10</v>
      </c>
      <c r="BA606" s="2">
        <v>10</v>
      </c>
      <c r="BB606" s="2">
        <v>8</v>
      </c>
      <c r="BC606" s="2">
        <v>9</v>
      </c>
      <c r="BD606" s="2">
        <v>8</v>
      </c>
      <c r="BE606" s="2">
        <v>9</v>
      </c>
      <c r="BF606" s="2">
        <v>10</v>
      </c>
      <c r="BG606" s="2">
        <v>10</v>
      </c>
      <c r="BH606" s="2">
        <v>10</v>
      </c>
      <c r="BI606" s="2">
        <v>10</v>
      </c>
      <c r="BJ606" s="2" t="e">
        <f t="shared" ca="1" si="139"/>
        <v>#NAME?</v>
      </c>
      <c r="BK606" s="5">
        <v>10</v>
      </c>
      <c r="BL606" s="5">
        <v>9</v>
      </c>
      <c r="BM606" s="5">
        <v>8</v>
      </c>
      <c r="BN606" s="5">
        <v>10</v>
      </c>
      <c r="BO606" s="5">
        <v>10</v>
      </c>
      <c r="BP606" s="54">
        <f t="shared" si="144"/>
        <v>10</v>
      </c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2" t="e">
        <f t="shared" ca="1" si="140"/>
        <v>#NAME?</v>
      </c>
      <c r="CD606" s="55">
        <v>0</v>
      </c>
      <c r="CE606" s="2">
        <v>5</v>
      </c>
      <c r="CF606" s="2">
        <v>5</v>
      </c>
      <c r="CG606" s="2">
        <v>5</v>
      </c>
      <c r="CH606" s="2">
        <v>5</v>
      </c>
      <c r="CI606" s="2">
        <v>5</v>
      </c>
      <c r="CJ606" s="2">
        <v>5</v>
      </c>
      <c r="CK606" s="2">
        <v>5</v>
      </c>
      <c r="CL606" s="2">
        <v>5</v>
      </c>
      <c r="CM606" s="2">
        <v>5</v>
      </c>
      <c r="CN606" s="2">
        <v>5</v>
      </c>
      <c r="CO606" s="2">
        <v>5</v>
      </c>
      <c r="CP606" s="2" t="e">
        <f t="shared" ca="1" si="141"/>
        <v>#NAME?</v>
      </c>
      <c r="CQ606" s="2">
        <v>5</v>
      </c>
      <c r="CR606" s="2">
        <v>5</v>
      </c>
      <c r="CS606" s="2">
        <v>5</v>
      </c>
      <c r="CT606" s="2">
        <v>5</v>
      </c>
      <c r="CU606" s="2">
        <v>5</v>
      </c>
      <c r="CV606" s="54">
        <f t="shared" si="145"/>
        <v>5</v>
      </c>
      <c r="CW606" s="55"/>
      <c r="CX606" s="3"/>
    </row>
    <row r="607" spans="1:102" ht="16.5" x14ac:dyDescent="0.55000000000000004">
      <c r="A607" s="17">
        <v>2</v>
      </c>
      <c r="B607" s="17" t="s">
        <v>1190</v>
      </c>
      <c r="C607" s="23" t="s">
        <v>1258</v>
      </c>
      <c r="D607" s="24" t="s">
        <v>1259</v>
      </c>
      <c r="E607" s="48">
        <v>8</v>
      </c>
      <c r="F607" s="2">
        <v>9</v>
      </c>
      <c r="G607" s="2">
        <v>10</v>
      </c>
      <c r="H607" s="2">
        <v>10</v>
      </c>
      <c r="I607" s="2">
        <v>8</v>
      </c>
      <c r="J607" s="2">
        <v>8</v>
      </c>
      <c r="K607" s="2">
        <v>10</v>
      </c>
      <c r="L607" s="2">
        <v>10</v>
      </c>
      <c r="M607" s="2">
        <v>8</v>
      </c>
      <c r="N607" s="2">
        <v>8</v>
      </c>
      <c r="O607" s="2">
        <v>10</v>
      </c>
      <c r="P607" s="2">
        <v>10</v>
      </c>
      <c r="Q607" s="2" t="e">
        <f t="shared" ca="1" si="137"/>
        <v>#NAME?</v>
      </c>
      <c r="R607" s="2">
        <v>10</v>
      </c>
      <c r="S607" s="2">
        <v>10</v>
      </c>
      <c r="T607" s="2">
        <v>9</v>
      </c>
      <c r="U607" s="2">
        <v>10</v>
      </c>
      <c r="V607" s="2">
        <v>10</v>
      </c>
      <c r="W607" s="54">
        <f t="shared" si="142"/>
        <v>10</v>
      </c>
      <c r="X607" s="48">
        <v>8</v>
      </c>
      <c r="Y607" s="2">
        <v>9</v>
      </c>
      <c r="Z607" s="2"/>
      <c r="AA607" s="2">
        <v>10</v>
      </c>
      <c r="AB607" s="2">
        <v>10</v>
      </c>
      <c r="AC607" s="2">
        <v>10</v>
      </c>
      <c r="AD607" s="2">
        <v>10</v>
      </c>
      <c r="AE607" s="2">
        <v>10</v>
      </c>
      <c r="AF607" s="2">
        <v>10</v>
      </c>
      <c r="AG607" s="2">
        <v>10</v>
      </c>
      <c r="AH607" s="2">
        <v>10</v>
      </c>
      <c r="AI607" s="2">
        <v>10</v>
      </c>
      <c r="AJ607" s="2">
        <v>10</v>
      </c>
      <c r="AK607" s="3">
        <v>10</v>
      </c>
      <c r="AL607" s="3">
        <v>10</v>
      </c>
      <c r="AM607" s="3">
        <v>10</v>
      </c>
      <c r="AN607" s="3">
        <v>10</v>
      </c>
      <c r="AO607" s="3">
        <v>10</v>
      </c>
      <c r="AP607" s="3">
        <v>10</v>
      </c>
      <c r="AQ607" s="2" t="e">
        <f t="shared" ca="1" si="138"/>
        <v>#NAME?</v>
      </c>
      <c r="AR607" s="2">
        <v>10</v>
      </c>
      <c r="AS607" s="2">
        <v>10</v>
      </c>
      <c r="AT607" s="2">
        <v>10</v>
      </c>
      <c r="AU607" s="2">
        <v>10</v>
      </c>
      <c r="AV607" s="2">
        <v>10</v>
      </c>
      <c r="AW607" s="54">
        <f t="shared" si="143"/>
        <v>10</v>
      </c>
      <c r="AX607" s="48"/>
      <c r="AY607" s="2"/>
      <c r="AZ607" s="2">
        <v>10</v>
      </c>
      <c r="BA607" s="2">
        <v>10</v>
      </c>
      <c r="BB607" s="2">
        <v>10</v>
      </c>
      <c r="BC607" s="2">
        <v>10</v>
      </c>
      <c r="BD607" s="2">
        <v>10</v>
      </c>
      <c r="BE607" s="2">
        <v>10</v>
      </c>
      <c r="BF607" s="2">
        <v>10</v>
      </c>
      <c r="BG607" s="2">
        <v>10</v>
      </c>
      <c r="BH607" s="2">
        <v>10</v>
      </c>
      <c r="BI607" s="2">
        <v>10</v>
      </c>
      <c r="BJ607" s="2" t="e">
        <f t="shared" ca="1" si="139"/>
        <v>#NAME?</v>
      </c>
      <c r="BK607" s="5">
        <v>10</v>
      </c>
      <c r="BL607" s="5">
        <v>10</v>
      </c>
      <c r="BM607" s="5">
        <v>10</v>
      </c>
      <c r="BN607" s="5">
        <v>10</v>
      </c>
      <c r="BO607" s="5">
        <v>10</v>
      </c>
      <c r="BP607" s="54">
        <f t="shared" si="144"/>
        <v>10</v>
      </c>
      <c r="BQ607" s="5"/>
      <c r="BR607" s="5"/>
      <c r="BS607" s="5">
        <v>10</v>
      </c>
      <c r="BT607" s="5">
        <v>10</v>
      </c>
      <c r="BU607" s="5">
        <v>10</v>
      </c>
      <c r="BV607" s="5">
        <v>10</v>
      </c>
      <c r="BW607" s="5">
        <v>10</v>
      </c>
      <c r="BX607" s="5">
        <v>8</v>
      </c>
      <c r="BY607" s="5">
        <v>9</v>
      </c>
      <c r="BZ607" s="5">
        <v>9</v>
      </c>
      <c r="CA607" s="5">
        <v>10</v>
      </c>
      <c r="CB607" s="5">
        <v>10</v>
      </c>
      <c r="CC607" s="2" t="e">
        <f t="shared" ca="1" si="140"/>
        <v>#NAME?</v>
      </c>
      <c r="CD607" s="55">
        <v>10</v>
      </c>
      <c r="CE607" s="2">
        <v>9</v>
      </c>
      <c r="CF607" s="2">
        <v>10</v>
      </c>
      <c r="CG607" s="2">
        <v>10</v>
      </c>
      <c r="CH607" s="2">
        <v>10</v>
      </c>
      <c r="CI607" s="2">
        <v>10</v>
      </c>
      <c r="CJ607" s="2">
        <v>10</v>
      </c>
      <c r="CK607" s="2">
        <v>10</v>
      </c>
      <c r="CL607" s="2">
        <v>10</v>
      </c>
      <c r="CM607" s="2">
        <v>10</v>
      </c>
      <c r="CN607" s="2">
        <v>10</v>
      </c>
      <c r="CO607" s="2">
        <v>10</v>
      </c>
      <c r="CP607" s="2" t="e">
        <f t="shared" ca="1" si="141"/>
        <v>#NAME?</v>
      </c>
      <c r="CQ607" s="2">
        <v>10</v>
      </c>
      <c r="CR607" s="2">
        <v>10</v>
      </c>
      <c r="CS607" s="2">
        <v>10</v>
      </c>
      <c r="CT607" s="2">
        <v>10</v>
      </c>
      <c r="CU607" s="2">
        <v>10</v>
      </c>
      <c r="CV607" s="54">
        <f t="shared" si="145"/>
        <v>10</v>
      </c>
      <c r="CW607" s="55"/>
      <c r="CX607" s="3"/>
    </row>
    <row r="608" spans="1:102" ht="16.5" x14ac:dyDescent="0.55000000000000004">
      <c r="A608" s="17">
        <v>3</v>
      </c>
      <c r="B608" s="17" t="s">
        <v>1190</v>
      </c>
      <c r="C608" s="23" t="s">
        <v>1260</v>
      </c>
      <c r="D608" s="24" t="s">
        <v>1261</v>
      </c>
      <c r="E608" s="48">
        <v>9</v>
      </c>
      <c r="F608" s="2">
        <v>8</v>
      </c>
      <c r="G608" s="2">
        <v>7</v>
      </c>
      <c r="H608" s="2">
        <v>8</v>
      </c>
      <c r="I608" s="2">
        <v>8</v>
      </c>
      <c r="J608" s="2">
        <v>10</v>
      </c>
      <c r="K608" s="2">
        <v>10</v>
      </c>
      <c r="L608" s="2">
        <v>8</v>
      </c>
      <c r="M608" s="2">
        <v>8</v>
      </c>
      <c r="N608" s="2">
        <v>10</v>
      </c>
      <c r="O608" s="2">
        <v>10</v>
      </c>
      <c r="P608" s="2">
        <v>10</v>
      </c>
      <c r="Q608" s="2" t="e">
        <f t="shared" ca="1" si="137"/>
        <v>#NAME?</v>
      </c>
      <c r="R608" s="2">
        <v>7</v>
      </c>
      <c r="S608" s="2">
        <v>8</v>
      </c>
      <c r="T608" s="2">
        <v>8</v>
      </c>
      <c r="U608" s="2">
        <v>10</v>
      </c>
      <c r="V608" s="2">
        <v>10</v>
      </c>
      <c r="W608" s="54">
        <f t="shared" si="142"/>
        <v>9</v>
      </c>
      <c r="X608" s="48">
        <v>9</v>
      </c>
      <c r="Y608" s="2">
        <v>8</v>
      </c>
      <c r="Z608" s="2"/>
      <c r="AA608" s="2">
        <v>10</v>
      </c>
      <c r="AB608" s="2">
        <v>10</v>
      </c>
      <c r="AC608" s="2">
        <v>10</v>
      </c>
      <c r="AD608" s="2">
        <v>10</v>
      </c>
      <c r="AE608" s="2">
        <v>10</v>
      </c>
      <c r="AF608" s="2">
        <v>10</v>
      </c>
      <c r="AG608" s="2">
        <v>10</v>
      </c>
      <c r="AH608" s="2">
        <v>10</v>
      </c>
      <c r="AI608" s="2">
        <v>10</v>
      </c>
      <c r="AJ608" s="2">
        <v>10</v>
      </c>
      <c r="AK608" s="3">
        <v>10</v>
      </c>
      <c r="AL608" s="3">
        <v>10</v>
      </c>
      <c r="AM608" s="3">
        <v>10</v>
      </c>
      <c r="AN608" s="3">
        <v>10</v>
      </c>
      <c r="AO608" s="3">
        <v>10</v>
      </c>
      <c r="AP608" s="3">
        <v>10</v>
      </c>
      <c r="AQ608" s="2" t="e">
        <f t="shared" ca="1" si="138"/>
        <v>#NAME?</v>
      </c>
      <c r="AR608" s="2">
        <v>10</v>
      </c>
      <c r="AS608" s="2">
        <v>10</v>
      </c>
      <c r="AT608" s="2">
        <v>10</v>
      </c>
      <c r="AU608" s="2">
        <v>10</v>
      </c>
      <c r="AV608" s="2">
        <v>10</v>
      </c>
      <c r="AW608" s="54">
        <f t="shared" si="143"/>
        <v>10</v>
      </c>
      <c r="AX608" s="48"/>
      <c r="AY608" s="2"/>
      <c r="AZ608" s="2">
        <v>7</v>
      </c>
      <c r="BA608" s="2">
        <v>8</v>
      </c>
      <c r="BB608" s="2">
        <v>9</v>
      </c>
      <c r="BC608" s="2">
        <v>10</v>
      </c>
      <c r="BD608" s="2">
        <v>10</v>
      </c>
      <c r="BE608" s="2">
        <v>10</v>
      </c>
      <c r="BF608" s="2">
        <v>10</v>
      </c>
      <c r="BG608" s="2">
        <v>10</v>
      </c>
      <c r="BH608" s="2">
        <v>10</v>
      </c>
      <c r="BI608" s="2">
        <v>10</v>
      </c>
      <c r="BJ608" s="2" t="e">
        <f t="shared" ca="1" si="139"/>
        <v>#NAME?</v>
      </c>
      <c r="BK608" s="5">
        <v>10</v>
      </c>
      <c r="BL608" s="5">
        <v>10</v>
      </c>
      <c r="BM608" s="5">
        <v>10</v>
      </c>
      <c r="BN608" s="5">
        <v>10</v>
      </c>
      <c r="BO608" s="5">
        <v>10</v>
      </c>
      <c r="BP608" s="54">
        <f t="shared" si="144"/>
        <v>10</v>
      </c>
      <c r="BQ608" s="5"/>
      <c r="BR608" s="5"/>
      <c r="BS608" s="5">
        <v>10</v>
      </c>
      <c r="BT608" s="5">
        <v>10</v>
      </c>
      <c r="BU608" s="5">
        <v>10</v>
      </c>
      <c r="BV608" s="5">
        <v>10</v>
      </c>
      <c r="BW608" s="5">
        <v>8</v>
      </c>
      <c r="BX608" s="5">
        <v>7</v>
      </c>
      <c r="BY608" s="5">
        <v>8</v>
      </c>
      <c r="BZ608" s="5">
        <v>9</v>
      </c>
      <c r="CA608" s="5">
        <v>10</v>
      </c>
      <c r="CB608" s="5">
        <v>10</v>
      </c>
      <c r="CC608" s="2" t="e">
        <f t="shared" ca="1" si="140"/>
        <v>#NAME?</v>
      </c>
      <c r="CD608" s="55">
        <v>0</v>
      </c>
      <c r="CE608" s="2">
        <v>7</v>
      </c>
      <c r="CF608" s="2">
        <v>10</v>
      </c>
      <c r="CG608" s="2">
        <v>10</v>
      </c>
      <c r="CH608" s="2">
        <v>10</v>
      </c>
      <c r="CI608" s="2">
        <v>10</v>
      </c>
      <c r="CJ608" s="2">
        <v>10</v>
      </c>
      <c r="CK608" s="2">
        <v>10</v>
      </c>
      <c r="CL608" s="2">
        <v>10</v>
      </c>
      <c r="CM608" s="2">
        <v>10</v>
      </c>
      <c r="CN608" s="2">
        <v>10</v>
      </c>
      <c r="CO608" s="2">
        <v>10</v>
      </c>
      <c r="CP608" s="2" t="e">
        <f t="shared" ca="1" si="141"/>
        <v>#NAME?</v>
      </c>
      <c r="CQ608" s="2">
        <v>10</v>
      </c>
      <c r="CR608" s="2">
        <v>10</v>
      </c>
      <c r="CS608" s="2">
        <v>10</v>
      </c>
      <c r="CT608" s="2">
        <v>10</v>
      </c>
      <c r="CU608" s="2">
        <v>10</v>
      </c>
      <c r="CV608" s="54">
        <f t="shared" si="145"/>
        <v>10</v>
      </c>
      <c r="CW608" s="55"/>
      <c r="CX608" s="3"/>
    </row>
    <row r="609" spans="1:102" ht="16.5" x14ac:dyDescent="0.55000000000000004">
      <c r="A609" s="17">
        <v>3</v>
      </c>
      <c r="B609" s="17" t="s">
        <v>1190</v>
      </c>
      <c r="C609" s="23" t="s">
        <v>1262</v>
      </c>
      <c r="D609" s="24" t="s">
        <v>1263</v>
      </c>
      <c r="E609" s="48">
        <v>9</v>
      </c>
      <c r="F609" s="2">
        <v>10</v>
      </c>
      <c r="G609" s="2">
        <v>10</v>
      </c>
      <c r="H609" s="2">
        <v>10</v>
      </c>
      <c r="I609" s="2">
        <v>9</v>
      </c>
      <c r="J609" s="2">
        <v>9</v>
      </c>
      <c r="K609" s="2">
        <v>10</v>
      </c>
      <c r="L609" s="2">
        <v>10</v>
      </c>
      <c r="M609" s="2">
        <v>9</v>
      </c>
      <c r="N609" s="2">
        <v>9</v>
      </c>
      <c r="O609" s="2">
        <v>10</v>
      </c>
      <c r="P609" s="2">
        <v>10</v>
      </c>
      <c r="Q609" s="2" t="e">
        <f t="shared" ca="1" si="137"/>
        <v>#NAME?</v>
      </c>
      <c r="R609" s="2">
        <v>10</v>
      </c>
      <c r="S609" s="2">
        <v>10</v>
      </c>
      <c r="T609" s="2">
        <v>10</v>
      </c>
      <c r="U609" s="2">
        <v>10</v>
      </c>
      <c r="V609" s="2">
        <v>10</v>
      </c>
      <c r="W609" s="54">
        <f t="shared" si="142"/>
        <v>10</v>
      </c>
      <c r="X609" s="48">
        <v>9</v>
      </c>
      <c r="Y609" s="2">
        <v>10</v>
      </c>
      <c r="Z609" s="2"/>
      <c r="AA609" s="2">
        <v>5</v>
      </c>
      <c r="AB609" s="2">
        <v>5</v>
      </c>
      <c r="AC609" s="2">
        <v>5</v>
      </c>
      <c r="AD609" s="2">
        <v>5</v>
      </c>
      <c r="AE609" s="2">
        <v>5</v>
      </c>
      <c r="AF609" s="2">
        <v>5</v>
      </c>
      <c r="AG609" s="2">
        <v>5</v>
      </c>
      <c r="AH609" s="2">
        <v>5</v>
      </c>
      <c r="AI609" s="2">
        <v>5</v>
      </c>
      <c r="AJ609" s="2">
        <v>5</v>
      </c>
      <c r="AK609" s="3">
        <v>10</v>
      </c>
      <c r="AL609" s="3">
        <v>10</v>
      </c>
      <c r="AM609" s="3">
        <v>10</v>
      </c>
      <c r="AN609" s="3">
        <v>10</v>
      </c>
      <c r="AO609" s="3">
        <v>10</v>
      </c>
      <c r="AP609" s="3">
        <v>10</v>
      </c>
      <c r="AQ609" s="2" t="e">
        <f t="shared" ca="1" si="138"/>
        <v>#NAME?</v>
      </c>
      <c r="AR609" s="2">
        <v>10</v>
      </c>
      <c r="AS609" s="2">
        <v>10</v>
      </c>
      <c r="AT609" s="2">
        <v>10</v>
      </c>
      <c r="AU609" s="2">
        <v>9</v>
      </c>
      <c r="AV609" s="2">
        <v>9</v>
      </c>
      <c r="AW609" s="54">
        <f t="shared" si="143"/>
        <v>10</v>
      </c>
      <c r="AX609" s="48"/>
      <c r="AY609" s="2"/>
      <c r="AZ609" s="2">
        <v>10</v>
      </c>
      <c r="BA609" s="2">
        <v>10</v>
      </c>
      <c r="BB609" s="2">
        <v>7</v>
      </c>
      <c r="BC609" s="2">
        <v>7</v>
      </c>
      <c r="BD609" s="2">
        <v>8</v>
      </c>
      <c r="BE609" s="2">
        <v>8</v>
      </c>
      <c r="BF609" s="2">
        <v>9</v>
      </c>
      <c r="BG609" s="2">
        <v>9</v>
      </c>
      <c r="BH609" s="2">
        <v>10</v>
      </c>
      <c r="BI609" s="57">
        <v>10</v>
      </c>
      <c r="BJ609" s="2" t="e">
        <f t="shared" ca="1" si="139"/>
        <v>#NAME?</v>
      </c>
      <c r="BK609" s="5">
        <v>10</v>
      </c>
      <c r="BL609" s="5">
        <v>10</v>
      </c>
      <c r="BM609" s="5">
        <v>10</v>
      </c>
      <c r="BN609" s="5">
        <v>10</v>
      </c>
      <c r="BO609" s="5">
        <v>10</v>
      </c>
      <c r="BP609" s="54">
        <f t="shared" si="144"/>
        <v>10</v>
      </c>
      <c r="BQ609" s="5"/>
      <c r="BR609" s="5"/>
      <c r="BS609" s="5">
        <v>8</v>
      </c>
      <c r="BT609" s="5">
        <v>9</v>
      </c>
      <c r="BU609" s="5">
        <v>10</v>
      </c>
      <c r="BV609" s="5">
        <v>10</v>
      </c>
      <c r="BW609" s="5">
        <v>10</v>
      </c>
      <c r="BX609" s="5">
        <v>7</v>
      </c>
      <c r="BY609" s="5">
        <v>8</v>
      </c>
      <c r="BZ609" s="5">
        <v>9</v>
      </c>
      <c r="CA609" s="5">
        <v>10</v>
      </c>
      <c r="CB609" s="5">
        <v>10</v>
      </c>
      <c r="CC609" s="2" t="e">
        <f t="shared" ca="1" si="140"/>
        <v>#NAME?</v>
      </c>
      <c r="CD609" s="55">
        <v>10</v>
      </c>
      <c r="CE609" s="2">
        <v>9</v>
      </c>
      <c r="CF609" s="2">
        <v>10</v>
      </c>
      <c r="CG609" s="2">
        <v>10</v>
      </c>
      <c r="CH609" s="2">
        <v>10</v>
      </c>
      <c r="CI609" s="2">
        <v>10</v>
      </c>
      <c r="CJ609" s="2">
        <v>10</v>
      </c>
      <c r="CK609" s="2">
        <v>10</v>
      </c>
      <c r="CL609" s="2">
        <v>10</v>
      </c>
      <c r="CM609" s="2">
        <v>10</v>
      </c>
      <c r="CN609" s="2">
        <v>10</v>
      </c>
      <c r="CO609" s="2">
        <v>10</v>
      </c>
      <c r="CP609" s="2" t="e">
        <f t="shared" ca="1" si="141"/>
        <v>#NAME?</v>
      </c>
      <c r="CQ609" s="2">
        <v>10</v>
      </c>
      <c r="CR609" s="2">
        <v>10</v>
      </c>
      <c r="CS609" s="2">
        <v>10</v>
      </c>
      <c r="CT609" s="2">
        <v>10</v>
      </c>
      <c r="CU609" s="2">
        <v>10</v>
      </c>
      <c r="CV609" s="54">
        <f t="shared" si="145"/>
        <v>10</v>
      </c>
      <c r="CW609" s="55"/>
      <c r="CX609" s="3"/>
    </row>
    <row r="610" spans="1:102" ht="16.5" x14ac:dyDescent="0.55000000000000004">
      <c r="A610" s="17">
        <v>3</v>
      </c>
      <c r="B610" s="17" t="s">
        <v>1190</v>
      </c>
      <c r="C610" s="23" t="s">
        <v>1264</v>
      </c>
      <c r="D610" s="24" t="s">
        <v>1265</v>
      </c>
      <c r="E610" s="48">
        <v>9</v>
      </c>
      <c r="F610" s="2">
        <v>10</v>
      </c>
      <c r="G610" s="2">
        <v>7</v>
      </c>
      <c r="H610" s="2">
        <v>7</v>
      </c>
      <c r="I610" s="2">
        <v>8</v>
      </c>
      <c r="J610" s="2">
        <v>8</v>
      </c>
      <c r="K610" s="2">
        <v>8</v>
      </c>
      <c r="L610" s="2">
        <v>7</v>
      </c>
      <c r="M610" s="2">
        <v>8</v>
      </c>
      <c r="N610" s="2">
        <v>8</v>
      </c>
      <c r="O610" s="2">
        <v>8</v>
      </c>
      <c r="P610" s="2">
        <v>8</v>
      </c>
      <c r="Q610" s="2" t="e">
        <f t="shared" ca="1" si="137"/>
        <v>#NAME?</v>
      </c>
      <c r="R610" s="2">
        <v>8</v>
      </c>
      <c r="S610" s="2">
        <v>8</v>
      </c>
      <c r="T610" s="2">
        <v>8</v>
      </c>
      <c r="U610" s="2">
        <v>10</v>
      </c>
      <c r="V610" s="2">
        <v>10</v>
      </c>
      <c r="W610" s="54">
        <f t="shared" si="142"/>
        <v>9</v>
      </c>
      <c r="X610" s="48">
        <v>9</v>
      </c>
      <c r="Y610" s="2">
        <v>10</v>
      </c>
      <c r="Z610" s="2"/>
      <c r="AA610" s="2">
        <v>5</v>
      </c>
      <c r="AB610" s="2">
        <v>5</v>
      </c>
      <c r="AC610" s="2">
        <v>5</v>
      </c>
      <c r="AD610" s="2">
        <v>5</v>
      </c>
      <c r="AE610" s="2">
        <v>5</v>
      </c>
      <c r="AF610" s="2">
        <v>5</v>
      </c>
      <c r="AG610" s="2">
        <v>5</v>
      </c>
      <c r="AH610" s="2">
        <v>5</v>
      </c>
      <c r="AI610" s="2">
        <v>5</v>
      </c>
      <c r="AJ610" s="2">
        <v>5</v>
      </c>
      <c r="AK610" s="3">
        <v>10</v>
      </c>
      <c r="AL610" s="3">
        <v>10</v>
      </c>
      <c r="AM610" s="3">
        <v>10</v>
      </c>
      <c r="AN610" s="3">
        <v>10</v>
      </c>
      <c r="AO610" s="3">
        <v>10</v>
      </c>
      <c r="AP610" s="3">
        <v>10</v>
      </c>
      <c r="AQ610" s="2" t="e">
        <f t="shared" ca="1" si="138"/>
        <v>#NAME?</v>
      </c>
      <c r="AR610" s="2">
        <v>10</v>
      </c>
      <c r="AS610" s="2">
        <v>10</v>
      </c>
      <c r="AT610" s="2">
        <v>10</v>
      </c>
      <c r="AU610" s="2">
        <v>9</v>
      </c>
      <c r="AV610" s="2">
        <v>9</v>
      </c>
      <c r="AW610" s="54">
        <f t="shared" si="143"/>
        <v>10</v>
      </c>
      <c r="AX610" s="48"/>
      <c r="AY610" s="2"/>
      <c r="AZ610" s="2">
        <v>10</v>
      </c>
      <c r="BA610" s="2">
        <v>10</v>
      </c>
      <c r="BB610" s="2">
        <v>10</v>
      </c>
      <c r="BC610" s="2">
        <v>10</v>
      </c>
      <c r="BD610" s="2">
        <v>10</v>
      </c>
      <c r="BE610" s="2">
        <v>10</v>
      </c>
      <c r="BF610" s="2">
        <v>10</v>
      </c>
      <c r="BG610" s="2">
        <v>10</v>
      </c>
      <c r="BH610" s="2">
        <v>10</v>
      </c>
      <c r="BI610" s="2">
        <v>10</v>
      </c>
      <c r="BJ610" s="2" t="e">
        <f t="shared" ca="1" si="139"/>
        <v>#NAME?</v>
      </c>
      <c r="BK610" s="5">
        <v>10</v>
      </c>
      <c r="BL610" s="5">
        <v>10</v>
      </c>
      <c r="BM610" s="5">
        <v>10</v>
      </c>
      <c r="BN610" s="5">
        <v>10</v>
      </c>
      <c r="BO610" s="5">
        <v>10</v>
      </c>
      <c r="BP610" s="54">
        <f t="shared" si="144"/>
        <v>10</v>
      </c>
      <c r="BQ610" s="5"/>
      <c r="BR610" s="5"/>
      <c r="BS610" s="5">
        <v>10</v>
      </c>
      <c r="BT610" s="5">
        <v>10</v>
      </c>
      <c r="BU610" s="5">
        <v>10</v>
      </c>
      <c r="BV610" s="5">
        <v>8</v>
      </c>
      <c r="BW610" s="5">
        <v>10</v>
      </c>
      <c r="BX610" s="5">
        <v>10</v>
      </c>
      <c r="BY610" s="5">
        <v>7</v>
      </c>
      <c r="BZ610" s="5">
        <v>8</v>
      </c>
      <c r="CA610" s="5">
        <v>9</v>
      </c>
      <c r="CB610" s="5">
        <v>10</v>
      </c>
      <c r="CC610" s="2" t="e">
        <f t="shared" ca="1" si="140"/>
        <v>#NAME?</v>
      </c>
      <c r="CD610" s="55">
        <v>0</v>
      </c>
      <c r="CE610" s="2">
        <v>5</v>
      </c>
      <c r="CF610" s="2">
        <v>5</v>
      </c>
      <c r="CG610" s="2">
        <v>5</v>
      </c>
      <c r="CH610" s="2">
        <v>5</v>
      </c>
      <c r="CI610" s="2">
        <v>5</v>
      </c>
      <c r="CJ610" s="2">
        <v>5</v>
      </c>
      <c r="CK610" s="2">
        <v>5</v>
      </c>
      <c r="CL610" s="2">
        <v>5</v>
      </c>
      <c r="CM610" s="2">
        <v>5</v>
      </c>
      <c r="CN610" s="2">
        <v>5</v>
      </c>
      <c r="CO610" s="2">
        <v>5</v>
      </c>
      <c r="CP610" s="2" t="e">
        <f t="shared" ca="1" si="141"/>
        <v>#NAME?</v>
      </c>
      <c r="CQ610" s="2">
        <v>5</v>
      </c>
      <c r="CR610" s="2">
        <v>5</v>
      </c>
      <c r="CS610" s="2">
        <v>5</v>
      </c>
      <c r="CT610" s="2">
        <v>5</v>
      </c>
      <c r="CU610" s="2">
        <v>5</v>
      </c>
      <c r="CV610" s="54">
        <f t="shared" si="145"/>
        <v>5</v>
      </c>
      <c r="CW610" s="55"/>
      <c r="CX610" s="3"/>
    </row>
    <row r="611" spans="1:102" ht="16.5" x14ac:dyDescent="0.55000000000000004">
      <c r="A611" s="17">
        <v>3</v>
      </c>
      <c r="B611" s="17" t="s">
        <v>1190</v>
      </c>
      <c r="C611" s="23" t="s">
        <v>1266</v>
      </c>
      <c r="D611" s="24" t="s">
        <v>1267</v>
      </c>
      <c r="E611" s="48">
        <v>7</v>
      </c>
      <c r="F611" s="2">
        <v>8</v>
      </c>
      <c r="G611" s="2">
        <v>10</v>
      </c>
      <c r="H611" s="2">
        <v>10</v>
      </c>
      <c r="I611" s="2">
        <v>8</v>
      </c>
      <c r="J611" s="2">
        <v>9</v>
      </c>
      <c r="K611" s="2">
        <v>10</v>
      </c>
      <c r="L611" s="2">
        <v>10</v>
      </c>
      <c r="M611" s="2">
        <v>8</v>
      </c>
      <c r="N611" s="2">
        <v>9</v>
      </c>
      <c r="O611" s="2">
        <v>10</v>
      </c>
      <c r="P611" s="2">
        <v>10</v>
      </c>
      <c r="Q611" s="2" t="e">
        <f t="shared" ca="1" si="137"/>
        <v>#NAME?</v>
      </c>
      <c r="R611" s="2">
        <v>9</v>
      </c>
      <c r="S611" s="2">
        <v>8</v>
      </c>
      <c r="T611" s="2">
        <v>10</v>
      </c>
      <c r="U611" s="2">
        <v>10</v>
      </c>
      <c r="V611" s="2">
        <v>10</v>
      </c>
      <c r="W611" s="54">
        <f t="shared" si="142"/>
        <v>10</v>
      </c>
      <c r="X611" s="48">
        <v>7</v>
      </c>
      <c r="Y611" s="2">
        <v>8</v>
      </c>
      <c r="Z611" s="2"/>
      <c r="AA611" s="2">
        <v>5</v>
      </c>
      <c r="AB611" s="2">
        <v>5</v>
      </c>
      <c r="AC611" s="2">
        <v>5</v>
      </c>
      <c r="AD611" s="2">
        <v>5</v>
      </c>
      <c r="AE611" s="2">
        <v>5</v>
      </c>
      <c r="AF611" s="2">
        <v>5</v>
      </c>
      <c r="AG611" s="2">
        <v>5</v>
      </c>
      <c r="AH611" s="2">
        <v>5</v>
      </c>
      <c r="AI611" s="2">
        <v>5</v>
      </c>
      <c r="AJ611" s="2">
        <v>5</v>
      </c>
      <c r="AK611" s="3">
        <v>10</v>
      </c>
      <c r="AL611" s="3">
        <v>10</v>
      </c>
      <c r="AM611" s="3">
        <v>10</v>
      </c>
      <c r="AN611" s="3">
        <v>10</v>
      </c>
      <c r="AO611" s="3">
        <v>10</v>
      </c>
      <c r="AP611" s="3">
        <v>10</v>
      </c>
      <c r="AQ611" s="2" t="e">
        <f t="shared" ca="1" si="138"/>
        <v>#NAME?</v>
      </c>
      <c r="AR611" s="2">
        <v>10</v>
      </c>
      <c r="AS611" s="2">
        <v>10</v>
      </c>
      <c r="AT611" s="2">
        <v>10</v>
      </c>
      <c r="AU611" s="2">
        <v>9</v>
      </c>
      <c r="AV611" s="2">
        <v>9</v>
      </c>
      <c r="AW611" s="54">
        <f t="shared" si="143"/>
        <v>10</v>
      </c>
      <c r="AX611" s="48"/>
      <c r="AY611" s="2"/>
      <c r="AZ611" s="2">
        <v>10</v>
      </c>
      <c r="BA611" s="2">
        <v>7</v>
      </c>
      <c r="BB611" s="2">
        <v>8</v>
      </c>
      <c r="BC611" s="2">
        <v>9</v>
      </c>
      <c r="BD611" s="2">
        <v>9</v>
      </c>
      <c r="BE611" s="2">
        <v>9</v>
      </c>
      <c r="BF611" s="2">
        <v>10</v>
      </c>
      <c r="BG611" s="2">
        <v>10</v>
      </c>
      <c r="BH611" s="2">
        <v>10</v>
      </c>
      <c r="BI611" s="2">
        <v>10</v>
      </c>
      <c r="BJ611" s="2" t="e">
        <f t="shared" ca="1" si="139"/>
        <v>#NAME?</v>
      </c>
      <c r="BK611" s="5">
        <v>9</v>
      </c>
      <c r="BL611" s="5">
        <v>9</v>
      </c>
      <c r="BM611" s="5">
        <v>10</v>
      </c>
      <c r="BN611" s="5">
        <v>10</v>
      </c>
      <c r="BO611" s="5">
        <v>10</v>
      </c>
      <c r="BP611" s="54">
        <f t="shared" si="144"/>
        <v>10</v>
      </c>
      <c r="BQ611" s="5"/>
      <c r="BR611" s="5"/>
      <c r="BS611" s="5">
        <v>10</v>
      </c>
      <c r="BT611" s="5">
        <v>10</v>
      </c>
      <c r="BU611" s="5">
        <v>5</v>
      </c>
      <c r="BV611" s="5">
        <v>5</v>
      </c>
      <c r="BW611" s="5">
        <v>6</v>
      </c>
      <c r="BX611" s="5">
        <v>7</v>
      </c>
      <c r="BY611" s="5">
        <v>8</v>
      </c>
      <c r="BZ611" s="5">
        <v>9</v>
      </c>
      <c r="CA611" s="5">
        <v>10</v>
      </c>
      <c r="CB611" s="5">
        <v>10</v>
      </c>
      <c r="CC611" s="2" t="e">
        <f t="shared" ca="1" si="140"/>
        <v>#NAME?</v>
      </c>
      <c r="CD611" s="55">
        <v>0</v>
      </c>
      <c r="CE611" s="2">
        <v>5</v>
      </c>
      <c r="CF611" s="2">
        <v>5</v>
      </c>
      <c r="CG611" s="2">
        <v>5</v>
      </c>
      <c r="CH611" s="2">
        <v>5</v>
      </c>
      <c r="CI611" s="2">
        <v>5</v>
      </c>
      <c r="CJ611" s="2">
        <v>5</v>
      </c>
      <c r="CK611" s="2">
        <v>5</v>
      </c>
      <c r="CL611" s="2">
        <v>5</v>
      </c>
      <c r="CM611" s="2">
        <v>5</v>
      </c>
      <c r="CN611" s="2">
        <v>5</v>
      </c>
      <c r="CO611" s="2">
        <v>5</v>
      </c>
      <c r="CP611" s="2" t="e">
        <f t="shared" ca="1" si="141"/>
        <v>#NAME?</v>
      </c>
      <c r="CQ611" s="2">
        <v>5</v>
      </c>
      <c r="CR611" s="2">
        <v>5</v>
      </c>
      <c r="CS611" s="2">
        <v>5</v>
      </c>
      <c r="CT611" s="2">
        <v>5</v>
      </c>
      <c r="CU611" s="2">
        <v>5</v>
      </c>
      <c r="CV611" s="54">
        <f t="shared" si="145"/>
        <v>5</v>
      </c>
      <c r="CW611" s="55"/>
      <c r="CX611" s="3"/>
    </row>
    <row r="612" spans="1:102" ht="16.5" x14ac:dyDescent="0.55000000000000004">
      <c r="A612" s="17">
        <v>3</v>
      </c>
      <c r="B612" s="17" t="s">
        <v>1190</v>
      </c>
      <c r="C612" s="23" t="s">
        <v>1268</v>
      </c>
      <c r="D612" s="24" t="s">
        <v>1269</v>
      </c>
      <c r="E612" s="48">
        <v>8</v>
      </c>
      <c r="F612" s="2">
        <v>7</v>
      </c>
      <c r="G612" s="2">
        <v>10</v>
      </c>
      <c r="H612" s="2">
        <v>10</v>
      </c>
      <c r="I612" s="2">
        <v>7</v>
      </c>
      <c r="J612" s="2">
        <v>7</v>
      </c>
      <c r="K612" s="2">
        <v>7</v>
      </c>
      <c r="L612" s="2">
        <v>10</v>
      </c>
      <c r="M612" s="2">
        <v>7</v>
      </c>
      <c r="N612" s="2">
        <v>7</v>
      </c>
      <c r="O612" s="2">
        <v>7</v>
      </c>
      <c r="P612" s="2">
        <v>7</v>
      </c>
      <c r="Q612" s="2" t="e">
        <f t="shared" ca="1" si="137"/>
        <v>#NAME?</v>
      </c>
      <c r="R612" s="2">
        <v>7</v>
      </c>
      <c r="S612" s="2">
        <v>7</v>
      </c>
      <c r="T612" s="2">
        <v>7</v>
      </c>
      <c r="U612" s="2">
        <v>7</v>
      </c>
      <c r="V612" s="2">
        <v>7</v>
      </c>
      <c r="W612" s="54">
        <f t="shared" si="142"/>
        <v>7</v>
      </c>
      <c r="X612" s="48">
        <v>8</v>
      </c>
      <c r="Y612" s="2">
        <v>7</v>
      </c>
      <c r="Z612" s="2"/>
      <c r="AA612" s="2">
        <v>5</v>
      </c>
      <c r="AB612" s="2">
        <v>5</v>
      </c>
      <c r="AC612" s="2">
        <v>5</v>
      </c>
      <c r="AD612" s="2">
        <v>5</v>
      </c>
      <c r="AE612" s="2">
        <v>5</v>
      </c>
      <c r="AF612" s="2">
        <v>5</v>
      </c>
      <c r="AG612" s="2">
        <v>5</v>
      </c>
      <c r="AH612" s="2">
        <v>5</v>
      </c>
      <c r="AI612" s="2">
        <v>5</v>
      </c>
      <c r="AJ612" s="2">
        <v>5</v>
      </c>
      <c r="AK612" s="3">
        <v>10</v>
      </c>
      <c r="AL612" s="3">
        <v>10</v>
      </c>
      <c r="AM612" s="3">
        <v>10</v>
      </c>
      <c r="AN612" s="3">
        <v>10</v>
      </c>
      <c r="AO612" s="3">
        <v>10</v>
      </c>
      <c r="AP612" s="3">
        <v>10</v>
      </c>
      <c r="AQ612" s="2" t="e">
        <f t="shared" ca="1" si="138"/>
        <v>#NAME?</v>
      </c>
      <c r="AR612" s="2">
        <v>10</v>
      </c>
      <c r="AS612" s="2">
        <v>10</v>
      </c>
      <c r="AT612" s="2">
        <v>10</v>
      </c>
      <c r="AU612" s="2">
        <v>9</v>
      </c>
      <c r="AV612" s="2">
        <v>9</v>
      </c>
      <c r="AW612" s="54">
        <f t="shared" si="143"/>
        <v>10</v>
      </c>
      <c r="AX612" s="48"/>
      <c r="AY612" s="2"/>
      <c r="AZ612" s="2">
        <v>10</v>
      </c>
      <c r="BA612" s="2">
        <v>7</v>
      </c>
      <c r="BB612" s="2">
        <v>7</v>
      </c>
      <c r="BC612" s="2">
        <v>8</v>
      </c>
      <c r="BD612" s="2">
        <v>8</v>
      </c>
      <c r="BE612" s="2">
        <v>9</v>
      </c>
      <c r="BF612" s="2">
        <v>9</v>
      </c>
      <c r="BG612" s="2">
        <v>10</v>
      </c>
      <c r="BH612" s="2">
        <v>10</v>
      </c>
      <c r="BI612" s="2">
        <v>10</v>
      </c>
      <c r="BJ612" s="2" t="e">
        <f t="shared" ca="1" si="139"/>
        <v>#NAME?</v>
      </c>
      <c r="BK612" s="5">
        <v>10</v>
      </c>
      <c r="BL612" s="5">
        <v>10</v>
      </c>
      <c r="BM612" s="5">
        <v>10</v>
      </c>
      <c r="BN612" s="5">
        <v>10</v>
      </c>
      <c r="BO612" s="5">
        <v>10</v>
      </c>
      <c r="BP612" s="54">
        <f t="shared" si="144"/>
        <v>10</v>
      </c>
      <c r="BQ612" s="5"/>
      <c r="BR612" s="5"/>
      <c r="BS612" s="5">
        <v>10</v>
      </c>
      <c r="BT612" s="5">
        <v>10</v>
      </c>
      <c r="BU612" s="5">
        <v>6</v>
      </c>
      <c r="BV612" s="5">
        <v>7</v>
      </c>
      <c r="BW612" s="5">
        <v>7</v>
      </c>
      <c r="BX612" s="5">
        <v>8</v>
      </c>
      <c r="BY612" s="5">
        <v>8</v>
      </c>
      <c r="BZ612" s="5">
        <v>9</v>
      </c>
      <c r="CA612" s="5">
        <v>9</v>
      </c>
      <c r="CB612" s="5">
        <v>10</v>
      </c>
      <c r="CC612" s="2" t="e">
        <f t="shared" ca="1" si="140"/>
        <v>#NAME?</v>
      </c>
      <c r="CD612" s="55">
        <v>0</v>
      </c>
      <c r="CE612" s="2">
        <v>5</v>
      </c>
      <c r="CF612" s="2">
        <v>5</v>
      </c>
      <c r="CG612" s="2">
        <v>5</v>
      </c>
      <c r="CH612" s="2">
        <v>5</v>
      </c>
      <c r="CI612" s="2">
        <v>5</v>
      </c>
      <c r="CJ612" s="2">
        <v>5</v>
      </c>
      <c r="CK612" s="2">
        <v>5</v>
      </c>
      <c r="CL612" s="2">
        <v>5</v>
      </c>
      <c r="CM612" s="2">
        <v>5</v>
      </c>
      <c r="CN612" s="2">
        <v>5</v>
      </c>
      <c r="CO612" s="2">
        <v>5</v>
      </c>
      <c r="CP612" s="2" t="e">
        <f t="shared" ca="1" si="141"/>
        <v>#NAME?</v>
      </c>
      <c r="CQ612" s="2">
        <v>5</v>
      </c>
      <c r="CR612" s="2">
        <v>5</v>
      </c>
      <c r="CS612" s="2">
        <v>5</v>
      </c>
      <c r="CT612" s="2">
        <v>5</v>
      </c>
      <c r="CU612" s="2">
        <v>5</v>
      </c>
      <c r="CV612" s="54">
        <f t="shared" si="145"/>
        <v>5</v>
      </c>
      <c r="CW612" s="55"/>
      <c r="CX612" s="3"/>
    </row>
    <row r="613" spans="1:102" ht="16.5" x14ac:dyDescent="0.55000000000000004">
      <c r="A613" s="17">
        <v>3</v>
      </c>
      <c r="B613" s="17" t="s">
        <v>1190</v>
      </c>
      <c r="C613" s="23" t="s">
        <v>1270</v>
      </c>
      <c r="D613" s="24" t="s">
        <v>1271</v>
      </c>
      <c r="E613" s="48">
        <v>5</v>
      </c>
      <c r="F613" s="2">
        <v>5</v>
      </c>
      <c r="G613" s="2">
        <v>5</v>
      </c>
      <c r="H613" s="2">
        <v>5</v>
      </c>
      <c r="I613" s="2">
        <v>5</v>
      </c>
      <c r="J613" s="2">
        <v>5</v>
      </c>
      <c r="K613" s="2">
        <v>5</v>
      </c>
      <c r="L613" s="2">
        <v>5</v>
      </c>
      <c r="M613" s="2">
        <v>5</v>
      </c>
      <c r="N613" s="2">
        <v>5</v>
      </c>
      <c r="O613" s="2">
        <v>5</v>
      </c>
      <c r="P613" s="2">
        <v>5</v>
      </c>
      <c r="Q613" s="2" t="e">
        <f t="shared" ca="1" si="137"/>
        <v>#NAME?</v>
      </c>
      <c r="R613" s="2">
        <v>5</v>
      </c>
      <c r="S613" s="2">
        <v>5</v>
      </c>
      <c r="T613" s="2">
        <v>5</v>
      </c>
      <c r="U613" s="2">
        <v>5</v>
      </c>
      <c r="V613" s="2">
        <v>5</v>
      </c>
      <c r="W613" s="54">
        <f t="shared" si="142"/>
        <v>5</v>
      </c>
      <c r="X613" s="48">
        <v>5</v>
      </c>
      <c r="Y613" s="2">
        <v>5</v>
      </c>
      <c r="Z613" s="2"/>
      <c r="AA613" s="2">
        <v>5</v>
      </c>
      <c r="AB613" s="2">
        <v>5</v>
      </c>
      <c r="AC613" s="2">
        <v>5</v>
      </c>
      <c r="AD613" s="2">
        <v>5</v>
      </c>
      <c r="AE613" s="2">
        <v>5</v>
      </c>
      <c r="AF613" s="2">
        <v>5</v>
      </c>
      <c r="AG613" s="2">
        <v>5</v>
      </c>
      <c r="AH613" s="2">
        <v>5</v>
      </c>
      <c r="AI613" s="2">
        <v>5</v>
      </c>
      <c r="AJ613" s="2">
        <v>5</v>
      </c>
      <c r="AK613" s="3">
        <v>10</v>
      </c>
      <c r="AL613" s="3">
        <v>10</v>
      </c>
      <c r="AM613" s="3">
        <v>10</v>
      </c>
      <c r="AN613" s="3">
        <v>10</v>
      </c>
      <c r="AO613" s="3">
        <v>10</v>
      </c>
      <c r="AP613" s="3">
        <v>10</v>
      </c>
      <c r="AQ613" s="2" t="e">
        <f t="shared" ca="1" si="138"/>
        <v>#NAME?</v>
      </c>
      <c r="AR613" s="2">
        <v>10</v>
      </c>
      <c r="AS613" s="2">
        <v>10</v>
      </c>
      <c r="AT613" s="2">
        <v>10</v>
      </c>
      <c r="AU613" s="2">
        <v>9</v>
      </c>
      <c r="AV613" s="2">
        <v>9</v>
      </c>
      <c r="AW613" s="54">
        <f t="shared" si="143"/>
        <v>10</v>
      </c>
      <c r="AX613" s="48"/>
      <c r="AY613" s="2"/>
      <c r="AZ613" s="2">
        <v>10</v>
      </c>
      <c r="BA613" s="2">
        <v>9</v>
      </c>
      <c r="BB613" s="2">
        <v>10</v>
      </c>
      <c r="BC613" s="2">
        <v>10</v>
      </c>
      <c r="BD613" s="2">
        <v>8</v>
      </c>
      <c r="BE613" s="2">
        <v>8</v>
      </c>
      <c r="BF613" s="2">
        <v>9</v>
      </c>
      <c r="BG613" s="2">
        <v>9</v>
      </c>
      <c r="BH613" s="2">
        <v>10</v>
      </c>
      <c r="BI613" s="57">
        <v>10</v>
      </c>
      <c r="BJ613" s="2" t="e">
        <f t="shared" ca="1" si="139"/>
        <v>#NAME?</v>
      </c>
      <c r="BK613" s="5">
        <v>10</v>
      </c>
      <c r="BL613" s="5">
        <v>10</v>
      </c>
      <c r="BM613" s="5">
        <v>9</v>
      </c>
      <c r="BN613" s="5">
        <v>8</v>
      </c>
      <c r="BO613" s="5">
        <v>10</v>
      </c>
      <c r="BP613" s="54">
        <f t="shared" si="144"/>
        <v>10</v>
      </c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2" t="e">
        <f t="shared" ca="1" si="140"/>
        <v>#NAME?</v>
      </c>
      <c r="CD613" s="55">
        <v>0</v>
      </c>
      <c r="CE613" s="2">
        <v>9</v>
      </c>
      <c r="CF613" s="2">
        <v>10</v>
      </c>
      <c r="CG613" s="2">
        <v>10</v>
      </c>
      <c r="CH613" s="2">
        <v>10</v>
      </c>
      <c r="CI613" s="2">
        <v>10</v>
      </c>
      <c r="CJ613" s="2">
        <v>10</v>
      </c>
      <c r="CK613" s="2">
        <v>10</v>
      </c>
      <c r="CL613" s="2">
        <v>10</v>
      </c>
      <c r="CM613" s="2">
        <v>10</v>
      </c>
      <c r="CN613" s="2">
        <v>10</v>
      </c>
      <c r="CO613" s="2">
        <v>10</v>
      </c>
      <c r="CP613" s="2" t="e">
        <f t="shared" ca="1" si="141"/>
        <v>#NAME?</v>
      </c>
      <c r="CQ613" s="2">
        <v>10</v>
      </c>
      <c r="CR613" s="2">
        <v>10</v>
      </c>
      <c r="CS613" s="2">
        <v>10</v>
      </c>
      <c r="CT613" s="2">
        <v>10</v>
      </c>
      <c r="CU613" s="2">
        <v>10</v>
      </c>
      <c r="CV613" s="54">
        <f t="shared" si="145"/>
        <v>10</v>
      </c>
      <c r="CW613" s="55"/>
      <c r="CX613" s="3"/>
    </row>
    <row r="614" spans="1:102" ht="16.5" x14ac:dyDescent="0.55000000000000004">
      <c r="A614" s="17">
        <v>3</v>
      </c>
      <c r="B614" s="17" t="s">
        <v>1190</v>
      </c>
      <c r="C614" s="23" t="s">
        <v>1272</v>
      </c>
      <c r="D614" s="24" t="s">
        <v>1273</v>
      </c>
      <c r="E614" s="48">
        <v>8</v>
      </c>
      <c r="F614" s="2">
        <v>10</v>
      </c>
      <c r="G614" s="2">
        <v>10</v>
      </c>
      <c r="H614" s="2">
        <v>10</v>
      </c>
      <c r="I614" s="2">
        <v>8</v>
      </c>
      <c r="J614" s="2">
        <v>9</v>
      </c>
      <c r="K614" s="2">
        <v>10</v>
      </c>
      <c r="L614" s="2">
        <v>10</v>
      </c>
      <c r="M614" s="2">
        <v>10</v>
      </c>
      <c r="N614" s="2">
        <v>8</v>
      </c>
      <c r="O614" s="2">
        <v>9</v>
      </c>
      <c r="P614" s="2">
        <v>10</v>
      </c>
      <c r="Q614" s="2" t="e">
        <f t="shared" ca="1" si="137"/>
        <v>#NAME?</v>
      </c>
      <c r="R614" s="2">
        <v>9</v>
      </c>
      <c r="S614" s="2">
        <v>8</v>
      </c>
      <c r="T614" s="2">
        <v>10</v>
      </c>
      <c r="U614" s="2">
        <v>10</v>
      </c>
      <c r="V614" s="2">
        <v>10</v>
      </c>
      <c r="W614" s="54">
        <f t="shared" si="142"/>
        <v>10</v>
      </c>
      <c r="X614" s="48">
        <v>8</v>
      </c>
      <c r="Y614" s="2">
        <v>10</v>
      </c>
      <c r="Z614" s="2"/>
      <c r="AA614" s="2">
        <v>5</v>
      </c>
      <c r="AB614" s="2">
        <v>5</v>
      </c>
      <c r="AC614" s="2">
        <v>5</v>
      </c>
      <c r="AD614" s="2">
        <v>5</v>
      </c>
      <c r="AE614" s="2">
        <v>5</v>
      </c>
      <c r="AF614" s="2">
        <v>5</v>
      </c>
      <c r="AG614" s="2">
        <v>5</v>
      </c>
      <c r="AH614" s="2">
        <v>5</v>
      </c>
      <c r="AI614" s="2">
        <v>5</v>
      </c>
      <c r="AJ614" s="2">
        <v>5</v>
      </c>
      <c r="AK614" s="3">
        <v>10</v>
      </c>
      <c r="AL614" s="3">
        <v>10</v>
      </c>
      <c r="AM614" s="3">
        <v>10</v>
      </c>
      <c r="AN614" s="3">
        <v>10</v>
      </c>
      <c r="AO614" s="3">
        <v>10</v>
      </c>
      <c r="AP614" s="3">
        <v>10</v>
      </c>
      <c r="AQ614" s="2" t="e">
        <f t="shared" ca="1" si="138"/>
        <v>#NAME?</v>
      </c>
      <c r="AR614" s="2">
        <v>10</v>
      </c>
      <c r="AS614" s="2">
        <v>10</v>
      </c>
      <c r="AT614" s="2">
        <v>10</v>
      </c>
      <c r="AU614" s="2">
        <v>9</v>
      </c>
      <c r="AV614" s="2">
        <v>9</v>
      </c>
      <c r="AW614" s="54">
        <f t="shared" si="143"/>
        <v>10</v>
      </c>
      <c r="AX614" s="48"/>
      <c r="AY614" s="2"/>
      <c r="AZ614" s="2">
        <v>10</v>
      </c>
      <c r="BA614" s="2">
        <v>10</v>
      </c>
      <c r="BB614" s="2">
        <v>10</v>
      </c>
      <c r="BC614" s="2">
        <v>10</v>
      </c>
      <c r="BD614" s="2">
        <v>10</v>
      </c>
      <c r="BE614" s="2">
        <v>10</v>
      </c>
      <c r="BF614" s="2">
        <v>10</v>
      </c>
      <c r="BG614" s="2">
        <v>10</v>
      </c>
      <c r="BH614" s="2">
        <v>10</v>
      </c>
      <c r="BI614" s="2">
        <v>10</v>
      </c>
      <c r="BJ614" s="2" t="e">
        <f t="shared" ca="1" si="139"/>
        <v>#NAME?</v>
      </c>
      <c r="BK614" s="5">
        <v>10</v>
      </c>
      <c r="BL614" s="5">
        <v>10</v>
      </c>
      <c r="BM614" s="5">
        <v>10</v>
      </c>
      <c r="BN614" s="5">
        <v>10</v>
      </c>
      <c r="BO614" s="5">
        <v>10</v>
      </c>
      <c r="BP614" s="54">
        <f t="shared" si="144"/>
        <v>10</v>
      </c>
      <c r="BQ614" s="5"/>
      <c r="BR614" s="5"/>
      <c r="BS614" s="5">
        <v>10</v>
      </c>
      <c r="BT614" s="5">
        <v>10</v>
      </c>
      <c r="BU614" s="5">
        <v>6</v>
      </c>
      <c r="BV614" s="5">
        <v>7</v>
      </c>
      <c r="BW614" s="5">
        <v>10</v>
      </c>
      <c r="BX614" s="5">
        <v>7</v>
      </c>
      <c r="BY614" s="5">
        <v>8</v>
      </c>
      <c r="BZ614" s="5">
        <v>9</v>
      </c>
      <c r="CA614" s="5">
        <v>10</v>
      </c>
      <c r="CB614" s="5">
        <v>10</v>
      </c>
      <c r="CC614" s="2" t="e">
        <f t="shared" ca="1" si="140"/>
        <v>#NAME?</v>
      </c>
      <c r="CD614" s="55">
        <v>0</v>
      </c>
      <c r="CE614" s="2">
        <v>5</v>
      </c>
      <c r="CF614" s="2">
        <v>5</v>
      </c>
      <c r="CG614" s="2">
        <v>5</v>
      </c>
      <c r="CH614" s="2">
        <v>5</v>
      </c>
      <c r="CI614" s="2">
        <v>5</v>
      </c>
      <c r="CJ614" s="2">
        <v>5</v>
      </c>
      <c r="CK614" s="2">
        <v>5</v>
      </c>
      <c r="CL614" s="2">
        <v>5</v>
      </c>
      <c r="CM614" s="2">
        <v>5</v>
      </c>
      <c r="CN614" s="2">
        <v>5</v>
      </c>
      <c r="CO614" s="2">
        <v>5</v>
      </c>
      <c r="CP614" s="2" t="e">
        <f t="shared" ca="1" si="141"/>
        <v>#NAME?</v>
      </c>
      <c r="CQ614" s="2">
        <v>5</v>
      </c>
      <c r="CR614" s="2">
        <v>5</v>
      </c>
      <c r="CS614" s="2">
        <v>5</v>
      </c>
      <c r="CT614" s="2">
        <v>5</v>
      </c>
      <c r="CU614" s="2">
        <v>5</v>
      </c>
      <c r="CV614" s="54">
        <f t="shared" si="145"/>
        <v>5</v>
      </c>
      <c r="CW614" s="55"/>
      <c r="CX614" s="3"/>
    </row>
    <row r="615" spans="1:102" ht="16.5" x14ac:dyDescent="0.55000000000000004">
      <c r="A615" s="17">
        <v>3</v>
      </c>
      <c r="B615" s="17" t="s">
        <v>1190</v>
      </c>
      <c r="C615" s="23" t="s">
        <v>1274</v>
      </c>
      <c r="D615" s="24" t="s">
        <v>1275</v>
      </c>
      <c r="E615" s="48">
        <v>5</v>
      </c>
      <c r="F615" s="2">
        <v>5</v>
      </c>
      <c r="G615" s="2">
        <v>5</v>
      </c>
      <c r="H615" s="2">
        <v>5</v>
      </c>
      <c r="I615" s="2">
        <v>5</v>
      </c>
      <c r="J615" s="2">
        <v>5</v>
      </c>
      <c r="K615" s="2">
        <v>5</v>
      </c>
      <c r="L615" s="2">
        <v>5</v>
      </c>
      <c r="M615" s="2">
        <v>5</v>
      </c>
      <c r="N615" s="2">
        <v>5</v>
      </c>
      <c r="O615" s="2">
        <v>5</v>
      </c>
      <c r="P615" s="2">
        <v>5</v>
      </c>
      <c r="Q615" s="2" t="e">
        <f t="shared" ca="1" si="137"/>
        <v>#NAME?</v>
      </c>
      <c r="R615" s="2">
        <v>5</v>
      </c>
      <c r="S615" s="2">
        <v>5</v>
      </c>
      <c r="T615" s="2">
        <v>5</v>
      </c>
      <c r="U615" s="2">
        <v>5</v>
      </c>
      <c r="V615" s="2">
        <v>5</v>
      </c>
      <c r="W615" s="54">
        <f t="shared" si="142"/>
        <v>5</v>
      </c>
      <c r="X615" s="48">
        <v>5</v>
      </c>
      <c r="Y615" s="2">
        <v>5</v>
      </c>
      <c r="Z615" s="2"/>
      <c r="AA615" s="2">
        <v>5</v>
      </c>
      <c r="AB615" s="2">
        <v>5</v>
      </c>
      <c r="AC615" s="2">
        <v>5</v>
      </c>
      <c r="AD615" s="2">
        <v>5</v>
      </c>
      <c r="AE615" s="2">
        <v>5</v>
      </c>
      <c r="AF615" s="2">
        <v>5</v>
      </c>
      <c r="AG615" s="2">
        <v>5</v>
      </c>
      <c r="AH615" s="2">
        <v>5</v>
      </c>
      <c r="AI615" s="2">
        <v>5</v>
      </c>
      <c r="AJ615" s="2">
        <v>5</v>
      </c>
      <c r="AK615" s="3">
        <v>10</v>
      </c>
      <c r="AL615" s="3">
        <v>10</v>
      </c>
      <c r="AM615" s="3">
        <v>10</v>
      </c>
      <c r="AN615" s="3">
        <v>10</v>
      </c>
      <c r="AO615" s="3">
        <v>10</v>
      </c>
      <c r="AP615" s="3">
        <v>10</v>
      </c>
      <c r="AQ615" s="2" t="e">
        <f t="shared" ca="1" si="138"/>
        <v>#NAME?</v>
      </c>
      <c r="AR615" s="2">
        <v>10</v>
      </c>
      <c r="AS615" s="2">
        <v>10</v>
      </c>
      <c r="AT615" s="2">
        <v>10</v>
      </c>
      <c r="AU615" s="2">
        <v>9</v>
      </c>
      <c r="AV615" s="2">
        <v>9</v>
      </c>
      <c r="AW615" s="54">
        <f t="shared" si="143"/>
        <v>10</v>
      </c>
      <c r="AX615" s="48"/>
      <c r="AY615" s="2"/>
      <c r="AZ615" s="2">
        <v>10</v>
      </c>
      <c r="BA615" s="2">
        <v>10</v>
      </c>
      <c r="BB615" s="2">
        <v>7</v>
      </c>
      <c r="BC615" s="2">
        <v>7</v>
      </c>
      <c r="BD615" s="2">
        <v>8</v>
      </c>
      <c r="BE615" s="2">
        <v>8</v>
      </c>
      <c r="BF615" s="2">
        <v>9</v>
      </c>
      <c r="BG615" s="2">
        <v>9</v>
      </c>
      <c r="BH615" s="2">
        <v>10</v>
      </c>
      <c r="BI615" s="57">
        <v>10</v>
      </c>
      <c r="BJ615" s="2" t="e">
        <f t="shared" ca="1" si="139"/>
        <v>#NAME?</v>
      </c>
      <c r="BK615" s="5">
        <v>10</v>
      </c>
      <c r="BL615" s="5">
        <v>9</v>
      </c>
      <c r="BM615" s="5">
        <v>8</v>
      </c>
      <c r="BN615" s="5">
        <v>10</v>
      </c>
      <c r="BO615" s="5">
        <v>10</v>
      </c>
      <c r="BP615" s="54">
        <f t="shared" si="144"/>
        <v>10</v>
      </c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2" t="e">
        <f t="shared" ca="1" si="140"/>
        <v>#NAME?</v>
      </c>
      <c r="CD615" s="55">
        <v>0</v>
      </c>
      <c r="CE615" s="2">
        <v>5</v>
      </c>
      <c r="CF615" s="2">
        <v>5</v>
      </c>
      <c r="CG615" s="2">
        <v>5</v>
      </c>
      <c r="CH615" s="2">
        <v>5</v>
      </c>
      <c r="CI615" s="2">
        <v>5</v>
      </c>
      <c r="CJ615" s="2">
        <v>5</v>
      </c>
      <c r="CK615" s="2">
        <v>5</v>
      </c>
      <c r="CL615" s="2">
        <v>5</v>
      </c>
      <c r="CM615" s="2">
        <v>5</v>
      </c>
      <c r="CN615" s="2">
        <v>5</v>
      </c>
      <c r="CO615" s="2">
        <v>5</v>
      </c>
      <c r="CP615" s="2" t="e">
        <f t="shared" ca="1" si="141"/>
        <v>#NAME?</v>
      </c>
      <c r="CQ615" s="2">
        <v>5</v>
      </c>
      <c r="CR615" s="2">
        <v>5</v>
      </c>
      <c r="CS615" s="2">
        <v>5</v>
      </c>
      <c r="CT615" s="2">
        <v>5</v>
      </c>
      <c r="CU615" s="2">
        <v>5</v>
      </c>
      <c r="CV615" s="54">
        <f t="shared" si="145"/>
        <v>5</v>
      </c>
      <c r="CW615" s="55"/>
      <c r="CX615" s="3"/>
    </row>
    <row r="616" spans="1:102" ht="16.5" x14ac:dyDescent="0.55000000000000004">
      <c r="A616" s="17">
        <v>3</v>
      </c>
      <c r="B616" s="17" t="s">
        <v>1190</v>
      </c>
      <c r="C616" s="23" t="s">
        <v>1276</v>
      </c>
      <c r="D616" s="24" t="s">
        <v>1277</v>
      </c>
      <c r="E616" s="48">
        <v>8</v>
      </c>
      <c r="F616" s="2">
        <v>9</v>
      </c>
      <c r="G616" s="2">
        <v>10</v>
      </c>
      <c r="H616" s="2">
        <v>8</v>
      </c>
      <c r="I616" s="2">
        <v>8</v>
      </c>
      <c r="J616" s="2">
        <v>8</v>
      </c>
      <c r="K616" s="2">
        <v>8</v>
      </c>
      <c r="L616" s="2">
        <v>10</v>
      </c>
      <c r="M616" s="2">
        <v>8</v>
      </c>
      <c r="N616" s="2">
        <v>8</v>
      </c>
      <c r="O616" s="2">
        <v>8</v>
      </c>
      <c r="P616" s="2">
        <v>8</v>
      </c>
      <c r="Q616" s="2" t="e">
        <f t="shared" ca="1" si="137"/>
        <v>#NAME?</v>
      </c>
      <c r="R616" s="2">
        <v>9</v>
      </c>
      <c r="S616" s="2">
        <v>9</v>
      </c>
      <c r="T616" s="2">
        <v>10</v>
      </c>
      <c r="U616" s="2">
        <v>10</v>
      </c>
      <c r="V616" s="2">
        <v>10</v>
      </c>
      <c r="W616" s="54">
        <f t="shared" si="142"/>
        <v>10</v>
      </c>
      <c r="X616" s="48">
        <v>8</v>
      </c>
      <c r="Y616" s="2">
        <v>9</v>
      </c>
      <c r="Z616" s="2"/>
      <c r="AA616" s="2">
        <v>5</v>
      </c>
      <c r="AB616" s="2">
        <v>5</v>
      </c>
      <c r="AC616" s="2">
        <v>5</v>
      </c>
      <c r="AD616" s="2">
        <v>5</v>
      </c>
      <c r="AE616" s="2">
        <v>5</v>
      </c>
      <c r="AF616" s="2">
        <v>5</v>
      </c>
      <c r="AG616" s="2">
        <v>5</v>
      </c>
      <c r="AH616" s="2">
        <v>5</v>
      </c>
      <c r="AI616" s="2">
        <v>5</v>
      </c>
      <c r="AJ616" s="2">
        <v>5</v>
      </c>
      <c r="AK616" s="3">
        <v>10</v>
      </c>
      <c r="AL616" s="3">
        <v>10</v>
      </c>
      <c r="AM616" s="3">
        <v>10</v>
      </c>
      <c r="AN616" s="3">
        <v>10</v>
      </c>
      <c r="AO616" s="3">
        <v>10</v>
      </c>
      <c r="AP616" s="3">
        <v>10</v>
      </c>
      <c r="AQ616" s="2" t="e">
        <f t="shared" ca="1" si="138"/>
        <v>#NAME?</v>
      </c>
      <c r="AR616" s="2">
        <v>10</v>
      </c>
      <c r="AS616" s="2">
        <v>10</v>
      </c>
      <c r="AT616" s="2">
        <v>10</v>
      </c>
      <c r="AU616" s="2">
        <v>9</v>
      </c>
      <c r="AV616" s="2">
        <v>9</v>
      </c>
      <c r="AW616" s="54">
        <f t="shared" si="143"/>
        <v>10</v>
      </c>
      <c r="AX616" s="48"/>
      <c r="AY616" s="2"/>
      <c r="AZ616" s="2">
        <v>10</v>
      </c>
      <c r="BA616" s="2">
        <v>10</v>
      </c>
      <c r="BB616" s="2">
        <v>6</v>
      </c>
      <c r="BC616" s="2">
        <v>6</v>
      </c>
      <c r="BD616" s="2">
        <v>7</v>
      </c>
      <c r="BE616" s="2">
        <v>8</v>
      </c>
      <c r="BF616" s="2">
        <v>7</v>
      </c>
      <c r="BG616" s="2">
        <v>8</v>
      </c>
      <c r="BH616" s="2">
        <v>9</v>
      </c>
      <c r="BI616" s="57">
        <v>9</v>
      </c>
      <c r="BJ616" s="2" t="e">
        <f t="shared" ca="1" si="139"/>
        <v>#NAME?</v>
      </c>
      <c r="BK616" s="5">
        <v>10</v>
      </c>
      <c r="BL616" s="5">
        <v>8</v>
      </c>
      <c r="BM616" s="5">
        <v>9</v>
      </c>
      <c r="BN616" s="5">
        <v>10</v>
      </c>
      <c r="BO616" s="5">
        <v>10</v>
      </c>
      <c r="BP616" s="54">
        <f t="shared" si="144"/>
        <v>10</v>
      </c>
      <c r="BQ616" s="5"/>
      <c r="BR616" s="5"/>
      <c r="BS616" s="5">
        <v>10</v>
      </c>
      <c r="BT616" s="5">
        <v>10</v>
      </c>
      <c r="BU616" s="5">
        <v>10</v>
      </c>
      <c r="BV616" s="5">
        <v>10</v>
      </c>
      <c r="BW616" s="5">
        <v>6</v>
      </c>
      <c r="BX616" s="5">
        <v>7</v>
      </c>
      <c r="BY616" s="5">
        <v>8</v>
      </c>
      <c r="BZ616" s="5">
        <v>9</v>
      </c>
      <c r="CA616" s="5">
        <v>10</v>
      </c>
      <c r="CB616" s="5">
        <v>10</v>
      </c>
      <c r="CC616" s="2" t="e">
        <f t="shared" ca="1" si="140"/>
        <v>#NAME?</v>
      </c>
      <c r="CD616" s="55">
        <v>10</v>
      </c>
      <c r="CE616" s="2">
        <v>9</v>
      </c>
      <c r="CF616" s="2">
        <v>10</v>
      </c>
      <c r="CG616" s="2">
        <v>10</v>
      </c>
      <c r="CH616" s="2">
        <v>10</v>
      </c>
      <c r="CI616" s="2">
        <v>10</v>
      </c>
      <c r="CJ616" s="2">
        <v>10</v>
      </c>
      <c r="CK616" s="2">
        <v>10</v>
      </c>
      <c r="CL616" s="2">
        <v>10</v>
      </c>
      <c r="CM616" s="2">
        <v>10</v>
      </c>
      <c r="CN616" s="2">
        <v>10</v>
      </c>
      <c r="CO616" s="2">
        <v>10</v>
      </c>
      <c r="CP616" s="2" t="e">
        <f t="shared" ca="1" si="141"/>
        <v>#NAME?</v>
      </c>
      <c r="CQ616" s="2">
        <v>10</v>
      </c>
      <c r="CR616" s="2">
        <v>10</v>
      </c>
      <c r="CS616" s="2">
        <v>10</v>
      </c>
      <c r="CT616" s="2">
        <v>10</v>
      </c>
      <c r="CU616" s="2">
        <v>10</v>
      </c>
      <c r="CV616" s="54">
        <f t="shared" si="145"/>
        <v>10</v>
      </c>
      <c r="CW616" s="55"/>
      <c r="CX616" s="3"/>
    </row>
    <row r="617" spans="1:102" ht="16.5" x14ac:dyDescent="0.55000000000000004">
      <c r="A617" s="17">
        <v>3</v>
      </c>
      <c r="B617" s="17" t="s">
        <v>1190</v>
      </c>
      <c r="C617" s="23" t="s">
        <v>1278</v>
      </c>
      <c r="D617" s="24" t="s">
        <v>1279</v>
      </c>
      <c r="E617" s="48">
        <v>7</v>
      </c>
      <c r="F617" s="2">
        <v>7</v>
      </c>
      <c r="G617" s="2">
        <v>10</v>
      </c>
      <c r="H617" s="2">
        <v>10</v>
      </c>
      <c r="I617" s="2">
        <v>7</v>
      </c>
      <c r="J617" s="2">
        <v>7</v>
      </c>
      <c r="K617" s="2">
        <v>7</v>
      </c>
      <c r="L617" s="2">
        <v>10</v>
      </c>
      <c r="M617" s="2">
        <v>10</v>
      </c>
      <c r="N617" s="2">
        <v>7</v>
      </c>
      <c r="O617" s="2">
        <v>7</v>
      </c>
      <c r="P617" s="2">
        <v>7</v>
      </c>
      <c r="Q617" s="2" t="e">
        <f t="shared" ca="1" si="137"/>
        <v>#NAME?</v>
      </c>
      <c r="R617" s="2">
        <v>10</v>
      </c>
      <c r="S617" s="2">
        <v>10</v>
      </c>
      <c r="T617" s="2">
        <v>10</v>
      </c>
      <c r="U617" s="2">
        <v>10</v>
      </c>
      <c r="V617" s="2">
        <v>7</v>
      </c>
      <c r="W617" s="54">
        <f t="shared" si="142"/>
        <v>10</v>
      </c>
      <c r="X617" s="48">
        <v>7</v>
      </c>
      <c r="Y617" s="2">
        <v>7</v>
      </c>
      <c r="Z617" s="2"/>
      <c r="AA617" s="2">
        <v>5</v>
      </c>
      <c r="AB617" s="2">
        <v>5</v>
      </c>
      <c r="AC617" s="2">
        <v>5</v>
      </c>
      <c r="AD617" s="2">
        <v>5</v>
      </c>
      <c r="AE617" s="2">
        <v>5</v>
      </c>
      <c r="AF617" s="2">
        <v>5</v>
      </c>
      <c r="AG617" s="2">
        <v>5</v>
      </c>
      <c r="AH617" s="2">
        <v>5</v>
      </c>
      <c r="AI617" s="2">
        <v>5</v>
      </c>
      <c r="AJ617" s="2">
        <v>5</v>
      </c>
      <c r="AK617" s="3">
        <v>10</v>
      </c>
      <c r="AL617" s="3">
        <v>10</v>
      </c>
      <c r="AM617" s="3">
        <v>10</v>
      </c>
      <c r="AN617" s="3">
        <v>10</v>
      </c>
      <c r="AO617" s="3">
        <v>10</v>
      </c>
      <c r="AP617" s="3">
        <v>10</v>
      </c>
      <c r="AQ617" s="2" t="e">
        <f t="shared" ca="1" si="138"/>
        <v>#NAME?</v>
      </c>
      <c r="AR617" s="2">
        <v>10</v>
      </c>
      <c r="AS617" s="2">
        <v>10</v>
      </c>
      <c r="AT617" s="2">
        <v>10</v>
      </c>
      <c r="AU617" s="2">
        <v>9</v>
      </c>
      <c r="AV617" s="2">
        <v>9</v>
      </c>
      <c r="AW617" s="54">
        <f t="shared" si="143"/>
        <v>10</v>
      </c>
      <c r="AX617" s="48"/>
      <c r="AY617" s="2"/>
      <c r="AZ617" s="2">
        <v>10</v>
      </c>
      <c r="BA617" s="2">
        <v>10</v>
      </c>
      <c r="BB617" s="2">
        <v>10</v>
      </c>
      <c r="BC617" s="2">
        <v>10</v>
      </c>
      <c r="BD617" s="2">
        <v>10</v>
      </c>
      <c r="BE617" s="2">
        <v>10</v>
      </c>
      <c r="BF617" s="2">
        <v>10</v>
      </c>
      <c r="BG617" s="2">
        <v>9</v>
      </c>
      <c r="BH617" s="2">
        <v>9</v>
      </c>
      <c r="BI617" s="2">
        <v>10</v>
      </c>
      <c r="BJ617" s="2" t="e">
        <f t="shared" ca="1" si="139"/>
        <v>#NAME?</v>
      </c>
      <c r="BK617" s="5">
        <v>10</v>
      </c>
      <c r="BL617" s="5">
        <v>9</v>
      </c>
      <c r="BM617" s="5">
        <v>10</v>
      </c>
      <c r="BN617" s="5">
        <v>9</v>
      </c>
      <c r="BO617" s="5">
        <v>10</v>
      </c>
      <c r="BP617" s="54">
        <f t="shared" si="144"/>
        <v>10</v>
      </c>
      <c r="BQ617" s="5"/>
      <c r="BR617" s="5"/>
      <c r="BS617" s="5">
        <v>10</v>
      </c>
      <c r="BT617" s="5">
        <v>10</v>
      </c>
      <c r="BU617" s="5">
        <v>10</v>
      </c>
      <c r="BV617" s="5">
        <v>10</v>
      </c>
      <c r="BW617" s="5">
        <v>8</v>
      </c>
      <c r="BX617" s="5">
        <v>8</v>
      </c>
      <c r="BY617" s="5">
        <v>8</v>
      </c>
      <c r="BZ617" s="5">
        <v>9</v>
      </c>
      <c r="CA617" s="5">
        <v>10</v>
      </c>
      <c r="CB617" s="5">
        <v>10</v>
      </c>
      <c r="CC617" s="2" t="e">
        <f t="shared" ca="1" si="140"/>
        <v>#NAME?</v>
      </c>
      <c r="CD617" s="55">
        <v>0</v>
      </c>
      <c r="CE617" s="2">
        <v>9</v>
      </c>
      <c r="CF617" s="2">
        <v>10</v>
      </c>
      <c r="CG617" s="2">
        <v>10</v>
      </c>
      <c r="CH617" s="2">
        <v>10</v>
      </c>
      <c r="CI617" s="2">
        <v>10</v>
      </c>
      <c r="CJ617" s="2">
        <v>10</v>
      </c>
      <c r="CK617" s="2">
        <v>10</v>
      </c>
      <c r="CL617" s="2">
        <v>10</v>
      </c>
      <c r="CM617" s="2">
        <v>10</v>
      </c>
      <c r="CN617" s="2">
        <v>10</v>
      </c>
      <c r="CO617" s="2">
        <v>10</v>
      </c>
      <c r="CP617" s="2" t="e">
        <f t="shared" ca="1" si="141"/>
        <v>#NAME?</v>
      </c>
      <c r="CQ617" s="2">
        <v>10</v>
      </c>
      <c r="CR617" s="2">
        <v>10</v>
      </c>
      <c r="CS617" s="2">
        <v>10</v>
      </c>
      <c r="CT617" s="2">
        <v>10</v>
      </c>
      <c r="CU617" s="2">
        <v>10</v>
      </c>
      <c r="CV617" s="54">
        <f t="shared" si="145"/>
        <v>10</v>
      </c>
      <c r="CW617" s="55"/>
      <c r="CX617" s="3"/>
    </row>
    <row r="618" spans="1:102" ht="16.5" x14ac:dyDescent="0.55000000000000004">
      <c r="A618" s="17">
        <v>3</v>
      </c>
      <c r="B618" s="17" t="s">
        <v>1190</v>
      </c>
      <c r="C618" s="23" t="s">
        <v>1280</v>
      </c>
      <c r="D618" s="24" t="s">
        <v>1281</v>
      </c>
      <c r="E618" s="48">
        <v>8</v>
      </c>
      <c r="F618" s="2">
        <v>9</v>
      </c>
      <c r="G618" s="2">
        <v>10</v>
      </c>
      <c r="H618" s="2">
        <v>10</v>
      </c>
      <c r="I618" s="2">
        <v>8</v>
      </c>
      <c r="J618" s="2">
        <v>8</v>
      </c>
      <c r="K618" s="2">
        <v>8</v>
      </c>
      <c r="L618" s="2">
        <v>10</v>
      </c>
      <c r="M618" s="2">
        <v>10</v>
      </c>
      <c r="N618" s="2">
        <v>8</v>
      </c>
      <c r="O618" s="2">
        <v>8</v>
      </c>
      <c r="P618" s="2">
        <v>8</v>
      </c>
      <c r="Q618" s="2" t="e">
        <f t="shared" ca="1" si="137"/>
        <v>#NAME?</v>
      </c>
      <c r="R618" s="2">
        <v>9</v>
      </c>
      <c r="S618" s="2">
        <v>10</v>
      </c>
      <c r="T618" s="2">
        <v>9</v>
      </c>
      <c r="U618" s="2">
        <v>9</v>
      </c>
      <c r="V618" s="2">
        <v>10</v>
      </c>
      <c r="W618" s="54">
        <f t="shared" si="142"/>
        <v>10</v>
      </c>
      <c r="X618" s="48">
        <v>8</v>
      </c>
      <c r="Y618" s="2">
        <v>9</v>
      </c>
      <c r="Z618" s="2"/>
      <c r="AA618" s="2">
        <v>10</v>
      </c>
      <c r="AB618" s="2">
        <v>10</v>
      </c>
      <c r="AC618" s="2">
        <v>10</v>
      </c>
      <c r="AD618" s="2">
        <v>10</v>
      </c>
      <c r="AE618" s="2">
        <v>10</v>
      </c>
      <c r="AF618" s="2">
        <v>10</v>
      </c>
      <c r="AG618" s="2">
        <v>10</v>
      </c>
      <c r="AH618" s="2">
        <v>10</v>
      </c>
      <c r="AI618" s="2">
        <v>10</v>
      </c>
      <c r="AJ618" s="2">
        <v>10</v>
      </c>
      <c r="AK618" s="3">
        <v>10</v>
      </c>
      <c r="AL618" s="3">
        <v>10</v>
      </c>
      <c r="AM618" s="3">
        <v>10</v>
      </c>
      <c r="AN618" s="3">
        <v>10</v>
      </c>
      <c r="AO618" s="3">
        <v>10</v>
      </c>
      <c r="AP618" s="3">
        <v>10</v>
      </c>
      <c r="AQ618" s="2" t="e">
        <f t="shared" ca="1" si="138"/>
        <v>#NAME?</v>
      </c>
      <c r="AR618" s="2">
        <v>10</v>
      </c>
      <c r="AS618" s="2">
        <v>10</v>
      </c>
      <c r="AT618" s="2">
        <v>10</v>
      </c>
      <c r="AU618" s="2">
        <v>10</v>
      </c>
      <c r="AV618" s="2">
        <v>10</v>
      </c>
      <c r="AW618" s="54">
        <f t="shared" si="143"/>
        <v>10</v>
      </c>
      <c r="AX618" s="48"/>
      <c r="AY618" s="2"/>
      <c r="AZ618" s="2">
        <v>10</v>
      </c>
      <c r="BA618" s="2">
        <v>10</v>
      </c>
      <c r="BB618" s="2">
        <v>8</v>
      </c>
      <c r="BC618" s="2">
        <v>7</v>
      </c>
      <c r="BD618" s="2">
        <v>8</v>
      </c>
      <c r="BE618" s="2">
        <v>9</v>
      </c>
      <c r="BF618" s="2">
        <v>9</v>
      </c>
      <c r="BG618" s="2">
        <v>10</v>
      </c>
      <c r="BH618" s="2">
        <v>10</v>
      </c>
      <c r="BI618" s="2">
        <v>10</v>
      </c>
      <c r="BJ618" s="2" t="e">
        <f t="shared" ca="1" si="139"/>
        <v>#NAME?</v>
      </c>
      <c r="BK618" s="5">
        <v>10</v>
      </c>
      <c r="BL618" s="5">
        <v>9</v>
      </c>
      <c r="BM618" s="5">
        <v>10</v>
      </c>
      <c r="BN618" s="5">
        <v>10</v>
      </c>
      <c r="BO618" s="5">
        <v>10</v>
      </c>
      <c r="BP618" s="54">
        <f t="shared" si="144"/>
        <v>10</v>
      </c>
      <c r="BQ618" s="5"/>
      <c r="BR618" s="5"/>
      <c r="BS618" s="5">
        <v>10</v>
      </c>
      <c r="BT618" s="5">
        <v>10</v>
      </c>
      <c r="BU618" s="5">
        <v>10</v>
      </c>
      <c r="BV618" s="5">
        <v>10</v>
      </c>
      <c r="BW618" s="5">
        <v>9</v>
      </c>
      <c r="BX618" s="5">
        <v>8</v>
      </c>
      <c r="BY618" s="5">
        <v>8</v>
      </c>
      <c r="BZ618" s="5">
        <v>9</v>
      </c>
      <c r="CA618" s="5">
        <v>10</v>
      </c>
      <c r="CB618" s="5">
        <v>10</v>
      </c>
      <c r="CC618" s="2" t="e">
        <f t="shared" ca="1" si="140"/>
        <v>#NAME?</v>
      </c>
      <c r="CD618" s="55">
        <v>10</v>
      </c>
      <c r="CE618" s="2">
        <v>9</v>
      </c>
      <c r="CF618" s="2">
        <v>10</v>
      </c>
      <c r="CG618" s="2">
        <v>10</v>
      </c>
      <c r="CH618" s="2">
        <v>10</v>
      </c>
      <c r="CI618" s="2">
        <v>10</v>
      </c>
      <c r="CJ618" s="2">
        <v>10</v>
      </c>
      <c r="CK618" s="2">
        <v>10</v>
      </c>
      <c r="CL618" s="2">
        <v>10</v>
      </c>
      <c r="CM618" s="2">
        <v>10</v>
      </c>
      <c r="CN618" s="2">
        <v>10</v>
      </c>
      <c r="CO618" s="2">
        <v>10</v>
      </c>
      <c r="CP618" s="2" t="e">
        <f t="shared" ca="1" si="141"/>
        <v>#NAME?</v>
      </c>
      <c r="CQ618" s="2">
        <v>10</v>
      </c>
      <c r="CR618" s="2">
        <v>10</v>
      </c>
      <c r="CS618" s="2">
        <v>10</v>
      </c>
      <c r="CT618" s="2">
        <v>10</v>
      </c>
      <c r="CU618" s="2">
        <v>10</v>
      </c>
      <c r="CV618" s="54">
        <f t="shared" si="145"/>
        <v>10</v>
      </c>
      <c r="CW618" s="55"/>
      <c r="CX618" s="3"/>
    </row>
    <row r="619" spans="1:102" ht="16.5" x14ac:dyDescent="0.55000000000000004">
      <c r="A619" s="17">
        <v>3</v>
      </c>
      <c r="B619" s="17" t="s">
        <v>1190</v>
      </c>
      <c r="C619" s="23" t="s">
        <v>1282</v>
      </c>
      <c r="D619" s="24" t="s">
        <v>1283</v>
      </c>
      <c r="E619" s="48">
        <v>9</v>
      </c>
      <c r="F619" s="2">
        <v>8</v>
      </c>
      <c r="G619" s="2">
        <v>10</v>
      </c>
      <c r="H619" s="2">
        <v>10</v>
      </c>
      <c r="I619" s="2">
        <v>8</v>
      </c>
      <c r="J619" s="2">
        <v>8</v>
      </c>
      <c r="K619" s="2">
        <v>8</v>
      </c>
      <c r="L619" s="2">
        <v>10</v>
      </c>
      <c r="M619" s="2">
        <v>10</v>
      </c>
      <c r="N619" s="2">
        <v>8</v>
      </c>
      <c r="O619" s="2">
        <v>8</v>
      </c>
      <c r="P619" s="2">
        <v>8</v>
      </c>
      <c r="Q619" s="2" t="e">
        <f t="shared" ca="1" si="137"/>
        <v>#NAME?</v>
      </c>
      <c r="R619" s="2">
        <v>9</v>
      </c>
      <c r="S619" s="2">
        <v>10</v>
      </c>
      <c r="T619" s="2">
        <v>10</v>
      </c>
      <c r="U619" s="2">
        <v>9</v>
      </c>
      <c r="V619" s="2">
        <v>10</v>
      </c>
      <c r="W619" s="54">
        <f t="shared" si="142"/>
        <v>10</v>
      </c>
      <c r="X619" s="48">
        <v>9</v>
      </c>
      <c r="Y619" s="2">
        <v>8</v>
      </c>
      <c r="Z619" s="2"/>
      <c r="AA619" s="2">
        <v>10</v>
      </c>
      <c r="AB619" s="2">
        <v>10</v>
      </c>
      <c r="AC619" s="2">
        <v>10</v>
      </c>
      <c r="AD619" s="2">
        <v>10</v>
      </c>
      <c r="AE619" s="2">
        <v>10</v>
      </c>
      <c r="AF619" s="2">
        <v>10</v>
      </c>
      <c r="AG619" s="2">
        <v>10</v>
      </c>
      <c r="AH619" s="2">
        <v>10</v>
      </c>
      <c r="AI619" s="2">
        <v>10</v>
      </c>
      <c r="AJ619" s="2">
        <v>10</v>
      </c>
      <c r="AK619" s="3">
        <v>10</v>
      </c>
      <c r="AL619" s="3">
        <v>10</v>
      </c>
      <c r="AM619" s="3">
        <v>10</v>
      </c>
      <c r="AN619" s="3">
        <v>10</v>
      </c>
      <c r="AO619" s="3">
        <v>10</v>
      </c>
      <c r="AP619" s="3">
        <v>10</v>
      </c>
      <c r="AQ619" s="2" t="e">
        <f t="shared" ca="1" si="138"/>
        <v>#NAME?</v>
      </c>
      <c r="AR619" s="2">
        <v>10</v>
      </c>
      <c r="AS619" s="2">
        <v>10</v>
      </c>
      <c r="AT619" s="2">
        <v>10</v>
      </c>
      <c r="AU619" s="2">
        <v>10</v>
      </c>
      <c r="AV619" s="2">
        <v>10</v>
      </c>
      <c r="AW619" s="54">
        <f t="shared" si="143"/>
        <v>10</v>
      </c>
      <c r="AX619" s="48"/>
      <c r="AY619" s="2"/>
      <c r="AZ619" s="2">
        <v>10</v>
      </c>
      <c r="BA619" s="2">
        <v>9</v>
      </c>
      <c r="BB619" s="2">
        <v>10</v>
      </c>
      <c r="BC619" s="2">
        <v>9</v>
      </c>
      <c r="BD619" s="2">
        <v>8</v>
      </c>
      <c r="BE619" s="2">
        <v>8</v>
      </c>
      <c r="BF619" s="2">
        <v>10</v>
      </c>
      <c r="BG619" s="2">
        <v>10</v>
      </c>
      <c r="BH619" s="2">
        <v>10</v>
      </c>
      <c r="BI619" s="2">
        <v>10</v>
      </c>
      <c r="BJ619" s="2" t="e">
        <f t="shared" ca="1" si="139"/>
        <v>#NAME?</v>
      </c>
      <c r="BK619" s="5">
        <v>10</v>
      </c>
      <c r="BL619" s="5">
        <v>9</v>
      </c>
      <c r="BM619" s="5">
        <v>8</v>
      </c>
      <c r="BN619" s="5">
        <v>9</v>
      </c>
      <c r="BO619" s="5">
        <v>10</v>
      </c>
      <c r="BP619" s="54">
        <f t="shared" si="144"/>
        <v>10</v>
      </c>
      <c r="BQ619" s="5"/>
      <c r="BR619" s="5"/>
      <c r="BS619" s="5">
        <v>10</v>
      </c>
      <c r="BT619" s="5">
        <v>10</v>
      </c>
      <c r="BU619" s="5">
        <v>10</v>
      </c>
      <c r="BV619" s="5">
        <v>9</v>
      </c>
      <c r="BW619" s="5">
        <v>8</v>
      </c>
      <c r="BX619" s="5">
        <v>7</v>
      </c>
      <c r="BY619" s="5">
        <v>7</v>
      </c>
      <c r="BZ619" s="5">
        <v>8</v>
      </c>
      <c r="CA619" s="5">
        <v>9</v>
      </c>
      <c r="CB619" s="5">
        <v>10</v>
      </c>
      <c r="CC619" s="2" t="e">
        <f t="shared" ca="1" si="140"/>
        <v>#NAME?</v>
      </c>
      <c r="CD619" s="55">
        <v>10</v>
      </c>
      <c r="CE619" s="2">
        <v>9</v>
      </c>
      <c r="CF619" s="2">
        <v>10</v>
      </c>
      <c r="CG619" s="2">
        <v>10</v>
      </c>
      <c r="CH619" s="2">
        <v>10</v>
      </c>
      <c r="CI619" s="2">
        <v>10</v>
      </c>
      <c r="CJ619" s="2">
        <v>10</v>
      </c>
      <c r="CK619" s="2">
        <v>10</v>
      </c>
      <c r="CL619" s="2">
        <v>10</v>
      </c>
      <c r="CM619" s="2">
        <v>10</v>
      </c>
      <c r="CN619" s="2">
        <v>10</v>
      </c>
      <c r="CO619" s="2">
        <v>10</v>
      </c>
      <c r="CP619" s="2" t="e">
        <f t="shared" ca="1" si="141"/>
        <v>#NAME?</v>
      </c>
      <c r="CQ619" s="2">
        <v>10</v>
      </c>
      <c r="CR619" s="2">
        <v>10</v>
      </c>
      <c r="CS619" s="2">
        <v>10</v>
      </c>
      <c r="CT619" s="2">
        <v>10</v>
      </c>
      <c r="CU619" s="2">
        <v>10</v>
      </c>
      <c r="CV619" s="54">
        <f t="shared" si="145"/>
        <v>10</v>
      </c>
      <c r="CW619" s="55"/>
      <c r="CX619" s="3"/>
    </row>
    <row r="620" spans="1:102" ht="16.5" x14ac:dyDescent="0.55000000000000004">
      <c r="A620" s="17">
        <v>3</v>
      </c>
      <c r="B620" s="17" t="s">
        <v>1190</v>
      </c>
      <c r="C620" s="23" t="s">
        <v>1284</v>
      </c>
      <c r="D620" s="24" t="s">
        <v>1285</v>
      </c>
      <c r="E620" s="48">
        <v>8</v>
      </c>
      <c r="F620" s="2">
        <v>8</v>
      </c>
      <c r="G620" s="2">
        <v>10</v>
      </c>
      <c r="H620" s="2">
        <v>10</v>
      </c>
      <c r="I620" s="2">
        <v>8</v>
      </c>
      <c r="J620" s="2">
        <v>8</v>
      </c>
      <c r="K620" s="2">
        <v>8</v>
      </c>
      <c r="L620" s="2">
        <v>10</v>
      </c>
      <c r="M620" s="2">
        <v>10</v>
      </c>
      <c r="N620" s="2">
        <v>8</v>
      </c>
      <c r="O620" s="2">
        <v>8</v>
      </c>
      <c r="P620" s="2">
        <v>8</v>
      </c>
      <c r="Q620" s="2" t="e">
        <f t="shared" ca="1" si="137"/>
        <v>#NAME?</v>
      </c>
      <c r="R620" s="2">
        <v>10</v>
      </c>
      <c r="S620" s="2">
        <v>10</v>
      </c>
      <c r="T620" s="2">
        <v>10</v>
      </c>
      <c r="U620" s="2">
        <v>10</v>
      </c>
      <c r="V620" s="2">
        <v>10</v>
      </c>
      <c r="W620" s="54">
        <f t="shared" si="142"/>
        <v>10</v>
      </c>
      <c r="X620" s="48">
        <v>8</v>
      </c>
      <c r="Y620" s="2">
        <v>8</v>
      </c>
      <c r="Z620" s="2"/>
      <c r="AA620" s="2">
        <v>5</v>
      </c>
      <c r="AB620" s="2">
        <v>5</v>
      </c>
      <c r="AC620" s="2">
        <v>5</v>
      </c>
      <c r="AD620" s="2">
        <v>5</v>
      </c>
      <c r="AE620" s="2">
        <v>5</v>
      </c>
      <c r="AF620" s="2">
        <v>5</v>
      </c>
      <c r="AG620" s="2">
        <v>5</v>
      </c>
      <c r="AH620" s="2">
        <v>5</v>
      </c>
      <c r="AI620" s="2">
        <v>5</v>
      </c>
      <c r="AJ620" s="2">
        <v>5</v>
      </c>
      <c r="AK620" s="3">
        <v>10</v>
      </c>
      <c r="AL620" s="3">
        <v>10</v>
      </c>
      <c r="AM620" s="3">
        <v>10</v>
      </c>
      <c r="AN620" s="3">
        <v>10</v>
      </c>
      <c r="AO620" s="3">
        <v>10</v>
      </c>
      <c r="AP620" s="3">
        <v>10</v>
      </c>
      <c r="AQ620" s="2" t="e">
        <f t="shared" ca="1" si="138"/>
        <v>#NAME?</v>
      </c>
      <c r="AR620" s="2">
        <v>10</v>
      </c>
      <c r="AS620" s="2">
        <v>10</v>
      </c>
      <c r="AT620" s="2">
        <v>10</v>
      </c>
      <c r="AU620" s="2">
        <v>9</v>
      </c>
      <c r="AV620" s="2">
        <v>9</v>
      </c>
      <c r="AW620" s="54">
        <f t="shared" si="143"/>
        <v>10</v>
      </c>
      <c r="AX620" s="48"/>
      <c r="AY620" s="2"/>
      <c r="AZ620" s="2">
        <v>10</v>
      </c>
      <c r="BA620" s="2">
        <v>10</v>
      </c>
      <c r="BB620" s="2">
        <v>10</v>
      </c>
      <c r="BC620" s="2">
        <v>10</v>
      </c>
      <c r="BD620" s="2">
        <v>10</v>
      </c>
      <c r="BE620" s="2">
        <v>10</v>
      </c>
      <c r="BF620" s="2">
        <v>10</v>
      </c>
      <c r="BG620" s="2">
        <v>10</v>
      </c>
      <c r="BH620" s="2">
        <v>10</v>
      </c>
      <c r="BI620" s="2">
        <v>10</v>
      </c>
      <c r="BJ620" s="2" t="e">
        <f t="shared" ca="1" si="139"/>
        <v>#NAME?</v>
      </c>
      <c r="BK620" s="5">
        <v>10</v>
      </c>
      <c r="BL620" s="5">
        <v>10</v>
      </c>
      <c r="BM620" s="5">
        <v>10</v>
      </c>
      <c r="BN620" s="5">
        <v>10</v>
      </c>
      <c r="BO620" s="5">
        <v>10</v>
      </c>
      <c r="BP620" s="54">
        <f t="shared" si="144"/>
        <v>10</v>
      </c>
      <c r="BQ620" s="5"/>
      <c r="BR620" s="5"/>
      <c r="BS620" s="5">
        <v>10</v>
      </c>
      <c r="BT620" s="5">
        <v>10</v>
      </c>
      <c r="BU620" s="5">
        <v>10</v>
      </c>
      <c r="BV620" s="5">
        <v>10</v>
      </c>
      <c r="BW620" s="5">
        <v>10</v>
      </c>
      <c r="BX620" s="5">
        <v>10</v>
      </c>
      <c r="BY620" s="5">
        <v>10</v>
      </c>
      <c r="BZ620" s="5">
        <v>10</v>
      </c>
      <c r="CA620" s="5">
        <v>10</v>
      </c>
      <c r="CB620" s="5">
        <v>10</v>
      </c>
      <c r="CC620" s="2" t="e">
        <f t="shared" ca="1" si="140"/>
        <v>#NAME?</v>
      </c>
      <c r="CD620" s="55">
        <v>10</v>
      </c>
      <c r="CE620" s="2">
        <v>7</v>
      </c>
      <c r="CF620" s="2">
        <v>10</v>
      </c>
      <c r="CG620" s="2">
        <v>10</v>
      </c>
      <c r="CH620" s="2">
        <v>10</v>
      </c>
      <c r="CI620" s="2">
        <v>10</v>
      </c>
      <c r="CJ620" s="2">
        <v>10</v>
      </c>
      <c r="CK620" s="2">
        <v>10</v>
      </c>
      <c r="CL620" s="2">
        <v>10</v>
      </c>
      <c r="CM620" s="2">
        <v>10</v>
      </c>
      <c r="CN620" s="2">
        <v>10</v>
      </c>
      <c r="CO620" s="2">
        <v>10</v>
      </c>
      <c r="CP620" s="2" t="e">
        <f t="shared" ca="1" si="141"/>
        <v>#NAME?</v>
      </c>
      <c r="CQ620" s="2">
        <v>10</v>
      </c>
      <c r="CR620" s="2">
        <v>10</v>
      </c>
      <c r="CS620" s="2">
        <v>10</v>
      </c>
      <c r="CT620" s="2">
        <v>10</v>
      </c>
      <c r="CU620" s="2">
        <v>10</v>
      </c>
      <c r="CV620" s="54">
        <f t="shared" si="145"/>
        <v>10</v>
      </c>
      <c r="CW620" s="55"/>
      <c r="CX620" s="3"/>
    </row>
    <row r="621" spans="1:102" ht="16.5" x14ac:dyDescent="0.55000000000000004">
      <c r="A621" s="17">
        <v>3</v>
      </c>
      <c r="B621" s="17" t="s">
        <v>1190</v>
      </c>
      <c r="C621" s="23" t="s">
        <v>1286</v>
      </c>
      <c r="D621" s="24" t="s">
        <v>1287</v>
      </c>
      <c r="E621" s="48">
        <v>7</v>
      </c>
      <c r="F621" s="2">
        <v>7</v>
      </c>
      <c r="G621" s="2">
        <v>10</v>
      </c>
      <c r="H621" s="2">
        <v>10</v>
      </c>
      <c r="I621" s="2">
        <v>9</v>
      </c>
      <c r="J621" s="2">
        <v>9</v>
      </c>
      <c r="K621" s="2">
        <v>10</v>
      </c>
      <c r="L621" s="2">
        <v>10</v>
      </c>
      <c r="M621" s="2">
        <v>10</v>
      </c>
      <c r="N621" s="2">
        <v>9</v>
      </c>
      <c r="O621" s="2">
        <v>9</v>
      </c>
      <c r="P621" s="2">
        <v>10</v>
      </c>
      <c r="Q621" s="2" t="e">
        <f t="shared" ca="1" si="137"/>
        <v>#NAME?</v>
      </c>
      <c r="R621" s="2">
        <v>8</v>
      </c>
      <c r="S621" s="2">
        <v>8</v>
      </c>
      <c r="T621" s="2">
        <v>8</v>
      </c>
      <c r="U621" s="2">
        <v>10</v>
      </c>
      <c r="V621" s="2">
        <v>10</v>
      </c>
      <c r="W621" s="54">
        <f t="shared" si="142"/>
        <v>9</v>
      </c>
      <c r="X621" s="48">
        <v>7</v>
      </c>
      <c r="Y621" s="2">
        <v>7</v>
      </c>
      <c r="Z621" s="2"/>
      <c r="AA621" s="2">
        <v>10</v>
      </c>
      <c r="AB621" s="2">
        <v>10</v>
      </c>
      <c r="AC621" s="2">
        <v>10</v>
      </c>
      <c r="AD621" s="2">
        <v>10</v>
      </c>
      <c r="AE621" s="2">
        <v>10</v>
      </c>
      <c r="AF621" s="2">
        <v>10</v>
      </c>
      <c r="AG621" s="2">
        <v>10</v>
      </c>
      <c r="AH621" s="2">
        <v>10</v>
      </c>
      <c r="AI621" s="2">
        <v>10</v>
      </c>
      <c r="AJ621" s="2">
        <v>10</v>
      </c>
      <c r="AK621" s="3">
        <v>10</v>
      </c>
      <c r="AL621" s="3">
        <v>10</v>
      </c>
      <c r="AM621" s="3">
        <v>10</v>
      </c>
      <c r="AN621" s="3">
        <v>10</v>
      </c>
      <c r="AO621" s="3">
        <v>10</v>
      </c>
      <c r="AP621" s="3">
        <v>10</v>
      </c>
      <c r="AQ621" s="2" t="e">
        <f t="shared" ca="1" si="138"/>
        <v>#NAME?</v>
      </c>
      <c r="AR621" s="2">
        <v>10</v>
      </c>
      <c r="AS621" s="2">
        <v>10</v>
      </c>
      <c r="AT621" s="2">
        <v>10</v>
      </c>
      <c r="AU621" s="2">
        <v>10</v>
      </c>
      <c r="AV621" s="2">
        <v>10</v>
      </c>
      <c r="AW621" s="54">
        <f t="shared" si="143"/>
        <v>10</v>
      </c>
      <c r="AX621" s="48"/>
      <c r="AY621" s="2"/>
      <c r="AZ621" s="2">
        <v>10</v>
      </c>
      <c r="BA621" s="2">
        <v>10</v>
      </c>
      <c r="BB621" s="2">
        <v>10</v>
      </c>
      <c r="BC621" s="2">
        <v>10</v>
      </c>
      <c r="BD621" s="2">
        <v>10</v>
      </c>
      <c r="BE621" s="2">
        <v>10</v>
      </c>
      <c r="BF621" s="2">
        <v>10</v>
      </c>
      <c r="BG621" s="2">
        <v>10</v>
      </c>
      <c r="BH621" s="2">
        <v>10</v>
      </c>
      <c r="BI621" s="2">
        <v>10</v>
      </c>
      <c r="BJ621" s="2" t="e">
        <f t="shared" ca="1" si="139"/>
        <v>#NAME?</v>
      </c>
      <c r="BK621" s="5">
        <v>10</v>
      </c>
      <c r="BL621" s="5">
        <v>10</v>
      </c>
      <c r="BM621" s="5">
        <v>10</v>
      </c>
      <c r="BN621" s="5">
        <v>10</v>
      </c>
      <c r="BO621" s="5">
        <v>10</v>
      </c>
      <c r="BP621" s="54">
        <f t="shared" si="144"/>
        <v>10</v>
      </c>
      <c r="BQ621" s="5"/>
      <c r="BR621" s="5"/>
      <c r="BS621" s="5">
        <v>10</v>
      </c>
      <c r="BT621" s="5">
        <v>10</v>
      </c>
      <c r="BU621" s="5">
        <v>10</v>
      </c>
      <c r="BV621" s="5">
        <v>10</v>
      </c>
      <c r="BW621" s="5">
        <v>10</v>
      </c>
      <c r="BX621" s="5">
        <v>10</v>
      </c>
      <c r="BY621" s="5">
        <v>10</v>
      </c>
      <c r="BZ621" s="5">
        <v>8</v>
      </c>
      <c r="CA621" s="5">
        <v>9</v>
      </c>
      <c r="CB621" s="5">
        <v>10</v>
      </c>
      <c r="CC621" s="2" t="e">
        <f t="shared" ca="1" si="140"/>
        <v>#NAME?</v>
      </c>
      <c r="CD621" s="55">
        <v>10</v>
      </c>
      <c r="CE621" s="2">
        <v>8</v>
      </c>
      <c r="CF621" s="2">
        <v>10</v>
      </c>
      <c r="CG621" s="2">
        <v>10</v>
      </c>
      <c r="CH621" s="2">
        <v>10</v>
      </c>
      <c r="CI621" s="2">
        <v>10</v>
      </c>
      <c r="CJ621" s="2">
        <v>10</v>
      </c>
      <c r="CK621" s="2">
        <v>10</v>
      </c>
      <c r="CL621" s="2">
        <v>10</v>
      </c>
      <c r="CM621" s="2">
        <v>10</v>
      </c>
      <c r="CN621" s="2">
        <v>10</v>
      </c>
      <c r="CO621" s="2">
        <v>10</v>
      </c>
      <c r="CP621" s="2" t="e">
        <f t="shared" ca="1" si="141"/>
        <v>#NAME?</v>
      </c>
      <c r="CQ621" s="2">
        <v>10</v>
      </c>
      <c r="CR621" s="2">
        <v>10</v>
      </c>
      <c r="CS621" s="2">
        <v>10</v>
      </c>
      <c r="CT621" s="2">
        <v>10</v>
      </c>
      <c r="CU621" s="2">
        <v>10</v>
      </c>
      <c r="CV621" s="54">
        <f t="shared" si="145"/>
        <v>10</v>
      </c>
      <c r="CW621" s="55"/>
      <c r="CX621" s="3"/>
    </row>
    <row r="622" spans="1:102" ht="16.5" x14ac:dyDescent="0.55000000000000004">
      <c r="A622" s="17">
        <v>3</v>
      </c>
      <c r="B622" s="17" t="s">
        <v>1190</v>
      </c>
      <c r="C622" s="23" t="s">
        <v>1288</v>
      </c>
      <c r="D622" s="24" t="s">
        <v>1289</v>
      </c>
      <c r="E622" s="108">
        <v>10</v>
      </c>
      <c r="F622" s="3">
        <v>9</v>
      </c>
      <c r="G622" s="3">
        <v>10</v>
      </c>
      <c r="H622" s="3">
        <v>10</v>
      </c>
      <c r="I622" s="3">
        <v>8</v>
      </c>
      <c r="J622" s="3">
        <v>9</v>
      </c>
      <c r="K622" s="3">
        <v>10</v>
      </c>
      <c r="L622" s="3">
        <v>10</v>
      </c>
      <c r="M622" s="3">
        <v>10</v>
      </c>
      <c r="N622" s="3">
        <v>8</v>
      </c>
      <c r="O622" s="3">
        <v>9</v>
      </c>
      <c r="P622" s="3">
        <v>10</v>
      </c>
      <c r="Q622" s="2" t="e">
        <f t="shared" ca="1" si="137"/>
        <v>#NAME?</v>
      </c>
      <c r="R622" s="3">
        <v>10</v>
      </c>
      <c r="S622" s="3">
        <v>9</v>
      </c>
      <c r="T622" s="3">
        <v>9</v>
      </c>
      <c r="U622" s="3">
        <v>8</v>
      </c>
      <c r="V622" s="3">
        <v>10</v>
      </c>
      <c r="W622" s="54">
        <f t="shared" si="142"/>
        <v>10</v>
      </c>
      <c r="X622" s="108">
        <v>10</v>
      </c>
      <c r="Y622" s="3">
        <v>9</v>
      </c>
      <c r="Z622" s="3"/>
      <c r="AA622" s="3">
        <v>10</v>
      </c>
      <c r="AB622" s="3">
        <v>10</v>
      </c>
      <c r="AC622" s="3">
        <v>10</v>
      </c>
      <c r="AD622" s="3">
        <v>10</v>
      </c>
      <c r="AE622" s="3">
        <v>10</v>
      </c>
      <c r="AF622" s="3">
        <v>10</v>
      </c>
      <c r="AG622" s="3">
        <v>10</v>
      </c>
      <c r="AH622" s="3">
        <v>10</v>
      </c>
      <c r="AI622" s="3">
        <v>10</v>
      </c>
      <c r="AJ622" s="3">
        <v>10</v>
      </c>
      <c r="AK622" s="3">
        <v>10</v>
      </c>
      <c r="AL622" s="3">
        <v>10</v>
      </c>
      <c r="AM622" s="3">
        <v>10</v>
      </c>
      <c r="AN622" s="3">
        <v>10</v>
      </c>
      <c r="AO622" s="3">
        <v>10</v>
      </c>
      <c r="AP622" s="3">
        <v>10</v>
      </c>
      <c r="AQ622" s="2" t="e">
        <f t="shared" ca="1" si="138"/>
        <v>#NAME?</v>
      </c>
      <c r="AR622" s="3">
        <v>10</v>
      </c>
      <c r="AS622" s="3">
        <v>10</v>
      </c>
      <c r="AT622" s="3">
        <v>10</v>
      </c>
      <c r="AU622" s="3">
        <v>10</v>
      </c>
      <c r="AV622" s="3">
        <v>10</v>
      </c>
      <c r="AW622" s="54">
        <f t="shared" si="143"/>
        <v>10</v>
      </c>
      <c r="AX622" s="108"/>
      <c r="AY622" s="3"/>
      <c r="AZ622" s="2">
        <v>10</v>
      </c>
      <c r="BA622" s="2">
        <v>10</v>
      </c>
      <c r="BB622" s="2">
        <v>10</v>
      </c>
      <c r="BC622" s="2">
        <v>10</v>
      </c>
      <c r="BD622" s="2">
        <v>10</v>
      </c>
      <c r="BE622" s="2">
        <v>10</v>
      </c>
      <c r="BF622" s="2">
        <v>10</v>
      </c>
      <c r="BG622" s="2">
        <v>10</v>
      </c>
      <c r="BH622" s="2">
        <v>10</v>
      </c>
      <c r="BI622" s="2">
        <v>10</v>
      </c>
      <c r="BJ622" s="2" t="e">
        <f t="shared" ca="1" si="139"/>
        <v>#NAME?</v>
      </c>
      <c r="BK622" s="5">
        <v>10</v>
      </c>
      <c r="BL622" s="5">
        <v>10</v>
      </c>
      <c r="BM622" s="5">
        <v>10</v>
      </c>
      <c r="BN622" s="5">
        <v>10</v>
      </c>
      <c r="BO622" s="5">
        <v>10</v>
      </c>
      <c r="BP622" s="54">
        <f t="shared" si="144"/>
        <v>10</v>
      </c>
      <c r="BQ622" s="5"/>
      <c r="BR622" s="5"/>
      <c r="BS622" s="5">
        <v>10</v>
      </c>
      <c r="BT622" s="5">
        <v>10</v>
      </c>
      <c r="BU622" s="5">
        <v>10</v>
      </c>
      <c r="BV622" s="5">
        <v>9</v>
      </c>
      <c r="BW622" s="5">
        <v>8</v>
      </c>
      <c r="BX622" s="5">
        <v>7</v>
      </c>
      <c r="BY622" s="5">
        <v>7</v>
      </c>
      <c r="BZ622" s="5">
        <v>8</v>
      </c>
      <c r="CA622" s="5">
        <v>9</v>
      </c>
      <c r="CB622" s="5">
        <v>10</v>
      </c>
      <c r="CC622" s="2" t="e">
        <f t="shared" ca="1" si="140"/>
        <v>#NAME?</v>
      </c>
      <c r="CD622" s="55">
        <v>10</v>
      </c>
      <c r="CE622" s="3">
        <v>5</v>
      </c>
      <c r="CF622" s="3">
        <v>10</v>
      </c>
      <c r="CG622" s="3">
        <v>10</v>
      </c>
      <c r="CH622" s="3">
        <v>10</v>
      </c>
      <c r="CI622" s="3">
        <v>10</v>
      </c>
      <c r="CJ622" s="3">
        <v>10</v>
      </c>
      <c r="CK622" s="3">
        <v>10</v>
      </c>
      <c r="CL622" s="3">
        <v>5</v>
      </c>
      <c r="CM622" s="3">
        <v>5</v>
      </c>
      <c r="CN622" s="3">
        <v>5</v>
      </c>
      <c r="CO622" s="3">
        <v>5</v>
      </c>
      <c r="CP622" s="2" t="e">
        <f t="shared" ca="1" si="141"/>
        <v>#NAME?</v>
      </c>
      <c r="CQ622" s="53">
        <v>10</v>
      </c>
      <c r="CR622" s="3">
        <v>10</v>
      </c>
      <c r="CS622" s="3">
        <v>5</v>
      </c>
      <c r="CT622" s="3">
        <v>5</v>
      </c>
      <c r="CU622" s="3">
        <v>5</v>
      </c>
      <c r="CV622" s="54">
        <f t="shared" si="145"/>
        <v>7</v>
      </c>
      <c r="CW622" s="55"/>
      <c r="CX622" s="3"/>
    </row>
    <row r="623" spans="1:102" ht="16.5" x14ac:dyDescent="0.55000000000000004">
      <c r="A623" s="17">
        <v>3</v>
      </c>
      <c r="B623" s="17" t="s">
        <v>1190</v>
      </c>
      <c r="C623" s="23" t="s">
        <v>1290</v>
      </c>
      <c r="D623" s="24" t="s">
        <v>1291</v>
      </c>
      <c r="E623" s="108">
        <v>9</v>
      </c>
      <c r="F623" s="3">
        <v>8</v>
      </c>
      <c r="G623" s="3">
        <v>8</v>
      </c>
      <c r="H623" s="3">
        <v>8</v>
      </c>
      <c r="I623" s="3">
        <v>8</v>
      </c>
      <c r="J623" s="3">
        <v>9</v>
      </c>
      <c r="K623" s="3">
        <v>10</v>
      </c>
      <c r="L623" s="3">
        <v>8</v>
      </c>
      <c r="M623" s="3">
        <v>8</v>
      </c>
      <c r="N623" s="3">
        <v>8</v>
      </c>
      <c r="O623" s="3">
        <v>9</v>
      </c>
      <c r="P623" s="3">
        <v>10</v>
      </c>
      <c r="Q623" s="2" t="e">
        <f t="shared" ca="1" si="137"/>
        <v>#NAME?</v>
      </c>
      <c r="R623" s="3">
        <v>8</v>
      </c>
      <c r="S623" s="3">
        <v>8</v>
      </c>
      <c r="T623" s="3">
        <v>9</v>
      </c>
      <c r="U623" s="3">
        <v>9</v>
      </c>
      <c r="V623" s="3">
        <v>10</v>
      </c>
      <c r="W623" s="54">
        <f t="shared" si="142"/>
        <v>9</v>
      </c>
      <c r="X623" s="108">
        <v>9</v>
      </c>
      <c r="Y623" s="3">
        <v>8</v>
      </c>
      <c r="Z623" s="3"/>
      <c r="AA623" s="3">
        <v>10</v>
      </c>
      <c r="AB623" s="3">
        <v>10</v>
      </c>
      <c r="AC623" s="3">
        <v>10</v>
      </c>
      <c r="AD623" s="3">
        <v>10</v>
      </c>
      <c r="AE623" s="3">
        <v>10</v>
      </c>
      <c r="AF623" s="3">
        <v>10</v>
      </c>
      <c r="AG623" s="3">
        <v>10</v>
      </c>
      <c r="AH623" s="3">
        <v>10</v>
      </c>
      <c r="AI623" s="3">
        <v>10</v>
      </c>
      <c r="AJ623" s="3">
        <v>10</v>
      </c>
      <c r="AK623" s="3">
        <v>10</v>
      </c>
      <c r="AL623" s="3">
        <v>10</v>
      </c>
      <c r="AM623" s="3">
        <v>10</v>
      </c>
      <c r="AN623" s="3">
        <v>10</v>
      </c>
      <c r="AO623" s="3">
        <v>10</v>
      </c>
      <c r="AP623" s="3">
        <v>10</v>
      </c>
      <c r="AQ623" s="2" t="e">
        <f t="shared" ca="1" si="138"/>
        <v>#NAME?</v>
      </c>
      <c r="AR623" s="2">
        <v>10</v>
      </c>
      <c r="AS623" s="2">
        <v>10</v>
      </c>
      <c r="AT623" s="2">
        <v>10</v>
      </c>
      <c r="AU623" s="2">
        <v>9</v>
      </c>
      <c r="AV623" s="2">
        <v>9</v>
      </c>
      <c r="AW623" s="54">
        <f t="shared" si="143"/>
        <v>10</v>
      </c>
      <c r="AX623" s="108"/>
      <c r="AY623" s="3"/>
      <c r="AZ623" s="2">
        <v>10</v>
      </c>
      <c r="BA623" s="2">
        <v>10</v>
      </c>
      <c r="BB623" s="2">
        <v>10</v>
      </c>
      <c r="BC623" s="2">
        <v>10</v>
      </c>
      <c r="BD623" s="2">
        <v>10</v>
      </c>
      <c r="BE623" s="2">
        <v>10</v>
      </c>
      <c r="BF623" s="2">
        <v>10</v>
      </c>
      <c r="BG623" s="2">
        <v>10</v>
      </c>
      <c r="BH623" s="2">
        <v>10</v>
      </c>
      <c r="BI623" s="2">
        <v>10</v>
      </c>
      <c r="BJ623" s="2" t="e">
        <f t="shared" ca="1" si="139"/>
        <v>#NAME?</v>
      </c>
      <c r="BK623" s="5">
        <v>10</v>
      </c>
      <c r="BL623" s="5">
        <v>10</v>
      </c>
      <c r="BM623" s="5">
        <v>10</v>
      </c>
      <c r="BN623" s="5">
        <v>10</v>
      </c>
      <c r="BO623" s="5">
        <v>10</v>
      </c>
      <c r="BP623" s="54">
        <f t="shared" si="144"/>
        <v>10</v>
      </c>
      <c r="BQ623" s="5"/>
      <c r="BR623" s="5"/>
      <c r="BS623" s="5">
        <v>10</v>
      </c>
      <c r="BT623" s="5">
        <v>10</v>
      </c>
      <c r="BU623" s="5">
        <v>10</v>
      </c>
      <c r="BV623" s="5">
        <v>9</v>
      </c>
      <c r="BW623" s="5">
        <v>8</v>
      </c>
      <c r="BX623" s="5">
        <v>7</v>
      </c>
      <c r="BY623" s="5">
        <v>7</v>
      </c>
      <c r="BZ623" s="5">
        <v>9</v>
      </c>
      <c r="CA623" s="5">
        <v>10</v>
      </c>
      <c r="CB623" s="5">
        <v>10</v>
      </c>
      <c r="CC623" s="2" t="e">
        <f t="shared" ca="1" si="140"/>
        <v>#NAME?</v>
      </c>
      <c r="CD623" s="55">
        <v>0</v>
      </c>
      <c r="CE623" s="3">
        <v>7</v>
      </c>
      <c r="CF623" s="2">
        <v>10</v>
      </c>
      <c r="CG623" s="2">
        <v>10</v>
      </c>
      <c r="CH623" s="2">
        <v>10</v>
      </c>
      <c r="CI623" s="2">
        <v>10</v>
      </c>
      <c r="CJ623" s="2">
        <v>10</v>
      </c>
      <c r="CK623" s="2">
        <v>10</v>
      </c>
      <c r="CL623" s="2">
        <v>10</v>
      </c>
      <c r="CM623" s="2">
        <v>10</v>
      </c>
      <c r="CN623" s="2">
        <v>10</v>
      </c>
      <c r="CO623" s="2">
        <v>10</v>
      </c>
      <c r="CP623" s="2" t="e">
        <f t="shared" ca="1" si="141"/>
        <v>#NAME?</v>
      </c>
      <c r="CQ623" s="2">
        <v>10</v>
      </c>
      <c r="CR623" s="2">
        <v>10</v>
      </c>
      <c r="CS623" s="2">
        <v>10</v>
      </c>
      <c r="CT623" s="2">
        <v>10</v>
      </c>
      <c r="CU623" s="2">
        <v>10</v>
      </c>
      <c r="CV623" s="54">
        <f t="shared" si="145"/>
        <v>10</v>
      </c>
      <c r="CW623" s="55"/>
      <c r="CX623" s="3"/>
    </row>
    <row r="624" spans="1:102" ht="16.5" x14ac:dyDescent="0.55000000000000004">
      <c r="A624" s="17">
        <v>3</v>
      </c>
      <c r="B624" s="17" t="s">
        <v>1190</v>
      </c>
      <c r="C624" s="23" t="s">
        <v>1292</v>
      </c>
      <c r="D624" s="24" t="s">
        <v>1293</v>
      </c>
      <c r="E624" s="108">
        <v>6</v>
      </c>
      <c r="F624" s="3">
        <v>7</v>
      </c>
      <c r="G624" s="4">
        <v>9</v>
      </c>
      <c r="H624" s="4">
        <v>9</v>
      </c>
      <c r="I624" s="4">
        <v>8</v>
      </c>
      <c r="J624" s="4">
        <v>8</v>
      </c>
      <c r="K624" s="4">
        <v>10</v>
      </c>
      <c r="L624" s="4">
        <v>9</v>
      </c>
      <c r="M624" s="4">
        <v>9</v>
      </c>
      <c r="N624" s="4">
        <v>8</v>
      </c>
      <c r="O624" s="4">
        <v>8</v>
      </c>
      <c r="P624" s="4">
        <v>10</v>
      </c>
      <c r="Q624" s="2" t="e">
        <f t="shared" ca="1" si="137"/>
        <v>#NAME?</v>
      </c>
      <c r="R624" s="4">
        <v>7</v>
      </c>
      <c r="S624" s="4">
        <v>8</v>
      </c>
      <c r="T624" s="4">
        <v>8</v>
      </c>
      <c r="U624" s="4">
        <v>8</v>
      </c>
      <c r="V624" s="3">
        <v>10</v>
      </c>
      <c r="W624" s="54">
        <f t="shared" si="142"/>
        <v>9</v>
      </c>
      <c r="X624" s="108">
        <v>6</v>
      </c>
      <c r="Y624" s="3">
        <v>7</v>
      </c>
      <c r="Z624" s="3"/>
      <c r="AA624" s="3">
        <v>5</v>
      </c>
      <c r="AB624" s="3">
        <v>5</v>
      </c>
      <c r="AC624" s="3">
        <v>5</v>
      </c>
      <c r="AD624" s="3">
        <v>5</v>
      </c>
      <c r="AE624" s="3">
        <v>5</v>
      </c>
      <c r="AF624" s="3">
        <v>5</v>
      </c>
      <c r="AG624" s="3">
        <v>5</v>
      </c>
      <c r="AH624" s="3">
        <v>5</v>
      </c>
      <c r="AI624" s="3">
        <v>5</v>
      </c>
      <c r="AJ624" s="3">
        <v>5</v>
      </c>
      <c r="AK624" s="3">
        <v>10</v>
      </c>
      <c r="AL624" s="3">
        <v>10</v>
      </c>
      <c r="AM624" s="3">
        <v>10</v>
      </c>
      <c r="AN624" s="3">
        <v>10</v>
      </c>
      <c r="AO624" s="3">
        <v>10</v>
      </c>
      <c r="AP624" s="3">
        <v>10</v>
      </c>
      <c r="AQ624" s="2" t="e">
        <f t="shared" ca="1" si="138"/>
        <v>#NAME?</v>
      </c>
      <c r="AR624" s="2">
        <v>10</v>
      </c>
      <c r="AS624" s="2">
        <v>10</v>
      </c>
      <c r="AT624" s="2">
        <v>10</v>
      </c>
      <c r="AU624" s="2">
        <v>9</v>
      </c>
      <c r="AV624" s="2">
        <v>9</v>
      </c>
      <c r="AW624" s="54">
        <f t="shared" si="143"/>
        <v>10</v>
      </c>
      <c r="AX624" s="108"/>
      <c r="AY624" s="3"/>
      <c r="AZ624" s="3">
        <v>9</v>
      </c>
      <c r="BA624" s="3">
        <v>10</v>
      </c>
      <c r="BB624" s="3">
        <v>9</v>
      </c>
      <c r="BC624" s="3">
        <v>9</v>
      </c>
      <c r="BD624" s="3">
        <v>10</v>
      </c>
      <c r="BE624" s="3">
        <v>10</v>
      </c>
      <c r="BF624" s="3">
        <v>10</v>
      </c>
      <c r="BG624" s="3">
        <v>10</v>
      </c>
      <c r="BH624" s="3">
        <v>10</v>
      </c>
      <c r="BI624" s="3">
        <v>10</v>
      </c>
      <c r="BJ624" s="2" t="e">
        <f t="shared" ca="1" si="139"/>
        <v>#NAME?</v>
      </c>
      <c r="BK624" s="5">
        <v>9</v>
      </c>
      <c r="BL624" s="5">
        <v>10</v>
      </c>
      <c r="BM624" s="5">
        <v>9</v>
      </c>
      <c r="BN624" s="5">
        <v>10</v>
      </c>
      <c r="BO624" s="5">
        <v>10</v>
      </c>
      <c r="BP624" s="54">
        <f t="shared" si="144"/>
        <v>10</v>
      </c>
      <c r="BQ624" s="5"/>
      <c r="BR624" s="5"/>
      <c r="BS624" s="5">
        <v>10</v>
      </c>
      <c r="BT624" s="5">
        <v>10</v>
      </c>
      <c r="BU624" s="5">
        <v>6</v>
      </c>
      <c r="BV624" s="5">
        <v>7</v>
      </c>
      <c r="BW624" s="5">
        <v>8</v>
      </c>
      <c r="BX624" s="5">
        <v>7</v>
      </c>
      <c r="BY624" s="5">
        <v>8</v>
      </c>
      <c r="BZ624" s="5">
        <v>9</v>
      </c>
      <c r="CA624" s="5">
        <v>10</v>
      </c>
      <c r="CB624" s="5">
        <v>10</v>
      </c>
      <c r="CC624" s="2" t="e">
        <f t="shared" ca="1" si="140"/>
        <v>#NAME?</v>
      </c>
      <c r="CD624" s="55">
        <v>0</v>
      </c>
      <c r="CE624" s="3">
        <v>5</v>
      </c>
      <c r="CF624" s="2">
        <v>10</v>
      </c>
      <c r="CG624" s="2">
        <v>10</v>
      </c>
      <c r="CH624" s="2">
        <v>10</v>
      </c>
      <c r="CI624" s="2">
        <v>10</v>
      </c>
      <c r="CJ624" s="2">
        <v>10</v>
      </c>
      <c r="CK624" s="2">
        <v>10</v>
      </c>
      <c r="CL624" s="2">
        <v>10</v>
      </c>
      <c r="CM624" s="2">
        <v>10</v>
      </c>
      <c r="CN624" s="2">
        <v>10</v>
      </c>
      <c r="CO624" s="2">
        <v>10</v>
      </c>
      <c r="CP624" s="2" t="e">
        <f t="shared" ca="1" si="141"/>
        <v>#NAME?</v>
      </c>
      <c r="CQ624" s="2">
        <v>10</v>
      </c>
      <c r="CR624" s="2">
        <v>10</v>
      </c>
      <c r="CS624" s="2">
        <v>10</v>
      </c>
      <c r="CT624" s="2">
        <v>10</v>
      </c>
      <c r="CU624" s="2">
        <v>10</v>
      </c>
      <c r="CV624" s="54">
        <f t="shared" si="145"/>
        <v>10</v>
      </c>
      <c r="CW624" s="55"/>
      <c r="CX624" s="3"/>
    </row>
    <row r="625" spans="1:102" ht="16.5" x14ac:dyDescent="0.55000000000000004">
      <c r="A625" s="17">
        <v>3</v>
      </c>
      <c r="B625" s="17" t="s">
        <v>1190</v>
      </c>
      <c r="C625" s="23" t="s">
        <v>1294</v>
      </c>
      <c r="D625" s="24" t="s">
        <v>1295</v>
      </c>
      <c r="E625" s="109">
        <v>7</v>
      </c>
      <c r="F625" s="110">
        <v>7</v>
      </c>
      <c r="G625" s="3">
        <v>10</v>
      </c>
      <c r="H625" s="3">
        <v>10</v>
      </c>
      <c r="I625" s="3">
        <v>8</v>
      </c>
      <c r="J625" s="3">
        <v>9</v>
      </c>
      <c r="K625" s="3">
        <v>10</v>
      </c>
      <c r="L625" s="3">
        <v>10</v>
      </c>
      <c r="M625" s="3">
        <v>10</v>
      </c>
      <c r="N625" s="3">
        <v>8</v>
      </c>
      <c r="O625" s="3">
        <v>9</v>
      </c>
      <c r="P625" s="3">
        <v>10</v>
      </c>
      <c r="Q625" s="2" t="e">
        <f t="shared" ca="1" si="137"/>
        <v>#NAME?</v>
      </c>
      <c r="R625" s="3">
        <v>8</v>
      </c>
      <c r="S625" s="3">
        <v>8</v>
      </c>
      <c r="T625" s="3">
        <v>9</v>
      </c>
      <c r="U625" s="3">
        <v>10</v>
      </c>
      <c r="V625" s="110">
        <v>10</v>
      </c>
      <c r="W625" s="54">
        <f t="shared" si="142"/>
        <v>9</v>
      </c>
      <c r="X625" s="109">
        <v>7</v>
      </c>
      <c r="Y625" s="110">
        <v>7</v>
      </c>
      <c r="Z625" s="110"/>
      <c r="AA625" s="110">
        <v>10</v>
      </c>
      <c r="AB625" s="110">
        <v>10</v>
      </c>
      <c r="AC625" s="110">
        <v>10</v>
      </c>
      <c r="AD625" s="110">
        <v>10</v>
      </c>
      <c r="AE625" s="110">
        <v>10</v>
      </c>
      <c r="AF625" s="110">
        <v>10</v>
      </c>
      <c r="AG625" s="110">
        <v>10</v>
      </c>
      <c r="AH625" s="110">
        <v>10</v>
      </c>
      <c r="AI625" s="110">
        <v>10</v>
      </c>
      <c r="AJ625" s="110">
        <v>10</v>
      </c>
      <c r="AK625" s="3">
        <v>10</v>
      </c>
      <c r="AL625" s="3">
        <v>10</v>
      </c>
      <c r="AM625" s="3">
        <v>10</v>
      </c>
      <c r="AN625" s="3">
        <v>10</v>
      </c>
      <c r="AO625" s="3">
        <v>10</v>
      </c>
      <c r="AP625" s="3">
        <v>10</v>
      </c>
      <c r="AQ625" s="2" t="e">
        <f t="shared" ca="1" si="138"/>
        <v>#NAME?</v>
      </c>
      <c r="AR625" s="2">
        <v>10</v>
      </c>
      <c r="AS625" s="2">
        <v>10</v>
      </c>
      <c r="AT625" s="2">
        <v>10</v>
      </c>
      <c r="AU625" s="2">
        <v>9</v>
      </c>
      <c r="AV625" s="2">
        <v>9</v>
      </c>
      <c r="AW625" s="54">
        <f t="shared" si="143"/>
        <v>10</v>
      </c>
      <c r="AX625" s="109"/>
      <c r="AY625" s="110"/>
      <c r="AZ625" s="110">
        <v>10</v>
      </c>
      <c r="BA625" s="110">
        <v>10</v>
      </c>
      <c r="BB625" s="110">
        <v>8</v>
      </c>
      <c r="BC625" s="110">
        <v>8</v>
      </c>
      <c r="BD625" s="110">
        <v>9</v>
      </c>
      <c r="BE625" s="110">
        <v>9</v>
      </c>
      <c r="BF625" s="110">
        <v>10</v>
      </c>
      <c r="BG625" s="110">
        <v>10</v>
      </c>
      <c r="BH625" s="110">
        <v>10</v>
      </c>
      <c r="BI625" s="110">
        <v>10</v>
      </c>
      <c r="BJ625" s="2" t="e">
        <f t="shared" ca="1" si="139"/>
        <v>#NAME?</v>
      </c>
      <c r="BK625" s="5">
        <v>10</v>
      </c>
      <c r="BL625" s="5">
        <v>9</v>
      </c>
      <c r="BM625" s="5">
        <v>9</v>
      </c>
      <c r="BN625" s="5">
        <v>10</v>
      </c>
      <c r="BO625" s="5">
        <v>10</v>
      </c>
      <c r="BP625" s="54">
        <f t="shared" si="144"/>
        <v>10</v>
      </c>
      <c r="BQ625" s="5"/>
      <c r="BR625" s="5"/>
      <c r="BS625" s="5">
        <v>10</v>
      </c>
      <c r="BT625" s="5">
        <v>10</v>
      </c>
      <c r="BU625" s="5">
        <v>10</v>
      </c>
      <c r="BV625" s="5">
        <v>10</v>
      </c>
      <c r="BW625" s="5">
        <v>10</v>
      </c>
      <c r="BX625" s="5">
        <v>10</v>
      </c>
      <c r="BY625" s="5">
        <v>10</v>
      </c>
      <c r="BZ625" s="5">
        <v>10</v>
      </c>
      <c r="CA625" s="5">
        <v>10</v>
      </c>
      <c r="CB625" s="5">
        <v>10</v>
      </c>
      <c r="CC625" s="2" t="e">
        <f t="shared" ca="1" si="140"/>
        <v>#NAME?</v>
      </c>
      <c r="CD625" s="55">
        <v>0</v>
      </c>
      <c r="CE625" s="110">
        <v>6</v>
      </c>
      <c r="CF625" s="2">
        <v>10</v>
      </c>
      <c r="CG625" s="2">
        <v>10</v>
      </c>
      <c r="CH625" s="2">
        <v>10</v>
      </c>
      <c r="CI625" s="2">
        <v>10</v>
      </c>
      <c r="CJ625" s="2">
        <v>10</v>
      </c>
      <c r="CK625" s="2">
        <v>10</v>
      </c>
      <c r="CL625" s="2">
        <v>10</v>
      </c>
      <c r="CM625" s="2">
        <v>10</v>
      </c>
      <c r="CN625" s="2">
        <v>10</v>
      </c>
      <c r="CO625" s="2">
        <v>10</v>
      </c>
      <c r="CP625" s="2" t="e">
        <f t="shared" ca="1" si="141"/>
        <v>#NAME?</v>
      </c>
      <c r="CQ625" s="2">
        <v>10</v>
      </c>
      <c r="CR625" s="2">
        <v>10</v>
      </c>
      <c r="CS625" s="2">
        <v>10</v>
      </c>
      <c r="CT625" s="2">
        <v>10</v>
      </c>
      <c r="CU625" s="2">
        <v>10</v>
      </c>
      <c r="CV625" s="54">
        <f t="shared" si="145"/>
        <v>10</v>
      </c>
      <c r="CW625" s="55"/>
      <c r="CX625" s="3"/>
    </row>
  </sheetData>
  <mergeCells count="5">
    <mergeCell ref="E2:W2"/>
    <mergeCell ref="X2:AW2"/>
    <mergeCell ref="AX2:BP2"/>
    <mergeCell ref="BQ2:CC2"/>
    <mergeCell ref="CD2:CV2"/>
  </mergeCells>
  <conditionalFormatting sqref="C1:C625">
    <cfRule type="expression" dxfId="4" priority="1">
      <formula>COUNTIF(C:C,$C1)&gt;1</formula>
    </cfRule>
  </conditionalFormatting>
  <conditionalFormatting sqref="E1:CW625">
    <cfRule type="cellIs" dxfId="3" priority="4" operator="lessThan">
      <formula>1</formula>
    </cfRule>
    <cfRule type="containsBlanks" dxfId="2" priority="5">
      <formula>LEN(TRIM(E1))=0</formula>
    </cfRule>
  </conditionalFormatting>
  <conditionalFormatting sqref="F166:F221 F223:F264">
    <cfRule type="cellIs" dxfId="1" priority="2" operator="greaterThan">
      <formula>14</formula>
    </cfRule>
  </conditionalFormatting>
  <conditionalFormatting sqref="AY1:AY221 AY223 AY225:AY227 AY230:AY231 AY234:AY355 AY357:AY625 AZ467:AZ468 AZ477 AZ480 AZ486 AZ585 AZ590">
    <cfRule type="cellIs" dxfId="0" priority="3" operator="greaterThan">
      <formula>14</formula>
    </cfRule>
  </conditionalFormatting>
  <pageMargins left="0.7" right="0.7" top="0.75" bottom="0.75" header="0.3" footer="0.3"/>
  <legacy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2705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1296</v>
      </c>
    </row>
    <row r="2" spans="1:1" ht="15.75" customHeight="1" x14ac:dyDescent="0.25">
      <c r="A2" s="4" t="s">
        <v>1297</v>
      </c>
    </row>
    <row r="3" spans="1:1" ht="15.75" customHeight="1" x14ac:dyDescent="0.25">
      <c r="A3" s="4" t="s">
        <v>1297</v>
      </c>
    </row>
    <row r="4" spans="1:1" ht="15.75" customHeight="1" x14ac:dyDescent="0.25">
      <c r="A4" s="4" t="s">
        <v>1297</v>
      </c>
    </row>
    <row r="5" spans="1:1" ht="15.75" customHeight="1" x14ac:dyDescent="0.25">
      <c r="A5" s="4" t="s">
        <v>1298</v>
      </c>
    </row>
    <row r="6" spans="1:1" ht="15.75" customHeight="1" x14ac:dyDescent="0.25">
      <c r="A6" s="4" t="s">
        <v>1299</v>
      </c>
    </row>
    <row r="7" spans="1:1" ht="15.75" customHeight="1" x14ac:dyDescent="0.25">
      <c r="A7" s="4" t="s">
        <v>1300</v>
      </c>
    </row>
    <row r="8" spans="1:1" ht="15.75" customHeight="1" x14ac:dyDescent="0.25">
      <c r="A8" s="4" t="s">
        <v>1300</v>
      </c>
    </row>
    <row r="9" spans="1:1" ht="15.75" customHeight="1" x14ac:dyDescent="0.25">
      <c r="A9" s="4" t="s">
        <v>1301</v>
      </c>
    </row>
    <row r="10" spans="1:1" ht="15.75" customHeight="1" x14ac:dyDescent="0.25">
      <c r="A10" s="4" t="s">
        <v>1302</v>
      </c>
    </row>
    <row r="11" spans="1:1" ht="15.75" customHeight="1" x14ac:dyDescent="0.25">
      <c r="A11" s="4" t="s">
        <v>1302</v>
      </c>
    </row>
    <row r="12" spans="1:1" ht="15.75" customHeight="1" x14ac:dyDescent="0.25">
      <c r="A12" s="4" t="s">
        <v>1303</v>
      </c>
    </row>
    <row r="13" spans="1:1" ht="15.75" customHeight="1" x14ac:dyDescent="0.25">
      <c r="A13" s="4" t="s">
        <v>1303</v>
      </c>
    </row>
    <row r="14" spans="1:1" ht="15.75" customHeight="1" x14ac:dyDescent="0.25">
      <c r="A14" s="4" t="s">
        <v>1303</v>
      </c>
    </row>
    <row r="15" spans="1:1" ht="15.75" customHeight="1" x14ac:dyDescent="0.25">
      <c r="A15" s="4" t="s">
        <v>1304</v>
      </c>
    </row>
    <row r="16" spans="1:1" ht="15.75" customHeight="1" x14ac:dyDescent="0.25">
      <c r="A16" s="4" t="s">
        <v>1304</v>
      </c>
    </row>
    <row r="17" spans="1:1" ht="15.75" customHeight="1" x14ac:dyDescent="0.25">
      <c r="A17" s="4" t="s">
        <v>1305</v>
      </c>
    </row>
    <row r="18" spans="1:1" ht="15.75" customHeight="1" x14ac:dyDescent="0.25">
      <c r="A18" s="4" t="s">
        <v>1305</v>
      </c>
    </row>
    <row r="19" spans="1:1" ht="15.75" customHeight="1" x14ac:dyDescent="0.25">
      <c r="A19" s="4" t="s">
        <v>1305</v>
      </c>
    </row>
    <row r="20" spans="1:1" ht="12.5" x14ac:dyDescent="0.25">
      <c r="A20" s="4" t="s">
        <v>1306</v>
      </c>
    </row>
    <row r="21" spans="1:1" ht="12.5" x14ac:dyDescent="0.25">
      <c r="A21" s="4" t="s">
        <v>1307</v>
      </c>
    </row>
    <row r="22" spans="1:1" ht="12.5" x14ac:dyDescent="0.25">
      <c r="A22" s="4" t="s">
        <v>1307</v>
      </c>
    </row>
    <row r="23" spans="1:1" ht="12.5" x14ac:dyDescent="0.25">
      <c r="A23" s="4" t="s">
        <v>1307</v>
      </c>
    </row>
    <row r="24" spans="1:1" ht="12.5" x14ac:dyDescent="0.25">
      <c r="A24" s="4" t="s">
        <v>1307</v>
      </c>
    </row>
    <row r="25" spans="1:1" ht="12.5" x14ac:dyDescent="0.25">
      <c r="A25" s="4" t="s">
        <v>1308</v>
      </c>
    </row>
    <row r="26" spans="1:1" ht="12.5" x14ac:dyDescent="0.25">
      <c r="A26" s="4" t="s">
        <v>1308</v>
      </c>
    </row>
    <row r="27" spans="1:1" ht="12.5" x14ac:dyDescent="0.25">
      <c r="A27" s="4" t="s">
        <v>1309</v>
      </c>
    </row>
    <row r="28" spans="1:1" ht="12.5" x14ac:dyDescent="0.25">
      <c r="A28" s="4" t="s">
        <v>1309</v>
      </c>
    </row>
    <row r="29" spans="1:1" ht="12.5" x14ac:dyDescent="0.25">
      <c r="A29" s="4" t="s">
        <v>1309</v>
      </c>
    </row>
    <row r="30" spans="1:1" ht="12.5" x14ac:dyDescent="0.25">
      <c r="A30" s="4" t="s">
        <v>1310</v>
      </c>
    </row>
    <row r="31" spans="1:1" ht="12.5" x14ac:dyDescent="0.25">
      <c r="A31" s="4" t="s">
        <v>1311</v>
      </c>
    </row>
    <row r="32" spans="1:1" ht="12.5" x14ac:dyDescent="0.25">
      <c r="A32" s="4" t="s">
        <v>1311</v>
      </c>
    </row>
    <row r="33" spans="1:1" ht="12.5" x14ac:dyDescent="0.25">
      <c r="A33" s="4" t="s">
        <v>1312</v>
      </c>
    </row>
    <row r="34" spans="1:1" ht="12.5" x14ac:dyDescent="0.25">
      <c r="A34" s="4" t="s">
        <v>1313</v>
      </c>
    </row>
    <row r="35" spans="1:1" ht="12.5" x14ac:dyDescent="0.25">
      <c r="A35" s="4" t="s">
        <v>1313</v>
      </c>
    </row>
    <row r="36" spans="1:1" ht="12.5" x14ac:dyDescent="0.25">
      <c r="A36" s="4" t="s">
        <v>1313</v>
      </c>
    </row>
    <row r="37" spans="1:1" ht="12.5" x14ac:dyDescent="0.25">
      <c r="A37" s="4" t="s">
        <v>1314</v>
      </c>
    </row>
    <row r="38" spans="1:1" ht="12.5" x14ac:dyDescent="0.25">
      <c r="A38" s="4" t="s">
        <v>1314</v>
      </c>
    </row>
    <row r="39" spans="1:1" ht="12.5" x14ac:dyDescent="0.25">
      <c r="A39" s="4" t="s">
        <v>1315</v>
      </c>
    </row>
    <row r="40" spans="1:1" ht="12.5" x14ac:dyDescent="0.25">
      <c r="A40" s="4" t="s">
        <v>1316</v>
      </c>
    </row>
    <row r="41" spans="1:1" ht="12.5" x14ac:dyDescent="0.25">
      <c r="A41" s="4" t="s">
        <v>1316</v>
      </c>
    </row>
    <row r="42" spans="1:1" ht="12.5" x14ac:dyDescent="0.25">
      <c r="A42" s="4" t="s">
        <v>1316</v>
      </c>
    </row>
    <row r="43" spans="1:1" ht="12.5" x14ac:dyDescent="0.25">
      <c r="A43" s="4" t="s">
        <v>1315</v>
      </c>
    </row>
    <row r="44" spans="1:1" ht="12.5" x14ac:dyDescent="0.25">
      <c r="A44" s="4" t="s">
        <v>1316</v>
      </c>
    </row>
    <row r="45" spans="1:1" ht="12.5" x14ac:dyDescent="0.25">
      <c r="A45" s="4" t="s">
        <v>1316</v>
      </c>
    </row>
    <row r="46" spans="1:1" ht="12.5" x14ac:dyDescent="0.25">
      <c r="A46" s="4" t="s">
        <v>1316</v>
      </c>
    </row>
    <row r="47" spans="1:1" ht="12.5" x14ac:dyDescent="0.25">
      <c r="A47" s="4" t="s">
        <v>1316</v>
      </c>
    </row>
    <row r="48" spans="1:1" ht="12.5" x14ac:dyDescent="0.25">
      <c r="A48" s="4" t="s">
        <v>1317</v>
      </c>
    </row>
    <row r="49" spans="1:1" ht="12.5" x14ac:dyDescent="0.25">
      <c r="A49" s="4" t="s">
        <v>1318</v>
      </c>
    </row>
    <row r="50" spans="1:1" ht="12.5" x14ac:dyDescent="0.25">
      <c r="A50" s="4" t="s">
        <v>1318</v>
      </c>
    </row>
    <row r="51" spans="1:1" ht="12.5" x14ac:dyDescent="0.25">
      <c r="A51" s="4" t="s">
        <v>1318</v>
      </c>
    </row>
    <row r="52" spans="1:1" ht="12.5" x14ac:dyDescent="0.25">
      <c r="A52" s="4" t="s">
        <v>1319</v>
      </c>
    </row>
    <row r="53" spans="1:1" ht="12.5" x14ac:dyDescent="0.25">
      <c r="A53" s="4" t="s">
        <v>1319</v>
      </c>
    </row>
    <row r="54" spans="1:1" ht="12.5" x14ac:dyDescent="0.25">
      <c r="A54" s="4" t="s">
        <v>1319</v>
      </c>
    </row>
    <row r="55" spans="1:1" ht="12.5" x14ac:dyDescent="0.25">
      <c r="A55" s="4" t="s">
        <v>1319</v>
      </c>
    </row>
    <row r="56" spans="1:1" ht="12.5" x14ac:dyDescent="0.25">
      <c r="A56" s="4" t="s">
        <v>1319</v>
      </c>
    </row>
    <row r="57" spans="1:1" ht="12.5" x14ac:dyDescent="0.25">
      <c r="A57" s="4" t="s">
        <v>1319</v>
      </c>
    </row>
    <row r="58" spans="1:1" ht="12.5" x14ac:dyDescent="0.25">
      <c r="A58" s="4" t="s">
        <v>1320</v>
      </c>
    </row>
    <row r="59" spans="1:1" ht="12.5" x14ac:dyDescent="0.25">
      <c r="A59" s="4" t="s">
        <v>1320</v>
      </c>
    </row>
    <row r="60" spans="1:1" ht="12.5" x14ac:dyDescent="0.25">
      <c r="A60" s="4" t="s">
        <v>1320</v>
      </c>
    </row>
    <row r="61" spans="1:1" ht="12.5" x14ac:dyDescent="0.25">
      <c r="A61" s="4" t="s">
        <v>1320</v>
      </c>
    </row>
    <row r="62" spans="1:1" ht="12.5" x14ac:dyDescent="0.25">
      <c r="A62" s="4" t="s">
        <v>1320</v>
      </c>
    </row>
    <row r="63" spans="1:1" ht="12.5" x14ac:dyDescent="0.25">
      <c r="A63" s="4" t="s">
        <v>1320</v>
      </c>
    </row>
    <row r="64" spans="1:1" ht="12.5" x14ac:dyDescent="0.25">
      <c r="A64" s="4" t="s">
        <v>1320</v>
      </c>
    </row>
    <row r="65" spans="1:1" ht="12.5" x14ac:dyDescent="0.25">
      <c r="A65" s="4" t="s">
        <v>1321</v>
      </c>
    </row>
    <row r="66" spans="1:1" ht="12.5" x14ac:dyDescent="0.25">
      <c r="A66" s="4" t="s">
        <v>1321</v>
      </c>
    </row>
    <row r="67" spans="1:1" ht="12.5" x14ac:dyDescent="0.25">
      <c r="A67" s="4" t="s">
        <v>1321</v>
      </c>
    </row>
    <row r="68" spans="1:1" ht="12.5" x14ac:dyDescent="0.25">
      <c r="A68" s="4" t="s">
        <v>1321</v>
      </c>
    </row>
    <row r="69" spans="1:1" ht="12.5" x14ac:dyDescent="0.25">
      <c r="A69" s="4" t="s">
        <v>1321</v>
      </c>
    </row>
    <row r="70" spans="1:1" ht="12.5" x14ac:dyDescent="0.25">
      <c r="A70" s="4" t="s">
        <v>1321</v>
      </c>
    </row>
    <row r="71" spans="1:1" ht="12.5" x14ac:dyDescent="0.25">
      <c r="A71" s="4" t="s">
        <v>1321</v>
      </c>
    </row>
    <row r="72" spans="1:1" ht="12.5" x14ac:dyDescent="0.25">
      <c r="A72" s="4" t="s">
        <v>1321</v>
      </c>
    </row>
    <row r="73" spans="1:1" ht="12.5" x14ac:dyDescent="0.25">
      <c r="A73" s="4" t="s">
        <v>1322</v>
      </c>
    </row>
    <row r="74" spans="1:1" ht="12.5" x14ac:dyDescent="0.25">
      <c r="A74" s="4" t="s">
        <v>1323</v>
      </c>
    </row>
    <row r="75" spans="1:1" ht="12.5" x14ac:dyDescent="0.25">
      <c r="A75" s="4" t="s">
        <v>1323</v>
      </c>
    </row>
    <row r="76" spans="1:1" ht="12.5" x14ac:dyDescent="0.25">
      <c r="A76" s="4" t="s">
        <v>1323</v>
      </c>
    </row>
    <row r="77" spans="1:1" ht="12.5" x14ac:dyDescent="0.25">
      <c r="A77" s="4" t="s">
        <v>1323</v>
      </c>
    </row>
    <row r="78" spans="1:1" ht="12.5" x14ac:dyDescent="0.25">
      <c r="A78" s="4" t="s">
        <v>1324</v>
      </c>
    </row>
    <row r="79" spans="1:1" ht="12.5" x14ac:dyDescent="0.25">
      <c r="A79" s="4" t="s">
        <v>1324</v>
      </c>
    </row>
    <row r="80" spans="1:1" ht="12.5" x14ac:dyDescent="0.25">
      <c r="A80" s="4" t="s">
        <v>1324</v>
      </c>
    </row>
    <row r="81" spans="1:1" ht="12.5" x14ac:dyDescent="0.25">
      <c r="A81" s="4" t="s">
        <v>1324</v>
      </c>
    </row>
    <row r="82" spans="1:1" ht="12.5" x14ac:dyDescent="0.25">
      <c r="A82" s="4" t="s">
        <v>1324</v>
      </c>
    </row>
    <row r="83" spans="1:1" ht="12.5" x14ac:dyDescent="0.25">
      <c r="A83" s="4" t="s">
        <v>1324</v>
      </c>
    </row>
    <row r="84" spans="1:1" ht="12.5" x14ac:dyDescent="0.25">
      <c r="A84" s="4" t="s">
        <v>1325</v>
      </c>
    </row>
    <row r="85" spans="1:1" ht="12.5" x14ac:dyDescent="0.25">
      <c r="A85" s="4" t="s">
        <v>1325</v>
      </c>
    </row>
    <row r="86" spans="1:1" ht="12.5" x14ac:dyDescent="0.25">
      <c r="A86" s="4" t="s">
        <v>1325</v>
      </c>
    </row>
    <row r="87" spans="1:1" ht="12.5" x14ac:dyDescent="0.25">
      <c r="A87" s="4" t="s">
        <v>1325</v>
      </c>
    </row>
    <row r="88" spans="1:1" ht="12.5" x14ac:dyDescent="0.25">
      <c r="A88" s="4" t="s">
        <v>1326</v>
      </c>
    </row>
    <row r="89" spans="1:1" ht="12.5" x14ac:dyDescent="0.25">
      <c r="A89" s="4" t="s">
        <v>1326</v>
      </c>
    </row>
    <row r="90" spans="1:1" ht="12.5" x14ac:dyDescent="0.25">
      <c r="A90" s="4" t="s">
        <v>1326</v>
      </c>
    </row>
    <row r="91" spans="1:1" ht="12.5" x14ac:dyDescent="0.25">
      <c r="A91" s="4" t="s">
        <v>1326</v>
      </c>
    </row>
    <row r="92" spans="1:1" ht="12.5" x14ac:dyDescent="0.25">
      <c r="A92" s="4" t="s">
        <v>1326</v>
      </c>
    </row>
    <row r="93" spans="1:1" ht="12.5" x14ac:dyDescent="0.25">
      <c r="A93" s="4" t="s">
        <v>1327</v>
      </c>
    </row>
    <row r="94" spans="1:1" ht="12.5" x14ac:dyDescent="0.25">
      <c r="A94" s="4" t="s">
        <v>1327</v>
      </c>
    </row>
    <row r="95" spans="1:1" ht="12.5" x14ac:dyDescent="0.25">
      <c r="A95" s="4" t="s">
        <v>1327</v>
      </c>
    </row>
    <row r="96" spans="1:1" ht="12.5" x14ac:dyDescent="0.25">
      <c r="A96" s="4" t="s">
        <v>1328</v>
      </c>
    </row>
    <row r="97" spans="1:1" ht="12.5" x14ac:dyDescent="0.25">
      <c r="A97" s="4" t="s">
        <v>1328</v>
      </c>
    </row>
    <row r="98" spans="1:1" ht="12.5" x14ac:dyDescent="0.25">
      <c r="A98" s="4" t="s">
        <v>1328</v>
      </c>
    </row>
    <row r="99" spans="1:1" ht="12.5" x14ac:dyDescent="0.25">
      <c r="A99" s="4" t="s">
        <v>1328</v>
      </c>
    </row>
    <row r="100" spans="1:1" ht="12.5" x14ac:dyDescent="0.25">
      <c r="A100" s="4" t="s">
        <v>1329</v>
      </c>
    </row>
    <row r="101" spans="1:1" ht="12.5" x14ac:dyDescent="0.25">
      <c r="A101" s="4" t="s">
        <v>1329</v>
      </c>
    </row>
    <row r="102" spans="1:1" ht="12.5" x14ac:dyDescent="0.25">
      <c r="A102" s="4" t="s">
        <v>1329</v>
      </c>
    </row>
    <row r="103" spans="1:1" ht="12.5" x14ac:dyDescent="0.25">
      <c r="A103" s="4" t="s">
        <v>1329</v>
      </c>
    </row>
    <row r="104" spans="1:1" ht="12.5" x14ac:dyDescent="0.25">
      <c r="A104" s="4" t="s">
        <v>1330</v>
      </c>
    </row>
    <row r="105" spans="1:1" ht="12.5" x14ac:dyDescent="0.25">
      <c r="A105" s="4" t="s">
        <v>1330</v>
      </c>
    </row>
    <row r="106" spans="1:1" ht="12.5" x14ac:dyDescent="0.25">
      <c r="A106" s="4" t="s">
        <v>1330</v>
      </c>
    </row>
    <row r="107" spans="1:1" ht="12.5" x14ac:dyDescent="0.25">
      <c r="A107" s="4" t="s">
        <v>1331</v>
      </c>
    </row>
    <row r="108" spans="1:1" ht="12.5" x14ac:dyDescent="0.25">
      <c r="A108" s="4" t="s">
        <v>1331</v>
      </c>
    </row>
    <row r="109" spans="1:1" ht="12.5" x14ac:dyDescent="0.25">
      <c r="A109" s="4" t="s">
        <v>1332</v>
      </c>
    </row>
    <row r="110" spans="1:1" ht="12.5" x14ac:dyDescent="0.25">
      <c r="A110" s="4" t="s">
        <v>1332</v>
      </c>
    </row>
    <row r="111" spans="1:1" ht="12.5" x14ac:dyDescent="0.25">
      <c r="A111" s="4" t="s">
        <v>1333</v>
      </c>
    </row>
    <row r="112" spans="1:1" ht="12.5" x14ac:dyDescent="0.25">
      <c r="A112" s="4" t="s">
        <v>1334</v>
      </c>
    </row>
    <row r="113" spans="1:1" ht="12.5" x14ac:dyDescent="0.25">
      <c r="A113" s="4" t="s">
        <v>1335</v>
      </c>
    </row>
    <row r="114" spans="1:1" ht="12.5" x14ac:dyDescent="0.25">
      <c r="A114" s="4" t="s">
        <v>1336</v>
      </c>
    </row>
    <row r="115" spans="1:1" ht="12.5" x14ac:dyDescent="0.25">
      <c r="A115" s="4" t="s">
        <v>1336</v>
      </c>
    </row>
    <row r="116" spans="1:1" ht="12.5" x14ac:dyDescent="0.25">
      <c r="A116" s="4" t="s">
        <v>1337</v>
      </c>
    </row>
    <row r="117" spans="1:1" ht="12.5" x14ac:dyDescent="0.25">
      <c r="A117" s="4" t="s">
        <v>1337</v>
      </c>
    </row>
    <row r="118" spans="1:1" ht="12.5" x14ac:dyDescent="0.25">
      <c r="A118" s="4" t="s">
        <v>1338</v>
      </c>
    </row>
    <row r="119" spans="1:1" ht="12.5" x14ac:dyDescent="0.25">
      <c r="A119" s="4" t="s">
        <v>1339</v>
      </c>
    </row>
    <row r="120" spans="1:1" ht="12.5" x14ac:dyDescent="0.25">
      <c r="A120" s="4" t="s">
        <v>1340</v>
      </c>
    </row>
    <row r="121" spans="1:1" ht="12.5" x14ac:dyDescent="0.25">
      <c r="A121" s="4" t="s">
        <v>1341</v>
      </c>
    </row>
    <row r="122" spans="1:1" ht="12.5" x14ac:dyDescent="0.25">
      <c r="A122" s="4" t="s">
        <v>1342</v>
      </c>
    </row>
    <row r="123" spans="1:1" ht="12.5" x14ac:dyDescent="0.25">
      <c r="A123" s="4" t="s">
        <v>1343</v>
      </c>
    </row>
    <row r="124" spans="1:1" ht="12.5" x14ac:dyDescent="0.25">
      <c r="A124" s="4" t="s">
        <v>1344</v>
      </c>
    </row>
    <row r="125" spans="1:1" ht="12.5" x14ac:dyDescent="0.25">
      <c r="A125" s="4" t="s">
        <v>1344</v>
      </c>
    </row>
    <row r="126" spans="1:1" ht="12.5" x14ac:dyDescent="0.25">
      <c r="A126" s="4" t="s">
        <v>1345</v>
      </c>
    </row>
    <row r="127" spans="1:1" ht="12.5" x14ac:dyDescent="0.25">
      <c r="A127" s="4" t="s">
        <v>1345</v>
      </c>
    </row>
    <row r="128" spans="1:1" ht="12.5" x14ac:dyDescent="0.25">
      <c r="A128" s="4" t="s">
        <v>1346</v>
      </c>
    </row>
    <row r="129" spans="1:1" ht="12.5" x14ac:dyDescent="0.25">
      <c r="A129" s="4" t="s">
        <v>1347</v>
      </c>
    </row>
    <row r="130" spans="1:1" ht="12.5" x14ac:dyDescent="0.25">
      <c r="A130" s="4" t="s">
        <v>1347</v>
      </c>
    </row>
    <row r="131" spans="1:1" ht="12.5" x14ac:dyDescent="0.25">
      <c r="A131" s="4" t="s">
        <v>1347</v>
      </c>
    </row>
    <row r="132" spans="1:1" ht="12.5" x14ac:dyDescent="0.25">
      <c r="A132" s="4" t="s">
        <v>1348</v>
      </c>
    </row>
    <row r="133" spans="1:1" ht="12.5" x14ac:dyDescent="0.25">
      <c r="A133" s="4" t="s">
        <v>1348</v>
      </c>
    </row>
    <row r="134" spans="1:1" ht="12.5" x14ac:dyDescent="0.25">
      <c r="A134" s="4" t="s">
        <v>1348</v>
      </c>
    </row>
    <row r="135" spans="1:1" ht="12.5" x14ac:dyDescent="0.25">
      <c r="A135" s="4" t="s">
        <v>1349</v>
      </c>
    </row>
    <row r="136" spans="1:1" ht="12.5" x14ac:dyDescent="0.25">
      <c r="A136" s="4" t="s">
        <v>1349</v>
      </c>
    </row>
    <row r="137" spans="1:1" ht="12.5" x14ac:dyDescent="0.25">
      <c r="A137" s="4" t="s">
        <v>1349</v>
      </c>
    </row>
    <row r="138" spans="1:1" ht="12.5" x14ac:dyDescent="0.25">
      <c r="A138" s="4" t="s">
        <v>1350</v>
      </c>
    </row>
    <row r="139" spans="1:1" ht="12.5" x14ac:dyDescent="0.25">
      <c r="A139" s="4" t="s">
        <v>1350</v>
      </c>
    </row>
    <row r="140" spans="1:1" ht="12.5" x14ac:dyDescent="0.25">
      <c r="A140" s="4" t="s">
        <v>1350</v>
      </c>
    </row>
    <row r="141" spans="1:1" ht="12.5" x14ac:dyDescent="0.25">
      <c r="A141" s="4" t="s">
        <v>1350</v>
      </c>
    </row>
    <row r="142" spans="1:1" ht="12.5" x14ac:dyDescent="0.25">
      <c r="A142" s="4" t="s">
        <v>1350</v>
      </c>
    </row>
    <row r="143" spans="1:1" ht="12.5" x14ac:dyDescent="0.25">
      <c r="A143" s="4" t="s">
        <v>1350</v>
      </c>
    </row>
    <row r="144" spans="1:1" ht="12.5" x14ac:dyDescent="0.25">
      <c r="A144" s="4" t="s">
        <v>1351</v>
      </c>
    </row>
    <row r="145" spans="1:1" ht="12.5" x14ac:dyDescent="0.25">
      <c r="A145" s="4" t="s">
        <v>1352</v>
      </c>
    </row>
    <row r="146" spans="1:1" ht="12.5" x14ac:dyDescent="0.25">
      <c r="A146" s="4" t="s">
        <v>1353</v>
      </c>
    </row>
    <row r="147" spans="1:1" ht="12.5" x14ac:dyDescent="0.25">
      <c r="A147" s="4" t="s">
        <v>1353</v>
      </c>
    </row>
    <row r="148" spans="1:1" ht="12.5" x14ac:dyDescent="0.25">
      <c r="A148" s="4" t="s">
        <v>1353</v>
      </c>
    </row>
    <row r="149" spans="1:1" ht="12.5" x14ac:dyDescent="0.25">
      <c r="A149" s="4" t="s">
        <v>1354</v>
      </c>
    </row>
    <row r="150" spans="1:1" ht="12.5" x14ac:dyDescent="0.25">
      <c r="A150" s="4" t="s">
        <v>1354</v>
      </c>
    </row>
    <row r="151" spans="1:1" ht="12.5" x14ac:dyDescent="0.25">
      <c r="A151" s="4" t="s">
        <v>1354</v>
      </c>
    </row>
    <row r="152" spans="1:1" ht="12.5" x14ac:dyDescent="0.25">
      <c r="A152" s="4" t="s">
        <v>1354</v>
      </c>
    </row>
    <row r="153" spans="1:1" ht="12.5" x14ac:dyDescent="0.25">
      <c r="A153" s="4" t="s">
        <v>1355</v>
      </c>
    </row>
    <row r="154" spans="1:1" ht="12.5" x14ac:dyDescent="0.25">
      <c r="A154" s="4" t="s">
        <v>1355</v>
      </c>
    </row>
    <row r="155" spans="1:1" ht="12.5" x14ac:dyDescent="0.25">
      <c r="A155" s="4" t="s">
        <v>1355</v>
      </c>
    </row>
    <row r="156" spans="1:1" ht="12.5" x14ac:dyDescent="0.25">
      <c r="A156" s="4" t="s">
        <v>1356</v>
      </c>
    </row>
    <row r="157" spans="1:1" ht="12.5" x14ac:dyDescent="0.25">
      <c r="A157" s="4" t="s">
        <v>1356</v>
      </c>
    </row>
    <row r="158" spans="1:1" ht="12.5" x14ac:dyDescent="0.25">
      <c r="A158" s="4" t="s">
        <v>1356</v>
      </c>
    </row>
    <row r="159" spans="1:1" ht="12.5" x14ac:dyDescent="0.25">
      <c r="A159" s="4" t="s">
        <v>1357</v>
      </c>
    </row>
    <row r="160" spans="1:1" ht="12.5" x14ac:dyDescent="0.25">
      <c r="A160" s="4" t="s">
        <v>1357</v>
      </c>
    </row>
    <row r="161" spans="1:1" ht="12.5" x14ac:dyDescent="0.25">
      <c r="A161" s="4" t="s">
        <v>1357</v>
      </c>
    </row>
    <row r="162" spans="1:1" ht="12.5" x14ac:dyDescent="0.25">
      <c r="A162" s="4" t="s">
        <v>1357</v>
      </c>
    </row>
    <row r="163" spans="1:1" ht="12.5" x14ac:dyDescent="0.25">
      <c r="A163" s="4" t="s">
        <v>1357</v>
      </c>
    </row>
    <row r="164" spans="1:1" ht="12.5" x14ac:dyDescent="0.25">
      <c r="A164" s="4" t="s">
        <v>1357</v>
      </c>
    </row>
    <row r="165" spans="1:1" ht="12.5" x14ac:dyDescent="0.25">
      <c r="A165" s="4" t="s">
        <v>1358</v>
      </c>
    </row>
    <row r="166" spans="1:1" ht="12.5" x14ac:dyDescent="0.25">
      <c r="A166" s="4" t="s">
        <v>1358</v>
      </c>
    </row>
    <row r="167" spans="1:1" ht="12.5" x14ac:dyDescent="0.25">
      <c r="A167" s="4" t="s">
        <v>1358</v>
      </c>
    </row>
    <row r="168" spans="1:1" ht="12.5" x14ac:dyDescent="0.25">
      <c r="A168" s="4" t="s">
        <v>1358</v>
      </c>
    </row>
    <row r="169" spans="1:1" ht="12.5" x14ac:dyDescent="0.25">
      <c r="A169" s="4" t="s">
        <v>1358</v>
      </c>
    </row>
    <row r="170" spans="1:1" ht="12.5" x14ac:dyDescent="0.25">
      <c r="A170" s="4" t="s">
        <v>1359</v>
      </c>
    </row>
    <row r="171" spans="1:1" ht="12.5" x14ac:dyDescent="0.25">
      <c r="A171" s="4" t="s">
        <v>1359</v>
      </c>
    </row>
    <row r="172" spans="1:1" ht="12.5" x14ac:dyDescent="0.25">
      <c r="A172" s="4" t="s">
        <v>1359</v>
      </c>
    </row>
    <row r="173" spans="1:1" ht="12.5" x14ac:dyDescent="0.25">
      <c r="A173" s="4" t="s">
        <v>1359</v>
      </c>
    </row>
    <row r="174" spans="1:1" ht="12.5" x14ac:dyDescent="0.25">
      <c r="A174" s="4" t="s">
        <v>1360</v>
      </c>
    </row>
    <row r="175" spans="1:1" ht="12.5" x14ac:dyDescent="0.25">
      <c r="A175" s="4" t="s">
        <v>1360</v>
      </c>
    </row>
    <row r="176" spans="1:1" ht="12.5" x14ac:dyDescent="0.25">
      <c r="A176" s="4" t="s">
        <v>1360</v>
      </c>
    </row>
    <row r="177" spans="1:1" ht="12.5" x14ac:dyDescent="0.25">
      <c r="A177" s="4" t="s">
        <v>1360</v>
      </c>
    </row>
    <row r="178" spans="1:1" ht="12.5" x14ac:dyDescent="0.25">
      <c r="A178" s="4" t="s">
        <v>1361</v>
      </c>
    </row>
    <row r="179" spans="1:1" ht="12.5" x14ac:dyDescent="0.25">
      <c r="A179" s="4" t="s">
        <v>1361</v>
      </c>
    </row>
    <row r="180" spans="1:1" ht="12.5" x14ac:dyDescent="0.25">
      <c r="A180" s="4" t="s">
        <v>1361</v>
      </c>
    </row>
    <row r="181" spans="1:1" ht="12.5" x14ac:dyDescent="0.25">
      <c r="A181" s="4" t="s">
        <v>1362</v>
      </c>
    </row>
    <row r="182" spans="1:1" ht="12.5" x14ac:dyDescent="0.25">
      <c r="A182" s="4" t="s">
        <v>1363</v>
      </c>
    </row>
    <row r="183" spans="1:1" ht="12.5" x14ac:dyDescent="0.25">
      <c r="A183" s="4" t="s">
        <v>1364</v>
      </c>
    </row>
    <row r="184" spans="1:1" ht="12.5" x14ac:dyDescent="0.25">
      <c r="A184" s="4" t="s">
        <v>1365</v>
      </c>
    </row>
    <row r="185" spans="1:1" ht="12.5" x14ac:dyDescent="0.25">
      <c r="A185" s="4" t="s">
        <v>1365</v>
      </c>
    </row>
    <row r="186" spans="1:1" ht="12.5" x14ac:dyDescent="0.25">
      <c r="A186" s="4" t="s">
        <v>1366</v>
      </c>
    </row>
    <row r="187" spans="1:1" ht="12.5" x14ac:dyDescent="0.25">
      <c r="A187" s="4" t="s">
        <v>1367</v>
      </c>
    </row>
    <row r="188" spans="1:1" ht="12.5" x14ac:dyDescent="0.25">
      <c r="A188" s="4" t="s">
        <v>1367</v>
      </c>
    </row>
    <row r="189" spans="1:1" ht="12.5" x14ac:dyDescent="0.25">
      <c r="A189" s="4" t="s">
        <v>1368</v>
      </c>
    </row>
    <row r="190" spans="1:1" ht="12.5" x14ac:dyDescent="0.25">
      <c r="A190" s="4" t="s">
        <v>1368</v>
      </c>
    </row>
    <row r="191" spans="1:1" ht="12.5" x14ac:dyDescent="0.25">
      <c r="A191" s="4" t="s">
        <v>1369</v>
      </c>
    </row>
    <row r="192" spans="1:1" ht="12.5" x14ac:dyDescent="0.25">
      <c r="A192" s="4" t="s">
        <v>1369</v>
      </c>
    </row>
    <row r="193" spans="1:1" ht="12.5" x14ac:dyDescent="0.25">
      <c r="A193" s="4" t="s">
        <v>1370</v>
      </c>
    </row>
    <row r="194" spans="1:1" ht="12.5" x14ac:dyDescent="0.25">
      <c r="A194" s="4" t="s">
        <v>1371</v>
      </c>
    </row>
    <row r="195" spans="1:1" ht="12.5" x14ac:dyDescent="0.25">
      <c r="A195" s="4" t="s">
        <v>1371</v>
      </c>
    </row>
    <row r="196" spans="1:1" ht="12.5" x14ac:dyDescent="0.25">
      <c r="A196" s="4" t="s">
        <v>1372</v>
      </c>
    </row>
    <row r="197" spans="1:1" ht="12.5" x14ac:dyDescent="0.25">
      <c r="A197" s="4" t="s">
        <v>1372</v>
      </c>
    </row>
    <row r="198" spans="1:1" ht="12.5" x14ac:dyDescent="0.25">
      <c r="A198" s="4" t="s">
        <v>1373</v>
      </c>
    </row>
    <row r="199" spans="1:1" ht="12.5" x14ac:dyDescent="0.25">
      <c r="A199" s="4" t="s">
        <v>1374</v>
      </c>
    </row>
    <row r="200" spans="1:1" ht="12.5" x14ac:dyDescent="0.25">
      <c r="A200" s="4" t="s">
        <v>1375</v>
      </c>
    </row>
    <row r="201" spans="1:1" ht="12.5" x14ac:dyDescent="0.25">
      <c r="A201" s="4" t="s">
        <v>1375</v>
      </c>
    </row>
    <row r="202" spans="1:1" ht="12.5" x14ac:dyDescent="0.25">
      <c r="A202" s="4" t="s">
        <v>1376</v>
      </c>
    </row>
    <row r="203" spans="1:1" ht="12.5" x14ac:dyDescent="0.25">
      <c r="A203" s="4" t="s">
        <v>1376</v>
      </c>
    </row>
    <row r="204" spans="1:1" ht="12.5" x14ac:dyDescent="0.25">
      <c r="A204" s="4" t="s">
        <v>1376</v>
      </c>
    </row>
    <row r="205" spans="1:1" ht="12.5" x14ac:dyDescent="0.25">
      <c r="A205" s="4" t="s">
        <v>1376</v>
      </c>
    </row>
    <row r="206" spans="1:1" ht="12.5" x14ac:dyDescent="0.25">
      <c r="A206" s="4" t="s">
        <v>1377</v>
      </c>
    </row>
    <row r="207" spans="1:1" ht="12.5" x14ac:dyDescent="0.25">
      <c r="A207" s="4" t="s">
        <v>1377</v>
      </c>
    </row>
    <row r="208" spans="1:1" ht="12.5" x14ac:dyDescent="0.25">
      <c r="A208" s="4" t="s">
        <v>1377</v>
      </c>
    </row>
    <row r="209" spans="1:1" ht="12.5" x14ac:dyDescent="0.25">
      <c r="A209" s="4" t="s">
        <v>1378</v>
      </c>
    </row>
    <row r="210" spans="1:1" ht="12.5" x14ac:dyDescent="0.25">
      <c r="A210" s="4" t="s">
        <v>1378</v>
      </c>
    </row>
    <row r="211" spans="1:1" ht="12.5" x14ac:dyDescent="0.25">
      <c r="A211" s="4" t="s">
        <v>1378</v>
      </c>
    </row>
    <row r="212" spans="1:1" ht="12.5" x14ac:dyDescent="0.25">
      <c r="A212" s="4" t="s">
        <v>1379</v>
      </c>
    </row>
    <row r="213" spans="1:1" ht="12.5" x14ac:dyDescent="0.25">
      <c r="A213" s="4" t="s">
        <v>1379</v>
      </c>
    </row>
    <row r="214" spans="1:1" ht="12.5" x14ac:dyDescent="0.25">
      <c r="A214" s="4" t="s">
        <v>1379</v>
      </c>
    </row>
    <row r="215" spans="1:1" ht="12.5" x14ac:dyDescent="0.25">
      <c r="A215" s="4" t="s">
        <v>1380</v>
      </c>
    </row>
    <row r="216" spans="1:1" ht="12.5" x14ac:dyDescent="0.25">
      <c r="A216" s="4" t="s">
        <v>1381</v>
      </c>
    </row>
    <row r="217" spans="1:1" ht="12.5" x14ac:dyDescent="0.25">
      <c r="A217" s="4" t="s">
        <v>1381</v>
      </c>
    </row>
    <row r="218" spans="1:1" ht="12.5" x14ac:dyDescent="0.25">
      <c r="A218" s="4" t="s">
        <v>1382</v>
      </c>
    </row>
    <row r="219" spans="1:1" ht="12.5" x14ac:dyDescent="0.25">
      <c r="A219" s="4" t="s">
        <v>1382</v>
      </c>
    </row>
    <row r="220" spans="1:1" ht="12.5" x14ac:dyDescent="0.25">
      <c r="A220" s="4" t="s">
        <v>1382</v>
      </c>
    </row>
    <row r="221" spans="1:1" ht="12.5" x14ac:dyDescent="0.25">
      <c r="A221" s="4" t="s">
        <v>1383</v>
      </c>
    </row>
    <row r="222" spans="1:1" ht="12.5" x14ac:dyDescent="0.25">
      <c r="A222" s="4" t="s">
        <v>1383</v>
      </c>
    </row>
    <row r="223" spans="1:1" ht="12.5" x14ac:dyDescent="0.25">
      <c r="A223" s="4" t="s">
        <v>1384</v>
      </c>
    </row>
    <row r="224" spans="1:1" ht="12.5" x14ac:dyDescent="0.25">
      <c r="A224" s="4" t="s">
        <v>1385</v>
      </c>
    </row>
    <row r="225" spans="1:1" ht="12.5" x14ac:dyDescent="0.25">
      <c r="A225" s="4" t="s">
        <v>1386</v>
      </c>
    </row>
    <row r="226" spans="1:1" ht="12.5" x14ac:dyDescent="0.25">
      <c r="A226" s="4" t="s">
        <v>1386</v>
      </c>
    </row>
    <row r="227" spans="1:1" ht="12.5" x14ac:dyDescent="0.25">
      <c r="A227" s="4" t="s">
        <v>1386</v>
      </c>
    </row>
    <row r="228" spans="1:1" ht="12.5" x14ac:dyDescent="0.25">
      <c r="A228" s="4" t="s">
        <v>1386</v>
      </c>
    </row>
    <row r="229" spans="1:1" ht="12.5" x14ac:dyDescent="0.25">
      <c r="A229" s="4" t="s">
        <v>1387</v>
      </c>
    </row>
    <row r="230" spans="1:1" ht="12.5" x14ac:dyDescent="0.25">
      <c r="A230" s="4" t="s">
        <v>1388</v>
      </c>
    </row>
    <row r="231" spans="1:1" ht="12.5" x14ac:dyDescent="0.25">
      <c r="A231" s="4" t="s">
        <v>1389</v>
      </c>
    </row>
    <row r="232" spans="1:1" ht="12.5" x14ac:dyDescent="0.25">
      <c r="A232" s="4" t="s">
        <v>1389</v>
      </c>
    </row>
    <row r="233" spans="1:1" ht="12.5" x14ac:dyDescent="0.25">
      <c r="A233" s="4" t="s">
        <v>1389</v>
      </c>
    </row>
    <row r="234" spans="1:1" ht="12.5" x14ac:dyDescent="0.25">
      <c r="A234" s="4" t="s">
        <v>1390</v>
      </c>
    </row>
    <row r="235" spans="1:1" ht="12.5" x14ac:dyDescent="0.25">
      <c r="A235" s="4" t="s">
        <v>1390</v>
      </c>
    </row>
    <row r="236" spans="1:1" ht="12.5" x14ac:dyDescent="0.25">
      <c r="A236" s="4" t="s">
        <v>1390</v>
      </c>
    </row>
    <row r="237" spans="1:1" ht="12.5" x14ac:dyDescent="0.25">
      <c r="A237" s="4" t="s">
        <v>1391</v>
      </c>
    </row>
    <row r="238" spans="1:1" ht="12.5" x14ac:dyDescent="0.25">
      <c r="A238" s="4" t="s">
        <v>1391</v>
      </c>
    </row>
    <row r="239" spans="1:1" ht="12.5" x14ac:dyDescent="0.25">
      <c r="A239" s="4" t="s">
        <v>1392</v>
      </c>
    </row>
    <row r="240" spans="1:1" ht="12.5" x14ac:dyDescent="0.25">
      <c r="A240" s="4" t="s">
        <v>1392</v>
      </c>
    </row>
    <row r="241" spans="1:1" ht="12.5" x14ac:dyDescent="0.25">
      <c r="A241" s="4" t="s">
        <v>1393</v>
      </c>
    </row>
    <row r="242" spans="1:1" ht="12.5" x14ac:dyDescent="0.25">
      <c r="A242" s="4" t="s">
        <v>1393</v>
      </c>
    </row>
    <row r="243" spans="1:1" ht="12.5" x14ac:dyDescent="0.25">
      <c r="A243" s="4" t="s">
        <v>1394</v>
      </c>
    </row>
    <row r="244" spans="1:1" ht="12.5" x14ac:dyDescent="0.25">
      <c r="A244" s="4" t="s">
        <v>1395</v>
      </c>
    </row>
    <row r="245" spans="1:1" ht="12.5" x14ac:dyDescent="0.25">
      <c r="A245" s="4" t="s">
        <v>1396</v>
      </c>
    </row>
    <row r="246" spans="1:1" ht="12.5" x14ac:dyDescent="0.25">
      <c r="A246" s="4" t="s">
        <v>1396</v>
      </c>
    </row>
    <row r="247" spans="1:1" ht="12.5" x14ac:dyDescent="0.25">
      <c r="A247" s="4" t="s">
        <v>1396</v>
      </c>
    </row>
    <row r="248" spans="1:1" ht="12.5" x14ac:dyDescent="0.25">
      <c r="A248" s="4" t="s">
        <v>1397</v>
      </c>
    </row>
    <row r="249" spans="1:1" ht="12.5" x14ac:dyDescent="0.25">
      <c r="A249" s="4" t="s">
        <v>1397</v>
      </c>
    </row>
    <row r="250" spans="1:1" ht="12.5" x14ac:dyDescent="0.25">
      <c r="A250" s="4" t="s">
        <v>1398</v>
      </c>
    </row>
    <row r="251" spans="1:1" ht="12.5" x14ac:dyDescent="0.25">
      <c r="A251" s="4" t="s">
        <v>1398</v>
      </c>
    </row>
    <row r="252" spans="1:1" ht="12.5" x14ac:dyDescent="0.25">
      <c r="A252" s="4" t="s">
        <v>1398</v>
      </c>
    </row>
    <row r="253" spans="1:1" ht="12.5" x14ac:dyDescent="0.25">
      <c r="A253" s="4" t="s">
        <v>1399</v>
      </c>
    </row>
    <row r="254" spans="1:1" ht="12.5" x14ac:dyDescent="0.25">
      <c r="A254" s="4" t="s">
        <v>1400</v>
      </c>
    </row>
    <row r="255" spans="1:1" ht="12.5" x14ac:dyDescent="0.25">
      <c r="A255" s="4" t="s">
        <v>1401</v>
      </c>
    </row>
    <row r="256" spans="1:1" ht="12.5" x14ac:dyDescent="0.25">
      <c r="A256" s="4" t="s">
        <v>1402</v>
      </c>
    </row>
    <row r="257" spans="1:1" ht="12.5" x14ac:dyDescent="0.25">
      <c r="A257" s="4" t="s">
        <v>1402</v>
      </c>
    </row>
    <row r="258" spans="1:1" ht="12.5" x14ac:dyDescent="0.25">
      <c r="A258" s="4" t="s">
        <v>1402</v>
      </c>
    </row>
    <row r="259" spans="1:1" ht="12.5" x14ac:dyDescent="0.25">
      <c r="A259" s="4" t="s">
        <v>1403</v>
      </c>
    </row>
    <row r="260" spans="1:1" ht="12.5" x14ac:dyDescent="0.25">
      <c r="A260" s="4" t="s">
        <v>1404</v>
      </c>
    </row>
    <row r="261" spans="1:1" ht="12.5" x14ac:dyDescent="0.25">
      <c r="A261" s="4" t="s">
        <v>1405</v>
      </c>
    </row>
    <row r="262" spans="1:1" ht="12.5" x14ac:dyDescent="0.25">
      <c r="A262" s="4" t="s">
        <v>1406</v>
      </c>
    </row>
    <row r="263" spans="1:1" ht="12.5" x14ac:dyDescent="0.25">
      <c r="A263" s="4" t="s">
        <v>1407</v>
      </c>
    </row>
    <row r="264" spans="1:1" ht="12.5" x14ac:dyDescent="0.25">
      <c r="A264" s="4" t="s">
        <v>1407</v>
      </c>
    </row>
    <row r="265" spans="1:1" ht="12.5" x14ac:dyDescent="0.25">
      <c r="A265" s="4" t="s">
        <v>1407</v>
      </c>
    </row>
    <row r="266" spans="1:1" ht="12.5" x14ac:dyDescent="0.25">
      <c r="A266" s="4" t="s">
        <v>1407</v>
      </c>
    </row>
    <row r="267" spans="1:1" ht="12.5" x14ac:dyDescent="0.25">
      <c r="A267" s="4" t="s">
        <v>1408</v>
      </c>
    </row>
    <row r="268" spans="1:1" ht="12.5" x14ac:dyDescent="0.25">
      <c r="A268" s="4" t="s">
        <v>1409</v>
      </c>
    </row>
    <row r="269" spans="1:1" ht="12.5" x14ac:dyDescent="0.25">
      <c r="A269" s="4" t="s">
        <v>1409</v>
      </c>
    </row>
    <row r="270" spans="1:1" ht="12.5" x14ac:dyDescent="0.25">
      <c r="A270" s="4" t="s">
        <v>1409</v>
      </c>
    </row>
    <row r="271" spans="1:1" ht="12.5" x14ac:dyDescent="0.25">
      <c r="A271" s="4" t="s">
        <v>1410</v>
      </c>
    </row>
    <row r="272" spans="1:1" ht="12.5" x14ac:dyDescent="0.25">
      <c r="A272" s="4" t="s">
        <v>1411</v>
      </c>
    </row>
    <row r="273" spans="1:1" ht="12.5" x14ac:dyDescent="0.25">
      <c r="A273" s="4" t="s">
        <v>1411</v>
      </c>
    </row>
    <row r="274" spans="1:1" ht="12.5" x14ac:dyDescent="0.25">
      <c r="A274" s="4" t="s">
        <v>1412</v>
      </c>
    </row>
    <row r="275" spans="1:1" ht="12.5" x14ac:dyDescent="0.25">
      <c r="A275" s="4" t="s">
        <v>1413</v>
      </c>
    </row>
    <row r="276" spans="1:1" ht="12.5" x14ac:dyDescent="0.25">
      <c r="A276" s="4" t="s">
        <v>1413</v>
      </c>
    </row>
    <row r="277" spans="1:1" ht="12.5" x14ac:dyDescent="0.25">
      <c r="A277" s="4" t="s">
        <v>1413</v>
      </c>
    </row>
    <row r="278" spans="1:1" ht="12.5" x14ac:dyDescent="0.25">
      <c r="A278" s="4" t="s">
        <v>1414</v>
      </c>
    </row>
    <row r="279" spans="1:1" ht="12.5" x14ac:dyDescent="0.25">
      <c r="A279" s="4" t="s">
        <v>1415</v>
      </c>
    </row>
    <row r="280" spans="1:1" ht="12.5" x14ac:dyDescent="0.25">
      <c r="A280" s="4" t="s">
        <v>1416</v>
      </c>
    </row>
    <row r="281" spans="1:1" ht="12.5" x14ac:dyDescent="0.25">
      <c r="A281" s="4" t="s">
        <v>1416</v>
      </c>
    </row>
    <row r="282" spans="1:1" ht="12.5" x14ac:dyDescent="0.25">
      <c r="A282" s="4" t="s">
        <v>1417</v>
      </c>
    </row>
    <row r="283" spans="1:1" ht="12.5" x14ac:dyDescent="0.25">
      <c r="A283" s="4" t="s">
        <v>1418</v>
      </c>
    </row>
    <row r="284" spans="1:1" ht="12.5" x14ac:dyDescent="0.25">
      <c r="A284" s="4" t="s">
        <v>1418</v>
      </c>
    </row>
    <row r="285" spans="1:1" ht="12.5" x14ac:dyDescent="0.25">
      <c r="A285" s="4" t="s">
        <v>1419</v>
      </c>
    </row>
    <row r="286" spans="1:1" ht="12.5" x14ac:dyDescent="0.25">
      <c r="A286" s="4" t="s">
        <v>1420</v>
      </c>
    </row>
    <row r="287" spans="1:1" ht="12.5" x14ac:dyDescent="0.25">
      <c r="A287" s="4" t="s">
        <v>1421</v>
      </c>
    </row>
    <row r="288" spans="1:1" ht="12.5" x14ac:dyDescent="0.25">
      <c r="A288" s="4" t="s">
        <v>1421</v>
      </c>
    </row>
    <row r="289" spans="1:1" ht="12.5" x14ac:dyDescent="0.25">
      <c r="A289" s="4" t="s">
        <v>1422</v>
      </c>
    </row>
    <row r="290" spans="1:1" ht="12.5" x14ac:dyDescent="0.25">
      <c r="A290" s="4" t="s">
        <v>1422</v>
      </c>
    </row>
    <row r="291" spans="1:1" ht="12.5" x14ac:dyDescent="0.25">
      <c r="A291" s="4" t="s">
        <v>1422</v>
      </c>
    </row>
    <row r="292" spans="1:1" ht="12.5" x14ac:dyDescent="0.25">
      <c r="A292" s="4" t="s">
        <v>1423</v>
      </c>
    </row>
    <row r="293" spans="1:1" ht="12.5" x14ac:dyDescent="0.25">
      <c r="A293" s="4" t="s">
        <v>1423</v>
      </c>
    </row>
    <row r="294" spans="1:1" ht="12.5" x14ac:dyDescent="0.25">
      <c r="A294" s="4" t="s">
        <v>1423</v>
      </c>
    </row>
    <row r="295" spans="1:1" ht="12.5" x14ac:dyDescent="0.25">
      <c r="A295" s="4" t="s">
        <v>1424</v>
      </c>
    </row>
    <row r="296" spans="1:1" ht="12.5" x14ac:dyDescent="0.25">
      <c r="A296" s="4" t="s">
        <v>1424</v>
      </c>
    </row>
    <row r="297" spans="1:1" ht="12.5" x14ac:dyDescent="0.25">
      <c r="A297" s="4" t="s">
        <v>1425</v>
      </c>
    </row>
    <row r="298" spans="1:1" ht="12.5" x14ac:dyDescent="0.25">
      <c r="A298" s="4" t="s">
        <v>1425</v>
      </c>
    </row>
    <row r="299" spans="1:1" ht="12.5" x14ac:dyDescent="0.25">
      <c r="A299" s="4" t="s">
        <v>1426</v>
      </c>
    </row>
    <row r="300" spans="1:1" ht="12.5" x14ac:dyDescent="0.25">
      <c r="A300" s="4" t="s">
        <v>1427</v>
      </c>
    </row>
    <row r="301" spans="1:1" ht="12.5" x14ac:dyDescent="0.25">
      <c r="A301" s="4" t="s">
        <v>1427</v>
      </c>
    </row>
    <row r="302" spans="1:1" ht="12.5" x14ac:dyDescent="0.25">
      <c r="A302" s="4" t="s">
        <v>1428</v>
      </c>
    </row>
    <row r="303" spans="1:1" ht="12.5" x14ac:dyDescent="0.25">
      <c r="A303" s="4" t="s">
        <v>1428</v>
      </c>
    </row>
    <row r="304" spans="1:1" ht="12.5" x14ac:dyDescent="0.25">
      <c r="A304" s="4" t="s">
        <v>1428</v>
      </c>
    </row>
    <row r="305" spans="1:1" ht="12.5" x14ac:dyDescent="0.25">
      <c r="A305" s="4" t="s">
        <v>1429</v>
      </c>
    </row>
    <row r="306" spans="1:1" ht="12.5" x14ac:dyDescent="0.25">
      <c r="A306" s="4" t="s">
        <v>1430</v>
      </c>
    </row>
    <row r="307" spans="1:1" ht="12.5" x14ac:dyDescent="0.25">
      <c r="A307" s="4" t="s">
        <v>1431</v>
      </c>
    </row>
    <row r="308" spans="1:1" ht="12.5" x14ac:dyDescent="0.25">
      <c r="A308" s="4" t="s">
        <v>1431</v>
      </c>
    </row>
    <row r="309" spans="1:1" ht="12.5" x14ac:dyDescent="0.25">
      <c r="A309" s="4" t="s">
        <v>1432</v>
      </c>
    </row>
    <row r="310" spans="1:1" ht="12.5" x14ac:dyDescent="0.25">
      <c r="A310" s="4" t="s">
        <v>1432</v>
      </c>
    </row>
    <row r="311" spans="1:1" ht="12.5" x14ac:dyDescent="0.25">
      <c r="A311" s="4" t="s">
        <v>1432</v>
      </c>
    </row>
    <row r="312" spans="1:1" ht="12.5" x14ac:dyDescent="0.25">
      <c r="A312" s="4" t="s">
        <v>1433</v>
      </c>
    </row>
    <row r="313" spans="1:1" ht="12.5" x14ac:dyDescent="0.25">
      <c r="A313" s="4" t="s">
        <v>1433</v>
      </c>
    </row>
    <row r="314" spans="1:1" ht="12.5" x14ac:dyDescent="0.25">
      <c r="A314" s="4" t="s">
        <v>1433</v>
      </c>
    </row>
    <row r="315" spans="1:1" ht="12.5" x14ac:dyDescent="0.25">
      <c r="A315" s="4" t="s">
        <v>1434</v>
      </c>
    </row>
    <row r="316" spans="1:1" ht="12.5" x14ac:dyDescent="0.25">
      <c r="A316" s="4" t="s">
        <v>1434</v>
      </c>
    </row>
    <row r="317" spans="1:1" ht="12.5" x14ac:dyDescent="0.25">
      <c r="A317" s="4" t="s">
        <v>1435</v>
      </c>
    </row>
    <row r="318" spans="1:1" ht="12.5" x14ac:dyDescent="0.25">
      <c r="A318" s="4" t="s">
        <v>1436</v>
      </c>
    </row>
    <row r="319" spans="1:1" ht="12.5" x14ac:dyDescent="0.25">
      <c r="A319" s="4" t="s">
        <v>1437</v>
      </c>
    </row>
    <row r="320" spans="1:1" ht="12.5" x14ac:dyDescent="0.25">
      <c r="A320" s="4" t="s">
        <v>1438</v>
      </c>
    </row>
    <row r="321" spans="1:1" ht="12.5" x14ac:dyDescent="0.25">
      <c r="A321" s="4" t="s">
        <v>1438</v>
      </c>
    </row>
    <row r="322" spans="1:1" ht="12.5" x14ac:dyDescent="0.25">
      <c r="A322" s="4" t="s">
        <v>1438</v>
      </c>
    </row>
    <row r="323" spans="1:1" ht="12.5" x14ac:dyDescent="0.25">
      <c r="A323" s="4" t="s">
        <v>1439</v>
      </c>
    </row>
    <row r="324" spans="1:1" ht="12.5" x14ac:dyDescent="0.25">
      <c r="A324" s="4" t="s">
        <v>1439</v>
      </c>
    </row>
    <row r="325" spans="1:1" ht="12.5" x14ac:dyDescent="0.25">
      <c r="A325" s="4" t="s">
        <v>1440</v>
      </c>
    </row>
    <row r="326" spans="1:1" ht="12.5" x14ac:dyDescent="0.25">
      <c r="A326" s="4" t="s">
        <v>1440</v>
      </c>
    </row>
    <row r="327" spans="1:1" ht="12.5" x14ac:dyDescent="0.25">
      <c r="A327" s="4" t="s">
        <v>1441</v>
      </c>
    </row>
    <row r="328" spans="1:1" ht="12.5" x14ac:dyDescent="0.25">
      <c r="A328" s="4" t="s">
        <v>1441</v>
      </c>
    </row>
    <row r="329" spans="1:1" ht="12.5" x14ac:dyDescent="0.25">
      <c r="A329" s="4" t="s">
        <v>1441</v>
      </c>
    </row>
    <row r="330" spans="1:1" ht="12.5" x14ac:dyDescent="0.25">
      <c r="A330" s="4" t="s">
        <v>1441</v>
      </c>
    </row>
    <row r="331" spans="1:1" ht="12.5" x14ac:dyDescent="0.25">
      <c r="A331" s="4" t="s">
        <v>1442</v>
      </c>
    </row>
    <row r="332" spans="1:1" ht="12.5" x14ac:dyDescent="0.25">
      <c r="A332" s="4" t="s">
        <v>1442</v>
      </c>
    </row>
    <row r="333" spans="1:1" ht="12.5" x14ac:dyDescent="0.25">
      <c r="A333" s="4" t="s">
        <v>1442</v>
      </c>
    </row>
    <row r="334" spans="1:1" ht="12.5" x14ac:dyDescent="0.25">
      <c r="A334" s="4" t="s">
        <v>1442</v>
      </c>
    </row>
    <row r="335" spans="1:1" ht="12.5" x14ac:dyDescent="0.25">
      <c r="A335" s="4" t="s">
        <v>1443</v>
      </c>
    </row>
    <row r="336" spans="1:1" ht="12.5" x14ac:dyDescent="0.25">
      <c r="A336" s="4" t="s">
        <v>1443</v>
      </c>
    </row>
    <row r="337" spans="1:1" ht="12.5" x14ac:dyDescent="0.25">
      <c r="A337" s="4" t="s">
        <v>1443</v>
      </c>
    </row>
    <row r="338" spans="1:1" ht="12.5" x14ac:dyDescent="0.25">
      <c r="A338" s="4" t="s">
        <v>1443</v>
      </c>
    </row>
    <row r="339" spans="1:1" ht="12.5" x14ac:dyDescent="0.25">
      <c r="A339" s="4" t="s">
        <v>1443</v>
      </c>
    </row>
    <row r="340" spans="1:1" ht="12.5" x14ac:dyDescent="0.25">
      <c r="A340" s="4" t="s">
        <v>1444</v>
      </c>
    </row>
    <row r="341" spans="1:1" ht="12.5" x14ac:dyDescent="0.25">
      <c r="A341" s="4" t="s">
        <v>1444</v>
      </c>
    </row>
    <row r="342" spans="1:1" ht="12.5" x14ac:dyDescent="0.25">
      <c r="A342" s="4" t="s">
        <v>1444</v>
      </c>
    </row>
    <row r="343" spans="1:1" ht="12.5" x14ac:dyDescent="0.25">
      <c r="A343" s="4" t="s">
        <v>1444</v>
      </c>
    </row>
    <row r="344" spans="1:1" ht="12.5" x14ac:dyDescent="0.25">
      <c r="A344" s="4" t="s">
        <v>1444</v>
      </c>
    </row>
    <row r="345" spans="1:1" ht="12.5" x14ac:dyDescent="0.25">
      <c r="A345" s="4" t="s">
        <v>1445</v>
      </c>
    </row>
    <row r="346" spans="1:1" ht="12.5" x14ac:dyDescent="0.25">
      <c r="A346" s="4" t="s">
        <v>1445</v>
      </c>
    </row>
    <row r="347" spans="1:1" ht="12.5" x14ac:dyDescent="0.25">
      <c r="A347" s="4" t="s">
        <v>1445</v>
      </c>
    </row>
    <row r="348" spans="1:1" ht="12.5" x14ac:dyDescent="0.25">
      <c r="A348" s="4" t="s">
        <v>1445</v>
      </c>
    </row>
    <row r="349" spans="1:1" ht="12.5" x14ac:dyDescent="0.25">
      <c r="A349" s="4" t="s">
        <v>1445</v>
      </c>
    </row>
    <row r="350" spans="1:1" ht="12.5" x14ac:dyDescent="0.25">
      <c r="A350" s="4" t="s">
        <v>1445</v>
      </c>
    </row>
    <row r="351" spans="1:1" ht="12.5" x14ac:dyDescent="0.25">
      <c r="A351" s="4" t="s">
        <v>1445</v>
      </c>
    </row>
    <row r="352" spans="1:1" ht="12.5" x14ac:dyDescent="0.25">
      <c r="A352" s="4" t="s">
        <v>1445</v>
      </c>
    </row>
    <row r="353" spans="1:1" ht="12.5" x14ac:dyDescent="0.25">
      <c r="A353" s="4" t="s">
        <v>1446</v>
      </c>
    </row>
    <row r="354" spans="1:1" ht="12.5" x14ac:dyDescent="0.25">
      <c r="A354" s="4" t="s">
        <v>1446</v>
      </c>
    </row>
    <row r="355" spans="1:1" ht="12.5" x14ac:dyDescent="0.25">
      <c r="A355" s="4" t="s">
        <v>1446</v>
      </c>
    </row>
    <row r="356" spans="1:1" ht="12.5" x14ac:dyDescent="0.25">
      <c r="A356" s="4" t="s">
        <v>1446</v>
      </c>
    </row>
    <row r="357" spans="1:1" ht="12.5" x14ac:dyDescent="0.25">
      <c r="A357" s="4" t="s">
        <v>1446</v>
      </c>
    </row>
    <row r="358" spans="1:1" ht="12.5" x14ac:dyDescent="0.25">
      <c r="A358" s="4" t="s">
        <v>1446</v>
      </c>
    </row>
    <row r="359" spans="1:1" ht="12.5" x14ac:dyDescent="0.25">
      <c r="A359" s="4" t="s">
        <v>1447</v>
      </c>
    </row>
    <row r="360" spans="1:1" ht="12.5" x14ac:dyDescent="0.25">
      <c r="A360" s="4" t="s">
        <v>1447</v>
      </c>
    </row>
    <row r="361" spans="1:1" ht="12.5" x14ac:dyDescent="0.25">
      <c r="A361" s="4" t="s">
        <v>1447</v>
      </c>
    </row>
    <row r="362" spans="1:1" ht="12.5" x14ac:dyDescent="0.25">
      <c r="A362" s="4" t="s">
        <v>1447</v>
      </c>
    </row>
    <row r="363" spans="1:1" ht="12.5" x14ac:dyDescent="0.25">
      <c r="A363" s="4" t="s">
        <v>1447</v>
      </c>
    </row>
    <row r="364" spans="1:1" ht="12.5" x14ac:dyDescent="0.25">
      <c r="A364" s="4" t="s">
        <v>1447</v>
      </c>
    </row>
    <row r="365" spans="1:1" ht="12.5" x14ac:dyDescent="0.25">
      <c r="A365" s="4" t="s">
        <v>1447</v>
      </c>
    </row>
    <row r="366" spans="1:1" ht="12.5" x14ac:dyDescent="0.25">
      <c r="A366" s="4" t="s">
        <v>1448</v>
      </c>
    </row>
    <row r="367" spans="1:1" ht="12.5" x14ac:dyDescent="0.25">
      <c r="A367" s="4" t="s">
        <v>1448</v>
      </c>
    </row>
    <row r="368" spans="1:1" ht="12.5" x14ac:dyDescent="0.25">
      <c r="A368" s="4" t="s">
        <v>1448</v>
      </c>
    </row>
    <row r="369" spans="1:1" ht="12.5" x14ac:dyDescent="0.25">
      <c r="A369" s="4" t="s">
        <v>1448</v>
      </c>
    </row>
    <row r="370" spans="1:1" ht="12.5" x14ac:dyDescent="0.25">
      <c r="A370" s="4" t="s">
        <v>1448</v>
      </c>
    </row>
    <row r="371" spans="1:1" ht="12.5" x14ac:dyDescent="0.25">
      <c r="A371" s="4" t="s">
        <v>1448</v>
      </c>
    </row>
    <row r="372" spans="1:1" ht="12.5" x14ac:dyDescent="0.25">
      <c r="A372" s="4" t="s">
        <v>1448</v>
      </c>
    </row>
    <row r="373" spans="1:1" ht="12.5" x14ac:dyDescent="0.25">
      <c r="A373" s="4" t="s">
        <v>1448</v>
      </c>
    </row>
    <row r="374" spans="1:1" ht="12.5" x14ac:dyDescent="0.25">
      <c r="A374" s="4" t="s">
        <v>1448</v>
      </c>
    </row>
    <row r="375" spans="1:1" ht="12.5" x14ac:dyDescent="0.25">
      <c r="A375" s="4" t="s">
        <v>1448</v>
      </c>
    </row>
    <row r="376" spans="1:1" ht="12.5" x14ac:dyDescent="0.25">
      <c r="A376" s="4" t="s">
        <v>1448</v>
      </c>
    </row>
    <row r="377" spans="1:1" ht="12.5" x14ac:dyDescent="0.25">
      <c r="A377" s="4" t="s">
        <v>1448</v>
      </c>
    </row>
    <row r="378" spans="1:1" ht="12.5" x14ac:dyDescent="0.25">
      <c r="A378" s="4" t="s">
        <v>1448</v>
      </c>
    </row>
    <row r="379" spans="1:1" ht="12.5" x14ac:dyDescent="0.25">
      <c r="A379" s="4" t="s">
        <v>1448</v>
      </c>
    </row>
    <row r="380" spans="1:1" ht="12.5" x14ac:dyDescent="0.25">
      <c r="A380" s="4" t="s">
        <v>1449</v>
      </c>
    </row>
    <row r="381" spans="1:1" ht="12.5" x14ac:dyDescent="0.25">
      <c r="A381" s="4" t="s">
        <v>1449</v>
      </c>
    </row>
    <row r="382" spans="1:1" ht="12.5" x14ac:dyDescent="0.25">
      <c r="A382" s="4" t="s">
        <v>1449</v>
      </c>
    </row>
    <row r="383" spans="1:1" ht="12.5" x14ac:dyDescent="0.25">
      <c r="A383" s="4" t="s">
        <v>1449</v>
      </c>
    </row>
    <row r="384" spans="1:1" ht="12.5" x14ac:dyDescent="0.25">
      <c r="A384" s="4" t="s">
        <v>1449</v>
      </c>
    </row>
    <row r="385" spans="1:1" ht="12.5" x14ac:dyDescent="0.25">
      <c r="A385" s="4" t="s">
        <v>1449</v>
      </c>
    </row>
    <row r="386" spans="1:1" ht="12.5" x14ac:dyDescent="0.25">
      <c r="A386" s="4" t="s">
        <v>1449</v>
      </c>
    </row>
    <row r="387" spans="1:1" ht="12.5" x14ac:dyDescent="0.25">
      <c r="A387" s="4" t="s">
        <v>1449</v>
      </c>
    </row>
    <row r="388" spans="1:1" ht="12.5" x14ac:dyDescent="0.25">
      <c r="A388" s="4" t="s">
        <v>1449</v>
      </c>
    </row>
    <row r="389" spans="1:1" ht="12.5" x14ac:dyDescent="0.25">
      <c r="A389" s="4" t="s">
        <v>1449</v>
      </c>
    </row>
    <row r="390" spans="1:1" ht="12.5" x14ac:dyDescent="0.25">
      <c r="A390" s="4" t="s">
        <v>1450</v>
      </c>
    </row>
    <row r="391" spans="1:1" ht="12.5" x14ac:dyDescent="0.25">
      <c r="A391" s="4" t="s">
        <v>1450</v>
      </c>
    </row>
    <row r="392" spans="1:1" ht="12.5" x14ac:dyDescent="0.25">
      <c r="A392" s="4" t="s">
        <v>1450</v>
      </c>
    </row>
    <row r="393" spans="1:1" ht="12.5" x14ac:dyDescent="0.25">
      <c r="A393" s="4" t="s">
        <v>1450</v>
      </c>
    </row>
    <row r="394" spans="1:1" ht="12.5" x14ac:dyDescent="0.25">
      <c r="A394" s="4" t="s">
        <v>1450</v>
      </c>
    </row>
    <row r="395" spans="1:1" ht="12.5" x14ac:dyDescent="0.25">
      <c r="A395" s="4" t="s">
        <v>1451</v>
      </c>
    </row>
    <row r="396" spans="1:1" ht="12.5" x14ac:dyDescent="0.25">
      <c r="A396" s="4" t="s">
        <v>1451</v>
      </c>
    </row>
    <row r="397" spans="1:1" ht="12.5" x14ac:dyDescent="0.25">
      <c r="A397" s="4" t="s">
        <v>1451</v>
      </c>
    </row>
    <row r="398" spans="1:1" ht="12.5" x14ac:dyDescent="0.25">
      <c r="A398" s="4" t="s">
        <v>1451</v>
      </c>
    </row>
    <row r="399" spans="1:1" ht="12.5" x14ac:dyDescent="0.25">
      <c r="A399" s="4" t="s">
        <v>1451</v>
      </c>
    </row>
    <row r="400" spans="1:1" ht="12.5" x14ac:dyDescent="0.25">
      <c r="A400" s="4" t="s">
        <v>1451</v>
      </c>
    </row>
    <row r="401" spans="1:1" ht="12.5" x14ac:dyDescent="0.25">
      <c r="A401" s="4" t="s">
        <v>1452</v>
      </c>
    </row>
    <row r="402" spans="1:1" ht="12.5" x14ac:dyDescent="0.25">
      <c r="A402" s="4" t="s">
        <v>1452</v>
      </c>
    </row>
    <row r="403" spans="1:1" ht="12.5" x14ac:dyDescent="0.25">
      <c r="A403" s="4" t="s">
        <v>1452</v>
      </c>
    </row>
    <row r="404" spans="1:1" ht="12.5" x14ac:dyDescent="0.25">
      <c r="A404" s="4" t="s">
        <v>1452</v>
      </c>
    </row>
    <row r="405" spans="1:1" ht="12.5" x14ac:dyDescent="0.25">
      <c r="A405" s="4" t="s">
        <v>1452</v>
      </c>
    </row>
    <row r="406" spans="1:1" ht="12.5" x14ac:dyDescent="0.25">
      <c r="A406" s="4" t="s">
        <v>1453</v>
      </c>
    </row>
    <row r="407" spans="1:1" ht="12.5" x14ac:dyDescent="0.25">
      <c r="A407" s="4" t="s">
        <v>1453</v>
      </c>
    </row>
    <row r="408" spans="1:1" ht="12.5" x14ac:dyDescent="0.25">
      <c r="A408" s="4" t="s">
        <v>1453</v>
      </c>
    </row>
    <row r="409" spans="1:1" ht="12.5" x14ac:dyDescent="0.25">
      <c r="A409" s="4" t="s">
        <v>1453</v>
      </c>
    </row>
    <row r="410" spans="1:1" ht="12.5" x14ac:dyDescent="0.25">
      <c r="A410" s="4" t="s">
        <v>1454</v>
      </c>
    </row>
    <row r="411" spans="1:1" ht="12.5" x14ac:dyDescent="0.25">
      <c r="A411" s="4" t="s">
        <v>1454</v>
      </c>
    </row>
    <row r="412" spans="1:1" ht="12.5" x14ac:dyDescent="0.25">
      <c r="A412" s="4" t="s">
        <v>1454</v>
      </c>
    </row>
    <row r="413" spans="1:1" ht="12.5" x14ac:dyDescent="0.25">
      <c r="A413" s="4" t="s">
        <v>1454</v>
      </c>
    </row>
    <row r="414" spans="1:1" ht="12.5" x14ac:dyDescent="0.25">
      <c r="A414" s="4" t="s">
        <v>1455</v>
      </c>
    </row>
    <row r="415" spans="1:1" ht="12.5" x14ac:dyDescent="0.25">
      <c r="A415" s="4" t="s">
        <v>1455</v>
      </c>
    </row>
    <row r="416" spans="1:1" ht="12.5" x14ac:dyDescent="0.25">
      <c r="A416" s="4" t="s">
        <v>1455</v>
      </c>
    </row>
    <row r="417" spans="1:1" ht="12.5" x14ac:dyDescent="0.25">
      <c r="A417" s="4" t="s">
        <v>1455</v>
      </c>
    </row>
    <row r="418" spans="1:1" ht="12.5" x14ac:dyDescent="0.25">
      <c r="A418" s="4" t="s">
        <v>1456</v>
      </c>
    </row>
    <row r="419" spans="1:1" ht="12.5" x14ac:dyDescent="0.25">
      <c r="A419" s="4" t="s">
        <v>1456</v>
      </c>
    </row>
    <row r="420" spans="1:1" ht="12.5" x14ac:dyDescent="0.25">
      <c r="A420" s="4" t="s">
        <v>1456</v>
      </c>
    </row>
    <row r="421" spans="1:1" ht="12.5" x14ac:dyDescent="0.25">
      <c r="A421" s="4" t="s">
        <v>1457</v>
      </c>
    </row>
    <row r="422" spans="1:1" ht="12.5" x14ac:dyDescent="0.25">
      <c r="A422" s="4" t="s">
        <v>1457</v>
      </c>
    </row>
    <row r="423" spans="1:1" ht="12.5" x14ac:dyDescent="0.25">
      <c r="A423" s="4" t="s">
        <v>1457</v>
      </c>
    </row>
    <row r="424" spans="1:1" ht="12.5" x14ac:dyDescent="0.25">
      <c r="A424" s="4" t="s">
        <v>1458</v>
      </c>
    </row>
    <row r="425" spans="1:1" ht="12.5" x14ac:dyDescent="0.25">
      <c r="A425" s="4" t="s">
        <v>1458</v>
      </c>
    </row>
    <row r="426" spans="1:1" ht="12.5" x14ac:dyDescent="0.25">
      <c r="A426" s="4" t="s">
        <v>1459</v>
      </c>
    </row>
    <row r="427" spans="1:1" ht="12.5" x14ac:dyDescent="0.25">
      <c r="A427" s="4" t="s">
        <v>1459</v>
      </c>
    </row>
    <row r="428" spans="1:1" ht="12.5" x14ac:dyDescent="0.25">
      <c r="A428" s="4" t="s">
        <v>1460</v>
      </c>
    </row>
    <row r="429" spans="1:1" ht="12.5" x14ac:dyDescent="0.25">
      <c r="A429" s="4" t="s">
        <v>1460</v>
      </c>
    </row>
    <row r="430" spans="1:1" ht="12.5" x14ac:dyDescent="0.25">
      <c r="A430" s="4" t="s">
        <v>1460</v>
      </c>
    </row>
    <row r="431" spans="1:1" ht="12.5" x14ac:dyDescent="0.25">
      <c r="A431" s="4" t="s">
        <v>1461</v>
      </c>
    </row>
    <row r="432" spans="1:1" ht="12.5" x14ac:dyDescent="0.25">
      <c r="A432" s="4" t="s">
        <v>1461</v>
      </c>
    </row>
    <row r="433" spans="1:1" ht="12.5" x14ac:dyDescent="0.25">
      <c r="A433" s="4" t="s">
        <v>1461</v>
      </c>
    </row>
    <row r="434" spans="1:1" ht="12.5" x14ac:dyDescent="0.25">
      <c r="A434" s="4" t="s">
        <v>1462</v>
      </c>
    </row>
    <row r="435" spans="1:1" ht="12.5" x14ac:dyDescent="0.25">
      <c r="A435" s="4" t="s">
        <v>1462</v>
      </c>
    </row>
    <row r="436" spans="1:1" ht="12.5" x14ac:dyDescent="0.25">
      <c r="A436" s="4" t="s">
        <v>1463</v>
      </c>
    </row>
    <row r="437" spans="1:1" ht="12.5" x14ac:dyDescent="0.25">
      <c r="A437" s="4" t="s">
        <v>1464</v>
      </c>
    </row>
    <row r="438" spans="1:1" ht="12.5" x14ac:dyDescent="0.25">
      <c r="A438" s="4" t="s">
        <v>1464</v>
      </c>
    </row>
    <row r="439" spans="1:1" ht="12.5" x14ac:dyDescent="0.25">
      <c r="A439" s="4" t="s">
        <v>1464</v>
      </c>
    </row>
    <row r="440" spans="1:1" ht="12.5" x14ac:dyDescent="0.25">
      <c r="A440" s="4" t="s">
        <v>1464</v>
      </c>
    </row>
    <row r="441" spans="1:1" ht="12.5" x14ac:dyDescent="0.25">
      <c r="A441" s="4" t="s">
        <v>1465</v>
      </c>
    </row>
    <row r="442" spans="1:1" ht="12.5" x14ac:dyDescent="0.25">
      <c r="A442" s="4" t="s">
        <v>1465</v>
      </c>
    </row>
    <row r="443" spans="1:1" ht="12.5" x14ac:dyDescent="0.25">
      <c r="A443" s="4" t="s">
        <v>1465</v>
      </c>
    </row>
    <row r="444" spans="1:1" ht="12.5" x14ac:dyDescent="0.25">
      <c r="A444" s="4" t="s">
        <v>1465</v>
      </c>
    </row>
    <row r="445" spans="1:1" ht="12.5" x14ac:dyDescent="0.25">
      <c r="A445" s="4" t="s">
        <v>1466</v>
      </c>
    </row>
    <row r="446" spans="1:1" ht="12.5" x14ac:dyDescent="0.25">
      <c r="A446" s="4" t="s">
        <v>1466</v>
      </c>
    </row>
    <row r="447" spans="1:1" ht="12.5" x14ac:dyDescent="0.25">
      <c r="A447" s="4" t="s">
        <v>1466</v>
      </c>
    </row>
    <row r="448" spans="1:1" ht="12.5" x14ac:dyDescent="0.25">
      <c r="A448" s="4" t="s">
        <v>1466</v>
      </c>
    </row>
    <row r="449" spans="1:1" ht="12.5" x14ac:dyDescent="0.25">
      <c r="A449" s="4" t="s">
        <v>1467</v>
      </c>
    </row>
    <row r="450" spans="1:1" ht="12.5" x14ac:dyDescent="0.25">
      <c r="A450" s="4" t="s">
        <v>1468</v>
      </c>
    </row>
    <row r="451" spans="1:1" ht="12.5" x14ac:dyDescent="0.25">
      <c r="A451" s="4" t="s">
        <v>1469</v>
      </c>
    </row>
    <row r="452" spans="1:1" ht="12.5" x14ac:dyDescent="0.25">
      <c r="A452" s="4" t="s">
        <v>1469</v>
      </c>
    </row>
    <row r="453" spans="1:1" ht="12.5" x14ac:dyDescent="0.25">
      <c r="A453" s="4" t="s">
        <v>1469</v>
      </c>
    </row>
    <row r="454" spans="1:1" ht="12.5" x14ac:dyDescent="0.25">
      <c r="A454" s="4" t="s">
        <v>1470</v>
      </c>
    </row>
    <row r="455" spans="1:1" ht="12.5" x14ac:dyDescent="0.25">
      <c r="A455" s="4" t="s">
        <v>1471</v>
      </c>
    </row>
    <row r="456" spans="1:1" ht="12.5" x14ac:dyDescent="0.25">
      <c r="A456" s="4" t="s">
        <v>1471</v>
      </c>
    </row>
    <row r="457" spans="1:1" ht="12.5" x14ac:dyDescent="0.25">
      <c r="A457" s="4" t="s">
        <v>1472</v>
      </c>
    </row>
    <row r="458" spans="1:1" ht="12.5" x14ac:dyDescent="0.25">
      <c r="A458" s="4" t="s">
        <v>1472</v>
      </c>
    </row>
    <row r="459" spans="1:1" ht="12.5" x14ac:dyDescent="0.25">
      <c r="A459" s="4" t="s">
        <v>1472</v>
      </c>
    </row>
    <row r="460" spans="1:1" ht="12.5" x14ac:dyDescent="0.25">
      <c r="A460" s="4" t="s">
        <v>1473</v>
      </c>
    </row>
    <row r="461" spans="1:1" ht="12.5" x14ac:dyDescent="0.25">
      <c r="A461" s="4" t="s">
        <v>1473</v>
      </c>
    </row>
    <row r="462" spans="1:1" ht="12.5" x14ac:dyDescent="0.25">
      <c r="A462" s="4" t="s">
        <v>1473</v>
      </c>
    </row>
    <row r="463" spans="1:1" ht="12.5" x14ac:dyDescent="0.25">
      <c r="A463" s="4" t="s">
        <v>1473</v>
      </c>
    </row>
    <row r="464" spans="1:1" ht="12.5" x14ac:dyDescent="0.25">
      <c r="A464" s="4" t="s">
        <v>1474</v>
      </c>
    </row>
    <row r="465" spans="1:1" ht="12.5" x14ac:dyDescent="0.25">
      <c r="A465" s="4" t="s">
        <v>1474</v>
      </c>
    </row>
    <row r="466" spans="1:1" ht="12.5" x14ac:dyDescent="0.25">
      <c r="A466" s="4" t="s">
        <v>1475</v>
      </c>
    </row>
    <row r="467" spans="1:1" ht="12.5" x14ac:dyDescent="0.25">
      <c r="A467" s="4" t="s">
        <v>1475</v>
      </c>
    </row>
    <row r="468" spans="1:1" ht="12.5" x14ac:dyDescent="0.25">
      <c r="A468" s="4" t="s">
        <v>1476</v>
      </c>
    </row>
    <row r="469" spans="1:1" ht="12.5" x14ac:dyDescent="0.25">
      <c r="A469" s="4" t="s">
        <v>1476</v>
      </c>
    </row>
    <row r="470" spans="1:1" ht="12.5" x14ac:dyDescent="0.25">
      <c r="A470" s="4" t="s">
        <v>1477</v>
      </c>
    </row>
    <row r="471" spans="1:1" ht="12.5" x14ac:dyDescent="0.25">
      <c r="A471" s="4" t="s">
        <v>1477</v>
      </c>
    </row>
    <row r="472" spans="1:1" ht="12.5" x14ac:dyDescent="0.25">
      <c r="A472" s="4" t="s">
        <v>1477</v>
      </c>
    </row>
    <row r="473" spans="1:1" ht="12.5" x14ac:dyDescent="0.25">
      <c r="A473" s="4" t="s">
        <v>1478</v>
      </c>
    </row>
    <row r="474" spans="1:1" ht="12.5" x14ac:dyDescent="0.25">
      <c r="A474" s="4" t="s">
        <v>1479</v>
      </c>
    </row>
    <row r="475" spans="1:1" ht="12.5" x14ac:dyDescent="0.25">
      <c r="A475" s="4" t="s">
        <v>1480</v>
      </c>
    </row>
    <row r="476" spans="1:1" ht="12.5" x14ac:dyDescent="0.25">
      <c r="A476" s="4" t="s">
        <v>1481</v>
      </c>
    </row>
    <row r="477" spans="1:1" ht="12.5" x14ac:dyDescent="0.25">
      <c r="A477" s="4" t="s">
        <v>1481</v>
      </c>
    </row>
    <row r="478" spans="1:1" ht="12.5" x14ac:dyDescent="0.25">
      <c r="A478" s="4" t="s">
        <v>1481</v>
      </c>
    </row>
    <row r="479" spans="1:1" ht="12.5" x14ac:dyDescent="0.25">
      <c r="A479" s="4" t="s">
        <v>1482</v>
      </c>
    </row>
    <row r="480" spans="1:1" ht="12.5" x14ac:dyDescent="0.25">
      <c r="A480" s="4" t="s">
        <v>1482</v>
      </c>
    </row>
    <row r="481" spans="1:1" ht="12.5" x14ac:dyDescent="0.25">
      <c r="A481" s="4" t="s">
        <v>1482</v>
      </c>
    </row>
    <row r="482" spans="1:1" ht="12.5" x14ac:dyDescent="0.25">
      <c r="A482" s="4" t="s">
        <v>1482</v>
      </c>
    </row>
    <row r="483" spans="1:1" ht="12.5" x14ac:dyDescent="0.25">
      <c r="A483" s="4" t="s">
        <v>1483</v>
      </c>
    </row>
    <row r="484" spans="1:1" ht="12.5" x14ac:dyDescent="0.25">
      <c r="A484" s="4" t="s">
        <v>1483</v>
      </c>
    </row>
    <row r="485" spans="1:1" ht="12.5" x14ac:dyDescent="0.25">
      <c r="A485" s="4" t="s">
        <v>1483</v>
      </c>
    </row>
    <row r="486" spans="1:1" ht="12.5" x14ac:dyDescent="0.25">
      <c r="A486" s="4" t="s">
        <v>1483</v>
      </c>
    </row>
    <row r="487" spans="1:1" ht="12.5" x14ac:dyDescent="0.25">
      <c r="A487" s="4" t="s">
        <v>1484</v>
      </c>
    </row>
    <row r="488" spans="1:1" ht="12.5" x14ac:dyDescent="0.25">
      <c r="A488" s="4" t="s">
        <v>1484</v>
      </c>
    </row>
    <row r="489" spans="1:1" ht="12.5" x14ac:dyDescent="0.25">
      <c r="A489" s="4" t="s">
        <v>1484</v>
      </c>
    </row>
    <row r="490" spans="1:1" ht="12.5" x14ac:dyDescent="0.25">
      <c r="A490" s="4" t="s">
        <v>1484</v>
      </c>
    </row>
    <row r="491" spans="1:1" ht="12.5" x14ac:dyDescent="0.25">
      <c r="A491" s="4" t="s">
        <v>1484</v>
      </c>
    </row>
    <row r="492" spans="1:1" ht="12.5" x14ac:dyDescent="0.25">
      <c r="A492" s="4" t="s">
        <v>1485</v>
      </c>
    </row>
    <row r="493" spans="1:1" ht="12.5" x14ac:dyDescent="0.25">
      <c r="A493" s="4" t="s">
        <v>1485</v>
      </c>
    </row>
    <row r="494" spans="1:1" ht="12.5" x14ac:dyDescent="0.25">
      <c r="A494" s="4" t="s">
        <v>1485</v>
      </c>
    </row>
    <row r="495" spans="1:1" ht="12.5" x14ac:dyDescent="0.25">
      <c r="A495" s="4" t="s">
        <v>1485</v>
      </c>
    </row>
    <row r="496" spans="1:1" ht="12.5" x14ac:dyDescent="0.25">
      <c r="A496" s="4" t="s">
        <v>1486</v>
      </c>
    </row>
    <row r="497" spans="1:1" ht="12.5" x14ac:dyDescent="0.25">
      <c r="A497" s="4" t="s">
        <v>1486</v>
      </c>
    </row>
    <row r="498" spans="1:1" ht="12.5" x14ac:dyDescent="0.25">
      <c r="A498" s="4" t="s">
        <v>1486</v>
      </c>
    </row>
    <row r="499" spans="1:1" ht="12.5" x14ac:dyDescent="0.25">
      <c r="A499" s="4" t="s">
        <v>1486</v>
      </c>
    </row>
    <row r="500" spans="1:1" ht="12.5" x14ac:dyDescent="0.25">
      <c r="A500" s="4" t="s">
        <v>1486</v>
      </c>
    </row>
    <row r="501" spans="1:1" ht="12.5" x14ac:dyDescent="0.25">
      <c r="A501" s="4" t="s">
        <v>1486</v>
      </c>
    </row>
    <row r="502" spans="1:1" ht="12.5" x14ac:dyDescent="0.25">
      <c r="A502" s="4" t="s">
        <v>1486</v>
      </c>
    </row>
    <row r="503" spans="1:1" ht="12.5" x14ac:dyDescent="0.25">
      <c r="A503" s="4" t="s">
        <v>1487</v>
      </c>
    </row>
    <row r="504" spans="1:1" ht="12.5" x14ac:dyDescent="0.25">
      <c r="A504" s="4" t="s">
        <v>1487</v>
      </c>
    </row>
    <row r="505" spans="1:1" ht="12.5" x14ac:dyDescent="0.25">
      <c r="A505" s="4" t="s">
        <v>1487</v>
      </c>
    </row>
    <row r="506" spans="1:1" ht="12.5" x14ac:dyDescent="0.25">
      <c r="A506" s="4" t="s">
        <v>1488</v>
      </c>
    </row>
    <row r="507" spans="1:1" ht="12.5" x14ac:dyDescent="0.25">
      <c r="A507" s="4" t="s">
        <v>1488</v>
      </c>
    </row>
    <row r="508" spans="1:1" ht="12.5" x14ac:dyDescent="0.25">
      <c r="A508" s="4" t="s">
        <v>1488</v>
      </c>
    </row>
    <row r="509" spans="1:1" ht="12.5" x14ac:dyDescent="0.25">
      <c r="A509" s="4" t="s">
        <v>1488</v>
      </c>
    </row>
    <row r="510" spans="1:1" ht="12.5" x14ac:dyDescent="0.25">
      <c r="A510" s="4" t="s">
        <v>1489</v>
      </c>
    </row>
    <row r="511" spans="1:1" ht="12.5" x14ac:dyDescent="0.25">
      <c r="A511" s="4" t="s">
        <v>1489</v>
      </c>
    </row>
    <row r="512" spans="1:1" ht="12.5" x14ac:dyDescent="0.25">
      <c r="A512" s="4" t="s">
        <v>1489</v>
      </c>
    </row>
    <row r="513" spans="1:1" ht="12.5" x14ac:dyDescent="0.25">
      <c r="A513" s="4" t="s">
        <v>1489</v>
      </c>
    </row>
    <row r="514" spans="1:1" ht="12.5" x14ac:dyDescent="0.25">
      <c r="A514" s="4" t="s">
        <v>1489</v>
      </c>
    </row>
    <row r="515" spans="1:1" ht="12.5" x14ac:dyDescent="0.25">
      <c r="A515" s="4" t="s">
        <v>1490</v>
      </c>
    </row>
    <row r="516" spans="1:1" ht="12.5" x14ac:dyDescent="0.25">
      <c r="A516" s="4" t="s">
        <v>1490</v>
      </c>
    </row>
    <row r="517" spans="1:1" ht="12.5" x14ac:dyDescent="0.25">
      <c r="A517" s="4" t="s">
        <v>1490</v>
      </c>
    </row>
    <row r="518" spans="1:1" ht="12.5" x14ac:dyDescent="0.25">
      <c r="A518" s="4" t="s">
        <v>1490</v>
      </c>
    </row>
    <row r="519" spans="1:1" ht="12.5" x14ac:dyDescent="0.25">
      <c r="A519" s="4" t="s">
        <v>1490</v>
      </c>
    </row>
    <row r="520" spans="1:1" ht="12.5" x14ac:dyDescent="0.25">
      <c r="A520" s="4" t="s">
        <v>1490</v>
      </c>
    </row>
    <row r="521" spans="1:1" ht="12.5" x14ac:dyDescent="0.25">
      <c r="A521" s="4" t="s">
        <v>1491</v>
      </c>
    </row>
    <row r="522" spans="1:1" ht="12.5" x14ac:dyDescent="0.25">
      <c r="A522" s="4" t="s">
        <v>1491</v>
      </c>
    </row>
    <row r="523" spans="1:1" ht="12.5" x14ac:dyDescent="0.25">
      <c r="A523" s="4" t="s">
        <v>1491</v>
      </c>
    </row>
    <row r="524" spans="1:1" ht="12.5" x14ac:dyDescent="0.25">
      <c r="A524" s="4" t="s">
        <v>1491</v>
      </c>
    </row>
    <row r="525" spans="1:1" ht="12.5" x14ac:dyDescent="0.25">
      <c r="A525" s="4" t="s">
        <v>1492</v>
      </c>
    </row>
    <row r="526" spans="1:1" ht="12.5" x14ac:dyDescent="0.25">
      <c r="A526" s="4" t="s">
        <v>1492</v>
      </c>
    </row>
    <row r="527" spans="1:1" ht="12.5" x14ac:dyDescent="0.25">
      <c r="A527" s="4" t="s">
        <v>1492</v>
      </c>
    </row>
    <row r="528" spans="1:1" ht="12.5" x14ac:dyDescent="0.25">
      <c r="A528" s="4" t="s">
        <v>1492</v>
      </c>
    </row>
    <row r="529" spans="1:1" ht="12.5" x14ac:dyDescent="0.25">
      <c r="A529" s="4" t="s">
        <v>1492</v>
      </c>
    </row>
    <row r="530" spans="1:1" ht="12.5" x14ac:dyDescent="0.25">
      <c r="A530" s="4" t="s">
        <v>1492</v>
      </c>
    </row>
    <row r="531" spans="1:1" ht="12.5" x14ac:dyDescent="0.25">
      <c r="A531" s="4" t="s">
        <v>1493</v>
      </c>
    </row>
    <row r="532" spans="1:1" ht="12.5" x14ac:dyDescent="0.25">
      <c r="A532" s="4" t="s">
        <v>1493</v>
      </c>
    </row>
    <row r="533" spans="1:1" ht="12.5" x14ac:dyDescent="0.25">
      <c r="A533" s="4" t="s">
        <v>1493</v>
      </c>
    </row>
    <row r="534" spans="1:1" ht="12.5" x14ac:dyDescent="0.25">
      <c r="A534" s="4" t="s">
        <v>1493</v>
      </c>
    </row>
    <row r="535" spans="1:1" ht="12.5" x14ac:dyDescent="0.25">
      <c r="A535" s="4" t="s">
        <v>1494</v>
      </c>
    </row>
    <row r="536" spans="1:1" ht="12.5" x14ac:dyDescent="0.25">
      <c r="A536" s="4" t="s">
        <v>1494</v>
      </c>
    </row>
    <row r="537" spans="1:1" ht="12.5" x14ac:dyDescent="0.25">
      <c r="A537" s="4" t="s">
        <v>1494</v>
      </c>
    </row>
    <row r="538" spans="1:1" ht="12.5" x14ac:dyDescent="0.25">
      <c r="A538" s="4" t="s">
        <v>1494</v>
      </c>
    </row>
    <row r="539" spans="1:1" ht="12.5" x14ac:dyDescent="0.25">
      <c r="A539" s="4" t="s">
        <v>1494</v>
      </c>
    </row>
    <row r="540" spans="1:1" ht="12.5" x14ac:dyDescent="0.25">
      <c r="A540" s="4" t="s">
        <v>1494</v>
      </c>
    </row>
    <row r="541" spans="1:1" ht="12.5" x14ac:dyDescent="0.25">
      <c r="A541" s="4" t="s">
        <v>1494</v>
      </c>
    </row>
    <row r="542" spans="1:1" ht="12.5" x14ac:dyDescent="0.25">
      <c r="A542" s="4" t="s">
        <v>1495</v>
      </c>
    </row>
    <row r="543" spans="1:1" ht="12.5" x14ac:dyDescent="0.25">
      <c r="A543" s="4" t="s">
        <v>1495</v>
      </c>
    </row>
    <row r="544" spans="1:1" ht="12.5" x14ac:dyDescent="0.25">
      <c r="A544" s="4" t="s">
        <v>1495</v>
      </c>
    </row>
    <row r="545" spans="1:1" ht="12.5" x14ac:dyDescent="0.25">
      <c r="A545" s="4" t="s">
        <v>1495</v>
      </c>
    </row>
    <row r="546" spans="1:1" ht="12.5" x14ac:dyDescent="0.25">
      <c r="A546" s="4" t="s">
        <v>1496</v>
      </c>
    </row>
    <row r="547" spans="1:1" ht="12.5" x14ac:dyDescent="0.25">
      <c r="A547" s="4" t="s">
        <v>1496</v>
      </c>
    </row>
    <row r="548" spans="1:1" ht="12.5" x14ac:dyDescent="0.25">
      <c r="A548" s="4" t="s">
        <v>1496</v>
      </c>
    </row>
    <row r="549" spans="1:1" ht="12.5" x14ac:dyDescent="0.25">
      <c r="A549" s="4" t="s">
        <v>1497</v>
      </c>
    </row>
    <row r="550" spans="1:1" ht="12.5" x14ac:dyDescent="0.25">
      <c r="A550" s="4" t="s">
        <v>1497</v>
      </c>
    </row>
    <row r="551" spans="1:1" ht="12.5" x14ac:dyDescent="0.25">
      <c r="A551" s="4" t="s">
        <v>1498</v>
      </c>
    </row>
    <row r="552" spans="1:1" ht="12.5" x14ac:dyDescent="0.25">
      <c r="A552" s="4" t="s">
        <v>1498</v>
      </c>
    </row>
    <row r="553" spans="1:1" ht="12.5" x14ac:dyDescent="0.25">
      <c r="A553" s="4" t="s">
        <v>1498</v>
      </c>
    </row>
    <row r="554" spans="1:1" ht="12.5" x14ac:dyDescent="0.25">
      <c r="A554" s="4" t="s">
        <v>1498</v>
      </c>
    </row>
    <row r="555" spans="1:1" ht="12.5" x14ac:dyDescent="0.25">
      <c r="A555" s="4" t="s">
        <v>1499</v>
      </c>
    </row>
    <row r="556" spans="1:1" ht="12.5" x14ac:dyDescent="0.25">
      <c r="A556" s="4" t="s">
        <v>1499</v>
      </c>
    </row>
    <row r="557" spans="1:1" ht="12.5" x14ac:dyDescent="0.25">
      <c r="A557" s="4" t="s">
        <v>1500</v>
      </c>
    </row>
    <row r="558" spans="1:1" ht="12.5" x14ac:dyDescent="0.25">
      <c r="A558" s="4" t="s">
        <v>1501</v>
      </c>
    </row>
    <row r="559" spans="1:1" ht="12.5" x14ac:dyDescent="0.25">
      <c r="A559" s="4" t="s">
        <v>1501</v>
      </c>
    </row>
    <row r="560" spans="1:1" ht="12.5" x14ac:dyDescent="0.25">
      <c r="A560" s="4" t="s">
        <v>1501</v>
      </c>
    </row>
    <row r="561" spans="1:1" ht="12.5" x14ac:dyDescent="0.25">
      <c r="A561" s="4" t="s">
        <v>1501</v>
      </c>
    </row>
    <row r="562" spans="1:1" ht="12.5" x14ac:dyDescent="0.25">
      <c r="A562" s="4" t="s">
        <v>1501</v>
      </c>
    </row>
    <row r="563" spans="1:1" ht="12.5" x14ac:dyDescent="0.25">
      <c r="A563" s="4" t="s">
        <v>1502</v>
      </c>
    </row>
    <row r="564" spans="1:1" ht="12.5" x14ac:dyDescent="0.25">
      <c r="A564" s="4" t="s">
        <v>1502</v>
      </c>
    </row>
    <row r="565" spans="1:1" ht="12.5" x14ac:dyDescent="0.25">
      <c r="A565" s="4" t="s">
        <v>1502</v>
      </c>
    </row>
    <row r="566" spans="1:1" ht="12.5" x14ac:dyDescent="0.25">
      <c r="A566" s="4" t="s">
        <v>1502</v>
      </c>
    </row>
    <row r="567" spans="1:1" ht="12.5" x14ac:dyDescent="0.25">
      <c r="A567" s="4" t="s">
        <v>1502</v>
      </c>
    </row>
    <row r="568" spans="1:1" ht="12.5" x14ac:dyDescent="0.25">
      <c r="A568" s="4" t="s">
        <v>1502</v>
      </c>
    </row>
    <row r="569" spans="1:1" ht="12.5" x14ac:dyDescent="0.25">
      <c r="A569" s="4" t="s">
        <v>1503</v>
      </c>
    </row>
    <row r="570" spans="1:1" ht="12.5" x14ac:dyDescent="0.25">
      <c r="A570" s="4" t="s">
        <v>1503</v>
      </c>
    </row>
    <row r="571" spans="1:1" ht="12.5" x14ac:dyDescent="0.25">
      <c r="A571" s="4" t="s">
        <v>1504</v>
      </c>
    </row>
    <row r="572" spans="1:1" ht="12.5" x14ac:dyDescent="0.25">
      <c r="A572" s="4" t="s">
        <v>1505</v>
      </c>
    </row>
    <row r="573" spans="1:1" ht="12.5" x14ac:dyDescent="0.25">
      <c r="A573" s="4" t="s">
        <v>1505</v>
      </c>
    </row>
    <row r="574" spans="1:1" ht="12.5" x14ac:dyDescent="0.25">
      <c r="A574" s="4" t="s">
        <v>1505</v>
      </c>
    </row>
    <row r="575" spans="1:1" ht="12.5" x14ac:dyDescent="0.25">
      <c r="A575" s="4" t="s">
        <v>1505</v>
      </c>
    </row>
    <row r="576" spans="1:1" ht="12.5" x14ac:dyDescent="0.25">
      <c r="A576" s="4" t="s">
        <v>1506</v>
      </c>
    </row>
    <row r="577" spans="1:1" ht="12.5" x14ac:dyDescent="0.25">
      <c r="A577" s="4" t="s">
        <v>1507</v>
      </c>
    </row>
    <row r="578" spans="1:1" ht="12.5" x14ac:dyDescent="0.25">
      <c r="A578" s="4" t="s">
        <v>1507</v>
      </c>
    </row>
    <row r="579" spans="1:1" ht="12.5" x14ac:dyDescent="0.25">
      <c r="A579" s="4" t="s">
        <v>1508</v>
      </c>
    </row>
    <row r="580" spans="1:1" ht="12.5" x14ac:dyDescent="0.25">
      <c r="A580" s="4" t="s">
        <v>1508</v>
      </c>
    </row>
    <row r="581" spans="1:1" ht="12.5" x14ac:dyDescent="0.25">
      <c r="A581" s="4" t="s">
        <v>1508</v>
      </c>
    </row>
    <row r="582" spans="1:1" ht="12.5" x14ac:dyDescent="0.25">
      <c r="A582" s="4" t="s">
        <v>1509</v>
      </c>
    </row>
    <row r="583" spans="1:1" ht="12.5" x14ac:dyDescent="0.25">
      <c r="A583" s="4" t="s">
        <v>1509</v>
      </c>
    </row>
    <row r="584" spans="1:1" ht="12.5" x14ac:dyDescent="0.25">
      <c r="A584" s="4" t="s">
        <v>1509</v>
      </c>
    </row>
    <row r="585" spans="1:1" ht="12.5" x14ac:dyDescent="0.25">
      <c r="A585" s="4" t="s">
        <v>1509</v>
      </c>
    </row>
    <row r="586" spans="1:1" ht="12.5" x14ac:dyDescent="0.25">
      <c r="A586" s="4" t="s">
        <v>1510</v>
      </c>
    </row>
    <row r="587" spans="1:1" ht="12.5" x14ac:dyDescent="0.25">
      <c r="A587" s="4" t="s">
        <v>1511</v>
      </c>
    </row>
    <row r="588" spans="1:1" ht="12.5" x14ac:dyDescent="0.25">
      <c r="A588" s="4" t="s">
        <v>1511</v>
      </c>
    </row>
    <row r="589" spans="1:1" ht="12.5" x14ac:dyDescent="0.25">
      <c r="A589" s="4" t="s">
        <v>1511</v>
      </c>
    </row>
    <row r="590" spans="1:1" ht="12.5" x14ac:dyDescent="0.25">
      <c r="A590" s="4" t="s">
        <v>1512</v>
      </c>
    </row>
    <row r="591" spans="1:1" ht="12.5" x14ac:dyDescent="0.25">
      <c r="A591" s="4" t="s">
        <v>1512</v>
      </c>
    </row>
    <row r="592" spans="1:1" ht="12.5" x14ac:dyDescent="0.25">
      <c r="A592" s="4" t="s">
        <v>1512</v>
      </c>
    </row>
    <row r="593" spans="1:1" ht="12.5" x14ac:dyDescent="0.25">
      <c r="A593" s="4" t="s">
        <v>1512</v>
      </c>
    </row>
    <row r="594" spans="1:1" ht="12.5" x14ac:dyDescent="0.25">
      <c r="A594" s="4" t="s">
        <v>1513</v>
      </c>
    </row>
    <row r="595" spans="1:1" ht="12.5" x14ac:dyDescent="0.25">
      <c r="A595" s="4" t="s">
        <v>1514</v>
      </c>
    </row>
    <row r="596" spans="1:1" ht="12.5" x14ac:dyDescent="0.25">
      <c r="A596" s="4" t="s">
        <v>1515</v>
      </c>
    </row>
    <row r="597" spans="1:1" ht="12.5" x14ac:dyDescent="0.25">
      <c r="A597" s="4" t="s">
        <v>1516</v>
      </c>
    </row>
    <row r="598" spans="1:1" ht="12.5" x14ac:dyDescent="0.25">
      <c r="A598" s="4" t="s">
        <v>1516</v>
      </c>
    </row>
    <row r="599" spans="1:1" ht="12.5" x14ac:dyDescent="0.25">
      <c r="A599" s="4" t="s">
        <v>1517</v>
      </c>
    </row>
    <row r="600" spans="1:1" ht="12.5" x14ac:dyDescent="0.25">
      <c r="A600" s="4" t="s">
        <v>1517</v>
      </c>
    </row>
    <row r="601" spans="1:1" ht="12.5" x14ac:dyDescent="0.25">
      <c r="A601" s="4" t="s">
        <v>1517</v>
      </c>
    </row>
    <row r="602" spans="1:1" ht="12.5" x14ac:dyDescent="0.25">
      <c r="A602" s="4" t="s">
        <v>1517</v>
      </c>
    </row>
    <row r="603" spans="1:1" ht="12.5" x14ac:dyDescent="0.25">
      <c r="A603" s="4" t="s">
        <v>1517</v>
      </c>
    </row>
    <row r="604" spans="1:1" ht="12.5" x14ac:dyDescent="0.25">
      <c r="A604" s="4" t="s">
        <v>1518</v>
      </c>
    </row>
    <row r="605" spans="1:1" ht="12.5" x14ac:dyDescent="0.25">
      <c r="A605" s="4" t="s">
        <v>1518</v>
      </c>
    </row>
    <row r="606" spans="1:1" ht="12.5" x14ac:dyDescent="0.25">
      <c r="A606" s="4" t="s">
        <v>1518</v>
      </c>
    </row>
    <row r="607" spans="1:1" ht="12.5" x14ac:dyDescent="0.25">
      <c r="A607" s="4" t="s">
        <v>1518</v>
      </c>
    </row>
    <row r="608" spans="1:1" ht="12.5" x14ac:dyDescent="0.25">
      <c r="A608" s="4" t="s">
        <v>1519</v>
      </c>
    </row>
    <row r="609" spans="1:1" ht="12.5" x14ac:dyDescent="0.25">
      <c r="A609" s="4" t="s">
        <v>1520</v>
      </c>
    </row>
    <row r="610" spans="1:1" ht="12.5" x14ac:dyDescent="0.25">
      <c r="A610" s="4" t="s">
        <v>1520</v>
      </c>
    </row>
    <row r="611" spans="1:1" ht="12.5" x14ac:dyDescent="0.25">
      <c r="A611" s="4" t="s">
        <v>1520</v>
      </c>
    </row>
    <row r="612" spans="1:1" ht="12.5" x14ac:dyDescent="0.25">
      <c r="A612" s="4" t="s">
        <v>1520</v>
      </c>
    </row>
    <row r="613" spans="1:1" ht="12.5" x14ac:dyDescent="0.25">
      <c r="A613" s="4" t="s">
        <v>1520</v>
      </c>
    </row>
    <row r="614" spans="1:1" ht="12.5" x14ac:dyDescent="0.25">
      <c r="A614" s="4" t="s">
        <v>1520</v>
      </c>
    </row>
    <row r="615" spans="1:1" ht="12.5" x14ac:dyDescent="0.25">
      <c r="A615" s="4" t="s">
        <v>1521</v>
      </c>
    </row>
    <row r="616" spans="1:1" ht="12.5" x14ac:dyDescent="0.25">
      <c r="A616" s="4" t="s">
        <v>1521</v>
      </c>
    </row>
    <row r="617" spans="1:1" ht="12.5" x14ac:dyDescent="0.25">
      <c r="A617" s="4" t="s">
        <v>1521</v>
      </c>
    </row>
    <row r="618" spans="1:1" ht="12.5" x14ac:dyDescent="0.25">
      <c r="A618" s="4" t="s">
        <v>1521</v>
      </c>
    </row>
    <row r="619" spans="1:1" ht="12.5" x14ac:dyDescent="0.25">
      <c r="A619" s="4" t="s">
        <v>1522</v>
      </c>
    </row>
    <row r="620" spans="1:1" ht="12.5" x14ac:dyDescent="0.25">
      <c r="A620" s="4" t="s">
        <v>1522</v>
      </c>
    </row>
    <row r="621" spans="1:1" ht="12.5" x14ac:dyDescent="0.25">
      <c r="A621" s="4" t="s">
        <v>1523</v>
      </c>
    </row>
    <row r="622" spans="1:1" ht="12.5" x14ac:dyDescent="0.25">
      <c r="A622" s="4" t="s">
        <v>1524</v>
      </c>
    </row>
    <row r="623" spans="1:1" ht="12.5" x14ac:dyDescent="0.25">
      <c r="A623" s="4" t="s">
        <v>1524</v>
      </c>
    </row>
    <row r="624" spans="1:1" ht="12.5" x14ac:dyDescent="0.25">
      <c r="A624" s="4" t="s">
        <v>1524</v>
      </c>
    </row>
    <row r="625" spans="1:1" ht="12.5" x14ac:dyDescent="0.25">
      <c r="A625" s="4" t="s">
        <v>1525</v>
      </c>
    </row>
    <row r="626" spans="1:1" ht="12.5" x14ac:dyDescent="0.25">
      <c r="A626" s="4" t="s">
        <v>1525</v>
      </c>
    </row>
    <row r="627" spans="1:1" ht="12.5" x14ac:dyDescent="0.25">
      <c r="A627" s="4" t="s">
        <v>1525</v>
      </c>
    </row>
    <row r="628" spans="1:1" ht="12.5" x14ac:dyDescent="0.25">
      <c r="A628" s="4" t="s">
        <v>1526</v>
      </c>
    </row>
    <row r="629" spans="1:1" ht="12.5" x14ac:dyDescent="0.25">
      <c r="A629" s="4" t="s">
        <v>1526</v>
      </c>
    </row>
    <row r="630" spans="1:1" ht="12.5" x14ac:dyDescent="0.25">
      <c r="A630" s="4" t="s">
        <v>1526</v>
      </c>
    </row>
    <row r="631" spans="1:1" ht="12.5" x14ac:dyDescent="0.25">
      <c r="A631" s="4" t="s">
        <v>1526</v>
      </c>
    </row>
    <row r="632" spans="1:1" ht="12.5" x14ac:dyDescent="0.25">
      <c r="A632" s="4" t="s">
        <v>1527</v>
      </c>
    </row>
    <row r="633" spans="1:1" ht="12.5" x14ac:dyDescent="0.25">
      <c r="A633" s="4" t="s">
        <v>1527</v>
      </c>
    </row>
    <row r="634" spans="1:1" ht="12.5" x14ac:dyDescent="0.25">
      <c r="A634" s="4" t="s">
        <v>1527</v>
      </c>
    </row>
    <row r="635" spans="1:1" ht="12.5" x14ac:dyDescent="0.25">
      <c r="A635" s="4" t="s">
        <v>1527</v>
      </c>
    </row>
    <row r="636" spans="1:1" ht="12.5" x14ac:dyDescent="0.25">
      <c r="A636" s="4" t="s">
        <v>1528</v>
      </c>
    </row>
    <row r="637" spans="1:1" ht="12.5" x14ac:dyDescent="0.25">
      <c r="A637" s="4" t="s">
        <v>1528</v>
      </c>
    </row>
    <row r="638" spans="1:1" ht="12.5" x14ac:dyDescent="0.25">
      <c r="A638" s="4" t="s">
        <v>1528</v>
      </c>
    </row>
    <row r="639" spans="1:1" ht="12.5" x14ac:dyDescent="0.25">
      <c r="A639" s="4" t="s">
        <v>1528</v>
      </c>
    </row>
    <row r="640" spans="1:1" ht="12.5" x14ac:dyDescent="0.25">
      <c r="A640" s="4" t="s">
        <v>1528</v>
      </c>
    </row>
    <row r="641" spans="1:1" ht="12.5" x14ac:dyDescent="0.25">
      <c r="A641" s="4" t="s">
        <v>1529</v>
      </c>
    </row>
    <row r="642" spans="1:1" ht="12.5" x14ac:dyDescent="0.25">
      <c r="A642" s="4" t="s">
        <v>1530</v>
      </c>
    </row>
    <row r="643" spans="1:1" ht="12.5" x14ac:dyDescent="0.25">
      <c r="A643" s="4" t="s">
        <v>1530</v>
      </c>
    </row>
    <row r="644" spans="1:1" ht="12.5" x14ac:dyDescent="0.25">
      <c r="A644" s="4" t="s">
        <v>1530</v>
      </c>
    </row>
    <row r="645" spans="1:1" ht="12.5" x14ac:dyDescent="0.25">
      <c r="A645" s="4" t="s">
        <v>1531</v>
      </c>
    </row>
    <row r="646" spans="1:1" ht="12.5" x14ac:dyDescent="0.25">
      <c r="A646" s="4" t="s">
        <v>1531</v>
      </c>
    </row>
    <row r="647" spans="1:1" ht="12.5" x14ac:dyDescent="0.25">
      <c r="A647" s="4" t="s">
        <v>1531</v>
      </c>
    </row>
    <row r="648" spans="1:1" ht="12.5" x14ac:dyDescent="0.25">
      <c r="A648" s="4" t="s">
        <v>1531</v>
      </c>
    </row>
    <row r="649" spans="1:1" ht="12.5" x14ac:dyDescent="0.25">
      <c r="A649" s="4" t="s">
        <v>1532</v>
      </c>
    </row>
    <row r="650" spans="1:1" ht="12.5" x14ac:dyDescent="0.25">
      <c r="A650" s="4" t="s">
        <v>1532</v>
      </c>
    </row>
    <row r="651" spans="1:1" ht="12.5" x14ac:dyDescent="0.25">
      <c r="A651" s="4" t="s">
        <v>1532</v>
      </c>
    </row>
    <row r="652" spans="1:1" ht="12.5" x14ac:dyDescent="0.25">
      <c r="A652" s="4" t="s">
        <v>1532</v>
      </c>
    </row>
    <row r="653" spans="1:1" ht="12.5" x14ac:dyDescent="0.25">
      <c r="A653" s="4" t="s">
        <v>1532</v>
      </c>
    </row>
    <row r="654" spans="1:1" ht="12.5" x14ac:dyDescent="0.25">
      <c r="A654" s="4" t="s">
        <v>1532</v>
      </c>
    </row>
    <row r="655" spans="1:1" ht="12.5" x14ac:dyDescent="0.25">
      <c r="A655" s="4" t="s">
        <v>1533</v>
      </c>
    </row>
    <row r="656" spans="1:1" ht="12.5" x14ac:dyDescent="0.25">
      <c r="A656" s="4" t="s">
        <v>1533</v>
      </c>
    </row>
    <row r="657" spans="1:1" ht="12.5" x14ac:dyDescent="0.25">
      <c r="A657" s="4" t="s">
        <v>1533</v>
      </c>
    </row>
    <row r="658" spans="1:1" ht="12.5" x14ac:dyDescent="0.25">
      <c r="A658" s="4" t="s">
        <v>1533</v>
      </c>
    </row>
    <row r="659" spans="1:1" ht="12.5" x14ac:dyDescent="0.25">
      <c r="A659" s="4" t="s">
        <v>1534</v>
      </c>
    </row>
    <row r="660" spans="1:1" ht="12.5" x14ac:dyDescent="0.25">
      <c r="A660" s="4" t="s">
        <v>1534</v>
      </c>
    </row>
    <row r="661" spans="1:1" ht="12.5" x14ac:dyDescent="0.25">
      <c r="A661" s="4" t="s">
        <v>1534</v>
      </c>
    </row>
    <row r="662" spans="1:1" ht="12.5" x14ac:dyDescent="0.25">
      <c r="A662" s="4" t="s">
        <v>1534</v>
      </c>
    </row>
    <row r="663" spans="1:1" ht="12.5" x14ac:dyDescent="0.25">
      <c r="A663" s="4" t="s">
        <v>1534</v>
      </c>
    </row>
    <row r="664" spans="1:1" ht="12.5" x14ac:dyDescent="0.25">
      <c r="A664" s="4" t="s">
        <v>1534</v>
      </c>
    </row>
    <row r="665" spans="1:1" ht="12.5" x14ac:dyDescent="0.25">
      <c r="A665" s="4" t="s">
        <v>1535</v>
      </c>
    </row>
    <row r="666" spans="1:1" ht="12.5" x14ac:dyDescent="0.25">
      <c r="A666" s="4" t="s">
        <v>1535</v>
      </c>
    </row>
    <row r="667" spans="1:1" ht="12.5" x14ac:dyDescent="0.25">
      <c r="A667" s="4" t="s">
        <v>1535</v>
      </c>
    </row>
    <row r="668" spans="1:1" ht="12.5" x14ac:dyDescent="0.25">
      <c r="A668" s="4" t="s">
        <v>1535</v>
      </c>
    </row>
    <row r="669" spans="1:1" ht="12.5" x14ac:dyDescent="0.25">
      <c r="A669" s="4" t="s">
        <v>1535</v>
      </c>
    </row>
    <row r="670" spans="1:1" ht="12.5" x14ac:dyDescent="0.25">
      <c r="A670" s="4" t="s">
        <v>1536</v>
      </c>
    </row>
    <row r="671" spans="1:1" ht="12.5" x14ac:dyDescent="0.25">
      <c r="A671" s="4" t="s">
        <v>1536</v>
      </c>
    </row>
    <row r="672" spans="1:1" ht="12.5" x14ac:dyDescent="0.25">
      <c r="A672" s="4" t="s">
        <v>1536</v>
      </c>
    </row>
    <row r="673" spans="1:1" ht="12.5" x14ac:dyDescent="0.25">
      <c r="A673" s="4" t="s">
        <v>1536</v>
      </c>
    </row>
    <row r="674" spans="1:1" ht="12.5" x14ac:dyDescent="0.25">
      <c r="A674" s="4" t="s">
        <v>1537</v>
      </c>
    </row>
    <row r="675" spans="1:1" ht="12.5" x14ac:dyDescent="0.25">
      <c r="A675" s="4" t="s">
        <v>1537</v>
      </c>
    </row>
    <row r="676" spans="1:1" ht="12.5" x14ac:dyDescent="0.25">
      <c r="A676" s="4" t="s">
        <v>1537</v>
      </c>
    </row>
    <row r="677" spans="1:1" ht="12.5" x14ac:dyDescent="0.25">
      <c r="A677" s="4" t="s">
        <v>1537</v>
      </c>
    </row>
    <row r="678" spans="1:1" ht="12.5" x14ac:dyDescent="0.25">
      <c r="A678" s="4" t="s">
        <v>1537</v>
      </c>
    </row>
    <row r="679" spans="1:1" ht="12.5" x14ac:dyDescent="0.25">
      <c r="A679" s="4" t="s">
        <v>1537</v>
      </c>
    </row>
    <row r="680" spans="1:1" ht="12.5" x14ac:dyDescent="0.25">
      <c r="A680" s="4" t="s">
        <v>1538</v>
      </c>
    </row>
    <row r="681" spans="1:1" ht="12.5" x14ac:dyDescent="0.25">
      <c r="A681" s="4" t="s">
        <v>1538</v>
      </c>
    </row>
    <row r="682" spans="1:1" ht="12.5" x14ac:dyDescent="0.25">
      <c r="A682" s="4" t="s">
        <v>1538</v>
      </c>
    </row>
    <row r="683" spans="1:1" ht="12.5" x14ac:dyDescent="0.25">
      <c r="A683" s="4" t="s">
        <v>1539</v>
      </c>
    </row>
    <row r="684" spans="1:1" ht="12.5" x14ac:dyDescent="0.25">
      <c r="A684" s="4" t="s">
        <v>1539</v>
      </c>
    </row>
    <row r="685" spans="1:1" ht="12.5" x14ac:dyDescent="0.25">
      <c r="A685" s="4" t="s">
        <v>1539</v>
      </c>
    </row>
    <row r="686" spans="1:1" ht="12.5" x14ac:dyDescent="0.25">
      <c r="A686" s="4" t="s">
        <v>1539</v>
      </c>
    </row>
    <row r="687" spans="1:1" ht="12.5" x14ac:dyDescent="0.25">
      <c r="A687" s="4" t="s">
        <v>1539</v>
      </c>
    </row>
    <row r="688" spans="1:1" ht="12.5" x14ac:dyDescent="0.25">
      <c r="A688" s="4" t="s">
        <v>1539</v>
      </c>
    </row>
    <row r="689" spans="1:1" ht="12.5" x14ac:dyDescent="0.25">
      <c r="A689" s="4" t="s">
        <v>1540</v>
      </c>
    </row>
    <row r="690" spans="1:1" ht="12.5" x14ac:dyDescent="0.25">
      <c r="A690" s="4" t="s">
        <v>1540</v>
      </c>
    </row>
    <row r="691" spans="1:1" ht="12.5" x14ac:dyDescent="0.25">
      <c r="A691" s="4" t="s">
        <v>1540</v>
      </c>
    </row>
    <row r="692" spans="1:1" ht="12.5" x14ac:dyDescent="0.25">
      <c r="A692" s="4" t="s">
        <v>1540</v>
      </c>
    </row>
    <row r="693" spans="1:1" ht="12.5" x14ac:dyDescent="0.25">
      <c r="A693" s="4" t="s">
        <v>1541</v>
      </c>
    </row>
    <row r="694" spans="1:1" ht="12.5" x14ac:dyDescent="0.25">
      <c r="A694" s="4" t="s">
        <v>1541</v>
      </c>
    </row>
    <row r="695" spans="1:1" ht="12.5" x14ac:dyDescent="0.25">
      <c r="A695" s="4" t="s">
        <v>1541</v>
      </c>
    </row>
    <row r="696" spans="1:1" ht="12.5" x14ac:dyDescent="0.25">
      <c r="A696" s="4" t="s">
        <v>1541</v>
      </c>
    </row>
    <row r="697" spans="1:1" ht="12.5" x14ac:dyDescent="0.25">
      <c r="A697" s="4" t="s">
        <v>1541</v>
      </c>
    </row>
    <row r="698" spans="1:1" ht="12.5" x14ac:dyDescent="0.25">
      <c r="A698" s="4" t="s">
        <v>1542</v>
      </c>
    </row>
    <row r="699" spans="1:1" ht="12.5" x14ac:dyDescent="0.25">
      <c r="A699" s="4" t="s">
        <v>1542</v>
      </c>
    </row>
    <row r="700" spans="1:1" ht="12.5" x14ac:dyDescent="0.25">
      <c r="A700" s="4" t="s">
        <v>1542</v>
      </c>
    </row>
    <row r="701" spans="1:1" ht="12.5" x14ac:dyDescent="0.25">
      <c r="A701" s="4" t="s">
        <v>1542</v>
      </c>
    </row>
    <row r="702" spans="1:1" ht="12.5" x14ac:dyDescent="0.25">
      <c r="A702" s="4" t="s">
        <v>1542</v>
      </c>
    </row>
    <row r="703" spans="1:1" ht="12.5" x14ac:dyDescent="0.25">
      <c r="A703" s="4" t="s">
        <v>1542</v>
      </c>
    </row>
    <row r="704" spans="1:1" ht="12.5" x14ac:dyDescent="0.25">
      <c r="A704" s="4" t="s">
        <v>1543</v>
      </c>
    </row>
    <row r="705" spans="1:1" ht="12.5" x14ac:dyDescent="0.25">
      <c r="A705" s="4" t="s">
        <v>1543</v>
      </c>
    </row>
    <row r="706" spans="1:1" ht="12.5" x14ac:dyDescent="0.25">
      <c r="A706" s="4" t="s">
        <v>1544</v>
      </c>
    </row>
    <row r="707" spans="1:1" ht="12.5" x14ac:dyDescent="0.25">
      <c r="A707" s="4" t="s">
        <v>1544</v>
      </c>
    </row>
    <row r="708" spans="1:1" ht="12.5" x14ac:dyDescent="0.25">
      <c r="A708" s="4" t="s">
        <v>1544</v>
      </c>
    </row>
    <row r="709" spans="1:1" ht="12.5" x14ac:dyDescent="0.25">
      <c r="A709" s="4" t="s">
        <v>1544</v>
      </c>
    </row>
    <row r="710" spans="1:1" ht="12.5" x14ac:dyDescent="0.25">
      <c r="A710" s="4" t="s">
        <v>1545</v>
      </c>
    </row>
    <row r="711" spans="1:1" ht="12.5" x14ac:dyDescent="0.25">
      <c r="A711" s="4" t="s">
        <v>1545</v>
      </c>
    </row>
    <row r="712" spans="1:1" ht="12.5" x14ac:dyDescent="0.25">
      <c r="A712" s="4" t="s">
        <v>1545</v>
      </c>
    </row>
    <row r="713" spans="1:1" ht="12.5" x14ac:dyDescent="0.25">
      <c r="A713" s="4" t="s">
        <v>1545</v>
      </c>
    </row>
    <row r="714" spans="1:1" ht="12.5" x14ac:dyDescent="0.25">
      <c r="A714" s="4" t="s">
        <v>1545</v>
      </c>
    </row>
    <row r="715" spans="1:1" ht="12.5" x14ac:dyDescent="0.25">
      <c r="A715" s="4" t="s">
        <v>1545</v>
      </c>
    </row>
    <row r="716" spans="1:1" ht="12.5" x14ac:dyDescent="0.25">
      <c r="A716" s="4" t="s">
        <v>1546</v>
      </c>
    </row>
    <row r="717" spans="1:1" ht="12.5" x14ac:dyDescent="0.25">
      <c r="A717" s="4" t="s">
        <v>1546</v>
      </c>
    </row>
    <row r="718" spans="1:1" ht="12.5" x14ac:dyDescent="0.25">
      <c r="A718" s="4" t="s">
        <v>1546</v>
      </c>
    </row>
    <row r="719" spans="1:1" ht="12.5" x14ac:dyDescent="0.25">
      <c r="A719" s="4" t="s">
        <v>1546</v>
      </c>
    </row>
    <row r="720" spans="1:1" ht="12.5" x14ac:dyDescent="0.25">
      <c r="A720" s="4" t="s">
        <v>1546</v>
      </c>
    </row>
    <row r="721" spans="1:1" ht="12.5" x14ac:dyDescent="0.25">
      <c r="A721" s="4" t="s">
        <v>1547</v>
      </c>
    </row>
    <row r="722" spans="1:1" ht="12.5" x14ac:dyDescent="0.25">
      <c r="A722" s="4" t="s">
        <v>1547</v>
      </c>
    </row>
    <row r="723" spans="1:1" ht="12.5" x14ac:dyDescent="0.25">
      <c r="A723" s="4" t="s">
        <v>1547</v>
      </c>
    </row>
    <row r="724" spans="1:1" ht="12.5" x14ac:dyDescent="0.25">
      <c r="A724" s="4" t="s">
        <v>1547</v>
      </c>
    </row>
    <row r="725" spans="1:1" ht="12.5" x14ac:dyDescent="0.25">
      <c r="A725" s="4" t="s">
        <v>1547</v>
      </c>
    </row>
    <row r="726" spans="1:1" ht="12.5" x14ac:dyDescent="0.25">
      <c r="A726" s="4" t="s">
        <v>1547</v>
      </c>
    </row>
    <row r="727" spans="1:1" ht="12.5" x14ac:dyDescent="0.25">
      <c r="A727" s="4" t="s">
        <v>1547</v>
      </c>
    </row>
    <row r="728" spans="1:1" ht="12.5" x14ac:dyDescent="0.25">
      <c r="A728" s="4" t="s">
        <v>1547</v>
      </c>
    </row>
    <row r="729" spans="1:1" ht="12.5" x14ac:dyDescent="0.25">
      <c r="A729" s="4" t="s">
        <v>1547</v>
      </c>
    </row>
    <row r="730" spans="1:1" ht="12.5" x14ac:dyDescent="0.25">
      <c r="A730" s="4" t="s">
        <v>1548</v>
      </c>
    </row>
    <row r="731" spans="1:1" ht="12.5" x14ac:dyDescent="0.25">
      <c r="A731" s="4" t="s">
        <v>1548</v>
      </c>
    </row>
    <row r="732" spans="1:1" ht="12.5" x14ac:dyDescent="0.25">
      <c r="A732" s="4" t="s">
        <v>1548</v>
      </c>
    </row>
    <row r="733" spans="1:1" ht="12.5" x14ac:dyDescent="0.25">
      <c r="A733" s="4" t="s">
        <v>1548</v>
      </c>
    </row>
    <row r="734" spans="1:1" ht="12.5" x14ac:dyDescent="0.25">
      <c r="A734" s="4" t="s">
        <v>1548</v>
      </c>
    </row>
    <row r="735" spans="1:1" ht="12.5" x14ac:dyDescent="0.25">
      <c r="A735" s="4" t="s">
        <v>1549</v>
      </c>
    </row>
    <row r="736" spans="1:1" ht="12.5" x14ac:dyDescent="0.25">
      <c r="A736" s="4" t="s">
        <v>1549</v>
      </c>
    </row>
    <row r="737" spans="1:1" ht="12.5" x14ac:dyDescent="0.25">
      <c r="A737" s="4" t="s">
        <v>1549</v>
      </c>
    </row>
    <row r="738" spans="1:1" ht="12.5" x14ac:dyDescent="0.25">
      <c r="A738" s="4" t="s">
        <v>1550</v>
      </c>
    </row>
    <row r="739" spans="1:1" ht="12.5" x14ac:dyDescent="0.25">
      <c r="A739" s="4" t="s">
        <v>1550</v>
      </c>
    </row>
    <row r="740" spans="1:1" ht="12.5" x14ac:dyDescent="0.25">
      <c r="A740" s="4" t="s">
        <v>1550</v>
      </c>
    </row>
    <row r="741" spans="1:1" ht="12.5" x14ac:dyDescent="0.25">
      <c r="A741" s="4" t="s">
        <v>1550</v>
      </c>
    </row>
    <row r="742" spans="1:1" ht="12.5" x14ac:dyDescent="0.25">
      <c r="A742" s="4" t="s">
        <v>1551</v>
      </c>
    </row>
    <row r="743" spans="1:1" ht="12.5" x14ac:dyDescent="0.25">
      <c r="A743" s="4" t="s">
        <v>1551</v>
      </c>
    </row>
    <row r="744" spans="1:1" ht="12.5" x14ac:dyDescent="0.25">
      <c r="A744" s="4" t="s">
        <v>1551</v>
      </c>
    </row>
    <row r="745" spans="1:1" ht="12.5" x14ac:dyDescent="0.25">
      <c r="A745" s="4" t="s">
        <v>1551</v>
      </c>
    </row>
    <row r="746" spans="1:1" ht="12.5" x14ac:dyDescent="0.25">
      <c r="A746" s="4" t="s">
        <v>1551</v>
      </c>
    </row>
    <row r="747" spans="1:1" ht="12.5" x14ac:dyDescent="0.25">
      <c r="A747" s="4" t="s">
        <v>1552</v>
      </c>
    </row>
    <row r="748" spans="1:1" ht="12.5" x14ac:dyDescent="0.25">
      <c r="A748" s="4" t="s">
        <v>1552</v>
      </c>
    </row>
    <row r="749" spans="1:1" ht="12.5" x14ac:dyDescent="0.25">
      <c r="A749" s="4" t="s">
        <v>1552</v>
      </c>
    </row>
    <row r="750" spans="1:1" ht="12.5" x14ac:dyDescent="0.25">
      <c r="A750" s="4" t="s">
        <v>1552</v>
      </c>
    </row>
    <row r="751" spans="1:1" ht="12.5" x14ac:dyDescent="0.25">
      <c r="A751" s="4" t="s">
        <v>1552</v>
      </c>
    </row>
    <row r="752" spans="1:1" ht="12.5" x14ac:dyDescent="0.25">
      <c r="A752" s="4" t="s">
        <v>1552</v>
      </c>
    </row>
    <row r="753" spans="1:1" ht="12.5" x14ac:dyDescent="0.25">
      <c r="A753" s="4" t="s">
        <v>1552</v>
      </c>
    </row>
    <row r="754" spans="1:1" ht="12.5" x14ac:dyDescent="0.25">
      <c r="A754" s="4" t="s">
        <v>1552</v>
      </c>
    </row>
    <row r="755" spans="1:1" ht="12.5" x14ac:dyDescent="0.25">
      <c r="A755" s="4" t="s">
        <v>1553</v>
      </c>
    </row>
    <row r="756" spans="1:1" ht="12.5" x14ac:dyDescent="0.25">
      <c r="A756" s="4" t="s">
        <v>1553</v>
      </c>
    </row>
    <row r="757" spans="1:1" ht="12.5" x14ac:dyDescent="0.25">
      <c r="A757" s="4" t="s">
        <v>1553</v>
      </c>
    </row>
    <row r="758" spans="1:1" ht="12.5" x14ac:dyDescent="0.25">
      <c r="A758" s="4" t="s">
        <v>1553</v>
      </c>
    </row>
    <row r="759" spans="1:1" ht="12.5" x14ac:dyDescent="0.25">
      <c r="A759" s="4" t="s">
        <v>1553</v>
      </c>
    </row>
    <row r="760" spans="1:1" ht="12.5" x14ac:dyDescent="0.25">
      <c r="A760" s="4" t="s">
        <v>1553</v>
      </c>
    </row>
    <row r="761" spans="1:1" ht="12.5" x14ac:dyDescent="0.25">
      <c r="A761" s="4" t="s">
        <v>1553</v>
      </c>
    </row>
    <row r="762" spans="1:1" ht="12.5" x14ac:dyDescent="0.25">
      <c r="A762" s="4" t="s">
        <v>1554</v>
      </c>
    </row>
    <row r="763" spans="1:1" ht="12.5" x14ac:dyDescent="0.25">
      <c r="A763" s="4" t="s">
        <v>1554</v>
      </c>
    </row>
    <row r="764" spans="1:1" ht="12.5" x14ac:dyDescent="0.25">
      <c r="A764" s="4" t="s">
        <v>1554</v>
      </c>
    </row>
    <row r="765" spans="1:1" ht="12.5" x14ac:dyDescent="0.25">
      <c r="A765" s="4" t="s">
        <v>1554</v>
      </c>
    </row>
    <row r="766" spans="1:1" ht="12.5" x14ac:dyDescent="0.25">
      <c r="A766" s="4" t="s">
        <v>1554</v>
      </c>
    </row>
    <row r="767" spans="1:1" ht="12.5" x14ac:dyDescent="0.25">
      <c r="A767" s="4" t="s">
        <v>1555</v>
      </c>
    </row>
    <row r="768" spans="1:1" ht="12.5" x14ac:dyDescent="0.25">
      <c r="A768" s="4" t="s">
        <v>1555</v>
      </c>
    </row>
    <row r="769" spans="1:1" ht="12.5" x14ac:dyDescent="0.25">
      <c r="A769" s="4" t="s">
        <v>1555</v>
      </c>
    </row>
    <row r="770" spans="1:1" ht="12.5" x14ac:dyDescent="0.25">
      <c r="A770" s="4" t="s">
        <v>1555</v>
      </c>
    </row>
    <row r="771" spans="1:1" ht="12.5" x14ac:dyDescent="0.25">
      <c r="A771" s="4" t="s">
        <v>1555</v>
      </c>
    </row>
    <row r="772" spans="1:1" ht="12.5" x14ac:dyDescent="0.25">
      <c r="A772" s="4" t="s">
        <v>1555</v>
      </c>
    </row>
    <row r="773" spans="1:1" ht="12.5" x14ac:dyDescent="0.25">
      <c r="A773" s="4" t="s">
        <v>1555</v>
      </c>
    </row>
    <row r="774" spans="1:1" ht="12.5" x14ac:dyDescent="0.25">
      <c r="A774" s="4" t="s">
        <v>1555</v>
      </c>
    </row>
    <row r="775" spans="1:1" ht="12.5" x14ac:dyDescent="0.25">
      <c r="A775" s="4" t="s">
        <v>1555</v>
      </c>
    </row>
    <row r="776" spans="1:1" ht="12.5" x14ac:dyDescent="0.25">
      <c r="A776" s="4" t="s">
        <v>1556</v>
      </c>
    </row>
    <row r="777" spans="1:1" ht="12.5" x14ac:dyDescent="0.25">
      <c r="A777" s="4" t="s">
        <v>1556</v>
      </c>
    </row>
    <row r="778" spans="1:1" ht="12.5" x14ac:dyDescent="0.25">
      <c r="A778" s="4" t="s">
        <v>1556</v>
      </c>
    </row>
    <row r="779" spans="1:1" ht="12.5" x14ac:dyDescent="0.25">
      <c r="A779" s="4" t="s">
        <v>1557</v>
      </c>
    </row>
    <row r="780" spans="1:1" ht="12.5" x14ac:dyDescent="0.25">
      <c r="A780" s="4" t="s">
        <v>1557</v>
      </c>
    </row>
    <row r="781" spans="1:1" ht="12.5" x14ac:dyDescent="0.25">
      <c r="A781" s="4" t="s">
        <v>1557</v>
      </c>
    </row>
    <row r="782" spans="1:1" ht="12.5" x14ac:dyDescent="0.25">
      <c r="A782" s="4" t="s">
        <v>1557</v>
      </c>
    </row>
    <row r="783" spans="1:1" ht="12.5" x14ac:dyDescent="0.25">
      <c r="A783" s="4" t="s">
        <v>1558</v>
      </c>
    </row>
    <row r="784" spans="1:1" ht="12.5" x14ac:dyDescent="0.25">
      <c r="A784" s="4" t="s">
        <v>1558</v>
      </c>
    </row>
    <row r="785" spans="1:1" ht="12.5" x14ac:dyDescent="0.25">
      <c r="A785" s="4" t="s">
        <v>1558</v>
      </c>
    </row>
    <row r="786" spans="1:1" ht="12.5" x14ac:dyDescent="0.25">
      <c r="A786" s="4" t="s">
        <v>1558</v>
      </c>
    </row>
    <row r="787" spans="1:1" ht="12.5" x14ac:dyDescent="0.25">
      <c r="A787" s="4" t="s">
        <v>1558</v>
      </c>
    </row>
    <row r="788" spans="1:1" ht="12.5" x14ac:dyDescent="0.25">
      <c r="A788" s="4" t="s">
        <v>1559</v>
      </c>
    </row>
    <row r="789" spans="1:1" ht="12.5" x14ac:dyDescent="0.25">
      <c r="A789" s="4" t="s">
        <v>1559</v>
      </c>
    </row>
    <row r="790" spans="1:1" ht="12.5" x14ac:dyDescent="0.25">
      <c r="A790" s="4" t="s">
        <v>1560</v>
      </c>
    </row>
    <row r="791" spans="1:1" ht="12.5" x14ac:dyDescent="0.25">
      <c r="A791" s="4" t="s">
        <v>1560</v>
      </c>
    </row>
    <row r="792" spans="1:1" ht="12.5" x14ac:dyDescent="0.25">
      <c r="A792" s="4" t="s">
        <v>1560</v>
      </c>
    </row>
    <row r="793" spans="1:1" ht="12.5" x14ac:dyDescent="0.25">
      <c r="A793" s="4" t="s">
        <v>1560</v>
      </c>
    </row>
    <row r="794" spans="1:1" ht="12.5" x14ac:dyDescent="0.25">
      <c r="A794" s="4" t="s">
        <v>1561</v>
      </c>
    </row>
    <row r="795" spans="1:1" ht="12.5" x14ac:dyDescent="0.25">
      <c r="A795" s="4" t="s">
        <v>1561</v>
      </c>
    </row>
    <row r="796" spans="1:1" ht="12.5" x14ac:dyDescent="0.25">
      <c r="A796" s="4" t="s">
        <v>1561</v>
      </c>
    </row>
    <row r="797" spans="1:1" ht="12.5" x14ac:dyDescent="0.25">
      <c r="A797" s="4" t="s">
        <v>1562</v>
      </c>
    </row>
    <row r="798" spans="1:1" ht="12.5" x14ac:dyDescent="0.25">
      <c r="A798" s="4" t="s">
        <v>1563</v>
      </c>
    </row>
    <row r="799" spans="1:1" ht="12.5" x14ac:dyDescent="0.25">
      <c r="A799" s="4" t="s">
        <v>1563</v>
      </c>
    </row>
    <row r="800" spans="1:1" ht="12.5" x14ac:dyDescent="0.25">
      <c r="A800" s="4" t="s">
        <v>1563</v>
      </c>
    </row>
    <row r="801" spans="1:1" ht="12.5" x14ac:dyDescent="0.25">
      <c r="A801" s="4" t="s">
        <v>1563</v>
      </c>
    </row>
    <row r="802" spans="1:1" ht="12.5" x14ac:dyDescent="0.25">
      <c r="A802" s="4" t="s">
        <v>1563</v>
      </c>
    </row>
    <row r="803" spans="1:1" ht="12.5" x14ac:dyDescent="0.25">
      <c r="A803" s="4" t="s">
        <v>1563</v>
      </c>
    </row>
    <row r="804" spans="1:1" ht="12.5" x14ac:dyDescent="0.25">
      <c r="A804" s="4" t="s">
        <v>1564</v>
      </c>
    </row>
    <row r="805" spans="1:1" ht="12.5" x14ac:dyDescent="0.25">
      <c r="A805" s="4" t="s">
        <v>1564</v>
      </c>
    </row>
    <row r="806" spans="1:1" ht="12.5" x14ac:dyDescent="0.25">
      <c r="A806" s="4" t="s">
        <v>1564</v>
      </c>
    </row>
    <row r="807" spans="1:1" ht="12.5" x14ac:dyDescent="0.25">
      <c r="A807" s="4" t="s">
        <v>1565</v>
      </c>
    </row>
    <row r="808" spans="1:1" ht="12.5" x14ac:dyDescent="0.25">
      <c r="A808" s="4" t="s">
        <v>1565</v>
      </c>
    </row>
    <row r="809" spans="1:1" ht="12.5" x14ac:dyDescent="0.25">
      <c r="A809" s="4" t="s">
        <v>1565</v>
      </c>
    </row>
    <row r="810" spans="1:1" ht="12.5" x14ac:dyDescent="0.25">
      <c r="A810" s="4" t="s">
        <v>1566</v>
      </c>
    </row>
    <row r="811" spans="1:1" ht="12.5" x14ac:dyDescent="0.25">
      <c r="A811" s="4" t="s">
        <v>1567</v>
      </c>
    </row>
    <row r="812" spans="1:1" ht="12.5" x14ac:dyDescent="0.25">
      <c r="A812" s="4" t="s">
        <v>1568</v>
      </c>
    </row>
    <row r="813" spans="1:1" ht="12.5" x14ac:dyDescent="0.25">
      <c r="A813" s="4" t="s">
        <v>1568</v>
      </c>
    </row>
    <row r="814" spans="1:1" ht="12.5" x14ac:dyDescent="0.25">
      <c r="A814" s="4" t="s">
        <v>1569</v>
      </c>
    </row>
    <row r="815" spans="1:1" ht="12.5" x14ac:dyDescent="0.25">
      <c r="A815" s="4" t="s">
        <v>1570</v>
      </c>
    </row>
    <row r="816" spans="1:1" ht="12.5" x14ac:dyDescent="0.25">
      <c r="A816" s="4" t="s">
        <v>1571</v>
      </c>
    </row>
    <row r="817" spans="1:1" ht="12.5" x14ac:dyDescent="0.25">
      <c r="A817" s="4" t="s">
        <v>1571</v>
      </c>
    </row>
    <row r="818" spans="1:1" ht="12.5" x14ac:dyDescent="0.25">
      <c r="A818" s="4" t="s">
        <v>1571</v>
      </c>
    </row>
    <row r="819" spans="1:1" ht="12.5" x14ac:dyDescent="0.25">
      <c r="A819" s="4" t="s">
        <v>1571</v>
      </c>
    </row>
    <row r="820" spans="1:1" ht="12.5" x14ac:dyDescent="0.25">
      <c r="A820" s="4" t="s">
        <v>1571</v>
      </c>
    </row>
    <row r="821" spans="1:1" ht="12.5" x14ac:dyDescent="0.25">
      <c r="A821" s="4" t="s">
        <v>1572</v>
      </c>
    </row>
    <row r="822" spans="1:1" ht="12.5" x14ac:dyDescent="0.25">
      <c r="A822" s="4" t="s">
        <v>1572</v>
      </c>
    </row>
    <row r="823" spans="1:1" ht="12.5" x14ac:dyDescent="0.25">
      <c r="A823" s="4" t="s">
        <v>1572</v>
      </c>
    </row>
    <row r="824" spans="1:1" ht="12.5" x14ac:dyDescent="0.25">
      <c r="A824" s="4" t="s">
        <v>1573</v>
      </c>
    </row>
    <row r="825" spans="1:1" ht="12.5" x14ac:dyDescent="0.25">
      <c r="A825" s="4" t="s">
        <v>1573</v>
      </c>
    </row>
    <row r="826" spans="1:1" ht="12.5" x14ac:dyDescent="0.25">
      <c r="A826" s="4" t="s">
        <v>1574</v>
      </c>
    </row>
    <row r="827" spans="1:1" ht="12.5" x14ac:dyDescent="0.25">
      <c r="A827" s="4" t="s">
        <v>1574</v>
      </c>
    </row>
    <row r="828" spans="1:1" ht="12.5" x14ac:dyDescent="0.25">
      <c r="A828" s="4" t="s">
        <v>1574</v>
      </c>
    </row>
    <row r="829" spans="1:1" ht="12.5" x14ac:dyDescent="0.25">
      <c r="A829" s="4" t="s">
        <v>1574</v>
      </c>
    </row>
    <row r="830" spans="1:1" ht="12.5" x14ac:dyDescent="0.25">
      <c r="A830" s="4" t="s">
        <v>1575</v>
      </c>
    </row>
    <row r="831" spans="1:1" ht="12.5" x14ac:dyDescent="0.25">
      <c r="A831" s="4" t="s">
        <v>1575</v>
      </c>
    </row>
    <row r="832" spans="1:1" ht="12.5" x14ac:dyDescent="0.25">
      <c r="A832" s="4" t="s">
        <v>1575</v>
      </c>
    </row>
    <row r="833" spans="1:1" ht="12.5" x14ac:dyDescent="0.25">
      <c r="A833" s="4" t="s">
        <v>1575</v>
      </c>
    </row>
    <row r="834" spans="1:1" ht="12.5" x14ac:dyDescent="0.25">
      <c r="A834" s="4" t="s">
        <v>1576</v>
      </c>
    </row>
    <row r="835" spans="1:1" ht="12.5" x14ac:dyDescent="0.25">
      <c r="A835" s="4" t="s">
        <v>1576</v>
      </c>
    </row>
    <row r="836" spans="1:1" ht="12.5" x14ac:dyDescent="0.25">
      <c r="A836" s="4" t="s">
        <v>1576</v>
      </c>
    </row>
    <row r="837" spans="1:1" ht="12.5" x14ac:dyDescent="0.25">
      <c r="A837" s="4" t="s">
        <v>1576</v>
      </c>
    </row>
    <row r="838" spans="1:1" ht="12.5" x14ac:dyDescent="0.25">
      <c r="A838" s="4" t="s">
        <v>1577</v>
      </c>
    </row>
    <row r="839" spans="1:1" ht="12.5" x14ac:dyDescent="0.25">
      <c r="A839" s="4" t="s">
        <v>1578</v>
      </c>
    </row>
    <row r="840" spans="1:1" ht="12.5" x14ac:dyDescent="0.25">
      <c r="A840" s="4" t="s">
        <v>1579</v>
      </c>
    </row>
    <row r="841" spans="1:1" ht="12.5" x14ac:dyDescent="0.25">
      <c r="A841" s="4" t="s">
        <v>1580</v>
      </c>
    </row>
    <row r="842" spans="1:1" ht="12.5" x14ac:dyDescent="0.25">
      <c r="A842" s="4" t="s">
        <v>1580</v>
      </c>
    </row>
    <row r="843" spans="1:1" ht="12.5" x14ac:dyDescent="0.25">
      <c r="A843" s="4" t="s">
        <v>1581</v>
      </c>
    </row>
    <row r="844" spans="1:1" ht="12.5" x14ac:dyDescent="0.25">
      <c r="A844" s="4" t="s">
        <v>1582</v>
      </c>
    </row>
    <row r="845" spans="1:1" ht="12.5" x14ac:dyDescent="0.25">
      <c r="A845" s="4" t="s">
        <v>1582</v>
      </c>
    </row>
    <row r="846" spans="1:1" ht="12.5" x14ac:dyDescent="0.25">
      <c r="A846" s="4" t="s">
        <v>1582</v>
      </c>
    </row>
    <row r="847" spans="1:1" ht="12.5" x14ac:dyDescent="0.25">
      <c r="A847" s="4" t="s">
        <v>1583</v>
      </c>
    </row>
    <row r="848" spans="1:1" ht="12.5" x14ac:dyDescent="0.25">
      <c r="A848" s="4" t="s">
        <v>1583</v>
      </c>
    </row>
    <row r="849" spans="1:1" ht="12.5" x14ac:dyDescent="0.25">
      <c r="A849" s="4" t="s">
        <v>1584</v>
      </c>
    </row>
    <row r="850" spans="1:1" ht="12.5" x14ac:dyDescent="0.25">
      <c r="A850" s="4" t="s">
        <v>1584</v>
      </c>
    </row>
    <row r="851" spans="1:1" ht="12.5" x14ac:dyDescent="0.25">
      <c r="A851" s="4" t="s">
        <v>1584</v>
      </c>
    </row>
    <row r="852" spans="1:1" ht="12.5" x14ac:dyDescent="0.25">
      <c r="A852" s="4" t="s">
        <v>1585</v>
      </c>
    </row>
    <row r="853" spans="1:1" ht="12.5" x14ac:dyDescent="0.25">
      <c r="A853" s="4" t="s">
        <v>1585</v>
      </c>
    </row>
    <row r="854" spans="1:1" ht="12.5" x14ac:dyDescent="0.25">
      <c r="A854" s="4" t="s">
        <v>1585</v>
      </c>
    </row>
    <row r="855" spans="1:1" ht="12.5" x14ac:dyDescent="0.25">
      <c r="A855" s="4" t="s">
        <v>1585</v>
      </c>
    </row>
    <row r="856" spans="1:1" ht="12.5" x14ac:dyDescent="0.25">
      <c r="A856" s="4" t="s">
        <v>1586</v>
      </c>
    </row>
    <row r="857" spans="1:1" ht="12.5" x14ac:dyDescent="0.25">
      <c r="A857" s="4" t="s">
        <v>1586</v>
      </c>
    </row>
    <row r="858" spans="1:1" ht="12.5" x14ac:dyDescent="0.25">
      <c r="A858" s="4" t="s">
        <v>1586</v>
      </c>
    </row>
    <row r="859" spans="1:1" ht="12.5" x14ac:dyDescent="0.25">
      <c r="A859" s="4" t="s">
        <v>1586</v>
      </c>
    </row>
    <row r="860" spans="1:1" ht="12.5" x14ac:dyDescent="0.25">
      <c r="A860" s="4" t="s">
        <v>1587</v>
      </c>
    </row>
    <row r="861" spans="1:1" ht="12.5" x14ac:dyDescent="0.25">
      <c r="A861" s="4" t="s">
        <v>1588</v>
      </c>
    </row>
    <row r="862" spans="1:1" ht="12.5" x14ac:dyDescent="0.25">
      <c r="A862" s="4" t="s">
        <v>1588</v>
      </c>
    </row>
    <row r="863" spans="1:1" ht="12.5" x14ac:dyDescent="0.25">
      <c r="A863" s="4" t="s">
        <v>1588</v>
      </c>
    </row>
    <row r="864" spans="1:1" ht="12.5" x14ac:dyDescent="0.25">
      <c r="A864" s="4" t="s">
        <v>1588</v>
      </c>
    </row>
    <row r="865" spans="1:1" ht="12.5" x14ac:dyDescent="0.25">
      <c r="A865" s="4" t="s">
        <v>1588</v>
      </c>
    </row>
    <row r="866" spans="1:1" ht="12.5" x14ac:dyDescent="0.25">
      <c r="A866" s="4" t="s">
        <v>1589</v>
      </c>
    </row>
    <row r="867" spans="1:1" ht="12.5" x14ac:dyDescent="0.25">
      <c r="A867" s="4" t="s">
        <v>1590</v>
      </c>
    </row>
    <row r="868" spans="1:1" ht="12.5" x14ac:dyDescent="0.25">
      <c r="A868" s="4" t="s">
        <v>1591</v>
      </c>
    </row>
    <row r="869" spans="1:1" ht="12.5" x14ac:dyDescent="0.25">
      <c r="A869" s="4" t="s">
        <v>1591</v>
      </c>
    </row>
    <row r="870" spans="1:1" ht="12.5" x14ac:dyDescent="0.25">
      <c r="A870" s="4" t="s">
        <v>1591</v>
      </c>
    </row>
    <row r="871" spans="1:1" ht="12.5" x14ac:dyDescent="0.25">
      <c r="A871" s="4" t="s">
        <v>1591</v>
      </c>
    </row>
    <row r="872" spans="1:1" ht="12.5" x14ac:dyDescent="0.25">
      <c r="A872" s="4" t="s">
        <v>1592</v>
      </c>
    </row>
    <row r="873" spans="1:1" ht="12.5" x14ac:dyDescent="0.25">
      <c r="A873" s="4" t="s">
        <v>1592</v>
      </c>
    </row>
    <row r="874" spans="1:1" ht="12.5" x14ac:dyDescent="0.25">
      <c r="A874" s="4" t="s">
        <v>1592</v>
      </c>
    </row>
    <row r="875" spans="1:1" ht="12.5" x14ac:dyDescent="0.25">
      <c r="A875" s="4" t="s">
        <v>1593</v>
      </c>
    </row>
    <row r="876" spans="1:1" ht="12.5" x14ac:dyDescent="0.25">
      <c r="A876" s="4" t="s">
        <v>1593</v>
      </c>
    </row>
    <row r="877" spans="1:1" ht="12.5" x14ac:dyDescent="0.25">
      <c r="A877" s="4" t="s">
        <v>1594</v>
      </c>
    </row>
    <row r="878" spans="1:1" ht="12.5" x14ac:dyDescent="0.25">
      <c r="A878" s="4" t="s">
        <v>1594</v>
      </c>
    </row>
    <row r="879" spans="1:1" ht="12.5" x14ac:dyDescent="0.25">
      <c r="A879" s="4" t="s">
        <v>1594</v>
      </c>
    </row>
    <row r="880" spans="1:1" ht="12.5" x14ac:dyDescent="0.25">
      <c r="A880" s="4" t="s">
        <v>1594</v>
      </c>
    </row>
    <row r="881" spans="1:1" ht="12.5" x14ac:dyDescent="0.25">
      <c r="A881" s="4" t="s">
        <v>1595</v>
      </c>
    </row>
    <row r="882" spans="1:1" ht="12.5" x14ac:dyDescent="0.25">
      <c r="A882" s="4" t="s">
        <v>1596</v>
      </c>
    </row>
    <row r="883" spans="1:1" ht="12.5" x14ac:dyDescent="0.25">
      <c r="A883" s="4" t="s">
        <v>1596</v>
      </c>
    </row>
    <row r="884" spans="1:1" ht="12.5" x14ac:dyDescent="0.25">
      <c r="A884" s="4" t="s">
        <v>1597</v>
      </c>
    </row>
    <row r="885" spans="1:1" ht="12.5" x14ac:dyDescent="0.25">
      <c r="A885" s="4" t="s">
        <v>1597</v>
      </c>
    </row>
    <row r="886" spans="1:1" ht="12.5" x14ac:dyDescent="0.25">
      <c r="A886" s="4" t="s">
        <v>1598</v>
      </c>
    </row>
    <row r="887" spans="1:1" ht="12.5" x14ac:dyDescent="0.25">
      <c r="A887" s="4" t="s">
        <v>1598</v>
      </c>
    </row>
    <row r="888" spans="1:1" ht="12.5" x14ac:dyDescent="0.25">
      <c r="A888" s="4" t="s">
        <v>1599</v>
      </c>
    </row>
    <row r="889" spans="1:1" ht="12.5" x14ac:dyDescent="0.25">
      <c r="A889" s="4" t="s">
        <v>1600</v>
      </c>
    </row>
    <row r="890" spans="1:1" ht="12.5" x14ac:dyDescent="0.25">
      <c r="A890" s="4" t="s">
        <v>1600</v>
      </c>
    </row>
    <row r="891" spans="1:1" ht="12.5" x14ac:dyDescent="0.25">
      <c r="A891" s="4" t="s">
        <v>1600</v>
      </c>
    </row>
    <row r="892" spans="1:1" ht="12.5" x14ac:dyDescent="0.25">
      <c r="A892" s="4" t="s">
        <v>1600</v>
      </c>
    </row>
    <row r="893" spans="1:1" ht="12.5" x14ac:dyDescent="0.25">
      <c r="A893" s="4" t="s">
        <v>1601</v>
      </c>
    </row>
    <row r="894" spans="1:1" ht="12.5" x14ac:dyDescent="0.25">
      <c r="A894" s="4" t="s">
        <v>1601</v>
      </c>
    </row>
    <row r="895" spans="1:1" ht="12.5" x14ac:dyDescent="0.25">
      <c r="A895" s="4" t="s">
        <v>1601</v>
      </c>
    </row>
    <row r="896" spans="1:1" ht="12.5" x14ac:dyDescent="0.25">
      <c r="A896" s="4" t="s">
        <v>1602</v>
      </c>
    </row>
    <row r="897" spans="1:1" ht="12.5" x14ac:dyDescent="0.25">
      <c r="A897" s="4" t="s">
        <v>1603</v>
      </c>
    </row>
    <row r="898" spans="1:1" ht="12.5" x14ac:dyDescent="0.25">
      <c r="A898" s="4" t="s">
        <v>1604</v>
      </c>
    </row>
    <row r="899" spans="1:1" ht="12.5" x14ac:dyDescent="0.25">
      <c r="A899" s="4" t="s">
        <v>1605</v>
      </c>
    </row>
    <row r="900" spans="1:1" ht="12.5" x14ac:dyDescent="0.25">
      <c r="A900" s="4" t="s">
        <v>1605</v>
      </c>
    </row>
    <row r="901" spans="1:1" ht="12.5" x14ac:dyDescent="0.25">
      <c r="A901" s="4" t="s">
        <v>1605</v>
      </c>
    </row>
    <row r="902" spans="1:1" ht="12.5" x14ac:dyDescent="0.25">
      <c r="A902" s="4" t="s">
        <v>1606</v>
      </c>
    </row>
    <row r="903" spans="1:1" ht="12.5" x14ac:dyDescent="0.25">
      <c r="A903" s="4" t="s">
        <v>1606</v>
      </c>
    </row>
    <row r="904" spans="1:1" ht="12.5" x14ac:dyDescent="0.25">
      <c r="A904" s="4" t="s">
        <v>1606</v>
      </c>
    </row>
    <row r="905" spans="1:1" ht="12.5" x14ac:dyDescent="0.25">
      <c r="A905" s="4" t="s">
        <v>1606</v>
      </c>
    </row>
    <row r="906" spans="1:1" ht="12.5" x14ac:dyDescent="0.25">
      <c r="A906" s="4" t="s">
        <v>1606</v>
      </c>
    </row>
    <row r="907" spans="1:1" ht="12.5" x14ac:dyDescent="0.25">
      <c r="A907" s="4" t="s">
        <v>1606</v>
      </c>
    </row>
    <row r="908" spans="1:1" ht="12.5" x14ac:dyDescent="0.25">
      <c r="A908" s="4" t="s">
        <v>1606</v>
      </c>
    </row>
    <row r="909" spans="1:1" ht="12.5" x14ac:dyDescent="0.25">
      <c r="A909" s="4" t="s">
        <v>1607</v>
      </c>
    </row>
    <row r="910" spans="1:1" ht="12.5" x14ac:dyDescent="0.25">
      <c r="A910" s="4" t="s">
        <v>1607</v>
      </c>
    </row>
    <row r="911" spans="1:1" ht="12.5" x14ac:dyDescent="0.25">
      <c r="A911" s="4" t="s">
        <v>1607</v>
      </c>
    </row>
    <row r="912" spans="1:1" ht="12.5" x14ac:dyDescent="0.25">
      <c r="A912" s="4" t="s">
        <v>1608</v>
      </c>
    </row>
    <row r="913" spans="1:1" ht="12.5" x14ac:dyDescent="0.25">
      <c r="A913" s="4" t="s">
        <v>1608</v>
      </c>
    </row>
    <row r="914" spans="1:1" ht="12.5" x14ac:dyDescent="0.25">
      <c r="A914" s="4" t="s">
        <v>1608</v>
      </c>
    </row>
    <row r="915" spans="1:1" ht="12.5" x14ac:dyDescent="0.25">
      <c r="A915" s="4" t="s">
        <v>1608</v>
      </c>
    </row>
    <row r="916" spans="1:1" ht="12.5" x14ac:dyDescent="0.25">
      <c r="A916" s="4" t="s">
        <v>1608</v>
      </c>
    </row>
    <row r="917" spans="1:1" ht="12.5" x14ac:dyDescent="0.25">
      <c r="A917" s="4" t="s">
        <v>1609</v>
      </c>
    </row>
    <row r="918" spans="1:1" ht="12.5" x14ac:dyDescent="0.25">
      <c r="A918" s="4" t="s">
        <v>1609</v>
      </c>
    </row>
    <row r="919" spans="1:1" ht="12.5" x14ac:dyDescent="0.25">
      <c r="A919" s="4" t="s">
        <v>1609</v>
      </c>
    </row>
    <row r="920" spans="1:1" ht="12.5" x14ac:dyDescent="0.25">
      <c r="A920" s="4" t="s">
        <v>1609</v>
      </c>
    </row>
    <row r="921" spans="1:1" ht="12.5" x14ac:dyDescent="0.25">
      <c r="A921" s="4" t="s">
        <v>1609</v>
      </c>
    </row>
    <row r="922" spans="1:1" ht="12.5" x14ac:dyDescent="0.25">
      <c r="A922" s="4" t="s">
        <v>1609</v>
      </c>
    </row>
    <row r="923" spans="1:1" ht="12.5" x14ac:dyDescent="0.25">
      <c r="A923" s="4" t="s">
        <v>1609</v>
      </c>
    </row>
    <row r="924" spans="1:1" ht="12.5" x14ac:dyDescent="0.25">
      <c r="A924" s="4" t="s">
        <v>1610</v>
      </c>
    </row>
    <row r="925" spans="1:1" ht="12.5" x14ac:dyDescent="0.25">
      <c r="A925" s="4" t="s">
        <v>1610</v>
      </c>
    </row>
    <row r="926" spans="1:1" ht="12.5" x14ac:dyDescent="0.25">
      <c r="A926" s="4" t="s">
        <v>1610</v>
      </c>
    </row>
    <row r="927" spans="1:1" ht="12.5" x14ac:dyDescent="0.25">
      <c r="A927" s="4" t="s">
        <v>1610</v>
      </c>
    </row>
    <row r="928" spans="1:1" ht="12.5" x14ac:dyDescent="0.25">
      <c r="A928" s="4" t="s">
        <v>1610</v>
      </c>
    </row>
    <row r="929" spans="1:1" ht="12.5" x14ac:dyDescent="0.25">
      <c r="A929" s="4" t="s">
        <v>1610</v>
      </c>
    </row>
    <row r="930" spans="1:1" ht="12.5" x14ac:dyDescent="0.25">
      <c r="A930" s="4" t="s">
        <v>1611</v>
      </c>
    </row>
    <row r="931" spans="1:1" ht="12.5" x14ac:dyDescent="0.25">
      <c r="A931" s="4" t="s">
        <v>1611</v>
      </c>
    </row>
    <row r="932" spans="1:1" ht="12.5" x14ac:dyDescent="0.25">
      <c r="A932" s="4" t="s">
        <v>1611</v>
      </c>
    </row>
    <row r="933" spans="1:1" ht="12.5" x14ac:dyDescent="0.25">
      <c r="A933" s="4" t="s">
        <v>1611</v>
      </c>
    </row>
    <row r="934" spans="1:1" ht="12.5" x14ac:dyDescent="0.25">
      <c r="A934" s="4" t="s">
        <v>1612</v>
      </c>
    </row>
    <row r="935" spans="1:1" ht="12.5" x14ac:dyDescent="0.25">
      <c r="A935" s="4" t="s">
        <v>1613</v>
      </c>
    </row>
    <row r="936" spans="1:1" ht="12.5" x14ac:dyDescent="0.25">
      <c r="A936" s="4" t="s">
        <v>1613</v>
      </c>
    </row>
    <row r="937" spans="1:1" ht="12.5" x14ac:dyDescent="0.25">
      <c r="A937" s="4" t="s">
        <v>1613</v>
      </c>
    </row>
    <row r="938" spans="1:1" ht="12.5" x14ac:dyDescent="0.25">
      <c r="A938" s="4" t="s">
        <v>1614</v>
      </c>
    </row>
    <row r="939" spans="1:1" ht="12.5" x14ac:dyDescent="0.25">
      <c r="A939" s="4" t="s">
        <v>1615</v>
      </c>
    </row>
    <row r="940" spans="1:1" ht="12.5" x14ac:dyDescent="0.25">
      <c r="A940" s="4" t="s">
        <v>1615</v>
      </c>
    </row>
    <row r="941" spans="1:1" ht="12.5" x14ac:dyDescent="0.25">
      <c r="A941" s="4" t="s">
        <v>1615</v>
      </c>
    </row>
    <row r="942" spans="1:1" ht="12.5" x14ac:dyDescent="0.25">
      <c r="A942" s="4" t="s">
        <v>1616</v>
      </c>
    </row>
    <row r="943" spans="1:1" ht="12.5" x14ac:dyDescent="0.25">
      <c r="A943" s="4" t="s">
        <v>1616</v>
      </c>
    </row>
    <row r="944" spans="1:1" ht="12.5" x14ac:dyDescent="0.25">
      <c r="A944" s="4" t="s">
        <v>1617</v>
      </c>
    </row>
    <row r="945" spans="1:1" ht="12.5" x14ac:dyDescent="0.25">
      <c r="A945" s="4" t="s">
        <v>1617</v>
      </c>
    </row>
    <row r="946" spans="1:1" ht="12.5" x14ac:dyDescent="0.25">
      <c r="A946" s="4" t="s">
        <v>1617</v>
      </c>
    </row>
    <row r="947" spans="1:1" ht="12.5" x14ac:dyDescent="0.25">
      <c r="A947" s="4" t="s">
        <v>1617</v>
      </c>
    </row>
    <row r="948" spans="1:1" ht="12.5" x14ac:dyDescent="0.25">
      <c r="A948" s="4" t="s">
        <v>1618</v>
      </c>
    </row>
    <row r="949" spans="1:1" ht="12.5" x14ac:dyDescent="0.25">
      <c r="A949" s="4" t="s">
        <v>1618</v>
      </c>
    </row>
    <row r="950" spans="1:1" ht="12.5" x14ac:dyDescent="0.25">
      <c r="A950" s="4" t="s">
        <v>1618</v>
      </c>
    </row>
    <row r="951" spans="1:1" ht="12.5" x14ac:dyDescent="0.25">
      <c r="A951" s="4" t="s">
        <v>1618</v>
      </c>
    </row>
    <row r="952" spans="1:1" ht="12.5" x14ac:dyDescent="0.25">
      <c r="A952" s="4" t="s">
        <v>1618</v>
      </c>
    </row>
    <row r="953" spans="1:1" ht="12.5" x14ac:dyDescent="0.25">
      <c r="A953" s="4" t="s">
        <v>1619</v>
      </c>
    </row>
    <row r="954" spans="1:1" ht="12.5" x14ac:dyDescent="0.25">
      <c r="A954" s="4" t="s">
        <v>1620</v>
      </c>
    </row>
    <row r="955" spans="1:1" ht="12.5" x14ac:dyDescent="0.25">
      <c r="A955" s="4" t="s">
        <v>1620</v>
      </c>
    </row>
    <row r="956" spans="1:1" ht="12.5" x14ac:dyDescent="0.25">
      <c r="A956" s="4" t="s">
        <v>1620</v>
      </c>
    </row>
    <row r="957" spans="1:1" ht="12.5" x14ac:dyDescent="0.25">
      <c r="A957" s="4" t="s">
        <v>1620</v>
      </c>
    </row>
    <row r="958" spans="1:1" ht="12.5" x14ac:dyDescent="0.25">
      <c r="A958" s="4" t="s">
        <v>1620</v>
      </c>
    </row>
    <row r="959" spans="1:1" ht="12.5" x14ac:dyDescent="0.25">
      <c r="A959" s="4" t="s">
        <v>1620</v>
      </c>
    </row>
    <row r="960" spans="1:1" ht="12.5" x14ac:dyDescent="0.25">
      <c r="A960" s="4" t="s">
        <v>1621</v>
      </c>
    </row>
    <row r="961" spans="1:1" ht="12.5" x14ac:dyDescent="0.25">
      <c r="A961" s="4" t="s">
        <v>1622</v>
      </c>
    </row>
    <row r="962" spans="1:1" ht="12.5" x14ac:dyDescent="0.25">
      <c r="A962" s="4" t="s">
        <v>1623</v>
      </c>
    </row>
    <row r="963" spans="1:1" ht="12.5" x14ac:dyDescent="0.25">
      <c r="A963" s="4" t="s">
        <v>1623</v>
      </c>
    </row>
    <row r="964" spans="1:1" ht="12.5" x14ac:dyDescent="0.25">
      <c r="A964" s="4" t="s">
        <v>1624</v>
      </c>
    </row>
    <row r="965" spans="1:1" ht="12.5" x14ac:dyDescent="0.25">
      <c r="A965" s="4" t="s">
        <v>1624</v>
      </c>
    </row>
    <row r="966" spans="1:1" ht="12.5" x14ac:dyDescent="0.25">
      <c r="A966" s="4" t="s">
        <v>1625</v>
      </c>
    </row>
    <row r="967" spans="1:1" ht="12.5" x14ac:dyDescent="0.25">
      <c r="A967" s="4" t="s">
        <v>1626</v>
      </c>
    </row>
    <row r="968" spans="1:1" ht="12.5" x14ac:dyDescent="0.25">
      <c r="A968" s="4" t="s">
        <v>1626</v>
      </c>
    </row>
    <row r="969" spans="1:1" ht="12.5" x14ac:dyDescent="0.25">
      <c r="A969" s="4" t="s">
        <v>1626</v>
      </c>
    </row>
    <row r="970" spans="1:1" ht="12.5" x14ac:dyDescent="0.25">
      <c r="A970" s="4" t="s">
        <v>1627</v>
      </c>
    </row>
    <row r="971" spans="1:1" ht="12.5" x14ac:dyDescent="0.25">
      <c r="A971" s="4" t="s">
        <v>1627</v>
      </c>
    </row>
    <row r="972" spans="1:1" ht="12.5" x14ac:dyDescent="0.25">
      <c r="A972" s="4" t="s">
        <v>1628</v>
      </c>
    </row>
    <row r="973" spans="1:1" ht="12.5" x14ac:dyDescent="0.25">
      <c r="A973" s="4" t="s">
        <v>1628</v>
      </c>
    </row>
    <row r="974" spans="1:1" ht="12.5" x14ac:dyDescent="0.25">
      <c r="A974" s="4" t="s">
        <v>1628</v>
      </c>
    </row>
    <row r="975" spans="1:1" ht="12.5" x14ac:dyDescent="0.25">
      <c r="A975" s="4" t="s">
        <v>1628</v>
      </c>
    </row>
    <row r="976" spans="1:1" ht="12.5" x14ac:dyDescent="0.25">
      <c r="A976" s="4" t="s">
        <v>1628</v>
      </c>
    </row>
    <row r="977" spans="1:1" ht="12.5" x14ac:dyDescent="0.25">
      <c r="A977" s="4" t="s">
        <v>1629</v>
      </c>
    </row>
    <row r="978" spans="1:1" ht="12.5" x14ac:dyDescent="0.25">
      <c r="A978" s="4" t="s">
        <v>1629</v>
      </c>
    </row>
    <row r="979" spans="1:1" ht="12.5" x14ac:dyDescent="0.25">
      <c r="A979" s="4" t="s">
        <v>1630</v>
      </c>
    </row>
    <row r="980" spans="1:1" ht="12.5" x14ac:dyDescent="0.25">
      <c r="A980" s="4" t="s">
        <v>1630</v>
      </c>
    </row>
    <row r="981" spans="1:1" ht="12.5" x14ac:dyDescent="0.25">
      <c r="A981" s="4" t="s">
        <v>1631</v>
      </c>
    </row>
    <row r="982" spans="1:1" ht="12.5" x14ac:dyDescent="0.25">
      <c r="A982" s="4" t="s">
        <v>1632</v>
      </c>
    </row>
    <row r="983" spans="1:1" ht="12.5" x14ac:dyDescent="0.25">
      <c r="A983" s="4" t="s">
        <v>1633</v>
      </c>
    </row>
    <row r="984" spans="1:1" ht="12.5" x14ac:dyDescent="0.25">
      <c r="A984" s="4" t="s">
        <v>1633</v>
      </c>
    </row>
    <row r="985" spans="1:1" ht="12.5" x14ac:dyDescent="0.25">
      <c r="A985" s="4" t="s">
        <v>1633</v>
      </c>
    </row>
    <row r="986" spans="1:1" ht="12.5" x14ac:dyDescent="0.25">
      <c r="A986" s="4" t="s">
        <v>1633</v>
      </c>
    </row>
    <row r="987" spans="1:1" ht="12.5" x14ac:dyDescent="0.25">
      <c r="A987" s="4" t="s">
        <v>1633</v>
      </c>
    </row>
    <row r="988" spans="1:1" ht="12.5" x14ac:dyDescent="0.25">
      <c r="A988" s="4" t="s">
        <v>1634</v>
      </c>
    </row>
    <row r="989" spans="1:1" ht="12.5" x14ac:dyDescent="0.25">
      <c r="A989" s="4" t="s">
        <v>1635</v>
      </c>
    </row>
    <row r="990" spans="1:1" ht="12.5" x14ac:dyDescent="0.25">
      <c r="A990" s="4" t="s">
        <v>1635</v>
      </c>
    </row>
    <row r="991" spans="1:1" ht="12.5" x14ac:dyDescent="0.25">
      <c r="A991" s="4" t="s">
        <v>1636</v>
      </c>
    </row>
    <row r="992" spans="1:1" ht="12.5" x14ac:dyDescent="0.25">
      <c r="A992" s="4" t="s">
        <v>1637</v>
      </c>
    </row>
    <row r="993" spans="1:1" ht="12.5" x14ac:dyDescent="0.25">
      <c r="A993" s="4" t="s">
        <v>1637</v>
      </c>
    </row>
    <row r="994" spans="1:1" ht="12.5" x14ac:dyDescent="0.25">
      <c r="A994" s="4" t="s">
        <v>1638</v>
      </c>
    </row>
    <row r="995" spans="1:1" ht="12.5" x14ac:dyDescent="0.25">
      <c r="A995" s="4" t="s">
        <v>1638</v>
      </c>
    </row>
    <row r="996" spans="1:1" ht="12.5" x14ac:dyDescent="0.25">
      <c r="A996" s="4" t="s">
        <v>1638</v>
      </c>
    </row>
    <row r="997" spans="1:1" ht="12.5" x14ac:dyDescent="0.25">
      <c r="A997" s="4" t="s">
        <v>1639</v>
      </c>
    </row>
    <row r="998" spans="1:1" ht="12.5" x14ac:dyDescent="0.25">
      <c r="A998" s="4" t="s">
        <v>1639</v>
      </c>
    </row>
    <row r="999" spans="1:1" ht="12.5" x14ac:dyDescent="0.25">
      <c r="A999" s="4" t="s">
        <v>1639</v>
      </c>
    </row>
    <row r="1000" spans="1:1" ht="12.5" x14ac:dyDescent="0.25">
      <c r="A1000" s="4" t="s">
        <v>1639</v>
      </c>
    </row>
    <row r="1001" spans="1:1" ht="12.5" x14ac:dyDescent="0.25">
      <c r="A1001" s="4" t="s">
        <v>1640</v>
      </c>
    </row>
    <row r="1002" spans="1:1" ht="12.5" x14ac:dyDescent="0.25">
      <c r="A1002" s="4" t="s">
        <v>1640</v>
      </c>
    </row>
    <row r="1003" spans="1:1" ht="12.5" x14ac:dyDescent="0.25">
      <c r="A1003" s="4" t="s">
        <v>1641</v>
      </c>
    </row>
    <row r="1004" spans="1:1" ht="12.5" x14ac:dyDescent="0.25">
      <c r="A1004" s="4" t="s">
        <v>1641</v>
      </c>
    </row>
    <row r="1005" spans="1:1" ht="12.5" x14ac:dyDescent="0.25">
      <c r="A1005" s="4" t="s">
        <v>1641</v>
      </c>
    </row>
    <row r="1006" spans="1:1" ht="12.5" x14ac:dyDescent="0.25">
      <c r="A1006" s="4" t="s">
        <v>1642</v>
      </c>
    </row>
    <row r="1007" spans="1:1" ht="12.5" x14ac:dyDescent="0.25">
      <c r="A1007" s="4" t="s">
        <v>1643</v>
      </c>
    </row>
    <row r="1008" spans="1:1" ht="12.5" x14ac:dyDescent="0.25">
      <c r="A1008" s="4" t="s">
        <v>1644</v>
      </c>
    </row>
    <row r="1009" spans="1:1" ht="12.5" x14ac:dyDescent="0.25">
      <c r="A1009" s="4" t="s">
        <v>1644</v>
      </c>
    </row>
    <row r="1010" spans="1:1" ht="12.5" x14ac:dyDescent="0.25">
      <c r="A1010" s="4" t="s">
        <v>1645</v>
      </c>
    </row>
    <row r="1011" spans="1:1" ht="12.5" x14ac:dyDescent="0.25">
      <c r="A1011" s="4" t="s">
        <v>1646</v>
      </c>
    </row>
    <row r="1012" spans="1:1" ht="12.5" x14ac:dyDescent="0.25">
      <c r="A1012" s="4" t="s">
        <v>1647</v>
      </c>
    </row>
    <row r="1013" spans="1:1" ht="12.5" x14ac:dyDescent="0.25">
      <c r="A1013" s="4" t="s">
        <v>1647</v>
      </c>
    </row>
    <row r="1014" spans="1:1" ht="12.5" x14ac:dyDescent="0.25">
      <c r="A1014" s="4" t="s">
        <v>1648</v>
      </c>
    </row>
    <row r="1015" spans="1:1" ht="12.5" x14ac:dyDescent="0.25">
      <c r="A1015" s="4" t="s">
        <v>1648</v>
      </c>
    </row>
    <row r="1016" spans="1:1" ht="12.5" x14ac:dyDescent="0.25">
      <c r="A1016" s="4" t="s">
        <v>1648</v>
      </c>
    </row>
    <row r="1017" spans="1:1" ht="12.5" x14ac:dyDescent="0.25">
      <c r="A1017" s="4" t="s">
        <v>1648</v>
      </c>
    </row>
    <row r="1018" spans="1:1" ht="12.5" x14ac:dyDescent="0.25">
      <c r="A1018" s="4" t="s">
        <v>1649</v>
      </c>
    </row>
    <row r="1019" spans="1:1" ht="12.5" x14ac:dyDescent="0.25">
      <c r="A1019" s="4" t="s">
        <v>1649</v>
      </c>
    </row>
    <row r="1020" spans="1:1" ht="12.5" x14ac:dyDescent="0.25">
      <c r="A1020" s="4" t="s">
        <v>1649</v>
      </c>
    </row>
    <row r="1021" spans="1:1" ht="12.5" x14ac:dyDescent="0.25">
      <c r="A1021" s="4" t="s">
        <v>1649</v>
      </c>
    </row>
    <row r="1022" spans="1:1" ht="12.5" x14ac:dyDescent="0.25">
      <c r="A1022" s="4" t="s">
        <v>1650</v>
      </c>
    </row>
    <row r="1023" spans="1:1" ht="12.5" x14ac:dyDescent="0.25">
      <c r="A1023" s="4" t="s">
        <v>1650</v>
      </c>
    </row>
    <row r="1024" spans="1:1" ht="12.5" x14ac:dyDescent="0.25">
      <c r="A1024" s="4" t="s">
        <v>1650</v>
      </c>
    </row>
    <row r="1025" spans="1:1" ht="12.5" x14ac:dyDescent="0.25">
      <c r="A1025" s="4" t="s">
        <v>1650</v>
      </c>
    </row>
    <row r="1026" spans="1:1" ht="12.5" x14ac:dyDescent="0.25">
      <c r="A1026" s="4" t="s">
        <v>1651</v>
      </c>
    </row>
    <row r="1027" spans="1:1" ht="12.5" x14ac:dyDescent="0.25">
      <c r="A1027" s="4" t="s">
        <v>1651</v>
      </c>
    </row>
    <row r="1028" spans="1:1" ht="12.5" x14ac:dyDescent="0.25">
      <c r="A1028" s="4" t="s">
        <v>1651</v>
      </c>
    </row>
    <row r="1029" spans="1:1" ht="12.5" x14ac:dyDescent="0.25">
      <c r="A1029" s="4" t="s">
        <v>1651</v>
      </c>
    </row>
    <row r="1030" spans="1:1" ht="12.5" x14ac:dyDescent="0.25">
      <c r="A1030" s="4" t="s">
        <v>1652</v>
      </c>
    </row>
    <row r="1031" spans="1:1" ht="12.5" x14ac:dyDescent="0.25">
      <c r="A1031" s="4" t="s">
        <v>1653</v>
      </c>
    </row>
    <row r="1032" spans="1:1" ht="12.5" x14ac:dyDescent="0.25">
      <c r="A1032" s="4" t="s">
        <v>1653</v>
      </c>
    </row>
    <row r="1033" spans="1:1" ht="12.5" x14ac:dyDescent="0.25">
      <c r="A1033" s="4" t="s">
        <v>1654</v>
      </c>
    </row>
    <row r="1034" spans="1:1" ht="12.5" x14ac:dyDescent="0.25">
      <c r="A1034" s="4" t="s">
        <v>1654</v>
      </c>
    </row>
    <row r="1035" spans="1:1" ht="12.5" x14ac:dyDescent="0.25">
      <c r="A1035" s="4" t="s">
        <v>1655</v>
      </c>
    </row>
    <row r="1036" spans="1:1" ht="12.5" x14ac:dyDescent="0.25">
      <c r="A1036" s="4" t="s">
        <v>1655</v>
      </c>
    </row>
    <row r="1037" spans="1:1" ht="12.5" x14ac:dyDescent="0.25">
      <c r="A1037" s="4" t="s">
        <v>1655</v>
      </c>
    </row>
    <row r="1038" spans="1:1" ht="12.5" x14ac:dyDescent="0.25">
      <c r="A1038" s="4" t="s">
        <v>1655</v>
      </c>
    </row>
    <row r="1039" spans="1:1" ht="12.5" x14ac:dyDescent="0.25">
      <c r="A1039" s="4" t="s">
        <v>1656</v>
      </c>
    </row>
    <row r="1040" spans="1:1" ht="12.5" x14ac:dyDescent="0.25">
      <c r="A1040" s="4" t="s">
        <v>1656</v>
      </c>
    </row>
    <row r="1041" spans="1:1" ht="12.5" x14ac:dyDescent="0.25">
      <c r="A1041" s="4" t="s">
        <v>1657</v>
      </c>
    </row>
    <row r="1042" spans="1:1" ht="12.5" x14ac:dyDescent="0.25">
      <c r="A1042" s="4" t="s">
        <v>1657</v>
      </c>
    </row>
    <row r="1043" spans="1:1" ht="12.5" x14ac:dyDescent="0.25">
      <c r="A1043" s="4" t="s">
        <v>1657</v>
      </c>
    </row>
    <row r="1044" spans="1:1" ht="12.5" x14ac:dyDescent="0.25">
      <c r="A1044" s="4" t="s">
        <v>1658</v>
      </c>
    </row>
    <row r="1045" spans="1:1" ht="12.5" x14ac:dyDescent="0.25">
      <c r="A1045" s="4" t="s">
        <v>1658</v>
      </c>
    </row>
    <row r="1046" spans="1:1" ht="12.5" x14ac:dyDescent="0.25">
      <c r="A1046" s="4" t="s">
        <v>1658</v>
      </c>
    </row>
    <row r="1047" spans="1:1" ht="12.5" x14ac:dyDescent="0.25">
      <c r="A1047" s="4" t="s">
        <v>1658</v>
      </c>
    </row>
    <row r="1048" spans="1:1" ht="12.5" x14ac:dyDescent="0.25">
      <c r="A1048" s="4" t="s">
        <v>1658</v>
      </c>
    </row>
    <row r="1049" spans="1:1" ht="12.5" x14ac:dyDescent="0.25">
      <c r="A1049" s="4" t="s">
        <v>1658</v>
      </c>
    </row>
    <row r="1050" spans="1:1" ht="12.5" x14ac:dyDescent="0.25">
      <c r="A1050" s="4" t="s">
        <v>1658</v>
      </c>
    </row>
    <row r="1051" spans="1:1" ht="12.5" x14ac:dyDescent="0.25">
      <c r="A1051" s="4" t="s">
        <v>1658</v>
      </c>
    </row>
    <row r="1052" spans="1:1" ht="12.5" x14ac:dyDescent="0.25">
      <c r="A1052" s="4" t="s">
        <v>1658</v>
      </c>
    </row>
    <row r="1053" spans="1:1" ht="12.5" x14ac:dyDescent="0.25">
      <c r="A1053" s="4" t="s">
        <v>1659</v>
      </c>
    </row>
    <row r="1054" spans="1:1" ht="12.5" x14ac:dyDescent="0.25">
      <c r="A1054" s="4" t="s">
        <v>1660</v>
      </c>
    </row>
    <row r="1055" spans="1:1" ht="12.5" x14ac:dyDescent="0.25">
      <c r="A1055" s="4" t="s">
        <v>1660</v>
      </c>
    </row>
    <row r="1056" spans="1:1" ht="12.5" x14ac:dyDescent="0.25">
      <c r="A1056" s="4" t="s">
        <v>1660</v>
      </c>
    </row>
    <row r="1057" spans="1:1" ht="12.5" x14ac:dyDescent="0.25">
      <c r="A1057" s="4" t="s">
        <v>1661</v>
      </c>
    </row>
    <row r="1058" spans="1:1" ht="12.5" x14ac:dyDescent="0.25">
      <c r="A1058" s="4" t="s">
        <v>1661</v>
      </c>
    </row>
    <row r="1059" spans="1:1" ht="12.5" x14ac:dyDescent="0.25">
      <c r="A1059" s="4" t="s">
        <v>1661</v>
      </c>
    </row>
    <row r="1060" spans="1:1" ht="12.5" x14ac:dyDescent="0.25">
      <c r="A1060" s="4" t="s">
        <v>1662</v>
      </c>
    </row>
    <row r="1061" spans="1:1" ht="12.5" x14ac:dyDescent="0.25">
      <c r="A1061" s="4" t="s">
        <v>1662</v>
      </c>
    </row>
    <row r="1062" spans="1:1" ht="12.5" x14ac:dyDescent="0.25">
      <c r="A1062" s="4" t="s">
        <v>1662</v>
      </c>
    </row>
    <row r="1063" spans="1:1" ht="12.5" x14ac:dyDescent="0.25">
      <c r="A1063" s="4" t="s">
        <v>1662</v>
      </c>
    </row>
    <row r="1064" spans="1:1" ht="12.5" x14ac:dyDescent="0.25">
      <c r="A1064" s="4" t="s">
        <v>1662</v>
      </c>
    </row>
    <row r="1065" spans="1:1" ht="12.5" x14ac:dyDescent="0.25">
      <c r="A1065" s="4" t="s">
        <v>1663</v>
      </c>
    </row>
    <row r="1066" spans="1:1" ht="12.5" x14ac:dyDescent="0.25">
      <c r="A1066" s="4" t="s">
        <v>1663</v>
      </c>
    </row>
    <row r="1067" spans="1:1" ht="12.5" x14ac:dyDescent="0.25">
      <c r="A1067" s="4" t="s">
        <v>1663</v>
      </c>
    </row>
    <row r="1068" spans="1:1" ht="12.5" x14ac:dyDescent="0.25">
      <c r="A1068" s="4" t="s">
        <v>1664</v>
      </c>
    </row>
    <row r="1069" spans="1:1" ht="12.5" x14ac:dyDescent="0.25">
      <c r="A1069" s="4" t="s">
        <v>1665</v>
      </c>
    </row>
    <row r="1070" spans="1:1" ht="12.5" x14ac:dyDescent="0.25">
      <c r="A1070" s="4" t="s">
        <v>1665</v>
      </c>
    </row>
    <row r="1071" spans="1:1" ht="12.5" x14ac:dyDescent="0.25">
      <c r="A1071" s="4" t="s">
        <v>1665</v>
      </c>
    </row>
    <row r="1072" spans="1:1" ht="12.5" x14ac:dyDescent="0.25">
      <c r="A1072" s="4" t="s">
        <v>1665</v>
      </c>
    </row>
    <row r="1073" spans="1:1" ht="12.5" x14ac:dyDescent="0.25">
      <c r="A1073" s="4" t="s">
        <v>1665</v>
      </c>
    </row>
    <row r="1074" spans="1:1" ht="12.5" x14ac:dyDescent="0.25">
      <c r="A1074" s="4" t="s">
        <v>1666</v>
      </c>
    </row>
    <row r="1075" spans="1:1" ht="12.5" x14ac:dyDescent="0.25">
      <c r="A1075" s="4" t="s">
        <v>1667</v>
      </c>
    </row>
    <row r="1076" spans="1:1" ht="12.5" x14ac:dyDescent="0.25">
      <c r="A1076" s="4" t="s">
        <v>1667</v>
      </c>
    </row>
    <row r="1077" spans="1:1" ht="12.5" x14ac:dyDescent="0.25">
      <c r="A1077" s="4" t="s">
        <v>1667</v>
      </c>
    </row>
    <row r="1078" spans="1:1" ht="12.5" x14ac:dyDescent="0.25">
      <c r="A1078" s="4" t="s">
        <v>1668</v>
      </c>
    </row>
    <row r="1079" spans="1:1" ht="12.5" x14ac:dyDescent="0.25">
      <c r="A1079" s="4" t="s">
        <v>1668</v>
      </c>
    </row>
    <row r="1080" spans="1:1" ht="12.5" x14ac:dyDescent="0.25">
      <c r="A1080" s="4" t="s">
        <v>1669</v>
      </c>
    </row>
    <row r="1081" spans="1:1" ht="12.5" x14ac:dyDescent="0.25">
      <c r="A1081" s="4" t="s">
        <v>1669</v>
      </c>
    </row>
    <row r="1082" spans="1:1" ht="12.5" x14ac:dyDescent="0.25">
      <c r="A1082" s="4" t="s">
        <v>1669</v>
      </c>
    </row>
    <row r="1083" spans="1:1" ht="12.5" x14ac:dyDescent="0.25">
      <c r="A1083" s="4" t="s">
        <v>1670</v>
      </c>
    </row>
    <row r="1084" spans="1:1" ht="12.5" x14ac:dyDescent="0.25">
      <c r="A1084" s="4" t="s">
        <v>1670</v>
      </c>
    </row>
    <row r="1085" spans="1:1" ht="12.5" x14ac:dyDescent="0.25">
      <c r="A1085" s="4" t="s">
        <v>1671</v>
      </c>
    </row>
    <row r="1086" spans="1:1" ht="12.5" x14ac:dyDescent="0.25">
      <c r="A1086" s="4" t="s">
        <v>1672</v>
      </c>
    </row>
    <row r="1087" spans="1:1" ht="12.5" x14ac:dyDescent="0.25">
      <c r="A1087" s="4" t="s">
        <v>1672</v>
      </c>
    </row>
    <row r="1088" spans="1:1" ht="12.5" x14ac:dyDescent="0.25">
      <c r="A1088" s="4" t="s">
        <v>1672</v>
      </c>
    </row>
    <row r="1089" spans="1:1" ht="12.5" x14ac:dyDescent="0.25">
      <c r="A1089" s="4" t="s">
        <v>1672</v>
      </c>
    </row>
    <row r="1090" spans="1:1" ht="12.5" x14ac:dyDescent="0.25">
      <c r="A1090" s="4" t="s">
        <v>1672</v>
      </c>
    </row>
    <row r="1091" spans="1:1" ht="12.5" x14ac:dyDescent="0.25">
      <c r="A1091" s="4" t="s">
        <v>1673</v>
      </c>
    </row>
    <row r="1092" spans="1:1" ht="12.5" x14ac:dyDescent="0.25">
      <c r="A1092" s="4" t="s">
        <v>1673</v>
      </c>
    </row>
    <row r="1093" spans="1:1" ht="12.5" x14ac:dyDescent="0.25">
      <c r="A1093" s="4" t="s">
        <v>1673</v>
      </c>
    </row>
    <row r="1094" spans="1:1" ht="12.5" x14ac:dyDescent="0.25">
      <c r="A1094" s="4" t="s">
        <v>1673</v>
      </c>
    </row>
    <row r="1095" spans="1:1" ht="12.5" x14ac:dyDescent="0.25">
      <c r="A1095" s="4" t="s">
        <v>1674</v>
      </c>
    </row>
    <row r="1096" spans="1:1" ht="12.5" x14ac:dyDescent="0.25">
      <c r="A1096" s="4" t="s">
        <v>1674</v>
      </c>
    </row>
    <row r="1097" spans="1:1" ht="12.5" x14ac:dyDescent="0.25">
      <c r="A1097" s="4" t="s">
        <v>1675</v>
      </c>
    </row>
    <row r="1098" spans="1:1" ht="12.5" x14ac:dyDescent="0.25">
      <c r="A1098" s="4" t="s">
        <v>1675</v>
      </c>
    </row>
    <row r="1099" spans="1:1" ht="12.5" x14ac:dyDescent="0.25">
      <c r="A1099" s="4" t="s">
        <v>1675</v>
      </c>
    </row>
    <row r="1100" spans="1:1" ht="12.5" x14ac:dyDescent="0.25">
      <c r="A1100" s="4" t="s">
        <v>1676</v>
      </c>
    </row>
    <row r="1101" spans="1:1" ht="12.5" x14ac:dyDescent="0.25">
      <c r="A1101" s="4" t="s">
        <v>1676</v>
      </c>
    </row>
    <row r="1102" spans="1:1" ht="12.5" x14ac:dyDescent="0.25">
      <c r="A1102" s="4" t="s">
        <v>1676</v>
      </c>
    </row>
    <row r="1103" spans="1:1" ht="12.5" x14ac:dyDescent="0.25">
      <c r="A1103" s="4" t="s">
        <v>1677</v>
      </c>
    </row>
    <row r="1104" spans="1:1" ht="12.5" x14ac:dyDescent="0.25">
      <c r="A1104" s="4" t="s">
        <v>1677</v>
      </c>
    </row>
    <row r="1105" spans="1:1" ht="12.5" x14ac:dyDescent="0.25">
      <c r="A1105" s="4" t="s">
        <v>1677</v>
      </c>
    </row>
    <row r="1106" spans="1:1" ht="12.5" x14ac:dyDescent="0.25">
      <c r="A1106" s="4" t="s">
        <v>1677</v>
      </c>
    </row>
    <row r="1107" spans="1:1" ht="12.5" x14ac:dyDescent="0.25">
      <c r="A1107" s="4" t="s">
        <v>1677</v>
      </c>
    </row>
    <row r="1108" spans="1:1" ht="12.5" x14ac:dyDescent="0.25">
      <c r="A1108" s="4" t="s">
        <v>1677</v>
      </c>
    </row>
    <row r="1109" spans="1:1" ht="12.5" x14ac:dyDescent="0.25">
      <c r="A1109" s="4" t="s">
        <v>1678</v>
      </c>
    </row>
    <row r="1110" spans="1:1" ht="12.5" x14ac:dyDescent="0.25">
      <c r="A1110" s="4" t="s">
        <v>1678</v>
      </c>
    </row>
    <row r="1111" spans="1:1" ht="12.5" x14ac:dyDescent="0.25">
      <c r="A1111" s="4" t="s">
        <v>1679</v>
      </c>
    </row>
    <row r="1112" spans="1:1" ht="12.5" x14ac:dyDescent="0.25">
      <c r="A1112" s="4" t="s">
        <v>1680</v>
      </c>
    </row>
    <row r="1113" spans="1:1" ht="12.5" x14ac:dyDescent="0.25">
      <c r="A1113" s="4" t="s">
        <v>1680</v>
      </c>
    </row>
    <row r="1114" spans="1:1" ht="12.5" x14ac:dyDescent="0.25">
      <c r="A1114" s="4" t="s">
        <v>1681</v>
      </c>
    </row>
    <row r="1115" spans="1:1" ht="12.5" x14ac:dyDescent="0.25">
      <c r="A1115" s="4" t="s">
        <v>1681</v>
      </c>
    </row>
    <row r="1116" spans="1:1" ht="12.5" x14ac:dyDescent="0.25">
      <c r="A1116" s="4" t="s">
        <v>1681</v>
      </c>
    </row>
    <row r="1117" spans="1:1" ht="12.5" x14ac:dyDescent="0.25">
      <c r="A1117" s="4" t="s">
        <v>1681</v>
      </c>
    </row>
    <row r="1118" spans="1:1" ht="12.5" x14ac:dyDescent="0.25">
      <c r="A1118" s="4" t="s">
        <v>1682</v>
      </c>
    </row>
    <row r="1119" spans="1:1" ht="12.5" x14ac:dyDescent="0.25">
      <c r="A1119" s="4" t="s">
        <v>1682</v>
      </c>
    </row>
    <row r="1120" spans="1:1" ht="12.5" x14ac:dyDescent="0.25">
      <c r="A1120" s="4" t="s">
        <v>1682</v>
      </c>
    </row>
    <row r="1121" spans="1:1" ht="12.5" x14ac:dyDescent="0.25">
      <c r="A1121" s="4" t="s">
        <v>1683</v>
      </c>
    </row>
    <row r="1122" spans="1:1" ht="12.5" x14ac:dyDescent="0.25">
      <c r="A1122" s="4" t="s">
        <v>1684</v>
      </c>
    </row>
    <row r="1123" spans="1:1" ht="12.5" x14ac:dyDescent="0.25">
      <c r="A1123" s="4" t="s">
        <v>1684</v>
      </c>
    </row>
    <row r="1124" spans="1:1" ht="12.5" x14ac:dyDescent="0.25">
      <c r="A1124" s="4" t="s">
        <v>1684</v>
      </c>
    </row>
    <row r="1125" spans="1:1" ht="12.5" x14ac:dyDescent="0.25">
      <c r="A1125" s="4" t="s">
        <v>1684</v>
      </c>
    </row>
    <row r="1126" spans="1:1" ht="12.5" x14ac:dyDescent="0.25">
      <c r="A1126" s="4" t="s">
        <v>1685</v>
      </c>
    </row>
    <row r="1127" spans="1:1" ht="12.5" x14ac:dyDescent="0.25">
      <c r="A1127" s="4" t="s">
        <v>1686</v>
      </c>
    </row>
    <row r="1128" spans="1:1" ht="12.5" x14ac:dyDescent="0.25">
      <c r="A1128" s="4" t="s">
        <v>1686</v>
      </c>
    </row>
    <row r="1129" spans="1:1" ht="12.5" x14ac:dyDescent="0.25">
      <c r="A1129" s="4" t="s">
        <v>1686</v>
      </c>
    </row>
    <row r="1130" spans="1:1" ht="12.5" x14ac:dyDescent="0.25">
      <c r="A1130" s="4" t="s">
        <v>1686</v>
      </c>
    </row>
    <row r="1131" spans="1:1" ht="12.5" x14ac:dyDescent="0.25">
      <c r="A1131" s="4" t="s">
        <v>1687</v>
      </c>
    </row>
    <row r="1132" spans="1:1" ht="12.5" x14ac:dyDescent="0.25">
      <c r="A1132" s="4" t="s">
        <v>1687</v>
      </c>
    </row>
    <row r="1133" spans="1:1" ht="12.5" x14ac:dyDescent="0.25">
      <c r="A1133" s="4" t="s">
        <v>1687</v>
      </c>
    </row>
    <row r="1134" spans="1:1" ht="12.5" x14ac:dyDescent="0.25">
      <c r="A1134" s="4" t="s">
        <v>1688</v>
      </c>
    </row>
    <row r="1135" spans="1:1" ht="12.5" x14ac:dyDescent="0.25">
      <c r="A1135" s="4" t="s">
        <v>1688</v>
      </c>
    </row>
    <row r="1136" spans="1:1" ht="12.5" x14ac:dyDescent="0.25">
      <c r="A1136" s="4" t="s">
        <v>1688</v>
      </c>
    </row>
    <row r="1137" spans="1:1" ht="12.5" x14ac:dyDescent="0.25">
      <c r="A1137" s="4" t="s">
        <v>1689</v>
      </c>
    </row>
    <row r="1138" spans="1:1" ht="12.5" x14ac:dyDescent="0.25">
      <c r="A1138" s="4" t="s">
        <v>1689</v>
      </c>
    </row>
    <row r="1139" spans="1:1" ht="12.5" x14ac:dyDescent="0.25">
      <c r="A1139" s="4" t="s">
        <v>1689</v>
      </c>
    </row>
    <row r="1140" spans="1:1" ht="12.5" x14ac:dyDescent="0.25">
      <c r="A1140" s="4" t="s">
        <v>1689</v>
      </c>
    </row>
    <row r="1141" spans="1:1" ht="12.5" x14ac:dyDescent="0.25">
      <c r="A1141" s="4" t="s">
        <v>1689</v>
      </c>
    </row>
    <row r="1142" spans="1:1" ht="12.5" x14ac:dyDescent="0.25">
      <c r="A1142" s="4" t="s">
        <v>1689</v>
      </c>
    </row>
    <row r="1143" spans="1:1" ht="12.5" x14ac:dyDescent="0.25">
      <c r="A1143" s="4" t="s">
        <v>1690</v>
      </c>
    </row>
    <row r="1144" spans="1:1" ht="12.5" x14ac:dyDescent="0.25">
      <c r="A1144" s="4" t="s">
        <v>1690</v>
      </c>
    </row>
    <row r="1145" spans="1:1" ht="12.5" x14ac:dyDescent="0.25">
      <c r="A1145" s="4" t="s">
        <v>1690</v>
      </c>
    </row>
    <row r="1146" spans="1:1" ht="12.5" x14ac:dyDescent="0.25">
      <c r="A1146" s="4" t="s">
        <v>1690</v>
      </c>
    </row>
    <row r="1147" spans="1:1" ht="12.5" x14ac:dyDescent="0.25">
      <c r="A1147" s="4" t="s">
        <v>1690</v>
      </c>
    </row>
    <row r="1148" spans="1:1" ht="12.5" x14ac:dyDescent="0.25">
      <c r="A1148" s="4" t="s">
        <v>1691</v>
      </c>
    </row>
    <row r="1149" spans="1:1" ht="12.5" x14ac:dyDescent="0.25">
      <c r="A1149" s="4" t="s">
        <v>1692</v>
      </c>
    </row>
    <row r="1150" spans="1:1" ht="12.5" x14ac:dyDescent="0.25">
      <c r="A1150" s="4" t="s">
        <v>1693</v>
      </c>
    </row>
    <row r="1151" spans="1:1" ht="12.5" x14ac:dyDescent="0.25">
      <c r="A1151" s="4" t="s">
        <v>1693</v>
      </c>
    </row>
    <row r="1152" spans="1:1" ht="12.5" x14ac:dyDescent="0.25">
      <c r="A1152" s="4" t="s">
        <v>1694</v>
      </c>
    </row>
    <row r="1153" spans="1:1" ht="12.5" x14ac:dyDescent="0.25">
      <c r="A1153" s="4" t="s">
        <v>1694</v>
      </c>
    </row>
    <row r="1154" spans="1:1" ht="12.5" x14ac:dyDescent="0.25">
      <c r="A1154" s="4" t="s">
        <v>1695</v>
      </c>
    </row>
    <row r="1155" spans="1:1" ht="12.5" x14ac:dyDescent="0.25">
      <c r="A1155" s="4" t="s">
        <v>1695</v>
      </c>
    </row>
    <row r="1156" spans="1:1" ht="12.5" x14ac:dyDescent="0.25">
      <c r="A1156" s="4" t="s">
        <v>1695</v>
      </c>
    </row>
    <row r="1157" spans="1:1" ht="12.5" x14ac:dyDescent="0.25">
      <c r="A1157" s="4" t="s">
        <v>1695</v>
      </c>
    </row>
    <row r="1158" spans="1:1" ht="12.5" x14ac:dyDescent="0.25">
      <c r="A1158" s="4" t="s">
        <v>1695</v>
      </c>
    </row>
    <row r="1159" spans="1:1" ht="12.5" x14ac:dyDescent="0.25">
      <c r="A1159" s="4" t="s">
        <v>1696</v>
      </c>
    </row>
    <row r="1160" spans="1:1" ht="12.5" x14ac:dyDescent="0.25">
      <c r="A1160" s="4" t="s">
        <v>1696</v>
      </c>
    </row>
    <row r="1161" spans="1:1" ht="12.5" x14ac:dyDescent="0.25">
      <c r="A1161" s="4" t="s">
        <v>1696</v>
      </c>
    </row>
    <row r="1162" spans="1:1" ht="12.5" x14ac:dyDescent="0.25">
      <c r="A1162" s="4" t="s">
        <v>1696</v>
      </c>
    </row>
    <row r="1163" spans="1:1" ht="12.5" x14ac:dyDescent="0.25">
      <c r="A1163" s="4" t="s">
        <v>1696</v>
      </c>
    </row>
    <row r="1164" spans="1:1" ht="12.5" x14ac:dyDescent="0.25">
      <c r="A1164" s="4" t="s">
        <v>1697</v>
      </c>
    </row>
    <row r="1165" spans="1:1" ht="12.5" x14ac:dyDescent="0.25">
      <c r="A1165" s="4" t="s">
        <v>1697</v>
      </c>
    </row>
    <row r="1166" spans="1:1" ht="12.5" x14ac:dyDescent="0.25">
      <c r="A1166" s="4" t="s">
        <v>1698</v>
      </c>
    </row>
    <row r="1167" spans="1:1" ht="12.5" x14ac:dyDescent="0.25">
      <c r="A1167" s="4" t="s">
        <v>1698</v>
      </c>
    </row>
    <row r="1168" spans="1:1" ht="12.5" x14ac:dyDescent="0.25">
      <c r="A1168" s="4" t="s">
        <v>1699</v>
      </c>
    </row>
    <row r="1169" spans="1:1" ht="12.5" x14ac:dyDescent="0.25">
      <c r="A1169" s="4" t="s">
        <v>1699</v>
      </c>
    </row>
    <row r="1170" spans="1:1" ht="12.5" x14ac:dyDescent="0.25">
      <c r="A1170" s="4" t="s">
        <v>1699</v>
      </c>
    </row>
    <row r="1171" spans="1:1" ht="12.5" x14ac:dyDescent="0.25">
      <c r="A1171" s="4" t="s">
        <v>1699</v>
      </c>
    </row>
    <row r="1172" spans="1:1" ht="12.5" x14ac:dyDescent="0.25">
      <c r="A1172" s="4" t="s">
        <v>1700</v>
      </c>
    </row>
    <row r="1173" spans="1:1" ht="12.5" x14ac:dyDescent="0.25">
      <c r="A1173" s="4" t="s">
        <v>1700</v>
      </c>
    </row>
    <row r="1174" spans="1:1" ht="12.5" x14ac:dyDescent="0.25">
      <c r="A1174" s="4" t="s">
        <v>1700</v>
      </c>
    </row>
    <row r="1175" spans="1:1" ht="12.5" x14ac:dyDescent="0.25">
      <c r="A1175" s="4" t="s">
        <v>1701</v>
      </c>
    </row>
    <row r="1176" spans="1:1" ht="12.5" x14ac:dyDescent="0.25">
      <c r="A1176" s="4" t="s">
        <v>1701</v>
      </c>
    </row>
    <row r="1177" spans="1:1" ht="12.5" x14ac:dyDescent="0.25">
      <c r="A1177" s="4" t="s">
        <v>1702</v>
      </c>
    </row>
    <row r="1178" spans="1:1" ht="12.5" x14ac:dyDescent="0.25">
      <c r="A1178" s="4" t="s">
        <v>1702</v>
      </c>
    </row>
    <row r="1179" spans="1:1" ht="12.5" x14ac:dyDescent="0.25">
      <c r="A1179" s="4" t="s">
        <v>1703</v>
      </c>
    </row>
    <row r="1180" spans="1:1" ht="12.5" x14ac:dyDescent="0.25">
      <c r="A1180" s="4" t="s">
        <v>1703</v>
      </c>
    </row>
    <row r="1181" spans="1:1" ht="12.5" x14ac:dyDescent="0.25">
      <c r="A1181" s="4" t="s">
        <v>1704</v>
      </c>
    </row>
    <row r="1182" spans="1:1" ht="12.5" x14ac:dyDescent="0.25">
      <c r="A1182" s="4" t="s">
        <v>1704</v>
      </c>
    </row>
    <row r="1183" spans="1:1" ht="12.5" x14ac:dyDescent="0.25">
      <c r="A1183" s="4" t="s">
        <v>1704</v>
      </c>
    </row>
    <row r="1184" spans="1:1" ht="12.5" x14ac:dyDescent="0.25">
      <c r="A1184" s="4" t="s">
        <v>1705</v>
      </c>
    </row>
    <row r="1185" spans="1:1" ht="12.5" x14ac:dyDescent="0.25">
      <c r="A1185" s="4" t="s">
        <v>1705</v>
      </c>
    </row>
    <row r="1186" spans="1:1" ht="12.5" x14ac:dyDescent="0.25">
      <c r="A1186" s="4" t="s">
        <v>1705</v>
      </c>
    </row>
    <row r="1187" spans="1:1" ht="12.5" x14ac:dyDescent="0.25">
      <c r="A1187" s="4" t="s">
        <v>1705</v>
      </c>
    </row>
    <row r="1188" spans="1:1" ht="12.5" x14ac:dyDescent="0.25">
      <c r="A1188" s="4" t="s">
        <v>1705</v>
      </c>
    </row>
    <row r="1189" spans="1:1" ht="12.5" x14ac:dyDescent="0.25">
      <c r="A1189" s="4" t="s">
        <v>1706</v>
      </c>
    </row>
    <row r="1190" spans="1:1" ht="12.5" x14ac:dyDescent="0.25">
      <c r="A1190" s="4" t="s">
        <v>1706</v>
      </c>
    </row>
    <row r="1191" spans="1:1" ht="12.5" x14ac:dyDescent="0.25">
      <c r="A1191" s="4" t="s">
        <v>1706</v>
      </c>
    </row>
    <row r="1192" spans="1:1" ht="12.5" x14ac:dyDescent="0.25">
      <c r="A1192" s="4" t="s">
        <v>1706</v>
      </c>
    </row>
    <row r="1193" spans="1:1" ht="12.5" x14ac:dyDescent="0.25">
      <c r="A1193" s="4" t="s">
        <v>1706</v>
      </c>
    </row>
    <row r="1194" spans="1:1" ht="12.5" x14ac:dyDescent="0.25">
      <c r="A1194" s="4" t="s">
        <v>1706</v>
      </c>
    </row>
    <row r="1195" spans="1:1" ht="12.5" x14ac:dyDescent="0.25">
      <c r="A1195" s="4" t="s">
        <v>1707</v>
      </c>
    </row>
    <row r="1196" spans="1:1" ht="12.5" x14ac:dyDescent="0.25">
      <c r="A1196" s="4" t="s">
        <v>1707</v>
      </c>
    </row>
    <row r="1197" spans="1:1" ht="12.5" x14ac:dyDescent="0.25">
      <c r="A1197" s="4" t="s">
        <v>1707</v>
      </c>
    </row>
    <row r="1198" spans="1:1" ht="12.5" x14ac:dyDescent="0.25">
      <c r="A1198" s="4" t="s">
        <v>1707</v>
      </c>
    </row>
    <row r="1199" spans="1:1" ht="12.5" x14ac:dyDescent="0.25">
      <c r="A1199" s="4" t="s">
        <v>1707</v>
      </c>
    </row>
    <row r="1200" spans="1:1" ht="12.5" x14ac:dyDescent="0.25">
      <c r="A1200" s="4" t="s">
        <v>1707</v>
      </c>
    </row>
    <row r="1201" spans="1:1" ht="12.5" x14ac:dyDescent="0.25">
      <c r="A1201" s="4" t="s">
        <v>1708</v>
      </c>
    </row>
    <row r="1202" spans="1:1" ht="12.5" x14ac:dyDescent="0.25">
      <c r="A1202" s="4" t="s">
        <v>1708</v>
      </c>
    </row>
    <row r="1203" spans="1:1" ht="12.5" x14ac:dyDescent="0.25">
      <c r="A1203" s="4" t="s">
        <v>1708</v>
      </c>
    </row>
    <row r="1204" spans="1:1" ht="12.5" x14ac:dyDescent="0.25">
      <c r="A1204" s="4" t="s">
        <v>1708</v>
      </c>
    </row>
    <row r="1205" spans="1:1" ht="12.5" x14ac:dyDescent="0.25">
      <c r="A1205" s="4" t="s">
        <v>1709</v>
      </c>
    </row>
    <row r="1206" spans="1:1" ht="12.5" x14ac:dyDescent="0.25">
      <c r="A1206" s="4" t="s">
        <v>1709</v>
      </c>
    </row>
    <row r="1207" spans="1:1" ht="12.5" x14ac:dyDescent="0.25">
      <c r="A1207" s="4" t="s">
        <v>1710</v>
      </c>
    </row>
    <row r="1208" spans="1:1" ht="12.5" x14ac:dyDescent="0.25">
      <c r="A1208" s="4" t="s">
        <v>1711</v>
      </c>
    </row>
    <row r="1209" spans="1:1" ht="12.5" x14ac:dyDescent="0.25">
      <c r="A1209" s="4" t="s">
        <v>1712</v>
      </c>
    </row>
    <row r="1210" spans="1:1" ht="12.5" x14ac:dyDescent="0.25">
      <c r="A1210" s="4" t="s">
        <v>1712</v>
      </c>
    </row>
    <row r="1211" spans="1:1" ht="12.5" x14ac:dyDescent="0.25">
      <c r="A1211" s="4" t="s">
        <v>1713</v>
      </c>
    </row>
    <row r="1212" spans="1:1" ht="12.5" x14ac:dyDescent="0.25">
      <c r="A1212" s="4" t="s">
        <v>1713</v>
      </c>
    </row>
    <row r="1213" spans="1:1" ht="12.5" x14ac:dyDescent="0.25">
      <c r="A1213" s="4" t="s">
        <v>1714</v>
      </c>
    </row>
    <row r="1214" spans="1:1" ht="12.5" x14ac:dyDescent="0.25">
      <c r="A1214" s="4" t="s">
        <v>1715</v>
      </c>
    </row>
    <row r="1215" spans="1:1" ht="12.5" x14ac:dyDescent="0.25">
      <c r="A1215" s="4" t="s">
        <v>1715</v>
      </c>
    </row>
    <row r="1216" spans="1:1" ht="12.5" x14ac:dyDescent="0.25">
      <c r="A1216" s="4" t="s">
        <v>1716</v>
      </c>
    </row>
    <row r="1217" spans="1:1" ht="12.5" x14ac:dyDescent="0.25">
      <c r="A1217" s="4" t="s">
        <v>1716</v>
      </c>
    </row>
    <row r="1218" spans="1:1" ht="12.5" x14ac:dyDescent="0.25">
      <c r="A1218" s="4" t="s">
        <v>1717</v>
      </c>
    </row>
    <row r="1219" spans="1:1" ht="12.5" x14ac:dyDescent="0.25">
      <c r="A1219" s="4" t="s">
        <v>1717</v>
      </c>
    </row>
    <row r="1220" spans="1:1" ht="12.5" x14ac:dyDescent="0.25">
      <c r="A1220" s="4" t="s">
        <v>1718</v>
      </c>
    </row>
    <row r="1221" spans="1:1" ht="12.5" x14ac:dyDescent="0.25">
      <c r="A1221" s="4" t="s">
        <v>1718</v>
      </c>
    </row>
    <row r="1222" spans="1:1" ht="12.5" x14ac:dyDescent="0.25">
      <c r="A1222" s="4" t="s">
        <v>1718</v>
      </c>
    </row>
    <row r="1223" spans="1:1" ht="12.5" x14ac:dyDescent="0.25">
      <c r="A1223" s="4" t="s">
        <v>1719</v>
      </c>
    </row>
    <row r="1224" spans="1:1" ht="12.5" x14ac:dyDescent="0.25">
      <c r="A1224" s="4" t="s">
        <v>1719</v>
      </c>
    </row>
    <row r="1225" spans="1:1" ht="12.5" x14ac:dyDescent="0.25">
      <c r="A1225" s="4" t="s">
        <v>1720</v>
      </c>
    </row>
    <row r="1226" spans="1:1" ht="12.5" x14ac:dyDescent="0.25">
      <c r="A1226" s="4" t="s">
        <v>1720</v>
      </c>
    </row>
    <row r="1227" spans="1:1" ht="12.5" x14ac:dyDescent="0.25">
      <c r="A1227" s="4" t="s">
        <v>1721</v>
      </c>
    </row>
    <row r="1228" spans="1:1" ht="12.5" x14ac:dyDescent="0.25">
      <c r="A1228" s="4" t="s">
        <v>1721</v>
      </c>
    </row>
    <row r="1229" spans="1:1" ht="12.5" x14ac:dyDescent="0.25">
      <c r="A1229" s="4" t="s">
        <v>1722</v>
      </c>
    </row>
    <row r="1230" spans="1:1" ht="12.5" x14ac:dyDescent="0.25">
      <c r="A1230" s="4" t="s">
        <v>1722</v>
      </c>
    </row>
    <row r="1231" spans="1:1" ht="12.5" x14ac:dyDescent="0.25">
      <c r="A1231" s="4" t="s">
        <v>1722</v>
      </c>
    </row>
    <row r="1232" spans="1:1" ht="12.5" x14ac:dyDescent="0.25">
      <c r="A1232" s="4" t="s">
        <v>1722</v>
      </c>
    </row>
    <row r="1233" spans="1:1" ht="12.5" x14ac:dyDescent="0.25">
      <c r="A1233" s="4" t="s">
        <v>1723</v>
      </c>
    </row>
    <row r="1234" spans="1:1" ht="12.5" x14ac:dyDescent="0.25">
      <c r="A1234" s="4" t="s">
        <v>1723</v>
      </c>
    </row>
    <row r="1235" spans="1:1" ht="12.5" x14ac:dyDescent="0.25">
      <c r="A1235" s="4" t="s">
        <v>1723</v>
      </c>
    </row>
    <row r="1236" spans="1:1" ht="12.5" x14ac:dyDescent="0.25">
      <c r="A1236" s="4" t="s">
        <v>1723</v>
      </c>
    </row>
    <row r="1237" spans="1:1" ht="12.5" x14ac:dyDescent="0.25">
      <c r="A1237" s="4" t="s">
        <v>1723</v>
      </c>
    </row>
    <row r="1238" spans="1:1" ht="12.5" x14ac:dyDescent="0.25">
      <c r="A1238" s="4" t="s">
        <v>1723</v>
      </c>
    </row>
    <row r="1239" spans="1:1" ht="12.5" x14ac:dyDescent="0.25">
      <c r="A1239" s="4" t="s">
        <v>1724</v>
      </c>
    </row>
    <row r="1240" spans="1:1" ht="12.5" x14ac:dyDescent="0.25">
      <c r="A1240" s="4" t="s">
        <v>1725</v>
      </c>
    </row>
    <row r="1241" spans="1:1" ht="12.5" x14ac:dyDescent="0.25">
      <c r="A1241" s="4" t="s">
        <v>1725</v>
      </c>
    </row>
    <row r="1242" spans="1:1" ht="12.5" x14ac:dyDescent="0.25">
      <c r="A1242" s="4" t="s">
        <v>1726</v>
      </c>
    </row>
    <row r="1243" spans="1:1" ht="12.5" x14ac:dyDescent="0.25">
      <c r="A1243" s="4" t="s">
        <v>1726</v>
      </c>
    </row>
    <row r="1244" spans="1:1" ht="12.5" x14ac:dyDescent="0.25">
      <c r="A1244" s="4" t="s">
        <v>1726</v>
      </c>
    </row>
    <row r="1245" spans="1:1" ht="12.5" x14ac:dyDescent="0.25">
      <c r="A1245" s="4" t="s">
        <v>1726</v>
      </c>
    </row>
    <row r="1246" spans="1:1" ht="12.5" x14ac:dyDescent="0.25">
      <c r="A1246" s="4" t="s">
        <v>1726</v>
      </c>
    </row>
    <row r="1247" spans="1:1" ht="12.5" x14ac:dyDescent="0.25">
      <c r="A1247" s="4" t="s">
        <v>1727</v>
      </c>
    </row>
    <row r="1248" spans="1:1" ht="12.5" x14ac:dyDescent="0.25">
      <c r="A1248" s="4" t="s">
        <v>1727</v>
      </c>
    </row>
    <row r="1249" spans="1:1" ht="12.5" x14ac:dyDescent="0.25">
      <c r="A1249" s="4" t="s">
        <v>1727</v>
      </c>
    </row>
    <row r="1250" spans="1:1" ht="12.5" x14ac:dyDescent="0.25">
      <c r="A1250" s="4" t="s">
        <v>1727</v>
      </c>
    </row>
    <row r="1251" spans="1:1" ht="12.5" x14ac:dyDescent="0.25">
      <c r="A1251" s="4" t="s">
        <v>1727</v>
      </c>
    </row>
    <row r="1252" spans="1:1" ht="12.5" x14ac:dyDescent="0.25">
      <c r="A1252" s="4" t="s">
        <v>1727</v>
      </c>
    </row>
    <row r="1253" spans="1:1" ht="12.5" x14ac:dyDescent="0.25">
      <c r="A1253" s="4" t="s">
        <v>1728</v>
      </c>
    </row>
    <row r="1254" spans="1:1" ht="12.5" x14ac:dyDescent="0.25">
      <c r="A1254" s="4" t="s">
        <v>1728</v>
      </c>
    </row>
    <row r="1255" spans="1:1" ht="12.5" x14ac:dyDescent="0.25">
      <c r="A1255" s="4" t="s">
        <v>1728</v>
      </c>
    </row>
    <row r="1256" spans="1:1" ht="12.5" x14ac:dyDescent="0.25">
      <c r="A1256" s="4" t="s">
        <v>1728</v>
      </c>
    </row>
    <row r="1257" spans="1:1" ht="12.5" x14ac:dyDescent="0.25">
      <c r="A1257" s="4" t="s">
        <v>1728</v>
      </c>
    </row>
    <row r="1258" spans="1:1" ht="12.5" x14ac:dyDescent="0.25">
      <c r="A1258" s="4" t="s">
        <v>1728</v>
      </c>
    </row>
    <row r="1259" spans="1:1" ht="12.5" x14ac:dyDescent="0.25">
      <c r="A1259" s="4" t="s">
        <v>1729</v>
      </c>
    </row>
    <row r="1260" spans="1:1" ht="12.5" x14ac:dyDescent="0.25">
      <c r="A1260" s="4" t="s">
        <v>1729</v>
      </c>
    </row>
    <row r="1261" spans="1:1" ht="12.5" x14ac:dyDescent="0.25">
      <c r="A1261" s="4" t="s">
        <v>1729</v>
      </c>
    </row>
    <row r="1262" spans="1:1" ht="12.5" x14ac:dyDescent="0.25">
      <c r="A1262" s="4" t="s">
        <v>1729</v>
      </c>
    </row>
    <row r="1263" spans="1:1" ht="12.5" x14ac:dyDescent="0.25">
      <c r="A1263" s="4" t="s">
        <v>1729</v>
      </c>
    </row>
    <row r="1264" spans="1:1" ht="12.5" x14ac:dyDescent="0.25">
      <c r="A1264" s="4" t="s">
        <v>1729</v>
      </c>
    </row>
    <row r="1265" spans="1:1" ht="12.5" x14ac:dyDescent="0.25">
      <c r="A1265" s="4" t="s">
        <v>1730</v>
      </c>
    </row>
    <row r="1266" spans="1:1" ht="12.5" x14ac:dyDescent="0.25">
      <c r="A1266" s="4" t="s">
        <v>1730</v>
      </c>
    </row>
    <row r="1267" spans="1:1" ht="12.5" x14ac:dyDescent="0.25">
      <c r="A1267" s="4" t="s">
        <v>1730</v>
      </c>
    </row>
    <row r="1268" spans="1:1" ht="12.5" x14ac:dyDescent="0.25">
      <c r="A1268" s="4" t="s">
        <v>1730</v>
      </c>
    </row>
    <row r="1269" spans="1:1" ht="12.5" x14ac:dyDescent="0.25">
      <c r="A1269" s="4" t="s">
        <v>1730</v>
      </c>
    </row>
    <row r="1270" spans="1:1" ht="12.5" x14ac:dyDescent="0.25">
      <c r="A1270" s="4" t="s">
        <v>1730</v>
      </c>
    </row>
    <row r="1271" spans="1:1" ht="12.5" x14ac:dyDescent="0.25">
      <c r="A1271" s="4" t="s">
        <v>1730</v>
      </c>
    </row>
    <row r="1272" spans="1:1" ht="12.5" x14ac:dyDescent="0.25">
      <c r="A1272" s="4" t="s">
        <v>1730</v>
      </c>
    </row>
    <row r="1273" spans="1:1" ht="12.5" x14ac:dyDescent="0.25">
      <c r="A1273" s="4" t="s">
        <v>1730</v>
      </c>
    </row>
    <row r="1274" spans="1:1" ht="12.5" x14ac:dyDescent="0.25">
      <c r="A1274" s="4" t="s">
        <v>1731</v>
      </c>
    </row>
    <row r="1275" spans="1:1" ht="12.5" x14ac:dyDescent="0.25">
      <c r="A1275" s="4" t="s">
        <v>1731</v>
      </c>
    </row>
    <row r="1276" spans="1:1" ht="12.5" x14ac:dyDescent="0.25">
      <c r="A1276" s="4" t="s">
        <v>1731</v>
      </c>
    </row>
    <row r="1277" spans="1:1" ht="12.5" x14ac:dyDescent="0.25">
      <c r="A1277" s="4" t="s">
        <v>1731</v>
      </c>
    </row>
    <row r="1278" spans="1:1" ht="12.5" x14ac:dyDescent="0.25">
      <c r="A1278" s="4" t="s">
        <v>1732</v>
      </c>
    </row>
    <row r="1279" spans="1:1" ht="12.5" x14ac:dyDescent="0.25">
      <c r="A1279" s="4" t="s">
        <v>1733</v>
      </c>
    </row>
    <row r="1280" spans="1:1" ht="12.5" x14ac:dyDescent="0.25">
      <c r="A1280" s="4" t="s">
        <v>1733</v>
      </c>
    </row>
    <row r="1281" spans="1:1" ht="12.5" x14ac:dyDescent="0.25">
      <c r="A1281" s="4" t="s">
        <v>1734</v>
      </c>
    </row>
    <row r="1282" spans="1:1" ht="12.5" x14ac:dyDescent="0.25">
      <c r="A1282" s="4" t="s">
        <v>1734</v>
      </c>
    </row>
    <row r="1283" spans="1:1" ht="12.5" x14ac:dyDescent="0.25">
      <c r="A1283" s="4" t="s">
        <v>1735</v>
      </c>
    </row>
    <row r="1284" spans="1:1" ht="12.5" x14ac:dyDescent="0.25">
      <c r="A1284" s="4" t="s">
        <v>1735</v>
      </c>
    </row>
    <row r="1285" spans="1:1" ht="12.5" x14ac:dyDescent="0.25">
      <c r="A1285" s="4" t="s">
        <v>1735</v>
      </c>
    </row>
    <row r="1286" spans="1:1" ht="12.5" x14ac:dyDescent="0.25">
      <c r="A1286" s="4" t="s">
        <v>1736</v>
      </c>
    </row>
    <row r="1287" spans="1:1" ht="12.5" x14ac:dyDescent="0.25">
      <c r="A1287" s="4" t="s">
        <v>1736</v>
      </c>
    </row>
    <row r="1288" spans="1:1" ht="12.5" x14ac:dyDescent="0.25">
      <c r="A1288" s="4" t="s">
        <v>1737</v>
      </c>
    </row>
    <row r="1289" spans="1:1" ht="12.5" x14ac:dyDescent="0.25">
      <c r="A1289" s="4" t="s">
        <v>1738</v>
      </c>
    </row>
    <row r="1290" spans="1:1" ht="12.5" x14ac:dyDescent="0.25">
      <c r="A1290" s="4" t="s">
        <v>1738</v>
      </c>
    </row>
    <row r="1291" spans="1:1" ht="12.5" x14ac:dyDescent="0.25">
      <c r="A1291" s="4" t="s">
        <v>1738</v>
      </c>
    </row>
    <row r="1292" spans="1:1" ht="12.5" x14ac:dyDescent="0.25">
      <c r="A1292" s="4" t="s">
        <v>1738</v>
      </c>
    </row>
    <row r="1293" spans="1:1" ht="12.5" x14ac:dyDescent="0.25">
      <c r="A1293" s="4" t="s">
        <v>1739</v>
      </c>
    </row>
    <row r="1294" spans="1:1" ht="12.5" x14ac:dyDescent="0.25">
      <c r="A1294" s="4" t="s">
        <v>1739</v>
      </c>
    </row>
    <row r="1295" spans="1:1" ht="12.5" x14ac:dyDescent="0.25">
      <c r="A1295" s="4" t="s">
        <v>1739</v>
      </c>
    </row>
    <row r="1296" spans="1:1" ht="12.5" x14ac:dyDescent="0.25">
      <c r="A1296" s="4" t="s">
        <v>1740</v>
      </c>
    </row>
    <row r="1297" spans="1:1" ht="12.5" x14ac:dyDescent="0.25">
      <c r="A1297" s="4" t="s">
        <v>1740</v>
      </c>
    </row>
    <row r="1298" spans="1:1" ht="12.5" x14ac:dyDescent="0.25">
      <c r="A1298" s="4" t="s">
        <v>1740</v>
      </c>
    </row>
    <row r="1299" spans="1:1" ht="12.5" x14ac:dyDescent="0.25">
      <c r="A1299" s="4" t="s">
        <v>1741</v>
      </c>
    </row>
    <row r="1300" spans="1:1" ht="12.5" x14ac:dyDescent="0.25">
      <c r="A1300" s="4" t="s">
        <v>1741</v>
      </c>
    </row>
    <row r="1301" spans="1:1" ht="12.5" x14ac:dyDescent="0.25">
      <c r="A1301" s="4" t="s">
        <v>1741</v>
      </c>
    </row>
    <row r="1302" spans="1:1" ht="12.5" x14ac:dyDescent="0.25">
      <c r="A1302" s="4" t="s">
        <v>1741</v>
      </c>
    </row>
    <row r="1303" spans="1:1" ht="12.5" x14ac:dyDescent="0.25">
      <c r="A1303" s="4" t="s">
        <v>1742</v>
      </c>
    </row>
    <row r="1304" spans="1:1" ht="12.5" x14ac:dyDescent="0.25">
      <c r="A1304" s="4" t="s">
        <v>1742</v>
      </c>
    </row>
    <row r="1305" spans="1:1" ht="12.5" x14ac:dyDescent="0.25">
      <c r="A1305" s="4" t="s">
        <v>1742</v>
      </c>
    </row>
    <row r="1306" spans="1:1" ht="12.5" x14ac:dyDescent="0.25">
      <c r="A1306" s="4" t="s">
        <v>1742</v>
      </c>
    </row>
    <row r="1307" spans="1:1" ht="12.5" x14ac:dyDescent="0.25">
      <c r="A1307" s="4" t="s">
        <v>1742</v>
      </c>
    </row>
    <row r="1308" spans="1:1" ht="12.5" x14ac:dyDescent="0.25">
      <c r="A1308" s="4" t="s">
        <v>1742</v>
      </c>
    </row>
    <row r="1309" spans="1:1" ht="12.5" x14ac:dyDescent="0.25">
      <c r="A1309" s="4" t="s">
        <v>1742</v>
      </c>
    </row>
    <row r="1310" spans="1:1" ht="12.5" x14ac:dyDescent="0.25">
      <c r="A1310" s="4" t="s">
        <v>1743</v>
      </c>
    </row>
    <row r="1311" spans="1:1" ht="12.5" x14ac:dyDescent="0.25">
      <c r="A1311" s="4" t="s">
        <v>1743</v>
      </c>
    </row>
    <row r="1312" spans="1:1" ht="12.5" x14ac:dyDescent="0.25">
      <c r="A1312" s="4" t="s">
        <v>1743</v>
      </c>
    </row>
    <row r="1313" spans="1:1" ht="12.5" x14ac:dyDescent="0.25">
      <c r="A1313" s="4" t="s">
        <v>1743</v>
      </c>
    </row>
    <row r="1314" spans="1:1" ht="12.5" x14ac:dyDescent="0.25">
      <c r="A1314" s="4" t="s">
        <v>1743</v>
      </c>
    </row>
    <row r="1315" spans="1:1" ht="12.5" x14ac:dyDescent="0.25">
      <c r="A1315" s="4" t="s">
        <v>1744</v>
      </c>
    </row>
    <row r="1316" spans="1:1" ht="12.5" x14ac:dyDescent="0.25">
      <c r="A1316" s="4" t="s">
        <v>1744</v>
      </c>
    </row>
    <row r="1317" spans="1:1" ht="12.5" x14ac:dyDescent="0.25">
      <c r="A1317" s="4" t="s">
        <v>1744</v>
      </c>
    </row>
    <row r="1318" spans="1:1" ht="12.5" x14ac:dyDescent="0.25">
      <c r="A1318" s="4" t="s">
        <v>1744</v>
      </c>
    </row>
    <row r="1319" spans="1:1" ht="12.5" x14ac:dyDescent="0.25">
      <c r="A1319" s="4" t="s">
        <v>1744</v>
      </c>
    </row>
    <row r="1320" spans="1:1" ht="12.5" x14ac:dyDescent="0.25">
      <c r="A1320" s="4" t="s">
        <v>1744</v>
      </c>
    </row>
    <row r="1321" spans="1:1" ht="12.5" x14ac:dyDescent="0.25">
      <c r="A1321" s="4" t="s">
        <v>1744</v>
      </c>
    </row>
    <row r="1322" spans="1:1" ht="12.5" x14ac:dyDescent="0.25">
      <c r="A1322" s="4" t="s">
        <v>1744</v>
      </c>
    </row>
    <row r="1323" spans="1:1" ht="12.5" x14ac:dyDescent="0.25">
      <c r="A1323" s="4" t="s">
        <v>1744</v>
      </c>
    </row>
    <row r="1324" spans="1:1" ht="12.5" x14ac:dyDescent="0.25">
      <c r="A1324" s="4" t="s">
        <v>1744</v>
      </c>
    </row>
    <row r="1325" spans="1:1" ht="12.5" x14ac:dyDescent="0.25">
      <c r="A1325" s="4" t="s">
        <v>1745</v>
      </c>
    </row>
    <row r="1326" spans="1:1" ht="12.5" x14ac:dyDescent="0.25">
      <c r="A1326" s="4" t="s">
        <v>1745</v>
      </c>
    </row>
    <row r="1327" spans="1:1" ht="12.5" x14ac:dyDescent="0.25">
      <c r="A1327" s="4" t="s">
        <v>1745</v>
      </c>
    </row>
    <row r="1328" spans="1:1" ht="12.5" x14ac:dyDescent="0.25">
      <c r="A1328" s="4" t="s">
        <v>1746</v>
      </c>
    </row>
    <row r="1329" spans="1:1" ht="12.5" x14ac:dyDescent="0.25">
      <c r="A1329" s="4" t="s">
        <v>1746</v>
      </c>
    </row>
    <row r="1330" spans="1:1" ht="12.5" x14ac:dyDescent="0.25">
      <c r="A1330" s="4" t="s">
        <v>1746</v>
      </c>
    </row>
    <row r="1331" spans="1:1" ht="12.5" x14ac:dyDescent="0.25">
      <c r="A1331" s="4" t="s">
        <v>1746</v>
      </c>
    </row>
    <row r="1332" spans="1:1" ht="12.5" x14ac:dyDescent="0.25">
      <c r="A1332" s="4" t="s">
        <v>1747</v>
      </c>
    </row>
    <row r="1333" spans="1:1" ht="12.5" x14ac:dyDescent="0.25">
      <c r="A1333" s="4" t="s">
        <v>1747</v>
      </c>
    </row>
    <row r="1334" spans="1:1" ht="12.5" x14ac:dyDescent="0.25">
      <c r="A1334" s="4" t="s">
        <v>1747</v>
      </c>
    </row>
    <row r="1335" spans="1:1" ht="12.5" x14ac:dyDescent="0.25">
      <c r="A1335" s="4" t="s">
        <v>1748</v>
      </c>
    </row>
    <row r="1336" spans="1:1" ht="12.5" x14ac:dyDescent="0.25">
      <c r="A1336" s="4" t="s">
        <v>1748</v>
      </c>
    </row>
    <row r="1337" spans="1:1" ht="12.5" x14ac:dyDescent="0.25">
      <c r="A1337" s="4" t="s">
        <v>1748</v>
      </c>
    </row>
    <row r="1338" spans="1:1" ht="12.5" x14ac:dyDescent="0.25">
      <c r="A1338" s="4" t="s">
        <v>1749</v>
      </c>
    </row>
    <row r="1339" spans="1:1" ht="12.5" x14ac:dyDescent="0.25">
      <c r="A1339" s="4" t="s">
        <v>1749</v>
      </c>
    </row>
    <row r="1340" spans="1:1" ht="12.5" x14ac:dyDescent="0.25">
      <c r="A1340" s="4" t="s">
        <v>1749</v>
      </c>
    </row>
    <row r="1341" spans="1:1" ht="12.5" x14ac:dyDescent="0.25">
      <c r="A1341" s="4" t="s">
        <v>1749</v>
      </c>
    </row>
    <row r="1342" spans="1:1" ht="12.5" x14ac:dyDescent="0.25">
      <c r="A1342" s="4" t="s">
        <v>1749</v>
      </c>
    </row>
    <row r="1343" spans="1:1" ht="12.5" x14ac:dyDescent="0.25">
      <c r="A1343" s="4" t="s">
        <v>1750</v>
      </c>
    </row>
    <row r="1344" spans="1:1" ht="12.5" x14ac:dyDescent="0.25">
      <c r="A1344" s="4" t="s">
        <v>1750</v>
      </c>
    </row>
    <row r="1345" spans="1:1" ht="12.5" x14ac:dyDescent="0.25">
      <c r="A1345" s="4" t="s">
        <v>1750</v>
      </c>
    </row>
    <row r="1346" spans="1:1" ht="12.5" x14ac:dyDescent="0.25">
      <c r="A1346" s="4" t="s">
        <v>1750</v>
      </c>
    </row>
    <row r="1347" spans="1:1" ht="12.5" x14ac:dyDescent="0.25">
      <c r="A1347" s="4" t="s">
        <v>1750</v>
      </c>
    </row>
    <row r="1348" spans="1:1" ht="12.5" x14ac:dyDescent="0.25">
      <c r="A1348" s="4" t="s">
        <v>1750</v>
      </c>
    </row>
    <row r="1349" spans="1:1" ht="12.5" x14ac:dyDescent="0.25">
      <c r="A1349" s="4" t="s">
        <v>1750</v>
      </c>
    </row>
    <row r="1350" spans="1:1" ht="12.5" x14ac:dyDescent="0.25">
      <c r="A1350" s="4" t="s">
        <v>1750</v>
      </c>
    </row>
    <row r="1351" spans="1:1" ht="12.5" x14ac:dyDescent="0.25">
      <c r="A1351" s="4" t="s">
        <v>1751</v>
      </c>
    </row>
    <row r="1352" spans="1:1" ht="12.5" x14ac:dyDescent="0.25">
      <c r="A1352" s="4" t="s">
        <v>1751</v>
      </c>
    </row>
    <row r="1353" spans="1:1" ht="12.5" x14ac:dyDescent="0.25">
      <c r="A1353" s="4" t="s">
        <v>1751</v>
      </c>
    </row>
    <row r="1354" spans="1:1" ht="12.5" x14ac:dyDescent="0.25">
      <c r="A1354" s="4" t="s">
        <v>1751</v>
      </c>
    </row>
    <row r="1355" spans="1:1" ht="12.5" x14ac:dyDescent="0.25">
      <c r="A1355" s="4" t="s">
        <v>1751</v>
      </c>
    </row>
    <row r="1356" spans="1:1" ht="12.5" x14ac:dyDescent="0.25">
      <c r="A1356" s="4" t="s">
        <v>1751</v>
      </c>
    </row>
    <row r="1357" spans="1:1" ht="12.5" x14ac:dyDescent="0.25">
      <c r="A1357" s="4" t="s">
        <v>1751</v>
      </c>
    </row>
    <row r="1358" spans="1:1" ht="12.5" x14ac:dyDescent="0.25">
      <c r="A1358" s="4" t="s">
        <v>1752</v>
      </c>
    </row>
    <row r="1359" spans="1:1" ht="12.5" x14ac:dyDescent="0.25">
      <c r="A1359" s="4" t="s">
        <v>1752</v>
      </c>
    </row>
    <row r="1360" spans="1:1" ht="12.5" x14ac:dyDescent="0.25">
      <c r="A1360" s="4" t="s">
        <v>1752</v>
      </c>
    </row>
    <row r="1361" spans="1:1" ht="12.5" x14ac:dyDescent="0.25">
      <c r="A1361" s="4" t="s">
        <v>1752</v>
      </c>
    </row>
    <row r="1362" spans="1:1" ht="12.5" x14ac:dyDescent="0.25">
      <c r="A1362" s="4" t="s">
        <v>1753</v>
      </c>
    </row>
    <row r="1363" spans="1:1" ht="12.5" x14ac:dyDescent="0.25">
      <c r="A1363" s="4" t="s">
        <v>1753</v>
      </c>
    </row>
    <row r="1364" spans="1:1" ht="12.5" x14ac:dyDescent="0.25">
      <c r="A1364" s="4" t="s">
        <v>1753</v>
      </c>
    </row>
    <row r="1365" spans="1:1" ht="12.5" x14ac:dyDescent="0.25">
      <c r="A1365" s="4" t="s">
        <v>1753</v>
      </c>
    </row>
    <row r="1366" spans="1:1" ht="12.5" x14ac:dyDescent="0.25">
      <c r="A1366" s="4" t="s">
        <v>1754</v>
      </c>
    </row>
    <row r="1367" spans="1:1" ht="12.5" x14ac:dyDescent="0.25">
      <c r="A1367" s="4" t="s">
        <v>1754</v>
      </c>
    </row>
    <row r="1368" spans="1:1" ht="12.5" x14ac:dyDescent="0.25">
      <c r="A1368" s="4" t="s">
        <v>1754</v>
      </c>
    </row>
    <row r="1369" spans="1:1" ht="12.5" x14ac:dyDescent="0.25">
      <c r="A1369" s="4" t="s">
        <v>1754</v>
      </c>
    </row>
    <row r="1370" spans="1:1" ht="12.5" x14ac:dyDescent="0.25">
      <c r="A1370" s="4" t="s">
        <v>1755</v>
      </c>
    </row>
    <row r="1371" spans="1:1" ht="12.5" x14ac:dyDescent="0.25">
      <c r="A1371" s="4" t="s">
        <v>1755</v>
      </c>
    </row>
    <row r="1372" spans="1:1" ht="12.5" x14ac:dyDescent="0.25">
      <c r="A1372" s="4" t="s">
        <v>1756</v>
      </c>
    </row>
    <row r="1373" spans="1:1" ht="12.5" x14ac:dyDescent="0.25">
      <c r="A1373" s="4" t="s">
        <v>1757</v>
      </c>
    </row>
    <row r="1374" spans="1:1" ht="12.5" x14ac:dyDescent="0.25">
      <c r="A1374" s="4" t="s">
        <v>1757</v>
      </c>
    </row>
    <row r="1375" spans="1:1" ht="12.5" x14ac:dyDescent="0.25">
      <c r="A1375" s="4" t="s">
        <v>1757</v>
      </c>
    </row>
    <row r="1376" spans="1:1" ht="12.5" x14ac:dyDescent="0.25">
      <c r="A1376" s="4" t="s">
        <v>1757</v>
      </c>
    </row>
    <row r="1377" spans="1:1" ht="12.5" x14ac:dyDescent="0.25">
      <c r="A1377" s="4" t="s">
        <v>1758</v>
      </c>
    </row>
    <row r="1378" spans="1:1" ht="12.5" x14ac:dyDescent="0.25">
      <c r="A1378" s="4" t="s">
        <v>1759</v>
      </c>
    </row>
    <row r="1379" spans="1:1" ht="12.5" x14ac:dyDescent="0.25">
      <c r="A1379" s="4" t="s">
        <v>1759</v>
      </c>
    </row>
    <row r="1380" spans="1:1" ht="12.5" x14ac:dyDescent="0.25">
      <c r="A1380" s="4" t="s">
        <v>1759</v>
      </c>
    </row>
    <row r="1381" spans="1:1" ht="12.5" x14ac:dyDescent="0.25">
      <c r="A1381" s="4" t="s">
        <v>1759</v>
      </c>
    </row>
    <row r="1382" spans="1:1" ht="12.5" x14ac:dyDescent="0.25">
      <c r="A1382" s="4" t="s">
        <v>1759</v>
      </c>
    </row>
    <row r="1383" spans="1:1" ht="12.5" x14ac:dyDescent="0.25">
      <c r="A1383" s="4" t="s">
        <v>1760</v>
      </c>
    </row>
    <row r="1384" spans="1:1" ht="12.5" x14ac:dyDescent="0.25">
      <c r="A1384" s="4" t="s">
        <v>1761</v>
      </c>
    </row>
    <row r="1385" spans="1:1" ht="12.5" x14ac:dyDescent="0.25">
      <c r="A1385" s="4" t="s">
        <v>1761</v>
      </c>
    </row>
    <row r="1386" spans="1:1" ht="12.5" x14ac:dyDescent="0.25">
      <c r="A1386" s="4" t="s">
        <v>1762</v>
      </c>
    </row>
    <row r="1387" spans="1:1" ht="12.5" x14ac:dyDescent="0.25">
      <c r="A1387" s="4" t="s">
        <v>1762</v>
      </c>
    </row>
    <row r="1388" spans="1:1" ht="12.5" x14ac:dyDescent="0.25">
      <c r="A1388" s="4" t="s">
        <v>1763</v>
      </c>
    </row>
    <row r="1389" spans="1:1" ht="12.5" x14ac:dyDescent="0.25">
      <c r="A1389" s="4" t="s">
        <v>1763</v>
      </c>
    </row>
    <row r="1390" spans="1:1" ht="12.5" x14ac:dyDescent="0.25">
      <c r="A1390" s="4" t="s">
        <v>1763</v>
      </c>
    </row>
    <row r="1391" spans="1:1" ht="12.5" x14ac:dyDescent="0.25">
      <c r="A1391" s="4" t="s">
        <v>1764</v>
      </c>
    </row>
    <row r="1392" spans="1:1" ht="12.5" x14ac:dyDescent="0.25">
      <c r="A1392" s="4" t="s">
        <v>1764</v>
      </c>
    </row>
    <row r="1393" spans="1:1" ht="12.5" x14ac:dyDescent="0.25">
      <c r="A1393" s="4" t="s">
        <v>1765</v>
      </c>
    </row>
    <row r="1394" spans="1:1" ht="12.5" x14ac:dyDescent="0.25">
      <c r="A1394" s="4" t="s">
        <v>1765</v>
      </c>
    </row>
    <row r="1395" spans="1:1" ht="12.5" x14ac:dyDescent="0.25">
      <c r="A1395" s="4" t="s">
        <v>1766</v>
      </c>
    </row>
    <row r="1396" spans="1:1" ht="12.5" x14ac:dyDescent="0.25">
      <c r="A1396" s="4" t="s">
        <v>1767</v>
      </c>
    </row>
    <row r="1397" spans="1:1" ht="12.5" x14ac:dyDescent="0.25">
      <c r="A1397" s="4" t="s">
        <v>1768</v>
      </c>
    </row>
    <row r="1398" spans="1:1" ht="12.5" x14ac:dyDescent="0.25">
      <c r="A1398" s="4" t="s">
        <v>1768</v>
      </c>
    </row>
    <row r="1399" spans="1:1" ht="12.5" x14ac:dyDescent="0.25">
      <c r="A1399" s="4" t="s">
        <v>1768</v>
      </c>
    </row>
    <row r="1400" spans="1:1" ht="12.5" x14ac:dyDescent="0.25">
      <c r="A1400" s="4" t="s">
        <v>1769</v>
      </c>
    </row>
    <row r="1401" spans="1:1" ht="12.5" x14ac:dyDescent="0.25">
      <c r="A1401" s="4" t="s">
        <v>1769</v>
      </c>
    </row>
    <row r="1402" spans="1:1" ht="12.5" x14ac:dyDescent="0.25">
      <c r="A1402" s="4" t="s">
        <v>1769</v>
      </c>
    </row>
    <row r="1403" spans="1:1" ht="12.5" x14ac:dyDescent="0.25">
      <c r="A1403" s="4" t="s">
        <v>1770</v>
      </c>
    </row>
    <row r="1404" spans="1:1" ht="12.5" x14ac:dyDescent="0.25">
      <c r="A1404" s="4" t="s">
        <v>1770</v>
      </c>
    </row>
    <row r="1405" spans="1:1" ht="12.5" x14ac:dyDescent="0.25">
      <c r="A1405" s="4" t="s">
        <v>1770</v>
      </c>
    </row>
    <row r="1406" spans="1:1" ht="12.5" x14ac:dyDescent="0.25">
      <c r="A1406" s="4" t="s">
        <v>1770</v>
      </c>
    </row>
    <row r="1407" spans="1:1" ht="12.5" x14ac:dyDescent="0.25">
      <c r="A1407" s="4" t="s">
        <v>1770</v>
      </c>
    </row>
    <row r="1408" spans="1:1" ht="12.5" x14ac:dyDescent="0.25">
      <c r="A1408" s="4" t="s">
        <v>1770</v>
      </c>
    </row>
    <row r="1409" spans="1:1" ht="12.5" x14ac:dyDescent="0.25">
      <c r="A1409" s="4" t="s">
        <v>1770</v>
      </c>
    </row>
    <row r="1410" spans="1:1" ht="12.5" x14ac:dyDescent="0.25">
      <c r="A1410" s="4" t="s">
        <v>1770</v>
      </c>
    </row>
    <row r="1411" spans="1:1" ht="12.5" x14ac:dyDescent="0.25">
      <c r="A1411" s="4" t="s">
        <v>1771</v>
      </c>
    </row>
    <row r="1412" spans="1:1" ht="12.5" x14ac:dyDescent="0.25">
      <c r="A1412" s="4" t="s">
        <v>1771</v>
      </c>
    </row>
    <row r="1413" spans="1:1" ht="12.5" x14ac:dyDescent="0.25">
      <c r="A1413" s="4" t="s">
        <v>1771</v>
      </c>
    </row>
    <row r="1414" spans="1:1" ht="12.5" x14ac:dyDescent="0.25">
      <c r="A1414" s="4" t="s">
        <v>1771</v>
      </c>
    </row>
    <row r="1415" spans="1:1" ht="12.5" x14ac:dyDescent="0.25">
      <c r="A1415" s="4" t="s">
        <v>1772</v>
      </c>
    </row>
    <row r="1416" spans="1:1" ht="12.5" x14ac:dyDescent="0.25">
      <c r="A1416" s="4" t="s">
        <v>1772</v>
      </c>
    </row>
    <row r="1417" spans="1:1" ht="12.5" x14ac:dyDescent="0.25">
      <c r="A1417" s="4" t="s">
        <v>1772</v>
      </c>
    </row>
    <row r="1418" spans="1:1" ht="12.5" x14ac:dyDescent="0.25">
      <c r="A1418" s="4" t="s">
        <v>1772</v>
      </c>
    </row>
    <row r="1419" spans="1:1" ht="12.5" x14ac:dyDescent="0.25">
      <c r="A1419" s="4" t="s">
        <v>1772</v>
      </c>
    </row>
    <row r="1420" spans="1:1" ht="12.5" x14ac:dyDescent="0.25">
      <c r="A1420" s="4" t="s">
        <v>1772</v>
      </c>
    </row>
    <row r="1421" spans="1:1" ht="12.5" x14ac:dyDescent="0.25">
      <c r="A1421" s="4" t="s">
        <v>1772</v>
      </c>
    </row>
    <row r="1422" spans="1:1" ht="12.5" x14ac:dyDescent="0.25">
      <c r="A1422" s="4" t="s">
        <v>1773</v>
      </c>
    </row>
    <row r="1423" spans="1:1" ht="12.5" x14ac:dyDescent="0.25">
      <c r="A1423" s="4" t="s">
        <v>1773</v>
      </c>
    </row>
    <row r="1424" spans="1:1" ht="12.5" x14ac:dyDescent="0.25">
      <c r="A1424" s="4" t="s">
        <v>1774</v>
      </c>
    </row>
    <row r="1425" spans="1:1" ht="12.5" x14ac:dyDescent="0.25">
      <c r="A1425" s="4" t="s">
        <v>1774</v>
      </c>
    </row>
    <row r="1426" spans="1:1" ht="12.5" x14ac:dyDescent="0.25">
      <c r="A1426" s="4" t="s">
        <v>1774</v>
      </c>
    </row>
    <row r="1427" spans="1:1" ht="12.5" x14ac:dyDescent="0.25">
      <c r="A1427" s="4" t="s">
        <v>1774</v>
      </c>
    </row>
    <row r="1428" spans="1:1" ht="12.5" x14ac:dyDescent="0.25">
      <c r="A1428" s="4" t="s">
        <v>1775</v>
      </c>
    </row>
    <row r="1429" spans="1:1" ht="12.5" x14ac:dyDescent="0.25">
      <c r="A1429" s="4" t="s">
        <v>1775</v>
      </c>
    </row>
    <row r="1430" spans="1:1" ht="12.5" x14ac:dyDescent="0.25">
      <c r="A1430" s="4" t="s">
        <v>1776</v>
      </c>
    </row>
    <row r="1431" spans="1:1" ht="12.5" x14ac:dyDescent="0.25">
      <c r="A1431" s="4" t="s">
        <v>1776</v>
      </c>
    </row>
    <row r="1432" spans="1:1" ht="12.5" x14ac:dyDescent="0.25">
      <c r="A1432" s="4" t="s">
        <v>1776</v>
      </c>
    </row>
    <row r="1433" spans="1:1" ht="12.5" x14ac:dyDescent="0.25">
      <c r="A1433" s="4" t="s">
        <v>1776</v>
      </c>
    </row>
    <row r="1434" spans="1:1" ht="12.5" x14ac:dyDescent="0.25">
      <c r="A1434" s="4" t="s">
        <v>1776</v>
      </c>
    </row>
    <row r="1435" spans="1:1" ht="12.5" x14ac:dyDescent="0.25">
      <c r="A1435" s="4" t="s">
        <v>1776</v>
      </c>
    </row>
    <row r="1436" spans="1:1" ht="12.5" x14ac:dyDescent="0.25">
      <c r="A1436" s="4" t="s">
        <v>1776</v>
      </c>
    </row>
    <row r="1437" spans="1:1" ht="12.5" x14ac:dyDescent="0.25">
      <c r="A1437" s="4" t="s">
        <v>1776</v>
      </c>
    </row>
    <row r="1438" spans="1:1" ht="12.5" x14ac:dyDescent="0.25">
      <c r="A1438" s="4" t="s">
        <v>1777</v>
      </c>
    </row>
    <row r="1439" spans="1:1" ht="12.5" x14ac:dyDescent="0.25">
      <c r="A1439" s="4" t="s">
        <v>1778</v>
      </c>
    </row>
    <row r="1440" spans="1:1" ht="12.5" x14ac:dyDescent="0.25">
      <c r="A1440" s="4" t="s">
        <v>1779</v>
      </c>
    </row>
    <row r="1441" spans="1:1" ht="12.5" x14ac:dyDescent="0.25">
      <c r="A1441" s="4" t="s">
        <v>1780</v>
      </c>
    </row>
    <row r="1442" spans="1:1" ht="12.5" x14ac:dyDescent="0.25">
      <c r="A1442" s="4" t="s">
        <v>1780</v>
      </c>
    </row>
    <row r="1443" spans="1:1" ht="12.5" x14ac:dyDescent="0.25">
      <c r="A1443" s="4" t="s">
        <v>1780</v>
      </c>
    </row>
    <row r="1444" spans="1:1" ht="12.5" x14ac:dyDescent="0.25">
      <c r="A1444" s="4" t="s">
        <v>1780</v>
      </c>
    </row>
    <row r="1445" spans="1:1" ht="12.5" x14ac:dyDescent="0.25">
      <c r="A1445" s="4" t="s">
        <v>1781</v>
      </c>
    </row>
    <row r="1446" spans="1:1" ht="12.5" x14ac:dyDescent="0.25">
      <c r="A1446" s="4" t="s">
        <v>1781</v>
      </c>
    </row>
    <row r="1447" spans="1:1" ht="12.5" x14ac:dyDescent="0.25">
      <c r="A1447" s="4" t="s">
        <v>1781</v>
      </c>
    </row>
    <row r="1448" spans="1:1" ht="12.5" x14ac:dyDescent="0.25">
      <c r="A1448" s="4" t="s">
        <v>1781</v>
      </c>
    </row>
    <row r="1449" spans="1:1" ht="12.5" x14ac:dyDescent="0.25">
      <c r="A1449" s="4" t="s">
        <v>1782</v>
      </c>
    </row>
    <row r="1450" spans="1:1" ht="12.5" x14ac:dyDescent="0.25">
      <c r="A1450" s="4" t="s">
        <v>1782</v>
      </c>
    </row>
    <row r="1451" spans="1:1" ht="12.5" x14ac:dyDescent="0.25">
      <c r="A1451" s="4" t="s">
        <v>1782</v>
      </c>
    </row>
    <row r="1452" spans="1:1" ht="12.5" x14ac:dyDescent="0.25">
      <c r="A1452" s="4" t="s">
        <v>1783</v>
      </c>
    </row>
    <row r="1453" spans="1:1" ht="12.5" x14ac:dyDescent="0.25">
      <c r="A1453" s="4" t="s">
        <v>1783</v>
      </c>
    </row>
    <row r="1454" spans="1:1" ht="12.5" x14ac:dyDescent="0.25">
      <c r="A1454" s="4" t="s">
        <v>1783</v>
      </c>
    </row>
    <row r="1455" spans="1:1" ht="12.5" x14ac:dyDescent="0.25">
      <c r="A1455" s="4" t="s">
        <v>1783</v>
      </c>
    </row>
    <row r="1456" spans="1:1" ht="12.5" x14ac:dyDescent="0.25">
      <c r="A1456" s="4" t="s">
        <v>1784</v>
      </c>
    </row>
    <row r="1457" spans="1:1" ht="12.5" x14ac:dyDescent="0.25">
      <c r="A1457" s="4" t="s">
        <v>1785</v>
      </c>
    </row>
    <row r="1458" spans="1:1" ht="12.5" x14ac:dyDescent="0.25">
      <c r="A1458" s="4" t="s">
        <v>1786</v>
      </c>
    </row>
    <row r="1459" spans="1:1" ht="12.5" x14ac:dyDescent="0.25">
      <c r="A1459" s="4" t="s">
        <v>1786</v>
      </c>
    </row>
    <row r="1460" spans="1:1" ht="12.5" x14ac:dyDescent="0.25">
      <c r="A1460" s="4" t="s">
        <v>1786</v>
      </c>
    </row>
    <row r="1461" spans="1:1" ht="12.5" x14ac:dyDescent="0.25">
      <c r="A1461" s="4" t="s">
        <v>1786</v>
      </c>
    </row>
    <row r="1462" spans="1:1" ht="12.5" x14ac:dyDescent="0.25">
      <c r="A1462" s="4" t="s">
        <v>1787</v>
      </c>
    </row>
    <row r="1463" spans="1:1" ht="12.5" x14ac:dyDescent="0.25">
      <c r="A1463" s="4" t="s">
        <v>1788</v>
      </c>
    </row>
    <row r="1464" spans="1:1" ht="12.5" x14ac:dyDescent="0.25">
      <c r="A1464" s="4" t="s">
        <v>1788</v>
      </c>
    </row>
    <row r="1465" spans="1:1" ht="12.5" x14ac:dyDescent="0.25">
      <c r="A1465" s="4" t="s">
        <v>1788</v>
      </c>
    </row>
    <row r="1466" spans="1:1" ht="12.5" x14ac:dyDescent="0.25">
      <c r="A1466" s="4" t="s">
        <v>1788</v>
      </c>
    </row>
    <row r="1467" spans="1:1" ht="12.5" x14ac:dyDescent="0.25">
      <c r="A1467" s="4" t="s">
        <v>1788</v>
      </c>
    </row>
    <row r="1468" spans="1:1" ht="12.5" x14ac:dyDescent="0.25">
      <c r="A1468" s="4" t="s">
        <v>1788</v>
      </c>
    </row>
    <row r="1469" spans="1:1" ht="12.5" x14ac:dyDescent="0.25">
      <c r="A1469" s="4" t="s">
        <v>1788</v>
      </c>
    </row>
    <row r="1470" spans="1:1" ht="12.5" x14ac:dyDescent="0.25">
      <c r="A1470" s="4" t="s">
        <v>1788</v>
      </c>
    </row>
    <row r="1471" spans="1:1" ht="12.5" x14ac:dyDescent="0.25">
      <c r="A1471" s="4" t="s">
        <v>1789</v>
      </c>
    </row>
    <row r="1472" spans="1:1" ht="12.5" x14ac:dyDescent="0.25">
      <c r="A1472" s="4" t="s">
        <v>1789</v>
      </c>
    </row>
    <row r="1473" spans="1:1" ht="12.5" x14ac:dyDescent="0.25">
      <c r="A1473" s="4" t="s">
        <v>1789</v>
      </c>
    </row>
    <row r="1474" spans="1:1" ht="12.5" x14ac:dyDescent="0.25">
      <c r="A1474" s="4" t="s">
        <v>1789</v>
      </c>
    </row>
    <row r="1475" spans="1:1" ht="12.5" x14ac:dyDescent="0.25">
      <c r="A1475" s="4" t="s">
        <v>1789</v>
      </c>
    </row>
    <row r="1476" spans="1:1" ht="12.5" x14ac:dyDescent="0.25">
      <c r="A1476" s="4" t="s">
        <v>1789</v>
      </c>
    </row>
    <row r="1477" spans="1:1" ht="12.5" x14ac:dyDescent="0.25">
      <c r="A1477" s="4" t="s">
        <v>1789</v>
      </c>
    </row>
    <row r="1478" spans="1:1" ht="12.5" x14ac:dyDescent="0.25">
      <c r="A1478" s="4" t="s">
        <v>1790</v>
      </c>
    </row>
    <row r="1479" spans="1:1" ht="12.5" x14ac:dyDescent="0.25">
      <c r="A1479" s="4" t="s">
        <v>1790</v>
      </c>
    </row>
    <row r="1480" spans="1:1" ht="12.5" x14ac:dyDescent="0.25">
      <c r="A1480" s="4" t="s">
        <v>1790</v>
      </c>
    </row>
    <row r="1481" spans="1:1" ht="12.5" x14ac:dyDescent="0.25">
      <c r="A1481" s="4" t="s">
        <v>1790</v>
      </c>
    </row>
    <row r="1482" spans="1:1" ht="12.5" x14ac:dyDescent="0.25">
      <c r="A1482" s="4" t="s">
        <v>1790</v>
      </c>
    </row>
    <row r="1483" spans="1:1" ht="12.5" x14ac:dyDescent="0.25">
      <c r="A1483" s="4" t="s">
        <v>1791</v>
      </c>
    </row>
    <row r="1484" spans="1:1" ht="12.5" x14ac:dyDescent="0.25">
      <c r="A1484" s="4" t="s">
        <v>1791</v>
      </c>
    </row>
    <row r="1485" spans="1:1" ht="12.5" x14ac:dyDescent="0.25">
      <c r="A1485" s="4" t="s">
        <v>1791</v>
      </c>
    </row>
    <row r="1486" spans="1:1" ht="12.5" x14ac:dyDescent="0.25">
      <c r="A1486" s="4" t="s">
        <v>1791</v>
      </c>
    </row>
    <row r="1487" spans="1:1" ht="12.5" x14ac:dyDescent="0.25">
      <c r="A1487" s="4" t="s">
        <v>1791</v>
      </c>
    </row>
    <row r="1488" spans="1:1" ht="12.5" x14ac:dyDescent="0.25">
      <c r="A1488" s="4" t="s">
        <v>1792</v>
      </c>
    </row>
    <row r="1489" spans="1:1" ht="12.5" x14ac:dyDescent="0.25">
      <c r="A1489" s="4" t="s">
        <v>1792</v>
      </c>
    </row>
    <row r="1490" spans="1:1" ht="12.5" x14ac:dyDescent="0.25">
      <c r="A1490" s="4" t="s">
        <v>1792</v>
      </c>
    </row>
    <row r="1491" spans="1:1" ht="12.5" x14ac:dyDescent="0.25">
      <c r="A1491" s="4" t="s">
        <v>1792</v>
      </c>
    </row>
    <row r="1492" spans="1:1" ht="12.5" x14ac:dyDescent="0.25">
      <c r="A1492" s="4" t="s">
        <v>1792</v>
      </c>
    </row>
    <row r="1493" spans="1:1" ht="12.5" x14ac:dyDescent="0.25">
      <c r="A1493" s="4" t="s">
        <v>1792</v>
      </c>
    </row>
    <row r="1494" spans="1:1" ht="12.5" x14ac:dyDescent="0.25">
      <c r="A1494" s="4" t="s">
        <v>1792</v>
      </c>
    </row>
    <row r="1495" spans="1:1" ht="12.5" x14ac:dyDescent="0.25">
      <c r="A1495" s="4" t="s">
        <v>1793</v>
      </c>
    </row>
    <row r="1496" spans="1:1" ht="12.5" x14ac:dyDescent="0.25">
      <c r="A1496" s="4" t="s">
        <v>1793</v>
      </c>
    </row>
    <row r="1497" spans="1:1" ht="12.5" x14ac:dyDescent="0.25">
      <c r="A1497" s="4" t="s">
        <v>1793</v>
      </c>
    </row>
    <row r="1498" spans="1:1" ht="12.5" x14ac:dyDescent="0.25">
      <c r="A1498" s="4" t="s">
        <v>1794</v>
      </c>
    </row>
    <row r="1499" spans="1:1" ht="12.5" x14ac:dyDescent="0.25">
      <c r="A1499" s="4" t="s">
        <v>1794</v>
      </c>
    </row>
    <row r="1500" spans="1:1" ht="12.5" x14ac:dyDescent="0.25">
      <c r="A1500" s="4" t="s">
        <v>1794</v>
      </c>
    </row>
    <row r="1501" spans="1:1" ht="12.5" x14ac:dyDescent="0.25">
      <c r="A1501" s="4" t="s">
        <v>1794</v>
      </c>
    </row>
    <row r="1502" spans="1:1" ht="12.5" x14ac:dyDescent="0.25">
      <c r="A1502" s="4" t="s">
        <v>1795</v>
      </c>
    </row>
    <row r="1503" spans="1:1" ht="12.5" x14ac:dyDescent="0.25">
      <c r="A1503" s="4" t="s">
        <v>1795</v>
      </c>
    </row>
    <row r="1504" spans="1:1" ht="12.5" x14ac:dyDescent="0.25">
      <c r="A1504" s="4" t="s">
        <v>1795</v>
      </c>
    </row>
    <row r="1505" spans="1:1" ht="12.5" x14ac:dyDescent="0.25">
      <c r="A1505" s="4" t="s">
        <v>1795</v>
      </c>
    </row>
    <row r="1506" spans="1:1" ht="12.5" x14ac:dyDescent="0.25">
      <c r="A1506" s="4" t="s">
        <v>1796</v>
      </c>
    </row>
    <row r="1507" spans="1:1" ht="12.5" x14ac:dyDescent="0.25">
      <c r="A1507" s="4" t="s">
        <v>1796</v>
      </c>
    </row>
    <row r="1508" spans="1:1" ht="12.5" x14ac:dyDescent="0.25">
      <c r="A1508" s="4" t="s">
        <v>1797</v>
      </c>
    </row>
    <row r="1509" spans="1:1" ht="12.5" x14ac:dyDescent="0.25">
      <c r="A1509" s="4" t="s">
        <v>1797</v>
      </c>
    </row>
    <row r="1510" spans="1:1" ht="12.5" x14ac:dyDescent="0.25">
      <c r="A1510" s="4" t="s">
        <v>1797</v>
      </c>
    </row>
    <row r="1511" spans="1:1" ht="12.5" x14ac:dyDescent="0.25">
      <c r="A1511" s="4" t="s">
        <v>1797</v>
      </c>
    </row>
    <row r="1512" spans="1:1" ht="12.5" x14ac:dyDescent="0.25">
      <c r="A1512" s="4" t="s">
        <v>1798</v>
      </c>
    </row>
    <row r="1513" spans="1:1" ht="12.5" x14ac:dyDescent="0.25">
      <c r="A1513" s="4" t="s">
        <v>1798</v>
      </c>
    </row>
    <row r="1514" spans="1:1" ht="12.5" x14ac:dyDescent="0.25">
      <c r="A1514" s="4" t="s">
        <v>1799</v>
      </c>
    </row>
    <row r="1515" spans="1:1" ht="12.5" x14ac:dyDescent="0.25">
      <c r="A1515" s="4" t="s">
        <v>1799</v>
      </c>
    </row>
    <row r="1516" spans="1:1" ht="12.5" x14ac:dyDescent="0.25">
      <c r="A1516" s="4" t="s">
        <v>1800</v>
      </c>
    </row>
    <row r="1517" spans="1:1" ht="12.5" x14ac:dyDescent="0.25">
      <c r="A1517" s="4" t="s">
        <v>1801</v>
      </c>
    </row>
    <row r="1518" spans="1:1" ht="12.5" x14ac:dyDescent="0.25">
      <c r="A1518" s="4" t="s">
        <v>1801</v>
      </c>
    </row>
    <row r="1519" spans="1:1" ht="12.5" x14ac:dyDescent="0.25">
      <c r="A1519" s="4" t="s">
        <v>1802</v>
      </c>
    </row>
    <row r="1520" spans="1:1" ht="12.5" x14ac:dyDescent="0.25">
      <c r="A1520" s="4" t="s">
        <v>1802</v>
      </c>
    </row>
    <row r="1521" spans="1:1" ht="12.5" x14ac:dyDescent="0.25">
      <c r="A1521" s="4" t="s">
        <v>1802</v>
      </c>
    </row>
    <row r="1522" spans="1:1" ht="12.5" x14ac:dyDescent="0.25">
      <c r="A1522" s="4" t="s">
        <v>1803</v>
      </c>
    </row>
    <row r="1523" spans="1:1" ht="12.5" x14ac:dyDescent="0.25">
      <c r="A1523" s="4" t="s">
        <v>1803</v>
      </c>
    </row>
    <row r="1524" spans="1:1" ht="12.5" x14ac:dyDescent="0.25">
      <c r="A1524" s="4" t="s">
        <v>1803</v>
      </c>
    </row>
    <row r="1525" spans="1:1" ht="12.5" x14ac:dyDescent="0.25">
      <c r="A1525" s="4" t="s">
        <v>1804</v>
      </c>
    </row>
    <row r="1526" spans="1:1" ht="12.5" x14ac:dyDescent="0.25">
      <c r="A1526" s="4" t="s">
        <v>1805</v>
      </c>
    </row>
    <row r="1527" spans="1:1" ht="12.5" x14ac:dyDescent="0.25">
      <c r="A1527" s="4" t="s">
        <v>1805</v>
      </c>
    </row>
    <row r="1528" spans="1:1" ht="12.5" x14ac:dyDescent="0.25">
      <c r="A1528" s="4" t="s">
        <v>1805</v>
      </c>
    </row>
    <row r="1529" spans="1:1" ht="12.5" x14ac:dyDescent="0.25">
      <c r="A1529" s="4" t="s">
        <v>1805</v>
      </c>
    </row>
    <row r="1530" spans="1:1" ht="12.5" x14ac:dyDescent="0.25">
      <c r="A1530" s="4" t="s">
        <v>1805</v>
      </c>
    </row>
    <row r="1531" spans="1:1" ht="12.5" x14ac:dyDescent="0.25">
      <c r="A1531" s="4" t="s">
        <v>1806</v>
      </c>
    </row>
    <row r="1532" spans="1:1" ht="12.5" x14ac:dyDescent="0.25">
      <c r="A1532" s="4" t="s">
        <v>1806</v>
      </c>
    </row>
    <row r="1533" spans="1:1" ht="12.5" x14ac:dyDescent="0.25">
      <c r="A1533" s="4" t="s">
        <v>1806</v>
      </c>
    </row>
    <row r="1534" spans="1:1" ht="12.5" x14ac:dyDescent="0.25">
      <c r="A1534" s="4" t="s">
        <v>1806</v>
      </c>
    </row>
    <row r="1535" spans="1:1" ht="12.5" x14ac:dyDescent="0.25">
      <c r="A1535" s="4" t="s">
        <v>1806</v>
      </c>
    </row>
    <row r="1536" spans="1:1" ht="12.5" x14ac:dyDescent="0.25">
      <c r="A1536" s="4" t="s">
        <v>1806</v>
      </c>
    </row>
    <row r="1537" spans="1:1" ht="12.5" x14ac:dyDescent="0.25">
      <c r="A1537" s="4" t="s">
        <v>1806</v>
      </c>
    </row>
    <row r="1538" spans="1:1" ht="12.5" x14ac:dyDescent="0.25">
      <c r="A1538" s="4" t="s">
        <v>1807</v>
      </c>
    </row>
    <row r="1539" spans="1:1" ht="12.5" x14ac:dyDescent="0.25">
      <c r="A1539" s="4" t="s">
        <v>1807</v>
      </c>
    </row>
    <row r="1540" spans="1:1" ht="12.5" x14ac:dyDescent="0.25">
      <c r="A1540" s="4" t="s">
        <v>1807</v>
      </c>
    </row>
    <row r="1541" spans="1:1" ht="12.5" x14ac:dyDescent="0.25">
      <c r="A1541" s="4" t="s">
        <v>1807</v>
      </c>
    </row>
    <row r="1542" spans="1:1" ht="12.5" x14ac:dyDescent="0.25">
      <c r="A1542" s="4" t="s">
        <v>1807</v>
      </c>
    </row>
    <row r="1543" spans="1:1" ht="12.5" x14ac:dyDescent="0.25">
      <c r="A1543" s="4" t="s">
        <v>1807</v>
      </c>
    </row>
    <row r="1544" spans="1:1" ht="12.5" x14ac:dyDescent="0.25">
      <c r="A1544" s="4" t="s">
        <v>1808</v>
      </c>
    </row>
    <row r="1545" spans="1:1" ht="12.5" x14ac:dyDescent="0.25">
      <c r="A1545" s="4" t="s">
        <v>1808</v>
      </c>
    </row>
    <row r="1546" spans="1:1" ht="12.5" x14ac:dyDescent="0.25">
      <c r="A1546" s="4" t="s">
        <v>1808</v>
      </c>
    </row>
    <row r="1547" spans="1:1" ht="12.5" x14ac:dyDescent="0.25">
      <c r="A1547" s="4" t="s">
        <v>1808</v>
      </c>
    </row>
    <row r="1548" spans="1:1" ht="12.5" x14ac:dyDescent="0.25">
      <c r="A1548" s="4" t="s">
        <v>1808</v>
      </c>
    </row>
    <row r="1549" spans="1:1" ht="12.5" x14ac:dyDescent="0.25">
      <c r="A1549" s="4" t="s">
        <v>1808</v>
      </c>
    </row>
    <row r="1550" spans="1:1" ht="12.5" x14ac:dyDescent="0.25">
      <c r="A1550" s="4" t="s">
        <v>1809</v>
      </c>
    </row>
    <row r="1551" spans="1:1" ht="12.5" x14ac:dyDescent="0.25">
      <c r="A1551" s="4" t="s">
        <v>1809</v>
      </c>
    </row>
    <row r="1552" spans="1:1" ht="12.5" x14ac:dyDescent="0.25">
      <c r="A1552" s="4" t="s">
        <v>1809</v>
      </c>
    </row>
    <row r="1553" spans="1:1" ht="12.5" x14ac:dyDescent="0.25">
      <c r="A1553" s="4" t="s">
        <v>1809</v>
      </c>
    </row>
    <row r="1554" spans="1:1" ht="12.5" x14ac:dyDescent="0.25">
      <c r="A1554" s="4" t="s">
        <v>1809</v>
      </c>
    </row>
    <row r="1555" spans="1:1" ht="12.5" x14ac:dyDescent="0.25">
      <c r="A1555" s="4" t="s">
        <v>1809</v>
      </c>
    </row>
    <row r="1556" spans="1:1" ht="12.5" x14ac:dyDescent="0.25">
      <c r="A1556" s="4" t="s">
        <v>1810</v>
      </c>
    </row>
    <row r="1557" spans="1:1" ht="12.5" x14ac:dyDescent="0.25">
      <c r="A1557" s="4" t="s">
        <v>1810</v>
      </c>
    </row>
    <row r="1558" spans="1:1" ht="12.5" x14ac:dyDescent="0.25">
      <c r="A1558" s="4" t="s">
        <v>1810</v>
      </c>
    </row>
    <row r="1559" spans="1:1" ht="12.5" x14ac:dyDescent="0.25">
      <c r="A1559" s="4" t="s">
        <v>1811</v>
      </c>
    </row>
    <row r="1560" spans="1:1" ht="12.5" x14ac:dyDescent="0.25">
      <c r="A1560" s="4" t="s">
        <v>1811</v>
      </c>
    </row>
    <row r="1561" spans="1:1" ht="12.5" x14ac:dyDescent="0.25">
      <c r="A1561" s="4" t="s">
        <v>1811</v>
      </c>
    </row>
    <row r="1562" spans="1:1" ht="12.5" x14ac:dyDescent="0.25">
      <c r="A1562" s="4" t="s">
        <v>1811</v>
      </c>
    </row>
    <row r="1563" spans="1:1" ht="12.5" x14ac:dyDescent="0.25">
      <c r="A1563" s="4" t="s">
        <v>1811</v>
      </c>
    </row>
    <row r="1564" spans="1:1" ht="12.5" x14ac:dyDescent="0.25">
      <c r="A1564" s="4" t="s">
        <v>1812</v>
      </c>
    </row>
    <row r="1565" spans="1:1" ht="12.5" x14ac:dyDescent="0.25">
      <c r="A1565" s="4" t="s">
        <v>1812</v>
      </c>
    </row>
    <row r="1566" spans="1:1" ht="12.5" x14ac:dyDescent="0.25">
      <c r="A1566" s="4" t="s">
        <v>1813</v>
      </c>
    </row>
    <row r="1567" spans="1:1" ht="12.5" x14ac:dyDescent="0.25">
      <c r="A1567" s="4" t="s">
        <v>1813</v>
      </c>
    </row>
    <row r="1568" spans="1:1" ht="12.5" x14ac:dyDescent="0.25">
      <c r="A1568" s="4" t="s">
        <v>1814</v>
      </c>
    </row>
    <row r="1569" spans="1:1" ht="12.5" x14ac:dyDescent="0.25">
      <c r="A1569" s="4" t="s">
        <v>1815</v>
      </c>
    </row>
    <row r="1570" spans="1:1" ht="12.5" x14ac:dyDescent="0.25">
      <c r="A1570" s="4" t="s">
        <v>1815</v>
      </c>
    </row>
    <row r="1571" spans="1:1" ht="12.5" x14ac:dyDescent="0.25">
      <c r="A1571" s="4" t="s">
        <v>1815</v>
      </c>
    </row>
    <row r="1572" spans="1:1" ht="12.5" x14ac:dyDescent="0.25">
      <c r="A1572" s="4" t="s">
        <v>1815</v>
      </c>
    </row>
    <row r="1573" spans="1:1" ht="12.5" x14ac:dyDescent="0.25">
      <c r="A1573" s="4" t="s">
        <v>1815</v>
      </c>
    </row>
    <row r="1574" spans="1:1" ht="12.5" x14ac:dyDescent="0.25">
      <c r="A1574" s="4" t="s">
        <v>1815</v>
      </c>
    </row>
    <row r="1575" spans="1:1" ht="12.5" x14ac:dyDescent="0.25">
      <c r="A1575" s="4" t="s">
        <v>1815</v>
      </c>
    </row>
    <row r="1576" spans="1:1" ht="12.5" x14ac:dyDescent="0.25">
      <c r="A1576" s="4" t="s">
        <v>1815</v>
      </c>
    </row>
    <row r="1577" spans="1:1" ht="12.5" x14ac:dyDescent="0.25">
      <c r="A1577" s="4" t="s">
        <v>1815</v>
      </c>
    </row>
    <row r="1578" spans="1:1" ht="12.5" x14ac:dyDescent="0.25">
      <c r="A1578" s="4" t="s">
        <v>1815</v>
      </c>
    </row>
    <row r="1579" spans="1:1" ht="12.5" x14ac:dyDescent="0.25">
      <c r="A1579" s="4" t="s">
        <v>1816</v>
      </c>
    </row>
    <row r="1580" spans="1:1" ht="12.5" x14ac:dyDescent="0.25">
      <c r="A1580" s="4" t="s">
        <v>1816</v>
      </c>
    </row>
    <row r="1581" spans="1:1" ht="12.5" x14ac:dyDescent="0.25">
      <c r="A1581" s="4" t="s">
        <v>1816</v>
      </c>
    </row>
    <row r="1582" spans="1:1" ht="12.5" x14ac:dyDescent="0.25">
      <c r="A1582" s="4" t="s">
        <v>1816</v>
      </c>
    </row>
    <row r="1583" spans="1:1" ht="12.5" x14ac:dyDescent="0.25">
      <c r="A1583" s="4" t="s">
        <v>1817</v>
      </c>
    </row>
    <row r="1584" spans="1:1" ht="12.5" x14ac:dyDescent="0.25">
      <c r="A1584" s="4" t="s">
        <v>1818</v>
      </c>
    </row>
    <row r="1585" spans="1:1" ht="12.5" x14ac:dyDescent="0.25">
      <c r="A1585" s="4" t="s">
        <v>1819</v>
      </c>
    </row>
    <row r="1586" spans="1:1" ht="12.5" x14ac:dyDescent="0.25">
      <c r="A1586" s="4" t="s">
        <v>1819</v>
      </c>
    </row>
    <row r="1587" spans="1:1" ht="12.5" x14ac:dyDescent="0.25">
      <c r="A1587" s="4" t="s">
        <v>1820</v>
      </c>
    </row>
    <row r="1588" spans="1:1" ht="12.5" x14ac:dyDescent="0.25">
      <c r="A1588" s="4" t="s">
        <v>1820</v>
      </c>
    </row>
    <row r="1589" spans="1:1" ht="12.5" x14ac:dyDescent="0.25">
      <c r="A1589" s="4" t="s">
        <v>1821</v>
      </c>
    </row>
    <row r="1590" spans="1:1" ht="12.5" x14ac:dyDescent="0.25">
      <c r="A1590" s="4" t="s">
        <v>1821</v>
      </c>
    </row>
    <row r="1591" spans="1:1" ht="12.5" x14ac:dyDescent="0.25">
      <c r="A1591" s="4" t="s">
        <v>1822</v>
      </c>
    </row>
    <row r="1592" spans="1:1" ht="12.5" x14ac:dyDescent="0.25">
      <c r="A1592" s="4" t="s">
        <v>1822</v>
      </c>
    </row>
    <row r="1593" spans="1:1" ht="12.5" x14ac:dyDescent="0.25">
      <c r="A1593" s="4" t="s">
        <v>1822</v>
      </c>
    </row>
    <row r="1594" spans="1:1" ht="12.5" x14ac:dyDescent="0.25">
      <c r="A1594" s="4" t="s">
        <v>1822</v>
      </c>
    </row>
    <row r="1595" spans="1:1" ht="12.5" x14ac:dyDescent="0.25">
      <c r="A1595" s="4" t="s">
        <v>1823</v>
      </c>
    </row>
    <row r="1596" spans="1:1" ht="12.5" x14ac:dyDescent="0.25">
      <c r="A1596" s="4" t="s">
        <v>1823</v>
      </c>
    </row>
    <row r="1597" spans="1:1" ht="12.5" x14ac:dyDescent="0.25">
      <c r="A1597" s="4" t="s">
        <v>1823</v>
      </c>
    </row>
    <row r="1598" spans="1:1" ht="12.5" x14ac:dyDescent="0.25">
      <c r="A1598" s="4" t="s">
        <v>1823</v>
      </c>
    </row>
    <row r="1599" spans="1:1" ht="12.5" x14ac:dyDescent="0.25">
      <c r="A1599" s="4" t="s">
        <v>1823</v>
      </c>
    </row>
    <row r="1600" spans="1:1" ht="12.5" x14ac:dyDescent="0.25">
      <c r="A1600" s="4" t="s">
        <v>1823</v>
      </c>
    </row>
    <row r="1601" spans="1:1" ht="12.5" x14ac:dyDescent="0.25">
      <c r="A1601" s="4" t="s">
        <v>1824</v>
      </c>
    </row>
    <row r="1602" spans="1:1" ht="12.5" x14ac:dyDescent="0.25">
      <c r="A1602" s="4" t="s">
        <v>1825</v>
      </c>
    </row>
    <row r="1603" spans="1:1" ht="12.5" x14ac:dyDescent="0.25">
      <c r="A1603" s="4" t="s">
        <v>1826</v>
      </c>
    </row>
    <row r="1604" spans="1:1" ht="12.5" x14ac:dyDescent="0.25">
      <c r="A1604" s="4" t="s">
        <v>1826</v>
      </c>
    </row>
    <row r="1605" spans="1:1" ht="12.5" x14ac:dyDescent="0.25">
      <c r="A1605" s="4" t="s">
        <v>1827</v>
      </c>
    </row>
    <row r="1606" spans="1:1" ht="12.5" x14ac:dyDescent="0.25">
      <c r="A1606" s="4" t="s">
        <v>1827</v>
      </c>
    </row>
    <row r="1607" spans="1:1" ht="12.5" x14ac:dyDescent="0.25">
      <c r="A1607" s="4" t="s">
        <v>1827</v>
      </c>
    </row>
    <row r="1608" spans="1:1" ht="12.5" x14ac:dyDescent="0.25">
      <c r="A1608" s="4" t="s">
        <v>1827</v>
      </c>
    </row>
    <row r="1609" spans="1:1" ht="12.5" x14ac:dyDescent="0.25">
      <c r="A1609" s="4" t="s">
        <v>1827</v>
      </c>
    </row>
    <row r="1610" spans="1:1" ht="12.5" x14ac:dyDescent="0.25">
      <c r="A1610" s="4" t="s">
        <v>1827</v>
      </c>
    </row>
    <row r="1611" spans="1:1" ht="12.5" x14ac:dyDescent="0.25">
      <c r="A1611" s="4" t="s">
        <v>1828</v>
      </c>
    </row>
    <row r="1612" spans="1:1" ht="12.5" x14ac:dyDescent="0.25">
      <c r="A1612" s="4" t="s">
        <v>1828</v>
      </c>
    </row>
    <row r="1613" spans="1:1" ht="12.5" x14ac:dyDescent="0.25">
      <c r="A1613" s="4" t="s">
        <v>1828</v>
      </c>
    </row>
    <row r="1614" spans="1:1" ht="12.5" x14ac:dyDescent="0.25">
      <c r="A1614" s="4" t="s">
        <v>1828</v>
      </c>
    </row>
    <row r="1615" spans="1:1" ht="12.5" x14ac:dyDescent="0.25">
      <c r="A1615" s="4" t="s">
        <v>1828</v>
      </c>
    </row>
    <row r="1616" spans="1:1" ht="12.5" x14ac:dyDescent="0.25">
      <c r="A1616" s="4" t="s">
        <v>1829</v>
      </c>
    </row>
    <row r="1617" spans="1:1" ht="12.5" x14ac:dyDescent="0.25">
      <c r="A1617" s="4" t="s">
        <v>1830</v>
      </c>
    </row>
    <row r="1618" spans="1:1" ht="12.5" x14ac:dyDescent="0.25">
      <c r="A1618" s="4" t="s">
        <v>1831</v>
      </c>
    </row>
    <row r="1619" spans="1:1" ht="12.5" x14ac:dyDescent="0.25">
      <c r="A1619" s="4" t="s">
        <v>1831</v>
      </c>
    </row>
    <row r="1620" spans="1:1" ht="12.5" x14ac:dyDescent="0.25">
      <c r="A1620" s="4" t="s">
        <v>1831</v>
      </c>
    </row>
    <row r="1621" spans="1:1" ht="12.5" x14ac:dyDescent="0.25">
      <c r="A1621" s="4" t="s">
        <v>1832</v>
      </c>
    </row>
    <row r="1622" spans="1:1" ht="12.5" x14ac:dyDescent="0.25">
      <c r="A1622" s="4" t="s">
        <v>1832</v>
      </c>
    </row>
    <row r="1623" spans="1:1" ht="12.5" x14ac:dyDescent="0.25">
      <c r="A1623" s="4" t="s">
        <v>1833</v>
      </c>
    </row>
    <row r="1624" spans="1:1" ht="12.5" x14ac:dyDescent="0.25">
      <c r="A1624" s="4" t="s">
        <v>1833</v>
      </c>
    </row>
    <row r="1625" spans="1:1" ht="12.5" x14ac:dyDescent="0.25">
      <c r="A1625" s="4" t="s">
        <v>1833</v>
      </c>
    </row>
    <row r="1626" spans="1:1" ht="12.5" x14ac:dyDescent="0.25">
      <c r="A1626" s="4" t="s">
        <v>1833</v>
      </c>
    </row>
    <row r="1627" spans="1:1" ht="12.5" x14ac:dyDescent="0.25">
      <c r="A1627" s="4" t="s">
        <v>1833</v>
      </c>
    </row>
    <row r="1628" spans="1:1" ht="12.5" x14ac:dyDescent="0.25">
      <c r="A1628" s="4" t="s">
        <v>1834</v>
      </c>
    </row>
    <row r="1629" spans="1:1" ht="12.5" x14ac:dyDescent="0.25">
      <c r="A1629" s="4" t="s">
        <v>1835</v>
      </c>
    </row>
    <row r="1630" spans="1:1" ht="12.5" x14ac:dyDescent="0.25">
      <c r="A1630" s="4" t="s">
        <v>1835</v>
      </c>
    </row>
    <row r="1631" spans="1:1" ht="12.5" x14ac:dyDescent="0.25">
      <c r="A1631" s="4" t="s">
        <v>1835</v>
      </c>
    </row>
    <row r="1632" spans="1:1" ht="12.5" x14ac:dyDescent="0.25">
      <c r="A1632" s="4" t="s">
        <v>1835</v>
      </c>
    </row>
    <row r="1633" spans="1:1" ht="12.5" x14ac:dyDescent="0.25">
      <c r="A1633" s="4" t="s">
        <v>1835</v>
      </c>
    </row>
    <row r="1634" spans="1:1" ht="12.5" x14ac:dyDescent="0.25">
      <c r="A1634" s="4" t="s">
        <v>1835</v>
      </c>
    </row>
    <row r="1635" spans="1:1" ht="12.5" x14ac:dyDescent="0.25">
      <c r="A1635" s="4" t="s">
        <v>1836</v>
      </c>
    </row>
    <row r="1636" spans="1:1" ht="12.5" x14ac:dyDescent="0.25">
      <c r="A1636" s="4" t="s">
        <v>1836</v>
      </c>
    </row>
    <row r="1637" spans="1:1" ht="12.5" x14ac:dyDescent="0.25">
      <c r="A1637" s="4" t="s">
        <v>1836</v>
      </c>
    </row>
    <row r="1638" spans="1:1" ht="12.5" x14ac:dyDescent="0.25">
      <c r="A1638" s="4" t="s">
        <v>1836</v>
      </c>
    </row>
    <row r="1639" spans="1:1" ht="12.5" x14ac:dyDescent="0.25">
      <c r="A1639" s="4" t="s">
        <v>1836</v>
      </c>
    </row>
    <row r="1640" spans="1:1" ht="12.5" x14ac:dyDescent="0.25">
      <c r="A1640" s="4" t="s">
        <v>1837</v>
      </c>
    </row>
    <row r="1641" spans="1:1" ht="12.5" x14ac:dyDescent="0.25">
      <c r="A1641" s="4" t="s">
        <v>1837</v>
      </c>
    </row>
    <row r="1642" spans="1:1" ht="12.5" x14ac:dyDescent="0.25">
      <c r="A1642" s="4" t="s">
        <v>1838</v>
      </c>
    </row>
    <row r="1643" spans="1:1" ht="12.5" x14ac:dyDescent="0.25">
      <c r="A1643" s="4" t="s">
        <v>1839</v>
      </c>
    </row>
    <row r="1644" spans="1:1" ht="12.5" x14ac:dyDescent="0.25">
      <c r="A1644" s="4" t="s">
        <v>1839</v>
      </c>
    </row>
    <row r="1645" spans="1:1" ht="12.5" x14ac:dyDescent="0.25">
      <c r="A1645" s="4" t="s">
        <v>1840</v>
      </c>
    </row>
    <row r="1646" spans="1:1" ht="12.5" x14ac:dyDescent="0.25">
      <c r="A1646" s="4" t="s">
        <v>1840</v>
      </c>
    </row>
    <row r="1647" spans="1:1" ht="12.5" x14ac:dyDescent="0.25">
      <c r="A1647" s="4" t="s">
        <v>1840</v>
      </c>
    </row>
    <row r="1648" spans="1:1" ht="12.5" x14ac:dyDescent="0.25">
      <c r="A1648" s="4" t="s">
        <v>1840</v>
      </c>
    </row>
    <row r="1649" spans="1:1" ht="12.5" x14ac:dyDescent="0.25">
      <c r="A1649" s="4" t="s">
        <v>1841</v>
      </c>
    </row>
    <row r="1650" spans="1:1" ht="12.5" x14ac:dyDescent="0.25">
      <c r="A1650" s="4" t="s">
        <v>1841</v>
      </c>
    </row>
    <row r="1651" spans="1:1" ht="12.5" x14ac:dyDescent="0.25">
      <c r="A1651" s="4" t="s">
        <v>1841</v>
      </c>
    </row>
    <row r="1652" spans="1:1" ht="12.5" x14ac:dyDescent="0.25">
      <c r="A1652" s="4" t="s">
        <v>1841</v>
      </c>
    </row>
    <row r="1653" spans="1:1" ht="12.5" x14ac:dyDescent="0.25">
      <c r="A1653" s="4" t="s">
        <v>1841</v>
      </c>
    </row>
    <row r="1654" spans="1:1" ht="12.5" x14ac:dyDescent="0.25">
      <c r="A1654" s="4" t="s">
        <v>1841</v>
      </c>
    </row>
    <row r="1655" spans="1:1" ht="12.5" x14ac:dyDescent="0.25">
      <c r="A1655" s="4" t="s">
        <v>1842</v>
      </c>
    </row>
    <row r="1656" spans="1:1" ht="12.5" x14ac:dyDescent="0.25">
      <c r="A1656" s="4" t="s">
        <v>1842</v>
      </c>
    </row>
    <row r="1657" spans="1:1" ht="12.5" x14ac:dyDescent="0.25">
      <c r="A1657" s="4" t="s">
        <v>1842</v>
      </c>
    </row>
    <row r="1658" spans="1:1" ht="12.5" x14ac:dyDescent="0.25">
      <c r="A1658" s="4" t="s">
        <v>1842</v>
      </c>
    </row>
    <row r="1659" spans="1:1" ht="12.5" x14ac:dyDescent="0.25">
      <c r="A1659" s="4" t="s">
        <v>1842</v>
      </c>
    </row>
    <row r="1660" spans="1:1" ht="12.5" x14ac:dyDescent="0.25">
      <c r="A1660" s="4" t="s">
        <v>1843</v>
      </c>
    </row>
    <row r="1661" spans="1:1" ht="12.5" x14ac:dyDescent="0.25">
      <c r="A1661" s="4" t="s">
        <v>1843</v>
      </c>
    </row>
    <row r="1662" spans="1:1" ht="12.5" x14ac:dyDescent="0.25">
      <c r="A1662" s="4" t="s">
        <v>1844</v>
      </c>
    </row>
    <row r="1663" spans="1:1" ht="12.5" x14ac:dyDescent="0.25">
      <c r="A1663" s="4" t="s">
        <v>1845</v>
      </c>
    </row>
    <row r="1664" spans="1:1" ht="12.5" x14ac:dyDescent="0.25">
      <c r="A1664" s="4" t="s">
        <v>1845</v>
      </c>
    </row>
    <row r="1665" spans="1:1" ht="12.5" x14ac:dyDescent="0.25">
      <c r="A1665" s="4" t="s">
        <v>1846</v>
      </c>
    </row>
    <row r="1666" spans="1:1" ht="12.5" x14ac:dyDescent="0.25">
      <c r="A1666" s="4" t="s">
        <v>1846</v>
      </c>
    </row>
    <row r="1667" spans="1:1" ht="12.5" x14ac:dyDescent="0.25">
      <c r="A1667" s="4" t="s">
        <v>1846</v>
      </c>
    </row>
    <row r="1668" spans="1:1" ht="12.5" x14ac:dyDescent="0.25">
      <c r="A1668" s="4" t="s">
        <v>1846</v>
      </c>
    </row>
    <row r="1669" spans="1:1" ht="12.5" x14ac:dyDescent="0.25">
      <c r="A1669" s="4" t="s">
        <v>1846</v>
      </c>
    </row>
    <row r="1670" spans="1:1" ht="12.5" x14ac:dyDescent="0.25">
      <c r="A1670" s="4" t="s">
        <v>1847</v>
      </c>
    </row>
    <row r="1671" spans="1:1" ht="12.5" x14ac:dyDescent="0.25">
      <c r="A1671" s="4" t="s">
        <v>1847</v>
      </c>
    </row>
    <row r="1672" spans="1:1" ht="12.5" x14ac:dyDescent="0.25">
      <c r="A1672" s="4" t="s">
        <v>1847</v>
      </c>
    </row>
    <row r="1673" spans="1:1" ht="12.5" x14ac:dyDescent="0.25">
      <c r="A1673" s="4" t="s">
        <v>1847</v>
      </c>
    </row>
    <row r="1674" spans="1:1" ht="12.5" x14ac:dyDescent="0.25">
      <c r="A1674" s="4" t="s">
        <v>1847</v>
      </c>
    </row>
    <row r="1675" spans="1:1" ht="12.5" x14ac:dyDescent="0.25">
      <c r="A1675" s="4" t="s">
        <v>1847</v>
      </c>
    </row>
    <row r="1676" spans="1:1" ht="12.5" x14ac:dyDescent="0.25">
      <c r="A1676" s="4" t="s">
        <v>1847</v>
      </c>
    </row>
    <row r="1677" spans="1:1" ht="12.5" x14ac:dyDescent="0.25">
      <c r="A1677" s="4" t="s">
        <v>1848</v>
      </c>
    </row>
    <row r="1678" spans="1:1" ht="12.5" x14ac:dyDescent="0.25">
      <c r="A1678" s="4" t="s">
        <v>1848</v>
      </c>
    </row>
    <row r="1679" spans="1:1" ht="12.5" x14ac:dyDescent="0.25">
      <c r="A1679" s="4" t="s">
        <v>1849</v>
      </c>
    </row>
    <row r="1680" spans="1:1" ht="12.5" x14ac:dyDescent="0.25">
      <c r="A1680" s="4" t="s">
        <v>1850</v>
      </c>
    </row>
    <row r="1681" spans="1:1" ht="12.5" x14ac:dyDescent="0.25">
      <c r="A1681" s="4" t="s">
        <v>1850</v>
      </c>
    </row>
    <row r="1682" spans="1:1" ht="12.5" x14ac:dyDescent="0.25">
      <c r="A1682" s="4" t="s">
        <v>1850</v>
      </c>
    </row>
    <row r="1683" spans="1:1" ht="12.5" x14ac:dyDescent="0.25">
      <c r="A1683" s="4" t="s">
        <v>1850</v>
      </c>
    </row>
    <row r="1684" spans="1:1" ht="12.5" x14ac:dyDescent="0.25">
      <c r="A1684" s="4" t="s">
        <v>1850</v>
      </c>
    </row>
    <row r="1685" spans="1:1" ht="12.5" x14ac:dyDescent="0.25">
      <c r="A1685" s="4" t="s">
        <v>1850</v>
      </c>
    </row>
    <row r="1686" spans="1:1" ht="12.5" x14ac:dyDescent="0.25">
      <c r="A1686" s="4" t="s">
        <v>1851</v>
      </c>
    </row>
    <row r="1687" spans="1:1" ht="12.5" x14ac:dyDescent="0.25">
      <c r="A1687" s="4" t="s">
        <v>1852</v>
      </c>
    </row>
    <row r="1688" spans="1:1" ht="12.5" x14ac:dyDescent="0.25">
      <c r="A1688" s="4" t="s">
        <v>1852</v>
      </c>
    </row>
    <row r="1689" spans="1:1" ht="12.5" x14ac:dyDescent="0.25">
      <c r="A1689" s="4" t="s">
        <v>1853</v>
      </c>
    </row>
    <row r="1690" spans="1:1" ht="12.5" x14ac:dyDescent="0.25">
      <c r="A1690" s="4" t="s">
        <v>1853</v>
      </c>
    </row>
    <row r="1691" spans="1:1" ht="12.5" x14ac:dyDescent="0.25">
      <c r="A1691" s="4" t="s">
        <v>1853</v>
      </c>
    </row>
    <row r="1692" spans="1:1" ht="12.5" x14ac:dyDescent="0.25">
      <c r="A1692" s="4" t="s">
        <v>1853</v>
      </c>
    </row>
    <row r="1693" spans="1:1" ht="12.5" x14ac:dyDescent="0.25">
      <c r="A1693" s="4" t="s">
        <v>1853</v>
      </c>
    </row>
    <row r="1694" spans="1:1" ht="12.5" x14ac:dyDescent="0.25">
      <c r="A1694" s="4" t="s">
        <v>1853</v>
      </c>
    </row>
    <row r="1695" spans="1:1" ht="12.5" x14ac:dyDescent="0.25">
      <c r="A1695" s="4" t="s">
        <v>1854</v>
      </c>
    </row>
    <row r="1696" spans="1:1" ht="12.5" x14ac:dyDescent="0.25">
      <c r="A1696" s="4" t="s">
        <v>1854</v>
      </c>
    </row>
    <row r="1697" spans="1:1" ht="12.5" x14ac:dyDescent="0.25">
      <c r="A1697" s="4" t="s">
        <v>1854</v>
      </c>
    </row>
    <row r="1698" spans="1:1" ht="12.5" x14ac:dyDescent="0.25">
      <c r="A1698" s="4" t="s">
        <v>1854</v>
      </c>
    </row>
    <row r="1699" spans="1:1" ht="12.5" x14ac:dyDescent="0.25">
      <c r="A1699" s="4" t="s">
        <v>1854</v>
      </c>
    </row>
    <row r="1700" spans="1:1" ht="12.5" x14ac:dyDescent="0.25">
      <c r="A1700" s="4" t="s">
        <v>1854</v>
      </c>
    </row>
    <row r="1701" spans="1:1" ht="12.5" x14ac:dyDescent="0.25">
      <c r="A1701" s="4" t="s">
        <v>1854</v>
      </c>
    </row>
    <row r="1702" spans="1:1" ht="12.5" x14ac:dyDescent="0.25">
      <c r="A1702" s="4" t="s">
        <v>1854</v>
      </c>
    </row>
    <row r="1703" spans="1:1" ht="12.5" x14ac:dyDescent="0.25">
      <c r="A1703" s="4" t="s">
        <v>1854</v>
      </c>
    </row>
    <row r="1704" spans="1:1" ht="12.5" x14ac:dyDescent="0.25">
      <c r="A1704" s="4" t="s">
        <v>1854</v>
      </c>
    </row>
    <row r="1705" spans="1:1" ht="12.5" x14ac:dyDescent="0.25">
      <c r="A1705" s="4" t="s">
        <v>1854</v>
      </c>
    </row>
    <row r="1706" spans="1:1" ht="12.5" x14ac:dyDescent="0.25">
      <c r="A1706" s="4" t="s">
        <v>1854</v>
      </c>
    </row>
    <row r="1707" spans="1:1" ht="12.5" x14ac:dyDescent="0.25">
      <c r="A1707" s="4" t="s">
        <v>1854</v>
      </c>
    </row>
    <row r="1708" spans="1:1" ht="12.5" x14ac:dyDescent="0.25">
      <c r="A1708" s="4" t="s">
        <v>1855</v>
      </c>
    </row>
    <row r="1709" spans="1:1" ht="12.5" x14ac:dyDescent="0.25">
      <c r="A1709" s="4" t="s">
        <v>1855</v>
      </c>
    </row>
    <row r="1710" spans="1:1" ht="12.5" x14ac:dyDescent="0.25">
      <c r="A1710" s="4" t="s">
        <v>1855</v>
      </c>
    </row>
    <row r="1711" spans="1:1" ht="12.5" x14ac:dyDescent="0.25">
      <c r="A1711" s="4" t="s">
        <v>1856</v>
      </c>
    </row>
    <row r="1712" spans="1:1" ht="12.5" x14ac:dyDescent="0.25">
      <c r="A1712" s="4" t="s">
        <v>1856</v>
      </c>
    </row>
    <row r="1713" spans="1:1" ht="12.5" x14ac:dyDescent="0.25">
      <c r="A1713" s="4" t="s">
        <v>1856</v>
      </c>
    </row>
    <row r="1714" spans="1:1" ht="12.5" x14ac:dyDescent="0.25">
      <c r="A1714" s="4" t="s">
        <v>1856</v>
      </c>
    </row>
    <row r="1715" spans="1:1" ht="12.5" x14ac:dyDescent="0.25">
      <c r="A1715" s="4" t="s">
        <v>1857</v>
      </c>
    </row>
    <row r="1716" spans="1:1" ht="12.5" x14ac:dyDescent="0.25">
      <c r="A1716" s="4" t="s">
        <v>1857</v>
      </c>
    </row>
    <row r="1717" spans="1:1" ht="12.5" x14ac:dyDescent="0.25">
      <c r="A1717" s="4" t="s">
        <v>1857</v>
      </c>
    </row>
    <row r="1718" spans="1:1" ht="12.5" x14ac:dyDescent="0.25">
      <c r="A1718" s="4" t="s">
        <v>1857</v>
      </c>
    </row>
    <row r="1719" spans="1:1" ht="12.5" x14ac:dyDescent="0.25">
      <c r="A1719" s="4" t="s">
        <v>1857</v>
      </c>
    </row>
    <row r="1720" spans="1:1" ht="12.5" x14ac:dyDescent="0.25">
      <c r="A1720" s="4" t="s">
        <v>1857</v>
      </c>
    </row>
    <row r="1721" spans="1:1" ht="12.5" x14ac:dyDescent="0.25">
      <c r="A1721" s="4" t="s">
        <v>1857</v>
      </c>
    </row>
    <row r="1722" spans="1:1" ht="12.5" x14ac:dyDescent="0.25">
      <c r="A1722" s="4" t="s">
        <v>1857</v>
      </c>
    </row>
    <row r="1723" spans="1:1" ht="12.5" x14ac:dyDescent="0.25">
      <c r="A1723" s="4" t="s">
        <v>1857</v>
      </c>
    </row>
    <row r="1724" spans="1:1" ht="12.5" x14ac:dyDescent="0.25">
      <c r="A1724" s="4" t="s">
        <v>1857</v>
      </c>
    </row>
    <row r="1725" spans="1:1" ht="12.5" x14ac:dyDescent="0.25">
      <c r="A1725" s="4" t="s">
        <v>1857</v>
      </c>
    </row>
    <row r="1726" spans="1:1" ht="12.5" x14ac:dyDescent="0.25">
      <c r="A1726" s="4" t="s">
        <v>1858</v>
      </c>
    </row>
    <row r="1727" spans="1:1" ht="12.5" x14ac:dyDescent="0.25">
      <c r="A1727" s="4" t="s">
        <v>1858</v>
      </c>
    </row>
    <row r="1728" spans="1:1" ht="12.5" x14ac:dyDescent="0.25">
      <c r="A1728" s="4" t="s">
        <v>1858</v>
      </c>
    </row>
    <row r="1729" spans="1:1" ht="12.5" x14ac:dyDescent="0.25">
      <c r="A1729" s="4" t="s">
        <v>1858</v>
      </c>
    </row>
    <row r="1730" spans="1:1" ht="12.5" x14ac:dyDescent="0.25">
      <c r="A1730" s="4" t="s">
        <v>1858</v>
      </c>
    </row>
    <row r="1731" spans="1:1" ht="12.5" x14ac:dyDescent="0.25">
      <c r="A1731" s="4" t="s">
        <v>1858</v>
      </c>
    </row>
    <row r="1732" spans="1:1" ht="12.5" x14ac:dyDescent="0.25">
      <c r="A1732" s="4" t="s">
        <v>1859</v>
      </c>
    </row>
    <row r="1733" spans="1:1" ht="12.5" x14ac:dyDescent="0.25">
      <c r="A1733" s="4" t="s">
        <v>1860</v>
      </c>
    </row>
    <row r="1734" spans="1:1" ht="12.5" x14ac:dyDescent="0.25">
      <c r="A1734" s="4" t="s">
        <v>1860</v>
      </c>
    </row>
    <row r="1735" spans="1:1" ht="12.5" x14ac:dyDescent="0.25">
      <c r="A1735" s="4" t="s">
        <v>1860</v>
      </c>
    </row>
    <row r="1736" spans="1:1" ht="12.5" x14ac:dyDescent="0.25">
      <c r="A1736" s="4" t="s">
        <v>1861</v>
      </c>
    </row>
    <row r="1737" spans="1:1" ht="12.5" x14ac:dyDescent="0.25">
      <c r="A1737" s="4" t="s">
        <v>1861</v>
      </c>
    </row>
    <row r="1738" spans="1:1" ht="12.5" x14ac:dyDescent="0.25">
      <c r="A1738" s="4" t="s">
        <v>1861</v>
      </c>
    </row>
    <row r="1739" spans="1:1" ht="12.5" x14ac:dyDescent="0.25">
      <c r="A1739" s="4" t="s">
        <v>1861</v>
      </c>
    </row>
    <row r="1740" spans="1:1" ht="12.5" x14ac:dyDescent="0.25">
      <c r="A1740" s="4" t="s">
        <v>1861</v>
      </c>
    </row>
    <row r="1741" spans="1:1" ht="12.5" x14ac:dyDescent="0.25">
      <c r="A1741" s="4" t="s">
        <v>1861</v>
      </c>
    </row>
    <row r="1742" spans="1:1" ht="12.5" x14ac:dyDescent="0.25">
      <c r="A1742" s="4" t="s">
        <v>1861</v>
      </c>
    </row>
    <row r="1743" spans="1:1" ht="12.5" x14ac:dyDescent="0.25">
      <c r="A1743" s="4" t="s">
        <v>1862</v>
      </c>
    </row>
    <row r="1744" spans="1:1" ht="12.5" x14ac:dyDescent="0.25">
      <c r="A1744" s="4" t="s">
        <v>1862</v>
      </c>
    </row>
    <row r="1745" spans="1:1" ht="12.5" x14ac:dyDescent="0.25">
      <c r="A1745" s="4" t="s">
        <v>1862</v>
      </c>
    </row>
    <row r="1746" spans="1:1" ht="12.5" x14ac:dyDescent="0.25">
      <c r="A1746" s="4" t="s">
        <v>1862</v>
      </c>
    </row>
    <row r="1747" spans="1:1" ht="12.5" x14ac:dyDescent="0.25">
      <c r="A1747" s="4" t="s">
        <v>1862</v>
      </c>
    </row>
    <row r="1748" spans="1:1" ht="12.5" x14ac:dyDescent="0.25">
      <c r="A1748" s="4" t="s">
        <v>1862</v>
      </c>
    </row>
    <row r="1749" spans="1:1" ht="12.5" x14ac:dyDescent="0.25">
      <c r="A1749" s="4" t="s">
        <v>1862</v>
      </c>
    </row>
    <row r="1750" spans="1:1" ht="12.5" x14ac:dyDescent="0.25">
      <c r="A1750" s="4" t="s">
        <v>1862</v>
      </c>
    </row>
    <row r="1751" spans="1:1" ht="12.5" x14ac:dyDescent="0.25">
      <c r="A1751" s="4" t="s">
        <v>1863</v>
      </c>
    </row>
    <row r="1752" spans="1:1" ht="12.5" x14ac:dyDescent="0.25">
      <c r="A1752" s="4" t="s">
        <v>1863</v>
      </c>
    </row>
    <row r="1753" spans="1:1" ht="12.5" x14ac:dyDescent="0.25">
      <c r="A1753" s="4" t="s">
        <v>1864</v>
      </c>
    </row>
    <row r="1754" spans="1:1" ht="12.5" x14ac:dyDescent="0.25">
      <c r="A1754" s="4" t="s">
        <v>1864</v>
      </c>
    </row>
    <row r="1755" spans="1:1" ht="12.5" x14ac:dyDescent="0.25">
      <c r="A1755" s="4" t="s">
        <v>1865</v>
      </c>
    </row>
    <row r="1756" spans="1:1" ht="12.5" x14ac:dyDescent="0.25">
      <c r="A1756" s="4" t="s">
        <v>1865</v>
      </c>
    </row>
    <row r="1757" spans="1:1" ht="12.5" x14ac:dyDescent="0.25">
      <c r="A1757" s="4" t="s">
        <v>1866</v>
      </c>
    </row>
    <row r="1758" spans="1:1" ht="12.5" x14ac:dyDescent="0.25">
      <c r="A1758" s="4" t="s">
        <v>1867</v>
      </c>
    </row>
    <row r="1759" spans="1:1" ht="12.5" x14ac:dyDescent="0.25">
      <c r="A1759" s="4" t="s">
        <v>1866</v>
      </c>
    </row>
    <row r="1760" spans="1:1" ht="12.5" x14ac:dyDescent="0.25">
      <c r="A1760" s="4" t="s">
        <v>1868</v>
      </c>
    </row>
    <row r="1761" spans="1:1" ht="12.5" x14ac:dyDescent="0.25">
      <c r="A1761" s="4" t="s">
        <v>1868</v>
      </c>
    </row>
    <row r="1762" spans="1:1" ht="12.5" x14ac:dyDescent="0.25">
      <c r="A1762" s="4" t="s">
        <v>1868</v>
      </c>
    </row>
    <row r="1763" spans="1:1" ht="12.5" x14ac:dyDescent="0.25">
      <c r="A1763" s="4" t="s">
        <v>1868</v>
      </c>
    </row>
    <row r="1764" spans="1:1" ht="12.5" x14ac:dyDescent="0.25">
      <c r="A1764" s="4" t="s">
        <v>1868</v>
      </c>
    </row>
    <row r="1765" spans="1:1" ht="12.5" x14ac:dyDescent="0.25">
      <c r="A1765" s="4" t="s">
        <v>1869</v>
      </c>
    </row>
    <row r="1766" spans="1:1" ht="12.5" x14ac:dyDescent="0.25">
      <c r="A1766" s="4" t="s">
        <v>1869</v>
      </c>
    </row>
    <row r="1767" spans="1:1" ht="12.5" x14ac:dyDescent="0.25">
      <c r="A1767" s="4" t="s">
        <v>1869</v>
      </c>
    </row>
    <row r="1768" spans="1:1" ht="12.5" x14ac:dyDescent="0.25">
      <c r="A1768" s="4" t="s">
        <v>1870</v>
      </c>
    </row>
    <row r="1769" spans="1:1" ht="12.5" x14ac:dyDescent="0.25">
      <c r="A1769" s="4" t="s">
        <v>1870</v>
      </c>
    </row>
    <row r="1770" spans="1:1" ht="12.5" x14ac:dyDescent="0.25">
      <c r="A1770" s="4" t="s">
        <v>1870</v>
      </c>
    </row>
    <row r="1771" spans="1:1" ht="12.5" x14ac:dyDescent="0.25">
      <c r="A1771" s="4" t="s">
        <v>1870</v>
      </c>
    </row>
    <row r="1772" spans="1:1" ht="12.5" x14ac:dyDescent="0.25">
      <c r="A1772" s="4" t="s">
        <v>1870</v>
      </c>
    </row>
    <row r="1773" spans="1:1" ht="12.5" x14ac:dyDescent="0.25">
      <c r="A1773" s="4" t="s">
        <v>1871</v>
      </c>
    </row>
    <row r="1774" spans="1:1" ht="12.5" x14ac:dyDescent="0.25">
      <c r="A1774" s="4" t="s">
        <v>1871</v>
      </c>
    </row>
    <row r="1775" spans="1:1" ht="12.5" x14ac:dyDescent="0.25">
      <c r="A1775" s="4" t="s">
        <v>1871</v>
      </c>
    </row>
    <row r="1776" spans="1:1" ht="12.5" x14ac:dyDescent="0.25">
      <c r="A1776" s="4" t="s">
        <v>1872</v>
      </c>
    </row>
    <row r="1777" spans="1:1" ht="12.5" x14ac:dyDescent="0.25">
      <c r="A1777" s="4" t="s">
        <v>1873</v>
      </c>
    </row>
    <row r="1778" spans="1:1" ht="12.5" x14ac:dyDescent="0.25">
      <c r="A1778" s="4" t="s">
        <v>1873</v>
      </c>
    </row>
    <row r="1779" spans="1:1" ht="12.5" x14ac:dyDescent="0.25">
      <c r="A1779" s="4" t="s">
        <v>1874</v>
      </c>
    </row>
    <row r="1780" spans="1:1" ht="12.5" x14ac:dyDescent="0.25">
      <c r="A1780" s="4" t="s">
        <v>1874</v>
      </c>
    </row>
    <row r="1781" spans="1:1" ht="12.5" x14ac:dyDescent="0.25">
      <c r="A1781" s="4" t="s">
        <v>1874</v>
      </c>
    </row>
    <row r="1782" spans="1:1" ht="12.5" x14ac:dyDescent="0.25">
      <c r="A1782" s="4" t="s">
        <v>1874</v>
      </c>
    </row>
    <row r="1783" spans="1:1" ht="12.5" x14ac:dyDescent="0.25">
      <c r="A1783" s="4" t="s">
        <v>1874</v>
      </c>
    </row>
    <row r="1784" spans="1:1" ht="12.5" x14ac:dyDescent="0.25">
      <c r="A1784" s="4" t="s">
        <v>1875</v>
      </c>
    </row>
    <row r="1785" spans="1:1" ht="12.5" x14ac:dyDescent="0.25">
      <c r="A1785" s="4" t="s">
        <v>1875</v>
      </c>
    </row>
    <row r="1786" spans="1:1" ht="12.5" x14ac:dyDescent="0.25">
      <c r="A1786" s="4" t="s">
        <v>1875</v>
      </c>
    </row>
    <row r="1787" spans="1:1" ht="12.5" x14ac:dyDescent="0.25">
      <c r="A1787" s="4" t="s">
        <v>1876</v>
      </c>
    </row>
    <row r="1788" spans="1:1" ht="12.5" x14ac:dyDescent="0.25">
      <c r="A1788" s="4" t="s">
        <v>1876</v>
      </c>
    </row>
    <row r="1789" spans="1:1" ht="12.5" x14ac:dyDescent="0.25">
      <c r="A1789" s="4" t="s">
        <v>1876</v>
      </c>
    </row>
    <row r="1790" spans="1:1" ht="12.5" x14ac:dyDescent="0.25">
      <c r="A1790" s="4" t="s">
        <v>1876</v>
      </c>
    </row>
    <row r="1791" spans="1:1" ht="12.5" x14ac:dyDescent="0.25">
      <c r="A1791" s="4" t="s">
        <v>1877</v>
      </c>
    </row>
    <row r="1792" spans="1:1" ht="12.5" x14ac:dyDescent="0.25">
      <c r="A1792" s="4" t="s">
        <v>1878</v>
      </c>
    </row>
    <row r="1793" spans="1:1" ht="12.5" x14ac:dyDescent="0.25">
      <c r="A1793" s="4" t="s">
        <v>1878</v>
      </c>
    </row>
    <row r="1794" spans="1:1" ht="12.5" x14ac:dyDescent="0.25">
      <c r="A1794" s="4" t="s">
        <v>1878</v>
      </c>
    </row>
    <row r="1795" spans="1:1" ht="12.5" x14ac:dyDescent="0.25">
      <c r="A1795" s="4" t="s">
        <v>1878</v>
      </c>
    </row>
    <row r="1796" spans="1:1" ht="12.5" x14ac:dyDescent="0.25">
      <c r="A1796" s="4" t="s">
        <v>1878</v>
      </c>
    </row>
    <row r="1797" spans="1:1" ht="12.5" x14ac:dyDescent="0.25">
      <c r="A1797" s="4" t="s">
        <v>1879</v>
      </c>
    </row>
    <row r="1798" spans="1:1" ht="12.5" x14ac:dyDescent="0.25">
      <c r="A1798" s="4" t="s">
        <v>1879</v>
      </c>
    </row>
    <row r="1799" spans="1:1" ht="12.5" x14ac:dyDescent="0.25">
      <c r="A1799" s="4" t="s">
        <v>1879</v>
      </c>
    </row>
    <row r="1800" spans="1:1" ht="12.5" x14ac:dyDescent="0.25">
      <c r="A1800" s="4" t="s">
        <v>1879</v>
      </c>
    </row>
    <row r="1801" spans="1:1" ht="12.5" x14ac:dyDescent="0.25">
      <c r="A1801" s="4" t="s">
        <v>1880</v>
      </c>
    </row>
    <row r="1802" spans="1:1" ht="12.5" x14ac:dyDescent="0.25">
      <c r="A1802" s="4" t="s">
        <v>1881</v>
      </c>
    </row>
    <row r="1803" spans="1:1" ht="12.5" x14ac:dyDescent="0.25">
      <c r="A1803" s="4" t="s">
        <v>1881</v>
      </c>
    </row>
    <row r="1804" spans="1:1" ht="12.5" x14ac:dyDescent="0.25">
      <c r="A1804" s="4" t="s">
        <v>1881</v>
      </c>
    </row>
    <row r="1805" spans="1:1" ht="12.5" x14ac:dyDescent="0.25">
      <c r="A1805" s="4" t="s">
        <v>1881</v>
      </c>
    </row>
    <row r="1806" spans="1:1" ht="12.5" x14ac:dyDescent="0.25">
      <c r="A1806" s="4" t="s">
        <v>1881</v>
      </c>
    </row>
    <row r="1807" spans="1:1" ht="12.5" x14ac:dyDescent="0.25">
      <c r="A1807" s="4" t="s">
        <v>1881</v>
      </c>
    </row>
    <row r="1808" spans="1:1" ht="12.5" x14ac:dyDescent="0.25">
      <c r="A1808" s="4" t="s">
        <v>1881</v>
      </c>
    </row>
    <row r="1809" spans="1:1" ht="12.5" x14ac:dyDescent="0.25">
      <c r="A1809" s="4" t="s">
        <v>1881</v>
      </c>
    </row>
    <row r="1810" spans="1:1" ht="12.5" x14ac:dyDescent="0.25">
      <c r="A1810" s="4" t="s">
        <v>1881</v>
      </c>
    </row>
    <row r="1811" spans="1:1" ht="12.5" x14ac:dyDescent="0.25">
      <c r="A1811" s="4" t="s">
        <v>1881</v>
      </c>
    </row>
    <row r="1812" spans="1:1" ht="12.5" x14ac:dyDescent="0.25">
      <c r="A1812" s="4" t="s">
        <v>1881</v>
      </c>
    </row>
    <row r="1813" spans="1:1" ht="12.5" x14ac:dyDescent="0.25">
      <c r="A1813" s="4" t="s">
        <v>1882</v>
      </c>
    </row>
    <row r="1814" spans="1:1" ht="12.5" x14ac:dyDescent="0.25">
      <c r="A1814" s="4" t="s">
        <v>1882</v>
      </c>
    </row>
    <row r="1815" spans="1:1" ht="12.5" x14ac:dyDescent="0.25">
      <c r="A1815" s="4" t="s">
        <v>1882</v>
      </c>
    </row>
    <row r="1816" spans="1:1" ht="12.5" x14ac:dyDescent="0.25">
      <c r="A1816" s="4" t="s">
        <v>1882</v>
      </c>
    </row>
    <row r="1817" spans="1:1" ht="12.5" x14ac:dyDescent="0.25">
      <c r="A1817" s="4" t="s">
        <v>1882</v>
      </c>
    </row>
    <row r="1818" spans="1:1" ht="12.5" x14ac:dyDescent="0.25">
      <c r="A1818" s="4" t="s">
        <v>1882</v>
      </c>
    </row>
    <row r="1819" spans="1:1" ht="12.5" x14ac:dyDescent="0.25">
      <c r="A1819" s="4" t="s">
        <v>1882</v>
      </c>
    </row>
    <row r="1820" spans="1:1" ht="12.5" x14ac:dyDescent="0.25">
      <c r="A1820" s="4" t="s">
        <v>1882</v>
      </c>
    </row>
    <row r="1821" spans="1:1" ht="12.5" x14ac:dyDescent="0.25">
      <c r="A1821" s="4" t="s">
        <v>1882</v>
      </c>
    </row>
    <row r="1822" spans="1:1" ht="12.5" x14ac:dyDescent="0.25">
      <c r="A1822" s="4" t="s">
        <v>1883</v>
      </c>
    </row>
    <row r="1823" spans="1:1" ht="12.5" x14ac:dyDescent="0.25">
      <c r="A1823" s="4" t="s">
        <v>1883</v>
      </c>
    </row>
    <row r="1824" spans="1:1" ht="12.5" x14ac:dyDescent="0.25">
      <c r="A1824" s="4" t="s">
        <v>1883</v>
      </c>
    </row>
    <row r="1825" spans="1:1" ht="12.5" x14ac:dyDescent="0.25">
      <c r="A1825" s="4" t="s">
        <v>1883</v>
      </c>
    </row>
    <row r="1826" spans="1:1" ht="12.5" x14ac:dyDescent="0.25">
      <c r="A1826" s="4" t="s">
        <v>1883</v>
      </c>
    </row>
    <row r="1827" spans="1:1" ht="12.5" x14ac:dyDescent="0.25">
      <c r="A1827" s="4" t="s">
        <v>1883</v>
      </c>
    </row>
    <row r="1828" spans="1:1" ht="12.5" x14ac:dyDescent="0.25">
      <c r="A1828" s="4" t="s">
        <v>1883</v>
      </c>
    </row>
    <row r="1829" spans="1:1" ht="12.5" x14ac:dyDescent="0.25">
      <c r="A1829" s="4" t="s">
        <v>1883</v>
      </c>
    </row>
    <row r="1830" spans="1:1" ht="12.5" x14ac:dyDescent="0.25">
      <c r="A1830" s="4" t="s">
        <v>1884</v>
      </c>
    </row>
    <row r="1831" spans="1:1" ht="12.5" x14ac:dyDescent="0.25">
      <c r="A1831" s="4" t="s">
        <v>1884</v>
      </c>
    </row>
    <row r="1832" spans="1:1" ht="12.5" x14ac:dyDescent="0.25">
      <c r="A1832" s="4" t="s">
        <v>1884</v>
      </c>
    </row>
    <row r="1833" spans="1:1" ht="12.5" x14ac:dyDescent="0.25">
      <c r="A1833" s="4" t="s">
        <v>1884</v>
      </c>
    </row>
    <row r="1834" spans="1:1" ht="12.5" x14ac:dyDescent="0.25">
      <c r="A1834" s="4" t="s">
        <v>1885</v>
      </c>
    </row>
    <row r="1835" spans="1:1" ht="12.5" x14ac:dyDescent="0.25">
      <c r="A1835" s="4" t="s">
        <v>1886</v>
      </c>
    </row>
    <row r="1836" spans="1:1" ht="12.5" x14ac:dyDescent="0.25">
      <c r="A1836" s="4" t="s">
        <v>1886</v>
      </c>
    </row>
    <row r="1837" spans="1:1" ht="12.5" x14ac:dyDescent="0.25">
      <c r="A1837" s="4" t="s">
        <v>1886</v>
      </c>
    </row>
    <row r="1838" spans="1:1" ht="12.5" x14ac:dyDescent="0.25">
      <c r="A1838" s="4" t="s">
        <v>1886</v>
      </c>
    </row>
    <row r="1839" spans="1:1" ht="12.5" x14ac:dyDescent="0.25">
      <c r="A1839" s="4" t="s">
        <v>1886</v>
      </c>
    </row>
    <row r="1840" spans="1:1" ht="12.5" x14ac:dyDescent="0.25">
      <c r="A1840" s="4" t="s">
        <v>1886</v>
      </c>
    </row>
    <row r="1841" spans="1:1" ht="12.5" x14ac:dyDescent="0.25">
      <c r="A1841" s="4" t="s">
        <v>1886</v>
      </c>
    </row>
    <row r="1842" spans="1:1" ht="12.5" x14ac:dyDescent="0.25">
      <c r="A1842" s="4" t="s">
        <v>1886</v>
      </c>
    </row>
    <row r="1843" spans="1:1" ht="12.5" x14ac:dyDescent="0.25">
      <c r="A1843" s="4" t="s">
        <v>1887</v>
      </c>
    </row>
    <row r="1844" spans="1:1" ht="12.5" x14ac:dyDescent="0.25">
      <c r="A1844" s="4" t="s">
        <v>1887</v>
      </c>
    </row>
    <row r="1845" spans="1:1" ht="12.5" x14ac:dyDescent="0.25">
      <c r="A1845" s="4" t="s">
        <v>1888</v>
      </c>
    </row>
    <row r="1846" spans="1:1" ht="12.5" x14ac:dyDescent="0.25">
      <c r="A1846" s="4" t="s">
        <v>1888</v>
      </c>
    </row>
    <row r="1847" spans="1:1" ht="12.5" x14ac:dyDescent="0.25">
      <c r="A1847" s="4" t="s">
        <v>1888</v>
      </c>
    </row>
    <row r="1848" spans="1:1" ht="12.5" x14ac:dyDescent="0.25">
      <c r="A1848" s="4" t="s">
        <v>1888</v>
      </c>
    </row>
    <row r="1849" spans="1:1" ht="12.5" x14ac:dyDescent="0.25">
      <c r="A1849" s="4" t="s">
        <v>1889</v>
      </c>
    </row>
    <row r="1850" spans="1:1" ht="12.5" x14ac:dyDescent="0.25">
      <c r="A1850" s="4" t="s">
        <v>1889</v>
      </c>
    </row>
    <row r="1851" spans="1:1" ht="12.5" x14ac:dyDescent="0.25">
      <c r="A1851" s="4" t="s">
        <v>1890</v>
      </c>
    </row>
    <row r="1852" spans="1:1" ht="12.5" x14ac:dyDescent="0.25">
      <c r="A1852" s="4" t="s">
        <v>1890</v>
      </c>
    </row>
    <row r="1853" spans="1:1" ht="12.5" x14ac:dyDescent="0.25">
      <c r="A1853" s="4" t="s">
        <v>1890</v>
      </c>
    </row>
    <row r="1854" spans="1:1" ht="12.5" x14ac:dyDescent="0.25">
      <c r="A1854" s="4" t="s">
        <v>1890</v>
      </c>
    </row>
    <row r="1855" spans="1:1" ht="12.5" x14ac:dyDescent="0.25">
      <c r="A1855" s="4" t="s">
        <v>1890</v>
      </c>
    </row>
    <row r="1856" spans="1:1" ht="12.5" x14ac:dyDescent="0.25">
      <c r="A1856" s="4" t="s">
        <v>1890</v>
      </c>
    </row>
    <row r="1857" spans="1:1" ht="12.5" x14ac:dyDescent="0.25">
      <c r="A1857" s="4" t="s">
        <v>1890</v>
      </c>
    </row>
    <row r="1858" spans="1:1" ht="12.5" x14ac:dyDescent="0.25">
      <c r="A1858" s="4" t="s">
        <v>1890</v>
      </c>
    </row>
    <row r="1859" spans="1:1" ht="12.5" x14ac:dyDescent="0.25">
      <c r="A1859" s="4" t="s">
        <v>1891</v>
      </c>
    </row>
    <row r="1860" spans="1:1" ht="12.5" x14ac:dyDescent="0.25">
      <c r="A1860" s="4" t="s">
        <v>1891</v>
      </c>
    </row>
    <row r="1861" spans="1:1" ht="12.5" x14ac:dyDescent="0.25">
      <c r="A1861" s="4" t="s">
        <v>1891</v>
      </c>
    </row>
    <row r="1862" spans="1:1" ht="12.5" x14ac:dyDescent="0.25">
      <c r="A1862" s="4" t="s">
        <v>1891</v>
      </c>
    </row>
    <row r="1863" spans="1:1" ht="12.5" x14ac:dyDescent="0.25">
      <c r="A1863" s="4" t="s">
        <v>1891</v>
      </c>
    </row>
    <row r="1864" spans="1:1" ht="12.5" x14ac:dyDescent="0.25">
      <c r="A1864" s="4" t="s">
        <v>1891</v>
      </c>
    </row>
    <row r="1865" spans="1:1" ht="12.5" x14ac:dyDescent="0.25">
      <c r="A1865" s="4" t="s">
        <v>1891</v>
      </c>
    </row>
    <row r="1866" spans="1:1" ht="12.5" x14ac:dyDescent="0.25">
      <c r="A1866" s="4" t="s">
        <v>1891</v>
      </c>
    </row>
    <row r="1867" spans="1:1" ht="12.5" x14ac:dyDescent="0.25">
      <c r="A1867" s="4" t="s">
        <v>1892</v>
      </c>
    </row>
    <row r="1868" spans="1:1" ht="12.5" x14ac:dyDescent="0.25">
      <c r="A1868" s="4" t="s">
        <v>1892</v>
      </c>
    </row>
    <row r="1869" spans="1:1" ht="12.5" x14ac:dyDescent="0.25">
      <c r="A1869" s="4" t="s">
        <v>1892</v>
      </c>
    </row>
    <row r="1870" spans="1:1" ht="12.5" x14ac:dyDescent="0.25">
      <c r="A1870" s="4" t="s">
        <v>1892</v>
      </c>
    </row>
    <row r="1871" spans="1:1" ht="12.5" x14ac:dyDescent="0.25">
      <c r="A1871" s="4" t="s">
        <v>1892</v>
      </c>
    </row>
    <row r="1872" spans="1:1" ht="12.5" x14ac:dyDescent="0.25">
      <c r="A1872" s="4" t="s">
        <v>1892</v>
      </c>
    </row>
    <row r="1873" spans="1:1" ht="12.5" x14ac:dyDescent="0.25">
      <c r="A1873" s="4" t="s">
        <v>1893</v>
      </c>
    </row>
    <row r="1874" spans="1:1" ht="12.5" x14ac:dyDescent="0.25">
      <c r="A1874" s="4" t="s">
        <v>1893</v>
      </c>
    </row>
    <row r="1875" spans="1:1" ht="12.5" x14ac:dyDescent="0.25">
      <c r="A1875" s="4" t="s">
        <v>1893</v>
      </c>
    </row>
    <row r="1876" spans="1:1" ht="12.5" x14ac:dyDescent="0.25">
      <c r="A1876" s="4" t="s">
        <v>1893</v>
      </c>
    </row>
    <row r="1877" spans="1:1" ht="12.5" x14ac:dyDescent="0.25">
      <c r="A1877" s="4" t="s">
        <v>1893</v>
      </c>
    </row>
    <row r="1878" spans="1:1" ht="12.5" x14ac:dyDescent="0.25">
      <c r="A1878" s="4" t="s">
        <v>1894</v>
      </c>
    </row>
    <row r="1879" spans="1:1" ht="12.5" x14ac:dyDescent="0.25">
      <c r="A1879" s="4" t="s">
        <v>1894</v>
      </c>
    </row>
    <row r="1880" spans="1:1" ht="12.5" x14ac:dyDescent="0.25">
      <c r="A1880" s="4" t="s">
        <v>1894</v>
      </c>
    </row>
    <row r="1881" spans="1:1" ht="12.5" x14ac:dyDescent="0.25">
      <c r="A1881" s="4" t="s">
        <v>1894</v>
      </c>
    </row>
    <row r="1882" spans="1:1" ht="12.5" x14ac:dyDescent="0.25">
      <c r="A1882" s="4" t="s">
        <v>1894</v>
      </c>
    </row>
    <row r="1883" spans="1:1" ht="12.5" x14ac:dyDescent="0.25">
      <c r="A1883" s="4" t="s">
        <v>1894</v>
      </c>
    </row>
    <row r="1884" spans="1:1" ht="12.5" x14ac:dyDescent="0.25">
      <c r="A1884" s="4" t="s">
        <v>1894</v>
      </c>
    </row>
    <row r="1885" spans="1:1" ht="12.5" x14ac:dyDescent="0.25">
      <c r="A1885" s="4" t="s">
        <v>1894</v>
      </c>
    </row>
    <row r="1886" spans="1:1" ht="12.5" x14ac:dyDescent="0.25">
      <c r="A1886" s="4" t="s">
        <v>1894</v>
      </c>
    </row>
    <row r="1887" spans="1:1" ht="12.5" x14ac:dyDescent="0.25">
      <c r="A1887" s="4" t="s">
        <v>1895</v>
      </c>
    </row>
    <row r="1888" spans="1:1" ht="12.5" x14ac:dyDescent="0.25">
      <c r="A1888" s="4" t="s">
        <v>1895</v>
      </c>
    </row>
    <row r="1889" spans="1:1" ht="12.5" x14ac:dyDescent="0.25">
      <c r="A1889" s="4" t="s">
        <v>1895</v>
      </c>
    </row>
    <row r="1890" spans="1:1" ht="12.5" x14ac:dyDescent="0.25">
      <c r="A1890" s="4" t="s">
        <v>1895</v>
      </c>
    </row>
    <row r="1891" spans="1:1" ht="12.5" x14ac:dyDescent="0.25">
      <c r="A1891" s="4" t="s">
        <v>1895</v>
      </c>
    </row>
    <row r="1892" spans="1:1" ht="12.5" x14ac:dyDescent="0.25">
      <c r="A1892" s="4" t="s">
        <v>1896</v>
      </c>
    </row>
    <row r="1893" spans="1:1" ht="12.5" x14ac:dyDescent="0.25">
      <c r="A1893" s="4" t="s">
        <v>1897</v>
      </c>
    </row>
    <row r="1894" spans="1:1" ht="12.5" x14ac:dyDescent="0.25">
      <c r="A1894" s="4" t="s">
        <v>1898</v>
      </c>
    </row>
    <row r="1895" spans="1:1" ht="12.5" x14ac:dyDescent="0.25">
      <c r="A1895" s="4" t="s">
        <v>1898</v>
      </c>
    </row>
    <row r="1896" spans="1:1" ht="12.5" x14ac:dyDescent="0.25">
      <c r="A1896" s="4" t="s">
        <v>1898</v>
      </c>
    </row>
    <row r="1897" spans="1:1" ht="12.5" x14ac:dyDescent="0.25">
      <c r="A1897" s="4" t="s">
        <v>1899</v>
      </c>
    </row>
    <row r="1898" spans="1:1" ht="12.5" x14ac:dyDescent="0.25">
      <c r="A1898" s="4" t="s">
        <v>1899</v>
      </c>
    </row>
    <row r="1899" spans="1:1" ht="12.5" x14ac:dyDescent="0.25">
      <c r="A1899" s="4" t="s">
        <v>1900</v>
      </c>
    </row>
    <row r="1900" spans="1:1" ht="12.5" x14ac:dyDescent="0.25">
      <c r="A1900" s="4" t="s">
        <v>1900</v>
      </c>
    </row>
    <row r="1901" spans="1:1" ht="12.5" x14ac:dyDescent="0.25">
      <c r="A1901" s="4" t="s">
        <v>1900</v>
      </c>
    </row>
    <row r="1902" spans="1:1" ht="12.5" x14ac:dyDescent="0.25">
      <c r="A1902" s="4" t="s">
        <v>1900</v>
      </c>
    </row>
    <row r="1903" spans="1:1" ht="12.5" x14ac:dyDescent="0.25">
      <c r="A1903" s="4" t="s">
        <v>1900</v>
      </c>
    </row>
    <row r="1904" spans="1:1" ht="12.5" x14ac:dyDescent="0.25">
      <c r="A1904" s="4" t="s">
        <v>1900</v>
      </c>
    </row>
    <row r="1905" spans="1:1" ht="12.5" x14ac:dyDescent="0.25">
      <c r="A1905" s="4" t="s">
        <v>1900</v>
      </c>
    </row>
    <row r="1906" spans="1:1" ht="12.5" x14ac:dyDescent="0.25">
      <c r="A1906" s="4" t="s">
        <v>1901</v>
      </c>
    </row>
    <row r="1907" spans="1:1" ht="12.5" x14ac:dyDescent="0.25">
      <c r="A1907" s="4" t="s">
        <v>1901</v>
      </c>
    </row>
    <row r="1908" spans="1:1" ht="12.5" x14ac:dyDescent="0.25">
      <c r="A1908" s="4" t="s">
        <v>1901</v>
      </c>
    </row>
    <row r="1909" spans="1:1" ht="12.5" x14ac:dyDescent="0.25">
      <c r="A1909" s="4" t="s">
        <v>1901</v>
      </c>
    </row>
    <row r="1910" spans="1:1" ht="12.5" x14ac:dyDescent="0.25">
      <c r="A1910" s="4" t="s">
        <v>1901</v>
      </c>
    </row>
    <row r="1911" spans="1:1" ht="12.5" x14ac:dyDescent="0.25">
      <c r="A1911" s="4" t="s">
        <v>1902</v>
      </c>
    </row>
    <row r="1912" spans="1:1" ht="12.5" x14ac:dyDescent="0.25">
      <c r="A1912" s="4" t="s">
        <v>1902</v>
      </c>
    </row>
    <row r="1913" spans="1:1" ht="12.5" x14ac:dyDescent="0.25">
      <c r="A1913" s="4" t="s">
        <v>1902</v>
      </c>
    </row>
    <row r="1914" spans="1:1" ht="12.5" x14ac:dyDescent="0.25">
      <c r="A1914" s="4" t="s">
        <v>1903</v>
      </c>
    </row>
    <row r="1915" spans="1:1" ht="12.5" x14ac:dyDescent="0.25">
      <c r="A1915" s="4" t="s">
        <v>1903</v>
      </c>
    </row>
    <row r="1916" spans="1:1" ht="12.5" x14ac:dyDescent="0.25">
      <c r="A1916" s="4" t="s">
        <v>1904</v>
      </c>
    </row>
    <row r="1917" spans="1:1" ht="12.5" x14ac:dyDescent="0.25">
      <c r="A1917" s="4" t="s">
        <v>1904</v>
      </c>
    </row>
    <row r="1918" spans="1:1" ht="12.5" x14ac:dyDescent="0.25">
      <c r="A1918" s="4" t="s">
        <v>1904</v>
      </c>
    </row>
    <row r="1919" spans="1:1" ht="12.5" x14ac:dyDescent="0.25">
      <c r="A1919" s="4" t="s">
        <v>1904</v>
      </c>
    </row>
    <row r="1920" spans="1:1" ht="12.5" x14ac:dyDescent="0.25">
      <c r="A1920" s="4" t="s">
        <v>1904</v>
      </c>
    </row>
    <row r="1921" spans="1:1" ht="12.5" x14ac:dyDescent="0.25">
      <c r="A1921" s="4" t="s">
        <v>1904</v>
      </c>
    </row>
    <row r="1922" spans="1:1" ht="12.5" x14ac:dyDescent="0.25">
      <c r="A1922" s="4" t="s">
        <v>1904</v>
      </c>
    </row>
    <row r="1923" spans="1:1" ht="12.5" x14ac:dyDescent="0.25">
      <c r="A1923" s="4" t="s">
        <v>1905</v>
      </c>
    </row>
    <row r="1924" spans="1:1" ht="12.5" x14ac:dyDescent="0.25">
      <c r="A1924" s="4" t="s">
        <v>1905</v>
      </c>
    </row>
    <row r="1925" spans="1:1" ht="12.5" x14ac:dyDescent="0.25">
      <c r="A1925" s="4" t="s">
        <v>1905</v>
      </c>
    </row>
    <row r="1926" spans="1:1" ht="12.5" x14ac:dyDescent="0.25">
      <c r="A1926" s="4" t="s">
        <v>1905</v>
      </c>
    </row>
    <row r="1927" spans="1:1" ht="12.5" x14ac:dyDescent="0.25">
      <c r="A1927" s="4" t="s">
        <v>1906</v>
      </c>
    </row>
    <row r="1928" spans="1:1" ht="12.5" x14ac:dyDescent="0.25">
      <c r="A1928" s="4" t="s">
        <v>1906</v>
      </c>
    </row>
    <row r="1929" spans="1:1" ht="12.5" x14ac:dyDescent="0.25">
      <c r="A1929" s="4" t="s">
        <v>1906</v>
      </c>
    </row>
    <row r="1930" spans="1:1" ht="12.5" x14ac:dyDescent="0.25">
      <c r="A1930" s="4" t="s">
        <v>1906</v>
      </c>
    </row>
    <row r="1931" spans="1:1" ht="12.5" x14ac:dyDescent="0.25">
      <c r="A1931" s="4" t="s">
        <v>1907</v>
      </c>
    </row>
    <row r="1932" spans="1:1" ht="12.5" x14ac:dyDescent="0.25">
      <c r="A1932" s="4" t="s">
        <v>1907</v>
      </c>
    </row>
    <row r="1933" spans="1:1" ht="12.5" x14ac:dyDescent="0.25">
      <c r="A1933" s="4" t="s">
        <v>1907</v>
      </c>
    </row>
    <row r="1934" spans="1:1" ht="12.5" x14ac:dyDescent="0.25">
      <c r="A1934" s="4" t="s">
        <v>1907</v>
      </c>
    </row>
    <row r="1935" spans="1:1" ht="12.5" x14ac:dyDescent="0.25">
      <c r="A1935" s="4" t="s">
        <v>1907</v>
      </c>
    </row>
    <row r="1936" spans="1:1" ht="12.5" x14ac:dyDescent="0.25">
      <c r="A1936" s="4" t="s">
        <v>1908</v>
      </c>
    </row>
    <row r="1937" spans="1:1" ht="12.5" x14ac:dyDescent="0.25">
      <c r="A1937" s="4" t="s">
        <v>1908</v>
      </c>
    </row>
    <row r="1938" spans="1:1" ht="12.5" x14ac:dyDescent="0.25">
      <c r="A1938" s="4" t="s">
        <v>1908</v>
      </c>
    </row>
    <row r="1939" spans="1:1" ht="12.5" x14ac:dyDescent="0.25">
      <c r="A1939" s="4" t="s">
        <v>1909</v>
      </c>
    </row>
    <row r="1940" spans="1:1" ht="12.5" x14ac:dyDescent="0.25">
      <c r="A1940" s="4" t="s">
        <v>1910</v>
      </c>
    </row>
    <row r="1941" spans="1:1" ht="12.5" x14ac:dyDescent="0.25">
      <c r="A1941" s="4" t="s">
        <v>1910</v>
      </c>
    </row>
    <row r="1942" spans="1:1" ht="12.5" x14ac:dyDescent="0.25">
      <c r="A1942" s="4" t="s">
        <v>1911</v>
      </c>
    </row>
    <row r="1943" spans="1:1" ht="12.5" x14ac:dyDescent="0.25">
      <c r="A1943" s="4" t="s">
        <v>1911</v>
      </c>
    </row>
    <row r="1944" spans="1:1" ht="12.5" x14ac:dyDescent="0.25">
      <c r="A1944" s="4" t="s">
        <v>1911</v>
      </c>
    </row>
    <row r="1945" spans="1:1" ht="12.5" x14ac:dyDescent="0.25">
      <c r="A1945" s="4" t="s">
        <v>1911</v>
      </c>
    </row>
    <row r="1946" spans="1:1" ht="12.5" x14ac:dyDescent="0.25">
      <c r="A1946" s="4" t="s">
        <v>1912</v>
      </c>
    </row>
    <row r="1947" spans="1:1" ht="12.5" x14ac:dyDescent="0.25">
      <c r="A1947" s="4" t="s">
        <v>1913</v>
      </c>
    </row>
    <row r="1948" spans="1:1" ht="12.5" x14ac:dyDescent="0.25">
      <c r="A1948" s="4" t="s">
        <v>1913</v>
      </c>
    </row>
    <row r="1949" spans="1:1" ht="12.5" x14ac:dyDescent="0.25">
      <c r="A1949" s="4" t="s">
        <v>1914</v>
      </c>
    </row>
    <row r="1950" spans="1:1" ht="12.5" x14ac:dyDescent="0.25">
      <c r="A1950" s="4" t="s">
        <v>1914</v>
      </c>
    </row>
    <row r="1951" spans="1:1" ht="12.5" x14ac:dyDescent="0.25">
      <c r="A1951" s="4" t="s">
        <v>1914</v>
      </c>
    </row>
    <row r="1952" spans="1:1" ht="12.5" x14ac:dyDescent="0.25">
      <c r="A1952" s="4" t="s">
        <v>1914</v>
      </c>
    </row>
    <row r="1953" spans="1:1" ht="12.5" x14ac:dyDescent="0.25">
      <c r="A1953" s="4" t="s">
        <v>1914</v>
      </c>
    </row>
    <row r="1954" spans="1:1" ht="12.5" x14ac:dyDescent="0.25">
      <c r="A1954" s="4" t="s">
        <v>1914</v>
      </c>
    </row>
    <row r="1955" spans="1:1" ht="12.5" x14ac:dyDescent="0.25">
      <c r="A1955" s="4" t="s">
        <v>1914</v>
      </c>
    </row>
    <row r="1956" spans="1:1" ht="12.5" x14ac:dyDescent="0.25">
      <c r="A1956" s="4" t="s">
        <v>1914</v>
      </c>
    </row>
    <row r="1957" spans="1:1" ht="12.5" x14ac:dyDescent="0.25">
      <c r="A1957" s="4" t="s">
        <v>1914</v>
      </c>
    </row>
    <row r="1958" spans="1:1" ht="12.5" x14ac:dyDescent="0.25">
      <c r="A1958" s="4" t="s">
        <v>1915</v>
      </c>
    </row>
    <row r="1959" spans="1:1" ht="12.5" x14ac:dyDescent="0.25">
      <c r="A1959" s="4" t="s">
        <v>1915</v>
      </c>
    </row>
    <row r="1960" spans="1:1" ht="12.5" x14ac:dyDescent="0.25">
      <c r="A1960" s="4" t="s">
        <v>1915</v>
      </c>
    </row>
    <row r="1961" spans="1:1" ht="12.5" x14ac:dyDescent="0.25">
      <c r="A1961" s="4" t="s">
        <v>1915</v>
      </c>
    </row>
    <row r="1962" spans="1:1" ht="12.5" x14ac:dyDescent="0.25">
      <c r="A1962" s="4" t="s">
        <v>1915</v>
      </c>
    </row>
    <row r="1963" spans="1:1" ht="12.5" x14ac:dyDescent="0.25">
      <c r="A1963" s="4" t="s">
        <v>1915</v>
      </c>
    </row>
    <row r="1964" spans="1:1" ht="12.5" x14ac:dyDescent="0.25">
      <c r="A1964" s="4" t="s">
        <v>1916</v>
      </c>
    </row>
    <row r="1965" spans="1:1" ht="12.5" x14ac:dyDescent="0.25">
      <c r="A1965" s="4" t="s">
        <v>1916</v>
      </c>
    </row>
    <row r="1966" spans="1:1" ht="12.5" x14ac:dyDescent="0.25">
      <c r="A1966" s="4" t="s">
        <v>1916</v>
      </c>
    </row>
    <row r="1967" spans="1:1" ht="12.5" x14ac:dyDescent="0.25">
      <c r="A1967" s="4" t="s">
        <v>1916</v>
      </c>
    </row>
    <row r="1968" spans="1:1" ht="12.5" x14ac:dyDescent="0.25">
      <c r="A1968" s="4" t="s">
        <v>1917</v>
      </c>
    </row>
    <row r="1969" spans="1:1" ht="12.5" x14ac:dyDescent="0.25">
      <c r="A1969" s="4" t="s">
        <v>1917</v>
      </c>
    </row>
    <row r="1970" spans="1:1" ht="12.5" x14ac:dyDescent="0.25">
      <c r="A1970" s="4" t="s">
        <v>1917</v>
      </c>
    </row>
    <row r="1971" spans="1:1" ht="12.5" x14ac:dyDescent="0.25">
      <c r="A1971" s="4" t="s">
        <v>1917</v>
      </c>
    </row>
    <row r="1972" spans="1:1" ht="12.5" x14ac:dyDescent="0.25">
      <c r="A1972" s="4" t="s">
        <v>1917</v>
      </c>
    </row>
    <row r="1973" spans="1:1" ht="12.5" x14ac:dyDescent="0.25">
      <c r="A1973" s="4" t="s">
        <v>1917</v>
      </c>
    </row>
    <row r="1974" spans="1:1" ht="12.5" x14ac:dyDescent="0.25">
      <c r="A1974" s="4" t="s">
        <v>1917</v>
      </c>
    </row>
    <row r="1975" spans="1:1" ht="12.5" x14ac:dyDescent="0.25">
      <c r="A1975" s="4" t="s">
        <v>1917</v>
      </c>
    </row>
    <row r="1976" spans="1:1" ht="12.5" x14ac:dyDescent="0.25">
      <c r="A1976" s="4" t="s">
        <v>1918</v>
      </c>
    </row>
    <row r="1977" spans="1:1" ht="12.5" x14ac:dyDescent="0.25">
      <c r="A1977" s="4" t="s">
        <v>1918</v>
      </c>
    </row>
    <row r="1978" spans="1:1" ht="12.5" x14ac:dyDescent="0.25">
      <c r="A1978" s="4" t="s">
        <v>1918</v>
      </c>
    </row>
    <row r="1979" spans="1:1" ht="12.5" x14ac:dyDescent="0.25">
      <c r="A1979" s="4" t="s">
        <v>1918</v>
      </c>
    </row>
    <row r="1980" spans="1:1" ht="12.5" x14ac:dyDescent="0.25">
      <c r="A1980" s="4" t="s">
        <v>1918</v>
      </c>
    </row>
    <row r="1981" spans="1:1" ht="12.5" x14ac:dyDescent="0.25">
      <c r="A1981" s="4" t="s">
        <v>1918</v>
      </c>
    </row>
    <row r="1982" spans="1:1" ht="12.5" x14ac:dyDescent="0.25">
      <c r="A1982" s="4" t="s">
        <v>1918</v>
      </c>
    </row>
    <row r="1983" spans="1:1" ht="12.5" x14ac:dyDescent="0.25">
      <c r="A1983" s="4" t="s">
        <v>1918</v>
      </c>
    </row>
    <row r="1984" spans="1:1" ht="12.5" x14ac:dyDescent="0.25">
      <c r="A1984" s="4" t="s">
        <v>1918</v>
      </c>
    </row>
    <row r="1985" spans="1:1" ht="12.5" x14ac:dyDescent="0.25">
      <c r="A1985" s="4" t="s">
        <v>1919</v>
      </c>
    </row>
    <row r="1986" spans="1:1" ht="12.5" x14ac:dyDescent="0.25">
      <c r="A1986" s="4" t="s">
        <v>1919</v>
      </c>
    </row>
    <row r="1987" spans="1:1" ht="12.5" x14ac:dyDescent="0.25">
      <c r="A1987" s="4" t="s">
        <v>1920</v>
      </c>
    </row>
    <row r="1988" spans="1:1" ht="12.5" x14ac:dyDescent="0.25">
      <c r="A1988" s="4" t="s">
        <v>1920</v>
      </c>
    </row>
    <row r="1989" spans="1:1" ht="12.5" x14ac:dyDescent="0.25">
      <c r="A1989" s="4" t="s">
        <v>1920</v>
      </c>
    </row>
    <row r="1990" spans="1:1" ht="12.5" x14ac:dyDescent="0.25">
      <c r="A1990" s="4" t="s">
        <v>1921</v>
      </c>
    </row>
    <row r="1991" spans="1:1" ht="12.5" x14ac:dyDescent="0.25">
      <c r="A1991" s="4" t="s">
        <v>1921</v>
      </c>
    </row>
    <row r="1992" spans="1:1" ht="12.5" x14ac:dyDescent="0.25">
      <c r="A1992" s="4" t="s">
        <v>1921</v>
      </c>
    </row>
    <row r="1993" spans="1:1" ht="12.5" x14ac:dyDescent="0.25">
      <c r="A1993" s="4" t="s">
        <v>1922</v>
      </c>
    </row>
    <row r="1994" spans="1:1" ht="12.5" x14ac:dyDescent="0.25">
      <c r="A1994" s="4" t="s">
        <v>1922</v>
      </c>
    </row>
    <row r="1995" spans="1:1" ht="12.5" x14ac:dyDescent="0.25">
      <c r="A1995" s="4" t="s">
        <v>1923</v>
      </c>
    </row>
    <row r="1996" spans="1:1" ht="12.5" x14ac:dyDescent="0.25">
      <c r="A1996" s="4" t="s">
        <v>1923</v>
      </c>
    </row>
    <row r="1997" spans="1:1" ht="12.5" x14ac:dyDescent="0.25">
      <c r="A1997" s="4" t="s">
        <v>1923</v>
      </c>
    </row>
    <row r="1998" spans="1:1" ht="12.5" x14ac:dyDescent="0.25">
      <c r="A1998" s="4" t="s">
        <v>1923</v>
      </c>
    </row>
    <row r="1999" spans="1:1" ht="12.5" x14ac:dyDescent="0.25">
      <c r="A1999" s="4" t="s">
        <v>1924</v>
      </c>
    </row>
    <row r="2000" spans="1:1" ht="12.5" x14ac:dyDescent="0.25">
      <c r="A2000" s="4" t="s">
        <v>1924</v>
      </c>
    </row>
    <row r="2001" spans="1:1" ht="12.5" x14ac:dyDescent="0.25">
      <c r="A2001" s="4" t="s">
        <v>1924</v>
      </c>
    </row>
    <row r="2002" spans="1:1" ht="12.5" x14ac:dyDescent="0.25">
      <c r="A2002" s="4" t="s">
        <v>1924</v>
      </c>
    </row>
    <row r="2003" spans="1:1" ht="12.5" x14ac:dyDescent="0.25">
      <c r="A2003" s="4" t="s">
        <v>1925</v>
      </c>
    </row>
    <row r="2004" spans="1:1" ht="12.5" x14ac:dyDescent="0.25">
      <c r="A2004" s="4" t="s">
        <v>1925</v>
      </c>
    </row>
    <row r="2005" spans="1:1" ht="12.5" x14ac:dyDescent="0.25">
      <c r="A2005" s="4" t="s">
        <v>1925</v>
      </c>
    </row>
    <row r="2006" spans="1:1" ht="12.5" x14ac:dyDescent="0.25">
      <c r="A2006" s="4" t="s">
        <v>1926</v>
      </c>
    </row>
    <row r="2007" spans="1:1" ht="12.5" x14ac:dyDescent="0.25">
      <c r="A2007" s="4" t="s">
        <v>1926</v>
      </c>
    </row>
    <row r="2008" spans="1:1" ht="12.5" x14ac:dyDescent="0.25">
      <c r="A2008" s="4" t="s">
        <v>1926</v>
      </c>
    </row>
    <row r="2009" spans="1:1" ht="12.5" x14ac:dyDescent="0.25">
      <c r="A2009" s="4" t="s">
        <v>1927</v>
      </c>
    </row>
    <row r="2010" spans="1:1" ht="12.5" x14ac:dyDescent="0.25">
      <c r="A2010" s="4" t="s">
        <v>1927</v>
      </c>
    </row>
    <row r="2011" spans="1:1" ht="12.5" x14ac:dyDescent="0.25">
      <c r="A2011" s="4" t="s">
        <v>1927</v>
      </c>
    </row>
    <row r="2012" spans="1:1" ht="12.5" x14ac:dyDescent="0.25">
      <c r="A2012" s="4" t="s">
        <v>1928</v>
      </c>
    </row>
    <row r="2013" spans="1:1" ht="12.5" x14ac:dyDescent="0.25">
      <c r="A2013" s="4" t="s">
        <v>1928</v>
      </c>
    </row>
    <row r="2014" spans="1:1" ht="12.5" x14ac:dyDescent="0.25">
      <c r="A2014" s="4" t="s">
        <v>1928</v>
      </c>
    </row>
    <row r="2015" spans="1:1" ht="12.5" x14ac:dyDescent="0.25">
      <c r="A2015" s="4" t="s">
        <v>1929</v>
      </c>
    </row>
    <row r="2016" spans="1:1" ht="12.5" x14ac:dyDescent="0.25">
      <c r="A2016" s="4" t="s">
        <v>1929</v>
      </c>
    </row>
    <row r="2017" spans="1:1" ht="12.5" x14ac:dyDescent="0.25">
      <c r="A2017" s="4" t="s">
        <v>1929</v>
      </c>
    </row>
    <row r="2018" spans="1:1" ht="12.5" x14ac:dyDescent="0.25">
      <c r="A2018" s="4" t="s">
        <v>1930</v>
      </c>
    </row>
    <row r="2019" spans="1:1" ht="12.5" x14ac:dyDescent="0.25">
      <c r="A2019" s="4" t="s">
        <v>1930</v>
      </c>
    </row>
    <row r="2020" spans="1:1" ht="12.5" x14ac:dyDescent="0.25">
      <c r="A2020" s="4" t="s">
        <v>1931</v>
      </c>
    </row>
    <row r="2021" spans="1:1" ht="12.5" x14ac:dyDescent="0.25">
      <c r="A2021" s="4" t="s">
        <v>1931</v>
      </c>
    </row>
    <row r="2022" spans="1:1" ht="12.5" x14ac:dyDescent="0.25">
      <c r="A2022" s="4" t="s">
        <v>1931</v>
      </c>
    </row>
    <row r="2023" spans="1:1" ht="12.5" x14ac:dyDescent="0.25">
      <c r="A2023" s="4" t="s">
        <v>1931</v>
      </c>
    </row>
    <row r="2024" spans="1:1" ht="12.5" x14ac:dyDescent="0.25">
      <c r="A2024" s="4" t="s">
        <v>1931</v>
      </c>
    </row>
    <row r="2025" spans="1:1" ht="12.5" x14ac:dyDescent="0.25">
      <c r="A2025" s="4" t="s">
        <v>1932</v>
      </c>
    </row>
    <row r="2026" spans="1:1" ht="12.5" x14ac:dyDescent="0.25">
      <c r="A2026" s="4" t="s">
        <v>1932</v>
      </c>
    </row>
    <row r="2027" spans="1:1" ht="12.5" x14ac:dyDescent="0.25">
      <c r="A2027" s="4" t="s">
        <v>1932</v>
      </c>
    </row>
    <row r="2028" spans="1:1" ht="12.5" x14ac:dyDescent="0.25">
      <c r="A2028" s="4" t="s">
        <v>1932</v>
      </c>
    </row>
    <row r="2029" spans="1:1" ht="12.5" x14ac:dyDescent="0.25">
      <c r="A2029" s="4" t="s">
        <v>1932</v>
      </c>
    </row>
    <row r="2030" spans="1:1" ht="12.5" x14ac:dyDescent="0.25">
      <c r="A2030" s="4" t="s">
        <v>1932</v>
      </c>
    </row>
    <row r="2031" spans="1:1" ht="12.5" x14ac:dyDescent="0.25">
      <c r="A2031" s="4" t="s">
        <v>1932</v>
      </c>
    </row>
    <row r="2032" spans="1:1" ht="12.5" x14ac:dyDescent="0.25">
      <c r="A2032" s="4" t="s">
        <v>1933</v>
      </c>
    </row>
    <row r="2033" spans="1:1" ht="12.5" x14ac:dyDescent="0.25">
      <c r="A2033" s="4" t="s">
        <v>1933</v>
      </c>
    </row>
    <row r="2034" spans="1:1" ht="12.5" x14ac:dyDescent="0.25">
      <c r="A2034" s="4" t="s">
        <v>1933</v>
      </c>
    </row>
    <row r="2035" spans="1:1" ht="12.5" x14ac:dyDescent="0.25">
      <c r="A2035" s="4" t="s">
        <v>1933</v>
      </c>
    </row>
    <row r="2036" spans="1:1" ht="12.5" x14ac:dyDescent="0.25">
      <c r="A2036" s="4" t="s">
        <v>1933</v>
      </c>
    </row>
    <row r="2037" spans="1:1" ht="12.5" x14ac:dyDescent="0.25">
      <c r="A2037" s="4" t="s">
        <v>1933</v>
      </c>
    </row>
    <row r="2038" spans="1:1" ht="12.5" x14ac:dyDescent="0.25">
      <c r="A2038" s="4" t="s">
        <v>1933</v>
      </c>
    </row>
    <row r="2039" spans="1:1" ht="12.5" x14ac:dyDescent="0.25">
      <c r="A2039" s="4" t="s">
        <v>1933</v>
      </c>
    </row>
    <row r="2040" spans="1:1" ht="12.5" x14ac:dyDescent="0.25">
      <c r="A2040" s="4" t="s">
        <v>1933</v>
      </c>
    </row>
    <row r="2041" spans="1:1" ht="12.5" x14ac:dyDescent="0.25">
      <c r="A2041" s="4" t="s">
        <v>1934</v>
      </c>
    </row>
    <row r="2042" spans="1:1" ht="12.5" x14ac:dyDescent="0.25">
      <c r="A2042" s="4" t="s">
        <v>1934</v>
      </c>
    </row>
    <row r="2043" spans="1:1" ht="12.5" x14ac:dyDescent="0.25">
      <c r="A2043" s="4" t="s">
        <v>1934</v>
      </c>
    </row>
    <row r="2044" spans="1:1" ht="12.5" x14ac:dyDescent="0.25">
      <c r="A2044" s="4" t="s">
        <v>1934</v>
      </c>
    </row>
    <row r="2045" spans="1:1" ht="12.5" x14ac:dyDescent="0.25">
      <c r="A2045" s="4" t="s">
        <v>1934</v>
      </c>
    </row>
    <row r="2046" spans="1:1" ht="12.5" x14ac:dyDescent="0.25">
      <c r="A2046" s="4" t="s">
        <v>1934</v>
      </c>
    </row>
    <row r="2047" spans="1:1" ht="12.5" x14ac:dyDescent="0.25">
      <c r="A2047" s="4" t="s">
        <v>1935</v>
      </c>
    </row>
    <row r="2048" spans="1:1" ht="12.5" x14ac:dyDescent="0.25">
      <c r="A2048" s="4" t="s">
        <v>1936</v>
      </c>
    </row>
    <row r="2049" spans="1:1" ht="12.5" x14ac:dyDescent="0.25">
      <c r="A2049" s="4" t="s">
        <v>1937</v>
      </c>
    </row>
    <row r="2050" spans="1:1" ht="12.5" x14ac:dyDescent="0.25">
      <c r="A2050" s="4" t="s">
        <v>1937</v>
      </c>
    </row>
    <row r="2051" spans="1:1" ht="12.5" x14ac:dyDescent="0.25">
      <c r="A2051" s="4" t="s">
        <v>1937</v>
      </c>
    </row>
    <row r="2052" spans="1:1" ht="12.5" x14ac:dyDescent="0.25">
      <c r="A2052" s="4" t="s">
        <v>1937</v>
      </c>
    </row>
    <row r="2053" spans="1:1" ht="12.5" x14ac:dyDescent="0.25">
      <c r="A2053" s="4" t="s">
        <v>1937</v>
      </c>
    </row>
    <row r="2054" spans="1:1" ht="12.5" x14ac:dyDescent="0.25">
      <c r="A2054" s="4" t="s">
        <v>1937</v>
      </c>
    </row>
    <row r="2055" spans="1:1" ht="12.5" x14ac:dyDescent="0.25">
      <c r="A2055" s="4" t="s">
        <v>1938</v>
      </c>
    </row>
    <row r="2056" spans="1:1" ht="12.5" x14ac:dyDescent="0.25">
      <c r="A2056" s="4" t="s">
        <v>1938</v>
      </c>
    </row>
    <row r="2057" spans="1:1" ht="12.5" x14ac:dyDescent="0.25">
      <c r="A2057" s="4" t="s">
        <v>1938</v>
      </c>
    </row>
    <row r="2058" spans="1:1" ht="12.5" x14ac:dyDescent="0.25">
      <c r="A2058" s="4" t="s">
        <v>1938</v>
      </c>
    </row>
    <row r="2059" spans="1:1" ht="12.5" x14ac:dyDescent="0.25">
      <c r="A2059" s="4" t="s">
        <v>1938</v>
      </c>
    </row>
    <row r="2060" spans="1:1" ht="12.5" x14ac:dyDescent="0.25">
      <c r="A2060" s="4" t="s">
        <v>1938</v>
      </c>
    </row>
    <row r="2061" spans="1:1" ht="12.5" x14ac:dyDescent="0.25">
      <c r="A2061" s="4" t="s">
        <v>1939</v>
      </c>
    </row>
    <row r="2062" spans="1:1" ht="12.5" x14ac:dyDescent="0.25">
      <c r="A2062" s="4" t="s">
        <v>1939</v>
      </c>
    </row>
    <row r="2063" spans="1:1" ht="12.5" x14ac:dyDescent="0.25">
      <c r="A2063" s="4" t="s">
        <v>1939</v>
      </c>
    </row>
    <row r="2064" spans="1:1" ht="12.5" x14ac:dyDescent="0.25">
      <c r="A2064" s="4" t="s">
        <v>1939</v>
      </c>
    </row>
    <row r="2065" spans="1:1" ht="12.5" x14ac:dyDescent="0.25">
      <c r="A2065" s="4" t="s">
        <v>1939</v>
      </c>
    </row>
    <row r="2066" spans="1:1" ht="12.5" x14ac:dyDescent="0.25">
      <c r="A2066" s="4" t="s">
        <v>1939</v>
      </c>
    </row>
    <row r="2067" spans="1:1" ht="12.5" x14ac:dyDescent="0.25">
      <c r="A2067" s="4" t="s">
        <v>1940</v>
      </c>
    </row>
    <row r="2068" spans="1:1" ht="12.5" x14ac:dyDescent="0.25">
      <c r="A2068" s="4" t="s">
        <v>1940</v>
      </c>
    </row>
    <row r="2069" spans="1:1" ht="12.5" x14ac:dyDescent="0.25">
      <c r="A2069" s="4" t="s">
        <v>1940</v>
      </c>
    </row>
    <row r="2070" spans="1:1" ht="12.5" x14ac:dyDescent="0.25">
      <c r="A2070" s="4" t="s">
        <v>1940</v>
      </c>
    </row>
    <row r="2071" spans="1:1" ht="12.5" x14ac:dyDescent="0.25">
      <c r="A2071" s="4" t="s">
        <v>1940</v>
      </c>
    </row>
    <row r="2072" spans="1:1" ht="12.5" x14ac:dyDescent="0.25">
      <c r="A2072" s="4" t="s">
        <v>1940</v>
      </c>
    </row>
    <row r="2073" spans="1:1" ht="12.5" x14ac:dyDescent="0.25">
      <c r="A2073" s="4" t="s">
        <v>1941</v>
      </c>
    </row>
    <row r="2074" spans="1:1" ht="12.5" x14ac:dyDescent="0.25">
      <c r="A2074" s="4" t="s">
        <v>1941</v>
      </c>
    </row>
    <row r="2075" spans="1:1" ht="12.5" x14ac:dyDescent="0.25">
      <c r="A2075" s="4" t="s">
        <v>1942</v>
      </c>
    </row>
    <row r="2076" spans="1:1" ht="12.5" x14ac:dyDescent="0.25">
      <c r="A2076" s="4" t="s">
        <v>1942</v>
      </c>
    </row>
    <row r="2077" spans="1:1" ht="12.5" x14ac:dyDescent="0.25">
      <c r="A2077" s="4" t="s">
        <v>1942</v>
      </c>
    </row>
    <row r="2078" spans="1:1" ht="12.5" x14ac:dyDescent="0.25">
      <c r="A2078" s="4" t="s">
        <v>1942</v>
      </c>
    </row>
    <row r="2079" spans="1:1" ht="12.5" x14ac:dyDescent="0.25">
      <c r="A2079" s="4" t="s">
        <v>1942</v>
      </c>
    </row>
    <row r="2080" spans="1:1" ht="12.5" x14ac:dyDescent="0.25">
      <c r="A2080" s="4" t="s">
        <v>1942</v>
      </c>
    </row>
    <row r="2081" spans="1:1" ht="12.5" x14ac:dyDescent="0.25">
      <c r="A2081" s="4" t="s">
        <v>1943</v>
      </c>
    </row>
    <row r="2082" spans="1:1" ht="12.5" x14ac:dyDescent="0.25">
      <c r="A2082" s="4" t="s">
        <v>1943</v>
      </c>
    </row>
    <row r="2083" spans="1:1" ht="12.5" x14ac:dyDescent="0.25">
      <c r="A2083" s="4" t="s">
        <v>1943</v>
      </c>
    </row>
    <row r="2084" spans="1:1" ht="12.5" x14ac:dyDescent="0.25">
      <c r="A2084" s="4" t="s">
        <v>1944</v>
      </c>
    </row>
    <row r="2085" spans="1:1" ht="12.5" x14ac:dyDescent="0.25">
      <c r="A2085" s="4" t="s">
        <v>1944</v>
      </c>
    </row>
    <row r="2086" spans="1:1" ht="12.5" x14ac:dyDescent="0.25">
      <c r="A2086" s="4" t="s">
        <v>1944</v>
      </c>
    </row>
    <row r="2087" spans="1:1" ht="12.5" x14ac:dyDescent="0.25">
      <c r="A2087" s="4" t="s">
        <v>1944</v>
      </c>
    </row>
    <row r="2088" spans="1:1" ht="12.5" x14ac:dyDescent="0.25">
      <c r="A2088" s="4" t="s">
        <v>1945</v>
      </c>
    </row>
    <row r="2089" spans="1:1" ht="12.5" x14ac:dyDescent="0.25">
      <c r="A2089" s="4" t="s">
        <v>1945</v>
      </c>
    </row>
    <row r="2090" spans="1:1" ht="12.5" x14ac:dyDescent="0.25">
      <c r="A2090" s="4" t="s">
        <v>1945</v>
      </c>
    </row>
    <row r="2091" spans="1:1" ht="12.5" x14ac:dyDescent="0.25">
      <c r="A2091" s="4" t="s">
        <v>1945</v>
      </c>
    </row>
    <row r="2092" spans="1:1" ht="12.5" x14ac:dyDescent="0.25">
      <c r="A2092" s="4" t="s">
        <v>1945</v>
      </c>
    </row>
    <row r="2093" spans="1:1" ht="12.5" x14ac:dyDescent="0.25">
      <c r="A2093" s="4" t="s">
        <v>1946</v>
      </c>
    </row>
    <row r="2094" spans="1:1" ht="12.5" x14ac:dyDescent="0.25">
      <c r="A2094" s="4" t="s">
        <v>1946</v>
      </c>
    </row>
    <row r="2095" spans="1:1" ht="12.5" x14ac:dyDescent="0.25">
      <c r="A2095" s="4" t="s">
        <v>1946</v>
      </c>
    </row>
    <row r="2096" spans="1:1" ht="12.5" x14ac:dyDescent="0.25">
      <c r="A2096" s="4" t="s">
        <v>1947</v>
      </c>
    </row>
    <row r="2097" spans="1:1" ht="12.5" x14ac:dyDescent="0.25">
      <c r="A2097" s="4" t="s">
        <v>1947</v>
      </c>
    </row>
    <row r="2098" spans="1:1" ht="12.5" x14ac:dyDescent="0.25">
      <c r="A2098" s="4" t="s">
        <v>1948</v>
      </c>
    </row>
    <row r="2099" spans="1:1" ht="12.5" x14ac:dyDescent="0.25">
      <c r="A2099" s="4" t="s">
        <v>1948</v>
      </c>
    </row>
    <row r="2100" spans="1:1" ht="12.5" x14ac:dyDescent="0.25">
      <c r="A2100" s="4" t="s">
        <v>1949</v>
      </c>
    </row>
    <row r="2101" spans="1:1" ht="12.5" x14ac:dyDescent="0.25">
      <c r="A2101" s="4" t="s">
        <v>1949</v>
      </c>
    </row>
    <row r="2102" spans="1:1" ht="12.5" x14ac:dyDescent="0.25">
      <c r="A2102" s="4" t="s">
        <v>1949</v>
      </c>
    </row>
    <row r="2103" spans="1:1" ht="12.5" x14ac:dyDescent="0.25">
      <c r="A2103" s="4" t="s">
        <v>1949</v>
      </c>
    </row>
    <row r="2104" spans="1:1" ht="12.5" x14ac:dyDescent="0.25">
      <c r="A2104" s="4" t="s">
        <v>1949</v>
      </c>
    </row>
    <row r="2105" spans="1:1" ht="12.5" x14ac:dyDescent="0.25">
      <c r="A2105" s="4" t="s">
        <v>1949</v>
      </c>
    </row>
    <row r="2106" spans="1:1" ht="12.5" x14ac:dyDescent="0.25">
      <c r="A2106" s="4" t="s">
        <v>1950</v>
      </c>
    </row>
    <row r="2107" spans="1:1" ht="12.5" x14ac:dyDescent="0.25">
      <c r="A2107" s="4" t="s">
        <v>1950</v>
      </c>
    </row>
    <row r="2108" spans="1:1" ht="12.5" x14ac:dyDescent="0.25">
      <c r="A2108" s="4" t="s">
        <v>1950</v>
      </c>
    </row>
    <row r="2109" spans="1:1" ht="12.5" x14ac:dyDescent="0.25">
      <c r="A2109" s="4" t="s">
        <v>1950</v>
      </c>
    </row>
    <row r="2110" spans="1:1" ht="12.5" x14ac:dyDescent="0.25">
      <c r="A2110" s="4" t="s">
        <v>1951</v>
      </c>
    </row>
    <row r="2111" spans="1:1" ht="12.5" x14ac:dyDescent="0.25">
      <c r="A2111" s="4" t="s">
        <v>1952</v>
      </c>
    </row>
    <row r="2112" spans="1:1" ht="12.5" x14ac:dyDescent="0.25">
      <c r="A2112" s="4" t="s">
        <v>1952</v>
      </c>
    </row>
    <row r="2113" spans="1:1" ht="12.5" x14ac:dyDescent="0.25">
      <c r="A2113" s="4" t="s">
        <v>1952</v>
      </c>
    </row>
    <row r="2114" spans="1:1" ht="12.5" x14ac:dyDescent="0.25">
      <c r="A2114" s="4" t="s">
        <v>1952</v>
      </c>
    </row>
    <row r="2115" spans="1:1" ht="12.5" x14ac:dyDescent="0.25">
      <c r="A2115" s="4" t="s">
        <v>1953</v>
      </c>
    </row>
    <row r="2116" spans="1:1" ht="12.5" x14ac:dyDescent="0.25">
      <c r="A2116" s="4" t="s">
        <v>1954</v>
      </c>
    </row>
    <row r="2117" spans="1:1" ht="12.5" x14ac:dyDescent="0.25">
      <c r="A2117" s="4" t="s">
        <v>1954</v>
      </c>
    </row>
    <row r="2118" spans="1:1" ht="12.5" x14ac:dyDescent="0.25">
      <c r="A2118" s="4" t="s">
        <v>1955</v>
      </c>
    </row>
    <row r="2119" spans="1:1" ht="12.5" x14ac:dyDescent="0.25">
      <c r="A2119" s="4" t="s">
        <v>1956</v>
      </c>
    </row>
    <row r="2120" spans="1:1" ht="12.5" x14ac:dyDescent="0.25">
      <c r="A2120" s="4" t="s">
        <v>1956</v>
      </c>
    </row>
    <row r="2121" spans="1:1" ht="12.5" x14ac:dyDescent="0.25">
      <c r="A2121" s="4" t="s">
        <v>1956</v>
      </c>
    </row>
    <row r="2122" spans="1:1" ht="12.5" x14ac:dyDescent="0.25">
      <c r="A2122" s="4" t="s">
        <v>1956</v>
      </c>
    </row>
    <row r="2123" spans="1:1" ht="12.5" x14ac:dyDescent="0.25">
      <c r="A2123" s="4" t="s">
        <v>1956</v>
      </c>
    </row>
    <row r="2124" spans="1:1" ht="12.5" x14ac:dyDescent="0.25">
      <c r="A2124" s="4" t="s">
        <v>1957</v>
      </c>
    </row>
    <row r="2125" spans="1:1" ht="12.5" x14ac:dyDescent="0.25">
      <c r="A2125" s="4" t="s">
        <v>1957</v>
      </c>
    </row>
    <row r="2126" spans="1:1" ht="12.5" x14ac:dyDescent="0.25">
      <c r="A2126" s="4" t="s">
        <v>1958</v>
      </c>
    </row>
    <row r="2127" spans="1:1" ht="12.5" x14ac:dyDescent="0.25">
      <c r="A2127" s="4" t="s">
        <v>1959</v>
      </c>
    </row>
    <row r="2128" spans="1:1" ht="12.5" x14ac:dyDescent="0.25">
      <c r="A2128" s="4" t="s">
        <v>1959</v>
      </c>
    </row>
    <row r="2129" spans="1:1" ht="12.5" x14ac:dyDescent="0.25">
      <c r="A2129" s="4" t="s">
        <v>1959</v>
      </c>
    </row>
    <row r="2130" spans="1:1" ht="12.5" x14ac:dyDescent="0.25">
      <c r="A2130" s="4" t="s">
        <v>1959</v>
      </c>
    </row>
    <row r="2131" spans="1:1" ht="12.5" x14ac:dyDescent="0.25">
      <c r="A2131" s="4" t="s">
        <v>1959</v>
      </c>
    </row>
    <row r="2132" spans="1:1" ht="12.5" x14ac:dyDescent="0.25">
      <c r="A2132" s="4" t="s">
        <v>1959</v>
      </c>
    </row>
    <row r="2133" spans="1:1" ht="12.5" x14ac:dyDescent="0.25">
      <c r="A2133" s="4" t="s">
        <v>1959</v>
      </c>
    </row>
    <row r="2134" spans="1:1" ht="12.5" x14ac:dyDescent="0.25">
      <c r="A2134" s="4" t="s">
        <v>1960</v>
      </c>
    </row>
    <row r="2135" spans="1:1" ht="12.5" x14ac:dyDescent="0.25">
      <c r="A2135" s="4" t="s">
        <v>1960</v>
      </c>
    </row>
    <row r="2136" spans="1:1" ht="12.5" x14ac:dyDescent="0.25">
      <c r="A2136" s="4" t="s">
        <v>1960</v>
      </c>
    </row>
    <row r="2137" spans="1:1" ht="12.5" x14ac:dyDescent="0.25">
      <c r="A2137" s="4" t="s">
        <v>1960</v>
      </c>
    </row>
    <row r="2138" spans="1:1" ht="12.5" x14ac:dyDescent="0.25">
      <c r="A2138" s="4" t="s">
        <v>1961</v>
      </c>
    </row>
    <row r="2139" spans="1:1" ht="12.5" x14ac:dyDescent="0.25">
      <c r="A2139" s="4" t="s">
        <v>1961</v>
      </c>
    </row>
    <row r="2140" spans="1:1" ht="12.5" x14ac:dyDescent="0.25">
      <c r="A2140" s="4" t="s">
        <v>1961</v>
      </c>
    </row>
    <row r="2141" spans="1:1" ht="12.5" x14ac:dyDescent="0.25">
      <c r="A2141" s="4" t="s">
        <v>1962</v>
      </c>
    </row>
    <row r="2142" spans="1:1" ht="12.5" x14ac:dyDescent="0.25">
      <c r="A2142" s="4" t="s">
        <v>1962</v>
      </c>
    </row>
    <row r="2143" spans="1:1" ht="12.5" x14ac:dyDescent="0.25">
      <c r="A2143" s="4" t="s">
        <v>1962</v>
      </c>
    </row>
    <row r="2144" spans="1:1" ht="12.5" x14ac:dyDescent="0.25">
      <c r="A2144" s="4" t="s">
        <v>1962</v>
      </c>
    </row>
    <row r="2145" spans="1:1" ht="12.5" x14ac:dyDescent="0.25">
      <c r="A2145" s="4" t="s">
        <v>1963</v>
      </c>
    </row>
    <row r="2146" spans="1:1" ht="12.5" x14ac:dyDescent="0.25">
      <c r="A2146" s="4" t="s">
        <v>1963</v>
      </c>
    </row>
    <row r="2147" spans="1:1" ht="12.5" x14ac:dyDescent="0.25">
      <c r="A2147" s="4" t="s">
        <v>1963</v>
      </c>
    </row>
    <row r="2148" spans="1:1" ht="12.5" x14ac:dyDescent="0.25">
      <c r="A2148" s="4" t="s">
        <v>1964</v>
      </c>
    </row>
    <row r="2149" spans="1:1" ht="12.5" x14ac:dyDescent="0.25">
      <c r="A2149" s="4" t="s">
        <v>1964</v>
      </c>
    </row>
    <row r="2150" spans="1:1" ht="12.5" x14ac:dyDescent="0.25">
      <c r="A2150" s="4" t="s">
        <v>1964</v>
      </c>
    </row>
    <row r="2151" spans="1:1" ht="12.5" x14ac:dyDescent="0.25">
      <c r="A2151" s="4" t="s">
        <v>1964</v>
      </c>
    </row>
    <row r="2152" spans="1:1" ht="12.5" x14ac:dyDescent="0.25">
      <c r="A2152" s="4" t="s">
        <v>1964</v>
      </c>
    </row>
    <row r="2153" spans="1:1" ht="12.5" x14ac:dyDescent="0.25">
      <c r="A2153" s="4" t="s">
        <v>1964</v>
      </c>
    </row>
    <row r="2154" spans="1:1" ht="12.5" x14ac:dyDescent="0.25">
      <c r="A2154" s="4" t="s">
        <v>1965</v>
      </c>
    </row>
    <row r="2155" spans="1:1" ht="12.5" x14ac:dyDescent="0.25">
      <c r="A2155" s="4" t="s">
        <v>1965</v>
      </c>
    </row>
    <row r="2156" spans="1:1" ht="12.5" x14ac:dyDescent="0.25">
      <c r="A2156" s="4" t="s">
        <v>1966</v>
      </c>
    </row>
    <row r="2157" spans="1:1" ht="12.5" x14ac:dyDescent="0.25">
      <c r="A2157" s="4" t="s">
        <v>1966</v>
      </c>
    </row>
    <row r="2158" spans="1:1" ht="12.5" x14ac:dyDescent="0.25">
      <c r="A2158" s="4" t="s">
        <v>1966</v>
      </c>
    </row>
    <row r="2159" spans="1:1" ht="12.5" x14ac:dyDescent="0.25">
      <c r="A2159" s="4" t="s">
        <v>1966</v>
      </c>
    </row>
    <row r="2160" spans="1:1" ht="12.5" x14ac:dyDescent="0.25">
      <c r="A2160" s="4" t="s">
        <v>1966</v>
      </c>
    </row>
    <row r="2161" spans="1:1" ht="12.5" x14ac:dyDescent="0.25">
      <c r="A2161" s="4" t="s">
        <v>1967</v>
      </c>
    </row>
    <row r="2162" spans="1:1" ht="12.5" x14ac:dyDescent="0.25">
      <c r="A2162" s="4" t="s">
        <v>1967</v>
      </c>
    </row>
    <row r="2163" spans="1:1" ht="12.5" x14ac:dyDescent="0.25">
      <c r="A2163" s="4" t="s">
        <v>1967</v>
      </c>
    </row>
    <row r="2164" spans="1:1" ht="12.5" x14ac:dyDescent="0.25">
      <c r="A2164" s="4" t="s">
        <v>1967</v>
      </c>
    </row>
    <row r="2165" spans="1:1" ht="12.5" x14ac:dyDescent="0.25">
      <c r="A2165" s="4" t="s">
        <v>1967</v>
      </c>
    </row>
    <row r="2166" spans="1:1" ht="12.5" x14ac:dyDescent="0.25">
      <c r="A2166" s="4" t="s">
        <v>1967</v>
      </c>
    </row>
    <row r="2167" spans="1:1" ht="12.5" x14ac:dyDescent="0.25">
      <c r="A2167" s="4" t="s">
        <v>1967</v>
      </c>
    </row>
    <row r="2168" spans="1:1" ht="12.5" x14ac:dyDescent="0.25">
      <c r="A2168" s="4" t="s">
        <v>1968</v>
      </c>
    </row>
    <row r="2169" spans="1:1" ht="12.5" x14ac:dyDescent="0.25">
      <c r="A2169" s="4" t="s">
        <v>1969</v>
      </c>
    </row>
    <row r="2170" spans="1:1" ht="12.5" x14ac:dyDescent="0.25">
      <c r="A2170" s="4" t="s">
        <v>1969</v>
      </c>
    </row>
    <row r="2171" spans="1:1" ht="12.5" x14ac:dyDescent="0.25">
      <c r="A2171" s="4" t="s">
        <v>1969</v>
      </c>
    </row>
    <row r="2172" spans="1:1" ht="12.5" x14ac:dyDescent="0.25">
      <c r="A2172" s="4" t="s">
        <v>1969</v>
      </c>
    </row>
    <row r="2173" spans="1:1" ht="12.5" x14ac:dyDescent="0.25">
      <c r="A2173" s="4" t="s">
        <v>1970</v>
      </c>
    </row>
    <row r="2174" spans="1:1" ht="12.5" x14ac:dyDescent="0.25">
      <c r="A2174" s="4" t="s">
        <v>1970</v>
      </c>
    </row>
    <row r="2175" spans="1:1" ht="12.5" x14ac:dyDescent="0.25">
      <c r="A2175" s="4" t="s">
        <v>1970</v>
      </c>
    </row>
    <row r="2176" spans="1:1" ht="12.5" x14ac:dyDescent="0.25">
      <c r="A2176" s="4" t="s">
        <v>1970</v>
      </c>
    </row>
    <row r="2177" spans="1:1" ht="12.5" x14ac:dyDescent="0.25">
      <c r="A2177" s="4" t="s">
        <v>1970</v>
      </c>
    </row>
    <row r="2178" spans="1:1" ht="12.5" x14ac:dyDescent="0.25">
      <c r="A2178" s="4" t="s">
        <v>1971</v>
      </c>
    </row>
    <row r="2179" spans="1:1" ht="12.5" x14ac:dyDescent="0.25">
      <c r="A2179" s="4" t="s">
        <v>1971</v>
      </c>
    </row>
    <row r="2180" spans="1:1" ht="12.5" x14ac:dyDescent="0.25">
      <c r="A2180" s="4" t="s">
        <v>1971</v>
      </c>
    </row>
    <row r="2181" spans="1:1" ht="12.5" x14ac:dyDescent="0.25">
      <c r="A2181" s="4" t="s">
        <v>1971</v>
      </c>
    </row>
    <row r="2182" spans="1:1" ht="12.5" x14ac:dyDescent="0.25">
      <c r="A2182" s="4" t="s">
        <v>1971</v>
      </c>
    </row>
    <row r="2183" spans="1:1" ht="12.5" x14ac:dyDescent="0.25">
      <c r="A2183" s="4" t="s">
        <v>1971</v>
      </c>
    </row>
    <row r="2184" spans="1:1" ht="12.5" x14ac:dyDescent="0.25">
      <c r="A2184" s="4" t="s">
        <v>1971</v>
      </c>
    </row>
    <row r="2185" spans="1:1" ht="12.5" x14ac:dyDescent="0.25">
      <c r="A2185" s="4" t="s">
        <v>1972</v>
      </c>
    </row>
    <row r="2186" spans="1:1" ht="12.5" x14ac:dyDescent="0.25">
      <c r="A2186" s="4" t="s">
        <v>1972</v>
      </c>
    </row>
    <row r="2187" spans="1:1" ht="12.5" x14ac:dyDescent="0.25">
      <c r="A2187" s="4" t="s">
        <v>1972</v>
      </c>
    </row>
    <row r="2188" spans="1:1" ht="12.5" x14ac:dyDescent="0.25">
      <c r="A2188" s="4" t="s">
        <v>1973</v>
      </c>
    </row>
    <row r="2189" spans="1:1" ht="12.5" x14ac:dyDescent="0.25">
      <c r="A2189" s="4" t="s">
        <v>1973</v>
      </c>
    </row>
    <row r="2190" spans="1:1" ht="12.5" x14ac:dyDescent="0.25">
      <c r="A2190" s="4" t="s">
        <v>1973</v>
      </c>
    </row>
    <row r="2191" spans="1:1" ht="12.5" x14ac:dyDescent="0.25">
      <c r="A2191" s="4" t="s">
        <v>1973</v>
      </c>
    </row>
    <row r="2192" spans="1:1" ht="12.5" x14ac:dyDescent="0.25">
      <c r="A2192" s="4" t="s">
        <v>1973</v>
      </c>
    </row>
    <row r="2193" spans="1:1" ht="12.5" x14ac:dyDescent="0.25">
      <c r="A2193" s="4" t="s">
        <v>1973</v>
      </c>
    </row>
    <row r="2194" spans="1:1" ht="12.5" x14ac:dyDescent="0.25">
      <c r="A2194" s="4" t="s">
        <v>1974</v>
      </c>
    </row>
    <row r="2195" spans="1:1" ht="12.5" x14ac:dyDescent="0.25">
      <c r="A2195" s="4" t="s">
        <v>1974</v>
      </c>
    </row>
    <row r="2196" spans="1:1" ht="12.5" x14ac:dyDescent="0.25">
      <c r="A2196" s="4" t="s">
        <v>1974</v>
      </c>
    </row>
    <row r="2197" spans="1:1" ht="12.5" x14ac:dyDescent="0.25">
      <c r="A2197" s="4" t="s">
        <v>1974</v>
      </c>
    </row>
    <row r="2198" spans="1:1" ht="12.5" x14ac:dyDescent="0.25">
      <c r="A2198" s="4" t="s">
        <v>1975</v>
      </c>
    </row>
    <row r="2199" spans="1:1" ht="12.5" x14ac:dyDescent="0.25">
      <c r="A2199" s="4" t="s">
        <v>1975</v>
      </c>
    </row>
    <row r="2200" spans="1:1" ht="12.5" x14ac:dyDescent="0.25">
      <c r="A2200" s="4" t="s">
        <v>1975</v>
      </c>
    </row>
    <row r="2201" spans="1:1" ht="12.5" x14ac:dyDescent="0.25">
      <c r="A2201" s="4" t="s">
        <v>1975</v>
      </c>
    </row>
    <row r="2202" spans="1:1" ht="12.5" x14ac:dyDescent="0.25">
      <c r="A2202" s="4" t="s">
        <v>1975</v>
      </c>
    </row>
    <row r="2203" spans="1:1" ht="12.5" x14ac:dyDescent="0.25">
      <c r="A2203" s="4" t="s">
        <v>1975</v>
      </c>
    </row>
    <row r="2204" spans="1:1" ht="12.5" x14ac:dyDescent="0.25">
      <c r="A2204" s="4" t="s">
        <v>1975</v>
      </c>
    </row>
    <row r="2205" spans="1:1" ht="12.5" x14ac:dyDescent="0.25">
      <c r="A2205" s="4" t="s">
        <v>1975</v>
      </c>
    </row>
    <row r="2206" spans="1:1" ht="12.5" x14ac:dyDescent="0.25">
      <c r="A2206" s="4" t="s">
        <v>1976</v>
      </c>
    </row>
    <row r="2207" spans="1:1" ht="12.5" x14ac:dyDescent="0.25">
      <c r="A2207" s="4" t="s">
        <v>1976</v>
      </c>
    </row>
    <row r="2208" spans="1:1" ht="12.5" x14ac:dyDescent="0.25">
      <c r="A2208" s="4" t="s">
        <v>1976</v>
      </c>
    </row>
    <row r="2209" spans="1:1" ht="12.5" x14ac:dyDescent="0.25">
      <c r="A2209" s="4" t="s">
        <v>1976</v>
      </c>
    </row>
    <row r="2210" spans="1:1" ht="12.5" x14ac:dyDescent="0.25">
      <c r="A2210" s="4" t="s">
        <v>1976</v>
      </c>
    </row>
    <row r="2211" spans="1:1" ht="12.5" x14ac:dyDescent="0.25">
      <c r="A2211" s="4" t="s">
        <v>1976</v>
      </c>
    </row>
    <row r="2212" spans="1:1" ht="12.5" x14ac:dyDescent="0.25">
      <c r="A2212" s="4" t="s">
        <v>1977</v>
      </c>
    </row>
    <row r="2213" spans="1:1" ht="12.5" x14ac:dyDescent="0.25">
      <c r="A2213" s="4" t="s">
        <v>1977</v>
      </c>
    </row>
    <row r="2214" spans="1:1" ht="12.5" x14ac:dyDescent="0.25">
      <c r="A2214" s="4" t="s">
        <v>1978</v>
      </c>
    </row>
    <row r="2215" spans="1:1" ht="12.5" x14ac:dyDescent="0.25">
      <c r="A2215" s="4" t="s">
        <v>1978</v>
      </c>
    </row>
    <row r="2216" spans="1:1" ht="12.5" x14ac:dyDescent="0.25">
      <c r="A2216" s="4" t="s">
        <v>1979</v>
      </c>
    </row>
    <row r="2217" spans="1:1" ht="12.5" x14ac:dyDescent="0.25">
      <c r="A2217" s="4" t="s">
        <v>1980</v>
      </c>
    </row>
    <row r="2218" spans="1:1" ht="12.5" x14ac:dyDescent="0.25">
      <c r="A2218" s="4" t="s">
        <v>1980</v>
      </c>
    </row>
    <row r="2219" spans="1:1" ht="12.5" x14ac:dyDescent="0.25">
      <c r="A2219" s="4" t="s">
        <v>1980</v>
      </c>
    </row>
    <row r="2220" spans="1:1" ht="12.5" x14ac:dyDescent="0.25">
      <c r="A2220" s="4" t="s">
        <v>1981</v>
      </c>
    </row>
    <row r="2221" spans="1:1" ht="12.5" x14ac:dyDescent="0.25">
      <c r="A2221" s="4" t="s">
        <v>1981</v>
      </c>
    </row>
    <row r="2222" spans="1:1" ht="12.5" x14ac:dyDescent="0.25">
      <c r="A2222" s="4" t="s">
        <v>1981</v>
      </c>
    </row>
    <row r="2223" spans="1:1" ht="12.5" x14ac:dyDescent="0.25">
      <c r="A2223" s="4" t="s">
        <v>1981</v>
      </c>
    </row>
    <row r="2224" spans="1:1" ht="12.5" x14ac:dyDescent="0.25">
      <c r="A2224" s="4" t="s">
        <v>1981</v>
      </c>
    </row>
    <row r="2225" spans="1:1" ht="12.5" x14ac:dyDescent="0.25">
      <c r="A2225" s="4" t="s">
        <v>1982</v>
      </c>
    </row>
    <row r="2226" spans="1:1" ht="12.5" x14ac:dyDescent="0.25">
      <c r="A2226" s="4" t="s">
        <v>1982</v>
      </c>
    </row>
    <row r="2227" spans="1:1" ht="12.5" x14ac:dyDescent="0.25">
      <c r="A2227" s="4" t="s">
        <v>1983</v>
      </c>
    </row>
    <row r="2228" spans="1:1" ht="12.5" x14ac:dyDescent="0.25">
      <c r="A2228" s="4" t="s">
        <v>1983</v>
      </c>
    </row>
    <row r="2229" spans="1:1" ht="12.5" x14ac:dyDescent="0.25">
      <c r="A2229" s="4" t="s">
        <v>1984</v>
      </c>
    </row>
    <row r="2230" spans="1:1" ht="12.5" x14ac:dyDescent="0.25">
      <c r="A2230" s="4" t="s">
        <v>1984</v>
      </c>
    </row>
    <row r="2231" spans="1:1" ht="12.5" x14ac:dyDescent="0.25">
      <c r="A2231" s="4" t="s">
        <v>1984</v>
      </c>
    </row>
    <row r="2232" spans="1:1" ht="12.5" x14ac:dyDescent="0.25">
      <c r="A2232" s="4" t="s">
        <v>1984</v>
      </c>
    </row>
    <row r="2233" spans="1:1" ht="12.5" x14ac:dyDescent="0.25">
      <c r="A2233" s="4" t="s">
        <v>1984</v>
      </c>
    </row>
    <row r="2234" spans="1:1" ht="12.5" x14ac:dyDescent="0.25">
      <c r="A2234" s="4" t="s">
        <v>1985</v>
      </c>
    </row>
    <row r="2235" spans="1:1" ht="12.5" x14ac:dyDescent="0.25">
      <c r="A2235" s="4" t="s">
        <v>1986</v>
      </c>
    </row>
    <row r="2236" spans="1:1" ht="12.5" x14ac:dyDescent="0.25">
      <c r="A2236" s="4" t="s">
        <v>1986</v>
      </c>
    </row>
    <row r="2237" spans="1:1" ht="12.5" x14ac:dyDescent="0.25">
      <c r="A2237" s="4" t="s">
        <v>1987</v>
      </c>
    </row>
    <row r="2238" spans="1:1" ht="12.5" x14ac:dyDescent="0.25">
      <c r="A2238" s="4" t="s">
        <v>1988</v>
      </c>
    </row>
    <row r="2239" spans="1:1" ht="12.5" x14ac:dyDescent="0.25">
      <c r="A2239" s="4" t="s">
        <v>1988</v>
      </c>
    </row>
    <row r="2240" spans="1:1" ht="12.5" x14ac:dyDescent="0.25">
      <c r="A2240" s="4" t="s">
        <v>1988</v>
      </c>
    </row>
    <row r="2241" spans="1:1" ht="12.5" x14ac:dyDescent="0.25">
      <c r="A2241" s="4" t="s">
        <v>1988</v>
      </c>
    </row>
    <row r="2242" spans="1:1" ht="12.5" x14ac:dyDescent="0.25">
      <c r="A2242" s="4" t="s">
        <v>1989</v>
      </c>
    </row>
    <row r="2243" spans="1:1" ht="12.5" x14ac:dyDescent="0.25">
      <c r="A2243" s="4" t="s">
        <v>1989</v>
      </c>
    </row>
    <row r="2244" spans="1:1" ht="12.5" x14ac:dyDescent="0.25">
      <c r="A2244" s="4" t="s">
        <v>1989</v>
      </c>
    </row>
    <row r="2245" spans="1:1" ht="12.5" x14ac:dyDescent="0.25">
      <c r="A2245" s="4" t="s">
        <v>1989</v>
      </c>
    </row>
    <row r="2246" spans="1:1" ht="12.5" x14ac:dyDescent="0.25">
      <c r="A2246" s="4" t="s">
        <v>1990</v>
      </c>
    </row>
    <row r="2247" spans="1:1" ht="12.5" x14ac:dyDescent="0.25">
      <c r="A2247" s="4" t="s">
        <v>1990</v>
      </c>
    </row>
    <row r="2248" spans="1:1" ht="12.5" x14ac:dyDescent="0.25">
      <c r="A2248" s="4" t="s">
        <v>1991</v>
      </c>
    </row>
    <row r="2249" spans="1:1" ht="12.5" x14ac:dyDescent="0.25">
      <c r="A2249" s="4" t="s">
        <v>1992</v>
      </c>
    </row>
    <row r="2250" spans="1:1" ht="12.5" x14ac:dyDescent="0.25">
      <c r="A2250" s="4" t="s">
        <v>1993</v>
      </c>
    </row>
    <row r="2251" spans="1:1" ht="12.5" x14ac:dyDescent="0.25">
      <c r="A2251" s="4" t="s">
        <v>1994</v>
      </c>
    </row>
    <row r="2252" spans="1:1" ht="12.5" x14ac:dyDescent="0.25">
      <c r="A2252" s="4" t="s">
        <v>1994</v>
      </c>
    </row>
    <row r="2253" spans="1:1" ht="12.5" x14ac:dyDescent="0.25">
      <c r="A2253" s="4" t="s">
        <v>1995</v>
      </c>
    </row>
    <row r="2254" spans="1:1" ht="12.5" x14ac:dyDescent="0.25">
      <c r="A2254" s="4" t="s">
        <v>1996</v>
      </c>
    </row>
    <row r="2255" spans="1:1" ht="12.5" x14ac:dyDescent="0.25">
      <c r="A2255" s="4" t="s">
        <v>1996</v>
      </c>
    </row>
    <row r="2256" spans="1:1" ht="12.5" x14ac:dyDescent="0.25">
      <c r="A2256" s="4" t="s">
        <v>1997</v>
      </c>
    </row>
    <row r="2257" spans="1:1" ht="12.5" x14ac:dyDescent="0.25">
      <c r="A2257" s="4" t="s">
        <v>1997</v>
      </c>
    </row>
    <row r="2258" spans="1:1" ht="12.5" x14ac:dyDescent="0.25">
      <c r="A2258" s="4" t="s">
        <v>1997</v>
      </c>
    </row>
    <row r="2259" spans="1:1" ht="12.5" x14ac:dyDescent="0.25">
      <c r="A2259" s="4" t="s">
        <v>1998</v>
      </c>
    </row>
    <row r="2260" spans="1:1" ht="12.5" x14ac:dyDescent="0.25">
      <c r="A2260" s="4" t="s">
        <v>1998</v>
      </c>
    </row>
    <row r="2261" spans="1:1" ht="12.5" x14ac:dyDescent="0.25">
      <c r="A2261" s="4" t="s">
        <v>1998</v>
      </c>
    </row>
    <row r="2262" spans="1:1" ht="12.5" x14ac:dyDescent="0.25">
      <c r="A2262" s="4" t="s">
        <v>1998</v>
      </c>
    </row>
    <row r="2263" spans="1:1" ht="12.5" x14ac:dyDescent="0.25">
      <c r="A2263" s="4" t="s">
        <v>1999</v>
      </c>
    </row>
    <row r="2264" spans="1:1" ht="12.5" x14ac:dyDescent="0.25">
      <c r="A2264" s="4" t="s">
        <v>1999</v>
      </c>
    </row>
    <row r="2265" spans="1:1" ht="12.5" x14ac:dyDescent="0.25">
      <c r="A2265" s="4" t="s">
        <v>1999</v>
      </c>
    </row>
    <row r="2266" spans="1:1" ht="12.5" x14ac:dyDescent="0.25">
      <c r="A2266" s="4" t="s">
        <v>2000</v>
      </c>
    </row>
    <row r="2267" spans="1:1" ht="12.5" x14ac:dyDescent="0.25">
      <c r="A2267" s="4" t="s">
        <v>2001</v>
      </c>
    </row>
    <row r="2268" spans="1:1" ht="12.5" x14ac:dyDescent="0.25">
      <c r="A2268" s="4" t="s">
        <v>2001</v>
      </c>
    </row>
    <row r="2269" spans="1:1" ht="12.5" x14ac:dyDescent="0.25">
      <c r="A2269" s="4" t="s">
        <v>2002</v>
      </c>
    </row>
    <row r="2270" spans="1:1" ht="12.5" x14ac:dyDescent="0.25">
      <c r="A2270" s="4" t="s">
        <v>2002</v>
      </c>
    </row>
    <row r="2271" spans="1:1" ht="12.5" x14ac:dyDescent="0.25">
      <c r="A2271" s="4" t="s">
        <v>2002</v>
      </c>
    </row>
    <row r="2272" spans="1:1" ht="12.5" x14ac:dyDescent="0.25">
      <c r="A2272" s="4" t="s">
        <v>2002</v>
      </c>
    </row>
    <row r="2273" spans="1:1" ht="12.5" x14ac:dyDescent="0.25">
      <c r="A2273" s="4" t="s">
        <v>2003</v>
      </c>
    </row>
    <row r="2274" spans="1:1" ht="12.5" x14ac:dyDescent="0.25">
      <c r="A2274" s="4" t="s">
        <v>2003</v>
      </c>
    </row>
    <row r="2275" spans="1:1" ht="12.5" x14ac:dyDescent="0.25">
      <c r="A2275" s="4" t="s">
        <v>2003</v>
      </c>
    </row>
    <row r="2276" spans="1:1" ht="12.5" x14ac:dyDescent="0.25">
      <c r="A2276" s="4" t="s">
        <v>2003</v>
      </c>
    </row>
    <row r="2277" spans="1:1" ht="12.5" x14ac:dyDescent="0.25">
      <c r="A2277" s="4" t="s">
        <v>2004</v>
      </c>
    </row>
    <row r="2278" spans="1:1" ht="12.5" x14ac:dyDescent="0.25">
      <c r="A2278" s="4" t="s">
        <v>2004</v>
      </c>
    </row>
    <row r="2279" spans="1:1" ht="12.5" x14ac:dyDescent="0.25">
      <c r="A2279" s="4" t="s">
        <v>2004</v>
      </c>
    </row>
    <row r="2280" spans="1:1" ht="12.5" x14ac:dyDescent="0.25">
      <c r="A2280" s="4" t="s">
        <v>2004</v>
      </c>
    </row>
    <row r="2281" spans="1:1" ht="12.5" x14ac:dyDescent="0.25">
      <c r="A2281" s="4" t="s">
        <v>2005</v>
      </c>
    </row>
    <row r="2282" spans="1:1" ht="12.5" x14ac:dyDescent="0.25">
      <c r="A2282" s="4" t="s">
        <v>2006</v>
      </c>
    </row>
    <row r="2283" spans="1:1" ht="12.5" x14ac:dyDescent="0.25">
      <c r="A2283" s="4" t="s">
        <v>2007</v>
      </c>
    </row>
    <row r="2284" spans="1:1" ht="12.5" x14ac:dyDescent="0.25">
      <c r="A2284" s="4" t="s">
        <v>2007</v>
      </c>
    </row>
    <row r="2285" spans="1:1" ht="12.5" x14ac:dyDescent="0.25">
      <c r="A2285" s="4" t="s">
        <v>2007</v>
      </c>
    </row>
    <row r="2286" spans="1:1" ht="12.5" x14ac:dyDescent="0.25">
      <c r="A2286" s="4" t="s">
        <v>2007</v>
      </c>
    </row>
    <row r="2287" spans="1:1" ht="12.5" x14ac:dyDescent="0.25">
      <c r="A2287" s="4" t="s">
        <v>2007</v>
      </c>
    </row>
    <row r="2288" spans="1:1" ht="12.5" x14ac:dyDescent="0.25">
      <c r="A2288" s="4" t="s">
        <v>2008</v>
      </c>
    </row>
    <row r="2289" spans="1:1" ht="12.5" x14ac:dyDescent="0.25">
      <c r="A2289" s="4" t="s">
        <v>2009</v>
      </c>
    </row>
    <row r="2290" spans="1:1" ht="12.5" x14ac:dyDescent="0.25">
      <c r="A2290" s="4" t="s">
        <v>2009</v>
      </c>
    </row>
    <row r="2291" spans="1:1" ht="12.5" x14ac:dyDescent="0.25">
      <c r="A2291" s="4" t="s">
        <v>2009</v>
      </c>
    </row>
    <row r="2292" spans="1:1" ht="12.5" x14ac:dyDescent="0.25">
      <c r="A2292" s="4" t="s">
        <v>2009</v>
      </c>
    </row>
    <row r="2293" spans="1:1" ht="12.5" x14ac:dyDescent="0.25">
      <c r="A2293" s="4" t="s">
        <v>2009</v>
      </c>
    </row>
    <row r="2294" spans="1:1" ht="12.5" x14ac:dyDescent="0.25">
      <c r="A2294" s="4" t="s">
        <v>2010</v>
      </c>
    </row>
    <row r="2295" spans="1:1" ht="12.5" x14ac:dyDescent="0.25">
      <c r="A2295" s="4" t="s">
        <v>2011</v>
      </c>
    </row>
    <row r="2296" spans="1:1" ht="12.5" x14ac:dyDescent="0.25">
      <c r="A2296" s="4" t="s">
        <v>2011</v>
      </c>
    </row>
    <row r="2297" spans="1:1" ht="12.5" x14ac:dyDescent="0.25">
      <c r="A2297" s="4" t="s">
        <v>2011</v>
      </c>
    </row>
    <row r="2298" spans="1:1" ht="12.5" x14ac:dyDescent="0.25">
      <c r="A2298" s="4" t="s">
        <v>2011</v>
      </c>
    </row>
    <row r="2299" spans="1:1" ht="12.5" x14ac:dyDescent="0.25">
      <c r="A2299" s="4" t="s">
        <v>2012</v>
      </c>
    </row>
    <row r="2300" spans="1:1" ht="12.5" x14ac:dyDescent="0.25">
      <c r="A2300" s="4" t="s">
        <v>2013</v>
      </c>
    </row>
    <row r="2301" spans="1:1" ht="12.5" x14ac:dyDescent="0.25">
      <c r="A2301" s="4" t="s">
        <v>2014</v>
      </c>
    </row>
    <row r="2302" spans="1:1" ht="12.5" x14ac:dyDescent="0.25">
      <c r="A2302" s="4" t="s">
        <v>2014</v>
      </c>
    </row>
    <row r="2303" spans="1:1" ht="12.5" x14ac:dyDescent="0.25">
      <c r="A2303" s="4" t="s">
        <v>2014</v>
      </c>
    </row>
    <row r="2304" spans="1:1" ht="12.5" x14ac:dyDescent="0.25">
      <c r="A2304" s="4" t="s">
        <v>2015</v>
      </c>
    </row>
    <row r="2305" spans="1:1" ht="12.5" x14ac:dyDescent="0.25">
      <c r="A2305" s="4" t="s">
        <v>2015</v>
      </c>
    </row>
    <row r="2306" spans="1:1" ht="12.5" x14ac:dyDescent="0.25">
      <c r="A2306" s="4" t="s">
        <v>2015</v>
      </c>
    </row>
    <row r="2307" spans="1:1" ht="12.5" x14ac:dyDescent="0.25">
      <c r="A2307" s="4" t="s">
        <v>2016</v>
      </c>
    </row>
    <row r="2308" spans="1:1" ht="12.5" x14ac:dyDescent="0.25">
      <c r="A2308" s="4" t="s">
        <v>2016</v>
      </c>
    </row>
    <row r="2309" spans="1:1" ht="12.5" x14ac:dyDescent="0.25">
      <c r="A2309" s="4" t="s">
        <v>2016</v>
      </c>
    </row>
    <row r="2310" spans="1:1" ht="12.5" x14ac:dyDescent="0.25">
      <c r="A2310" s="4" t="s">
        <v>2016</v>
      </c>
    </row>
    <row r="2311" spans="1:1" ht="12.5" x14ac:dyDescent="0.25">
      <c r="A2311" s="4" t="s">
        <v>2016</v>
      </c>
    </row>
    <row r="2312" spans="1:1" ht="12.5" x14ac:dyDescent="0.25">
      <c r="A2312" s="4" t="s">
        <v>2017</v>
      </c>
    </row>
    <row r="2313" spans="1:1" ht="12.5" x14ac:dyDescent="0.25">
      <c r="A2313" s="4" t="s">
        <v>2017</v>
      </c>
    </row>
    <row r="2314" spans="1:1" ht="12.5" x14ac:dyDescent="0.25">
      <c r="A2314" s="4" t="s">
        <v>2017</v>
      </c>
    </row>
    <row r="2315" spans="1:1" ht="12.5" x14ac:dyDescent="0.25">
      <c r="A2315" s="4" t="s">
        <v>2017</v>
      </c>
    </row>
    <row r="2316" spans="1:1" ht="12.5" x14ac:dyDescent="0.25">
      <c r="A2316" s="4" t="s">
        <v>2017</v>
      </c>
    </row>
    <row r="2317" spans="1:1" ht="12.5" x14ac:dyDescent="0.25">
      <c r="A2317" s="4" t="s">
        <v>2018</v>
      </c>
    </row>
    <row r="2318" spans="1:1" ht="12.5" x14ac:dyDescent="0.25">
      <c r="A2318" s="4" t="s">
        <v>2018</v>
      </c>
    </row>
    <row r="2319" spans="1:1" ht="12.5" x14ac:dyDescent="0.25">
      <c r="A2319" s="4" t="s">
        <v>2019</v>
      </c>
    </row>
    <row r="2320" spans="1:1" ht="12.5" x14ac:dyDescent="0.25">
      <c r="A2320" s="4" t="s">
        <v>2019</v>
      </c>
    </row>
    <row r="2321" spans="1:1" ht="12.5" x14ac:dyDescent="0.25">
      <c r="A2321" s="4" t="s">
        <v>2019</v>
      </c>
    </row>
    <row r="2322" spans="1:1" ht="12.5" x14ac:dyDescent="0.25">
      <c r="A2322" s="4" t="s">
        <v>2020</v>
      </c>
    </row>
    <row r="2323" spans="1:1" ht="12.5" x14ac:dyDescent="0.25">
      <c r="A2323" s="4" t="s">
        <v>2020</v>
      </c>
    </row>
    <row r="2324" spans="1:1" ht="12.5" x14ac:dyDescent="0.25">
      <c r="A2324" s="4" t="s">
        <v>2020</v>
      </c>
    </row>
    <row r="2325" spans="1:1" ht="12.5" x14ac:dyDescent="0.25">
      <c r="A2325" s="4" t="s">
        <v>2020</v>
      </c>
    </row>
    <row r="2326" spans="1:1" ht="12.5" x14ac:dyDescent="0.25">
      <c r="A2326" s="4" t="s">
        <v>2020</v>
      </c>
    </row>
    <row r="2327" spans="1:1" ht="12.5" x14ac:dyDescent="0.25">
      <c r="A2327" s="4" t="s">
        <v>2021</v>
      </c>
    </row>
    <row r="2328" spans="1:1" ht="12.5" x14ac:dyDescent="0.25">
      <c r="A2328" s="4" t="s">
        <v>2021</v>
      </c>
    </row>
    <row r="2329" spans="1:1" ht="12.5" x14ac:dyDescent="0.25">
      <c r="A2329" s="4" t="s">
        <v>2021</v>
      </c>
    </row>
    <row r="2330" spans="1:1" ht="12.5" x14ac:dyDescent="0.25">
      <c r="A2330" s="4" t="s">
        <v>2021</v>
      </c>
    </row>
    <row r="2331" spans="1:1" ht="12.5" x14ac:dyDescent="0.25">
      <c r="A2331" s="4" t="s">
        <v>2022</v>
      </c>
    </row>
    <row r="2332" spans="1:1" ht="12.5" x14ac:dyDescent="0.25">
      <c r="A2332" s="4" t="s">
        <v>2022</v>
      </c>
    </row>
    <row r="2333" spans="1:1" ht="12.5" x14ac:dyDescent="0.25">
      <c r="A2333" s="4" t="s">
        <v>2022</v>
      </c>
    </row>
    <row r="2334" spans="1:1" ht="12.5" x14ac:dyDescent="0.25">
      <c r="A2334" s="4" t="s">
        <v>2022</v>
      </c>
    </row>
    <row r="2335" spans="1:1" ht="12.5" x14ac:dyDescent="0.25">
      <c r="A2335" s="4" t="s">
        <v>2022</v>
      </c>
    </row>
    <row r="2336" spans="1:1" ht="12.5" x14ac:dyDescent="0.25">
      <c r="A2336" s="4" t="s">
        <v>2023</v>
      </c>
    </row>
    <row r="2337" spans="1:1" ht="12.5" x14ac:dyDescent="0.25">
      <c r="A2337" s="4" t="s">
        <v>2024</v>
      </c>
    </row>
    <row r="2338" spans="1:1" ht="12.5" x14ac:dyDescent="0.25">
      <c r="A2338" s="4" t="s">
        <v>2024</v>
      </c>
    </row>
    <row r="2339" spans="1:1" ht="12.5" x14ac:dyDescent="0.25">
      <c r="A2339" s="4" t="s">
        <v>2025</v>
      </c>
    </row>
    <row r="2340" spans="1:1" ht="12.5" x14ac:dyDescent="0.25">
      <c r="A2340" s="4" t="s">
        <v>2025</v>
      </c>
    </row>
    <row r="2341" spans="1:1" ht="12.5" x14ac:dyDescent="0.25">
      <c r="A2341" s="4" t="s">
        <v>2025</v>
      </c>
    </row>
    <row r="2342" spans="1:1" ht="12.5" x14ac:dyDescent="0.25">
      <c r="A2342" s="4" t="s">
        <v>2025</v>
      </c>
    </row>
    <row r="2343" spans="1:1" ht="12.5" x14ac:dyDescent="0.25">
      <c r="A2343" s="4" t="s">
        <v>2025</v>
      </c>
    </row>
    <row r="2344" spans="1:1" ht="12.5" x14ac:dyDescent="0.25">
      <c r="A2344" s="4" t="s">
        <v>2025</v>
      </c>
    </row>
    <row r="2345" spans="1:1" ht="12.5" x14ac:dyDescent="0.25">
      <c r="A2345" s="4" t="s">
        <v>2025</v>
      </c>
    </row>
    <row r="2346" spans="1:1" ht="12.5" x14ac:dyDescent="0.25">
      <c r="A2346" s="4" t="s">
        <v>2025</v>
      </c>
    </row>
    <row r="2347" spans="1:1" ht="12.5" x14ac:dyDescent="0.25">
      <c r="A2347" s="4" t="s">
        <v>2026</v>
      </c>
    </row>
    <row r="2348" spans="1:1" ht="12.5" x14ac:dyDescent="0.25">
      <c r="A2348" s="4" t="s">
        <v>2026</v>
      </c>
    </row>
    <row r="2349" spans="1:1" ht="12.5" x14ac:dyDescent="0.25">
      <c r="A2349" s="4" t="s">
        <v>2027</v>
      </c>
    </row>
    <row r="2350" spans="1:1" ht="12.5" x14ac:dyDescent="0.25">
      <c r="A2350" s="4" t="s">
        <v>2027</v>
      </c>
    </row>
    <row r="2351" spans="1:1" ht="12.5" x14ac:dyDescent="0.25">
      <c r="A2351" s="4" t="s">
        <v>2027</v>
      </c>
    </row>
    <row r="2352" spans="1:1" ht="12.5" x14ac:dyDescent="0.25">
      <c r="A2352" s="4" t="s">
        <v>2028</v>
      </c>
    </row>
    <row r="2353" spans="1:1" ht="12.5" x14ac:dyDescent="0.25">
      <c r="A2353" s="4" t="s">
        <v>2028</v>
      </c>
    </row>
    <row r="2354" spans="1:1" ht="12.5" x14ac:dyDescent="0.25">
      <c r="A2354" s="4" t="s">
        <v>2028</v>
      </c>
    </row>
    <row r="2355" spans="1:1" ht="12.5" x14ac:dyDescent="0.25">
      <c r="A2355" s="4" t="s">
        <v>2028</v>
      </c>
    </row>
    <row r="2356" spans="1:1" ht="12.5" x14ac:dyDescent="0.25">
      <c r="A2356" s="4" t="s">
        <v>2028</v>
      </c>
    </row>
    <row r="2357" spans="1:1" ht="12.5" x14ac:dyDescent="0.25">
      <c r="A2357" s="4" t="s">
        <v>2028</v>
      </c>
    </row>
    <row r="2358" spans="1:1" ht="12.5" x14ac:dyDescent="0.25">
      <c r="A2358" s="4" t="s">
        <v>2028</v>
      </c>
    </row>
    <row r="2359" spans="1:1" ht="12.5" x14ac:dyDescent="0.25">
      <c r="A2359" s="4" t="s">
        <v>2029</v>
      </c>
    </row>
    <row r="2360" spans="1:1" ht="12.5" x14ac:dyDescent="0.25">
      <c r="A2360" s="4" t="s">
        <v>2029</v>
      </c>
    </row>
    <row r="2361" spans="1:1" ht="12.5" x14ac:dyDescent="0.25">
      <c r="A2361" s="4" t="s">
        <v>2029</v>
      </c>
    </row>
    <row r="2362" spans="1:1" ht="12.5" x14ac:dyDescent="0.25">
      <c r="A2362" s="4" t="s">
        <v>2029</v>
      </c>
    </row>
    <row r="2363" spans="1:1" ht="12.5" x14ac:dyDescent="0.25">
      <c r="A2363" s="4" t="s">
        <v>2029</v>
      </c>
    </row>
    <row r="2364" spans="1:1" ht="12.5" x14ac:dyDescent="0.25">
      <c r="A2364" s="4" t="s">
        <v>2029</v>
      </c>
    </row>
    <row r="2365" spans="1:1" ht="12.5" x14ac:dyDescent="0.25">
      <c r="A2365" s="4" t="s">
        <v>2029</v>
      </c>
    </row>
    <row r="2366" spans="1:1" ht="12.5" x14ac:dyDescent="0.25">
      <c r="A2366" s="4" t="s">
        <v>2030</v>
      </c>
    </row>
    <row r="2367" spans="1:1" ht="12.5" x14ac:dyDescent="0.25">
      <c r="A2367" s="4" t="s">
        <v>2030</v>
      </c>
    </row>
    <row r="2368" spans="1:1" ht="12.5" x14ac:dyDescent="0.25">
      <c r="A2368" s="4" t="s">
        <v>2030</v>
      </c>
    </row>
    <row r="2369" spans="1:1" ht="12.5" x14ac:dyDescent="0.25">
      <c r="A2369" s="4" t="s">
        <v>2030</v>
      </c>
    </row>
    <row r="2370" spans="1:1" ht="12.5" x14ac:dyDescent="0.25">
      <c r="A2370" s="4" t="s">
        <v>2030</v>
      </c>
    </row>
    <row r="2371" spans="1:1" ht="12.5" x14ac:dyDescent="0.25">
      <c r="A2371" s="4" t="s">
        <v>2031</v>
      </c>
    </row>
    <row r="2372" spans="1:1" ht="12.5" x14ac:dyDescent="0.25">
      <c r="A2372" s="4" t="s">
        <v>2031</v>
      </c>
    </row>
    <row r="2373" spans="1:1" ht="12.5" x14ac:dyDescent="0.25">
      <c r="A2373" s="4" t="s">
        <v>2031</v>
      </c>
    </row>
    <row r="2374" spans="1:1" ht="12.5" x14ac:dyDescent="0.25">
      <c r="A2374" s="4" t="s">
        <v>2031</v>
      </c>
    </row>
    <row r="2375" spans="1:1" ht="12.5" x14ac:dyDescent="0.25">
      <c r="A2375" s="4" t="s">
        <v>2031</v>
      </c>
    </row>
    <row r="2376" spans="1:1" ht="12.5" x14ac:dyDescent="0.25">
      <c r="A2376" s="4" t="s">
        <v>2031</v>
      </c>
    </row>
    <row r="2377" spans="1:1" ht="12.5" x14ac:dyDescent="0.25">
      <c r="A2377" s="4" t="s">
        <v>2032</v>
      </c>
    </row>
    <row r="2378" spans="1:1" ht="12.5" x14ac:dyDescent="0.25">
      <c r="A2378" s="4" t="s">
        <v>2032</v>
      </c>
    </row>
    <row r="2379" spans="1:1" ht="12.5" x14ac:dyDescent="0.25">
      <c r="A2379" s="4" t="s">
        <v>2032</v>
      </c>
    </row>
    <row r="2380" spans="1:1" ht="12.5" x14ac:dyDescent="0.25">
      <c r="A2380" s="4" t="s">
        <v>2032</v>
      </c>
    </row>
    <row r="2381" spans="1:1" ht="12.5" x14ac:dyDescent="0.25">
      <c r="A2381" s="4" t="s">
        <v>2032</v>
      </c>
    </row>
    <row r="2382" spans="1:1" ht="12.5" x14ac:dyDescent="0.25">
      <c r="A2382" s="4" t="s">
        <v>2033</v>
      </c>
    </row>
    <row r="2383" spans="1:1" ht="12.5" x14ac:dyDescent="0.25">
      <c r="A2383" s="4" t="s">
        <v>2033</v>
      </c>
    </row>
    <row r="2384" spans="1:1" ht="12.5" x14ac:dyDescent="0.25">
      <c r="A2384" s="4" t="s">
        <v>2034</v>
      </c>
    </row>
    <row r="2385" spans="1:1" ht="12.5" x14ac:dyDescent="0.25">
      <c r="A2385" s="4" t="s">
        <v>2034</v>
      </c>
    </row>
    <row r="2386" spans="1:1" ht="12.5" x14ac:dyDescent="0.25">
      <c r="A2386" s="4" t="s">
        <v>2034</v>
      </c>
    </row>
    <row r="2387" spans="1:1" ht="12.5" x14ac:dyDescent="0.25">
      <c r="A2387" s="4" t="s">
        <v>2034</v>
      </c>
    </row>
    <row r="2388" spans="1:1" ht="12.5" x14ac:dyDescent="0.25">
      <c r="A2388" s="4" t="s">
        <v>2034</v>
      </c>
    </row>
    <row r="2389" spans="1:1" ht="12.5" x14ac:dyDescent="0.25">
      <c r="A2389" s="4" t="s">
        <v>2034</v>
      </c>
    </row>
    <row r="2390" spans="1:1" ht="12.5" x14ac:dyDescent="0.25">
      <c r="A2390" s="4" t="s">
        <v>2034</v>
      </c>
    </row>
    <row r="2391" spans="1:1" ht="12.5" x14ac:dyDescent="0.25">
      <c r="A2391" s="4" t="s">
        <v>2034</v>
      </c>
    </row>
    <row r="2392" spans="1:1" ht="12.5" x14ac:dyDescent="0.25">
      <c r="A2392" s="4" t="s">
        <v>2034</v>
      </c>
    </row>
    <row r="2393" spans="1:1" ht="12.5" x14ac:dyDescent="0.25">
      <c r="A2393" s="4" t="s">
        <v>2034</v>
      </c>
    </row>
    <row r="2394" spans="1:1" ht="12.5" x14ac:dyDescent="0.25">
      <c r="A2394" s="4" t="s">
        <v>2035</v>
      </c>
    </row>
    <row r="2395" spans="1:1" ht="12.5" x14ac:dyDescent="0.25">
      <c r="A2395" s="4" t="s">
        <v>2035</v>
      </c>
    </row>
    <row r="2396" spans="1:1" ht="12.5" x14ac:dyDescent="0.25">
      <c r="A2396" s="4" t="s">
        <v>2035</v>
      </c>
    </row>
    <row r="2397" spans="1:1" ht="12.5" x14ac:dyDescent="0.25">
      <c r="A2397" s="4" t="s">
        <v>2036</v>
      </c>
    </row>
    <row r="2398" spans="1:1" ht="12.5" x14ac:dyDescent="0.25">
      <c r="A2398" s="4" t="s">
        <v>2036</v>
      </c>
    </row>
    <row r="2399" spans="1:1" ht="12.5" x14ac:dyDescent="0.25">
      <c r="A2399" s="4" t="s">
        <v>2037</v>
      </c>
    </row>
    <row r="2400" spans="1:1" ht="12.5" x14ac:dyDescent="0.25">
      <c r="A2400" s="4" t="s">
        <v>2037</v>
      </c>
    </row>
    <row r="2401" spans="1:1" ht="12.5" x14ac:dyDescent="0.25">
      <c r="A2401" s="4" t="s">
        <v>2037</v>
      </c>
    </row>
    <row r="2402" spans="1:1" ht="12.5" x14ac:dyDescent="0.25">
      <c r="A2402" s="4" t="s">
        <v>2037</v>
      </c>
    </row>
    <row r="2403" spans="1:1" ht="12.5" x14ac:dyDescent="0.25">
      <c r="A2403" s="4" t="s">
        <v>2037</v>
      </c>
    </row>
    <row r="2404" spans="1:1" ht="12.5" x14ac:dyDescent="0.25">
      <c r="A2404" s="4" t="s">
        <v>2037</v>
      </c>
    </row>
    <row r="2405" spans="1:1" ht="12.5" x14ac:dyDescent="0.25">
      <c r="A2405" s="4" t="s">
        <v>2038</v>
      </c>
    </row>
    <row r="2406" spans="1:1" ht="12.5" x14ac:dyDescent="0.25">
      <c r="A2406" s="4" t="s">
        <v>2038</v>
      </c>
    </row>
    <row r="2407" spans="1:1" ht="12.5" x14ac:dyDescent="0.25">
      <c r="A2407" s="4" t="s">
        <v>2038</v>
      </c>
    </row>
    <row r="2408" spans="1:1" ht="12.5" x14ac:dyDescent="0.25">
      <c r="A2408" s="4" t="s">
        <v>2038</v>
      </c>
    </row>
    <row r="2409" spans="1:1" ht="12.5" x14ac:dyDescent="0.25">
      <c r="A2409" s="4" t="s">
        <v>2038</v>
      </c>
    </row>
    <row r="2410" spans="1:1" ht="12.5" x14ac:dyDescent="0.25">
      <c r="A2410" s="4" t="s">
        <v>2039</v>
      </c>
    </row>
    <row r="2411" spans="1:1" ht="12.5" x14ac:dyDescent="0.25">
      <c r="A2411" s="4" t="s">
        <v>2039</v>
      </c>
    </row>
    <row r="2412" spans="1:1" ht="12.5" x14ac:dyDescent="0.25">
      <c r="A2412" s="4" t="s">
        <v>2039</v>
      </c>
    </row>
    <row r="2413" spans="1:1" ht="12.5" x14ac:dyDescent="0.25">
      <c r="A2413" s="4" t="s">
        <v>2039</v>
      </c>
    </row>
    <row r="2414" spans="1:1" ht="12.5" x14ac:dyDescent="0.25">
      <c r="A2414" s="4" t="s">
        <v>2039</v>
      </c>
    </row>
    <row r="2415" spans="1:1" ht="12.5" x14ac:dyDescent="0.25">
      <c r="A2415" s="4" t="s">
        <v>2039</v>
      </c>
    </row>
    <row r="2416" spans="1:1" ht="12.5" x14ac:dyDescent="0.25">
      <c r="A2416" s="4" t="s">
        <v>2040</v>
      </c>
    </row>
    <row r="2417" spans="1:1" ht="12.5" x14ac:dyDescent="0.25">
      <c r="A2417" s="4" t="s">
        <v>2040</v>
      </c>
    </row>
    <row r="2418" spans="1:1" ht="12.5" x14ac:dyDescent="0.25">
      <c r="A2418" s="4" t="s">
        <v>2041</v>
      </c>
    </row>
    <row r="2419" spans="1:1" ht="12.5" x14ac:dyDescent="0.25">
      <c r="A2419" s="4" t="s">
        <v>2042</v>
      </c>
    </row>
    <row r="2420" spans="1:1" ht="12.5" x14ac:dyDescent="0.25">
      <c r="A2420" s="4" t="s">
        <v>2043</v>
      </c>
    </row>
    <row r="2421" spans="1:1" ht="12.5" x14ac:dyDescent="0.25">
      <c r="A2421" s="4" t="s">
        <v>2043</v>
      </c>
    </row>
    <row r="2422" spans="1:1" ht="12.5" x14ac:dyDescent="0.25">
      <c r="A2422" s="4" t="s">
        <v>2043</v>
      </c>
    </row>
    <row r="2423" spans="1:1" ht="12.5" x14ac:dyDescent="0.25">
      <c r="A2423" s="4" t="s">
        <v>2043</v>
      </c>
    </row>
    <row r="2424" spans="1:1" ht="12.5" x14ac:dyDescent="0.25">
      <c r="A2424" s="4" t="s">
        <v>2043</v>
      </c>
    </row>
    <row r="2425" spans="1:1" ht="12.5" x14ac:dyDescent="0.25">
      <c r="A2425" s="4" t="s">
        <v>2043</v>
      </c>
    </row>
    <row r="2426" spans="1:1" ht="12.5" x14ac:dyDescent="0.25">
      <c r="A2426" s="4" t="s">
        <v>2043</v>
      </c>
    </row>
    <row r="2427" spans="1:1" ht="12.5" x14ac:dyDescent="0.25">
      <c r="A2427" s="4" t="s">
        <v>2044</v>
      </c>
    </row>
    <row r="2428" spans="1:1" ht="12.5" x14ac:dyDescent="0.25">
      <c r="A2428" s="4" t="s">
        <v>2044</v>
      </c>
    </row>
    <row r="2429" spans="1:1" ht="12.5" x14ac:dyDescent="0.25">
      <c r="A2429" s="4" t="s">
        <v>2044</v>
      </c>
    </row>
    <row r="2430" spans="1:1" ht="12.5" x14ac:dyDescent="0.25">
      <c r="A2430" s="4" t="s">
        <v>2044</v>
      </c>
    </row>
    <row r="2431" spans="1:1" ht="12.5" x14ac:dyDescent="0.25">
      <c r="A2431" s="4" t="s">
        <v>2044</v>
      </c>
    </row>
    <row r="2432" spans="1:1" ht="12.5" x14ac:dyDescent="0.25">
      <c r="A2432" s="4" t="s">
        <v>2045</v>
      </c>
    </row>
    <row r="2433" spans="1:1" ht="12.5" x14ac:dyDescent="0.25">
      <c r="A2433" s="4" t="s">
        <v>2045</v>
      </c>
    </row>
    <row r="2434" spans="1:1" ht="12.5" x14ac:dyDescent="0.25">
      <c r="A2434" s="4" t="s">
        <v>2045</v>
      </c>
    </row>
    <row r="2435" spans="1:1" ht="12.5" x14ac:dyDescent="0.25">
      <c r="A2435" s="4" t="s">
        <v>2045</v>
      </c>
    </row>
    <row r="2436" spans="1:1" ht="12.5" x14ac:dyDescent="0.25">
      <c r="A2436" s="4" t="s">
        <v>2045</v>
      </c>
    </row>
    <row r="2437" spans="1:1" ht="12.5" x14ac:dyDescent="0.25">
      <c r="A2437" s="4" t="s">
        <v>2045</v>
      </c>
    </row>
    <row r="2438" spans="1:1" ht="12.5" x14ac:dyDescent="0.25">
      <c r="A2438" s="4" t="s">
        <v>2046</v>
      </c>
    </row>
    <row r="2439" spans="1:1" ht="12.5" x14ac:dyDescent="0.25">
      <c r="A2439" s="4" t="s">
        <v>2047</v>
      </c>
    </row>
    <row r="2440" spans="1:1" ht="12.5" x14ac:dyDescent="0.25">
      <c r="A2440" s="4" t="s">
        <v>2047</v>
      </c>
    </row>
    <row r="2441" spans="1:1" ht="12.5" x14ac:dyDescent="0.25">
      <c r="A2441" s="4" t="s">
        <v>2047</v>
      </c>
    </row>
    <row r="2442" spans="1:1" ht="12.5" x14ac:dyDescent="0.25">
      <c r="A2442" s="4" t="s">
        <v>2047</v>
      </c>
    </row>
    <row r="2443" spans="1:1" ht="12.5" x14ac:dyDescent="0.25">
      <c r="A2443" s="4" t="s">
        <v>2048</v>
      </c>
    </row>
    <row r="2444" spans="1:1" ht="12.5" x14ac:dyDescent="0.25">
      <c r="A2444" s="4" t="s">
        <v>2048</v>
      </c>
    </row>
    <row r="2445" spans="1:1" ht="12.5" x14ac:dyDescent="0.25">
      <c r="A2445" s="4" t="s">
        <v>2048</v>
      </c>
    </row>
    <row r="2446" spans="1:1" ht="12.5" x14ac:dyDescent="0.25">
      <c r="A2446" s="4" t="s">
        <v>2049</v>
      </c>
    </row>
    <row r="2447" spans="1:1" ht="12.5" x14ac:dyDescent="0.25">
      <c r="A2447" s="4" t="s">
        <v>2049</v>
      </c>
    </row>
    <row r="2448" spans="1:1" ht="12.5" x14ac:dyDescent="0.25">
      <c r="A2448" s="4" t="s">
        <v>2049</v>
      </c>
    </row>
    <row r="2449" spans="1:1" ht="12.5" x14ac:dyDescent="0.25">
      <c r="A2449" s="4" t="s">
        <v>2049</v>
      </c>
    </row>
    <row r="2450" spans="1:1" ht="12.5" x14ac:dyDescent="0.25">
      <c r="A2450" s="4" t="s">
        <v>2049</v>
      </c>
    </row>
    <row r="2451" spans="1:1" ht="12.5" x14ac:dyDescent="0.25">
      <c r="A2451" s="4" t="s">
        <v>2049</v>
      </c>
    </row>
    <row r="2452" spans="1:1" ht="12.5" x14ac:dyDescent="0.25">
      <c r="A2452" s="4" t="s">
        <v>2049</v>
      </c>
    </row>
    <row r="2453" spans="1:1" ht="12.5" x14ac:dyDescent="0.25">
      <c r="A2453" s="4" t="s">
        <v>2049</v>
      </c>
    </row>
    <row r="2454" spans="1:1" ht="12.5" x14ac:dyDescent="0.25">
      <c r="A2454" s="4" t="s">
        <v>2050</v>
      </c>
    </row>
    <row r="2455" spans="1:1" ht="12.5" x14ac:dyDescent="0.25">
      <c r="A2455" s="4" t="s">
        <v>2050</v>
      </c>
    </row>
    <row r="2456" spans="1:1" ht="12.5" x14ac:dyDescent="0.25">
      <c r="A2456" s="4" t="s">
        <v>2051</v>
      </c>
    </row>
    <row r="2457" spans="1:1" ht="12.5" x14ac:dyDescent="0.25">
      <c r="A2457" s="4" t="s">
        <v>2051</v>
      </c>
    </row>
    <row r="2458" spans="1:1" ht="12.5" x14ac:dyDescent="0.25">
      <c r="A2458" s="4" t="s">
        <v>2051</v>
      </c>
    </row>
    <row r="2459" spans="1:1" ht="12.5" x14ac:dyDescent="0.25">
      <c r="A2459" s="4" t="s">
        <v>2052</v>
      </c>
    </row>
    <row r="2460" spans="1:1" ht="12.5" x14ac:dyDescent="0.25">
      <c r="A2460" s="4" t="s">
        <v>2052</v>
      </c>
    </row>
    <row r="2461" spans="1:1" ht="12.5" x14ac:dyDescent="0.25">
      <c r="A2461" s="4" t="s">
        <v>2052</v>
      </c>
    </row>
    <row r="2462" spans="1:1" ht="12.5" x14ac:dyDescent="0.25">
      <c r="A2462" s="4" t="s">
        <v>2053</v>
      </c>
    </row>
    <row r="2463" spans="1:1" ht="12.5" x14ac:dyDescent="0.25">
      <c r="A2463" s="4" t="s">
        <v>2053</v>
      </c>
    </row>
    <row r="2464" spans="1:1" ht="12.5" x14ac:dyDescent="0.25">
      <c r="A2464" s="4" t="s">
        <v>2054</v>
      </c>
    </row>
    <row r="2465" spans="1:1" ht="12.5" x14ac:dyDescent="0.25">
      <c r="A2465" s="4" t="s">
        <v>2054</v>
      </c>
    </row>
    <row r="2466" spans="1:1" ht="12.5" x14ac:dyDescent="0.25">
      <c r="A2466" s="4" t="s">
        <v>2054</v>
      </c>
    </row>
    <row r="2467" spans="1:1" ht="12.5" x14ac:dyDescent="0.25">
      <c r="A2467" s="4" t="s">
        <v>2054</v>
      </c>
    </row>
    <row r="2468" spans="1:1" ht="12.5" x14ac:dyDescent="0.25">
      <c r="A2468" s="4" t="s">
        <v>2054</v>
      </c>
    </row>
    <row r="2469" spans="1:1" ht="12.5" x14ac:dyDescent="0.25">
      <c r="A2469" s="4" t="s">
        <v>2054</v>
      </c>
    </row>
    <row r="2470" spans="1:1" ht="12.5" x14ac:dyDescent="0.25">
      <c r="A2470" s="4" t="s">
        <v>2054</v>
      </c>
    </row>
    <row r="2471" spans="1:1" ht="12.5" x14ac:dyDescent="0.25">
      <c r="A2471" s="4" t="s">
        <v>2054</v>
      </c>
    </row>
    <row r="2472" spans="1:1" ht="12.5" x14ac:dyDescent="0.25">
      <c r="A2472" s="4" t="s">
        <v>2054</v>
      </c>
    </row>
    <row r="2473" spans="1:1" ht="12.5" x14ac:dyDescent="0.25">
      <c r="A2473" s="4" t="s">
        <v>2054</v>
      </c>
    </row>
    <row r="2474" spans="1:1" ht="12.5" x14ac:dyDescent="0.25">
      <c r="A2474" s="4" t="s">
        <v>2055</v>
      </c>
    </row>
    <row r="2475" spans="1:1" ht="12.5" x14ac:dyDescent="0.25">
      <c r="A2475" s="4" t="s">
        <v>2055</v>
      </c>
    </row>
    <row r="2476" spans="1:1" ht="12.5" x14ac:dyDescent="0.25">
      <c r="A2476" s="4" t="s">
        <v>2055</v>
      </c>
    </row>
    <row r="2477" spans="1:1" ht="12.5" x14ac:dyDescent="0.25">
      <c r="A2477" s="4" t="s">
        <v>2055</v>
      </c>
    </row>
    <row r="2478" spans="1:1" ht="12.5" x14ac:dyDescent="0.25">
      <c r="A2478" s="4" t="s">
        <v>2056</v>
      </c>
    </row>
    <row r="2479" spans="1:1" ht="12.5" x14ac:dyDescent="0.25">
      <c r="A2479" s="4" t="s">
        <v>2056</v>
      </c>
    </row>
    <row r="2480" spans="1:1" ht="12.5" x14ac:dyDescent="0.25">
      <c r="A2480" s="4" t="s">
        <v>2056</v>
      </c>
    </row>
    <row r="2481" spans="1:1" ht="12.5" x14ac:dyDescent="0.25">
      <c r="A2481" s="4" t="s">
        <v>2056</v>
      </c>
    </row>
    <row r="2482" spans="1:1" ht="12.5" x14ac:dyDescent="0.25">
      <c r="A2482" s="4" t="s">
        <v>2056</v>
      </c>
    </row>
    <row r="2483" spans="1:1" ht="12.5" x14ac:dyDescent="0.25">
      <c r="A2483" s="4" t="s">
        <v>2056</v>
      </c>
    </row>
    <row r="2484" spans="1:1" ht="12.5" x14ac:dyDescent="0.25">
      <c r="A2484" s="4" t="s">
        <v>2056</v>
      </c>
    </row>
    <row r="2485" spans="1:1" ht="12.5" x14ac:dyDescent="0.25">
      <c r="A2485" s="4" t="s">
        <v>2056</v>
      </c>
    </row>
    <row r="2486" spans="1:1" ht="12.5" x14ac:dyDescent="0.25">
      <c r="A2486" s="4" t="s">
        <v>2056</v>
      </c>
    </row>
    <row r="2487" spans="1:1" ht="12.5" x14ac:dyDescent="0.25">
      <c r="A2487" s="4" t="s">
        <v>2056</v>
      </c>
    </row>
    <row r="2488" spans="1:1" ht="12.5" x14ac:dyDescent="0.25">
      <c r="A2488" s="4" t="s">
        <v>2057</v>
      </c>
    </row>
    <row r="2489" spans="1:1" ht="12.5" x14ac:dyDescent="0.25">
      <c r="A2489" s="4" t="s">
        <v>2057</v>
      </c>
    </row>
    <row r="2490" spans="1:1" ht="12.5" x14ac:dyDescent="0.25">
      <c r="A2490" s="4" t="s">
        <v>2057</v>
      </c>
    </row>
    <row r="2491" spans="1:1" ht="12.5" x14ac:dyDescent="0.25">
      <c r="A2491" s="4" t="s">
        <v>2058</v>
      </c>
    </row>
    <row r="2492" spans="1:1" ht="12.5" x14ac:dyDescent="0.25">
      <c r="A2492" s="4" t="s">
        <v>2059</v>
      </c>
    </row>
    <row r="2493" spans="1:1" ht="12.5" x14ac:dyDescent="0.25">
      <c r="A2493" s="4" t="s">
        <v>2060</v>
      </c>
    </row>
    <row r="2494" spans="1:1" ht="12.5" x14ac:dyDescent="0.25">
      <c r="A2494" s="4" t="s">
        <v>2061</v>
      </c>
    </row>
    <row r="2495" spans="1:1" ht="12.5" x14ac:dyDescent="0.25">
      <c r="A2495" s="4" t="s">
        <v>2062</v>
      </c>
    </row>
    <row r="2496" spans="1:1" ht="12.5" x14ac:dyDescent="0.25">
      <c r="A2496" s="4" t="s">
        <v>2062</v>
      </c>
    </row>
    <row r="2497" spans="1:1" ht="12.5" x14ac:dyDescent="0.25">
      <c r="A2497" s="4" t="s">
        <v>2063</v>
      </c>
    </row>
    <row r="2498" spans="1:1" ht="12.5" x14ac:dyDescent="0.25">
      <c r="A2498" s="4" t="s">
        <v>2064</v>
      </c>
    </row>
    <row r="2499" spans="1:1" ht="12.5" x14ac:dyDescent="0.25">
      <c r="A2499" s="4" t="s">
        <v>2064</v>
      </c>
    </row>
    <row r="2500" spans="1:1" ht="12.5" x14ac:dyDescent="0.25">
      <c r="A2500" s="4" t="s">
        <v>2065</v>
      </c>
    </row>
    <row r="2501" spans="1:1" ht="12.5" x14ac:dyDescent="0.25">
      <c r="A2501" s="4" t="s">
        <v>2065</v>
      </c>
    </row>
    <row r="2502" spans="1:1" ht="12.5" x14ac:dyDescent="0.25">
      <c r="A2502" s="4" t="s">
        <v>2066</v>
      </c>
    </row>
    <row r="2503" spans="1:1" ht="12.5" x14ac:dyDescent="0.25">
      <c r="A2503" s="4" t="s">
        <v>2066</v>
      </c>
    </row>
    <row r="2504" spans="1:1" ht="12.5" x14ac:dyDescent="0.25">
      <c r="A2504" s="4" t="s">
        <v>2066</v>
      </c>
    </row>
    <row r="2505" spans="1:1" ht="12.5" x14ac:dyDescent="0.25">
      <c r="A2505" s="4" t="s">
        <v>2067</v>
      </c>
    </row>
    <row r="2506" spans="1:1" ht="12.5" x14ac:dyDescent="0.25">
      <c r="A2506" s="4" t="s">
        <v>2067</v>
      </c>
    </row>
    <row r="2507" spans="1:1" ht="12.5" x14ac:dyDescent="0.25">
      <c r="A2507" s="4" t="s">
        <v>2067</v>
      </c>
    </row>
    <row r="2508" spans="1:1" ht="12.5" x14ac:dyDescent="0.25">
      <c r="A2508" s="4" t="s">
        <v>2067</v>
      </c>
    </row>
    <row r="2509" spans="1:1" ht="12.5" x14ac:dyDescent="0.25">
      <c r="A2509" s="4" t="s">
        <v>2068</v>
      </c>
    </row>
    <row r="2510" spans="1:1" ht="12.5" x14ac:dyDescent="0.25">
      <c r="A2510" s="4" t="s">
        <v>2068</v>
      </c>
    </row>
    <row r="2511" spans="1:1" ht="12.5" x14ac:dyDescent="0.25">
      <c r="A2511" s="4" t="s">
        <v>2069</v>
      </c>
    </row>
    <row r="2512" spans="1:1" ht="12.5" x14ac:dyDescent="0.25">
      <c r="A2512" s="4" t="s">
        <v>2069</v>
      </c>
    </row>
    <row r="2513" spans="1:1" ht="12.5" x14ac:dyDescent="0.25">
      <c r="A2513" s="4" t="s">
        <v>2070</v>
      </c>
    </row>
    <row r="2514" spans="1:1" ht="12.5" x14ac:dyDescent="0.25">
      <c r="A2514" s="4" t="s">
        <v>2071</v>
      </c>
    </row>
    <row r="2515" spans="1:1" ht="12.5" x14ac:dyDescent="0.25">
      <c r="A2515" s="4" t="s">
        <v>2072</v>
      </c>
    </row>
    <row r="2516" spans="1:1" ht="12.5" x14ac:dyDescent="0.25">
      <c r="A2516" s="4" t="s">
        <v>2072</v>
      </c>
    </row>
    <row r="2517" spans="1:1" ht="12.5" x14ac:dyDescent="0.25">
      <c r="A2517" s="4" t="s">
        <v>2073</v>
      </c>
    </row>
    <row r="2518" spans="1:1" ht="12.5" x14ac:dyDescent="0.25">
      <c r="A2518" s="4" t="s">
        <v>2073</v>
      </c>
    </row>
    <row r="2519" spans="1:1" ht="12.5" x14ac:dyDescent="0.25">
      <c r="A2519" s="4" t="s">
        <v>2074</v>
      </c>
    </row>
    <row r="2520" spans="1:1" ht="12.5" x14ac:dyDescent="0.25">
      <c r="A2520" s="4" t="s">
        <v>2074</v>
      </c>
    </row>
    <row r="2521" spans="1:1" ht="12.5" x14ac:dyDescent="0.25">
      <c r="A2521" s="4" t="s">
        <v>2074</v>
      </c>
    </row>
    <row r="2522" spans="1:1" ht="12.5" x14ac:dyDescent="0.25">
      <c r="A2522" s="4" t="s">
        <v>2074</v>
      </c>
    </row>
    <row r="2523" spans="1:1" ht="12.5" x14ac:dyDescent="0.25">
      <c r="A2523" s="4" t="s">
        <v>2074</v>
      </c>
    </row>
    <row r="2524" spans="1:1" ht="12.5" x14ac:dyDescent="0.25">
      <c r="A2524" s="4" t="s">
        <v>2075</v>
      </c>
    </row>
    <row r="2525" spans="1:1" ht="12.5" x14ac:dyDescent="0.25">
      <c r="A2525" s="4" t="s">
        <v>2075</v>
      </c>
    </row>
    <row r="2526" spans="1:1" ht="12.5" x14ac:dyDescent="0.25">
      <c r="A2526" s="4" t="s">
        <v>2075</v>
      </c>
    </row>
    <row r="2527" spans="1:1" ht="12.5" x14ac:dyDescent="0.25">
      <c r="A2527" s="4" t="s">
        <v>2075</v>
      </c>
    </row>
    <row r="2528" spans="1:1" ht="12.5" x14ac:dyDescent="0.25">
      <c r="A2528" s="4" t="s">
        <v>2075</v>
      </c>
    </row>
    <row r="2529" spans="1:1" ht="12.5" x14ac:dyDescent="0.25">
      <c r="A2529" s="4" t="s">
        <v>2075</v>
      </c>
    </row>
    <row r="2530" spans="1:1" ht="12.5" x14ac:dyDescent="0.25">
      <c r="A2530" s="4" t="s">
        <v>2076</v>
      </c>
    </row>
    <row r="2531" spans="1:1" ht="12.5" x14ac:dyDescent="0.25">
      <c r="A2531" s="4" t="s">
        <v>2076</v>
      </c>
    </row>
    <row r="2532" spans="1:1" ht="12.5" x14ac:dyDescent="0.25">
      <c r="A2532" s="4" t="s">
        <v>2076</v>
      </c>
    </row>
    <row r="2533" spans="1:1" ht="12.5" x14ac:dyDescent="0.25">
      <c r="A2533" s="4" t="s">
        <v>2077</v>
      </c>
    </row>
    <row r="2534" spans="1:1" ht="12.5" x14ac:dyDescent="0.25">
      <c r="A2534" s="4" t="s">
        <v>2077</v>
      </c>
    </row>
    <row r="2535" spans="1:1" ht="12.5" x14ac:dyDescent="0.25">
      <c r="A2535" s="4" t="s">
        <v>2077</v>
      </c>
    </row>
    <row r="2536" spans="1:1" ht="12.5" x14ac:dyDescent="0.25">
      <c r="A2536" s="4" t="s">
        <v>2078</v>
      </c>
    </row>
    <row r="2537" spans="1:1" ht="12.5" x14ac:dyDescent="0.25">
      <c r="A2537" s="4" t="s">
        <v>2078</v>
      </c>
    </row>
    <row r="2538" spans="1:1" ht="12.5" x14ac:dyDescent="0.25">
      <c r="A2538" s="4" t="s">
        <v>2078</v>
      </c>
    </row>
    <row r="2539" spans="1:1" ht="12.5" x14ac:dyDescent="0.25">
      <c r="A2539" s="4" t="s">
        <v>2079</v>
      </c>
    </row>
    <row r="2540" spans="1:1" ht="12.5" x14ac:dyDescent="0.25">
      <c r="A2540" s="4" t="s">
        <v>2079</v>
      </c>
    </row>
    <row r="2541" spans="1:1" ht="12.5" x14ac:dyDescent="0.25">
      <c r="A2541" s="4" t="s">
        <v>2079</v>
      </c>
    </row>
    <row r="2542" spans="1:1" ht="12.5" x14ac:dyDescent="0.25">
      <c r="A2542" s="4" t="s">
        <v>2080</v>
      </c>
    </row>
    <row r="2543" spans="1:1" ht="12.5" x14ac:dyDescent="0.25">
      <c r="A2543" s="4" t="s">
        <v>2080</v>
      </c>
    </row>
    <row r="2544" spans="1:1" ht="12.5" x14ac:dyDescent="0.25">
      <c r="A2544" s="4" t="s">
        <v>2080</v>
      </c>
    </row>
    <row r="2545" spans="1:1" ht="12.5" x14ac:dyDescent="0.25">
      <c r="A2545" s="4" t="s">
        <v>2080</v>
      </c>
    </row>
    <row r="2546" spans="1:1" ht="12.5" x14ac:dyDescent="0.25">
      <c r="A2546" s="4" t="s">
        <v>2080</v>
      </c>
    </row>
    <row r="2547" spans="1:1" ht="12.5" x14ac:dyDescent="0.25">
      <c r="A2547" s="4" t="s">
        <v>2081</v>
      </c>
    </row>
    <row r="2548" spans="1:1" ht="12.5" x14ac:dyDescent="0.25">
      <c r="A2548" s="4" t="s">
        <v>2082</v>
      </c>
    </row>
    <row r="2549" spans="1:1" ht="12.5" x14ac:dyDescent="0.25">
      <c r="A2549" s="4" t="s">
        <v>2082</v>
      </c>
    </row>
    <row r="2550" spans="1:1" ht="12.5" x14ac:dyDescent="0.25">
      <c r="A2550" s="4" t="s">
        <v>2082</v>
      </c>
    </row>
    <row r="2551" spans="1:1" ht="12.5" x14ac:dyDescent="0.25">
      <c r="A2551" s="4" t="s">
        <v>2082</v>
      </c>
    </row>
    <row r="2552" spans="1:1" ht="12.5" x14ac:dyDescent="0.25">
      <c r="A2552" s="4" t="s">
        <v>2082</v>
      </c>
    </row>
    <row r="2553" spans="1:1" ht="12.5" x14ac:dyDescent="0.25">
      <c r="A2553" s="4" t="s">
        <v>2082</v>
      </c>
    </row>
    <row r="2554" spans="1:1" ht="12.5" x14ac:dyDescent="0.25">
      <c r="A2554" s="4" t="s">
        <v>2082</v>
      </c>
    </row>
    <row r="2555" spans="1:1" ht="12.5" x14ac:dyDescent="0.25">
      <c r="A2555" s="4" t="s">
        <v>2082</v>
      </c>
    </row>
    <row r="2556" spans="1:1" ht="12.5" x14ac:dyDescent="0.25">
      <c r="A2556" s="4" t="s">
        <v>2083</v>
      </c>
    </row>
    <row r="2557" spans="1:1" ht="12.5" x14ac:dyDescent="0.25">
      <c r="A2557" s="4" t="s">
        <v>2083</v>
      </c>
    </row>
    <row r="2558" spans="1:1" ht="12.5" x14ac:dyDescent="0.25">
      <c r="A2558" s="4" t="s">
        <v>2083</v>
      </c>
    </row>
    <row r="2559" spans="1:1" ht="12.5" x14ac:dyDescent="0.25">
      <c r="A2559" s="4" t="s">
        <v>2083</v>
      </c>
    </row>
    <row r="2560" spans="1:1" ht="12.5" x14ac:dyDescent="0.25">
      <c r="A2560" s="4" t="s">
        <v>2083</v>
      </c>
    </row>
    <row r="2561" spans="1:1" ht="12.5" x14ac:dyDescent="0.25">
      <c r="A2561" s="4" t="s">
        <v>2084</v>
      </c>
    </row>
    <row r="2562" spans="1:1" ht="12.5" x14ac:dyDescent="0.25">
      <c r="A2562" s="4" t="s">
        <v>2084</v>
      </c>
    </row>
    <row r="2563" spans="1:1" ht="12.5" x14ac:dyDescent="0.25">
      <c r="A2563" s="4" t="s">
        <v>2084</v>
      </c>
    </row>
    <row r="2564" spans="1:1" ht="12.5" x14ac:dyDescent="0.25">
      <c r="A2564" s="4" t="s">
        <v>2085</v>
      </c>
    </row>
    <row r="2565" spans="1:1" ht="12.5" x14ac:dyDescent="0.25">
      <c r="A2565" s="4" t="s">
        <v>2085</v>
      </c>
    </row>
    <row r="2566" spans="1:1" ht="12.5" x14ac:dyDescent="0.25">
      <c r="A2566" s="4" t="s">
        <v>2085</v>
      </c>
    </row>
    <row r="2567" spans="1:1" ht="12.5" x14ac:dyDescent="0.25">
      <c r="A2567" s="4" t="s">
        <v>2085</v>
      </c>
    </row>
    <row r="2568" spans="1:1" ht="12.5" x14ac:dyDescent="0.25">
      <c r="A2568" s="4" t="s">
        <v>2085</v>
      </c>
    </row>
    <row r="2569" spans="1:1" ht="12.5" x14ac:dyDescent="0.25">
      <c r="A2569" s="4" t="s">
        <v>2086</v>
      </c>
    </row>
    <row r="2570" spans="1:1" ht="12.5" x14ac:dyDescent="0.25">
      <c r="A2570" s="4" t="s">
        <v>2086</v>
      </c>
    </row>
    <row r="2571" spans="1:1" ht="12.5" x14ac:dyDescent="0.25">
      <c r="A2571" s="4" t="s">
        <v>2086</v>
      </c>
    </row>
    <row r="2572" spans="1:1" ht="12.5" x14ac:dyDescent="0.25">
      <c r="A2572" s="4" t="s">
        <v>2086</v>
      </c>
    </row>
    <row r="2573" spans="1:1" ht="12.5" x14ac:dyDescent="0.25">
      <c r="A2573" s="4" t="s">
        <v>2086</v>
      </c>
    </row>
    <row r="2574" spans="1:1" ht="12.5" x14ac:dyDescent="0.25">
      <c r="A2574" s="4" t="s">
        <v>2086</v>
      </c>
    </row>
    <row r="2575" spans="1:1" ht="12.5" x14ac:dyDescent="0.25">
      <c r="A2575" s="4" t="s">
        <v>2086</v>
      </c>
    </row>
    <row r="2576" spans="1:1" ht="12.5" x14ac:dyDescent="0.25">
      <c r="A2576" s="4" t="s">
        <v>2087</v>
      </c>
    </row>
    <row r="2577" spans="1:1" ht="12.5" x14ac:dyDescent="0.25">
      <c r="A2577" s="4" t="s">
        <v>2087</v>
      </c>
    </row>
    <row r="2578" spans="1:1" ht="12.5" x14ac:dyDescent="0.25">
      <c r="A2578" s="4" t="s">
        <v>2088</v>
      </c>
    </row>
    <row r="2579" spans="1:1" ht="12.5" x14ac:dyDescent="0.25">
      <c r="A2579" s="4" t="s">
        <v>2088</v>
      </c>
    </row>
    <row r="2580" spans="1:1" ht="12.5" x14ac:dyDescent="0.25">
      <c r="A2580" s="4" t="s">
        <v>2089</v>
      </c>
    </row>
    <row r="2581" spans="1:1" ht="12.5" x14ac:dyDescent="0.25">
      <c r="A2581" s="4" t="s">
        <v>2089</v>
      </c>
    </row>
    <row r="2582" spans="1:1" ht="12.5" x14ac:dyDescent="0.25">
      <c r="A2582" s="4" t="s">
        <v>2089</v>
      </c>
    </row>
    <row r="2583" spans="1:1" ht="12.5" x14ac:dyDescent="0.25">
      <c r="A2583" s="4" t="s">
        <v>2089</v>
      </c>
    </row>
    <row r="2584" spans="1:1" ht="12.5" x14ac:dyDescent="0.25">
      <c r="A2584" s="4" t="s">
        <v>2090</v>
      </c>
    </row>
    <row r="2585" spans="1:1" ht="12.5" x14ac:dyDescent="0.25">
      <c r="A2585" s="4" t="s">
        <v>2090</v>
      </c>
    </row>
    <row r="2586" spans="1:1" ht="12.5" x14ac:dyDescent="0.25">
      <c r="A2586" s="4" t="s">
        <v>2090</v>
      </c>
    </row>
    <row r="2587" spans="1:1" ht="12.5" x14ac:dyDescent="0.25">
      <c r="A2587" s="4" t="s">
        <v>2090</v>
      </c>
    </row>
    <row r="2588" spans="1:1" ht="12.5" x14ac:dyDescent="0.25">
      <c r="A2588" s="4" t="s">
        <v>2090</v>
      </c>
    </row>
    <row r="2589" spans="1:1" ht="12.5" x14ac:dyDescent="0.25">
      <c r="A2589" s="4" t="s">
        <v>2090</v>
      </c>
    </row>
    <row r="2590" spans="1:1" ht="12.5" x14ac:dyDescent="0.25">
      <c r="A2590" s="4" t="s">
        <v>2090</v>
      </c>
    </row>
    <row r="2591" spans="1:1" ht="12.5" x14ac:dyDescent="0.25">
      <c r="A2591" s="4" t="s">
        <v>2090</v>
      </c>
    </row>
    <row r="2592" spans="1:1" ht="12.5" x14ac:dyDescent="0.25">
      <c r="A2592" s="4" t="s">
        <v>2091</v>
      </c>
    </row>
    <row r="2593" spans="1:1" ht="12.5" x14ac:dyDescent="0.25">
      <c r="A2593" s="4" t="s">
        <v>2091</v>
      </c>
    </row>
    <row r="2594" spans="1:1" ht="12.5" x14ac:dyDescent="0.25">
      <c r="A2594" s="4" t="s">
        <v>2091</v>
      </c>
    </row>
    <row r="2595" spans="1:1" ht="12.5" x14ac:dyDescent="0.25">
      <c r="A2595" s="4" t="s">
        <v>2091</v>
      </c>
    </row>
    <row r="2596" spans="1:1" ht="12.5" x14ac:dyDescent="0.25">
      <c r="A2596" s="4" t="s">
        <v>2091</v>
      </c>
    </row>
    <row r="2597" spans="1:1" ht="12.5" x14ac:dyDescent="0.25">
      <c r="A2597" s="4" t="s">
        <v>2091</v>
      </c>
    </row>
    <row r="2598" spans="1:1" ht="12.5" x14ac:dyDescent="0.25">
      <c r="A2598" s="4" t="s">
        <v>2092</v>
      </c>
    </row>
    <row r="2599" spans="1:1" ht="12.5" x14ac:dyDescent="0.25">
      <c r="A2599" s="4" t="s">
        <v>2093</v>
      </c>
    </row>
    <row r="2600" spans="1:1" ht="12.5" x14ac:dyDescent="0.25">
      <c r="A2600" s="4" t="s">
        <v>2093</v>
      </c>
    </row>
    <row r="2601" spans="1:1" ht="12.5" x14ac:dyDescent="0.25">
      <c r="A2601" s="4" t="s">
        <v>2093</v>
      </c>
    </row>
    <row r="2602" spans="1:1" ht="12.5" x14ac:dyDescent="0.25">
      <c r="A2602" s="4" t="s">
        <v>2094</v>
      </c>
    </row>
    <row r="2603" spans="1:1" ht="12.5" x14ac:dyDescent="0.25">
      <c r="A2603" s="4" t="s">
        <v>2095</v>
      </c>
    </row>
    <row r="2604" spans="1:1" ht="12.5" x14ac:dyDescent="0.25">
      <c r="A2604" s="4" t="s">
        <v>2095</v>
      </c>
    </row>
    <row r="2605" spans="1:1" ht="12.5" x14ac:dyDescent="0.25">
      <c r="A2605" s="4" t="s">
        <v>2095</v>
      </c>
    </row>
    <row r="2606" spans="1:1" ht="12.5" x14ac:dyDescent="0.25">
      <c r="A2606" s="4" t="s">
        <v>2095</v>
      </c>
    </row>
    <row r="2607" spans="1:1" ht="12.5" x14ac:dyDescent="0.25">
      <c r="A2607" s="4" t="s">
        <v>2095</v>
      </c>
    </row>
    <row r="2608" spans="1:1" ht="12.5" x14ac:dyDescent="0.25">
      <c r="A2608" s="4" t="s">
        <v>2095</v>
      </c>
    </row>
    <row r="2609" spans="1:1" ht="12.5" x14ac:dyDescent="0.25">
      <c r="A2609" s="4" t="s">
        <v>2095</v>
      </c>
    </row>
    <row r="2610" spans="1:1" ht="12.5" x14ac:dyDescent="0.25">
      <c r="A2610" s="4" t="s">
        <v>2095</v>
      </c>
    </row>
    <row r="2611" spans="1:1" ht="12.5" x14ac:dyDescent="0.25">
      <c r="A2611" s="4" t="s">
        <v>2095</v>
      </c>
    </row>
    <row r="2612" spans="1:1" ht="12.5" x14ac:dyDescent="0.25">
      <c r="A2612" s="4" t="s">
        <v>2095</v>
      </c>
    </row>
    <row r="2613" spans="1:1" ht="12.5" x14ac:dyDescent="0.25">
      <c r="A2613" s="4" t="s">
        <v>2095</v>
      </c>
    </row>
    <row r="2614" spans="1:1" ht="12.5" x14ac:dyDescent="0.25">
      <c r="A2614" s="4" t="s">
        <v>2095</v>
      </c>
    </row>
    <row r="2615" spans="1:1" ht="12.5" x14ac:dyDescent="0.25">
      <c r="A2615" s="4" t="s">
        <v>2096</v>
      </c>
    </row>
    <row r="2616" spans="1:1" ht="12.5" x14ac:dyDescent="0.25">
      <c r="A2616" s="4" t="s">
        <v>2097</v>
      </c>
    </row>
    <row r="2617" spans="1:1" ht="12.5" x14ac:dyDescent="0.25">
      <c r="A2617" s="4" t="s">
        <v>2097</v>
      </c>
    </row>
    <row r="2618" spans="1:1" ht="12.5" x14ac:dyDescent="0.25">
      <c r="A2618" s="4" t="s">
        <v>2097</v>
      </c>
    </row>
    <row r="2619" spans="1:1" ht="12.5" x14ac:dyDescent="0.25">
      <c r="A2619" s="4" t="s">
        <v>2097</v>
      </c>
    </row>
    <row r="2620" spans="1:1" ht="12.5" x14ac:dyDescent="0.25">
      <c r="A2620" s="4" t="s">
        <v>2097</v>
      </c>
    </row>
    <row r="2621" spans="1:1" ht="12.5" x14ac:dyDescent="0.25">
      <c r="A2621" s="4" t="s">
        <v>2097</v>
      </c>
    </row>
    <row r="2622" spans="1:1" ht="12.5" x14ac:dyDescent="0.25">
      <c r="A2622" s="4" t="s">
        <v>2098</v>
      </c>
    </row>
    <row r="2623" spans="1:1" ht="12.5" x14ac:dyDescent="0.25">
      <c r="A2623" s="4" t="s">
        <v>2098</v>
      </c>
    </row>
    <row r="2624" spans="1:1" ht="12.5" x14ac:dyDescent="0.25">
      <c r="A2624" s="4" t="s">
        <v>2098</v>
      </c>
    </row>
    <row r="2625" spans="1:1" ht="12.5" x14ac:dyDescent="0.25">
      <c r="A2625" s="4" t="s">
        <v>2099</v>
      </c>
    </row>
    <row r="2626" spans="1:1" ht="12.5" x14ac:dyDescent="0.25">
      <c r="A2626" s="4" t="s">
        <v>2099</v>
      </c>
    </row>
    <row r="2627" spans="1:1" ht="12.5" x14ac:dyDescent="0.25">
      <c r="A2627" s="4" t="s">
        <v>2099</v>
      </c>
    </row>
    <row r="2628" spans="1:1" ht="12.5" x14ac:dyDescent="0.25">
      <c r="A2628" s="4" t="s">
        <v>2099</v>
      </c>
    </row>
    <row r="2629" spans="1:1" ht="12.5" x14ac:dyDescent="0.25">
      <c r="A2629" s="4" t="s">
        <v>2099</v>
      </c>
    </row>
    <row r="2630" spans="1:1" ht="12.5" x14ac:dyDescent="0.25">
      <c r="A2630" s="4" t="s">
        <v>2099</v>
      </c>
    </row>
    <row r="2631" spans="1:1" ht="12.5" x14ac:dyDescent="0.25">
      <c r="A2631" s="4" t="s">
        <v>2099</v>
      </c>
    </row>
    <row r="2632" spans="1:1" ht="12.5" x14ac:dyDescent="0.25">
      <c r="A2632" s="4" t="s">
        <v>2100</v>
      </c>
    </row>
    <row r="2633" spans="1:1" ht="12.5" x14ac:dyDescent="0.25">
      <c r="A2633" s="4" t="s">
        <v>2101</v>
      </c>
    </row>
    <row r="2634" spans="1:1" ht="12.5" x14ac:dyDescent="0.25">
      <c r="A2634" s="4" t="s">
        <v>2101</v>
      </c>
    </row>
    <row r="2635" spans="1:1" ht="12.5" x14ac:dyDescent="0.25">
      <c r="A2635" s="4" t="s">
        <v>2101</v>
      </c>
    </row>
    <row r="2636" spans="1:1" ht="12.5" x14ac:dyDescent="0.25">
      <c r="A2636" s="4" t="s">
        <v>2101</v>
      </c>
    </row>
    <row r="2637" spans="1:1" ht="12.5" x14ac:dyDescent="0.25">
      <c r="A2637" s="4" t="s">
        <v>2101</v>
      </c>
    </row>
    <row r="2638" spans="1:1" ht="12.5" x14ac:dyDescent="0.25">
      <c r="A2638" s="4" t="s">
        <v>2102</v>
      </c>
    </row>
    <row r="2639" spans="1:1" ht="12.5" x14ac:dyDescent="0.25">
      <c r="A2639" s="4" t="s">
        <v>2102</v>
      </c>
    </row>
    <row r="2640" spans="1:1" ht="12.5" x14ac:dyDescent="0.25">
      <c r="A2640" s="4" t="s">
        <v>2102</v>
      </c>
    </row>
    <row r="2641" spans="1:1" ht="12.5" x14ac:dyDescent="0.25">
      <c r="A2641" s="4" t="s">
        <v>2102</v>
      </c>
    </row>
    <row r="2642" spans="1:1" ht="12.5" x14ac:dyDescent="0.25">
      <c r="A2642" s="4" t="s">
        <v>2102</v>
      </c>
    </row>
    <row r="2643" spans="1:1" ht="12.5" x14ac:dyDescent="0.25">
      <c r="A2643" s="4" t="s">
        <v>2102</v>
      </c>
    </row>
    <row r="2644" spans="1:1" ht="12.5" x14ac:dyDescent="0.25">
      <c r="A2644" s="4" t="s">
        <v>2102</v>
      </c>
    </row>
    <row r="2645" spans="1:1" ht="12.5" x14ac:dyDescent="0.25">
      <c r="A2645" s="4" t="s">
        <v>2103</v>
      </c>
    </row>
    <row r="2646" spans="1:1" ht="12.5" x14ac:dyDescent="0.25">
      <c r="A2646" s="4" t="s">
        <v>2104</v>
      </c>
    </row>
    <row r="2647" spans="1:1" ht="12.5" x14ac:dyDescent="0.25">
      <c r="A2647" s="4" t="s">
        <v>2104</v>
      </c>
    </row>
    <row r="2648" spans="1:1" ht="12.5" x14ac:dyDescent="0.25">
      <c r="A2648" s="4" t="s">
        <v>2104</v>
      </c>
    </row>
    <row r="2649" spans="1:1" ht="12.5" x14ac:dyDescent="0.25">
      <c r="A2649" s="4" t="s">
        <v>2104</v>
      </c>
    </row>
    <row r="2650" spans="1:1" ht="12.5" x14ac:dyDescent="0.25">
      <c r="A2650" s="4" t="s">
        <v>2104</v>
      </c>
    </row>
    <row r="2651" spans="1:1" ht="12.5" x14ac:dyDescent="0.25">
      <c r="A2651" s="4" t="s">
        <v>2105</v>
      </c>
    </row>
    <row r="2652" spans="1:1" ht="12.5" x14ac:dyDescent="0.25">
      <c r="A2652" s="4" t="s">
        <v>2105</v>
      </c>
    </row>
    <row r="2653" spans="1:1" ht="12.5" x14ac:dyDescent="0.25">
      <c r="A2653" s="4" t="s">
        <v>2105</v>
      </c>
    </row>
    <row r="2654" spans="1:1" ht="12.5" x14ac:dyDescent="0.25">
      <c r="A2654" s="4" t="s">
        <v>2105</v>
      </c>
    </row>
    <row r="2655" spans="1:1" ht="12.5" x14ac:dyDescent="0.25">
      <c r="A2655" s="4" t="s">
        <v>2105</v>
      </c>
    </row>
    <row r="2656" spans="1:1" ht="12.5" x14ac:dyDescent="0.25">
      <c r="A2656" s="4" t="s">
        <v>2105</v>
      </c>
    </row>
    <row r="2657" spans="1:1" ht="12.5" x14ac:dyDescent="0.25">
      <c r="A2657" s="4" t="s">
        <v>2106</v>
      </c>
    </row>
    <row r="2658" spans="1:1" ht="12.5" x14ac:dyDescent="0.25">
      <c r="A2658" s="4" t="s">
        <v>2106</v>
      </c>
    </row>
    <row r="2659" spans="1:1" ht="12.5" x14ac:dyDescent="0.25">
      <c r="A2659" s="4" t="s">
        <v>2106</v>
      </c>
    </row>
    <row r="2660" spans="1:1" ht="12.5" x14ac:dyDescent="0.25">
      <c r="A2660" s="4" t="s">
        <v>2106</v>
      </c>
    </row>
    <row r="2661" spans="1:1" ht="12.5" x14ac:dyDescent="0.25">
      <c r="A2661" s="4" t="s">
        <v>2106</v>
      </c>
    </row>
    <row r="2662" spans="1:1" ht="12.5" x14ac:dyDescent="0.25">
      <c r="A2662" s="4" t="s">
        <v>2106</v>
      </c>
    </row>
    <row r="2663" spans="1:1" ht="12.5" x14ac:dyDescent="0.25">
      <c r="A2663" s="4" t="s">
        <v>2106</v>
      </c>
    </row>
    <row r="2664" spans="1:1" ht="12.5" x14ac:dyDescent="0.25">
      <c r="A2664" s="4" t="s">
        <v>2107</v>
      </c>
    </row>
    <row r="2665" spans="1:1" ht="12.5" x14ac:dyDescent="0.25">
      <c r="A2665" s="4" t="s">
        <v>2107</v>
      </c>
    </row>
    <row r="2666" spans="1:1" ht="12.5" x14ac:dyDescent="0.25">
      <c r="A2666" s="4" t="s">
        <v>2107</v>
      </c>
    </row>
    <row r="2667" spans="1:1" ht="12.5" x14ac:dyDescent="0.25">
      <c r="A2667" s="4" t="s">
        <v>2107</v>
      </c>
    </row>
    <row r="2668" spans="1:1" ht="12.5" x14ac:dyDescent="0.25">
      <c r="A2668" s="4" t="s">
        <v>2107</v>
      </c>
    </row>
    <row r="2669" spans="1:1" ht="12.5" x14ac:dyDescent="0.25">
      <c r="A2669" s="4" t="s">
        <v>2107</v>
      </c>
    </row>
    <row r="2670" spans="1:1" ht="12.5" x14ac:dyDescent="0.25">
      <c r="A2670" s="4" t="s">
        <v>2107</v>
      </c>
    </row>
    <row r="2671" spans="1:1" ht="12.5" x14ac:dyDescent="0.25">
      <c r="A2671" s="4" t="s">
        <v>2107</v>
      </c>
    </row>
    <row r="2672" spans="1:1" ht="12.5" x14ac:dyDescent="0.25">
      <c r="A2672" s="4" t="s">
        <v>2107</v>
      </c>
    </row>
    <row r="2673" spans="1:1" ht="12.5" x14ac:dyDescent="0.25">
      <c r="A2673" s="4" t="s">
        <v>2107</v>
      </c>
    </row>
    <row r="2674" spans="1:1" ht="12.5" x14ac:dyDescent="0.25">
      <c r="A2674" s="4" t="s">
        <v>2107</v>
      </c>
    </row>
    <row r="2675" spans="1:1" ht="12.5" x14ac:dyDescent="0.25">
      <c r="A2675" s="4" t="s">
        <v>2108</v>
      </c>
    </row>
    <row r="2676" spans="1:1" ht="12.5" x14ac:dyDescent="0.25">
      <c r="A2676" s="4" t="s">
        <v>2109</v>
      </c>
    </row>
    <row r="2677" spans="1:1" ht="12.5" x14ac:dyDescent="0.25">
      <c r="A2677" s="4" t="s">
        <v>2109</v>
      </c>
    </row>
    <row r="2678" spans="1:1" ht="12.5" x14ac:dyDescent="0.25">
      <c r="A2678" s="4" t="s">
        <v>2109</v>
      </c>
    </row>
    <row r="2679" spans="1:1" ht="12.5" x14ac:dyDescent="0.25">
      <c r="A2679" s="4" t="s">
        <v>2109</v>
      </c>
    </row>
    <row r="2680" spans="1:1" ht="12.5" x14ac:dyDescent="0.25">
      <c r="A2680" s="4" t="s">
        <v>2110</v>
      </c>
    </row>
    <row r="2681" spans="1:1" ht="12.5" x14ac:dyDescent="0.25">
      <c r="A2681" s="4" t="s">
        <v>2111</v>
      </c>
    </row>
    <row r="2682" spans="1:1" ht="12.5" x14ac:dyDescent="0.25">
      <c r="A2682" s="4" t="s">
        <v>2112</v>
      </c>
    </row>
    <row r="2683" spans="1:1" ht="12.5" x14ac:dyDescent="0.25">
      <c r="A2683" s="4" t="s">
        <v>2113</v>
      </c>
    </row>
    <row r="2684" spans="1:1" ht="12.5" x14ac:dyDescent="0.25">
      <c r="A2684" s="4" t="s">
        <v>2114</v>
      </c>
    </row>
    <row r="2685" spans="1:1" ht="12.5" x14ac:dyDescent="0.25">
      <c r="A2685" s="4" t="s">
        <v>2114</v>
      </c>
    </row>
    <row r="2686" spans="1:1" ht="12.5" x14ac:dyDescent="0.25">
      <c r="A2686" s="4" t="s">
        <v>2114</v>
      </c>
    </row>
    <row r="2687" spans="1:1" ht="12.5" x14ac:dyDescent="0.25">
      <c r="A2687" s="4" t="s">
        <v>2115</v>
      </c>
    </row>
    <row r="2688" spans="1:1" ht="12.5" x14ac:dyDescent="0.25">
      <c r="A2688" s="4" t="s">
        <v>2115</v>
      </c>
    </row>
    <row r="2689" spans="1:1" ht="12.5" x14ac:dyDescent="0.25">
      <c r="A2689" s="4" t="s">
        <v>2115</v>
      </c>
    </row>
    <row r="2690" spans="1:1" ht="12.5" x14ac:dyDescent="0.25">
      <c r="A2690" s="4" t="s">
        <v>2115</v>
      </c>
    </row>
    <row r="2691" spans="1:1" ht="12.5" x14ac:dyDescent="0.25">
      <c r="A2691" s="4" t="s">
        <v>2115</v>
      </c>
    </row>
    <row r="2692" spans="1:1" ht="12.5" x14ac:dyDescent="0.25">
      <c r="A2692" s="4" t="s">
        <v>2115</v>
      </c>
    </row>
    <row r="2693" spans="1:1" ht="12.5" x14ac:dyDescent="0.25">
      <c r="A2693" s="4" t="s">
        <v>2115</v>
      </c>
    </row>
    <row r="2694" spans="1:1" ht="12.5" x14ac:dyDescent="0.25">
      <c r="A2694" s="4" t="s">
        <v>2115</v>
      </c>
    </row>
    <row r="2695" spans="1:1" ht="12.5" x14ac:dyDescent="0.25">
      <c r="A2695" s="4" t="s">
        <v>2115</v>
      </c>
    </row>
    <row r="2696" spans="1:1" ht="12.5" x14ac:dyDescent="0.25">
      <c r="A2696" s="4" t="s">
        <v>2115</v>
      </c>
    </row>
    <row r="2697" spans="1:1" ht="12.5" x14ac:dyDescent="0.25">
      <c r="A2697" s="4" t="s">
        <v>2115</v>
      </c>
    </row>
    <row r="2698" spans="1:1" ht="12.5" x14ac:dyDescent="0.25">
      <c r="A2698" s="4" t="s">
        <v>2115</v>
      </c>
    </row>
    <row r="2699" spans="1:1" ht="12.5" x14ac:dyDescent="0.25">
      <c r="A2699" s="4" t="s">
        <v>2115</v>
      </c>
    </row>
    <row r="2700" spans="1:1" ht="12.5" x14ac:dyDescent="0.25">
      <c r="A2700" s="4" t="s">
        <v>2116</v>
      </c>
    </row>
    <row r="2701" spans="1:1" ht="12.5" x14ac:dyDescent="0.25">
      <c r="A2701" s="4" t="s">
        <v>2116</v>
      </c>
    </row>
    <row r="2702" spans="1:1" ht="12.5" x14ac:dyDescent="0.25">
      <c r="A2702" s="4" t="s">
        <v>2116</v>
      </c>
    </row>
    <row r="2703" spans="1:1" ht="12.5" x14ac:dyDescent="0.25">
      <c r="A2703" s="4" t="s">
        <v>2116</v>
      </c>
    </row>
    <row r="2704" spans="1:1" ht="12.5" x14ac:dyDescent="0.25">
      <c r="A2704" s="4" t="s">
        <v>2117</v>
      </c>
    </row>
    <row r="2705" spans="1:1" ht="12.5" x14ac:dyDescent="0.25">
      <c r="A2705" s="4" t="s">
        <v>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5th</vt:lpstr>
      <vt:lpstr>5th Evaluation</vt:lpstr>
      <vt:lpstr>marks_log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Panchal</dc:creator>
  <cp:lastModifiedBy>Kiran Panchal</cp:lastModifiedBy>
  <dcterms:modified xsi:type="dcterms:W3CDTF">2025-12-29T05:19:36Z</dcterms:modified>
</cp:coreProperties>
</file>